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D:\Données\1.UPRT\0-UPRT.fait\1-UPRT.FR-SITE-WEB\ff-fiches-fabrications\ff.fiches.fabrication.2023\ffr-restaurant-2026\"/>
    </mc:Choice>
  </mc:AlternateContent>
  <xr:revisionPtr revIDLastSave="0" documentId="13_ncr:1_{D8461201-C24F-4A06-BD9E-5F9A73F3389F}" xr6:coauthVersionLast="47" xr6:coauthVersionMax="47" xr10:uidLastSave="{00000000-0000-0000-0000-000000000000}"/>
  <bookViews>
    <workbookView xWindow="28680" yWindow="-120" windowWidth="29040" windowHeight="15720" firstSheet="1" activeTab="2" xr2:uid="{31302406-0888-4082-A881-D2D17434561B}"/>
  </bookViews>
  <sheets>
    <sheet name="modele.Vierge" sheetId="29" r:id="rId1"/>
    <sheet name="Mode.d'Emploi" sheetId="37" r:id="rId2"/>
    <sheet name="H.O.FROIDS.11.à.20" sheetId="30" r:id="rId3"/>
    <sheet name="H.O.FROIDS.21.à.24" sheetId="31" r:id="rId4"/>
    <sheet name="OEUFS.2" sheetId="32" r:id="rId5"/>
    <sheet name="ENTRÉES.CHAUDES.25-33" sheetId="33" r:id="rId6"/>
    <sheet name="ENTRÉES.TOASTS.34-38" sheetId="34" r:id="rId7"/>
    <sheet name="H.O.FROIDS.01.à.10" sheetId="35" r:id="rId8"/>
    <sheet name="ENTRÉES.POTAGES-39-44" sheetId="36" r:id="rId9"/>
    <sheet name="CONCORDANCES" sheetId="28" r:id="rId10"/>
    <sheet name="peser.sans.balance.31.01.2025" sheetId="26" r:id="rId11"/>
    <sheet name="HYGIENE" sheetId="25" r:id="rId12"/>
    <sheet name="ALLERGENES.9.Aout.2026" sheetId="21" r:id="rId13"/>
    <sheet name="CONTROLE_QUOTIDIEN" sheetId="27" r:id="rId14"/>
  </sheets>
  <definedNames>
    <definedName name="_xlnm._FilterDatabase" localSheetId="10" hidden="1">'peser.sans.balance.31.01.2025'!#REF!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56" i="29" l="1"/>
  <c r="K55" i="29"/>
  <c r="K54" i="29"/>
  <c r="K53" i="29"/>
  <c r="K52" i="29"/>
  <c r="K51" i="29"/>
  <c r="K50" i="29"/>
  <c r="K49" i="29"/>
  <c r="K48" i="29"/>
  <c r="K47" i="29"/>
  <c r="K46" i="29"/>
  <c r="K45" i="29"/>
  <c r="K44" i="29"/>
  <c r="K43" i="29"/>
  <c r="K42" i="29"/>
  <c r="K41" i="29"/>
  <c r="K40" i="29"/>
  <c r="K39" i="29"/>
  <c r="K38" i="29"/>
  <c r="K37" i="29"/>
  <c r="K36" i="29"/>
  <c r="K35" i="29"/>
  <c r="K34" i="29"/>
  <c r="K33" i="29"/>
  <c r="K32" i="29"/>
  <c r="K31" i="29"/>
  <c r="K30" i="29"/>
  <c r="K29" i="29"/>
  <c r="K28" i="29"/>
  <c r="K27" i="29"/>
  <c r="K26" i="29"/>
  <c r="K25" i="29"/>
  <c r="K24" i="29"/>
  <c r="K23" i="29"/>
  <c r="K22" i="29"/>
  <c r="K56" i="36"/>
  <c r="K55" i="36"/>
  <c r="K54" i="36"/>
  <c r="K53" i="36"/>
  <c r="K52" i="36"/>
  <c r="K51" i="36"/>
  <c r="K50" i="36"/>
  <c r="K49" i="36"/>
  <c r="K48" i="36"/>
  <c r="K47" i="36"/>
  <c r="K46" i="36"/>
  <c r="K45" i="36"/>
  <c r="K44" i="36"/>
  <c r="K43" i="36"/>
  <c r="K42" i="36"/>
  <c r="K41" i="36"/>
  <c r="K40" i="36"/>
  <c r="K39" i="36"/>
  <c r="K38" i="36"/>
  <c r="K37" i="36"/>
  <c r="K36" i="36"/>
  <c r="K35" i="36"/>
  <c r="K34" i="36"/>
  <c r="K33" i="36"/>
  <c r="K32" i="36"/>
  <c r="K31" i="36"/>
  <c r="K30" i="36"/>
  <c r="K29" i="36"/>
  <c r="K28" i="36"/>
  <c r="K27" i="36"/>
  <c r="K26" i="36"/>
  <c r="K25" i="36"/>
  <c r="K24" i="36"/>
  <c r="K23" i="36"/>
  <c r="K22" i="36"/>
  <c r="K56" i="35"/>
  <c r="K55" i="35"/>
  <c r="K54" i="35"/>
  <c r="K53" i="35"/>
  <c r="K52" i="35"/>
  <c r="K51" i="35"/>
  <c r="K50" i="35"/>
  <c r="K49" i="35"/>
  <c r="K48" i="35"/>
  <c r="K47" i="35"/>
  <c r="K46" i="35"/>
  <c r="K45" i="35"/>
  <c r="K44" i="35"/>
  <c r="K43" i="35"/>
  <c r="K42" i="35"/>
  <c r="K41" i="35"/>
  <c r="K40" i="35"/>
  <c r="K39" i="35"/>
  <c r="K38" i="35"/>
  <c r="K37" i="35"/>
  <c r="K36" i="35"/>
  <c r="K35" i="35"/>
  <c r="K34" i="35"/>
  <c r="K33" i="35"/>
  <c r="K32" i="35"/>
  <c r="K31" i="35"/>
  <c r="K30" i="35"/>
  <c r="K29" i="35"/>
  <c r="K28" i="35"/>
  <c r="K27" i="35"/>
  <c r="K26" i="35"/>
  <c r="K25" i="35"/>
  <c r="K24" i="35"/>
  <c r="K23" i="35"/>
  <c r="K22" i="35"/>
  <c r="K56" i="34"/>
  <c r="K55" i="34"/>
  <c r="K54" i="34"/>
  <c r="K53" i="34"/>
  <c r="K52" i="34"/>
  <c r="K51" i="34"/>
  <c r="K50" i="34"/>
  <c r="K49" i="34"/>
  <c r="K48" i="34"/>
  <c r="K47" i="34"/>
  <c r="K46" i="34"/>
  <c r="K45" i="34"/>
  <c r="K44" i="34"/>
  <c r="K43" i="34"/>
  <c r="K42" i="34"/>
  <c r="K41" i="34"/>
  <c r="K40" i="34"/>
  <c r="K39" i="34"/>
  <c r="K38" i="34"/>
  <c r="K37" i="34"/>
  <c r="K36" i="34"/>
  <c r="K35" i="34"/>
  <c r="K34" i="34"/>
  <c r="K33" i="34"/>
  <c r="K32" i="34"/>
  <c r="K31" i="34"/>
  <c r="K30" i="34"/>
  <c r="K29" i="34"/>
  <c r="K28" i="34"/>
  <c r="K27" i="34"/>
  <c r="K26" i="34"/>
  <c r="K25" i="34"/>
  <c r="K24" i="34"/>
  <c r="K23" i="34"/>
  <c r="K22" i="34"/>
  <c r="K56" i="33"/>
  <c r="K55" i="33"/>
  <c r="K54" i="33"/>
  <c r="K53" i="33"/>
  <c r="K52" i="33"/>
  <c r="K51" i="33"/>
  <c r="K50" i="33"/>
  <c r="K49" i="33"/>
  <c r="K48" i="33"/>
  <c r="K47" i="33"/>
  <c r="K46" i="33"/>
  <c r="K45" i="33"/>
  <c r="K44" i="33"/>
  <c r="K43" i="33"/>
  <c r="K42" i="33"/>
  <c r="K41" i="33"/>
  <c r="K40" i="33"/>
  <c r="K39" i="33"/>
  <c r="K38" i="33"/>
  <c r="K37" i="33"/>
  <c r="K36" i="33"/>
  <c r="K35" i="33"/>
  <c r="K34" i="33"/>
  <c r="K33" i="33"/>
  <c r="K32" i="33"/>
  <c r="K31" i="33"/>
  <c r="K30" i="33"/>
  <c r="K29" i="33"/>
  <c r="K28" i="33"/>
  <c r="K27" i="33"/>
  <c r="K26" i="33"/>
  <c r="K25" i="33"/>
  <c r="K24" i="33"/>
  <c r="K23" i="33"/>
  <c r="K22" i="33"/>
  <c r="K56" i="32"/>
  <c r="K55" i="32"/>
  <c r="K54" i="32"/>
  <c r="K53" i="32"/>
  <c r="K52" i="32"/>
  <c r="K51" i="32"/>
  <c r="K50" i="32"/>
  <c r="K49" i="32"/>
  <c r="K48" i="32"/>
  <c r="K47" i="32"/>
  <c r="K46" i="32"/>
  <c r="K45" i="32"/>
  <c r="K44" i="32"/>
  <c r="K43" i="32"/>
  <c r="K42" i="32"/>
  <c r="K41" i="32"/>
  <c r="K40" i="32"/>
  <c r="K39" i="32"/>
  <c r="K38" i="32"/>
  <c r="K37" i="32"/>
  <c r="K36" i="32"/>
  <c r="K35" i="32"/>
  <c r="K34" i="32"/>
  <c r="K33" i="32"/>
  <c r="K32" i="32"/>
  <c r="K31" i="32"/>
  <c r="K30" i="32"/>
  <c r="K29" i="32"/>
  <c r="K28" i="32"/>
  <c r="K27" i="32"/>
  <c r="K26" i="32"/>
  <c r="K25" i="32"/>
  <c r="K24" i="32"/>
  <c r="K23" i="32"/>
  <c r="K22" i="32"/>
  <c r="K56" i="31"/>
  <c r="K55" i="31"/>
  <c r="K54" i="31"/>
  <c r="K53" i="31"/>
  <c r="K52" i="31"/>
  <c r="K51" i="31"/>
  <c r="K50" i="31"/>
  <c r="K49" i="31"/>
  <c r="K48" i="31"/>
  <c r="K47" i="31"/>
  <c r="K46" i="31"/>
  <c r="K45" i="31"/>
  <c r="K44" i="31"/>
  <c r="K43" i="31"/>
  <c r="K42" i="31"/>
  <c r="K41" i="31"/>
  <c r="K40" i="31"/>
  <c r="K39" i="31"/>
  <c r="K38" i="31"/>
  <c r="K37" i="31"/>
  <c r="K36" i="31"/>
  <c r="K35" i="31"/>
  <c r="K34" i="31"/>
  <c r="K33" i="31"/>
  <c r="K32" i="31"/>
  <c r="K31" i="31"/>
  <c r="K30" i="31"/>
  <c r="K29" i="31"/>
  <c r="K28" i="31"/>
  <c r="K27" i="31"/>
  <c r="K26" i="31"/>
  <c r="K25" i="31"/>
  <c r="K24" i="31"/>
  <c r="K23" i="31"/>
  <c r="K22" i="31"/>
  <c r="K56" i="30"/>
  <c r="K55" i="30"/>
  <c r="K54" i="30"/>
  <c r="K53" i="30"/>
  <c r="K52" i="30"/>
  <c r="K51" i="30"/>
  <c r="K50" i="30"/>
  <c r="K49" i="30"/>
  <c r="K48" i="30"/>
  <c r="K47" i="30"/>
  <c r="K46" i="30"/>
  <c r="K45" i="30"/>
  <c r="K44" i="30"/>
  <c r="K43" i="30"/>
  <c r="K42" i="30"/>
  <c r="K41" i="30"/>
  <c r="K40" i="30"/>
  <c r="K39" i="30"/>
  <c r="K38" i="30"/>
  <c r="K37" i="30"/>
  <c r="K36" i="30"/>
  <c r="K35" i="30"/>
  <c r="K34" i="30"/>
  <c r="K33" i="30"/>
  <c r="K32" i="30"/>
  <c r="K31" i="30"/>
  <c r="K30" i="30"/>
  <c r="K29" i="30"/>
  <c r="K28" i="30"/>
  <c r="K27" i="30"/>
  <c r="K26" i="30"/>
  <c r="K25" i="30"/>
  <c r="K24" i="30"/>
  <c r="K23" i="30"/>
  <c r="K22" i="30"/>
  <c r="P73" i="37" l="1"/>
  <c r="AQ72" i="29"/>
  <c r="AR72" i="29" s="1"/>
  <c r="AP72" i="29"/>
  <c r="AH72" i="29" s="1"/>
  <c r="AI72" i="29" s="1"/>
  <c r="AO72" i="29"/>
  <c r="AN72" i="29"/>
  <c r="AG72" i="29" s="1"/>
  <c r="BE82" i="37"/>
  <c r="AM2" i="37" s="1"/>
  <c r="V73" i="37"/>
  <c r="U73" i="37"/>
  <c r="S73" i="37"/>
  <c r="R73" i="37"/>
  <c r="J73" i="37"/>
  <c r="G73" i="37"/>
  <c r="I73" i="37" s="1"/>
  <c r="F73" i="37"/>
  <c r="E73" i="37"/>
  <c r="K67" i="37"/>
  <c r="AM72" i="29" l="1"/>
  <c r="AL72" i="29"/>
  <c r="AJ72" i="29"/>
  <c r="AK72" i="29" s="1"/>
  <c r="AU72" i="29"/>
  <c r="AT72" i="29"/>
  <c r="AS72" i="29"/>
  <c r="H73" i="37"/>
  <c r="T73" i="37"/>
  <c r="BD432" i="36" l="1"/>
  <c r="T4" i="36" s="1"/>
  <c r="AQ430" i="36"/>
  <c r="AP430" i="36"/>
  <c r="AO430" i="36"/>
  <c r="AN430" i="36"/>
  <c r="AM430" i="36"/>
  <c r="AL430" i="36"/>
  <c r="AJ430" i="36"/>
  <c r="AI430" i="36"/>
  <c r="AH430" i="36"/>
  <c r="AG430" i="36"/>
  <c r="AA430" i="36"/>
  <c r="X430" i="36"/>
  <c r="Y430" i="36" s="1"/>
  <c r="W430" i="36"/>
  <c r="AQ429" i="36"/>
  <c r="AP429" i="36"/>
  <c r="AO429" i="36"/>
  <c r="AN429" i="36"/>
  <c r="AM429" i="36"/>
  <c r="AL429" i="36"/>
  <c r="AJ429" i="36"/>
  <c r="AI429" i="36"/>
  <c r="AH429" i="36"/>
  <c r="AG429" i="36"/>
  <c r="AA429" i="36"/>
  <c r="X429" i="36"/>
  <c r="W429" i="36"/>
  <c r="AQ428" i="36"/>
  <c r="AS428" i="36" s="1"/>
  <c r="AP428" i="36"/>
  <c r="AO428" i="36"/>
  <c r="AN428" i="36"/>
  <c r="AM428" i="36"/>
  <c r="AL428" i="36"/>
  <c r="AJ428" i="36"/>
  <c r="AI428" i="36"/>
  <c r="AH428" i="36"/>
  <c r="AG428" i="36"/>
  <c r="AA428" i="36"/>
  <c r="X428" i="36"/>
  <c r="Y428" i="36" s="1"/>
  <c r="W428" i="36"/>
  <c r="AQ427" i="36"/>
  <c r="AR427" i="36" s="1"/>
  <c r="AP427" i="36"/>
  <c r="AO427" i="36"/>
  <c r="AN427" i="36"/>
  <c r="AM427" i="36"/>
  <c r="AL427" i="36"/>
  <c r="AJ427" i="36"/>
  <c r="AI427" i="36"/>
  <c r="AH427" i="36"/>
  <c r="AG427" i="36"/>
  <c r="AA427" i="36"/>
  <c r="X427" i="36"/>
  <c r="Z427" i="36" s="1"/>
  <c r="W427" i="36"/>
  <c r="AQ426" i="36"/>
  <c r="AP426" i="36"/>
  <c r="AO426" i="36"/>
  <c r="AN426" i="36"/>
  <c r="AM426" i="36"/>
  <c r="AL426" i="36"/>
  <c r="AJ426" i="36"/>
  <c r="AI426" i="36"/>
  <c r="AH426" i="36"/>
  <c r="AG426" i="36"/>
  <c r="AA426" i="36"/>
  <c r="X426" i="36"/>
  <c r="Z426" i="36" s="1"/>
  <c r="W426" i="36"/>
  <c r="AQ425" i="36"/>
  <c r="AU425" i="36" s="1"/>
  <c r="AP425" i="36"/>
  <c r="AO425" i="36"/>
  <c r="AN425" i="36"/>
  <c r="AM425" i="36"/>
  <c r="AL425" i="36"/>
  <c r="AJ425" i="36"/>
  <c r="AI425" i="36"/>
  <c r="AH425" i="36"/>
  <c r="AG425" i="36"/>
  <c r="AA425" i="36"/>
  <c r="X425" i="36"/>
  <c r="Y425" i="36" s="1"/>
  <c r="W425" i="36"/>
  <c r="AQ424" i="36"/>
  <c r="AT424" i="36" s="1"/>
  <c r="AP424" i="36"/>
  <c r="AO424" i="36"/>
  <c r="AN424" i="36"/>
  <c r="AM424" i="36"/>
  <c r="AL424" i="36"/>
  <c r="AJ424" i="36"/>
  <c r="AI424" i="36"/>
  <c r="AH424" i="36"/>
  <c r="AG424" i="36"/>
  <c r="AA424" i="36"/>
  <c r="X424" i="36"/>
  <c r="Z424" i="36" s="1"/>
  <c r="W424" i="36"/>
  <c r="AQ423" i="36"/>
  <c r="AR423" i="36" s="1"/>
  <c r="AP423" i="36"/>
  <c r="AO423" i="36"/>
  <c r="AN423" i="36"/>
  <c r="AM423" i="36"/>
  <c r="AL423" i="36"/>
  <c r="AJ423" i="36"/>
  <c r="AI423" i="36"/>
  <c r="AH423" i="36"/>
  <c r="AG423" i="36"/>
  <c r="AA423" i="36"/>
  <c r="X423" i="36"/>
  <c r="Y423" i="36" s="1"/>
  <c r="W423" i="36"/>
  <c r="AQ422" i="36"/>
  <c r="AP422" i="36"/>
  <c r="AO422" i="36"/>
  <c r="AN422" i="36"/>
  <c r="AM422" i="36"/>
  <c r="AL422" i="36"/>
  <c r="AJ422" i="36"/>
  <c r="AI422" i="36"/>
  <c r="AH422" i="36"/>
  <c r="AG422" i="36"/>
  <c r="AA422" i="36"/>
  <c r="X422" i="36"/>
  <c r="W422" i="36"/>
  <c r="AQ421" i="36"/>
  <c r="AR421" i="36" s="1"/>
  <c r="AP421" i="36"/>
  <c r="AO421" i="36"/>
  <c r="AN421" i="36"/>
  <c r="AM421" i="36"/>
  <c r="AL421" i="36"/>
  <c r="AJ421" i="36"/>
  <c r="AI421" i="36"/>
  <c r="AH421" i="36"/>
  <c r="AG421" i="36"/>
  <c r="AA421" i="36"/>
  <c r="X421" i="36"/>
  <c r="Z421" i="36" s="1"/>
  <c r="W421" i="36"/>
  <c r="AQ420" i="36"/>
  <c r="AP420" i="36"/>
  <c r="AO420" i="36"/>
  <c r="AN420" i="36"/>
  <c r="AM420" i="36"/>
  <c r="AL420" i="36"/>
  <c r="AJ420" i="36"/>
  <c r="AI420" i="36"/>
  <c r="AH420" i="36"/>
  <c r="AG420" i="36"/>
  <c r="AA420" i="36"/>
  <c r="X420" i="36"/>
  <c r="Y420" i="36" s="1"/>
  <c r="W420" i="36"/>
  <c r="AQ419" i="36"/>
  <c r="AR419" i="36" s="1"/>
  <c r="AP419" i="36"/>
  <c r="AO419" i="36"/>
  <c r="AN419" i="36"/>
  <c r="AM419" i="36"/>
  <c r="AL419" i="36"/>
  <c r="AJ419" i="36"/>
  <c r="AI419" i="36"/>
  <c r="AH419" i="36"/>
  <c r="AG419" i="36"/>
  <c r="AA419" i="36"/>
  <c r="X419" i="36"/>
  <c r="W419" i="36"/>
  <c r="AQ418" i="36"/>
  <c r="AP418" i="36"/>
  <c r="AO418" i="36"/>
  <c r="AN418" i="36"/>
  <c r="AM418" i="36"/>
  <c r="AL418" i="36"/>
  <c r="AJ418" i="36"/>
  <c r="AI418" i="36"/>
  <c r="AH418" i="36"/>
  <c r="AG418" i="36"/>
  <c r="AA418" i="36"/>
  <c r="X418" i="36"/>
  <c r="Y418" i="36" s="1"/>
  <c r="W418" i="36"/>
  <c r="AQ417" i="36"/>
  <c r="AS417" i="36" s="1"/>
  <c r="AP417" i="36"/>
  <c r="AO417" i="36"/>
  <c r="AN417" i="36"/>
  <c r="AM417" i="36"/>
  <c r="AL417" i="36"/>
  <c r="AJ417" i="36"/>
  <c r="AI417" i="36"/>
  <c r="AH417" i="36"/>
  <c r="AG417" i="36"/>
  <c r="AA417" i="36"/>
  <c r="X417" i="36"/>
  <c r="Y417" i="36" s="1"/>
  <c r="W417" i="36"/>
  <c r="AQ416" i="36"/>
  <c r="AR416" i="36" s="1"/>
  <c r="AP416" i="36"/>
  <c r="AO416" i="36"/>
  <c r="AN416" i="36"/>
  <c r="AM416" i="36"/>
  <c r="AL416" i="36"/>
  <c r="AJ416" i="36"/>
  <c r="AI416" i="36"/>
  <c r="AH416" i="36"/>
  <c r="AG416" i="36"/>
  <c r="AA416" i="36"/>
  <c r="X416" i="36"/>
  <c r="Z416" i="36" s="1"/>
  <c r="W416" i="36"/>
  <c r="AQ415" i="36"/>
  <c r="AR415" i="36" s="1"/>
  <c r="AP415" i="36"/>
  <c r="AO415" i="36"/>
  <c r="AN415" i="36"/>
  <c r="AM415" i="36"/>
  <c r="AL415" i="36"/>
  <c r="AJ415" i="36"/>
  <c r="AI415" i="36"/>
  <c r="AH415" i="36"/>
  <c r="AG415" i="36"/>
  <c r="AA415" i="36"/>
  <c r="X415" i="36"/>
  <c r="Y415" i="36" s="1"/>
  <c r="W415" i="36"/>
  <c r="AQ414" i="36"/>
  <c r="AP414" i="36"/>
  <c r="AO414" i="36"/>
  <c r="AN414" i="36"/>
  <c r="AM414" i="36"/>
  <c r="AL414" i="36"/>
  <c r="AJ414" i="36"/>
  <c r="AI414" i="36"/>
  <c r="AH414" i="36"/>
  <c r="AG414" i="36"/>
  <c r="AA414" i="36"/>
  <c r="X414" i="36"/>
  <c r="Z414" i="36" s="1"/>
  <c r="W414" i="36"/>
  <c r="AQ413" i="36"/>
  <c r="AU413" i="36" s="1"/>
  <c r="AP413" i="36"/>
  <c r="AO413" i="36"/>
  <c r="AN413" i="36"/>
  <c r="AM413" i="36"/>
  <c r="AL413" i="36"/>
  <c r="AJ413" i="36"/>
  <c r="AI413" i="36"/>
  <c r="AH413" i="36"/>
  <c r="AG413" i="36"/>
  <c r="AA413" i="36"/>
  <c r="X413" i="36"/>
  <c r="W413" i="36"/>
  <c r="AQ412" i="36"/>
  <c r="AP412" i="36"/>
  <c r="AO412" i="36"/>
  <c r="AN412" i="36"/>
  <c r="AM412" i="36"/>
  <c r="AL412" i="36"/>
  <c r="AJ412" i="36"/>
  <c r="AI412" i="36"/>
  <c r="AH412" i="36"/>
  <c r="AG412" i="36"/>
  <c r="AA412" i="36"/>
  <c r="X412" i="36"/>
  <c r="Y412" i="36" s="1"/>
  <c r="W412" i="36"/>
  <c r="AQ411" i="36"/>
  <c r="AR411" i="36" s="1"/>
  <c r="AP411" i="36"/>
  <c r="AO411" i="36"/>
  <c r="AN411" i="36"/>
  <c r="AM411" i="36"/>
  <c r="AL411" i="36"/>
  <c r="AJ411" i="36"/>
  <c r="AI411" i="36"/>
  <c r="AH411" i="36"/>
  <c r="AG411" i="36"/>
  <c r="AA411" i="36"/>
  <c r="X411" i="36"/>
  <c r="Z411" i="36" s="1"/>
  <c r="W411" i="36"/>
  <c r="AQ410" i="36"/>
  <c r="AT410" i="36" s="1"/>
  <c r="AP410" i="36"/>
  <c r="AO410" i="36"/>
  <c r="AN410" i="36"/>
  <c r="AM410" i="36"/>
  <c r="AL410" i="36"/>
  <c r="AJ410" i="36"/>
  <c r="AI410" i="36"/>
  <c r="AH410" i="36"/>
  <c r="AG410" i="36"/>
  <c r="AA410" i="36"/>
  <c r="X410" i="36"/>
  <c r="Z410" i="36" s="1"/>
  <c r="W410" i="36"/>
  <c r="AQ409" i="36"/>
  <c r="AU409" i="36" s="1"/>
  <c r="AP409" i="36"/>
  <c r="AO409" i="36"/>
  <c r="AN409" i="36"/>
  <c r="AM409" i="36"/>
  <c r="AL409" i="36"/>
  <c r="AJ409" i="36"/>
  <c r="AI409" i="36"/>
  <c r="AH409" i="36"/>
  <c r="AG409" i="36"/>
  <c r="AA409" i="36"/>
  <c r="X409" i="36"/>
  <c r="Y409" i="36" s="1"/>
  <c r="W409" i="36"/>
  <c r="AQ408" i="36"/>
  <c r="AU408" i="36" s="1"/>
  <c r="AP408" i="36"/>
  <c r="AO408" i="36"/>
  <c r="AN408" i="36"/>
  <c r="AM408" i="36"/>
  <c r="AL408" i="36"/>
  <c r="AJ408" i="36"/>
  <c r="AI408" i="36"/>
  <c r="AH408" i="36"/>
  <c r="AG408" i="36"/>
  <c r="AA408" i="36"/>
  <c r="X408" i="36"/>
  <c r="Z408" i="36" s="1"/>
  <c r="W408" i="36"/>
  <c r="AQ407" i="36"/>
  <c r="AR407" i="36" s="1"/>
  <c r="AP407" i="36"/>
  <c r="AO407" i="36"/>
  <c r="AN407" i="36"/>
  <c r="AM407" i="36"/>
  <c r="AL407" i="36"/>
  <c r="AJ407" i="36"/>
  <c r="AI407" i="36"/>
  <c r="AH407" i="36"/>
  <c r="AG407" i="36"/>
  <c r="AA407" i="36"/>
  <c r="X407" i="36"/>
  <c r="W407" i="36"/>
  <c r="AQ406" i="36"/>
  <c r="AT406" i="36" s="1"/>
  <c r="AP406" i="36"/>
  <c r="AO406" i="36"/>
  <c r="AN406" i="36"/>
  <c r="AM406" i="36"/>
  <c r="AL406" i="36"/>
  <c r="AJ406" i="36"/>
  <c r="AI406" i="36"/>
  <c r="AH406" i="36"/>
  <c r="AG406" i="36"/>
  <c r="AA406" i="36"/>
  <c r="X406" i="36"/>
  <c r="Y406" i="36" s="1"/>
  <c r="W406" i="36"/>
  <c r="AQ405" i="36"/>
  <c r="AU405" i="36" s="1"/>
  <c r="AP405" i="36"/>
  <c r="AO405" i="36"/>
  <c r="AN405" i="36"/>
  <c r="AM405" i="36"/>
  <c r="AL405" i="36"/>
  <c r="AJ405" i="36"/>
  <c r="AI405" i="36"/>
  <c r="AH405" i="36"/>
  <c r="AG405" i="36"/>
  <c r="AA405" i="36"/>
  <c r="X405" i="36"/>
  <c r="Z405" i="36" s="1"/>
  <c r="W405" i="36"/>
  <c r="AQ404" i="36"/>
  <c r="AP404" i="36"/>
  <c r="AO404" i="36"/>
  <c r="AN404" i="36"/>
  <c r="AM404" i="36"/>
  <c r="AL404" i="36"/>
  <c r="AJ404" i="36"/>
  <c r="AI404" i="36"/>
  <c r="AH404" i="36"/>
  <c r="AG404" i="36"/>
  <c r="AA404" i="36"/>
  <c r="X404" i="36"/>
  <c r="Z404" i="36" s="1"/>
  <c r="W404" i="36"/>
  <c r="AQ403" i="36"/>
  <c r="AR403" i="36" s="1"/>
  <c r="AP403" i="36"/>
  <c r="AO403" i="36"/>
  <c r="AN403" i="36"/>
  <c r="AM403" i="36"/>
  <c r="AL403" i="36"/>
  <c r="AJ403" i="36"/>
  <c r="AI403" i="36"/>
  <c r="AH403" i="36"/>
  <c r="AG403" i="36"/>
  <c r="AA403" i="36"/>
  <c r="X403" i="36"/>
  <c r="W403" i="36"/>
  <c r="AQ402" i="36"/>
  <c r="AT402" i="36" s="1"/>
  <c r="AP402" i="36"/>
  <c r="AO402" i="36"/>
  <c r="AN402" i="36"/>
  <c r="AM402" i="36"/>
  <c r="AL402" i="36"/>
  <c r="AJ402" i="36"/>
  <c r="AI402" i="36"/>
  <c r="AH402" i="36"/>
  <c r="AG402" i="36"/>
  <c r="AA402" i="36"/>
  <c r="X402" i="36"/>
  <c r="Z402" i="36" s="1"/>
  <c r="W402" i="36"/>
  <c r="AQ401" i="36"/>
  <c r="AU401" i="36" s="1"/>
  <c r="AP401" i="36"/>
  <c r="AO401" i="36"/>
  <c r="AN401" i="36"/>
  <c r="AM401" i="36"/>
  <c r="AL401" i="36"/>
  <c r="AJ401" i="36"/>
  <c r="AI401" i="36"/>
  <c r="AH401" i="36"/>
  <c r="AG401" i="36"/>
  <c r="AA401" i="36"/>
  <c r="X401" i="36"/>
  <c r="W401" i="36"/>
  <c r="AQ400" i="36"/>
  <c r="AS400" i="36" s="1"/>
  <c r="AP400" i="36"/>
  <c r="AO400" i="36"/>
  <c r="AN400" i="36"/>
  <c r="AM400" i="36"/>
  <c r="AL400" i="36"/>
  <c r="AJ400" i="36"/>
  <c r="AI400" i="36"/>
  <c r="AH400" i="36"/>
  <c r="AG400" i="36"/>
  <c r="AA400" i="36"/>
  <c r="X400" i="36"/>
  <c r="Y400" i="36" s="1"/>
  <c r="W400" i="36"/>
  <c r="AQ399" i="36"/>
  <c r="AR399" i="36" s="1"/>
  <c r="AP399" i="36"/>
  <c r="AO399" i="36"/>
  <c r="AN399" i="36"/>
  <c r="AM399" i="36"/>
  <c r="AL399" i="36"/>
  <c r="AJ399" i="36"/>
  <c r="AI399" i="36"/>
  <c r="AH399" i="36"/>
  <c r="AG399" i="36"/>
  <c r="AA399" i="36"/>
  <c r="X399" i="36"/>
  <c r="Z399" i="36" s="1"/>
  <c r="W399" i="36"/>
  <c r="AQ398" i="36"/>
  <c r="AP398" i="36"/>
  <c r="AO398" i="36"/>
  <c r="AN398" i="36"/>
  <c r="AM398" i="36"/>
  <c r="AL398" i="36"/>
  <c r="AJ398" i="36"/>
  <c r="AI398" i="36"/>
  <c r="AH398" i="36"/>
  <c r="AG398" i="36"/>
  <c r="AA398" i="36"/>
  <c r="X398" i="36"/>
  <c r="Z398" i="36" s="1"/>
  <c r="W398" i="36"/>
  <c r="AQ397" i="36"/>
  <c r="AR397" i="36" s="1"/>
  <c r="AP397" i="36"/>
  <c r="AO397" i="36"/>
  <c r="AN397" i="36"/>
  <c r="AM397" i="36"/>
  <c r="AL397" i="36"/>
  <c r="AJ397" i="36"/>
  <c r="AI397" i="36"/>
  <c r="AH397" i="36"/>
  <c r="AG397" i="36"/>
  <c r="AA397" i="36"/>
  <c r="X397" i="36"/>
  <c r="Z397" i="36" s="1"/>
  <c r="W397" i="36"/>
  <c r="V397" i="36"/>
  <c r="AQ396" i="36"/>
  <c r="AU396" i="36" s="1"/>
  <c r="AP396" i="36"/>
  <c r="AH396" i="36" s="1"/>
  <c r="AO396" i="36"/>
  <c r="AN396" i="36"/>
  <c r="AG396" i="36" s="1"/>
  <c r="AA396" i="36"/>
  <c r="AQ394" i="36"/>
  <c r="AS394" i="36" s="1"/>
  <c r="AP394" i="36"/>
  <c r="AO394" i="36"/>
  <c r="AN394" i="36"/>
  <c r="AM394" i="36"/>
  <c r="AL394" i="36"/>
  <c r="AJ394" i="36"/>
  <c r="AI394" i="36"/>
  <c r="AH394" i="36"/>
  <c r="AG394" i="36"/>
  <c r="AA394" i="36"/>
  <c r="X394" i="36"/>
  <c r="Z394" i="36" s="1"/>
  <c r="W394" i="36"/>
  <c r="AQ393" i="36"/>
  <c r="AU393" i="36" s="1"/>
  <c r="AP393" i="36"/>
  <c r="AO393" i="36"/>
  <c r="AN393" i="36"/>
  <c r="AM393" i="36"/>
  <c r="AL393" i="36"/>
  <c r="AJ393" i="36"/>
  <c r="AI393" i="36"/>
  <c r="AH393" i="36"/>
  <c r="AG393" i="36"/>
  <c r="AA393" i="36"/>
  <c r="X393" i="36"/>
  <c r="Z393" i="36" s="1"/>
  <c r="W393" i="36"/>
  <c r="AQ392" i="36"/>
  <c r="AT392" i="36" s="1"/>
  <c r="AP392" i="36"/>
  <c r="AO392" i="36"/>
  <c r="AN392" i="36"/>
  <c r="AM392" i="36"/>
  <c r="AL392" i="36"/>
  <c r="AJ392" i="36"/>
  <c r="AI392" i="36"/>
  <c r="AH392" i="36"/>
  <c r="AG392" i="36"/>
  <c r="AA392" i="36"/>
  <c r="X392" i="36"/>
  <c r="Y392" i="36" s="1"/>
  <c r="W392" i="36"/>
  <c r="AQ391" i="36"/>
  <c r="AU391" i="36" s="1"/>
  <c r="AP391" i="36"/>
  <c r="AO391" i="36"/>
  <c r="AN391" i="36"/>
  <c r="AM391" i="36"/>
  <c r="AL391" i="36"/>
  <c r="AJ391" i="36"/>
  <c r="AI391" i="36"/>
  <c r="AH391" i="36"/>
  <c r="AG391" i="36"/>
  <c r="AA391" i="36"/>
  <c r="X391" i="36"/>
  <c r="Z391" i="36" s="1"/>
  <c r="W391" i="36"/>
  <c r="AQ390" i="36"/>
  <c r="AU390" i="36" s="1"/>
  <c r="AP390" i="36"/>
  <c r="AO390" i="36"/>
  <c r="AN390" i="36"/>
  <c r="AM390" i="36"/>
  <c r="AL390" i="36"/>
  <c r="AJ390" i="36"/>
  <c r="AI390" i="36"/>
  <c r="AH390" i="36"/>
  <c r="AG390" i="36"/>
  <c r="AA390" i="36"/>
  <c r="X390" i="36"/>
  <c r="Z390" i="36" s="1"/>
  <c r="W390" i="36"/>
  <c r="AQ389" i="36"/>
  <c r="AP389" i="36"/>
  <c r="AO389" i="36"/>
  <c r="AN389" i="36"/>
  <c r="AM389" i="36"/>
  <c r="AL389" i="36"/>
  <c r="AJ389" i="36"/>
  <c r="AI389" i="36"/>
  <c r="AH389" i="36"/>
  <c r="AG389" i="36"/>
  <c r="AA389" i="36"/>
  <c r="X389" i="36"/>
  <c r="Z389" i="36" s="1"/>
  <c r="W389" i="36"/>
  <c r="AQ388" i="36"/>
  <c r="AP388" i="36"/>
  <c r="AO388" i="36"/>
  <c r="AN388" i="36"/>
  <c r="AM388" i="36"/>
  <c r="AL388" i="36"/>
  <c r="AJ388" i="36"/>
  <c r="AI388" i="36"/>
  <c r="AH388" i="36"/>
  <c r="AG388" i="36"/>
  <c r="AA388" i="36"/>
  <c r="X388" i="36"/>
  <c r="Y388" i="36" s="1"/>
  <c r="W388" i="36"/>
  <c r="AQ387" i="36"/>
  <c r="AS387" i="36" s="1"/>
  <c r="AP387" i="36"/>
  <c r="AO387" i="36"/>
  <c r="AN387" i="36"/>
  <c r="AM387" i="36"/>
  <c r="AL387" i="36"/>
  <c r="AJ387" i="36"/>
  <c r="AI387" i="36"/>
  <c r="AH387" i="36"/>
  <c r="AG387" i="36"/>
  <c r="AA387" i="36"/>
  <c r="X387" i="36"/>
  <c r="Y387" i="36" s="1"/>
  <c r="W387" i="36"/>
  <c r="AQ386" i="36"/>
  <c r="AR386" i="36" s="1"/>
  <c r="AP386" i="36"/>
  <c r="AO386" i="36"/>
  <c r="AN386" i="36"/>
  <c r="AM386" i="36"/>
  <c r="AL386" i="36"/>
  <c r="AJ386" i="36"/>
  <c r="AI386" i="36"/>
  <c r="AH386" i="36"/>
  <c r="AG386" i="36"/>
  <c r="AA386" i="36"/>
  <c r="X386" i="36"/>
  <c r="Y386" i="36" s="1"/>
  <c r="W386" i="36"/>
  <c r="AQ385" i="36"/>
  <c r="AP385" i="36"/>
  <c r="AO385" i="36"/>
  <c r="AN385" i="36"/>
  <c r="AM385" i="36"/>
  <c r="AL385" i="36"/>
  <c r="AJ385" i="36"/>
  <c r="AI385" i="36"/>
  <c r="AH385" i="36"/>
  <c r="AG385" i="36"/>
  <c r="AA385" i="36"/>
  <c r="X385" i="36"/>
  <c r="Z385" i="36" s="1"/>
  <c r="W385" i="36"/>
  <c r="AQ384" i="36"/>
  <c r="AP384" i="36"/>
  <c r="AO384" i="36"/>
  <c r="AN384" i="36"/>
  <c r="AM384" i="36"/>
  <c r="AL384" i="36"/>
  <c r="AJ384" i="36"/>
  <c r="AI384" i="36"/>
  <c r="AH384" i="36"/>
  <c r="AG384" i="36"/>
  <c r="AA384" i="36"/>
  <c r="X384" i="36"/>
  <c r="W384" i="36"/>
  <c r="AQ383" i="36"/>
  <c r="AS383" i="36" s="1"/>
  <c r="AP383" i="36"/>
  <c r="AO383" i="36"/>
  <c r="AN383" i="36"/>
  <c r="AM383" i="36"/>
  <c r="AL383" i="36"/>
  <c r="AJ383" i="36"/>
  <c r="AI383" i="36"/>
  <c r="AH383" i="36"/>
  <c r="AG383" i="36"/>
  <c r="AA383" i="36"/>
  <c r="X383" i="36"/>
  <c r="Y383" i="36" s="1"/>
  <c r="W383" i="36"/>
  <c r="AQ382" i="36"/>
  <c r="AR382" i="36" s="1"/>
  <c r="AP382" i="36"/>
  <c r="AO382" i="36"/>
  <c r="AN382" i="36"/>
  <c r="AM382" i="36"/>
  <c r="AL382" i="36"/>
  <c r="AJ382" i="36"/>
  <c r="AI382" i="36"/>
  <c r="AH382" i="36"/>
  <c r="AG382" i="36"/>
  <c r="AA382" i="36"/>
  <c r="X382" i="36"/>
  <c r="Z382" i="36" s="1"/>
  <c r="W382" i="36"/>
  <c r="AQ381" i="36"/>
  <c r="AP381" i="36"/>
  <c r="AO381" i="36"/>
  <c r="AN381" i="36"/>
  <c r="AM381" i="36"/>
  <c r="AL381" i="36"/>
  <c r="AJ381" i="36"/>
  <c r="AI381" i="36"/>
  <c r="AH381" i="36"/>
  <c r="AG381" i="36"/>
  <c r="AA381" i="36"/>
  <c r="X381" i="36"/>
  <c r="Z381" i="36" s="1"/>
  <c r="W381" i="36"/>
  <c r="AQ380" i="36"/>
  <c r="AP380" i="36"/>
  <c r="AO380" i="36"/>
  <c r="AN380" i="36"/>
  <c r="AM380" i="36"/>
  <c r="AL380" i="36"/>
  <c r="AJ380" i="36"/>
  <c r="AI380" i="36"/>
  <c r="AH380" i="36"/>
  <c r="AG380" i="36"/>
  <c r="AA380" i="36"/>
  <c r="X380" i="36"/>
  <c r="Y380" i="36" s="1"/>
  <c r="W380" i="36"/>
  <c r="AQ379" i="36"/>
  <c r="AR379" i="36" s="1"/>
  <c r="AP379" i="36"/>
  <c r="AO379" i="36"/>
  <c r="AN379" i="36"/>
  <c r="AM379" i="36"/>
  <c r="AL379" i="36"/>
  <c r="AJ379" i="36"/>
  <c r="AI379" i="36"/>
  <c r="AH379" i="36"/>
  <c r="AG379" i="36"/>
  <c r="AA379" i="36"/>
  <c r="X379" i="36"/>
  <c r="Y379" i="36" s="1"/>
  <c r="W379" i="36"/>
  <c r="AQ378" i="36"/>
  <c r="AS378" i="36" s="1"/>
  <c r="AP378" i="36"/>
  <c r="AO378" i="36"/>
  <c r="AN378" i="36"/>
  <c r="AM378" i="36"/>
  <c r="AL378" i="36"/>
  <c r="AJ378" i="36"/>
  <c r="AI378" i="36"/>
  <c r="AH378" i="36"/>
  <c r="AG378" i="36"/>
  <c r="AA378" i="36"/>
  <c r="X378" i="36"/>
  <c r="Z378" i="36" s="1"/>
  <c r="W378" i="36"/>
  <c r="AQ377" i="36"/>
  <c r="AU377" i="36" s="1"/>
  <c r="AP377" i="36"/>
  <c r="AO377" i="36"/>
  <c r="AN377" i="36"/>
  <c r="AM377" i="36"/>
  <c r="AL377" i="36"/>
  <c r="AJ377" i="36"/>
  <c r="AI377" i="36"/>
  <c r="AH377" i="36"/>
  <c r="AG377" i="36"/>
  <c r="AA377" i="36"/>
  <c r="X377" i="36"/>
  <c r="Z377" i="36" s="1"/>
  <c r="W377" i="36"/>
  <c r="AQ376" i="36"/>
  <c r="AS376" i="36" s="1"/>
  <c r="AP376" i="36"/>
  <c r="AO376" i="36"/>
  <c r="AN376" i="36"/>
  <c r="AM376" i="36"/>
  <c r="AL376" i="36"/>
  <c r="AJ376" i="36"/>
  <c r="AI376" i="36"/>
  <c r="AH376" i="36"/>
  <c r="AG376" i="36"/>
  <c r="AA376" i="36"/>
  <c r="X376" i="36"/>
  <c r="Y376" i="36" s="1"/>
  <c r="W376" i="36"/>
  <c r="AQ375" i="36"/>
  <c r="AR375" i="36" s="1"/>
  <c r="AP375" i="36"/>
  <c r="AO375" i="36"/>
  <c r="AN375" i="36"/>
  <c r="AM375" i="36"/>
  <c r="AL375" i="36"/>
  <c r="AJ375" i="36"/>
  <c r="AI375" i="36"/>
  <c r="AH375" i="36"/>
  <c r="AG375" i="36"/>
  <c r="AA375" i="36"/>
  <c r="X375" i="36"/>
  <c r="Z375" i="36" s="1"/>
  <c r="W375" i="36"/>
  <c r="AQ374" i="36"/>
  <c r="AS374" i="36" s="1"/>
  <c r="AP374" i="36"/>
  <c r="AO374" i="36"/>
  <c r="AN374" i="36"/>
  <c r="AM374" i="36"/>
  <c r="AL374" i="36"/>
  <c r="AJ374" i="36"/>
  <c r="AI374" i="36"/>
  <c r="AH374" i="36"/>
  <c r="AG374" i="36"/>
  <c r="AA374" i="36"/>
  <c r="X374" i="36"/>
  <c r="Z374" i="36" s="1"/>
  <c r="W374" i="36"/>
  <c r="AQ373" i="36"/>
  <c r="AP373" i="36"/>
  <c r="AO373" i="36"/>
  <c r="AN373" i="36"/>
  <c r="AM373" i="36"/>
  <c r="AL373" i="36"/>
  <c r="AJ373" i="36"/>
  <c r="AI373" i="36"/>
  <c r="AH373" i="36"/>
  <c r="AG373" i="36"/>
  <c r="AA373" i="36"/>
  <c r="X373" i="36"/>
  <c r="Z373" i="36" s="1"/>
  <c r="W373" i="36"/>
  <c r="AQ372" i="36"/>
  <c r="AP372" i="36"/>
  <c r="AO372" i="36"/>
  <c r="AN372" i="36"/>
  <c r="AM372" i="36"/>
  <c r="AL372" i="36"/>
  <c r="AJ372" i="36"/>
  <c r="AI372" i="36"/>
  <c r="AH372" i="36"/>
  <c r="AG372" i="36"/>
  <c r="AA372" i="36"/>
  <c r="X372" i="36"/>
  <c r="Y372" i="36" s="1"/>
  <c r="W372" i="36"/>
  <c r="AQ371" i="36"/>
  <c r="AU371" i="36" s="1"/>
  <c r="AP371" i="36"/>
  <c r="AO371" i="36"/>
  <c r="AN371" i="36"/>
  <c r="AM371" i="36"/>
  <c r="AL371" i="36"/>
  <c r="AJ371" i="36"/>
  <c r="AI371" i="36"/>
  <c r="AH371" i="36"/>
  <c r="AG371" i="36"/>
  <c r="AA371" i="36"/>
  <c r="X371" i="36"/>
  <c r="W371" i="36"/>
  <c r="AQ370" i="36"/>
  <c r="AP370" i="36"/>
  <c r="AO370" i="36"/>
  <c r="AN370" i="36"/>
  <c r="AM370" i="36"/>
  <c r="AL370" i="36"/>
  <c r="AJ370" i="36"/>
  <c r="AI370" i="36"/>
  <c r="AH370" i="36"/>
  <c r="AG370" i="36"/>
  <c r="AA370" i="36"/>
  <c r="X370" i="36"/>
  <c r="Z370" i="36" s="1"/>
  <c r="W370" i="36"/>
  <c r="AQ369" i="36"/>
  <c r="AP369" i="36"/>
  <c r="AO369" i="36"/>
  <c r="AN369" i="36"/>
  <c r="AM369" i="36"/>
  <c r="AL369" i="36"/>
  <c r="AJ369" i="36"/>
  <c r="AI369" i="36"/>
  <c r="AH369" i="36"/>
  <c r="AG369" i="36"/>
  <c r="AA369" i="36"/>
  <c r="X369" i="36"/>
  <c r="Y369" i="36" s="1"/>
  <c r="W369" i="36"/>
  <c r="AQ368" i="36"/>
  <c r="AT368" i="36" s="1"/>
  <c r="AP368" i="36"/>
  <c r="AO368" i="36"/>
  <c r="AN368" i="36"/>
  <c r="AM368" i="36"/>
  <c r="AL368" i="36"/>
  <c r="AJ368" i="36"/>
  <c r="AI368" i="36"/>
  <c r="AH368" i="36"/>
  <c r="AG368" i="36"/>
  <c r="AA368" i="36"/>
  <c r="X368" i="36"/>
  <c r="Y368" i="36" s="1"/>
  <c r="W368" i="36"/>
  <c r="AQ367" i="36"/>
  <c r="AP367" i="36"/>
  <c r="AO367" i="36"/>
  <c r="AN367" i="36"/>
  <c r="AM367" i="36"/>
  <c r="AL367" i="36"/>
  <c r="AJ367" i="36"/>
  <c r="AI367" i="36"/>
  <c r="AH367" i="36"/>
  <c r="AG367" i="36"/>
  <c r="AA367" i="36"/>
  <c r="X367" i="36"/>
  <c r="Z367" i="36" s="1"/>
  <c r="W367" i="36"/>
  <c r="AQ366" i="36"/>
  <c r="AU366" i="36" s="1"/>
  <c r="AP366" i="36"/>
  <c r="AO366" i="36"/>
  <c r="AN366" i="36"/>
  <c r="AM366" i="36"/>
  <c r="AL366" i="36"/>
  <c r="AJ366" i="36"/>
  <c r="AI366" i="36"/>
  <c r="AH366" i="36"/>
  <c r="AG366" i="36"/>
  <c r="AA366" i="36"/>
  <c r="X366" i="36"/>
  <c r="Z366" i="36" s="1"/>
  <c r="W366" i="36"/>
  <c r="AQ365" i="36"/>
  <c r="AU365" i="36" s="1"/>
  <c r="AP365" i="36"/>
  <c r="AO365" i="36"/>
  <c r="AN365" i="36"/>
  <c r="AM365" i="36"/>
  <c r="AL365" i="36"/>
  <c r="AJ365" i="36"/>
  <c r="AI365" i="36"/>
  <c r="AH365" i="36"/>
  <c r="AG365" i="36"/>
  <c r="AA365" i="36"/>
  <c r="X365" i="36"/>
  <c r="Z365" i="36" s="1"/>
  <c r="W365" i="36"/>
  <c r="AQ364" i="36"/>
  <c r="AT364" i="36" s="1"/>
  <c r="AP364" i="36"/>
  <c r="AO364" i="36"/>
  <c r="AN364" i="36"/>
  <c r="AM364" i="36"/>
  <c r="AL364" i="36"/>
  <c r="AJ364" i="36"/>
  <c r="AI364" i="36"/>
  <c r="AH364" i="36"/>
  <c r="AG364" i="36"/>
  <c r="AA364" i="36"/>
  <c r="X364" i="36"/>
  <c r="Y364" i="36" s="1"/>
  <c r="W364" i="36"/>
  <c r="AQ363" i="36"/>
  <c r="AT363" i="36" s="1"/>
  <c r="AP363" i="36"/>
  <c r="AO363" i="36"/>
  <c r="AN363" i="36"/>
  <c r="AM363" i="36"/>
  <c r="AL363" i="36"/>
  <c r="AJ363" i="36"/>
  <c r="AI363" i="36"/>
  <c r="AH363" i="36"/>
  <c r="AG363" i="36"/>
  <c r="AA363" i="36"/>
  <c r="X363" i="36"/>
  <c r="Y363" i="36" s="1"/>
  <c r="W363" i="36"/>
  <c r="AQ362" i="36"/>
  <c r="AP362" i="36"/>
  <c r="AO362" i="36"/>
  <c r="AN362" i="36"/>
  <c r="AM362" i="36"/>
  <c r="AL362" i="36"/>
  <c r="AJ362" i="36"/>
  <c r="AI362" i="36"/>
  <c r="AH362" i="36"/>
  <c r="AG362" i="36"/>
  <c r="AA362" i="36"/>
  <c r="X362" i="36"/>
  <c r="Y362" i="36" s="1"/>
  <c r="W362" i="36"/>
  <c r="AQ361" i="36"/>
  <c r="AP361" i="36"/>
  <c r="AO361" i="36"/>
  <c r="AN361" i="36"/>
  <c r="AM361" i="36"/>
  <c r="AL361" i="36"/>
  <c r="AJ361" i="36"/>
  <c r="AI361" i="36"/>
  <c r="AH361" i="36"/>
  <c r="AG361" i="36"/>
  <c r="AA361" i="36"/>
  <c r="X361" i="36"/>
  <c r="Z361" i="36" s="1"/>
  <c r="W361" i="36"/>
  <c r="V361" i="36"/>
  <c r="AQ360" i="36"/>
  <c r="AU360" i="36" s="1"/>
  <c r="AP360" i="36"/>
  <c r="AH360" i="36" s="1"/>
  <c r="AO360" i="36"/>
  <c r="AN360" i="36"/>
  <c r="AG360" i="36" s="1"/>
  <c r="AA360" i="36"/>
  <c r="AQ358" i="36"/>
  <c r="AP358" i="36"/>
  <c r="AO358" i="36"/>
  <c r="AN358" i="36"/>
  <c r="AM358" i="36"/>
  <c r="AL358" i="36"/>
  <c r="AJ358" i="36"/>
  <c r="AI358" i="36"/>
  <c r="AH358" i="36"/>
  <c r="AG358" i="36"/>
  <c r="AA358" i="36"/>
  <c r="X358" i="36"/>
  <c r="W358" i="36"/>
  <c r="AQ357" i="36"/>
  <c r="AU357" i="36" s="1"/>
  <c r="AP357" i="36"/>
  <c r="AO357" i="36"/>
  <c r="AN357" i="36"/>
  <c r="AM357" i="36"/>
  <c r="AL357" i="36"/>
  <c r="AJ357" i="36"/>
  <c r="AI357" i="36"/>
  <c r="AH357" i="36"/>
  <c r="AG357" i="36"/>
  <c r="AA357" i="36"/>
  <c r="X357" i="36"/>
  <c r="Z357" i="36" s="1"/>
  <c r="W357" i="36"/>
  <c r="AQ356" i="36"/>
  <c r="AR356" i="36" s="1"/>
  <c r="AP356" i="36"/>
  <c r="AO356" i="36"/>
  <c r="AN356" i="36"/>
  <c r="AM356" i="36"/>
  <c r="AL356" i="36"/>
  <c r="AJ356" i="36"/>
  <c r="AI356" i="36"/>
  <c r="AH356" i="36"/>
  <c r="AG356" i="36"/>
  <c r="AA356" i="36"/>
  <c r="X356" i="36"/>
  <c r="Y356" i="36" s="1"/>
  <c r="W356" i="36"/>
  <c r="AQ355" i="36"/>
  <c r="AS355" i="36" s="1"/>
  <c r="AP355" i="36"/>
  <c r="AO355" i="36"/>
  <c r="AN355" i="36"/>
  <c r="AM355" i="36"/>
  <c r="AL355" i="36"/>
  <c r="AJ355" i="36"/>
  <c r="AI355" i="36"/>
  <c r="AH355" i="36"/>
  <c r="AG355" i="36"/>
  <c r="AA355" i="36"/>
  <c r="X355" i="36"/>
  <c r="Z355" i="36" s="1"/>
  <c r="W355" i="36"/>
  <c r="AQ354" i="36"/>
  <c r="AP354" i="36"/>
  <c r="AO354" i="36"/>
  <c r="AN354" i="36"/>
  <c r="AM354" i="36"/>
  <c r="AL354" i="36"/>
  <c r="AJ354" i="36"/>
  <c r="AI354" i="36"/>
  <c r="AH354" i="36"/>
  <c r="AG354" i="36"/>
  <c r="AA354" i="36"/>
  <c r="X354" i="36"/>
  <c r="Z354" i="36" s="1"/>
  <c r="W354" i="36"/>
  <c r="AQ353" i="36"/>
  <c r="AS353" i="36" s="1"/>
  <c r="AP353" i="36"/>
  <c r="AO353" i="36"/>
  <c r="AN353" i="36"/>
  <c r="AM353" i="36"/>
  <c r="AL353" i="36"/>
  <c r="AJ353" i="36"/>
  <c r="AI353" i="36"/>
  <c r="AH353" i="36"/>
  <c r="AG353" i="36"/>
  <c r="AA353" i="36"/>
  <c r="X353" i="36"/>
  <c r="W353" i="36"/>
  <c r="AQ352" i="36"/>
  <c r="AU352" i="36" s="1"/>
  <c r="AP352" i="36"/>
  <c r="AO352" i="36"/>
  <c r="AN352" i="36"/>
  <c r="AM352" i="36"/>
  <c r="AL352" i="36"/>
  <c r="AJ352" i="36"/>
  <c r="AI352" i="36"/>
  <c r="AH352" i="36"/>
  <c r="AG352" i="36"/>
  <c r="AA352" i="36"/>
  <c r="X352" i="36"/>
  <c r="Z352" i="36" s="1"/>
  <c r="W352" i="36"/>
  <c r="AQ351" i="36"/>
  <c r="AT351" i="36" s="1"/>
  <c r="AP351" i="36"/>
  <c r="AO351" i="36"/>
  <c r="AN351" i="36"/>
  <c r="AM351" i="36"/>
  <c r="AL351" i="36"/>
  <c r="AJ351" i="36"/>
  <c r="AI351" i="36"/>
  <c r="AH351" i="36"/>
  <c r="AG351" i="36"/>
  <c r="AA351" i="36"/>
  <c r="X351" i="36"/>
  <c r="Y351" i="36" s="1"/>
  <c r="W351" i="36"/>
  <c r="AQ350" i="36"/>
  <c r="AT350" i="36" s="1"/>
  <c r="AP350" i="36"/>
  <c r="AO350" i="36"/>
  <c r="AN350" i="36"/>
  <c r="AM350" i="36"/>
  <c r="AL350" i="36"/>
  <c r="AJ350" i="36"/>
  <c r="AI350" i="36"/>
  <c r="AH350" i="36"/>
  <c r="AG350" i="36"/>
  <c r="AA350" i="36"/>
  <c r="X350" i="36"/>
  <c r="Z350" i="36" s="1"/>
  <c r="W350" i="36"/>
  <c r="AQ349" i="36"/>
  <c r="AU349" i="36" s="1"/>
  <c r="AP349" i="36"/>
  <c r="AO349" i="36"/>
  <c r="AN349" i="36"/>
  <c r="AM349" i="36"/>
  <c r="AL349" i="36"/>
  <c r="AJ349" i="36"/>
  <c r="AI349" i="36"/>
  <c r="AH349" i="36"/>
  <c r="AG349" i="36"/>
  <c r="AA349" i="36"/>
  <c r="X349" i="36"/>
  <c r="W349" i="36"/>
  <c r="AQ348" i="36"/>
  <c r="AU348" i="36" s="1"/>
  <c r="AP348" i="36"/>
  <c r="AO348" i="36"/>
  <c r="AN348" i="36"/>
  <c r="AM348" i="36"/>
  <c r="AL348" i="36"/>
  <c r="AJ348" i="36"/>
  <c r="AI348" i="36"/>
  <c r="AH348" i="36"/>
  <c r="AG348" i="36"/>
  <c r="AA348" i="36"/>
  <c r="X348" i="36"/>
  <c r="Y348" i="36" s="1"/>
  <c r="W348" i="36"/>
  <c r="AQ347" i="36"/>
  <c r="AT347" i="36" s="1"/>
  <c r="AP347" i="36"/>
  <c r="AO347" i="36"/>
  <c r="AN347" i="36"/>
  <c r="AM347" i="36"/>
  <c r="AL347" i="36"/>
  <c r="AJ347" i="36"/>
  <c r="AI347" i="36"/>
  <c r="AH347" i="36"/>
  <c r="AG347" i="36"/>
  <c r="AA347" i="36"/>
  <c r="X347" i="36"/>
  <c r="Y347" i="36" s="1"/>
  <c r="W347" i="36"/>
  <c r="AQ346" i="36"/>
  <c r="AP346" i="36"/>
  <c r="AO346" i="36"/>
  <c r="AN346" i="36"/>
  <c r="AM346" i="36"/>
  <c r="AL346" i="36"/>
  <c r="AJ346" i="36"/>
  <c r="AI346" i="36"/>
  <c r="AH346" i="36"/>
  <c r="AG346" i="36"/>
  <c r="AA346" i="36"/>
  <c r="X346" i="36"/>
  <c r="Z346" i="36" s="1"/>
  <c r="W346" i="36"/>
  <c r="AQ345" i="36"/>
  <c r="AU345" i="36" s="1"/>
  <c r="AP345" i="36"/>
  <c r="AO345" i="36"/>
  <c r="AN345" i="36"/>
  <c r="AM345" i="36"/>
  <c r="AL345" i="36"/>
  <c r="AJ345" i="36"/>
  <c r="AI345" i="36"/>
  <c r="AH345" i="36"/>
  <c r="AG345" i="36"/>
  <c r="AA345" i="36"/>
  <c r="X345" i="36"/>
  <c r="W345" i="36"/>
  <c r="AQ344" i="36"/>
  <c r="AU344" i="36" s="1"/>
  <c r="AP344" i="36"/>
  <c r="AO344" i="36"/>
  <c r="AN344" i="36"/>
  <c r="AM344" i="36"/>
  <c r="AL344" i="36"/>
  <c r="AJ344" i="36"/>
  <c r="AI344" i="36"/>
  <c r="AH344" i="36"/>
  <c r="AG344" i="36"/>
  <c r="AA344" i="36"/>
  <c r="X344" i="36"/>
  <c r="Z344" i="36" s="1"/>
  <c r="W344" i="36"/>
  <c r="AQ343" i="36"/>
  <c r="AU343" i="36" s="1"/>
  <c r="AP343" i="36"/>
  <c r="AO343" i="36"/>
  <c r="AN343" i="36"/>
  <c r="AM343" i="36"/>
  <c r="AL343" i="36"/>
  <c r="AJ343" i="36"/>
  <c r="AI343" i="36"/>
  <c r="AH343" i="36"/>
  <c r="AG343" i="36"/>
  <c r="AA343" i="36"/>
  <c r="X343" i="36"/>
  <c r="Y343" i="36" s="1"/>
  <c r="W343" i="36"/>
  <c r="AQ342" i="36"/>
  <c r="AP342" i="36"/>
  <c r="AO342" i="36"/>
  <c r="AN342" i="36"/>
  <c r="AM342" i="36"/>
  <c r="AL342" i="36"/>
  <c r="AJ342" i="36"/>
  <c r="AI342" i="36"/>
  <c r="AH342" i="36"/>
  <c r="AG342" i="36"/>
  <c r="AA342" i="36"/>
  <c r="X342" i="36"/>
  <c r="Z342" i="36" s="1"/>
  <c r="W342" i="36"/>
  <c r="AQ341" i="36"/>
  <c r="AP341" i="36"/>
  <c r="AO341" i="36"/>
  <c r="AN341" i="36"/>
  <c r="AM341" i="36"/>
  <c r="AL341" i="36"/>
  <c r="AJ341" i="36"/>
  <c r="AI341" i="36"/>
  <c r="AH341" i="36"/>
  <c r="AG341" i="36"/>
  <c r="AA341" i="36"/>
  <c r="X341" i="36"/>
  <c r="W341" i="36"/>
  <c r="AQ340" i="36"/>
  <c r="AP340" i="36"/>
  <c r="AO340" i="36"/>
  <c r="AN340" i="36"/>
  <c r="AM340" i="36"/>
  <c r="AL340" i="36"/>
  <c r="AJ340" i="36"/>
  <c r="AI340" i="36"/>
  <c r="AH340" i="36"/>
  <c r="AG340" i="36"/>
  <c r="AA340" i="36"/>
  <c r="X340" i="36"/>
  <c r="W340" i="36"/>
  <c r="AQ339" i="36"/>
  <c r="AU339" i="36" s="1"/>
  <c r="AP339" i="36"/>
  <c r="AO339" i="36"/>
  <c r="AN339" i="36"/>
  <c r="AM339" i="36"/>
  <c r="AL339" i="36"/>
  <c r="AJ339" i="36"/>
  <c r="AI339" i="36"/>
  <c r="AH339" i="36"/>
  <c r="AG339" i="36"/>
  <c r="AA339" i="36"/>
  <c r="X339" i="36"/>
  <c r="Y339" i="36" s="1"/>
  <c r="W339" i="36"/>
  <c r="AQ338" i="36"/>
  <c r="AP338" i="36"/>
  <c r="AO338" i="36"/>
  <c r="AN338" i="36"/>
  <c r="AM338" i="36"/>
  <c r="AL338" i="36"/>
  <c r="AJ338" i="36"/>
  <c r="AI338" i="36"/>
  <c r="AH338" i="36"/>
  <c r="AG338" i="36"/>
  <c r="AA338" i="36"/>
  <c r="X338" i="36"/>
  <c r="Z338" i="36" s="1"/>
  <c r="W338" i="36"/>
  <c r="AQ337" i="36"/>
  <c r="AS337" i="36" s="1"/>
  <c r="AP337" i="36"/>
  <c r="AO337" i="36"/>
  <c r="AN337" i="36"/>
  <c r="AM337" i="36"/>
  <c r="AL337" i="36"/>
  <c r="AJ337" i="36"/>
  <c r="AI337" i="36"/>
  <c r="AH337" i="36"/>
  <c r="AG337" i="36"/>
  <c r="AA337" i="36"/>
  <c r="X337" i="36"/>
  <c r="W337" i="36"/>
  <c r="AQ336" i="36"/>
  <c r="AR336" i="36" s="1"/>
  <c r="AP336" i="36"/>
  <c r="AO336" i="36"/>
  <c r="AN336" i="36"/>
  <c r="AM336" i="36"/>
  <c r="AL336" i="36"/>
  <c r="AJ336" i="36"/>
  <c r="AI336" i="36"/>
  <c r="AH336" i="36"/>
  <c r="AG336" i="36"/>
  <c r="AA336" i="36"/>
  <c r="X336" i="36"/>
  <c r="W336" i="36"/>
  <c r="AQ335" i="36"/>
  <c r="AT335" i="36" s="1"/>
  <c r="AP335" i="36"/>
  <c r="AO335" i="36"/>
  <c r="AN335" i="36"/>
  <c r="AM335" i="36"/>
  <c r="AL335" i="36"/>
  <c r="AJ335" i="36"/>
  <c r="AI335" i="36"/>
  <c r="AH335" i="36"/>
  <c r="AG335" i="36"/>
  <c r="AA335" i="36"/>
  <c r="X335" i="36"/>
  <c r="Y335" i="36" s="1"/>
  <c r="W335" i="36"/>
  <c r="AQ334" i="36"/>
  <c r="AU334" i="36" s="1"/>
  <c r="AP334" i="36"/>
  <c r="AO334" i="36"/>
  <c r="AN334" i="36"/>
  <c r="AM334" i="36"/>
  <c r="AL334" i="36"/>
  <c r="AJ334" i="36"/>
  <c r="AI334" i="36"/>
  <c r="AH334" i="36"/>
  <c r="AG334" i="36"/>
  <c r="AA334" i="36"/>
  <c r="X334" i="36"/>
  <c r="Z334" i="36" s="1"/>
  <c r="W334" i="36"/>
  <c r="AQ333" i="36"/>
  <c r="AP333" i="36"/>
  <c r="AO333" i="36"/>
  <c r="AN333" i="36"/>
  <c r="AM333" i="36"/>
  <c r="AL333" i="36"/>
  <c r="AJ333" i="36"/>
  <c r="AI333" i="36"/>
  <c r="AH333" i="36"/>
  <c r="AG333" i="36"/>
  <c r="AA333" i="36"/>
  <c r="X333" i="36"/>
  <c r="Y333" i="36" s="1"/>
  <c r="W333" i="36"/>
  <c r="AQ332" i="36"/>
  <c r="AR332" i="36" s="1"/>
  <c r="AP332" i="36"/>
  <c r="AO332" i="36"/>
  <c r="AN332" i="36"/>
  <c r="AM332" i="36"/>
  <c r="AL332" i="36"/>
  <c r="AJ332" i="36"/>
  <c r="AI332" i="36"/>
  <c r="AH332" i="36"/>
  <c r="AG332" i="36"/>
  <c r="AA332" i="36"/>
  <c r="X332" i="36"/>
  <c r="W332" i="36"/>
  <c r="AQ331" i="36"/>
  <c r="AT331" i="36" s="1"/>
  <c r="AP331" i="36"/>
  <c r="AO331" i="36"/>
  <c r="AN331" i="36"/>
  <c r="AM331" i="36"/>
  <c r="AL331" i="36"/>
  <c r="AJ331" i="36"/>
  <c r="AI331" i="36"/>
  <c r="AH331" i="36"/>
  <c r="AG331" i="36"/>
  <c r="AA331" i="36"/>
  <c r="X331" i="36"/>
  <c r="Z331" i="36" s="1"/>
  <c r="W331" i="36"/>
  <c r="AQ330" i="36"/>
  <c r="AU330" i="36" s="1"/>
  <c r="AP330" i="36"/>
  <c r="AO330" i="36"/>
  <c r="AN330" i="36"/>
  <c r="AM330" i="36"/>
  <c r="AL330" i="36"/>
  <c r="AJ330" i="36"/>
  <c r="AI330" i="36"/>
  <c r="AH330" i="36"/>
  <c r="AG330" i="36"/>
  <c r="AA330" i="36"/>
  <c r="X330" i="36"/>
  <c r="Z330" i="36" s="1"/>
  <c r="W330" i="36"/>
  <c r="AQ329" i="36"/>
  <c r="AP329" i="36"/>
  <c r="AO329" i="36"/>
  <c r="AN329" i="36"/>
  <c r="AM329" i="36"/>
  <c r="AL329" i="36"/>
  <c r="AJ329" i="36"/>
  <c r="AI329" i="36"/>
  <c r="AH329" i="36"/>
  <c r="AG329" i="36"/>
  <c r="AA329" i="36"/>
  <c r="X329" i="36"/>
  <c r="Z329" i="36" s="1"/>
  <c r="W329" i="36"/>
  <c r="AQ328" i="36"/>
  <c r="AR328" i="36" s="1"/>
  <c r="AP328" i="36"/>
  <c r="AO328" i="36"/>
  <c r="AN328" i="36"/>
  <c r="AM328" i="36"/>
  <c r="AL328" i="36"/>
  <c r="AJ328" i="36"/>
  <c r="AI328" i="36"/>
  <c r="AH328" i="36"/>
  <c r="AG328" i="36"/>
  <c r="AA328" i="36"/>
  <c r="X328" i="36"/>
  <c r="W328" i="36"/>
  <c r="AQ327" i="36"/>
  <c r="AP327" i="36"/>
  <c r="AO327" i="36"/>
  <c r="AN327" i="36"/>
  <c r="AM327" i="36"/>
  <c r="AL327" i="36"/>
  <c r="AJ327" i="36"/>
  <c r="AI327" i="36"/>
  <c r="AH327" i="36"/>
  <c r="AG327" i="36"/>
  <c r="AA327" i="36"/>
  <c r="X327" i="36"/>
  <c r="Y327" i="36" s="1"/>
  <c r="W327" i="36"/>
  <c r="AQ326" i="36"/>
  <c r="AP326" i="36"/>
  <c r="AO326" i="36"/>
  <c r="AN326" i="36"/>
  <c r="AM326" i="36"/>
  <c r="AL326" i="36"/>
  <c r="AJ326" i="36"/>
  <c r="AI326" i="36"/>
  <c r="AH326" i="36"/>
  <c r="AG326" i="36"/>
  <c r="AA326" i="36"/>
  <c r="X326" i="36"/>
  <c r="Z326" i="36" s="1"/>
  <c r="W326" i="36"/>
  <c r="AQ325" i="36"/>
  <c r="AP325" i="36"/>
  <c r="AO325" i="36"/>
  <c r="AN325" i="36"/>
  <c r="AM325" i="36"/>
  <c r="AL325" i="36"/>
  <c r="AJ325" i="36"/>
  <c r="AI325" i="36"/>
  <c r="AH325" i="36"/>
  <c r="AG325" i="36"/>
  <c r="AA325" i="36"/>
  <c r="X325" i="36"/>
  <c r="Z325" i="36" s="1"/>
  <c r="W325" i="36"/>
  <c r="V325" i="36"/>
  <c r="AQ324" i="36"/>
  <c r="AT324" i="36" s="1"/>
  <c r="AP324" i="36"/>
  <c r="AH324" i="36" s="1"/>
  <c r="AO324" i="36"/>
  <c r="AN324" i="36"/>
  <c r="AG324" i="36" s="1"/>
  <c r="AA324" i="36"/>
  <c r="AQ322" i="36"/>
  <c r="AU322" i="36" s="1"/>
  <c r="AP322" i="36"/>
  <c r="AO322" i="36"/>
  <c r="AN322" i="36"/>
  <c r="AM322" i="36"/>
  <c r="AL322" i="36"/>
  <c r="AJ322" i="36"/>
  <c r="AI322" i="36"/>
  <c r="AH322" i="36"/>
  <c r="AG322" i="36"/>
  <c r="AA322" i="36"/>
  <c r="X322" i="36"/>
  <c r="Y322" i="36" s="1"/>
  <c r="W322" i="36"/>
  <c r="AQ321" i="36"/>
  <c r="AP321" i="36"/>
  <c r="AO321" i="36"/>
  <c r="AN321" i="36"/>
  <c r="AM321" i="36"/>
  <c r="AL321" i="36"/>
  <c r="AJ321" i="36"/>
  <c r="AI321" i="36"/>
  <c r="AH321" i="36"/>
  <c r="AG321" i="36"/>
  <c r="AA321" i="36"/>
  <c r="X321" i="36"/>
  <c r="W321" i="36"/>
  <c r="AQ320" i="36"/>
  <c r="AP320" i="36"/>
  <c r="AO320" i="36"/>
  <c r="AN320" i="36"/>
  <c r="AM320" i="36"/>
  <c r="AL320" i="36"/>
  <c r="AJ320" i="36"/>
  <c r="AI320" i="36"/>
  <c r="AH320" i="36"/>
  <c r="AG320" i="36"/>
  <c r="AA320" i="36"/>
  <c r="X320" i="36"/>
  <c r="Z320" i="36" s="1"/>
  <c r="W320" i="36"/>
  <c r="AQ319" i="36"/>
  <c r="AS319" i="36" s="1"/>
  <c r="AP319" i="36"/>
  <c r="AO319" i="36"/>
  <c r="AN319" i="36"/>
  <c r="AM319" i="36"/>
  <c r="AL319" i="36"/>
  <c r="AJ319" i="36"/>
  <c r="AI319" i="36"/>
  <c r="AH319" i="36"/>
  <c r="AG319" i="36"/>
  <c r="AA319" i="36"/>
  <c r="X319" i="36"/>
  <c r="Z319" i="36" s="1"/>
  <c r="W319" i="36"/>
  <c r="AQ318" i="36"/>
  <c r="AU318" i="36" s="1"/>
  <c r="AP318" i="36"/>
  <c r="AO318" i="36"/>
  <c r="AN318" i="36"/>
  <c r="AM318" i="36"/>
  <c r="AL318" i="36"/>
  <c r="AJ318" i="36"/>
  <c r="AI318" i="36"/>
  <c r="AH318" i="36"/>
  <c r="AG318" i="36"/>
  <c r="AA318" i="36"/>
  <c r="X318" i="36"/>
  <c r="W318" i="36"/>
  <c r="AQ317" i="36"/>
  <c r="AP317" i="36"/>
  <c r="AO317" i="36"/>
  <c r="AN317" i="36"/>
  <c r="AM317" i="36"/>
  <c r="AL317" i="36"/>
  <c r="AJ317" i="36"/>
  <c r="AI317" i="36"/>
  <c r="AH317" i="36"/>
  <c r="AG317" i="36"/>
  <c r="AA317" i="36"/>
  <c r="X317" i="36"/>
  <c r="W317" i="36"/>
  <c r="AQ316" i="36"/>
  <c r="AT316" i="36" s="1"/>
  <c r="AP316" i="36"/>
  <c r="AO316" i="36"/>
  <c r="AN316" i="36"/>
  <c r="AM316" i="36"/>
  <c r="AL316" i="36"/>
  <c r="AJ316" i="36"/>
  <c r="AI316" i="36"/>
  <c r="AH316" i="36"/>
  <c r="AG316" i="36"/>
  <c r="AA316" i="36"/>
  <c r="X316" i="36"/>
  <c r="W316" i="36"/>
  <c r="AQ315" i="36"/>
  <c r="AS315" i="36" s="1"/>
  <c r="AP315" i="36"/>
  <c r="AO315" i="36"/>
  <c r="AN315" i="36"/>
  <c r="AM315" i="36"/>
  <c r="AL315" i="36"/>
  <c r="AJ315" i="36"/>
  <c r="AI315" i="36"/>
  <c r="AH315" i="36"/>
  <c r="AG315" i="36"/>
  <c r="AA315" i="36"/>
  <c r="X315" i="36"/>
  <c r="W315" i="36"/>
  <c r="AQ314" i="36"/>
  <c r="AT314" i="36" s="1"/>
  <c r="AP314" i="36"/>
  <c r="AO314" i="36"/>
  <c r="AN314" i="36"/>
  <c r="AM314" i="36"/>
  <c r="AL314" i="36"/>
  <c r="AJ314" i="36"/>
  <c r="AI314" i="36"/>
  <c r="AH314" i="36"/>
  <c r="AG314" i="36"/>
  <c r="AA314" i="36"/>
  <c r="X314" i="36"/>
  <c r="W314" i="36"/>
  <c r="AQ313" i="36"/>
  <c r="AP313" i="36"/>
  <c r="AO313" i="36"/>
  <c r="AN313" i="36"/>
  <c r="AM313" i="36"/>
  <c r="AL313" i="36"/>
  <c r="AJ313" i="36"/>
  <c r="AI313" i="36"/>
  <c r="AH313" i="36"/>
  <c r="AG313" i="36"/>
  <c r="AA313" i="36"/>
  <c r="X313" i="36"/>
  <c r="W313" i="36"/>
  <c r="AQ312" i="36"/>
  <c r="AR312" i="36" s="1"/>
  <c r="AP312" i="36"/>
  <c r="AO312" i="36"/>
  <c r="AN312" i="36"/>
  <c r="AM312" i="36"/>
  <c r="AL312" i="36"/>
  <c r="AJ312" i="36"/>
  <c r="AI312" i="36"/>
  <c r="AH312" i="36"/>
  <c r="AG312" i="36"/>
  <c r="AA312" i="36"/>
  <c r="X312" i="36"/>
  <c r="Z312" i="36" s="1"/>
  <c r="W312" i="36"/>
  <c r="AQ311" i="36"/>
  <c r="AR311" i="36" s="1"/>
  <c r="AP311" i="36"/>
  <c r="AO311" i="36"/>
  <c r="AN311" i="36"/>
  <c r="AM311" i="36"/>
  <c r="AL311" i="36"/>
  <c r="AJ311" i="36"/>
  <c r="AI311" i="36"/>
  <c r="AH311" i="36"/>
  <c r="AG311" i="36"/>
  <c r="AA311" i="36"/>
  <c r="X311" i="36"/>
  <c r="Y311" i="36" s="1"/>
  <c r="W311" i="36"/>
  <c r="AQ310" i="36"/>
  <c r="AP310" i="36"/>
  <c r="AO310" i="36"/>
  <c r="AN310" i="36"/>
  <c r="AM310" i="36"/>
  <c r="AL310" i="36"/>
  <c r="AJ310" i="36"/>
  <c r="AI310" i="36"/>
  <c r="AH310" i="36"/>
  <c r="AG310" i="36"/>
  <c r="AA310" i="36"/>
  <c r="X310" i="36"/>
  <c r="W310" i="36"/>
  <c r="AQ309" i="36"/>
  <c r="AS309" i="36" s="1"/>
  <c r="AP309" i="36"/>
  <c r="AO309" i="36"/>
  <c r="AN309" i="36"/>
  <c r="AM309" i="36"/>
  <c r="AL309" i="36"/>
  <c r="AJ309" i="36"/>
  <c r="AI309" i="36"/>
  <c r="AH309" i="36"/>
  <c r="AG309" i="36"/>
  <c r="AA309" i="36"/>
  <c r="X309" i="36"/>
  <c r="W309" i="36"/>
  <c r="AQ308" i="36"/>
  <c r="AP308" i="36"/>
  <c r="AO308" i="36"/>
  <c r="AN308" i="36"/>
  <c r="AM308" i="36"/>
  <c r="AL308" i="36"/>
  <c r="AJ308" i="36"/>
  <c r="AI308" i="36"/>
  <c r="AH308" i="36"/>
  <c r="AG308" i="36"/>
  <c r="AA308" i="36"/>
  <c r="X308" i="36"/>
  <c r="Y308" i="36" s="1"/>
  <c r="W308" i="36"/>
  <c r="AQ307" i="36"/>
  <c r="AU307" i="36" s="1"/>
  <c r="AP307" i="36"/>
  <c r="AO307" i="36"/>
  <c r="AN307" i="36"/>
  <c r="AM307" i="36"/>
  <c r="AL307" i="36"/>
  <c r="AJ307" i="36"/>
  <c r="AI307" i="36"/>
  <c r="AH307" i="36"/>
  <c r="AG307" i="36"/>
  <c r="AA307" i="36"/>
  <c r="X307" i="36"/>
  <c r="Z307" i="36" s="1"/>
  <c r="W307" i="36"/>
  <c r="AQ306" i="36"/>
  <c r="AT306" i="36" s="1"/>
  <c r="AP306" i="36"/>
  <c r="AO306" i="36"/>
  <c r="AN306" i="36"/>
  <c r="AM306" i="36"/>
  <c r="AL306" i="36"/>
  <c r="AJ306" i="36"/>
  <c r="AI306" i="36"/>
  <c r="AH306" i="36"/>
  <c r="AG306" i="36"/>
  <c r="AA306" i="36"/>
  <c r="X306" i="36"/>
  <c r="W306" i="36"/>
  <c r="AQ305" i="36"/>
  <c r="AS305" i="36" s="1"/>
  <c r="AP305" i="36"/>
  <c r="AO305" i="36"/>
  <c r="AN305" i="36"/>
  <c r="AM305" i="36"/>
  <c r="AL305" i="36"/>
  <c r="AJ305" i="36"/>
  <c r="AI305" i="36"/>
  <c r="AH305" i="36"/>
  <c r="AG305" i="36"/>
  <c r="AA305" i="36"/>
  <c r="X305" i="36"/>
  <c r="W305" i="36"/>
  <c r="AQ304" i="36"/>
  <c r="AP304" i="36"/>
  <c r="AO304" i="36"/>
  <c r="AN304" i="36"/>
  <c r="AM304" i="36"/>
  <c r="AL304" i="36"/>
  <c r="AJ304" i="36"/>
  <c r="AI304" i="36"/>
  <c r="AH304" i="36"/>
  <c r="AG304" i="36"/>
  <c r="AA304" i="36"/>
  <c r="X304" i="36"/>
  <c r="Z304" i="36" s="1"/>
  <c r="W304" i="36"/>
  <c r="AQ303" i="36"/>
  <c r="AR303" i="36" s="1"/>
  <c r="AP303" i="36"/>
  <c r="AO303" i="36"/>
  <c r="AN303" i="36"/>
  <c r="AM303" i="36"/>
  <c r="AL303" i="36"/>
  <c r="AJ303" i="36"/>
  <c r="AI303" i="36"/>
  <c r="AH303" i="36"/>
  <c r="AG303" i="36"/>
  <c r="AA303" i="36"/>
  <c r="X303" i="36"/>
  <c r="W303" i="36"/>
  <c r="AQ302" i="36"/>
  <c r="AP302" i="36"/>
  <c r="AO302" i="36"/>
  <c r="AN302" i="36"/>
  <c r="AM302" i="36"/>
  <c r="AL302" i="36"/>
  <c r="AJ302" i="36"/>
  <c r="AI302" i="36"/>
  <c r="AH302" i="36"/>
  <c r="AG302" i="36"/>
  <c r="AA302" i="36"/>
  <c r="X302" i="36"/>
  <c r="Z302" i="36" s="1"/>
  <c r="W302" i="36"/>
  <c r="AQ301" i="36"/>
  <c r="AP301" i="36"/>
  <c r="AO301" i="36"/>
  <c r="AN301" i="36"/>
  <c r="AM301" i="36"/>
  <c r="AL301" i="36"/>
  <c r="AJ301" i="36"/>
  <c r="AI301" i="36"/>
  <c r="AH301" i="36"/>
  <c r="AG301" i="36"/>
  <c r="AA301" i="36"/>
  <c r="X301" i="36"/>
  <c r="W301" i="36"/>
  <c r="AQ300" i="36"/>
  <c r="AR300" i="36" s="1"/>
  <c r="AP300" i="36"/>
  <c r="AO300" i="36"/>
  <c r="AN300" i="36"/>
  <c r="AM300" i="36"/>
  <c r="AL300" i="36"/>
  <c r="AJ300" i="36"/>
  <c r="AI300" i="36"/>
  <c r="AH300" i="36"/>
  <c r="AG300" i="36"/>
  <c r="AA300" i="36"/>
  <c r="X300" i="36"/>
  <c r="W300" i="36"/>
  <c r="AQ299" i="36"/>
  <c r="AT299" i="36" s="1"/>
  <c r="AP299" i="36"/>
  <c r="AO299" i="36"/>
  <c r="AN299" i="36"/>
  <c r="AM299" i="36"/>
  <c r="AL299" i="36"/>
  <c r="AJ299" i="36"/>
  <c r="AI299" i="36"/>
  <c r="AH299" i="36"/>
  <c r="AG299" i="36"/>
  <c r="AA299" i="36"/>
  <c r="X299" i="36"/>
  <c r="Z299" i="36" s="1"/>
  <c r="W299" i="36"/>
  <c r="AQ298" i="36"/>
  <c r="AT298" i="36" s="1"/>
  <c r="AP298" i="36"/>
  <c r="AO298" i="36"/>
  <c r="AN298" i="36"/>
  <c r="AM298" i="36"/>
  <c r="AL298" i="36"/>
  <c r="AJ298" i="36"/>
  <c r="AI298" i="36"/>
  <c r="AH298" i="36"/>
  <c r="AG298" i="36"/>
  <c r="AA298" i="36"/>
  <c r="X298" i="36"/>
  <c r="W298" i="36"/>
  <c r="AQ297" i="36"/>
  <c r="AS297" i="36" s="1"/>
  <c r="AP297" i="36"/>
  <c r="AO297" i="36"/>
  <c r="AN297" i="36"/>
  <c r="AM297" i="36"/>
  <c r="AL297" i="36"/>
  <c r="AJ297" i="36"/>
  <c r="AI297" i="36"/>
  <c r="AH297" i="36"/>
  <c r="AG297" i="36"/>
  <c r="AA297" i="36"/>
  <c r="X297" i="36"/>
  <c r="W297" i="36"/>
  <c r="AQ296" i="36"/>
  <c r="AU296" i="36" s="1"/>
  <c r="AP296" i="36"/>
  <c r="AO296" i="36"/>
  <c r="AN296" i="36"/>
  <c r="AM296" i="36"/>
  <c r="AL296" i="36"/>
  <c r="AJ296" i="36"/>
  <c r="AI296" i="36"/>
  <c r="AH296" i="36"/>
  <c r="AG296" i="36"/>
  <c r="AA296" i="36"/>
  <c r="X296" i="36"/>
  <c r="Y296" i="36" s="1"/>
  <c r="W296" i="36"/>
  <c r="AQ295" i="36"/>
  <c r="AP295" i="36"/>
  <c r="AO295" i="36"/>
  <c r="AN295" i="36"/>
  <c r="AM295" i="36"/>
  <c r="AL295" i="36"/>
  <c r="AJ295" i="36"/>
  <c r="AI295" i="36"/>
  <c r="AH295" i="36"/>
  <c r="AG295" i="36"/>
  <c r="AA295" i="36"/>
  <c r="X295" i="36"/>
  <c r="Z295" i="36" s="1"/>
  <c r="W295" i="36"/>
  <c r="AQ294" i="36"/>
  <c r="AU294" i="36" s="1"/>
  <c r="AP294" i="36"/>
  <c r="AO294" i="36"/>
  <c r="AN294" i="36"/>
  <c r="AM294" i="36"/>
  <c r="AL294" i="36"/>
  <c r="AJ294" i="36"/>
  <c r="AI294" i="36"/>
  <c r="AH294" i="36"/>
  <c r="AG294" i="36"/>
  <c r="AA294" i="36"/>
  <c r="X294" i="36"/>
  <c r="Z294" i="36" s="1"/>
  <c r="W294" i="36"/>
  <c r="AQ293" i="36"/>
  <c r="AP293" i="36"/>
  <c r="AO293" i="36"/>
  <c r="AN293" i="36"/>
  <c r="AM293" i="36"/>
  <c r="AL293" i="36"/>
  <c r="AJ293" i="36"/>
  <c r="AI293" i="36"/>
  <c r="AH293" i="36"/>
  <c r="AG293" i="36"/>
  <c r="AA293" i="36"/>
  <c r="X293" i="36"/>
  <c r="W293" i="36"/>
  <c r="AQ292" i="36"/>
  <c r="AR292" i="36" s="1"/>
  <c r="AP292" i="36"/>
  <c r="AO292" i="36"/>
  <c r="AN292" i="36"/>
  <c r="AM292" i="36"/>
  <c r="AL292" i="36"/>
  <c r="AJ292" i="36"/>
  <c r="AI292" i="36"/>
  <c r="AH292" i="36"/>
  <c r="AG292" i="36"/>
  <c r="AA292" i="36"/>
  <c r="X292" i="36"/>
  <c r="W292" i="36"/>
  <c r="AQ291" i="36"/>
  <c r="AP291" i="36"/>
  <c r="AO291" i="36"/>
  <c r="AN291" i="36"/>
  <c r="AM291" i="36"/>
  <c r="AL291" i="36"/>
  <c r="AJ291" i="36"/>
  <c r="AI291" i="36"/>
  <c r="AH291" i="36"/>
  <c r="AG291" i="36"/>
  <c r="AA291" i="36"/>
  <c r="X291" i="36"/>
  <c r="Y291" i="36" s="1"/>
  <c r="W291" i="36"/>
  <c r="AQ290" i="36"/>
  <c r="AR290" i="36" s="1"/>
  <c r="AP290" i="36"/>
  <c r="AO290" i="36"/>
  <c r="AN290" i="36"/>
  <c r="AM290" i="36"/>
  <c r="AL290" i="36"/>
  <c r="AJ290" i="36"/>
  <c r="AI290" i="36"/>
  <c r="AH290" i="36"/>
  <c r="AG290" i="36"/>
  <c r="AA290" i="36"/>
  <c r="X290" i="36"/>
  <c r="W290" i="36"/>
  <c r="AQ289" i="36"/>
  <c r="AS289" i="36" s="1"/>
  <c r="AP289" i="36"/>
  <c r="AO289" i="36"/>
  <c r="AN289" i="36"/>
  <c r="AM289" i="36"/>
  <c r="AL289" i="36"/>
  <c r="AJ289" i="36"/>
  <c r="AI289" i="36"/>
  <c r="AH289" i="36"/>
  <c r="AG289" i="36"/>
  <c r="AA289" i="36"/>
  <c r="X289" i="36"/>
  <c r="W289" i="36"/>
  <c r="V289" i="36"/>
  <c r="AQ288" i="36"/>
  <c r="AR288" i="36" s="1"/>
  <c r="AP288" i="36"/>
  <c r="AH288" i="36" s="1"/>
  <c r="AL288" i="36" s="1"/>
  <c r="O12" i="36" s="1"/>
  <c r="AO288" i="36"/>
  <c r="AN288" i="36"/>
  <c r="AG288" i="36" s="1"/>
  <c r="AA288" i="36"/>
  <c r="AQ286" i="36"/>
  <c r="AP286" i="36"/>
  <c r="AO286" i="36"/>
  <c r="AN286" i="36"/>
  <c r="AG286" i="36" s="1"/>
  <c r="AH286" i="36"/>
  <c r="AA286" i="36"/>
  <c r="X286" i="36"/>
  <c r="Z286" i="36" s="1"/>
  <c r="W286" i="36"/>
  <c r="AQ285" i="36"/>
  <c r="AU285" i="36" s="1"/>
  <c r="AP285" i="36"/>
  <c r="AO285" i="36"/>
  <c r="AN285" i="36"/>
  <c r="AM285" i="36"/>
  <c r="AL285" i="36"/>
  <c r="AJ285" i="36"/>
  <c r="AI285" i="36"/>
  <c r="AH285" i="36"/>
  <c r="AG285" i="36"/>
  <c r="AA285" i="36"/>
  <c r="X285" i="36"/>
  <c r="Y285" i="36" s="1"/>
  <c r="W285" i="36"/>
  <c r="AQ284" i="36"/>
  <c r="AT284" i="36" s="1"/>
  <c r="AP284" i="36"/>
  <c r="AO284" i="36"/>
  <c r="AN284" i="36"/>
  <c r="AM284" i="36"/>
  <c r="AL284" i="36"/>
  <c r="AJ284" i="36"/>
  <c r="AI284" i="36"/>
  <c r="AH284" i="36"/>
  <c r="AG284" i="36"/>
  <c r="AA284" i="36"/>
  <c r="X284" i="36"/>
  <c r="Z284" i="36" s="1"/>
  <c r="W284" i="36"/>
  <c r="AQ283" i="36"/>
  <c r="AT283" i="36" s="1"/>
  <c r="AP283" i="36"/>
  <c r="AO283" i="36"/>
  <c r="AN283" i="36"/>
  <c r="AM283" i="36"/>
  <c r="AL283" i="36"/>
  <c r="AJ283" i="36"/>
  <c r="AI283" i="36"/>
  <c r="AH283" i="36"/>
  <c r="AG283" i="36"/>
  <c r="AA283" i="36"/>
  <c r="X283" i="36"/>
  <c r="Y283" i="36" s="1"/>
  <c r="W283" i="36"/>
  <c r="AQ282" i="36"/>
  <c r="AR282" i="36" s="1"/>
  <c r="AP282" i="36"/>
  <c r="AO282" i="36"/>
  <c r="AN282" i="36"/>
  <c r="AM282" i="36"/>
  <c r="AL282" i="36"/>
  <c r="AJ282" i="36"/>
  <c r="AI282" i="36"/>
  <c r="AH282" i="36"/>
  <c r="AG282" i="36"/>
  <c r="AA282" i="36"/>
  <c r="X282" i="36"/>
  <c r="Y282" i="36" s="1"/>
  <c r="W282" i="36"/>
  <c r="AQ281" i="36"/>
  <c r="AP281" i="36"/>
  <c r="AO281" i="36"/>
  <c r="AN281" i="36"/>
  <c r="AM281" i="36"/>
  <c r="AL281" i="36"/>
  <c r="AJ281" i="36"/>
  <c r="AI281" i="36"/>
  <c r="AH281" i="36"/>
  <c r="AG281" i="36"/>
  <c r="AA281" i="36"/>
  <c r="X281" i="36"/>
  <c r="Z281" i="36" s="1"/>
  <c r="W281" i="36"/>
  <c r="AQ280" i="36"/>
  <c r="AU280" i="36" s="1"/>
  <c r="AP280" i="36"/>
  <c r="AO280" i="36"/>
  <c r="AN280" i="36"/>
  <c r="AM280" i="36"/>
  <c r="AL280" i="36"/>
  <c r="AJ280" i="36"/>
  <c r="AI280" i="36"/>
  <c r="AH280" i="36"/>
  <c r="AG280" i="36"/>
  <c r="AA280" i="36"/>
  <c r="X280" i="36"/>
  <c r="Z280" i="36" s="1"/>
  <c r="W280" i="36"/>
  <c r="AQ279" i="36"/>
  <c r="AT279" i="36" s="1"/>
  <c r="AP279" i="36"/>
  <c r="AO279" i="36"/>
  <c r="AN279" i="36"/>
  <c r="AM279" i="36"/>
  <c r="AL279" i="36"/>
  <c r="AJ279" i="36"/>
  <c r="AI279" i="36"/>
  <c r="AH279" i="36"/>
  <c r="AG279" i="36"/>
  <c r="AA279" i="36"/>
  <c r="X279" i="36"/>
  <c r="Z279" i="36" s="1"/>
  <c r="W279" i="36"/>
  <c r="AQ278" i="36"/>
  <c r="AT278" i="36" s="1"/>
  <c r="AP278" i="36"/>
  <c r="AO278" i="36"/>
  <c r="AN278" i="36"/>
  <c r="AM278" i="36"/>
  <c r="AL278" i="36"/>
  <c r="AJ278" i="36"/>
  <c r="AI278" i="36"/>
  <c r="AH278" i="36"/>
  <c r="AG278" i="36"/>
  <c r="AA278" i="36"/>
  <c r="X278" i="36"/>
  <c r="Z278" i="36" s="1"/>
  <c r="W278" i="36"/>
  <c r="AQ277" i="36"/>
  <c r="AS277" i="36" s="1"/>
  <c r="AP277" i="36"/>
  <c r="AO277" i="36"/>
  <c r="AN277" i="36"/>
  <c r="AM277" i="36"/>
  <c r="AL277" i="36"/>
  <c r="AJ277" i="36"/>
  <c r="AI277" i="36"/>
  <c r="AH277" i="36"/>
  <c r="AG277" i="36"/>
  <c r="AA277" i="36"/>
  <c r="X277" i="36"/>
  <c r="Y277" i="36" s="1"/>
  <c r="W277" i="36"/>
  <c r="AQ276" i="36"/>
  <c r="AU276" i="36" s="1"/>
  <c r="AP276" i="36"/>
  <c r="AO276" i="36"/>
  <c r="AN276" i="36"/>
  <c r="AM276" i="36"/>
  <c r="AL276" i="36"/>
  <c r="AJ276" i="36"/>
  <c r="AI276" i="36"/>
  <c r="AH276" i="36"/>
  <c r="AG276" i="36"/>
  <c r="AA276" i="36"/>
  <c r="X276" i="36"/>
  <c r="W276" i="36"/>
  <c r="AQ275" i="36"/>
  <c r="AT275" i="36" s="1"/>
  <c r="AP275" i="36"/>
  <c r="AO275" i="36"/>
  <c r="AN275" i="36"/>
  <c r="AM275" i="36"/>
  <c r="AL275" i="36"/>
  <c r="AJ275" i="36"/>
  <c r="AI275" i="36"/>
  <c r="AH275" i="36"/>
  <c r="AG275" i="36"/>
  <c r="AA275" i="36"/>
  <c r="X275" i="36"/>
  <c r="Y275" i="36" s="1"/>
  <c r="W275" i="36"/>
  <c r="AQ274" i="36"/>
  <c r="AP274" i="36"/>
  <c r="AO274" i="36"/>
  <c r="AN274" i="36"/>
  <c r="AM274" i="36"/>
  <c r="AL274" i="36"/>
  <c r="AJ274" i="36"/>
  <c r="AI274" i="36"/>
  <c r="AH274" i="36"/>
  <c r="AG274" i="36"/>
  <c r="AA274" i="36"/>
  <c r="X274" i="36"/>
  <c r="W274" i="36"/>
  <c r="AQ273" i="36"/>
  <c r="AU273" i="36" s="1"/>
  <c r="AP273" i="36"/>
  <c r="AO273" i="36"/>
  <c r="AN273" i="36"/>
  <c r="AM273" i="36"/>
  <c r="AL273" i="36"/>
  <c r="AJ273" i="36"/>
  <c r="AI273" i="36"/>
  <c r="AH273" i="36"/>
  <c r="AG273" i="36"/>
  <c r="AA273" i="36"/>
  <c r="X273" i="36"/>
  <c r="W273" i="36"/>
  <c r="AQ272" i="36"/>
  <c r="AT272" i="36" s="1"/>
  <c r="AP272" i="36"/>
  <c r="AO272" i="36"/>
  <c r="AN272" i="36"/>
  <c r="AM272" i="36"/>
  <c r="AL272" i="36"/>
  <c r="AJ272" i="36"/>
  <c r="AI272" i="36"/>
  <c r="AH272" i="36"/>
  <c r="AG272" i="36"/>
  <c r="AA272" i="36"/>
  <c r="X272" i="36"/>
  <c r="Z272" i="36" s="1"/>
  <c r="W272" i="36"/>
  <c r="AQ271" i="36"/>
  <c r="AR271" i="36" s="1"/>
  <c r="AP271" i="36"/>
  <c r="AO271" i="36"/>
  <c r="AN271" i="36"/>
  <c r="AM271" i="36"/>
  <c r="AL271" i="36"/>
  <c r="AJ271" i="36"/>
  <c r="AI271" i="36"/>
  <c r="AH271" i="36"/>
  <c r="AG271" i="36"/>
  <c r="AA271" i="36"/>
  <c r="X271" i="36"/>
  <c r="Z271" i="36" s="1"/>
  <c r="W271" i="36"/>
  <c r="AQ270" i="36"/>
  <c r="AR270" i="36" s="1"/>
  <c r="AP270" i="36"/>
  <c r="AO270" i="36"/>
  <c r="AN270" i="36"/>
  <c r="AM270" i="36"/>
  <c r="AL270" i="36"/>
  <c r="AJ270" i="36"/>
  <c r="AI270" i="36"/>
  <c r="AH270" i="36"/>
  <c r="AG270" i="36"/>
  <c r="AA270" i="36"/>
  <c r="X270" i="36"/>
  <c r="Y270" i="36" s="1"/>
  <c r="W270" i="36"/>
  <c r="AQ269" i="36"/>
  <c r="AP269" i="36"/>
  <c r="AO269" i="36"/>
  <c r="AN269" i="36"/>
  <c r="AM269" i="36"/>
  <c r="AL269" i="36"/>
  <c r="AJ269" i="36"/>
  <c r="AI269" i="36"/>
  <c r="AH269" i="36"/>
  <c r="AG269" i="36"/>
  <c r="AA269" i="36"/>
  <c r="X269" i="36"/>
  <c r="W269" i="36"/>
  <c r="AQ268" i="36"/>
  <c r="AP268" i="36"/>
  <c r="AO268" i="36"/>
  <c r="AN268" i="36"/>
  <c r="AM268" i="36"/>
  <c r="AL268" i="36"/>
  <c r="AJ268" i="36"/>
  <c r="AI268" i="36"/>
  <c r="AH268" i="36"/>
  <c r="AG268" i="36"/>
  <c r="AA268" i="36"/>
  <c r="X268" i="36"/>
  <c r="Y268" i="36" s="1"/>
  <c r="W268" i="36"/>
  <c r="AQ267" i="36"/>
  <c r="AT267" i="36" s="1"/>
  <c r="AP267" i="36"/>
  <c r="AO267" i="36"/>
  <c r="AN267" i="36"/>
  <c r="AM267" i="36"/>
  <c r="AL267" i="36"/>
  <c r="AJ267" i="36"/>
  <c r="AI267" i="36"/>
  <c r="AH267" i="36"/>
  <c r="AG267" i="36"/>
  <c r="AA267" i="36"/>
  <c r="X267" i="36"/>
  <c r="Z267" i="36" s="1"/>
  <c r="W267" i="36"/>
  <c r="AQ266" i="36"/>
  <c r="AP266" i="36"/>
  <c r="AO266" i="36"/>
  <c r="AN266" i="36"/>
  <c r="AM266" i="36"/>
  <c r="AL266" i="36"/>
  <c r="AJ266" i="36"/>
  <c r="AI266" i="36"/>
  <c r="AH266" i="36"/>
  <c r="AG266" i="36"/>
  <c r="AA266" i="36"/>
  <c r="X266" i="36"/>
  <c r="W266" i="36"/>
  <c r="AQ265" i="36"/>
  <c r="AS265" i="36" s="1"/>
  <c r="AP265" i="36"/>
  <c r="AO265" i="36"/>
  <c r="AN265" i="36"/>
  <c r="AM265" i="36"/>
  <c r="AL265" i="36"/>
  <c r="AJ265" i="36"/>
  <c r="AI265" i="36"/>
  <c r="AH265" i="36"/>
  <c r="AG265" i="36"/>
  <c r="AA265" i="36"/>
  <c r="X265" i="36"/>
  <c r="Y265" i="36" s="1"/>
  <c r="W265" i="36"/>
  <c r="AQ264" i="36"/>
  <c r="AU264" i="36" s="1"/>
  <c r="AP264" i="36"/>
  <c r="AO264" i="36"/>
  <c r="AN264" i="36"/>
  <c r="AM264" i="36"/>
  <c r="AL264" i="36"/>
  <c r="AJ264" i="36"/>
  <c r="AI264" i="36"/>
  <c r="AH264" i="36"/>
  <c r="AG264" i="36"/>
  <c r="AA264" i="36"/>
  <c r="X264" i="36"/>
  <c r="Z264" i="36" s="1"/>
  <c r="W264" i="36"/>
  <c r="AQ263" i="36"/>
  <c r="AP263" i="36"/>
  <c r="AO263" i="36"/>
  <c r="AN263" i="36"/>
  <c r="AM263" i="36"/>
  <c r="AL263" i="36"/>
  <c r="AJ263" i="36"/>
  <c r="AI263" i="36"/>
  <c r="AH263" i="36"/>
  <c r="AG263" i="36"/>
  <c r="AA263" i="36"/>
  <c r="X263" i="36"/>
  <c r="Y263" i="36" s="1"/>
  <c r="W263" i="36"/>
  <c r="AQ262" i="36"/>
  <c r="AS262" i="36" s="1"/>
  <c r="AP262" i="36"/>
  <c r="AO262" i="36"/>
  <c r="AN262" i="36"/>
  <c r="AM262" i="36"/>
  <c r="AL262" i="36"/>
  <c r="AJ262" i="36"/>
  <c r="AI262" i="36"/>
  <c r="AH262" i="36"/>
  <c r="AG262" i="36"/>
  <c r="AA262" i="36"/>
  <c r="X262" i="36"/>
  <c r="Z262" i="36" s="1"/>
  <c r="W262" i="36"/>
  <c r="AQ261" i="36"/>
  <c r="AU261" i="36" s="1"/>
  <c r="AP261" i="36"/>
  <c r="AO261" i="36"/>
  <c r="AN261" i="36"/>
  <c r="AM261" i="36"/>
  <c r="AL261" i="36"/>
  <c r="AJ261" i="36"/>
  <c r="AI261" i="36"/>
  <c r="AH261" i="36"/>
  <c r="AG261" i="36"/>
  <c r="AA261" i="36"/>
  <c r="X261" i="36"/>
  <c r="W261" i="36"/>
  <c r="AQ260" i="36"/>
  <c r="AT260" i="36" s="1"/>
  <c r="AP260" i="36"/>
  <c r="AO260" i="36"/>
  <c r="AN260" i="36"/>
  <c r="AG260" i="36" s="1"/>
  <c r="AH260" i="36"/>
  <c r="AA260" i="36"/>
  <c r="X260" i="36"/>
  <c r="Y260" i="36" s="1"/>
  <c r="W260" i="36"/>
  <c r="AQ259" i="36"/>
  <c r="AS259" i="36" s="1"/>
  <c r="AP259" i="36"/>
  <c r="AO259" i="36"/>
  <c r="AN259" i="36"/>
  <c r="AG259" i="36" s="1"/>
  <c r="AH259" i="36"/>
  <c r="AA259" i="36"/>
  <c r="X259" i="36"/>
  <c r="Z259" i="36" s="1"/>
  <c r="W259" i="36"/>
  <c r="AQ258" i="36"/>
  <c r="AP258" i="36"/>
  <c r="AO258" i="36"/>
  <c r="AN258" i="36"/>
  <c r="AG258" i="36" s="1"/>
  <c r="AH258" i="36"/>
  <c r="AI258" i="36" s="1"/>
  <c r="AA258" i="36"/>
  <c r="X258" i="36"/>
  <c r="W258" i="36"/>
  <c r="AQ257" i="36"/>
  <c r="AR257" i="36" s="1"/>
  <c r="AP257" i="36"/>
  <c r="AH257" i="36" s="1"/>
  <c r="AO257" i="36"/>
  <c r="AN257" i="36"/>
  <c r="AG257" i="36" s="1"/>
  <c r="AA257" i="36"/>
  <c r="X257" i="36"/>
  <c r="Z257" i="36" s="1"/>
  <c r="W257" i="36"/>
  <c r="AQ256" i="36"/>
  <c r="AP256" i="36"/>
  <c r="AO256" i="36"/>
  <c r="AN256" i="36"/>
  <c r="AG256" i="36" s="1"/>
  <c r="AH256" i="36"/>
  <c r="AA256" i="36"/>
  <c r="X256" i="36"/>
  <c r="Z256" i="36" s="1"/>
  <c r="W256" i="36"/>
  <c r="AQ255" i="36"/>
  <c r="AS255" i="36" s="1"/>
  <c r="AP255" i="36"/>
  <c r="AO255" i="36"/>
  <c r="AN255" i="36"/>
  <c r="AG255" i="36" s="1"/>
  <c r="AH255" i="36"/>
  <c r="AA255" i="36"/>
  <c r="X255" i="36"/>
  <c r="Y255" i="36" s="1"/>
  <c r="W255" i="36"/>
  <c r="AQ254" i="36"/>
  <c r="AT254" i="36" s="1"/>
  <c r="AP254" i="36"/>
  <c r="AO254" i="36"/>
  <c r="AN254" i="36"/>
  <c r="AG254" i="36" s="1"/>
  <c r="AH254" i="36"/>
  <c r="AI254" i="36" s="1"/>
  <c r="AA254" i="36"/>
  <c r="X254" i="36"/>
  <c r="Y254" i="36" s="1"/>
  <c r="W254" i="36"/>
  <c r="AQ253" i="36"/>
  <c r="AR253" i="36" s="1"/>
  <c r="AP253" i="36"/>
  <c r="AO253" i="36"/>
  <c r="AN253" i="36"/>
  <c r="AG253" i="36" s="1"/>
  <c r="AH253" i="36"/>
  <c r="AI253" i="36" s="1"/>
  <c r="AA253" i="36"/>
  <c r="X253" i="36"/>
  <c r="Z253" i="36" s="1"/>
  <c r="W253" i="36"/>
  <c r="V253" i="36"/>
  <c r="AQ252" i="36"/>
  <c r="AP252" i="36"/>
  <c r="AO252" i="36"/>
  <c r="AN252" i="36"/>
  <c r="AG252" i="36" s="1"/>
  <c r="AH252" i="36"/>
  <c r="AI252" i="36" s="1"/>
  <c r="AA252" i="36"/>
  <c r="AQ250" i="36"/>
  <c r="AT250" i="36" s="1"/>
  <c r="AP250" i="36"/>
  <c r="AO250" i="36"/>
  <c r="AN250" i="36"/>
  <c r="AM250" i="36"/>
  <c r="AL250" i="36"/>
  <c r="AJ250" i="36"/>
  <c r="AI250" i="36"/>
  <c r="AH250" i="36"/>
  <c r="AG250" i="36"/>
  <c r="AA250" i="36"/>
  <c r="X250" i="36"/>
  <c r="Z250" i="36" s="1"/>
  <c r="W250" i="36"/>
  <c r="AQ249" i="36"/>
  <c r="AS249" i="36" s="1"/>
  <c r="AP249" i="36"/>
  <c r="AO249" i="36"/>
  <c r="AN249" i="36"/>
  <c r="AM249" i="36"/>
  <c r="AL249" i="36"/>
  <c r="AJ249" i="36"/>
  <c r="AI249" i="36"/>
  <c r="AH249" i="36"/>
  <c r="AG249" i="36"/>
  <c r="AA249" i="36"/>
  <c r="X249" i="36"/>
  <c r="Y249" i="36" s="1"/>
  <c r="W249" i="36"/>
  <c r="AQ248" i="36"/>
  <c r="AP248" i="36"/>
  <c r="AO248" i="36"/>
  <c r="AN248" i="36"/>
  <c r="AM248" i="36"/>
  <c r="AL248" i="36"/>
  <c r="AJ248" i="36"/>
  <c r="AI248" i="36"/>
  <c r="AH248" i="36"/>
  <c r="AG248" i="36"/>
  <c r="AA248" i="36"/>
  <c r="X248" i="36"/>
  <c r="Z248" i="36" s="1"/>
  <c r="W248" i="36"/>
  <c r="AQ247" i="36"/>
  <c r="AU247" i="36" s="1"/>
  <c r="AP247" i="36"/>
  <c r="AO247" i="36"/>
  <c r="AN247" i="36"/>
  <c r="AM247" i="36"/>
  <c r="AL247" i="36"/>
  <c r="AJ247" i="36"/>
  <c r="AI247" i="36"/>
  <c r="AH247" i="36"/>
  <c r="AG247" i="36"/>
  <c r="AA247" i="36"/>
  <c r="X247" i="36"/>
  <c r="Z247" i="36" s="1"/>
  <c r="W247" i="36"/>
  <c r="AQ246" i="36"/>
  <c r="AP246" i="36"/>
  <c r="AO246" i="36"/>
  <c r="AN246" i="36"/>
  <c r="AM246" i="36"/>
  <c r="AL246" i="36"/>
  <c r="AJ246" i="36"/>
  <c r="AI246" i="36"/>
  <c r="AH246" i="36"/>
  <c r="AG246" i="36"/>
  <c r="AA246" i="36"/>
  <c r="X246" i="36"/>
  <c r="Z246" i="36" s="1"/>
  <c r="W246" i="36"/>
  <c r="AQ245" i="36"/>
  <c r="AT245" i="36" s="1"/>
  <c r="AP245" i="36"/>
  <c r="AO245" i="36"/>
  <c r="AN245" i="36"/>
  <c r="AM245" i="36"/>
  <c r="AL245" i="36"/>
  <c r="AJ245" i="36"/>
  <c r="AI245" i="36"/>
  <c r="AH245" i="36"/>
  <c r="AG245" i="36"/>
  <c r="AA245" i="36"/>
  <c r="X245" i="36"/>
  <c r="Y245" i="36" s="1"/>
  <c r="W245" i="36"/>
  <c r="AQ244" i="36"/>
  <c r="AR244" i="36" s="1"/>
  <c r="AP244" i="36"/>
  <c r="AO244" i="36"/>
  <c r="AN244" i="36"/>
  <c r="AM244" i="36"/>
  <c r="AL244" i="36"/>
  <c r="AJ244" i="36"/>
  <c r="AI244" i="36"/>
  <c r="AH244" i="36"/>
  <c r="AG244" i="36"/>
  <c r="AA244" i="36"/>
  <c r="X244" i="36"/>
  <c r="Y244" i="36" s="1"/>
  <c r="W244" i="36"/>
  <c r="AQ243" i="36"/>
  <c r="AP243" i="36"/>
  <c r="AO243" i="36"/>
  <c r="AN243" i="36"/>
  <c r="AM243" i="36"/>
  <c r="AL243" i="36"/>
  <c r="AJ243" i="36"/>
  <c r="AI243" i="36"/>
  <c r="AH243" i="36"/>
  <c r="AG243" i="36"/>
  <c r="AA243" i="36"/>
  <c r="X243" i="36"/>
  <c r="W243" i="36"/>
  <c r="AQ242" i="36"/>
  <c r="AU242" i="36" s="1"/>
  <c r="AP242" i="36"/>
  <c r="AO242" i="36"/>
  <c r="AN242" i="36"/>
  <c r="AM242" i="36"/>
  <c r="AL242" i="36"/>
  <c r="AJ242" i="36"/>
  <c r="AI242" i="36"/>
  <c r="AH242" i="36"/>
  <c r="AG242" i="36"/>
  <c r="AA242" i="36"/>
  <c r="X242" i="36"/>
  <c r="Z242" i="36" s="1"/>
  <c r="W242" i="36"/>
  <c r="AQ241" i="36"/>
  <c r="AP241" i="36"/>
  <c r="AO241" i="36"/>
  <c r="AN241" i="36"/>
  <c r="AM241" i="36"/>
  <c r="AL241" i="36"/>
  <c r="AJ241" i="36"/>
  <c r="AI241" i="36"/>
  <c r="AH241" i="36"/>
  <c r="AG241" i="36"/>
  <c r="AA241" i="36"/>
  <c r="X241" i="36"/>
  <c r="W241" i="36"/>
  <c r="AQ240" i="36"/>
  <c r="AU240" i="36" s="1"/>
  <c r="AP240" i="36"/>
  <c r="AO240" i="36"/>
  <c r="AN240" i="36"/>
  <c r="AM240" i="36"/>
  <c r="AL240" i="36"/>
  <c r="AJ240" i="36"/>
  <c r="AI240" i="36"/>
  <c r="AH240" i="36"/>
  <c r="AG240" i="36"/>
  <c r="AA240" i="36"/>
  <c r="X240" i="36"/>
  <c r="Y240" i="36" s="1"/>
  <c r="W240" i="36"/>
  <c r="AQ239" i="36"/>
  <c r="AU239" i="36" s="1"/>
  <c r="AP239" i="36"/>
  <c r="AO239" i="36"/>
  <c r="AN239" i="36"/>
  <c r="AM239" i="36"/>
  <c r="AL239" i="36"/>
  <c r="AJ239" i="36"/>
  <c r="AI239" i="36"/>
  <c r="AH239" i="36"/>
  <c r="AG239" i="36"/>
  <c r="AA239" i="36"/>
  <c r="X239" i="36"/>
  <c r="W239" i="36"/>
  <c r="AQ238" i="36"/>
  <c r="AT238" i="36" s="1"/>
  <c r="AP238" i="36"/>
  <c r="AO238" i="36"/>
  <c r="AN238" i="36"/>
  <c r="AM238" i="36"/>
  <c r="AL238" i="36"/>
  <c r="AJ238" i="36"/>
  <c r="AI238" i="36"/>
  <c r="AH238" i="36"/>
  <c r="AG238" i="36"/>
  <c r="AA238" i="36"/>
  <c r="X238" i="36"/>
  <c r="W238" i="36"/>
  <c r="AQ237" i="36"/>
  <c r="AP237" i="36"/>
  <c r="AO237" i="36"/>
  <c r="AN237" i="36"/>
  <c r="AM237" i="36"/>
  <c r="AL237" i="36"/>
  <c r="AJ237" i="36"/>
  <c r="AI237" i="36"/>
  <c r="AH237" i="36"/>
  <c r="AG237" i="36"/>
  <c r="AA237" i="36"/>
  <c r="X237" i="36"/>
  <c r="W237" i="36"/>
  <c r="AQ236" i="36"/>
  <c r="AP236" i="36"/>
  <c r="AO236" i="36"/>
  <c r="AN236" i="36"/>
  <c r="AM236" i="36"/>
  <c r="AL236" i="36"/>
  <c r="AJ236" i="36"/>
  <c r="AI236" i="36"/>
  <c r="AH236" i="36"/>
  <c r="AG236" i="36"/>
  <c r="AA236" i="36"/>
  <c r="X236" i="36"/>
  <c r="Y236" i="36" s="1"/>
  <c r="W236" i="36"/>
  <c r="AQ235" i="36"/>
  <c r="AR235" i="36" s="1"/>
  <c r="AP235" i="36"/>
  <c r="AO235" i="36"/>
  <c r="AN235" i="36"/>
  <c r="AM235" i="36"/>
  <c r="AL235" i="36"/>
  <c r="AJ235" i="36"/>
  <c r="AI235" i="36"/>
  <c r="AH235" i="36"/>
  <c r="AG235" i="36"/>
  <c r="AA235" i="36"/>
  <c r="X235" i="36"/>
  <c r="Z235" i="36" s="1"/>
  <c r="W235" i="36"/>
  <c r="AQ234" i="36"/>
  <c r="AU234" i="36" s="1"/>
  <c r="AP234" i="36"/>
  <c r="AO234" i="36"/>
  <c r="AN234" i="36"/>
  <c r="AM234" i="36"/>
  <c r="AL234" i="36"/>
  <c r="AJ234" i="36"/>
  <c r="AI234" i="36"/>
  <c r="AH234" i="36"/>
  <c r="AG234" i="36"/>
  <c r="AA234" i="36"/>
  <c r="X234" i="36"/>
  <c r="Z234" i="36" s="1"/>
  <c r="W234" i="36"/>
  <c r="AQ233" i="36"/>
  <c r="AP233" i="36"/>
  <c r="AO233" i="36"/>
  <c r="AN233" i="36"/>
  <c r="AM233" i="36"/>
  <c r="AL233" i="36"/>
  <c r="AJ233" i="36"/>
  <c r="AI233" i="36"/>
  <c r="AH233" i="36"/>
  <c r="AG233" i="36"/>
  <c r="AA233" i="36"/>
  <c r="X233" i="36"/>
  <c r="W233" i="36"/>
  <c r="AQ232" i="36"/>
  <c r="AP232" i="36"/>
  <c r="AO232" i="36"/>
  <c r="AN232" i="36"/>
  <c r="AM232" i="36"/>
  <c r="AL232" i="36"/>
  <c r="AJ232" i="36"/>
  <c r="AI232" i="36"/>
  <c r="AH232" i="36"/>
  <c r="AG232" i="36"/>
  <c r="AA232" i="36"/>
  <c r="X232" i="36"/>
  <c r="W232" i="36"/>
  <c r="AQ231" i="36"/>
  <c r="AS231" i="36" s="1"/>
  <c r="AP231" i="36"/>
  <c r="AO231" i="36"/>
  <c r="AN231" i="36"/>
  <c r="AM231" i="36"/>
  <c r="AL231" i="36"/>
  <c r="AJ231" i="36"/>
  <c r="AI231" i="36"/>
  <c r="AH231" i="36"/>
  <c r="AG231" i="36"/>
  <c r="AA231" i="36"/>
  <c r="X231" i="36"/>
  <c r="W231" i="36"/>
  <c r="AQ230" i="36"/>
  <c r="AU230" i="36" s="1"/>
  <c r="AP230" i="36"/>
  <c r="AO230" i="36"/>
  <c r="AN230" i="36"/>
  <c r="AM230" i="36"/>
  <c r="AL230" i="36"/>
  <c r="AJ230" i="36"/>
  <c r="AI230" i="36"/>
  <c r="AH230" i="36"/>
  <c r="AG230" i="36"/>
  <c r="AA230" i="36"/>
  <c r="X230" i="36"/>
  <c r="Y230" i="36" s="1"/>
  <c r="W230" i="36"/>
  <c r="AQ229" i="36"/>
  <c r="AS229" i="36" s="1"/>
  <c r="AP229" i="36"/>
  <c r="AO229" i="36"/>
  <c r="AN229" i="36"/>
  <c r="AM229" i="36"/>
  <c r="AL229" i="36"/>
  <c r="AJ229" i="36"/>
  <c r="AI229" i="36"/>
  <c r="AH229" i="36"/>
  <c r="AG229" i="36"/>
  <c r="AA229" i="36"/>
  <c r="X229" i="36"/>
  <c r="W229" i="36"/>
  <c r="AQ228" i="36"/>
  <c r="AU228" i="36" s="1"/>
  <c r="AP228" i="36"/>
  <c r="AO228" i="36"/>
  <c r="AN228" i="36"/>
  <c r="AM228" i="36"/>
  <c r="AL228" i="36"/>
  <c r="AJ228" i="36"/>
  <c r="AI228" i="36"/>
  <c r="AH228" i="36"/>
  <c r="AG228" i="36"/>
  <c r="AA228" i="36"/>
  <c r="X228" i="36"/>
  <c r="Z228" i="36" s="1"/>
  <c r="W228" i="36"/>
  <c r="AQ227" i="36"/>
  <c r="AU227" i="36" s="1"/>
  <c r="AP227" i="36"/>
  <c r="AO227" i="36"/>
  <c r="AN227" i="36"/>
  <c r="AM227" i="36"/>
  <c r="AL227" i="36"/>
  <c r="AJ227" i="36"/>
  <c r="AI227" i="36"/>
  <c r="AH227" i="36"/>
  <c r="AG227" i="36"/>
  <c r="AA227" i="36"/>
  <c r="X227" i="36"/>
  <c r="Z227" i="36" s="1"/>
  <c r="W227" i="36"/>
  <c r="AQ226" i="36"/>
  <c r="AP226" i="36"/>
  <c r="AO226" i="36"/>
  <c r="AN226" i="36"/>
  <c r="AM226" i="36"/>
  <c r="AL226" i="36"/>
  <c r="AJ226" i="36"/>
  <c r="AI226" i="36"/>
  <c r="AH226" i="36"/>
  <c r="AG226" i="36"/>
  <c r="AA226" i="36"/>
  <c r="X226" i="36"/>
  <c r="Z226" i="36" s="1"/>
  <c r="W226" i="36"/>
  <c r="AQ225" i="36"/>
  <c r="AS225" i="36" s="1"/>
  <c r="AP225" i="36"/>
  <c r="AH225" i="36" s="1"/>
  <c r="AI225" i="36" s="1"/>
  <c r="AO225" i="36"/>
  <c r="AN225" i="36"/>
  <c r="AG225" i="36" s="1"/>
  <c r="AA225" i="36"/>
  <c r="X225" i="36"/>
  <c r="W225" i="36"/>
  <c r="AQ224" i="36"/>
  <c r="AU224" i="36" s="1"/>
  <c r="AP224" i="36"/>
  <c r="AO224" i="36"/>
  <c r="AN224" i="36"/>
  <c r="AG224" i="36" s="1"/>
  <c r="AH224" i="36"/>
  <c r="AA224" i="36"/>
  <c r="X224" i="36"/>
  <c r="Z224" i="36" s="1"/>
  <c r="W224" i="36"/>
  <c r="AQ223" i="36"/>
  <c r="AP223" i="36"/>
  <c r="AO223" i="36"/>
  <c r="AN223" i="36"/>
  <c r="AG223" i="36" s="1"/>
  <c r="AH223" i="36"/>
  <c r="AL223" i="36" s="1"/>
  <c r="AA223" i="36"/>
  <c r="X223" i="36"/>
  <c r="Y223" i="36" s="1"/>
  <c r="W223" i="36"/>
  <c r="AQ222" i="36"/>
  <c r="AU222" i="36" s="1"/>
  <c r="AP222" i="36"/>
  <c r="AO222" i="36"/>
  <c r="AN222" i="36"/>
  <c r="AG222" i="36" s="1"/>
  <c r="AH222" i="36"/>
  <c r="AA222" i="36"/>
  <c r="X222" i="36"/>
  <c r="Z222" i="36" s="1"/>
  <c r="W222" i="36"/>
  <c r="AQ221" i="36"/>
  <c r="AR221" i="36" s="1"/>
  <c r="AP221" i="36"/>
  <c r="AH221" i="36" s="1"/>
  <c r="AO221" i="36"/>
  <c r="AN221" i="36"/>
  <c r="AG221" i="36" s="1"/>
  <c r="AA221" i="36"/>
  <c r="X221" i="36"/>
  <c r="W221" i="36"/>
  <c r="AQ220" i="36"/>
  <c r="AP220" i="36"/>
  <c r="AO220" i="36"/>
  <c r="AN220" i="36"/>
  <c r="AG220" i="36" s="1"/>
  <c r="AH220" i="36"/>
  <c r="AA220" i="36"/>
  <c r="X220" i="36"/>
  <c r="Z220" i="36" s="1"/>
  <c r="W220" i="36"/>
  <c r="AQ219" i="36"/>
  <c r="AP219" i="36"/>
  <c r="AO219" i="36"/>
  <c r="AN219" i="36"/>
  <c r="AG219" i="36" s="1"/>
  <c r="AH219" i="36"/>
  <c r="AA219" i="36"/>
  <c r="X219" i="36"/>
  <c r="W219" i="36"/>
  <c r="AQ218" i="36"/>
  <c r="AT218" i="36" s="1"/>
  <c r="AP218" i="36"/>
  <c r="AO218" i="36"/>
  <c r="AN218" i="36"/>
  <c r="AG218" i="36" s="1"/>
  <c r="AH218" i="36"/>
  <c r="AA218" i="36"/>
  <c r="X218" i="36"/>
  <c r="W218" i="36"/>
  <c r="AQ217" i="36"/>
  <c r="AR217" i="36" s="1"/>
  <c r="AP217" i="36"/>
  <c r="AO217" i="36"/>
  <c r="AN217" i="36"/>
  <c r="AG217" i="36" s="1"/>
  <c r="AH217" i="36"/>
  <c r="AA217" i="36"/>
  <c r="X217" i="36"/>
  <c r="W217" i="36"/>
  <c r="V217" i="36"/>
  <c r="AQ216" i="36"/>
  <c r="AU216" i="36" s="1"/>
  <c r="AP216" i="36"/>
  <c r="AO216" i="36"/>
  <c r="AN216" i="36"/>
  <c r="AG216" i="36" s="1"/>
  <c r="AH216" i="36"/>
  <c r="AA216" i="36"/>
  <c r="AQ214" i="36"/>
  <c r="AS214" i="36" s="1"/>
  <c r="AP214" i="36"/>
  <c r="AO214" i="36"/>
  <c r="AN214" i="36"/>
  <c r="AG214" i="36" s="1"/>
  <c r="AH214" i="36"/>
  <c r="AA214" i="36"/>
  <c r="X214" i="36"/>
  <c r="Z214" i="36" s="1"/>
  <c r="W214" i="36"/>
  <c r="AQ213" i="36"/>
  <c r="AS213" i="36" s="1"/>
  <c r="AP213" i="36"/>
  <c r="AO213" i="36"/>
  <c r="AN213" i="36"/>
  <c r="AG213" i="36" s="1"/>
  <c r="AH213" i="36"/>
  <c r="AA213" i="36"/>
  <c r="X213" i="36"/>
  <c r="Y213" i="36" s="1"/>
  <c r="W213" i="36"/>
  <c r="AQ212" i="36"/>
  <c r="AS212" i="36" s="1"/>
  <c r="AP212" i="36"/>
  <c r="AO212" i="36"/>
  <c r="AN212" i="36"/>
  <c r="AM212" i="36"/>
  <c r="AL212" i="36"/>
  <c r="AJ212" i="36"/>
  <c r="AI212" i="36"/>
  <c r="AH212" i="36"/>
  <c r="AG212" i="36"/>
  <c r="AA212" i="36"/>
  <c r="X212" i="36"/>
  <c r="Y212" i="36" s="1"/>
  <c r="W212" i="36"/>
  <c r="AQ211" i="36"/>
  <c r="AP211" i="36"/>
  <c r="AO211" i="36"/>
  <c r="AN211" i="36"/>
  <c r="AM211" i="36"/>
  <c r="AL211" i="36"/>
  <c r="AJ211" i="36"/>
  <c r="AI211" i="36"/>
  <c r="AH211" i="36"/>
  <c r="AG211" i="36"/>
  <c r="AA211" i="36"/>
  <c r="X211" i="36"/>
  <c r="Z211" i="36" s="1"/>
  <c r="W211" i="36"/>
  <c r="AQ210" i="36"/>
  <c r="AU210" i="36" s="1"/>
  <c r="AP210" i="36"/>
  <c r="AO210" i="36"/>
  <c r="AN210" i="36"/>
  <c r="AM210" i="36"/>
  <c r="AL210" i="36"/>
  <c r="AJ210" i="36"/>
  <c r="AI210" i="36"/>
  <c r="AH210" i="36"/>
  <c r="AG210" i="36"/>
  <c r="AA210" i="36"/>
  <c r="X210" i="36"/>
  <c r="Y210" i="36" s="1"/>
  <c r="W210" i="36"/>
  <c r="AQ209" i="36"/>
  <c r="AT209" i="36" s="1"/>
  <c r="AP209" i="36"/>
  <c r="AO209" i="36"/>
  <c r="AN209" i="36"/>
  <c r="AM209" i="36"/>
  <c r="AL209" i="36"/>
  <c r="AJ209" i="36"/>
  <c r="AI209" i="36"/>
  <c r="AH209" i="36"/>
  <c r="AG209" i="36"/>
  <c r="AA209" i="36"/>
  <c r="X209" i="36"/>
  <c r="Z209" i="36" s="1"/>
  <c r="W209" i="36"/>
  <c r="AQ208" i="36"/>
  <c r="AS208" i="36" s="1"/>
  <c r="AP208" i="36"/>
  <c r="AO208" i="36"/>
  <c r="AN208" i="36"/>
  <c r="AM208" i="36"/>
  <c r="AL208" i="36"/>
  <c r="AJ208" i="36"/>
  <c r="AI208" i="36"/>
  <c r="AH208" i="36"/>
  <c r="AG208" i="36"/>
  <c r="AA208" i="36"/>
  <c r="X208" i="36"/>
  <c r="Z208" i="36" s="1"/>
  <c r="W208" i="36"/>
  <c r="AQ207" i="36"/>
  <c r="AP207" i="36"/>
  <c r="AO207" i="36"/>
  <c r="AN207" i="36"/>
  <c r="AM207" i="36"/>
  <c r="AL207" i="36"/>
  <c r="AJ207" i="36"/>
  <c r="AI207" i="36"/>
  <c r="AH207" i="36"/>
  <c r="AG207" i="36"/>
  <c r="AA207" i="36"/>
  <c r="X207" i="36"/>
  <c r="Z207" i="36" s="1"/>
  <c r="W207" i="36"/>
  <c r="AQ206" i="36"/>
  <c r="AS206" i="36" s="1"/>
  <c r="AP206" i="36"/>
  <c r="AO206" i="36"/>
  <c r="AN206" i="36"/>
  <c r="AM206" i="36"/>
  <c r="AL206" i="36"/>
  <c r="AJ206" i="36"/>
  <c r="AI206" i="36"/>
  <c r="AH206" i="36"/>
  <c r="AG206" i="36"/>
  <c r="AA206" i="36"/>
  <c r="X206" i="36"/>
  <c r="Z206" i="36" s="1"/>
  <c r="W206" i="36"/>
  <c r="AQ205" i="36"/>
  <c r="AS205" i="36" s="1"/>
  <c r="AP205" i="36"/>
  <c r="AO205" i="36"/>
  <c r="AN205" i="36"/>
  <c r="AM205" i="36"/>
  <c r="AL205" i="36"/>
  <c r="AJ205" i="36"/>
  <c r="AI205" i="36"/>
  <c r="AH205" i="36"/>
  <c r="AG205" i="36"/>
  <c r="AA205" i="36"/>
  <c r="X205" i="36"/>
  <c r="Z205" i="36" s="1"/>
  <c r="W205" i="36"/>
  <c r="AQ204" i="36"/>
  <c r="AS204" i="36" s="1"/>
  <c r="AP204" i="36"/>
  <c r="AO204" i="36"/>
  <c r="AN204" i="36"/>
  <c r="AM204" i="36"/>
  <c r="AL204" i="36"/>
  <c r="AJ204" i="36"/>
  <c r="AI204" i="36"/>
  <c r="AH204" i="36"/>
  <c r="AG204" i="36"/>
  <c r="AA204" i="36"/>
  <c r="X204" i="36"/>
  <c r="Z204" i="36" s="1"/>
  <c r="W204" i="36"/>
  <c r="AQ203" i="36"/>
  <c r="AU203" i="36" s="1"/>
  <c r="AP203" i="36"/>
  <c r="AO203" i="36"/>
  <c r="AN203" i="36"/>
  <c r="AM203" i="36"/>
  <c r="AL203" i="36"/>
  <c r="AJ203" i="36"/>
  <c r="AI203" i="36"/>
  <c r="AH203" i="36"/>
  <c r="AG203" i="36"/>
  <c r="AA203" i="36"/>
  <c r="X203" i="36"/>
  <c r="W203" i="36"/>
  <c r="AQ202" i="36"/>
  <c r="AP202" i="36"/>
  <c r="AO202" i="36"/>
  <c r="AN202" i="36"/>
  <c r="AM202" i="36"/>
  <c r="AL202" i="36"/>
  <c r="AJ202" i="36"/>
  <c r="AI202" i="36"/>
  <c r="AH202" i="36"/>
  <c r="AG202" i="36"/>
  <c r="AA202" i="36"/>
  <c r="X202" i="36"/>
  <c r="Y202" i="36" s="1"/>
  <c r="W202" i="36"/>
  <c r="AQ201" i="36"/>
  <c r="AP201" i="36"/>
  <c r="AO201" i="36"/>
  <c r="AN201" i="36"/>
  <c r="AM201" i="36"/>
  <c r="AL201" i="36"/>
  <c r="AJ201" i="36"/>
  <c r="AI201" i="36"/>
  <c r="AH201" i="36"/>
  <c r="AG201" i="36"/>
  <c r="AA201" i="36"/>
  <c r="X201" i="36"/>
  <c r="W201" i="36"/>
  <c r="AQ200" i="36"/>
  <c r="AU200" i="36" s="1"/>
  <c r="AP200" i="36"/>
  <c r="AO200" i="36"/>
  <c r="AN200" i="36"/>
  <c r="AM200" i="36"/>
  <c r="AL200" i="36"/>
  <c r="AJ200" i="36"/>
  <c r="AI200" i="36"/>
  <c r="AH200" i="36"/>
  <c r="AG200" i="36"/>
  <c r="AA200" i="36"/>
  <c r="X200" i="36"/>
  <c r="W200" i="36"/>
  <c r="AQ199" i="36"/>
  <c r="AP199" i="36"/>
  <c r="AO199" i="36"/>
  <c r="AN199" i="36"/>
  <c r="AM199" i="36"/>
  <c r="AL199" i="36"/>
  <c r="AJ199" i="36"/>
  <c r="AI199" i="36"/>
  <c r="AH199" i="36"/>
  <c r="AG199" i="36"/>
  <c r="AA199" i="36"/>
  <c r="X199" i="36"/>
  <c r="Z199" i="36" s="1"/>
  <c r="W199" i="36"/>
  <c r="AQ198" i="36"/>
  <c r="AT198" i="36" s="1"/>
  <c r="AP198" i="36"/>
  <c r="AO198" i="36"/>
  <c r="AN198" i="36"/>
  <c r="AM198" i="36"/>
  <c r="AL198" i="36"/>
  <c r="AJ198" i="36"/>
  <c r="AI198" i="36"/>
  <c r="AH198" i="36"/>
  <c r="AG198" i="36"/>
  <c r="AA198" i="36"/>
  <c r="X198" i="36"/>
  <c r="W198" i="36"/>
  <c r="AQ197" i="36"/>
  <c r="AU197" i="36" s="1"/>
  <c r="AP197" i="36"/>
  <c r="AO197" i="36"/>
  <c r="AN197" i="36"/>
  <c r="AM197" i="36"/>
  <c r="AL197" i="36"/>
  <c r="AJ197" i="36"/>
  <c r="AI197" i="36"/>
  <c r="AH197" i="36"/>
  <c r="AG197" i="36"/>
  <c r="AA197" i="36"/>
  <c r="X197" i="36"/>
  <c r="Z197" i="36" s="1"/>
  <c r="W197" i="36"/>
  <c r="AQ196" i="36"/>
  <c r="AP196" i="36"/>
  <c r="AO196" i="36"/>
  <c r="AN196" i="36"/>
  <c r="AM196" i="36"/>
  <c r="AL196" i="36"/>
  <c r="AJ196" i="36"/>
  <c r="AI196" i="36"/>
  <c r="AH196" i="36"/>
  <c r="AG196" i="36"/>
  <c r="AA196" i="36"/>
  <c r="X196" i="36"/>
  <c r="Z196" i="36" s="1"/>
  <c r="W196" i="36"/>
  <c r="AQ195" i="36"/>
  <c r="AS195" i="36" s="1"/>
  <c r="AP195" i="36"/>
  <c r="AO195" i="36"/>
  <c r="AN195" i="36"/>
  <c r="AM195" i="36"/>
  <c r="AL195" i="36"/>
  <c r="AJ195" i="36"/>
  <c r="AI195" i="36"/>
  <c r="AH195" i="36"/>
  <c r="AG195" i="36"/>
  <c r="AA195" i="36"/>
  <c r="X195" i="36"/>
  <c r="Y195" i="36" s="1"/>
  <c r="W195" i="36"/>
  <c r="AQ194" i="36"/>
  <c r="AP194" i="36"/>
  <c r="AO194" i="36"/>
  <c r="AN194" i="36"/>
  <c r="AG194" i="36" s="1"/>
  <c r="AH194" i="36"/>
  <c r="AL194" i="36" s="1"/>
  <c r="AA194" i="36"/>
  <c r="X194" i="36"/>
  <c r="Y194" i="36" s="1"/>
  <c r="W194" i="36"/>
  <c r="AQ193" i="36"/>
  <c r="AT193" i="36" s="1"/>
  <c r="AP193" i="36"/>
  <c r="AO193" i="36"/>
  <c r="AN193" i="36"/>
  <c r="AG193" i="36" s="1"/>
  <c r="AH193" i="36"/>
  <c r="AA193" i="36"/>
  <c r="X193" i="36"/>
  <c r="Z193" i="36" s="1"/>
  <c r="W193" i="36"/>
  <c r="AQ192" i="36"/>
  <c r="AR192" i="36" s="1"/>
  <c r="AP192" i="36"/>
  <c r="AH192" i="36" s="1"/>
  <c r="AO192" i="36"/>
  <c r="AN192" i="36"/>
  <c r="AG192" i="36" s="1"/>
  <c r="AA192" i="36"/>
  <c r="X192" i="36"/>
  <c r="Y192" i="36" s="1"/>
  <c r="W192" i="36"/>
  <c r="AQ191" i="36"/>
  <c r="AR191" i="36" s="1"/>
  <c r="AP191" i="36"/>
  <c r="AH191" i="36" s="1"/>
  <c r="AI191" i="36" s="1"/>
  <c r="AO191" i="36"/>
  <c r="AN191" i="36"/>
  <c r="AG191" i="36" s="1"/>
  <c r="AA191" i="36"/>
  <c r="X191" i="36"/>
  <c r="Y191" i="36" s="1"/>
  <c r="W191" i="36"/>
  <c r="AQ190" i="36"/>
  <c r="AT190" i="36" s="1"/>
  <c r="AP190" i="36"/>
  <c r="AO190" i="36"/>
  <c r="AN190" i="36"/>
  <c r="AG190" i="36" s="1"/>
  <c r="AH190" i="36"/>
  <c r="AA190" i="36"/>
  <c r="X190" i="36"/>
  <c r="Y190" i="36" s="1"/>
  <c r="W190" i="36"/>
  <c r="AQ189" i="36"/>
  <c r="AS189" i="36" s="1"/>
  <c r="AP189" i="36"/>
  <c r="AO189" i="36"/>
  <c r="AN189" i="36"/>
  <c r="AG189" i="36" s="1"/>
  <c r="AH189" i="36"/>
  <c r="AL189" i="36" s="1"/>
  <c r="AA189" i="36"/>
  <c r="X189" i="36"/>
  <c r="W189" i="36"/>
  <c r="AQ188" i="36"/>
  <c r="AU188" i="36" s="1"/>
  <c r="AP188" i="36"/>
  <c r="AO188" i="36"/>
  <c r="AN188" i="36"/>
  <c r="AG188" i="36" s="1"/>
  <c r="AH188" i="36"/>
  <c r="AL188" i="36" s="1"/>
  <c r="AA188" i="36"/>
  <c r="X188" i="36"/>
  <c r="Y188" i="36" s="1"/>
  <c r="W188" i="36"/>
  <c r="AQ187" i="36"/>
  <c r="AP187" i="36"/>
  <c r="AO187" i="36"/>
  <c r="AN187" i="36"/>
  <c r="AG187" i="36" s="1"/>
  <c r="AH187" i="36"/>
  <c r="AA187" i="36"/>
  <c r="X187" i="36"/>
  <c r="Z187" i="36" s="1"/>
  <c r="W187" i="36"/>
  <c r="AQ186" i="36"/>
  <c r="AT186" i="36" s="1"/>
  <c r="AP186" i="36"/>
  <c r="AO186" i="36"/>
  <c r="AN186" i="36"/>
  <c r="AG186" i="36" s="1"/>
  <c r="AH186" i="36"/>
  <c r="AA186" i="36"/>
  <c r="X186" i="36"/>
  <c r="Y186" i="36" s="1"/>
  <c r="W186" i="36"/>
  <c r="AQ185" i="36"/>
  <c r="AU185" i="36" s="1"/>
  <c r="AP185" i="36"/>
  <c r="AO185" i="36"/>
  <c r="AN185" i="36"/>
  <c r="AG185" i="36" s="1"/>
  <c r="AH185" i="36"/>
  <c r="AA185" i="36"/>
  <c r="X185" i="36"/>
  <c r="Z185" i="36" s="1"/>
  <c r="W185" i="36"/>
  <c r="AQ184" i="36"/>
  <c r="AR184" i="36" s="1"/>
  <c r="AP184" i="36"/>
  <c r="AO184" i="36"/>
  <c r="AN184" i="36"/>
  <c r="AG184" i="36" s="1"/>
  <c r="AH184" i="36"/>
  <c r="AJ184" i="36" s="1"/>
  <c r="AA184" i="36"/>
  <c r="X184" i="36"/>
  <c r="Y184" i="36" s="1"/>
  <c r="W184" i="36"/>
  <c r="AQ183" i="36"/>
  <c r="AP183" i="36"/>
  <c r="AO183" i="36"/>
  <c r="AN183" i="36"/>
  <c r="AG183" i="36" s="1"/>
  <c r="AH183" i="36"/>
  <c r="AA183" i="36"/>
  <c r="X183" i="36"/>
  <c r="W183" i="36"/>
  <c r="AQ182" i="36"/>
  <c r="AS182" i="36" s="1"/>
  <c r="AP182" i="36"/>
  <c r="AO182" i="36"/>
  <c r="AN182" i="36"/>
  <c r="AG182" i="36" s="1"/>
  <c r="AH182" i="36"/>
  <c r="AA182" i="36"/>
  <c r="X182" i="36"/>
  <c r="Y182" i="36" s="1"/>
  <c r="W182" i="36"/>
  <c r="AQ181" i="36"/>
  <c r="AT181" i="36" s="1"/>
  <c r="AP181" i="36"/>
  <c r="AO181" i="36"/>
  <c r="AN181" i="36"/>
  <c r="AG181" i="36" s="1"/>
  <c r="AH181" i="36"/>
  <c r="AA181" i="36"/>
  <c r="X181" i="36"/>
  <c r="Z181" i="36" s="1"/>
  <c r="W181" i="36"/>
  <c r="V181" i="36"/>
  <c r="AQ180" i="36"/>
  <c r="AU180" i="36" s="1"/>
  <c r="AP180" i="36"/>
  <c r="AO180" i="36"/>
  <c r="AN180" i="36"/>
  <c r="AG180" i="36" s="1"/>
  <c r="AH180" i="36"/>
  <c r="AL180" i="36" s="1"/>
  <c r="O9" i="36" s="1"/>
  <c r="AA180" i="36"/>
  <c r="AQ178" i="36"/>
  <c r="AP178" i="36"/>
  <c r="AO178" i="36"/>
  <c r="AN178" i="36"/>
  <c r="AM178" i="36"/>
  <c r="AL178" i="36"/>
  <c r="AJ178" i="36"/>
  <c r="AI178" i="36"/>
  <c r="AH178" i="36"/>
  <c r="AG178" i="36"/>
  <c r="AA178" i="36"/>
  <c r="X178" i="36"/>
  <c r="W178" i="36"/>
  <c r="AQ177" i="36"/>
  <c r="AT177" i="36" s="1"/>
  <c r="AP177" i="36"/>
  <c r="AO177" i="36"/>
  <c r="AN177" i="36"/>
  <c r="AM177" i="36"/>
  <c r="AL177" i="36"/>
  <c r="AJ177" i="36"/>
  <c r="AI177" i="36"/>
  <c r="AH177" i="36"/>
  <c r="AG177" i="36"/>
  <c r="AA177" i="36"/>
  <c r="X177" i="36"/>
  <c r="Z177" i="36" s="1"/>
  <c r="W177" i="36"/>
  <c r="AQ176" i="36"/>
  <c r="AU176" i="36" s="1"/>
  <c r="AP176" i="36"/>
  <c r="AO176" i="36"/>
  <c r="AN176" i="36"/>
  <c r="AM176" i="36"/>
  <c r="AL176" i="36"/>
  <c r="AJ176" i="36"/>
  <c r="AI176" i="36"/>
  <c r="AH176" i="36"/>
  <c r="AG176" i="36"/>
  <c r="AA176" i="36"/>
  <c r="X176" i="36"/>
  <c r="Z176" i="36" s="1"/>
  <c r="W176" i="36"/>
  <c r="AQ175" i="36"/>
  <c r="AU175" i="36" s="1"/>
  <c r="AP175" i="36"/>
  <c r="AO175" i="36"/>
  <c r="AN175" i="36"/>
  <c r="AM175" i="36"/>
  <c r="AL175" i="36"/>
  <c r="AJ175" i="36"/>
  <c r="AI175" i="36"/>
  <c r="AH175" i="36"/>
  <c r="AG175" i="36"/>
  <c r="AA175" i="36"/>
  <c r="X175" i="36"/>
  <c r="Z175" i="36" s="1"/>
  <c r="W175" i="36"/>
  <c r="AQ174" i="36"/>
  <c r="AU174" i="36" s="1"/>
  <c r="AP174" i="36"/>
  <c r="AO174" i="36"/>
  <c r="AN174" i="36"/>
  <c r="AM174" i="36"/>
  <c r="AL174" i="36"/>
  <c r="AJ174" i="36"/>
  <c r="AI174" i="36"/>
  <c r="AH174" i="36"/>
  <c r="AG174" i="36"/>
  <c r="AA174" i="36"/>
  <c r="X174" i="36"/>
  <c r="Z174" i="36" s="1"/>
  <c r="W174" i="36"/>
  <c r="AQ173" i="36"/>
  <c r="AS173" i="36" s="1"/>
  <c r="AP173" i="36"/>
  <c r="AO173" i="36"/>
  <c r="AN173" i="36"/>
  <c r="AM173" i="36"/>
  <c r="AL173" i="36"/>
  <c r="AJ173" i="36"/>
  <c r="AI173" i="36"/>
  <c r="AH173" i="36"/>
  <c r="AG173" i="36"/>
  <c r="AA173" i="36"/>
  <c r="X173" i="36"/>
  <c r="W173" i="36"/>
  <c r="AQ172" i="36"/>
  <c r="AR172" i="36" s="1"/>
  <c r="AP172" i="36"/>
  <c r="AO172" i="36"/>
  <c r="AN172" i="36"/>
  <c r="AM172" i="36"/>
  <c r="AL172" i="36"/>
  <c r="AJ172" i="36"/>
  <c r="AI172" i="36"/>
  <c r="AH172" i="36"/>
  <c r="AG172" i="36"/>
  <c r="AA172" i="36"/>
  <c r="X172" i="36"/>
  <c r="Z172" i="36" s="1"/>
  <c r="W172" i="36"/>
  <c r="AQ171" i="36"/>
  <c r="AU171" i="36" s="1"/>
  <c r="AP171" i="36"/>
  <c r="AO171" i="36"/>
  <c r="AN171" i="36"/>
  <c r="AM171" i="36"/>
  <c r="AL171" i="36"/>
  <c r="AJ171" i="36"/>
  <c r="AI171" i="36"/>
  <c r="AH171" i="36"/>
  <c r="AG171" i="36"/>
  <c r="AA171" i="36"/>
  <c r="X171" i="36"/>
  <c r="Z171" i="36" s="1"/>
  <c r="W171" i="36"/>
  <c r="AQ170" i="36"/>
  <c r="AU170" i="36" s="1"/>
  <c r="AP170" i="36"/>
  <c r="AO170" i="36"/>
  <c r="AN170" i="36"/>
  <c r="AM170" i="36"/>
  <c r="AL170" i="36"/>
  <c r="AJ170" i="36"/>
  <c r="AI170" i="36"/>
  <c r="AH170" i="36"/>
  <c r="AG170" i="36"/>
  <c r="AA170" i="36"/>
  <c r="X170" i="36"/>
  <c r="Z170" i="36" s="1"/>
  <c r="W170" i="36"/>
  <c r="AQ169" i="36"/>
  <c r="AS169" i="36" s="1"/>
  <c r="AP169" i="36"/>
  <c r="AO169" i="36"/>
  <c r="AN169" i="36"/>
  <c r="AM169" i="36"/>
  <c r="AL169" i="36"/>
  <c r="AJ169" i="36"/>
  <c r="AI169" i="36"/>
  <c r="AH169" i="36"/>
  <c r="AG169" i="36"/>
  <c r="AA169" i="36"/>
  <c r="X169" i="36"/>
  <c r="Y169" i="36" s="1"/>
  <c r="W169" i="36"/>
  <c r="AQ168" i="36"/>
  <c r="AS168" i="36" s="1"/>
  <c r="AP168" i="36"/>
  <c r="AO168" i="36"/>
  <c r="AN168" i="36"/>
  <c r="AM168" i="36"/>
  <c r="AL168" i="36"/>
  <c r="AJ168" i="36"/>
  <c r="AI168" i="36"/>
  <c r="AH168" i="36"/>
  <c r="AG168" i="36"/>
  <c r="AA168" i="36"/>
  <c r="X168" i="36"/>
  <c r="Y168" i="36" s="1"/>
  <c r="W168" i="36"/>
  <c r="AQ167" i="36"/>
  <c r="AT167" i="36" s="1"/>
  <c r="AP167" i="36"/>
  <c r="AO167" i="36"/>
  <c r="AN167" i="36"/>
  <c r="AM167" i="36"/>
  <c r="AL167" i="36"/>
  <c r="AJ167" i="36"/>
  <c r="AI167" i="36"/>
  <c r="AH167" i="36"/>
  <c r="AG167" i="36"/>
  <c r="AA167" i="36"/>
  <c r="X167" i="36"/>
  <c r="Z167" i="36" s="1"/>
  <c r="W167" i="36"/>
  <c r="AQ166" i="36"/>
  <c r="AP166" i="36"/>
  <c r="AO166" i="36"/>
  <c r="AN166" i="36"/>
  <c r="AG166" i="36" s="1"/>
  <c r="AH166" i="36"/>
  <c r="AJ166" i="36" s="1"/>
  <c r="AA166" i="36"/>
  <c r="X166" i="36"/>
  <c r="Z166" i="36" s="1"/>
  <c r="W166" i="36"/>
  <c r="AQ165" i="36"/>
  <c r="AT165" i="36" s="1"/>
  <c r="AP165" i="36"/>
  <c r="AO165" i="36"/>
  <c r="AN165" i="36"/>
  <c r="AG165" i="36" s="1"/>
  <c r="AH165" i="36"/>
  <c r="AL165" i="36" s="1"/>
  <c r="AA165" i="36"/>
  <c r="X165" i="36"/>
  <c r="Z165" i="36" s="1"/>
  <c r="W165" i="36"/>
  <c r="AQ164" i="36"/>
  <c r="AU164" i="36" s="1"/>
  <c r="AP164" i="36"/>
  <c r="AO164" i="36"/>
  <c r="AN164" i="36"/>
  <c r="AG164" i="36" s="1"/>
  <c r="AH164" i="36"/>
  <c r="AA164" i="36"/>
  <c r="X164" i="36"/>
  <c r="Z164" i="36" s="1"/>
  <c r="W164" i="36"/>
  <c r="AQ163" i="36"/>
  <c r="AU163" i="36" s="1"/>
  <c r="AP163" i="36"/>
  <c r="AO163" i="36"/>
  <c r="AN163" i="36"/>
  <c r="AM163" i="36"/>
  <c r="AL163" i="36"/>
  <c r="AJ163" i="36"/>
  <c r="AI163" i="36"/>
  <c r="AH163" i="36"/>
  <c r="AG163" i="36"/>
  <c r="AA163" i="36"/>
  <c r="X163" i="36"/>
  <c r="Y163" i="36" s="1"/>
  <c r="W163" i="36"/>
  <c r="AQ162" i="36"/>
  <c r="AU162" i="36" s="1"/>
  <c r="AP162" i="36"/>
  <c r="AO162" i="36"/>
  <c r="AN162" i="36"/>
  <c r="AG162" i="36" s="1"/>
  <c r="AH162" i="36"/>
  <c r="AI162" i="36" s="1"/>
  <c r="AA162" i="36"/>
  <c r="X162" i="36"/>
  <c r="Y162" i="36" s="1"/>
  <c r="W162" i="36"/>
  <c r="AQ161" i="36"/>
  <c r="AS161" i="36" s="1"/>
  <c r="AP161" i="36"/>
  <c r="AO161" i="36"/>
  <c r="AN161" i="36"/>
  <c r="AG161" i="36" s="1"/>
  <c r="AH161" i="36"/>
  <c r="AL161" i="36" s="1"/>
  <c r="AA161" i="36"/>
  <c r="X161" i="36"/>
  <c r="Y161" i="36" s="1"/>
  <c r="W161" i="36"/>
  <c r="AQ160" i="36"/>
  <c r="AS160" i="36" s="1"/>
  <c r="AP160" i="36"/>
  <c r="AO160" i="36"/>
  <c r="AN160" i="36"/>
  <c r="AG160" i="36" s="1"/>
  <c r="AH160" i="36"/>
  <c r="AI160" i="36" s="1"/>
  <c r="AA160" i="36"/>
  <c r="X160" i="36"/>
  <c r="Z160" i="36" s="1"/>
  <c r="W160" i="36"/>
  <c r="AQ159" i="36"/>
  <c r="AP159" i="36"/>
  <c r="AO159" i="36"/>
  <c r="AN159" i="36"/>
  <c r="AG159" i="36" s="1"/>
  <c r="AH159" i="36"/>
  <c r="AI159" i="36" s="1"/>
  <c r="AA159" i="36"/>
  <c r="X159" i="36"/>
  <c r="Z159" i="36" s="1"/>
  <c r="W159" i="36"/>
  <c r="AQ158" i="36"/>
  <c r="AU158" i="36" s="1"/>
  <c r="AP158" i="36"/>
  <c r="AO158" i="36"/>
  <c r="AN158" i="36"/>
  <c r="AG158" i="36" s="1"/>
  <c r="AH158" i="36"/>
  <c r="AA158" i="36"/>
  <c r="X158" i="36"/>
  <c r="Z158" i="36" s="1"/>
  <c r="W158" i="36"/>
  <c r="AQ157" i="36"/>
  <c r="AR157" i="36" s="1"/>
  <c r="AP157" i="36"/>
  <c r="AO157" i="36"/>
  <c r="AN157" i="36"/>
  <c r="AG157" i="36" s="1"/>
  <c r="AH157" i="36"/>
  <c r="AI157" i="36" s="1"/>
  <c r="AA157" i="36"/>
  <c r="X157" i="36"/>
  <c r="W157" i="36"/>
  <c r="AQ156" i="36"/>
  <c r="AS156" i="36" s="1"/>
  <c r="AP156" i="36"/>
  <c r="AO156" i="36"/>
  <c r="AN156" i="36"/>
  <c r="AG156" i="36" s="1"/>
  <c r="AH156" i="36"/>
  <c r="AA156" i="36"/>
  <c r="X156" i="36"/>
  <c r="Z156" i="36" s="1"/>
  <c r="W156" i="36"/>
  <c r="AQ155" i="36"/>
  <c r="AU155" i="36" s="1"/>
  <c r="AP155" i="36"/>
  <c r="AO155" i="36"/>
  <c r="AN155" i="36"/>
  <c r="AG155" i="36" s="1"/>
  <c r="AH155" i="36"/>
  <c r="AI155" i="36" s="1"/>
  <c r="AA155" i="36"/>
  <c r="X155" i="36"/>
  <c r="Z155" i="36" s="1"/>
  <c r="W155" i="36"/>
  <c r="AQ154" i="36"/>
  <c r="AU154" i="36" s="1"/>
  <c r="AP154" i="36"/>
  <c r="AO154" i="36"/>
  <c r="AN154" i="36"/>
  <c r="AG154" i="36" s="1"/>
  <c r="AH154" i="36"/>
  <c r="AL154" i="36" s="1"/>
  <c r="AA154" i="36"/>
  <c r="X154" i="36"/>
  <c r="Z154" i="36" s="1"/>
  <c r="W154" i="36"/>
  <c r="AQ153" i="36"/>
  <c r="AU153" i="36" s="1"/>
  <c r="AP153" i="36"/>
  <c r="AO153" i="36"/>
  <c r="AN153" i="36"/>
  <c r="AG153" i="36" s="1"/>
  <c r="AH153" i="36"/>
  <c r="AJ153" i="36" s="1"/>
  <c r="AA153" i="36"/>
  <c r="X153" i="36"/>
  <c r="Y153" i="36" s="1"/>
  <c r="W153" i="36"/>
  <c r="AQ152" i="36"/>
  <c r="AS152" i="36" s="1"/>
  <c r="AP152" i="36"/>
  <c r="AO152" i="36"/>
  <c r="AN152" i="36"/>
  <c r="AG152" i="36" s="1"/>
  <c r="AH152" i="36"/>
  <c r="AJ152" i="36" s="1"/>
  <c r="AA152" i="36"/>
  <c r="X152" i="36"/>
  <c r="Y152" i="36" s="1"/>
  <c r="W152" i="36"/>
  <c r="AQ151" i="36"/>
  <c r="AT151" i="36" s="1"/>
  <c r="AP151" i="36"/>
  <c r="AO151" i="36"/>
  <c r="AN151" i="36"/>
  <c r="AG151" i="36" s="1"/>
  <c r="AH151" i="36"/>
  <c r="AI151" i="36" s="1"/>
  <c r="AA151" i="36"/>
  <c r="X151" i="36"/>
  <c r="Z151" i="36" s="1"/>
  <c r="W151" i="36"/>
  <c r="AQ150" i="36"/>
  <c r="AU150" i="36" s="1"/>
  <c r="AP150" i="36"/>
  <c r="AO150" i="36"/>
  <c r="AN150" i="36"/>
  <c r="AG150" i="36" s="1"/>
  <c r="AH150" i="36"/>
  <c r="AA150" i="36"/>
  <c r="X150" i="36"/>
  <c r="Y150" i="36" s="1"/>
  <c r="W150" i="36"/>
  <c r="AQ149" i="36"/>
  <c r="AS149" i="36" s="1"/>
  <c r="AP149" i="36"/>
  <c r="AO149" i="36"/>
  <c r="AN149" i="36"/>
  <c r="AG149" i="36" s="1"/>
  <c r="AH149" i="36"/>
  <c r="AA149" i="36"/>
  <c r="X149" i="36"/>
  <c r="Z149" i="36" s="1"/>
  <c r="W149" i="36"/>
  <c r="AQ148" i="36"/>
  <c r="AP148" i="36"/>
  <c r="AO148" i="36"/>
  <c r="AN148" i="36"/>
  <c r="AG148" i="36" s="1"/>
  <c r="AH148" i="36"/>
  <c r="AA148" i="36"/>
  <c r="X148" i="36"/>
  <c r="Y148" i="36" s="1"/>
  <c r="W148" i="36"/>
  <c r="AQ147" i="36"/>
  <c r="AP147" i="36"/>
  <c r="AO147" i="36"/>
  <c r="AN147" i="36"/>
  <c r="AG147" i="36" s="1"/>
  <c r="AH147" i="36"/>
  <c r="AA147" i="36"/>
  <c r="X147" i="36"/>
  <c r="Y147" i="36" s="1"/>
  <c r="W147" i="36"/>
  <c r="AQ146" i="36"/>
  <c r="AP146" i="36"/>
  <c r="AO146" i="36"/>
  <c r="AN146" i="36"/>
  <c r="AG146" i="36" s="1"/>
  <c r="AH146" i="36"/>
  <c r="AL146" i="36" s="1"/>
  <c r="AA146" i="36"/>
  <c r="X146" i="36"/>
  <c r="Z146" i="36" s="1"/>
  <c r="W146" i="36"/>
  <c r="AQ145" i="36"/>
  <c r="AR145" i="36" s="1"/>
  <c r="AP145" i="36"/>
  <c r="AO145" i="36"/>
  <c r="AN145" i="36"/>
  <c r="AG145" i="36" s="1"/>
  <c r="AH145" i="36"/>
  <c r="AJ145" i="36" s="1"/>
  <c r="AA145" i="36"/>
  <c r="X145" i="36"/>
  <c r="Z145" i="36" s="1"/>
  <c r="W145" i="36"/>
  <c r="V145" i="36"/>
  <c r="AQ144" i="36"/>
  <c r="AU144" i="36" s="1"/>
  <c r="AP144" i="36"/>
  <c r="AO144" i="36"/>
  <c r="AN144" i="36"/>
  <c r="AG144" i="36" s="1"/>
  <c r="AH144" i="36"/>
  <c r="AA144" i="36"/>
  <c r="AQ142" i="36"/>
  <c r="AP142" i="36"/>
  <c r="AO142" i="36"/>
  <c r="AN142" i="36"/>
  <c r="AM142" i="36"/>
  <c r="AL142" i="36"/>
  <c r="AJ142" i="36"/>
  <c r="AI142" i="36"/>
  <c r="AH142" i="36"/>
  <c r="AG142" i="36"/>
  <c r="AA142" i="36"/>
  <c r="X142" i="36"/>
  <c r="Z142" i="36" s="1"/>
  <c r="W142" i="36"/>
  <c r="AQ141" i="36"/>
  <c r="AS141" i="36" s="1"/>
  <c r="AP141" i="36"/>
  <c r="AO141" i="36"/>
  <c r="AN141" i="36"/>
  <c r="AM141" i="36"/>
  <c r="AL141" i="36"/>
  <c r="AJ141" i="36"/>
  <c r="AI141" i="36"/>
  <c r="AH141" i="36"/>
  <c r="AG141" i="36"/>
  <c r="AA141" i="36"/>
  <c r="X141" i="36"/>
  <c r="Z141" i="36" s="1"/>
  <c r="W141" i="36"/>
  <c r="AQ140" i="36"/>
  <c r="AP140" i="36"/>
  <c r="AO140" i="36"/>
  <c r="AN140" i="36"/>
  <c r="AM140" i="36"/>
  <c r="AL140" i="36"/>
  <c r="AJ140" i="36"/>
  <c r="AI140" i="36"/>
  <c r="AH140" i="36"/>
  <c r="AG140" i="36"/>
  <c r="AA140" i="36"/>
  <c r="X140" i="36"/>
  <c r="Y140" i="36" s="1"/>
  <c r="W140" i="36"/>
  <c r="AQ139" i="36"/>
  <c r="AU139" i="36" s="1"/>
  <c r="AP139" i="36"/>
  <c r="AO139" i="36"/>
  <c r="AN139" i="36"/>
  <c r="AM139" i="36"/>
  <c r="AL139" i="36"/>
  <c r="AJ139" i="36"/>
  <c r="AI139" i="36"/>
  <c r="AH139" i="36"/>
  <c r="AG139" i="36"/>
  <c r="AA139" i="36"/>
  <c r="X139" i="36"/>
  <c r="W139" i="36"/>
  <c r="AQ138" i="36"/>
  <c r="AU138" i="36" s="1"/>
  <c r="AP138" i="36"/>
  <c r="AO138" i="36"/>
  <c r="AN138" i="36"/>
  <c r="AM138" i="36"/>
  <c r="AL138" i="36"/>
  <c r="AJ138" i="36"/>
  <c r="AI138" i="36"/>
  <c r="AH138" i="36"/>
  <c r="AG138" i="36"/>
  <c r="AA138" i="36"/>
  <c r="X138" i="36"/>
  <c r="W138" i="36"/>
  <c r="AQ137" i="36"/>
  <c r="AT137" i="36" s="1"/>
  <c r="AP137" i="36"/>
  <c r="AO137" i="36"/>
  <c r="AN137" i="36"/>
  <c r="AM137" i="36"/>
  <c r="AL137" i="36"/>
  <c r="AJ137" i="36"/>
  <c r="AI137" i="36"/>
  <c r="AH137" i="36"/>
  <c r="AG137" i="36"/>
  <c r="AA137" i="36"/>
  <c r="X137" i="36"/>
  <c r="Z137" i="36" s="1"/>
  <c r="W137" i="36"/>
  <c r="AQ136" i="36"/>
  <c r="AP136" i="36"/>
  <c r="AO136" i="36"/>
  <c r="AN136" i="36"/>
  <c r="AM136" i="36"/>
  <c r="AL136" i="36"/>
  <c r="AJ136" i="36"/>
  <c r="AI136" i="36"/>
  <c r="AH136" i="36"/>
  <c r="AG136" i="36"/>
  <c r="AA136" i="36"/>
  <c r="X136" i="36"/>
  <c r="Y136" i="36" s="1"/>
  <c r="W136" i="36"/>
  <c r="AQ135" i="36"/>
  <c r="AR135" i="36" s="1"/>
  <c r="AP135" i="36"/>
  <c r="AO135" i="36"/>
  <c r="AN135" i="36"/>
  <c r="AM135" i="36"/>
  <c r="AL135" i="36"/>
  <c r="AJ135" i="36"/>
  <c r="AI135" i="36"/>
  <c r="AH135" i="36"/>
  <c r="AG135" i="36"/>
  <c r="AA135" i="36"/>
  <c r="X135" i="36"/>
  <c r="Y135" i="36" s="1"/>
  <c r="W135" i="36"/>
  <c r="AQ134" i="36"/>
  <c r="AT134" i="36" s="1"/>
  <c r="AP134" i="36"/>
  <c r="AO134" i="36"/>
  <c r="AN134" i="36"/>
  <c r="AM134" i="36"/>
  <c r="AL134" i="36"/>
  <c r="AJ134" i="36"/>
  <c r="AI134" i="36"/>
  <c r="AH134" i="36"/>
  <c r="AG134" i="36"/>
  <c r="AA134" i="36"/>
  <c r="X134" i="36"/>
  <c r="Z134" i="36" s="1"/>
  <c r="W134" i="36"/>
  <c r="AQ133" i="36"/>
  <c r="AT133" i="36" s="1"/>
  <c r="AP133" i="36"/>
  <c r="AO133" i="36"/>
  <c r="AN133" i="36"/>
  <c r="AM133" i="36"/>
  <c r="AL133" i="36"/>
  <c r="AJ133" i="36"/>
  <c r="AI133" i="36"/>
  <c r="AH133" i="36"/>
  <c r="AG133" i="36"/>
  <c r="AA133" i="36"/>
  <c r="X133" i="36"/>
  <c r="Y133" i="36" s="1"/>
  <c r="W133" i="36"/>
  <c r="AQ132" i="36"/>
  <c r="AP132" i="36"/>
  <c r="AO132" i="36"/>
  <c r="AN132" i="36"/>
  <c r="AM132" i="36"/>
  <c r="AL132" i="36"/>
  <c r="AJ132" i="36"/>
  <c r="AI132" i="36"/>
  <c r="AH132" i="36"/>
  <c r="AG132" i="36"/>
  <c r="AA132" i="36"/>
  <c r="X132" i="36"/>
  <c r="Y132" i="36" s="1"/>
  <c r="W132" i="36"/>
  <c r="AQ131" i="36"/>
  <c r="AP131" i="36"/>
  <c r="AO131" i="36"/>
  <c r="AN131" i="36"/>
  <c r="AM131" i="36"/>
  <c r="AL131" i="36"/>
  <c r="AJ131" i="36"/>
  <c r="AI131" i="36"/>
  <c r="AH131" i="36"/>
  <c r="AG131" i="36"/>
  <c r="AA131" i="36"/>
  <c r="X131" i="36"/>
  <c r="W131" i="36"/>
  <c r="AQ130" i="36"/>
  <c r="AP130" i="36"/>
  <c r="AO130" i="36"/>
  <c r="AN130" i="36"/>
  <c r="AM130" i="36"/>
  <c r="AL130" i="36"/>
  <c r="AJ130" i="36"/>
  <c r="AI130" i="36"/>
  <c r="AH130" i="36"/>
  <c r="AG130" i="36"/>
  <c r="AA130" i="36"/>
  <c r="X130" i="36"/>
  <c r="Z130" i="36" s="1"/>
  <c r="W130" i="36"/>
  <c r="AQ129" i="36"/>
  <c r="AS129" i="36" s="1"/>
  <c r="AP129" i="36"/>
  <c r="AO129" i="36"/>
  <c r="AN129" i="36"/>
  <c r="AM129" i="36"/>
  <c r="AL129" i="36"/>
  <c r="AJ129" i="36"/>
  <c r="AI129" i="36"/>
  <c r="AH129" i="36"/>
  <c r="AG129" i="36"/>
  <c r="AA129" i="36"/>
  <c r="X129" i="36"/>
  <c r="Z129" i="36" s="1"/>
  <c r="W129" i="36"/>
  <c r="AQ128" i="36"/>
  <c r="AP128" i="36"/>
  <c r="AO128" i="36"/>
  <c r="AN128" i="36"/>
  <c r="AG128" i="36" s="1"/>
  <c r="AH128" i="36"/>
  <c r="AI128" i="36" s="1"/>
  <c r="AA128" i="36"/>
  <c r="X128" i="36"/>
  <c r="Y128" i="36" s="1"/>
  <c r="W128" i="36"/>
  <c r="AQ127" i="36"/>
  <c r="AT127" i="36" s="1"/>
  <c r="AP127" i="36"/>
  <c r="AO127" i="36"/>
  <c r="AN127" i="36"/>
  <c r="AG127" i="36" s="1"/>
  <c r="AH127" i="36"/>
  <c r="AA127" i="36"/>
  <c r="X127" i="36"/>
  <c r="Y127" i="36" s="1"/>
  <c r="W127" i="36"/>
  <c r="AQ126" i="36"/>
  <c r="AU126" i="36" s="1"/>
  <c r="AP126" i="36"/>
  <c r="AO126" i="36"/>
  <c r="AN126" i="36"/>
  <c r="AM126" i="36"/>
  <c r="AL126" i="36"/>
  <c r="AJ126" i="36"/>
  <c r="AI126" i="36"/>
  <c r="AH126" i="36"/>
  <c r="AG126" i="36"/>
  <c r="AA126" i="36"/>
  <c r="X126" i="36"/>
  <c r="Z126" i="36" s="1"/>
  <c r="W126" i="36"/>
  <c r="AQ125" i="36"/>
  <c r="AU125" i="36" s="1"/>
  <c r="AP125" i="36"/>
  <c r="AH125" i="36" s="1"/>
  <c r="AJ125" i="36" s="1"/>
  <c r="AO125" i="36"/>
  <c r="AN125" i="36"/>
  <c r="AG125" i="36" s="1"/>
  <c r="AA125" i="36"/>
  <c r="X125" i="36"/>
  <c r="Z125" i="36" s="1"/>
  <c r="W125" i="36"/>
  <c r="AQ124" i="36"/>
  <c r="AP124" i="36"/>
  <c r="AO124" i="36"/>
  <c r="AN124" i="36"/>
  <c r="AG124" i="36" s="1"/>
  <c r="AH124" i="36"/>
  <c r="AJ124" i="36" s="1"/>
  <c r="AA124" i="36"/>
  <c r="X124" i="36"/>
  <c r="Y124" i="36" s="1"/>
  <c r="W124" i="36"/>
  <c r="AQ123" i="36"/>
  <c r="AU123" i="36" s="1"/>
  <c r="AP123" i="36"/>
  <c r="AO123" i="36"/>
  <c r="AN123" i="36"/>
  <c r="AG123" i="36" s="1"/>
  <c r="AH123" i="36"/>
  <c r="AJ123" i="36" s="1"/>
  <c r="AA123" i="36"/>
  <c r="X123" i="36"/>
  <c r="W123" i="36"/>
  <c r="AQ122" i="36"/>
  <c r="AU122" i="36" s="1"/>
  <c r="AP122" i="36"/>
  <c r="AO122" i="36"/>
  <c r="AN122" i="36"/>
  <c r="AG122" i="36" s="1"/>
  <c r="AH122" i="36"/>
  <c r="AA122" i="36"/>
  <c r="X122" i="36"/>
  <c r="Y122" i="36" s="1"/>
  <c r="W122" i="36"/>
  <c r="AQ121" i="36"/>
  <c r="AU121" i="36" s="1"/>
  <c r="AP121" i="36"/>
  <c r="AH121" i="36" s="1"/>
  <c r="AJ121" i="36" s="1"/>
  <c r="AO121" i="36"/>
  <c r="AN121" i="36"/>
  <c r="AG121" i="36" s="1"/>
  <c r="AA121" i="36"/>
  <c r="X121" i="36"/>
  <c r="W121" i="36"/>
  <c r="BB120" i="36"/>
  <c r="AQ120" i="36"/>
  <c r="AS120" i="36" s="1"/>
  <c r="AP120" i="36"/>
  <c r="AO120" i="36"/>
  <c r="AN120" i="36"/>
  <c r="AG120" i="36" s="1"/>
  <c r="AH120" i="36"/>
  <c r="AL120" i="36" s="1"/>
  <c r="AA120" i="36"/>
  <c r="X120" i="36"/>
  <c r="W120" i="36"/>
  <c r="AQ119" i="36"/>
  <c r="AP119" i="36"/>
  <c r="AO119" i="36"/>
  <c r="AN119" i="36"/>
  <c r="AG119" i="36" s="1"/>
  <c r="AH119" i="36"/>
  <c r="AA119" i="36"/>
  <c r="X119" i="36"/>
  <c r="Z119" i="36" s="1"/>
  <c r="W119" i="36"/>
  <c r="AQ118" i="36"/>
  <c r="AR118" i="36" s="1"/>
  <c r="AP118" i="36"/>
  <c r="AO118" i="36"/>
  <c r="AN118" i="36"/>
  <c r="AG118" i="36" s="1"/>
  <c r="AH118" i="36"/>
  <c r="AA118" i="36"/>
  <c r="X118" i="36"/>
  <c r="Y118" i="36" s="1"/>
  <c r="W118" i="36"/>
  <c r="AQ117" i="36"/>
  <c r="AU117" i="36" s="1"/>
  <c r="AP117" i="36"/>
  <c r="AO117" i="36"/>
  <c r="AN117" i="36"/>
  <c r="AG117" i="36" s="1"/>
  <c r="AH117" i="36"/>
  <c r="AA117" i="36"/>
  <c r="X117" i="36"/>
  <c r="W117" i="36"/>
  <c r="AQ116" i="36"/>
  <c r="AP116" i="36"/>
  <c r="AO116" i="36"/>
  <c r="AN116" i="36"/>
  <c r="AG116" i="36" s="1"/>
  <c r="AH116" i="36"/>
  <c r="AJ116" i="36" s="1"/>
  <c r="AA116" i="36"/>
  <c r="X116" i="36"/>
  <c r="W116" i="36"/>
  <c r="AQ115" i="36"/>
  <c r="AU115" i="36" s="1"/>
  <c r="AP115" i="36"/>
  <c r="AO115" i="36"/>
  <c r="AN115" i="36"/>
  <c r="AG115" i="36" s="1"/>
  <c r="AH115" i="36"/>
  <c r="AJ115" i="36" s="1"/>
  <c r="AA115" i="36"/>
  <c r="X115" i="36"/>
  <c r="Z115" i="36" s="1"/>
  <c r="W115" i="36"/>
  <c r="AQ114" i="36"/>
  <c r="AU114" i="36" s="1"/>
  <c r="AP114" i="36"/>
  <c r="AO114" i="36"/>
  <c r="AN114" i="36"/>
  <c r="AG114" i="36" s="1"/>
  <c r="AH114" i="36"/>
  <c r="AL114" i="36" s="1"/>
  <c r="AA114" i="36"/>
  <c r="X114" i="36"/>
  <c r="Z114" i="36" s="1"/>
  <c r="W114" i="36"/>
  <c r="AQ113" i="36"/>
  <c r="AS113" i="36" s="1"/>
  <c r="AP113" i="36"/>
  <c r="AO113" i="36"/>
  <c r="AN113" i="36"/>
  <c r="AG113" i="36" s="1"/>
  <c r="AH113" i="36"/>
  <c r="AJ113" i="36" s="1"/>
  <c r="AA113" i="36"/>
  <c r="X113" i="36"/>
  <c r="Z113" i="36" s="1"/>
  <c r="W113" i="36"/>
  <c r="AQ112" i="36"/>
  <c r="AP112" i="36"/>
  <c r="AO112" i="36"/>
  <c r="AN112" i="36"/>
  <c r="AG112" i="36" s="1"/>
  <c r="AH112" i="36"/>
  <c r="AJ112" i="36" s="1"/>
  <c r="AA112" i="36"/>
  <c r="X112" i="36"/>
  <c r="W112" i="36"/>
  <c r="AQ111" i="36"/>
  <c r="AP111" i="36"/>
  <c r="AO111" i="36"/>
  <c r="AN111" i="36"/>
  <c r="AG111" i="36" s="1"/>
  <c r="AH111" i="36"/>
  <c r="AL111" i="36" s="1"/>
  <c r="AA111" i="36"/>
  <c r="X111" i="36"/>
  <c r="W111" i="36"/>
  <c r="AQ110" i="36"/>
  <c r="AU110" i="36" s="1"/>
  <c r="AP110" i="36"/>
  <c r="AO110" i="36"/>
  <c r="AN110" i="36"/>
  <c r="AG110" i="36" s="1"/>
  <c r="AH110" i="36"/>
  <c r="AA110" i="36"/>
  <c r="X110" i="36"/>
  <c r="Y110" i="36" s="1"/>
  <c r="W110" i="36"/>
  <c r="AQ109" i="36"/>
  <c r="AR109" i="36" s="1"/>
  <c r="AP109" i="36"/>
  <c r="AO109" i="36"/>
  <c r="AN109" i="36"/>
  <c r="AG109" i="36" s="1"/>
  <c r="AH109" i="36"/>
  <c r="AI109" i="36" s="1"/>
  <c r="AA109" i="36"/>
  <c r="X109" i="36"/>
  <c r="Y109" i="36" s="1"/>
  <c r="W109" i="36"/>
  <c r="V109" i="36"/>
  <c r="AQ108" i="36"/>
  <c r="AU108" i="36" s="1"/>
  <c r="AP108" i="36"/>
  <c r="AO108" i="36"/>
  <c r="AN108" i="36"/>
  <c r="AG108" i="36" s="1"/>
  <c r="AH108" i="36"/>
  <c r="AI108" i="36" s="1"/>
  <c r="AQ106" i="36"/>
  <c r="AP106" i="36"/>
  <c r="AO106" i="36"/>
  <c r="AN106" i="36"/>
  <c r="AG106" i="36" s="1"/>
  <c r="AH106" i="36"/>
  <c r="AL106" i="36" s="1"/>
  <c r="AA106" i="36"/>
  <c r="X106" i="36"/>
  <c r="W106" i="36"/>
  <c r="AQ105" i="36"/>
  <c r="AU105" i="36" s="1"/>
  <c r="AP105" i="36"/>
  <c r="AO105" i="36"/>
  <c r="AN105" i="36"/>
  <c r="AG105" i="36" s="1"/>
  <c r="AH105" i="36"/>
  <c r="AA105" i="36"/>
  <c r="X105" i="36"/>
  <c r="Z105" i="36" s="1"/>
  <c r="W105" i="36"/>
  <c r="AQ104" i="36"/>
  <c r="AP104" i="36"/>
  <c r="AO104" i="36"/>
  <c r="AN104" i="36"/>
  <c r="AM104" i="36"/>
  <c r="AL104" i="36"/>
  <c r="AJ104" i="36"/>
  <c r="AI104" i="36"/>
  <c r="AH104" i="36"/>
  <c r="AG104" i="36"/>
  <c r="AA104" i="36"/>
  <c r="X104" i="36"/>
  <c r="Z104" i="36" s="1"/>
  <c r="W104" i="36"/>
  <c r="AQ103" i="36"/>
  <c r="AT103" i="36" s="1"/>
  <c r="AP103" i="36"/>
  <c r="AO103" i="36"/>
  <c r="AN103" i="36"/>
  <c r="AM103" i="36"/>
  <c r="AL103" i="36"/>
  <c r="AJ103" i="36"/>
  <c r="AI103" i="36"/>
  <c r="AH103" i="36"/>
  <c r="AG103" i="36"/>
  <c r="AA103" i="36"/>
  <c r="X103" i="36"/>
  <c r="Y103" i="36" s="1"/>
  <c r="W103" i="36"/>
  <c r="AQ102" i="36"/>
  <c r="AP102" i="36"/>
  <c r="AO102" i="36"/>
  <c r="AN102" i="36"/>
  <c r="AM102" i="36"/>
  <c r="AL102" i="36"/>
  <c r="AJ102" i="36"/>
  <c r="AI102" i="36"/>
  <c r="AH102" i="36"/>
  <c r="AG102" i="36"/>
  <c r="AA102" i="36"/>
  <c r="X102" i="36"/>
  <c r="W102" i="36"/>
  <c r="AQ101" i="36"/>
  <c r="AU101" i="36" s="1"/>
  <c r="AP101" i="36"/>
  <c r="AO101" i="36"/>
  <c r="AN101" i="36"/>
  <c r="AM101" i="36"/>
  <c r="AL101" i="36"/>
  <c r="AJ101" i="36"/>
  <c r="AI101" i="36"/>
  <c r="AH101" i="36"/>
  <c r="AG101" i="36"/>
  <c r="AA101" i="36"/>
  <c r="X101" i="36"/>
  <c r="Y101" i="36" s="1"/>
  <c r="W101" i="36"/>
  <c r="AQ100" i="36"/>
  <c r="AR100" i="36" s="1"/>
  <c r="AP100" i="36"/>
  <c r="AO100" i="36"/>
  <c r="AN100" i="36"/>
  <c r="AM100" i="36"/>
  <c r="AL100" i="36"/>
  <c r="AJ100" i="36"/>
  <c r="AI100" i="36"/>
  <c r="AH100" i="36"/>
  <c r="AG100" i="36"/>
  <c r="AA100" i="36"/>
  <c r="X100" i="36"/>
  <c r="Z100" i="36" s="1"/>
  <c r="W100" i="36"/>
  <c r="AQ99" i="36"/>
  <c r="AT99" i="36" s="1"/>
  <c r="AP99" i="36"/>
  <c r="AO99" i="36"/>
  <c r="AN99" i="36"/>
  <c r="AM99" i="36"/>
  <c r="AL99" i="36"/>
  <c r="AJ99" i="36"/>
  <c r="AI99" i="36"/>
  <c r="AH99" i="36"/>
  <c r="AG99" i="36"/>
  <c r="AA99" i="36"/>
  <c r="X99" i="36"/>
  <c r="Z99" i="36" s="1"/>
  <c r="W99" i="36"/>
  <c r="AQ98" i="36"/>
  <c r="AP98" i="36"/>
  <c r="AO98" i="36"/>
  <c r="AN98" i="36"/>
  <c r="AM98" i="36"/>
  <c r="AL98" i="36"/>
  <c r="AJ98" i="36"/>
  <c r="AI98" i="36"/>
  <c r="AH98" i="36"/>
  <c r="AG98" i="36"/>
  <c r="AA98" i="36"/>
  <c r="X98" i="36"/>
  <c r="W98" i="36"/>
  <c r="AQ97" i="36"/>
  <c r="AP97" i="36"/>
  <c r="AO97" i="36"/>
  <c r="AN97" i="36"/>
  <c r="AM97" i="36"/>
  <c r="AL97" i="36"/>
  <c r="AJ97" i="36"/>
  <c r="AI97" i="36"/>
  <c r="AH97" i="36"/>
  <c r="AG97" i="36"/>
  <c r="AA97" i="36"/>
  <c r="X97" i="36"/>
  <c r="Y97" i="36" s="1"/>
  <c r="W97" i="36"/>
  <c r="AQ96" i="36"/>
  <c r="AU96" i="36" s="1"/>
  <c r="AP96" i="36"/>
  <c r="AO96" i="36"/>
  <c r="AN96" i="36"/>
  <c r="AM96" i="36"/>
  <c r="AL96" i="36"/>
  <c r="AJ96" i="36"/>
  <c r="AI96" i="36"/>
  <c r="AH96" i="36"/>
  <c r="AG96" i="36"/>
  <c r="AA96" i="36"/>
  <c r="X96" i="36"/>
  <c r="W96" i="36"/>
  <c r="AQ95" i="36"/>
  <c r="AR95" i="36" s="1"/>
  <c r="AP95" i="36"/>
  <c r="AO95" i="36"/>
  <c r="AN95" i="36"/>
  <c r="AM95" i="36"/>
  <c r="AL95" i="36"/>
  <c r="AJ95" i="36"/>
  <c r="AI95" i="36"/>
  <c r="AH95" i="36"/>
  <c r="AG95" i="36"/>
  <c r="AA95" i="36"/>
  <c r="X95" i="36"/>
  <c r="Y95" i="36" s="1"/>
  <c r="W95" i="36"/>
  <c r="AQ94" i="36"/>
  <c r="AS94" i="36" s="1"/>
  <c r="AP94" i="36"/>
  <c r="AO94" i="36"/>
  <c r="AN94" i="36"/>
  <c r="AM94" i="36"/>
  <c r="AL94" i="36"/>
  <c r="AJ94" i="36"/>
  <c r="AI94" i="36"/>
  <c r="AH94" i="36"/>
  <c r="AG94" i="36"/>
  <c r="AA94" i="36"/>
  <c r="X94" i="36"/>
  <c r="W94" i="36"/>
  <c r="AQ93" i="36"/>
  <c r="AU93" i="36" s="1"/>
  <c r="AP93" i="36"/>
  <c r="AO93" i="36"/>
  <c r="AN93" i="36"/>
  <c r="AM93" i="36"/>
  <c r="AL93" i="36"/>
  <c r="AJ93" i="36"/>
  <c r="AI93" i="36"/>
  <c r="AH93" i="36"/>
  <c r="AG93" i="36"/>
  <c r="AA93" i="36"/>
  <c r="X93" i="36"/>
  <c r="Z93" i="36" s="1"/>
  <c r="W93" i="36"/>
  <c r="AQ92" i="36"/>
  <c r="AT92" i="36" s="1"/>
  <c r="AP92" i="36"/>
  <c r="AO92" i="36"/>
  <c r="AN92" i="36"/>
  <c r="AM92" i="36"/>
  <c r="AL92" i="36"/>
  <c r="AJ92" i="36"/>
  <c r="AI92" i="36"/>
  <c r="AH92" i="36"/>
  <c r="AG92" i="36"/>
  <c r="AA92" i="36"/>
  <c r="X92" i="36"/>
  <c r="Y92" i="36" s="1"/>
  <c r="W92" i="36"/>
  <c r="AQ91" i="36"/>
  <c r="AU91" i="36" s="1"/>
  <c r="AP91" i="36"/>
  <c r="AO91" i="36"/>
  <c r="AN91" i="36"/>
  <c r="AM91" i="36"/>
  <c r="AL91" i="36"/>
  <c r="AJ91" i="36"/>
  <c r="AI91" i="36"/>
  <c r="AH91" i="36"/>
  <c r="AG91" i="36"/>
  <c r="AA91" i="36"/>
  <c r="X91" i="36"/>
  <c r="Z91" i="36" s="1"/>
  <c r="W91" i="36"/>
  <c r="AQ90" i="36"/>
  <c r="AP90" i="36"/>
  <c r="AO90" i="36"/>
  <c r="AN90" i="36"/>
  <c r="AM90" i="36"/>
  <c r="AL90" i="36"/>
  <c r="AJ90" i="36"/>
  <c r="AI90" i="36"/>
  <c r="AH90" i="36"/>
  <c r="AG90" i="36"/>
  <c r="AA90" i="36"/>
  <c r="X90" i="36"/>
  <c r="W90" i="36"/>
  <c r="AQ89" i="36"/>
  <c r="AR89" i="36" s="1"/>
  <c r="AP89" i="36"/>
  <c r="AO89" i="36"/>
  <c r="AN89" i="36"/>
  <c r="AM89" i="36"/>
  <c r="AL89" i="36"/>
  <c r="AJ89" i="36"/>
  <c r="AI89" i="36"/>
  <c r="AH89" i="36"/>
  <c r="AG89" i="36"/>
  <c r="AA89" i="36"/>
  <c r="X89" i="36"/>
  <c r="Y89" i="36" s="1"/>
  <c r="W89" i="36"/>
  <c r="AQ88" i="36"/>
  <c r="AP88" i="36"/>
  <c r="AO88" i="36"/>
  <c r="AN88" i="36"/>
  <c r="AM88" i="36"/>
  <c r="AL88" i="36"/>
  <c r="AJ88" i="36"/>
  <c r="AI88" i="36"/>
  <c r="AH88" i="36"/>
  <c r="AG88" i="36"/>
  <c r="AA88" i="36"/>
  <c r="X88" i="36"/>
  <c r="Z88" i="36" s="1"/>
  <c r="W88" i="36"/>
  <c r="AQ87" i="36"/>
  <c r="AT87" i="36" s="1"/>
  <c r="AP87" i="36"/>
  <c r="AO87" i="36"/>
  <c r="AN87" i="36"/>
  <c r="AM87" i="36"/>
  <c r="AL87" i="36"/>
  <c r="AJ87" i="36"/>
  <c r="AI87" i="36"/>
  <c r="AH87" i="36"/>
  <c r="AG87" i="36"/>
  <c r="AA87" i="36"/>
  <c r="X87" i="36"/>
  <c r="Y87" i="36" s="1"/>
  <c r="W87" i="36"/>
  <c r="AQ86" i="36"/>
  <c r="AS86" i="36" s="1"/>
  <c r="AP86" i="36"/>
  <c r="AO86" i="36"/>
  <c r="AN86" i="36"/>
  <c r="AM86" i="36"/>
  <c r="AL86" i="36"/>
  <c r="AJ86" i="36"/>
  <c r="AI86" i="36"/>
  <c r="AH86" i="36"/>
  <c r="AG86" i="36"/>
  <c r="AA86" i="36"/>
  <c r="X86" i="36"/>
  <c r="W86" i="36"/>
  <c r="AQ85" i="36"/>
  <c r="AR85" i="36" s="1"/>
  <c r="AP85" i="36"/>
  <c r="AO85" i="36"/>
  <c r="AN85" i="36"/>
  <c r="AM85" i="36"/>
  <c r="AL85" i="36"/>
  <c r="AJ85" i="36"/>
  <c r="AI85" i="36"/>
  <c r="AH85" i="36"/>
  <c r="AG85" i="36"/>
  <c r="AA85" i="36"/>
  <c r="X85" i="36"/>
  <c r="Z85" i="36" s="1"/>
  <c r="W85" i="36"/>
  <c r="AQ84" i="36"/>
  <c r="AU84" i="36" s="1"/>
  <c r="AP84" i="36"/>
  <c r="AO84" i="36"/>
  <c r="AN84" i="36"/>
  <c r="AG84" i="36" s="1"/>
  <c r="AH84" i="36"/>
  <c r="AA84" i="36"/>
  <c r="X84" i="36"/>
  <c r="Z84" i="36" s="1"/>
  <c r="W84" i="36"/>
  <c r="AQ83" i="36"/>
  <c r="AU83" i="36" s="1"/>
  <c r="AP83" i="36"/>
  <c r="AO83" i="36"/>
  <c r="AN83" i="36"/>
  <c r="AG83" i="36" s="1"/>
  <c r="AH83" i="36"/>
  <c r="AA83" i="36"/>
  <c r="X83" i="36"/>
  <c r="Z83" i="36" s="1"/>
  <c r="W83" i="36"/>
  <c r="AQ82" i="36"/>
  <c r="AP82" i="36"/>
  <c r="AO82" i="36"/>
  <c r="AN82" i="36"/>
  <c r="AG82" i="36" s="1"/>
  <c r="AH82" i="36"/>
  <c r="AA82" i="36"/>
  <c r="X82" i="36"/>
  <c r="W82" i="36"/>
  <c r="AQ81" i="36"/>
  <c r="AT81" i="36" s="1"/>
  <c r="AP81" i="36"/>
  <c r="AO81" i="36"/>
  <c r="AN81" i="36"/>
  <c r="AG81" i="36" s="1"/>
  <c r="AH81" i="36"/>
  <c r="AL81" i="36" s="1"/>
  <c r="AA81" i="36"/>
  <c r="X81" i="36"/>
  <c r="W81" i="36"/>
  <c r="AQ80" i="36"/>
  <c r="AR80" i="36" s="1"/>
  <c r="AP80" i="36"/>
  <c r="AO80" i="36"/>
  <c r="AN80" i="36"/>
  <c r="AG80" i="36" s="1"/>
  <c r="AH80" i="36"/>
  <c r="AA80" i="36"/>
  <c r="X80" i="36"/>
  <c r="Y80" i="36" s="1"/>
  <c r="W80" i="36"/>
  <c r="AQ79" i="36"/>
  <c r="AP79" i="36"/>
  <c r="AO79" i="36"/>
  <c r="AN79" i="36"/>
  <c r="AG79" i="36" s="1"/>
  <c r="AH79" i="36"/>
  <c r="AI79" i="36" s="1"/>
  <c r="AA79" i="36"/>
  <c r="X79" i="36"/>
  <c r="Z79" i="36" s="1"/>
  <c r="W79" i="36"/>
  <c r="AQ78" i="36"/>
  <c r="AS78" i="36" s="1"/>
  <c r="AP78" i="36"/>
  <c r="AO78" i="36"/>
  <c r="AN78" i="36"/>
  <c r="AG78" i="36" s="1"/>
  <c r="AH78" i="36"/>
  <c r="AA78" i="36"/>
  <c r="X78" i="36"/>
  <c r="W78" i="36"/>
  <c r="AQ77" i="36"/>
  <c r="AP77" i="36"/>
  <c r="AO77" i="36"/>
  <c r="AN77" i="36"/>
  <c r="AG77" i="36" s="1"/>
  <c r="AH77" i="36"/>
  <c r="AJ77" i="36" s="1"/>
  <c r="AA77" i="36"/>
  <c r="X77" i="36"/>
  <c r="Z77" i="36" s="1"/>
  <c r="W77" i="36"/>
  <c r="AQ76" i="36"/>
  <c r="AT76" i="36" s="1"/>
  <c r="AP76" i="36"/>
  <c r="AO76" i="36"/>
  <c r="AN76" i="36"/>
  <c r="AG76" i="36" s="1"/>
  <c r="AH76" i="36"/>
  <c r="AI76" i="36" s="1"/>
  <c r="AA76" i="36"/>
  <c r="X76" i="36"/>
  <c r="Y76" i="36" s="1"/>
  <c r="W76" i="36"/>
  <c r="AQ75" i="36"/>
  <c r="AS75" i="36" s="1"/>
  <c r="AP75" i="36"/>
  <c r="AO75" i="36"/>
  <c r="AN75" i="36"/>
  <c r="AG75" i="36" s="1"/>
  <c r="AH75" i="36"/>
  <c r="AJ75" i="36" s="1"/>
  <c r="AA75" i="36"/>
  <c r="X75" i="36"/>
  <c r="Z75" i="36" s="1"/>
  <c r="W75" i="36"/>
  <c r="AQ74" i="36"/>
  <c r="AP74" i="36"/>
  <c r="AO74" i="36"/>
  <c r="AN74" i="36"/>
  <c r="AG74" i="36" s="1"/>
  <c r="AH74" i="36"/>
  <c r="AI74" i="36" s="1"/>
  <c r="AA74" i="36"/>
  <c r="X74" i="36"/>
  <c r="W74" i="36"/>
  <c r="AQ73" i="36"/>
  <c r="AP73" i="36"/>
  <c r="AO73" i="36"/>
  <c r="AN73" i="36"/>
  <c r="AG73" i="36" s="1"/>
  <c r="AH73" i="36"/>
  <c r="AA73" i="36"/>
  <c r="X73" i="36"/>
  <c r="Y73" i="36" s="1"/>
  <c r="W73" i="36"/>
  <c r="V73" i="36"/>
  <c r="AQ72" i="36"/>
  <c r="AR72" i="36" s="1"/>
  <c r="AP72" i="36"/>
  <c r="AO72" i="36"/>
  <c r="AN72" i="36"/>
  <c r="AG72" i="36" s="1"/>
  <c r="AH72" i="36"/>
  <c r="AI72" i="36" s="1"/>
  <c r="AA72" i="36"/>
  <c r="AY70" i="36"/>
  <c r="AU69" i="36"/>
  <c r="AT69" i="36"/>
  <c r="AS69" i="36"/>
  <c r="AR69" i="36"/>
  <c r="AQ69" i="36"/>
  <c r="AP69" i="36"/>
  <c r="AO69" i="36"/>
  <c r="AN69" i="36"/>
  <c r="AM69" i="36"/>
  <c r="AF69" i="36"/>
  <c r="AE69" i="36"/>
  <c r="AD69" i="36"/>
  <c r="AC69" i="36"/>
  <c r="AB69" i="36"/>
  <c r="AA69" i="36"/>
  <c r="Z69" i="36"/>
  <c r="Y69" i="36"/>
  <c r="X69" i="36"/>
  <c r="W69" i="36"/>
  <c r="V69" i="36"/>
  <c r="T69" i="36"/>
  <c r="R69" i="36"/>
  <c r="AB67" i="36"/>
  <c r="B64" i="36" a="1"/>
  <c r="B64" i="36" s="1"/>
  <c r="B56" i="36" a="1"/>
  <c r="B56" i="36" s="1"/>
  <c r="B55" i="36" a="1"/>
  <c r="B55" i="36" s="1"/>
  <c r="B54" i="36" a="1"/>
  <c r="B54" i="36" s="1"/>
  <c r="B53" i="36" a="1"/>
  <c r="B53" i="36" s="1"/>
  <c r="B52" i="36" a="1"/>
  <c r="B52" i="36" s="1"/>
  <c r="B51" i="36" a="1"/>
  <c r="B51" i="36" s="1"/>
  <c r="B50" i="36" a="1"/>
  <c r="B50" i="36" s="1"/>
  <c r="B49" i="36" a="1"/>
  <c r="B49" i="36" s="1"/>
  <c r="B48" i="36" a="1"/>
  <c r="B48" i="36" s="1"/>
  <c r="B47" i="36" a="1"/>
  <c r="B47" i="36" s="1"/>
  <c r="B46" i="36" a="1"/>
  <c r="B46" i="36" s="1"/>
  <c r="B45" i="36" a="1"/>
  <c r="B45" i="36" s="1"/>
  <c r="B44" i="36" a="1"/>
  <c r="B44" i="36" s="1"/>
  <c r="B43" i="36" a="1"/>
  <c r="B43" i="36" s="1"/>
  <c r="B42" i="36" a="1"/>
  <c r="B42" i="36" s="1"/>
  <c r="B41" i="36" a="1"/>
  <c r="B41" i="36" s="1"/>
  <c r="B40" i="36" a="1"/>
  <c r="B40" i="36" s="1"/>
  <c r="B39" i="36" a="1"/>
  <c r="B39" i="36" s="1"/>
  <c r="B38" i="36" a="1"/>
  <c r="B38" i="36" s="1"/>
  <c r="B37" i="36" a="1"/>
  <c r="B37" i="36" s="1"/>
  <c r="B36" i="36" a="1"/>
  <c r="B36" i="36" s="1"/>
  <c r="B35" i="36" a="1"/>
  <c r="B35" i="36" s="1"/>
  <c r="B34" i="36" a="1"/>
  <c r="B34" i="36" s="1"/>
  <c r="B33" i="36" a="1"/>
  <c r="B33" i="36" s="1"/>
  <c r="B32" i="36" a="1"/>
  <c r="B32" i="36" s="1"/>
  <c r="B31" i="36" a="1"/>
  <c r="B31" i="36" s="1"/>
  <c r="B30" i="36" a="1"/>
  <c r="B30" i="36" s="1"/>
  <c r="B29" i="36" a="1"/>
  <c r="B29" i="36" s="1"/>
  <c r="B28" i="36" a="1"/>
  <c r="B28" i="36" s="1"/>
  <c r="B27" i="36" a="1"/>
  <c r="B27" i="36" s="1"/>
  <c r="B26" i="36" a="1"/>
  <c r="B26" i="36" s="1"/>
  <c r="B25" i="36" a="1"/>
  <c r="B25" i="36" s="1"/>
  <c r="B24" i="36" a="1"/>
  <c r="B24" i="36" s="1"/>
  <c r="B23" i="36" a="1"/>
  <c r="B23" i="36" s="1"/>
  <c r="B22" i="36" a="1"/>
  <c r="B22" i="36" s="1"/>
  <c r="G20" i="36"/>
  <c r="E20" i="36"/>
  <c r="B16" i="36"/>
  <c r="Q15" i="36"/>
  <c r="P15" i="36"/>
  <c r="M15" i="36"/>
  <c r="L15" i="36"/>
  <c r="K15" i="36"/>
  <c r="Q14" i="36"/>
  <c r="P14" i="36"/>
  <c r="M14" i="36"/>
  <c r="L14" i="36"/>
  <c r="K14" i="36"/>
  <c r="Q13" i="36"/>
  <c r="P13" i="36"/>
  <c r="M13" i="36"/>
  <c r="L13" i="36"/>
  <c r="K13" i="36"/>
  <c r="Q12" i="36"/>
  <c r="P12" i="36"/>
  <c r="M12" i="36"/>
  <c r="L12" i="36"/>
  <c r="K12" i="36"/>
  <c r="Q11" i="36"/>
  <c r="P11" i="36"/>
  <c r="M11" i="36"/>
  <c r="L11" i="36"/>
  <c r="K11" i="36"/>
  <c r="G11" i="36" a="1"/>
  <c r="G11" i="36" s="1"/>
  <c r="B11" i="36" a="1"/>
  <c r="B11" i="36" s="1"/>
  <c r="Q10" i="36"/>
  <c r="P10" i="36"/>
  <c r="M10" i="36"/>
  <c r="L10" i="36"/>
  <c r="K10" i="36"/>
  <c r="Q9" i="36"/>
  <c r="P9" i="36"/>
  <c r="M9" i="36"/>
  <c r="L9" i="36"/>
  <c r="K9" i="36"/>
  <c r="Q8" i="36"/>
  <c r="P8" i="36"/>
  <c r="M8" i="36"/>
  <c r="L8" i="36"/>
  <c r="K8" i="36"/>
  <c r="Q7" i="36"/>
  <c r="P7" i="36"/>
  <c r="M7" i="36"/>
  <c r="L7" i="36"/>
  <c r="K7" i="36"/>
  <c r="H7" i="36" a="1"/>
  <c r="H7" i="36" s="1"/>
  <c r="Q6" i="36"/>
  <c r="P6" i="36"/>
  <c r="C20" i="36" s="1" a="1"/>
  <c r="C20" i="36" s="1"/>
  <c r="M6" i="36"/>
  <c r="B6" i="36" s="1" a="1"/>
  <c r="B6" i="36" s="1"/>
  <c r="A1" i="36" s="1"/>
  <c r="L6" i="36"/>
  <c r="B7" i="36" s="1" a="1"/>
  <c r="B7" i="36" s="1"/>
  <c r="K6" i="36"/>
  <c r="BD432" i="35"/>
  <c r="T4" i="35" s="1"/>
  <c r="AQ430" i="35"/>
  <c r="AP430" i="35"/>
  <c r="AO430" i="35"/>
  <c r="AN430" i="35"/>
  <c r="AG430" i="35" s="1"/>
  <c r="AH430" i="35"/>
  <c r="AL430" i="35" s="1"/>
  <c r="AA430" i="35"/>
  <c r="X430" i="35"/>
  <c r="Z430" i="35" s="1"/>
  <c r="W430" i="35"/>
  <c r="AQ429" i="35"/>
  <c r="AP429" i="35"/>
  <c r="AO429" i="35"/>
  <c r="AN429" i="35"/>
  <c r="AM429" i="35"/>
  <c r="AL429" i="35"/>
  <c r="AJ429" i="35"/>
  <c r="AI429" i="35"/>
  <c r="AH429" i="35"/>
  <c r="AG429" i="35"/>
  <c r="AA429" i="35"/>
  <c r="X429" i="35"/>
  <c r="Z429" i="35" s="1"/>
  <c r="W429" i="35"/>
  <c r="AQ428" i="35"/>
  <c r="AR428" i="35" s="1"/>
  <c r="AP428" i="35"/>
  <c r="AO428" i="35"/>
  <c r="AN428" i="35"/>
  <c r="AM428" i="35"/>
  <c r="AL428" i="35"/>
  <c r="AJ428" i="35"/>
  <c r="AI428" i="35"/>
  <c r="AH428" i="35"/>
  <c r="AG428" i="35"/>
  <c r="AA428" i="35"/>
  <c r="X428" i="35"/>
  <c r="Z428" i="35" s="1"/>
  <c r="W428" i="35"/>
  <c r="AQ427" i="35"/>
  <c r="AP427" i="35"/>
  <c r="AO427" i="35"/>
  <c r="AN427" i="35"/>
  <c r="AM427" i="35"/>
  <c r="AL427" i="35"/>
  <c r="AJ427" i="35"/>
  <c r="AI427" i="35"/>
  <c r="AH427" i="35"/>
  <c r="AG427" i="35"/>
  <c r="AA427" i="35"/>
  <c r="X427" i="35"/>
  <c r="Z427" i="35" s="1"/>
  <c r="W427" i="35"/>
  <c r="AQ426" i="35"/>
  <c r="AT426" i="35" s="1"/>
  <c r="AP426" i="35"/>
  <c r="AO426" i="35"/>
  <c r="AN426" i="35"/>
  <c r="AM426" i="35"/>
  <c r="AL426" i="35"/>
  <c r="AJ426" i="35"/>
  <c r="AI426" i="35"/>
  <c r="AH426" i="35"/>
  <c r="AG426" i="35"/>
  <c r="AA426" i="35"/>
  <c r="X426" i="35"/>
  <c r="Z426" i="35" s="1"/>
  <c r="W426" i="35"/>
  <c r="AQ425" i="35"/>
  <c r="AP425" i="35"/>
  <c r="AO425" i="35"/>
  <c r="AN425" i="35"/>
  <c r="AM425" i="35"/>
  <c r="AL425" i="35"/>
  <c r="AJ425" i="35"/>
  <c r="AI425" i="35"/>
  <c r="AH425" i="35"/>
  <c r="AG425" i="35"/>
  <c r="AA425" i="35"/>
  <c r="X425" i="35"/>
  <c r="Z425" i="35" s="1"/>
  <c r="W425" i="35"/>
  <c r="AQ424" i="35"/>
  <c r="AP424" i="35"/>
  <c r="AO424" i="35"/>
  <c r="AN424" i="35"/>
  <c r="AM424" i="35"/>
  <c r="AL424" i="35"/>
  <c r="AJ424" i="35"/>
  <c r="AI424" i="35"/>
  <c r="AH424" i="35"/>
  <c r="AG424" i="35"/>
  <c r="AA424" i="35"/>
  <c r="X424" i="35"/>
  <c r="Z424" i="35" s="1"/>
  <c r="W424" i="35"/>
  <c r="AQ423" i="35"/>
  <c r="AU423" i="35" s="1"/>
  <c r="AP423" i="35"/>
  <c r="AO423" i="35"/>
  <c r="AN423" i="35"/>
  <c r="AM423" i="35"/>
  <c r="AL423" i="35"/>
  <c r="AJ423" i="35"/>
  <c r="AI423" i="35"/>
  <c r="AH423" i="35"/>
  <c r="AG423" i="35"/>
  <c r="AA423" i="35"/>
  <c r="X423" i="35"/>
  <c r="Z423" i="35" s="1"/>
  <c r="W423" i="35"/>
  <c r="AQ422" i="35"/>
  <c r="AU422" i="35" s="1"/>
  <c r="AP422" i="35"/>
  <c r="AO422" i="35"/>
  <c r="AN422" i="35"/>
  <c r="AM422" i="35"/>
  <c r="AL422" i="35"/>
  <c r="AJ422" i="35"/>
  <c r="AI422" i="35"/>
  <c r="AH422" i="35"/>
  <c r="AG422" i="35"/>
  <c r="AA422" i="35"/>
  <c r="X422" i="35"/>
  <c r="Z422" i="35" s="1"/>
  <c r="W422" i="35"/>
  <c r="AQ421" i="35"/>
  <c r="AP421" i="35"/>
  <c r="AO421" i="35"/>
  <c r="AN421" i="35"/>
  <c r="AM421" i="35"/>
  <c r="AL421" i="35"/>
  <c r="AJ421" i="35"/>
  <c r="AI421" i="35"/>
  <c r="AH421" i="35"/>
  <c r="AG421" i="35"/>
  <c r="AA421" i="35"/>
  <c r="X421" i="35"/>
  <c r="Y421" i="35" s="1"/>
  <c r="W421" i="35"/>
  <c r="AQ420" i="35"/>
  <c r="AU420" i="35" s="1"/>
  <c r="AP420" i="35"/>
  <c r="AO420" i="35"/>
  <c r="AN420" i="35"/>
  <c r="AM420" i="35"/>
  <c r="AL420" i="35"/>
  <c r="AJ420" i="35"/>
  <c r="AI420" i="35"/>
  <c r="AH420" i="35"/>
  <c r="AG420" i="35"/>
  <c r="AA420" i="35"/>
  <c r="X420" i="35"/>
  <c r="Z420" i="35" s="1"/>
  <c r="W420" i="35"/>
  <c r="AQ419" i="35"/>
  <c r="AP419" i="35"/>
  <c r="AO419" i="35"/>
  <c r="AN419" i="35"/>
  <c r="AM419" i="35"/>
  <c r="AL419" i="35"/>
  <c r="AJ419" i="35"/>
  <c r="AI419" i="35"/>
  <c r="AH419" i="35"/>
  <c r="AG419" i="35"/>
  <c r="AA419" i="35"/>
  <c r="X419" i="35"/>
  <c r="Z419" i="35" s="1"/>
  <c r="W419" i="35"/>
  <c r="AQ418" i="35"/>
  <c r="AP418" i="35"/>
  <c r="AO418" i="35"/>
  <c r="AN418" i="35"/>
  <c r="AM418" i="35"/>
  <c r="AL418" i="35"/>
  <c r="AJ418" i="35"/>
  <c r="AI418" i="35"/>
  <c r="AH418" i="35"/>
  <c r="AG418" i="35"/>
  <c r="AA418" i="35"/>
  <c r="X418" i="35"/>
  <c r="Z418" i="35" s="1"/>
  <c r="W418" i="35"/>
  <c r="AQ417" i="35"/>
  <c r="AP417" i="35"/>
  <c r="AO417" i="35"/>
  <c r="AN417" i="35"/>
  <c r="AM417" i="35"/>
  <c r="AL417" i="35"/>
  <c r="AJ417" i="35"/>
  <c r="AI417" i="35"/>
  <c r="AH417" i="35"/>
  <c r="AG417" i="35"/>
  <c r="AA417" i="35"/>
  <c r="X417" i="35"/>
  <c r="Z417" i="35" s="1"/>
  <c r="W417" i="35"/>
  <c r="AQ416" i="35"/>
  <c r="AU416" i="35" s="1"/>
  <c r="AP416" i="35"/>
  <c r="AO416" i="35"/>
  <c r="AN416" i="35"/>
  <c r="AM416" i="35"/>
  <c r="AL416" i="35"/>
  <c r="AJ416" i="35"/>
  <c r="AI416" i="35"/>
  <c r="AH416" i="35"/>
  <c r="AG416" i="35"/>
  <c r="AA416" i="35"/>
  <c r="X416" i="35"/>
  <c r="Z416" i="35" s="1"/>
  <c r="W416" i="35"/>
  <c r="AQ415" i="35"/>
  <c r="AT415" i="35" s="1"/>
  <c r="AP415" i="35"/>
  <c r="AO415" i="35"/>
  <c r="AN415" i="35"/>
  <c r="AM415" i="35"/>
  <c r="AL415" i="35"/>
  <c r="AJ415" i="35"/>
  <c r="AI415" i="35"/>
  <c r="AH415" i="35"/>
  <c r="AG415" i="35"/>
  <c r="AA415" i="35"/>
  <c r="X415" i="35"/>
  <c r="Z415" i="35" s="1"/>
  <c r="W415" i="35"/>
  <c r="AQ414" i="35"/>
  <c r="AP414" i="35"/>
  <c r="AO414" i="35"/>
  <c r="AN414" i="35"/>
  <c r="AM414" i="35"/>
  <c r="AL414" i="35"/>
  <c r="AJ414" i="35"/>
  <c r="AI414" i="35"/>
  <c r="AH414" i="35"/>
  <c r="AG414" i="35"/>
  <c r="AA414" i="35"/>
  <c r="X414" i="35"/>
  <c r="Z414" i="35" s="1"/>
  <c r="W414" i="35"/>
  <c r="AQ413" i="35"/>
  <c r="AT413" i="35" s="1"/>
  <c r="AP413" i="35"/>
  <c r="AO413" i="35"/>
  <c r="AN413" i="35"/>
  <c r="AM413" i="35"/>
  <c r="AL413" i="35"/>
  <c r="AJ413" i="35"/>
  <c r="AI413" i="35"/>
  <c r="AH413" i="35"/>
  <c r="AG413" i="35"/>
  <c r="AA413" i="35"/>
  <c r="X413" i="35"/>
  <c r="Z413" i="35" s="1"/>
  <c r="W413" i="35"/>
  <c r="AQ412" i="35"/>
  <c r="AP412" i="35"/>
  <c r="AO412" i="35"/>
  <c r="AN412" i="35"/>
  <c r="AM412" i="35"/>
  <c r="AL412" i="35"/>
  <c r="AJ412" i="35"/>
  <c r="AI412" i="35"/>
  <c r="AH412" i="35"/>
  <c r="AG412" i="35"/>
  <c r="AA412" i="35"/>
  <c r="X412" i="35"/>
  <c r="Y412" i="35" s="1"/>
  <c r="W412" i="35"/>
  <c r="AQ411" i="35"/>
  <c r="AU411" i="35" s="1"/>
  <c r="AP411" i="35"/>
  <c r="AO411" i="35"/>
  <c r="AN411" i="35"/>
  <c r="AM411" i="35"/>
  <c r="AL411" i="35"/>
  <c r="AJ411" i="35"/>
  <c r="AI411" i="35"/>
  <c r="AH411" i="35"/>
  <c r="AG411" i="35"/>
  <c r="AA411" i="35"/>
  <c r="X411" i="35"/>
  <c r="Z411" i="35" s="1"/>
  <c r="W411" i="35"/>
  <c r="AQ410" i="35"/>
  <c r="AU410" i="35" s="1"/>
  <c r="AP410" i="35"/>
  <c r="AO410" i="35"/>
  <c r="AN410" i="35"/>
  <c r="AM410" i="35"/>
  <c r="AL410" i="35"/>
  <c r="AJ410" i="35"/>
  <c r="AI410" i="35"/>
  <c r="AH410" i="35"/>
  <c r="AG410" i="35"/>
  <c r="AA410" i="35"/>
  <c r="X410" i="35"/>
  <c r="Z410" i="35" s="1"/>
  <c r="W410" i="35"/>
  <c r="AQ409" i="35"/>
  <c r="AS409" i="35" s="1"/>
  <c r="AP409" i="35"/>
  <c r="AO409" i="35"/>
  <c r="AN409" i="35"/>
  <c r="AM409" i="35"/>
  <c r="AL409" i="35"/>
  <c r="AJ409" i="35"/>
  <c r="AI409" i="35"/>
  <c r="AH409" i="35"/>
  <c r="AG409" i="35"/>
  <c r="AA409" i="35"/>
  <c r="X409" i="35"/>
  <c r="Z409" i="35" s="1"/>
  <c r="W409" i="35"/>
  <c r="AQ408" i="35"/>
  <c r="AR408" i="35" s="1"/>
  <c r="AP408" i="35"/>
  <c r="AO408" i="35"/>
  <c r="AN408" i="35"/>
  <c r="AM408" i="35"/>
  <c r="AL408" i="35"/>
  <c r="AJ408" i="35"/>
  <c r="AI408" i="35"/>
  <c r="AH408" i="35"/>
  <c r="AG408" i="35"/>
  <c r="AA408" i="35"/>
  <c r="X408" i="35"/>
  <c r="Z408" i="35" s="1"/>
  <c r="W408" i="35"/>
  <c r="AQ407" i="35"/>
  <c r="AS407" i="35" s="1"/>
  <c r="AP407" i="35"/>
  <c r="AO407" i="35"/>
  <c r="AN407" i="35"/>
  <c r="AM407" i="35"/>
  <c r="AL407" i="35"/>
  <c r="AJ407" i="35"/>
  <c r="AI407" i="35"/>
  <c r="AH407" i="35"/>
  <c r="AG407" i="35"/>
  <c r="AA407" i="35"/>
  <c r="X407" i="35"/>
  <c r="Z407" i="35" s="1"/>
  <c r="W407" i="35"/>
  <c r="AQ406" i="35"/>
  <c r="AS406" i="35" s="1"/>
  <c r="AP406" i="35"/>
  <c r="AO406" i="35"/>
  <c r="AN406" i="35"/>
  <c r="AM406" i="35"/>
  <c r="AL406" i="35"/>
  <c r="AJ406" i="35"/>
  <c r="AI406" i="35"/>
  <c r="AH406" i="35"/>
  <c r="AG406" i="35"/>
  <c r="AA406" i="35"/>
  <c r="X406" i="35"/>
  <c r="Z406" i="35" s="1"/>
  <c r="W406" i="35"/>
  <c r="AQ405" i="35"/>
  <c r="AP405" i="35"/>
  <c r="AO405" i="35"/>
  <c r="AN405" i="35"/>
  <c r="AM405" i="35"/>
  <c r="AL405" i="35"/>
  <c r="AJ405" i="35"/>
  <c r="AI405" i="35"/>
  <c r="AH405" i="35"/>
  <c r="AG405" i="35"/>
  <c r="AA405" i="35"/>
  <c r="X405" i="35"/>
  <c r="Y405" i="35" s="1"/>
  <c r="W405" i="35"/>
  <c r="AQ404" i="35"/>
  <c r="AU404" i="35" s="1"/>
  <c r="AP404" i="35"/>
  <c r="AO404" i="35"/>
  <c r="AN404" i="35"/>
  <c r="AM404" i="35"/>
  <c r="AL404" i="35"/>
  <c r="AJ404" i="35"/>
  <c r="AI404" i="35"/>
  <c r="AH404" i="35"/>
  <c r="AG404" i="35"/>
  <c r="AA404" i="35"/>
  <c r="X404" i="35"/>
  <c r="Z404" i="35" s="1"/>
  <c r="W404" i="35"/>
  <c r="AQ403" i="35"/>
  <c r="AU403" i="35" s="1"/>
  <c r="AP403" i="35"/>
  <c r="AO403" i="35"/>
  <c r="AN403" i="35"/>
  <c r="AG403" i="35" s="1"/>
  <c r="AH403" i="35"/>
  <c r="AA403" i="35"/>
  <c r="X403" i="35"/>
  <c r="Y403" i="35" s="1"/>
  <c r="W403" i="35"/>
  <c r="AQ402" i="35"/>
  <c r="AU402" i="35" s="1"/>
  <c r="AP402" i="35"/>
  <c r="AO402" i="35"/>
  <c r="AN402" i="35"/>
  <c r="AG402" i="35" s="1"/>
  <c r="AH402" i="35"/>
  <c r="AJ402" i="35" s="1"/>
  <c r="AA402" i="35"/>
  <c r="X402" i="35"/>
  <c r="Z402" i="35" s="1"/>
  <c r="W402" i="35"/>
  <c r="AQ401" i="35"/>
  <c r="AP401" i="35"/>
  <c r="AO401" i="35"/>
  <c r="AN401" i="35"/>
  <c r="AG401" i="35" s="1"/>
  <c r="AH401" i="35"/>
  <c r="AA401" i="35"/>
  <c r="X401" i="35"/>
  <c r="Z401" i="35" s="1"/>
  <c r="W401" i="35"/>
  <c r="AQ400" i="35"/>
  <c r="AS400" i="35" s="1"/>
  <c r="AP400" i="35"/>
  <c r="AO400" i="35"/>
  <c r="AN400" i="35"/>
  <c r="AG400" i="35" s="1"/>
  <c r="AH400" i="35"/>
  <c r="AA400" i="35"/>
  <c r="X400" i="35"/>
  <c r="Z400" i="35" s="1"/>
  <c r="W400" i="35"/>
  <c r="AQ399" i="35"/>
  <c r="AS399" i="35" s="1"/>
  <c r="AP399" i="35"/>
  <c r="AO399" i="35"/>
  <c r="AN399" i="35"/>
  <c r="AG399" i="35" s="1"/>
  <c r="AH399" i="35"/>
  <c r="AI399" i="35" s="1"/>
  <c r="AA399" i="35"/>
  <c r="X399" i="35"/>
  <c r="Y399" i="35" s="1"/>
  <c r="W399" i="35"/>
  <c r="AQ398" i="35"/>
  <c r="AR398" i="35" s="1"/>
  <c r="AP398" i="35"/>
  <c r="AO398" i="35"/>
  <c r="AN398" i="35"/>
  <c r="AG398" i="35" s="1"/>
  <c r="AH398" i="35"/>
  <c r="AI398" i="35" s="1"/>
  <c r="AA398" i="35"/>
  <c r="X398" i="35"/>
  <c r="Z398" i="35" s="1"/>
  <c r="W398" i="35"/>
  <c r="AQ397" i="35"/>
  <c r="AU397" i="35" s="1"/>
  <c r="AP397" i="35"/>
  <c r="AO397" i="35"/>
  <c r="AN397" i="35"/>
  <c r="AG397" i="35" s="1"/>
  <c r="AH397" i="35"/>
  <c r="AJ397" i="35" s="1"/>
  <c r="AA397" i="35"/>
  <c r="X397" i="35"/>
  <c r="Y397" i="35" s="1"/>
  <c r="W397" i="35"/>
  <c r="V397" i="35"/>
  <c r="AQ396" i="35"/>
  <c r="AR396" i="35" s="1"/>
  <c r="AP396" i="35"/>
  <c r="AO396" i="35"/>
  <c r="AN396" i="35"/>
  <c r="AG396" i="35" s="1"/>
  <c r="AH396" i="35"/>
  <c r="AA396" i="35"/>
  <c r="AQ394" i="35"/>
  <c r="AT394" i="35" s="1"/>
  <c r="AP394" i="35"/>
  <c r="AO394" i="35"/>
  <c r="AN394" i="35"/>
  <c r="AG394" i="35" s="1"/>
  <c r="AH394" i="35"/>
  <c r="AA394" i="35"/>
  <c r="X394" i="35"/>
  <c r="Z394" i="35" s="1"/>
  <c r="W394" i="35"/>
  <c r="AQ393" i="35"/>
  <c r="AP393" i="35"/>
  <c r="AO393" i="35"/>
  <c r="AN393" i="35"/>
  <c r="AG393" i="35" s="1"/>
  <c r="AH393" i="35"/>
  <c r="AJ393" i="35" s="1"/>
  <c r="AA393" i="35"/>
  <c r="X393" i="35"/>
  <c r="Z393" i="35" s="1"/>
  <c r="W393" i="35"/>
  <c r="AQ392" i="35"/>
  <c r="AU392" i="35" s="1"/>
  <c r="AP392" i="35"/>
  <c r="AO392" i="35"/>
  <c r="AN392" i="35"/>
  <c r="AG392" i="35" s="1"/>
  <c r="AH392" i="35"/>
  <c r="AA392" i="35"/>
  <c r="X392" i="35"/>
  <c r="Y392" i="35" s="1"/>
  <c r="W392" i="35"/>
  <c r="AQ391" i="35"/>
  <c r="AP391" i="35"/>
  <c r="AO391" i="35"/>
  <c r="AN391" i="35"/>
  <c r="AG391" i="35" s="1"/>
  <c r="AH391" i="35"/>
  <c r="AA391" i="35"/>
  <c r="X391" i="35"/>
  <c r="Z391" i="35" s="1"/>
  <c r="W391" i="35"/>
  <c r="AQ390" i="35"/>
  <c r="AP390" i="35"/>
  <c r="AO390" i="35"/>
  <c r="AN390" i="35"/>
  <c r="AG390" i="35" s="1"/>
  <c r="AH390" i="35"/>
  <c r="AJ390" i="35" s="1"/>
  <c r="AA390" i="35"/>
  <c r="X390" i="35"/>
  <c r="Z390" i="35" s="1"/>
  <c r="W390" i="35"/>
  <c r="AQ389" i="35"/>
  <c r="AP389" i="35"/>
  <c r="AO389" i="35"/>
  <c r="AN389" i="35"/>
  <c r="AM389" i="35"/>
  <c r="AL389" i="35"/>
  <c r="AJ389" i="35"/>
  <c r="AI389" i="35"/>
  <c r="AH389" i="35"/>
  <c r="AG389" i="35"/>
  <c r="AA389" i="35"/>
  <c r="X389" i="35"/>
  <c r="Y389" i="35" s="1"/>
  <c r="W389" i="35"/>
  <c r="AQ388" i="35"/>
  <c r="AP388" i="35"/>
  <c r="AO388" i="35"/>
  <c r="AN388" i="35"/>
  <c r="AM388" i="35"/>
  <c r="AL388" i="35"/>
  <c r="AJ388" i="35"/>
  <c r="AI388" i="35"/>
  <c r="AH388" i="35"/>
  <c r="AG388" i="35"/>
  <c r="AA388" i="35"/>
  <c r="X388" i="35"/>
  <c r="Z388" i="35" s="1"/>
  <c r="W388" i="35"/>
  <c r="AQ387" i="35"/>
  <c r="AP387" i="35"/>
  <c r="AO387" i="35"/>
  <c r="AN387" i="35"/>
  <c r="AM387" i="35"/>
  <c r="AL387" i="35"/>
  <c r="AJ387" i="35"/>
  <c r="AI387" i="35"/>
  <c r="AH387" i="35"/>
  <c r="AG387" i="35"/>
  <c r="AA387" i="35"/>
  <c r="X387" i="35"/>
  <c r="Z387" i="35" s="1"/>
  <c r="W387" i="35"/>
  <c r="AQ386" i="35"/>
  <c r="AP386" i="35"/>
  <c r="AO386" i="35"/>
  <c r="AN386" i="35"/>
  <c r="AM386" i="35"/>
  <c r="AL386" i="35"/>
  <c r="AJ386" i="35"/>
  <c r="AI386" i="35"/>
  <c r="AH386" i="35"/>
  <c r="AG386" i="35"/>
  <c r="AA386" i="35"/>
  <c r="X386" i="35"/>
  <c r="Z386" i="35" s="1"/>
  <c r="W386" i="35"/>
  <c r="AQ385" i="35"/>
  <c r="AP385" i="35"/>
  <c r="AO385" i="35"/>
  <c r="AN385" i="35"/>
  <c r="AM385" i="35"/>
  <c r="AL385" i="35"/>
  <c r="AJ385" i="35"/>
  <c r="AI385" i="35"/>
  <c r="AH385" i="35"/>
  <c r="AG385" i="35"/>
  <c r="AA385" i="35"/>
  <c r="X385" i="35"/>
  <c r="Y385" i="35" s="1"/>
  <c r="W385" i="35"/>
  <c r="AQ384" i="35"/>
  <c r="AS384" i="35" s="1"/>
  <c r="AP384" i="35"/>
  <c r="AO384" i="35"/>
  <c r="AN384" i="35"/>
  <c r="AM384" i="35"/>
  <c r="AL384" i="35"/>
  <c r="AJ384" i="35"/>
  <c r="AI384" i="35"/>
  <c r="AH384" i="35"/>
  <c r="AG384" i="35"/>
  <c r="AA384" i="35"/>
  <c r="X384" i="35"/>
  <c r="Z384" i="35" s="1"/>
  <c r="W384" i="35"/>
  <c r="AQ383" i="35"/>
  <c r="AS383" i="35" s="1"/>
  <c r="AP383" i="35"/>
  <c r="AO383" i="35"/>
  <c r="AN383" i="35"/>
  <c r="AM383" i="35"/>
  <c r="AL383" i="35"/>
  <c r="AJ383" i="35"/>
  <c r="AI383" i="35"/>
  <c r="AH383" i="35"/>
  <c r="AG383" i="35"/>
  <c r="AA383" i="35"/>
  <c r="X383" i="35"/>
  <c r="Z383" i="35" s="1"/>
  <c r="W383" i="35"/>
  <c r="AQ382" i="35"/>
  <c r="AR382" i="35" s="1"/>
  <c r="AP382" i="35"/>
  <c r="AO382" i="35"/>
  <c r="AN382" i="35"/>
  <c r="AM382" i="35"/>
  <c r="AL382" i="35"/>
  <c r="AJ382" i="35"/>
  <c r="AI382" i="35"/>
  <c r="AH382" i="35"/>
  <c r="AG382" i="35"/>
  <c r="AA382" i="35"/>
  <c r="X382" i="35"/>
  <c r="Y382" i="35" s="1"/>
  <c r="W382" i="35"/>
  <c r="AQ381" i="35"/>
  <c r="AP381" i="35"/>
  <c r="AO381" i="35"/>
  <c r="AN381" i="35"/>
  <c r="AM381" i="35"/>
  <c r="AL381" i="35"/>
  <c r="AJ381" i="35"/>
  <c r="AI381" i="35"/>
  <c r="AH381" i="35"/>
  <c r="AG381" i="35"/>
  <c r="AA381" i="35"/>
  <c r="X381" i="35"/>
  <c r="Z381" i="35" s="1"/>
  <c r="W381" i="35"/>
  <c r="AQ380" i="35"/>
  <c r="AP380" i="35"/>
  <c r="AO380" i="35"/>
  <c r="AN380" i="35"/>
  <c r="AM380" i="35"/>
  <c r="AL380" i="35"/>
  <c r="AJ380" i="35"/>
  <c r="AI380" i="35"/>
  <c r="AH380" i="35"/>
  <c r="AG380" i="35"/>
  <c r="AA380" i="35"/>
  <c r="X380" i="35"/>
  <c r="W380" i="35"/>
  <c r="AQ379" i="35"/>
  <c r="AS379" i="35" s="1"/>
  <c r="AP379" i="35"/>
  <c r="AO379" i="35"/>
  <c r="AN379" i="35"/>
  <c r="AM379" i="35"/>
  <c r="AL379" i="35"/>
  <c r="AJ379" i="35"/>
  <c r="AI379" i="35"/>
  <c r="AH379" i="35"/>
  <c r="AG379" i="35"/>
  <c r="AA379" i="35"/>
  <c r="X379" i="35"/>
  <c r="Z379" i="35" s="1"/>
  <c r="W379" i="35"/>
  <c r="AQ378" i="35"/>
  <c r="AR378" i="35" s="1"/>
  <c r="AP378" i="35"/>
  <c r="AO378" i="35"/>
  <c r="AN378" i="35"/>
  <c r="AM378" i="35"/>
  <c r="AL378" i="35"/>
  <c r="AJ378" i="35"/>
  <c r="AI378" i="35"/>
  <c r="AH378" i="35"/>
  <c r="AG378" i="35"/>
  <c r="AA378" i="35"/>
  <c r="X378" i="35"/>
  <c r="Z378" i="35" s="1"/>
  <c r="W378" i="35"/>
  <c r="AQ377" i="35"/>
  <c r="AP377" i="35"/>
  <c r="AO377" i="35"/>
  <c r="AN377" i="35"/>
  <c r="AM377" i="35"/>
  <c r="AL377" i="35"/>
  <c r="AJ377" i="35"/>
  <c r="AI377" i="35"/>
  <c r="AH377" i="35"/>
  <c r="AG377" i="35"/>
  <c r="AA377" i="35"/>
  <c r="X377" i="35"/>
  <c r="W377" i="35"/>
  <c r="AQ376" i="35"/>
  <c r="AU376" i="35" s="1"/>
  <c r="AP376" i="35"/>
  <c r="AO376" i="35"/>
  <c r="AN376" i="35"/>
  <c r="AM376" i="35"/>
  <c r="AL376" i="35"/>
  <c r="AJ376" i="35"/>
  <c r="AI376" i="35"/>
  <c r="AH376" i="35"/>
  <c r="AG376" i="35"/>
  <c r="AA376" i="35"/>
  <c r="X376" i="35"/>
  <c r="Z376" i="35" s="1"/>
  <c r="W376" i="35"/>
  <c r="AQ375" i="35"/>
  <c r="AP375" i="35"/>
  <c r="AO375" i="35"/>
  <c r="AN375" i="35"/>
  <c r="AM375" i="35"/>
  <c r="AL375" i="35"/>
  <c r="AJ375" i="35"/>
  <c r="AI375" i="35"/>
  <c r="AH375" i="35"/>
  <c r="AG375" i="35"/>
  <c r="AA375" i="35"/>
  <c r="X375" i="35"/>
  <c r="Z375" i="35" s="1"/>
  <c r="W375" i="35"/>
  <c r="AQ374" i="35"/>
  <c r="AT374" i="35" s="1"/>
  <c r="AP374" i="35"/>
  <c r="AO374" i="35"/>
  <c r="AN374" i="35"/>
  <c r="AM374" i="35"/>
  <c r="AL374" i="35"/>
  <c r="AJ374" i="35"/>
  <c r="AI374" i="35"/>
  <c r="AH374" i="35"/>
  <c r="AG374" i="35"/>
  <c r="AA374" i="35"/>
  <c r="X374" i="35"/>
  <c r="Z374" i="35" s="1"/>
  <c r="W374" i="35"/>
  <c r="AQ373" i="35"/>
  <c r="AP373" i="35"/>
  <c r="AO373" i="35"/>
  <c r="AN373" i="35"/>
  <c r="AG373" i="35" s="1"/>
  <c r="AH373" i="35"/>
  <c r="AL373" i="35" s="1"/>
  <c r="AA373" i="35"/>
  <c r="X373" i="35"/>
  <c r="Y373" i="35" s="1"/>
  <c r="W373" i="35"/>
  <c r="AQ372" i="35"/>
  <c r="AS372" i="35" s="1"/>
  <c r="AP372" i="35"/>
  <c r="AO372" i="35"/>
  <c r="AN372" i="35"/>
  <c r="AG372" i="35" s="1"/>
  <c r="AH372" i="35"/>
  <c r="AA372" i="35"/>
  <c r="X372" i="35"/>
  <c r="Y372" i="35" s="1"/>
  <c r="W372" i="35"/>
  <c r="AQ371" i="35"/>
  <c r="AT371" i="35" s="1"/>
  <c r="AP371" i="35"/>
  <c r="AO371" i="35"/>
  <c r="AN371" i="35"/>
  <c r="AG371" i="35" s="1"/>
  <c r="AH371" i="35"/>
  <c r="AL371" i="35" s="1"/>
  <c r="AA371" i="35"/>
  <c r="X371" i="35"/>
  <c r="Z371" i="35" s="1"/>
  <c r="W371" i="35"/>
  <c r="AQ370" i="35"/>
  <c r="AP370" i="35"/>
  <c r="AO370" i="35"/>
  <c r="AN370" i="35"/>
  <c r="AG370" i="35" s="1"/>
  <c r="AH370" i="35"/>
  <c r="AA370" i="35"/>
  <c r="X370" i="35"/>
  <c r="W370" i="35"/>
  <c r="AQ369" i="35"/>
  <c r="AU369" i="35" s="1"/>
  <c r="AP369" i="35"/>
  <c r="AO369" i="35"/>
  <c r="AN369" i="35"/>
  <c r="AG369" i="35" s="1"/>
  <c r="AH369" i="35"/>
  <c r="AA369" i="35"/>
  <c r="X369" i="35"/>
  <c r="Z369" i="35" s="1"/>
  <c r="W369" i="35"/>
  <c r="AQ368" i="35"/>
  <c r="AU368" i="35" s="1"/>
  <c r="AP368" i="35"/>
  <c r="AO368" i="35"/>
  <c r="AN368" i="35"/>
  <c r="AG368" i="35" s="1"/>
  <c r="AH368" i="35"/>
  <c r="AL368" i="35" s="1"/>
  <c r="AA368" i="35"/>
  <c r="X368" i="35"/>
  <c r="Z368" i="35" s="1"/>
  <c r="W368" i="35"/>
  <c r="AQ367" i="35"/>
  <c r="AU367" i="35" s="1"/>
  <c r="AP367" i="35"/>
  <c r="AO367" i="35"/>
  <c r="AN367" i="35"/>
  <c r="AG367" i="35" s="1"/>
  <c r="AH367" i="35"/>
  <c r="AI367" i="35" s="1"/>
  <c r="AA367" i="35"/>
  <c r="X367" i="35"/>
  <c r="Z367" i="35" s="1"/>
  <c r="W367" i="35"/>
  <c r="AQ366" i="35"/>
  <c r="AT366" i="35" s="1"/>
  <c r="AP366" i="35"/>
  <c r="AO366" i="35"/>
  <c r="AN366" i="35"/>
  <c r="AM366" i="35"/>
  <c r="AL366" i="35"/>
  <c r="AJ366" i="35"/>
  <c r="AI366" i="35"/>
  <c r="AH366" i="35"/>
  <c r="AG366" i="35"/>
  <c r="AA366" i="35"/>
  <c r="X366" i="35"/>
  <c r="W366" i="35"/>
  <c r="AQ365" i="35"/>
  <c r="AP365" i="35"/>
  <c r="AO365" i="35"/>
  <c r="AN365" i="35"/>
  <c r="AG365" i="35" s="1"/>
  <c r="AH365" i="35"/>
  <c r="AI365" i="35" s="1"/>
  <c r="AA365" i="35"/>
  <c r="X365" i="35"/>
  <c r="Z365" i="35" s="1"/>
  <c r="W365" i="35"/>
  <c r="AQ364" i="35"/>
  <c r="AP364" i="35"/>
  <c r="AO364" i="35"/>
  <c r="AN364" i="35"/>
  <c r="AG364" i="35" s="1"/>
  <c r="AH364" i="35"/>
  <c r="AJ364" i="35" s="1"/>
  <c r="AA364" i="35"/>
  <c r="X364" i="35"/>
  <c r="W364" i="35"/>
  <c r="AQ363" i="35"/>
  <c r="AU363" i="35" s="1"/>
  <c r="AP363" i="35"/>
  <c r="AO363" i="35"/>
  <c r="AN363" i="35"/>
  <c r="AG363" i="35" s="1"/>
  <c r="AH363" i="35"/>
  <c r="AJ363" i="35" s="1"/>
  <c r="AA363" i="35"/>
  <c r="X363" i="35"/>
  <c r="Z363" i="35" s="1"/>
  <c r="W363" i="35"/>
  <c r="AQ362" i="35"/>
  <c r="AP362" i="35"/>
  <c r="AO362" i="35"/>
  <c r="AN362" i="35"/>
  <c r="AG362" i="35" s="1"/>
  <c r="AH362" i="35"/>
  <c r="AJ362" i="35" s="1"/>
  <c r="AA362" i="35"/>
  <c r="X362" i="35"/>
  <c r="Z362" i="35" s="1"/>
  <c r="W362" i="35"/>
  <c r="AQ361" i="35"/>
  <c r="AR361" i="35" s="1"/>
  <c r="AP361" i="35"/>
  <c r="AO361" i="35"/>
  <c r="AN361" i="35"/>
  <c r="AG361" i="35" s="1"/>
  <c r="AH361" i="35"/>
  <c r="AA361" i="35"/>
  <c r="X361" i="35"/>
  <c r="Z361" i="35" s="1"/>
  <c r="W361" i="35"/>
  <c r="V361" i="35"/>
  <c r="AQ360" i="35"/>
  <c r="AR360" i="35" s="1"/>
  <c r="AP360" i="35"/>
  <c r="AO360" i="35"/>
  <c r="AN360" i="35"/>
  <c r="AG360" i="35" s="1"/>
  <c r="AH360" i="35"/>
  <c r="AA360" i="35"/>
  <c r="AQ358" i="35"/>
  <c r="AS358" i="35" s="1"/>
  <c r="AP358" i="35"/>
  <c r="AO358" i="35"/>
  <c r="AN358" i="35"/>
  <c r="AM358" i="35"/>
  <c r="AL358" i="35"/>
  <c r="AJ358" i="35"/>
  <c r="AI358" i="35"/>
  <c r="AH358" i="35"/>
  <c r="AG358" i="35"/>
  <c r="AA358" i="35"/>
  <c r="X358" i="35"/>
  <c r="W358" i="35"/>
  <c r="AQ357" i="35"/>
  <c r="AU357" i="35" s="1"/>
  <c r="AP357" i="35"/>
  <c r="AO357" i="35"/>
  <c r="AN357" i="35"/>
  <c r="AM357" i="35"/>
  <c r="AL357" i="35"/>
  <c r="AJ357" i="35"/>
  <c r="AI357" i="35"/>
  <c r="AH357" i="35"/>
  <c r="AG357" i="35"/>
  <c r="AA357" i="35"/>
  <c r="X357" i="35"/>
  <c r="Z357" i="35" s="1"/>
  <c r="W357" i="35"/>
  <c r="AQ356" i="35"/>
  <c r="AU356" i="35" s="1"/>
  <c r="AP356" i="35"/>
  <c r="AO356" i="35"/>
  <c r="AN356" i="35"/>
  <c r="AM356" i="35"/>
  <c r="AL356" i="35"/>
  <c r="AJ356" i="35"/>
  <c r="AI356" i="35"/>
  <c r="AH356" i="35"/>
  <c r="AG356" i="35"/>
  <c r="AA356" i="35"/>
  <c r="X356" i="35"/>
  <c r="W356" i="35"/>
  <c r="AQ355" i="35"/>
  <c r="AS355" i="35" s="1"/>
  <c r="AP355" i="35"/>
  <c r="AO355" i="35"/>
  <c r="AN355" i="35"/>
  <c r="AM355" i="35"/>
  <c r="AL355" i="35"/>
  <c r="AJ355" i="35"/>
  <c r="AI355" i="35"/>
  <c r="AH355" i="35"/>
  <c r="AG355" i="35"/>
  <c r="AA355" i="35"/>
  <c r="X355" i="35"/>
  <c r="Y355" i="35" s="1"/>
  <c r="W355" i="35"/>
  <c r="AQ354" i="35"/>
  <c r="AU354" i="35" s="1"/>
  <c r="AP354" i="35"/>
  <c r="AO354" i="35"/>
  <c r="AN354" i="35"/>
  <c r="AM354" i="35"/>
  <c r="AL354" i="35"/>
  <c r="AJ354" i="35"/>
  <c r="AI354" i="35"/>
  <c r="AH354" i="35"/>
  <c r="AG354" i="35"/>
  <c r="AA354" i="35"/>
  <c r="X354" i="35"/>
  <c r="Z354" i="35" s="1"/>
  <c r="W354" i="35"/>
  <c r="AQ353" i="35"/>
  <c r="AS353" i="35" s="1"/>
  <c r="AP353" i="35"/>
  <c r="AO353" i="35"/>
  <c r="AN353" i="35"/>
  <c r="AM353" i="35"/>
  <c r="AL353" i="35"/>
  <c r="AJ353" i="35"/>
  <c r="AI353" i="35"/>
  <c r="AH353" i="35"/>
  <c r="AG353" i="35"/>
  <c r="AA353" i="35"/>
  <c r="X353" i="35"/>
  <c r="Z353" i="35" s="1"/>
  <c r="W353" i="35"/>
  <c r="AQ352" i="35"/>
  <c r="AP352" i="35"/>
  <c r="AO352" i="35"/>
  <c r="AN352" i="35"/>
  <c r="AM352" i="35"/>
  <c r="AL352" i="35"/>
  <c r="AJ352" i="35"/>
  <c r="AI352" i="35"/>
  <c r="AH352" i="35"/>
  <c r="AG352" i="35"/>
  <c r="AA352" i="35"/>
  <c r="X352" i="35"/>
  <c r="Y352" i="35" s="1"/>
  <c r="W352" i="35"/>
  <c r="AQ351" i="35"/>
  <c r="AP351" i="35"/>
  <c r="AO351" i="35"/>
  <c r="AN351" i="35"/>
  <c r="AM351" i="35"/>
  <c r="AL351" i="35"/>
  <c r="AJ351" i="35"/>
  <c r="AI351" i="35"/>
  <c r="AH351" i="35"/>
  <c r="AG351" i="35"/>
  <c r="AA351" i="35"/>
  <c r="X351" i="35"/>
  <c r="Z351" i="35" s="1"/>
  <c r="W351" i="35"/>
  <c r="AQ350" i="35"/>
  <c r="AU350" i="35" s="1"/>
  <c r="AP350" i="35"/>
  <c r="AO350" i="35"/>
  <c r="AN350" i="35"/>
  <c r="AM350" i="35"/>
  <c r="AL350" i="35"/>
  <c r="AJ350" i="35"/>
  <c r="AI350" i="35"/>
  <c r="AH350" i="35"/>
  <c r="AG350" i="35"/>
  <c r="AA350" i="35"/>
  <c r="X350" i="35"/>
  <c r="Z350" i="35" s="1"/>
  <c r="W350" i="35"/>
  <c r="AQ349" i="35"/>
  <c r="AP349" i="35"/>
  <c r="AO349" i="35"/>
  <c r="AN349" i="35"/>
  <c r="AM349" i="35"/>
  <c r="AL349" i="35"/>
  <c r="AJ349" i="35"/>
  <c r="AI349" i="35"/>
  <c r="AH349" i="35"/>
  <c r="AG349" i="35"/>
  <c r="AA349" i="35"/>
  <c r="X349" i="35"/>
  <c r="Y349" i="35" s="1"/>
  <c r="W349" i="35"/>
  <c r="AQ348" i="35"/>
  <c r="AP348" i="35"/>
  <c r="AO348" i="35"/>
  <c r="AN348" i="35"/>
  <c r="AM348" i="35"/>
  <c r="AL348" i="35"/>
  <c r="AJ348" i="35"/>
  <c r="AI348" i="35"/>
  <c r="AH348" i="35"/>
  <c r="AG348" i="35"/>
  <c r="AA348" i="35"/>
  <c r="X348" i="35"/>
  <c r="W348" i="35"/>
  <c r="AQ347" i="35"/>
  <c r="AP347" i="35"/>
  <c r="AO347" i="35"/>
  <c r="AN347" i="35"/>
  <c r="AM347" i="35"/>
  <c r="AL347" i="35"/>
  <c r="AJ347" i="35"/>
  <c r="AI347" i="35"/>
  <c r="AH347" i="35"/>
  <c r="AG347" i="35"/>
  <c r="AA347" i="35"/>
  <c r="X347" i="35"/>
  <c r="Y347" i="35" s="1"/>
  <c r="W347" i="35"/>
  <c r="AQ346" i="35"/>
  <c r="AT346" i="35" s="1"/>
  <c r="AP346" i="35"/>
  <c r="AO346" i="35"/>
  <c r="AN346" i="35"/>
  <c r="AM346" i="35"/>
  <c r="AL346" i="35"/>
  <c r="AJ346" i="35"/>
  <c r="AI346" i="35"/>
  <c r="AH346" i="35"/>
  <c r="AG346" i="35"/>
  <c r="AA346" i="35"/>
  <c r="X346" i="35"/>
  <c r="Z346" i="35" s="1"/>
  <c r="W346" i="35"/>
  <c r="AQ345" i="35"/>
  <c r="AP345" i="35"/>
  <c r="AO345" i="35"/>
  <c r="AN345" i="35"/>
  <c r="AM345" i="35"/>
  <c r="AL345" i="35"/>
  <c r="AJ345" i="35"/>
  <c r="AI345" i="35"/>
  <c r="AH345" i="35"/>
  <c r="AG345" i="35"/>
  <c r="AA345" i="35"/>
  <c r="X345" i="35"/>
  <c r="W345" i="35"/>
  <c r="AQ344" i="35"/>
  <c r="AP344" i="35"/>
  <c r="AO344" i="35"/>
  <c r="AN344" i="35"/>
  <c r="AM344" i="35"/>
  <c r="AL344" i="35"/>
  <c r="AJ344" i="35"/>
  <c r="AI344" i="35"/>
  <c r="AH344" i="35"/>
  <c r="AG344" i="35"/>
  <c r="AA344" i="35"/>
  <c r="X344" i="35"/>
  <c r="Z344" i="35" s="1"/>
  <c r="W344" i="35"/>
  <c r="AQ343" i="35"/>
  <c r="AS343" i="35" s="1"/>
  <c r="AP343" i="35"/>
  <c r="AO343" i="35"/>
  <c r="AN343" i="35"/>
  <c r="AM343" i="35"/>
  <c r="AL343" i="35"/>
  <c r="AJ343" i="35"/>
  <c r="AI343" i="35"/>
  <c r="AH343" i="35"/>
  <c r="AG343" i="35"/>
  <c r="AA343" i="35"/>
  <c r="X343" i="35"/>
  <c r="Y343" i="35" s="1"/>
  <c r="W343" i="35"/>
  <c r="AQ342" i="35"/>
  <c r="AT342" i="35" s="1"/>
  <c r="AP342" i="35"/>
  <c r="AO342" i="35"/>
  <c r="AN342" i="35"/>
  <c r="AM342" i="35"/>
  <c r="AL342" i="35"/>
  <c r="AJ342" i="35"/>
  <c r="AI342" i="35"/>
  <c r="AH342" i="35"/>
  <c r="AG342" i="35"/>
  <c r="AA342" i="35"/>
  <c r="X342" i="35"/>
  <c r="Z342" i="35" s="1"/>
  <c r="W342" i="35"/>
  <c r="AQ341" i="35"/>
  <c r="AT341" i="35" s="1"/>
  <c r="AP341" i="35"/>
  <c r="AO341" i="35"/>
  <c r="AN341" i="35"/>
  <c r="AM341" i="35"/>
  <c r="AL341" i="35"/>
  <c r="AJ341" i="35"/>
  <c r="AI341" i="35"/>
  <c r="AH341" i="35"/>
  <c r="AG341" i="35"/>
  <c r="AA341" i="35"/>
  <c r="X341" i="35"/>
  <c r="W341" i="35"/>
  <c r="AQ340" i="35"/>
  <c r="AP340" i="35"/>
  <c r="AO340" i="35"/>
  <c r="AN340" i="35"/>
  <c r="AM340" i="35"/>
  <c r="AL340" i="35"/>
  <c r="AJ340" i="35"/>
  <c r="AI340" i="35"/>
  <c r="AH340" i="35"/>
  <c r="AG340" i="35"/>
  <c r="AA340" i="35"/>
  <c r="X340" i="35"/>
  <c r="Y340" i="35" s="1"/>
  <c r="W340" i="35"/>
  <c r="AQ339" i="35"/>
  <c r="AS339" i="35" s="1"/>
  <c r="AP339" i="35"/>
  <c r="AO339" i="35"/>
  <c r="AN339" i="35"/>
  <c r="AM339" i="35"/>
  <c r="AL339" i="35"/>
  <c r="AJ339" i="35"/>
  <c r="AI339" i="35"/>
  <c r="AH339" i="35"/>
  <c r="AG339" i="35"/>
  <c r="AA339" i="35"/>
  <c r="X339" i="35"/>
  <c r="Y339" i="35" s="1"/>
  <c r="W339" i="35"/>
  <c r="AQ338" i="35"/>
  <c r="AU338" i="35" s="1"/>
  <c r="AP338" i="35"/>
  <c r="AO338" i="35"/>
  <c r="AN338" i="35"/>
  <c r="AM338" i="35"/>
  <c r="AL338" i="35"/>
  <c r="AJ338" i="35"/>
  <c r="AI338" i="35"/>
  <c r="AH338" i="35"/>
  <c r="AG338" i="35"/>
  <c r="AA338" i="35"/>
  <c r="X338" i="35"/>
  <c r="W338" i="35"/>
  <c r="AQ337" i="35"/>
  <c r="AU337" i="35" s="1"/>
  <c r="AP337" i="35"/>
  <c r="AO337" i="35"/>
  <c r="AN337" i="35"/>
  <c r="AM337" i="35"/>
  <c r="AL337" i="35"/>
  <c r="AJ337" i="35"/>
  <c r="AI337" i="35"/>
  <c r="AH337" i="35"/>
  <c r="AG337" i="35"/>
  <c r="AA337" i="35"/>
  <c r="X337" i="35"/>
  <c r="Z337" i="35" s="1"/>
  <c r="W337" i="35"/>
  <c r="AQ336" i="35"/>
  <c r="AR336" i="35" s="1"/>
  <c r="AP336" i="35"/>
  <c r="AO336" i="35"/>
  <c r="AN336" i="35"/>
  <c r="AM336" i="35"/>
  <c r="AL336" i="35"/>
  <c r="AJ336" i="35"/>
  <c r="AI336" i="35"/>
  <c r="AH336" i="35"/>
  <c r="AG336" i="35"/>
  <c r="AA336" i="35"/>
  <c r="X336" i="35"/>
  <c r="Z336" i="35" s="1"/>
  <c r="W336" i="35"/>
  <c r="AQ335" i="35"/>
  <c r="AP335" i="35"/>
  <c r="AO335" i="35"/>
  <c r="AN335" i="35"/>
  <c r="AM335" i="35"/>
  <c r="AL335" i="35"/>
  <c r="AJ335" i="35"/>
  <c r="AI335" i="35"/>
  <c r="AH335" i="35"/>
  <c r="AG335" i="35"/>
  <c r="AA335" i="35"/>
  <c r="X335" i="35"/>
  <c r="Z335" i="35" s="1"/>
  <c r="W335" i="35"/>
  <c r="AQ334" i="35"/>
  <c r="AU334" i="35" s="1"/>
  <c r="AP334" i="35"/>
  <c r="AO334" i="35"/>
  <c r="AN334" i="35"/>
  <c r="AM334" i="35"/>
  <c r="AL334" i="35"/>
  <c r="AJ334" i="35"/>
  <c r="AI334" i="35"/>
  <c r="AH334" i="35"/>
  <c r="AG334" i="35"/>
  <c r="AA334" i="35"/>
  <c r="X334" i="35"/>
  <c r="Z334" i="35" s="1"/>
  <c r="W334" i="35"/>
  <c r="AQ333" i="35"/>
  <c r="AR333" i="35" s="1"/>
  <c r="AP333" i="35"/>
  <c r="AO333" i="35"/>
  <c r="AN333" i="35"/>
  <c r="AM333" i="35"/>
  <c r="AL333" i="35"/>
  <c r="AJ333" i="35"/>
  <c r="AI333" i="35"/>
  <c r="AH333" i="35"/>
  <c r="AG333" i="35"/>
  <c r="AA333" i="35"/>
  <c r="X333" i="35"/>
  <c r="Y333" i="35" s="1"/>
  <c r="W333" i="35"/>
  <c r="AQ332" i="35"/>
  <c r="AP332" i="35"/>
  <c r="AO332" i="35"/>
  <c r="AN332" i="35"/>
  <c r="AG332" i="35" s="1"/>
  <c r="AH332" i="35"/>
  <c r="AA332" i="35"/>
  <c r="X332" i="35"/>
  <c r="Z332" i="35" s="1"/>
  <c r="W332" i="35"/>
  <c r="AQ331" i="35"/>
  <c r="AU331" i="35" s="1"/>
  <c r="AP331" i="35"/>
  <c r="AH331" i="35" s="1"/>
  <c r="AL331" i="35" s="1"/>
  <c r="AO331" i="35"/>
  <c r="AN331" i="35"/>
  <c r="AG331" i="35" s="1"/>
  <c r="AA331" i="35"/>
  <c r="X331" i="35"/>
  <c r="Z331" i="35" s="1"/>
  <c r="W331" i="35"/>
  <c r="AQ330" i="35"/>
  <c r="AU330" i="35" s="1"/>
  <c r="AP330" i="35"/>
  <c r="AO330" i="35"/>
  <c r="AN330" i="35"/>
  <c r="AG330" i="35" s="1"/>
  <c r="AH330" i="35"/>
  <c r="AJ330" i="35" s="1"/>
  <c r="AA330" i="35"/>
  <c r="X330" i="35"/>
  <c r="Z330" i="35" s="1"/>
  <c r="W330" i="35"/>
  <c r="AQ329" i="35"/>
  <c r="AT329" i="35" s="1"/>
  <c r="AP329" i="35"/>
  <c r="AO329" i="35"/>
  <c r="AN329" i="35"/>
  <c r="AG329" i="35" s="1"/>
  <c r="AH329" i="35"/>
  <c r="AL329" i="35" s="1"/>
  <c r="AA329" i="35"/>
  <c r="X329" i="35"/>
  <c r="Z329" i="35" s="1"/>
  <c r="W329" i="35"/>
  <c r="AQ328" i="35"/>
  <c r="AP328" i="35"/>
  <c r="AO328" i="35"/>
  <c r="AN328" i="35"/>
  <c r="AG328" i="35" s="1"/>
  <c r="AH328" i="35"/>
  <c r="AA328" i="35"/>
  <c r="X328" i="35"/>
  <c r="Y328" i="35" s="1"/>
  <c r="W328" i="35"/>
  <c r="AQ327" i="35"/>
  <c r="AS327" i="35" s="1"/>
  <c r="AP327" i="35"/>
  <c r="AO327" i="35"/>
  <c r="AN327" i="35"/>
  <c r="AG327" i="35" s="1"/>
  <c r="AH327" i="35"/>
  <c r="AL327" i="35" s="1"/>
  <c r="AA327" i="35"/>
  <c r="X327" i="35"/>
  <c r="Z327" i="35" s="1"/>
  <c r="W327" i="35"/>
  <c r="AQ326" i="35"/>
  <c r="AP326" i="35"/>
  <c r="AO326" i="35"/>
  <c r="AN326" i="35"/>
  <c r="AG326" i="35" s="1"/>
  <c r="AH326" i="35"/>
  <c r="AJ326" i="35" s="1"/>
  <c r="AA326" i="35"/>
  <c r="X326" i="35"/>
  <c r="W326" i="35"/>
  <c r="AQ325" i="35"/>
  <c r="AP325" i="35"/>
  <c r="AO325" i="35"/>
  <c r="AN325" i="35"/>
  <c r="AG325" i="35" s="1"/>
  <c r="AH325" i="35"/>
  <c r="AJ325" i="35" s="1"/>
  <c r="AA325" i="35"/>
  <c r="X325" i="35"/>
  <c r="Z325" i="35" s="1"/>
  <c r="W325" i="35"/>
  <c r="V325" i="35"/>
  <c r="AQ324" i="35"/>
  <c r="AT324" i="35" s="1"/>
  <c r="AP324" i="35"/>
  <c r="AO324" i="35"/>
  <c r="AN324" i="35"/>
  <c r="AG324" i="35" s="1"/>
  <c r="AH324" i="35"/>
  <c r="AJ324" i="35" s="1"/>
  <c r="AA324" i="35"/>
  <c r="AQ322" i="35"/>
  <c r="AU322" i="35" s="1"/>
  <c r="AP322" i="35"/>
  <c r="AO322" i="35"/>
  <c r="AN322" i="35"/>
  <c r="AG322" i="35" s="1"/>
  <c r="AH322" i="35"/>
  <c r="AA322" i="35"/>
  <c r="X322" i="35"/>
  <c r="Z322" i="35" s="1"/>
  <c r="W322" i="35"/>
  <c r="AQ321" i="35"/>
  <c r="AT321" i="35" s="1"/>
  <c r="AP321" i="35"/>
  <c r="AO321" i="35"/>
  <c r="AN321" i="35"/>
  <c r="AG321" i="35" s="1"/>
  <c r="AH321" i="35"/>
  <c r="AA321" i="35"/>
  <c r="X321" i="35"/>
  <c r="Y321" i="35" s="1"/>
  <c r="W321" i="35"/>
  <c r="AQ320" i="35"/>
  <c r="AU320" i="35" s="1"/>
  <c r="AP320" i="35"/>
  <c r="AO320" i="35"/>
  <c r="AN320" i="35"/>
  <c r="AG320" i="35" s="1"/>
  <c r="AH320" i="35"/>
  <c r="AI320" i="35" s="1"/>
  <c r="AA320" i="35"/>
  <c r="X320" i="35"/>
  <c r="Z320" i="35" s="1"/>
  <c r="W320" i="35"/>
  <c r="AQ319" i="35"/>
  <c r="AP319" i="35"/>
  <c r="AO319" i="35"/>
  <c r="AN319" i="35"/>
  <c r="AG319" i="35" s="1"/>
  <c r="AH319" i="35"/>
  <c r="AL319" i="35" s="1"/>
  <c r="AA319" i="35"/>
  <c r="X319" i="35"/>
  <c r="Y319" i="35" s="1"/>
  <c r="W319" i="35"/>
  <c r="AQ318" i="35"/>
  <c r="AT318" i="35" s="1"/>
  <c r="AP318" i="35"/>
  <c r="AO318" i="35"/>
  <c r="AN318" i="35"/>
  <c r="AG318" i="35" s="1"/>
  <c r="AH318" i="35"/>
  <c r="AL318" i="35" s="1"/>
  <c r="AA318" i="35"/>
  <c r="X318" i="35"/>
  <c r="W318" i="35"/>
  <c r="AQ317" i="35"/>
  <c r="AP317" i="35"/>
  <c r="AO317" i="35"/>
  <c r="AN317" i="35"/>
  <c r="AG317" i="35" s="1"/>
  <c r="AH317" i="35"/>
  <c r="AI317" i="35" s="1"/>
  <c r="AA317" i="35"/>
  <c r="X317" i="35"/>
  <c r="Y317" i="35" s="1"/>
  <c r="W317" i="35"/>
  <c r="AQ316" i="35"/>
  <c r="AR316" i="35" s="1"/>
  <c r="AP316" i="35"/>
  <c r="AO316" i="35"/>
  <c r="AN316" i="35"/>
  <c r="AM316" i="35"/>
  <c r="AL316" i="35"/>
  <c r="AJ316" i="35"/>
  <c r="AI316" i="35"/>
  <c r="AH316" i="35"/>
  <c r="AG316" i="35"/>
  <c r="AA316" i="35"/>
  <c r="X316" i="35"/>
  <c r="Z316" i="35" s="1"/>
  <c r="W316" i="35"/>
  <c r="AQ315" i="35"/>
  <c r="AP315" i="35"/>
  <c r="AO315" i="35"/>
  <c r="AN315" i="35"/>
  <c r="AM315" i="35"/>
  <c r="AL315" i="35"/>
  <c r="AJ315" i="35"/>
  <c r="AI315" i="35"/>
  <c r="AH315" i="35"/>
  <c r="AG315" i="35"/>
  <c r="AA315" i="35"/>
  <c r="X315" i="35"/>
  <c r="W315" i="35"/>
  <c r="AQ314" i="35"/>
  <c r="AU314" i="35" s="1"/>
  <c r="AP314" i="35"/>
  <c r="AO314" i="35"/>
  <c r="AN314" i="35"/>
  <c r="AM314" i="35"/>
  <c r="AL314" i="35"/>
  <c r="AJ314" i="35"/>
  <c r="AI314" i="35"/>
  <c r="AH314" i="35"/>
  <c r="AG314" i="35"/>
  <c r="AA314" i="35"/>
  <c r="X314" i="35"/>
  <c r="Z314" i="35" s="1"/>
  <c r="W314" i="35"/>
  <c r="AQ313" i="35"/>
  <c r="AP313" i="35"/>
  <c r="AO313" i="35"/>
  <c r="AN313" i="35"/>
  <c r="AM313" i="35"/>
  <c r="AL313" i="35"/>
  <c r="AJ313" i="35"/>
  <c r="AI313" i="35"/>
  <c r="AH313" i="35"/>
  <c r="AG313" i="35"/>
  <c r="AA313" i="35"/>
  <c r="X313" i="35"/>
  <c r="Y313" i="35" s="1"/>
  <c r="W313" i="35"/>
  <c r="AQ312" i="35"/>
  <c r="AT312" i="35" s="1"/>
  <c r="AP312" i="35"/>
  <c r="AO312" i="35"/>
  <c r="AN312" i="35"/>
  <c r="AM312" i="35"/>
  <c r="AL312" i="35"/>
  <c r="AJ312" i="35"/>
  <c r="AI312" i="35"/>
  <c r="AH312" i="35"/>
  <c r="AG312" i="35"/>
  <c r="AA312" i="35"/>
  <c r="X312" i="35"/>
  <c r="Z312" i="35" s="1"/>
  <c r="W312" i="35"/>
  <c r="AQ311" i="35"/>
  <c r="AU311" i="35" s="1"/>
  <c r="AP311" i="35"/>
  <c r="AO311" i="35"/>
  <c r="AN311" i="35"/>
  <c r="AM311" i="35"/>
  <c r="AL311" i="35"/>
  <c r="AJ311" i="35"/>
  <c r="AI311" i="35"/>
  <c r="AH311" i="35"/>
  <c r="AG311" i="35"/>
  <c r="AA311" i="35"/>
  <c r="X311" i="35"/>
  <c r="Y311" i="35" s="1"/>
  <c r="W311" i="35"/>
  <c r="AQ310" i="35"/>
  <c r="AP310" i="35"/>
  <c r="AO310" i="35"/>
  <c r="AN310" i="35"/>
  <c r="AM310" i="35"/>
  <c r="AL310" i="35"/>
  <c r="AJ310" i="35"/>
  <c r="AI310" i="35"/>
  <c r="AH310" i="35"/>
  <c r="AG310" i="35"/>
  <c r="AA310" i="35"/>
  <c r="X310" i="35"/>
  <c r="Z310" i="35" s="1"/>
  <c r="W310" i="35"/>
  <c r="AQ309" i="35"/>
  <c r="AT309" i="35" s="1"/>
  <c r="AP309" i="35"/>
  <c r="AO309" i="35"/>
  <c r="AN309" i="35"/>
  <c r="AM309" i="35"/>
  <c r="AL309" i="35"/>
  <c r="AJ309" i="35"/>
  <c r="AI309" i="35"/>
  <c r="AH309" i="35"/>
  <c r="AG309" i="35"/>
  <c r="AA309" i="35"/>
  <c r="X309" i="35"/>
  <c r="Y309" i="35" s="1"/>
  <c r="W309" i="35"/>
  <c r="AQ308" i="35"/>
  <c r="AP308" i="35"/>
  <c r="AO308" i="35"/>
  <c r="AN308" i="35"/>
  <c r="AM308" i="35"/>
  <c r="AL308" i="35"/>
  <c r="AJ308" i="35"/>
  <c r="AI308" i="35"/>
  <c r="AH308" i="35"/>
  <c r="AG308" i="35"/>
  <c r="AA308" i="35"/>
  <c r="X308" i="35"/>
  <c r="Z308" i="35" s="1"/>
  <c r="W308" i="35"/>
  <c r="AQ307" i="35"/>
  <c r="AP307" i="35"/>
  <c r="AO307" i="35"/>
  <c r="AN307" i="35"/>
  <c r="AM307" i="35"/>
  <c r="AL307" i="35"/>
  <c r="AJ307" i="35"/>
  <c r="AI307" i="35"/>
  <c r="AH307" i="35"/>
  <c r="AG307" i="35"/>
  <c r="AA307" i="35"/>
  <c r="X307" i="35"/>
  <c r="Z307" i="35" s="1"/>
  <c r="W307" i="35"/>
  <c r="AQ306" i="35"/>
  <c r="AP306" i="35"/>
  <c r="AO306" i="35"/>
  <c r="AN306" i="35"/>
  <c r="AM306" i="35"/>
  <c r="AL306" i="35"/>
  <c r="AJ306" i="35"/>
  <c r="AI306" i="35"/>
  <c r="AH306" i="35"/>
  <c r="AG306" i="35"/>
  <c r="AA306" i="35"/>
  <c r="X306" i="35"/>
  <c r="W306" i="35"/>
  <c r="AQ305" i="35"/>
  <c r="AP305" i="35"/>
  <c r="AO305" i="35"/>
  <c r="AN305" i="35"/>
  <c r="AM305" i="35"/>
  <c r="AL305" i="35"/>
  <c r="AJ305" i="35"/>
  <c r="AI305" i="35"/>
  <c r="AH305" i="35"/>
  <c r="AG305" i="35"/>
  <c r="AA305" i="35"/>
  <c r="X305" i="35"/>
  <c r="Y305" i="35" s="1"/>
  <c r="W305" i="35"/>
  <c r="AQ304" i="35"/>
  <c r="AU304" i="35" s="1"/>
  <c r="AP304" i="35"/>
  <c r="AO304" i="35"/>
  <c r="AN304" i="35"/>
  <c r="AM304" i="35"/>
  <c r="AL304" i="35"/>
  <c r="AJ304" i="35"/>
  <c r="AI304" i="35"/>
  <c r="AH304" i="35"/>
  <c r="AG304" i="35"/>
  <c r="AA304" i="35"/>
  <c r="X304" i="35"/>
  <c r="Y304" i="35" s="1"/>
  <c r="W304" i="35"/>
  <c r="AQ303" i="35"/>
  <c r="AU303" i="35" s="1"/>
  <c r="AP303" i="35"/>
  <c r="AO303" i="35"/>
  <c r="AN303" i="35"/>
  <c r="AM303" i="35"/>
  <c r="AL303" i="35"/>
  <c r="AJ303" i="35"/>
  <c r="AI303" i="35"/>
  <c r="AH303" i="35"/>
  <c r="AG303" i="35"/>
  <c r="AA303" i="35"/>
  <c r="X303" i="35"/>
  <c r="Z303" i="35" s="1"/>
  <c r="W303" i="35"/>
  <c r="AQ302" i="35"/>
  <c r="AU302" i="35" s="1"/>
  <c r="AP302" i="35"/>
  <c r="AO302" i="35"/>
  <c r="AN302" i="35"/>
  <c r="AM302" i="35"/>
  <c r="AL302" i="35"/>
  <c r="AJ302" i="35"/>
  <c r="AI302" i="35"/>
  <c r="AH302" i="35"/>
  <c r="AG302" i="35"/>
  <c r="AA302" i="35"/>
  <c r="X302" i="35"/>
  <c r="Z302" i="35" s="1"/>
  <c r="W302" i="35"/>
  <c r="AQ301" i="35"/>
  <c r="AP301" i="35"/>
  <c r="AO301" i="35"/>
  <c r="AN301" i="35"/>
  <c r="AM301" i="35"/>
  <c r="AL301" i="35"/>
  <c r="AJ301" i="35"/>
  <c r="AI301" i="35"/>
  <c r="AH301" i="35"/>
  <c r="AG301" i="35"/>
  <c r="AA301" i="35"/>
  <c r="X301" i="35"/>
  <c r="W301" i="35"/>
  <c r="AQ300" i="35"/>
  <c r="AP300" i="35"/>
  <c r="AO300" i="35"/>
  <c r="AN300" i="35"/>
  <c r="AM300" i="35"/>
  <c r="AL300" i="35"/>
  <c r="AJ300" i="35"/>
  <c r="AI300" i="35"/>
  <c r="AH300" i="35"/>
  <c r="AG300" i="35"/>
  <c r="AA300" i="35"/>
  <c r="X300" i="35"/>
  <c r="Z300" i="35" s="1"/>
  <c r="W300" i="35"/>
  <c r="AQ299" i="35"/>
  <c r="AS299" i="35" s="1"/>
  <c r="AP299" i="35"/>
  <c r="AO299" i="35"/>
  <c r="AN299" i="35"/>
  <c r="AG299" i="35" s="1"/>
  <c r="AH299" i="35"/>
  <c r="AA299" i="35"/>
  <c r="X299" i="35"/>
  <c r="Z299" i="35" s="1"/>
  <c r="W299" i="35"/>
  <c r="AQ298" i="35"/>
  <c r="AU298" i="35" s="1"/>
  <c r="AP298" i="35"/>
  <c r="AO298" i="35"/>
  <c r="AN298" i="35"/>
  <c r="AG298" i="35" s="1"/>
  <c r="AH298" i="35"/>
  <c r="AA298" i="35"/>
  <c r="X298" i="35"/>
  <c r="Z298" i="35" s="1"/>
  <c r="W298" i="35"/>
  <c r="AQ297" i="35"/>
  <c r="AP297" i="35"/>
  <c r="AO297" i="35"/>
  <c r="AN297" i="35"/>
  <c r="AG297" i="35" s="1"/>
  <c r="AH297" i="35"/>
  <c r="AA297" i="35"/>
  <c r="X297" i="35"/>
  <c r="Y297" i="35" s="1"/>
  <c r="W297" i="35"/>
  <c r="AQ296" i="35"/>
  <c r="AR296" i="35" s="1"/>
  <c r="AP296" i="35"/>
  <c r="AO296" i="35"/>
  <c r="AN296" i="35"/>
  <c r="AG296" i="35" s="1"/>
  <c r="AH296" i="35"/>
  <c r="AA296" i="35"/>
  <c r="X296" i="35"/>
  <c r="Z296" i="35" s="1"/>
  <c r="W296" i="35"/>
  <c r="AQ295" i="35"/>
  <c r="AS295" i="35" s="1"/>
  <c r="AP295" i="35"/>
  <c r="AO295" i="35"/>
  <c r="AN295" i="35"/>
  <c r="AG295" i="35" s="1"/>
  <c r="AH295" i="35"/>
  <c r="AL295" i="35" s="1"/>
  <c r="AA295" i="35"/>
  <c r="X295" i="35"/>
  <c r="Z295" i="35" s="1"/>
  <c r="W295" i="35"/>
  <c r="AQ294" i="35"/>
  <c r="AS294" i="35" s="1"/>
  <c r="AP294" i="35"/>
  <c r="AO294" i="35"/>
  <c r="AN294" i="35"/>
  <c r="AG294" i="35" s="1"/>
  <c r="AH294" i="35"/>
  <c r="AL294" i="35" s="1"/>
  <c r="AA294" i="35"/>
  <c r="X294" i="35"/>
  <c r="Z294" i="35" s="1"/>
  <c r="W294" i="35"/>
  <c r="AQ293" i="35"/>
  <c r="AP293" i="35"/>
  <c r="AO293" i="35"/>
  <c r="AN293" i="35"/>
  <c r="AG293" i="35" s="1"/>
  <c r="AH293" i="35"/>
  <c r="AA293" i="35"/>
  <c r="X293" i="35"/>
  <c r="Y293" i="35" s="1"/>
  <c r="W293" i="35"/>
  <c r="AQ292" i="35"/>
  <c r="AS292" i="35" s="1"/>
  <c r="AP292" i="35"/>
  <c r="AO292" i="35"/>
  <c r="AN292" i="35"/>
  <c r="AG292" i="35" s="1"/>
  <c r="AH292" i="35"/>
  <c r="AJ292" i="35" s="1"/>
  <c r="AA292" i="35"/>
  <c r="X292" i="35"/>
  <c r="W292" i="35"/>
  <c r="AQ291" i="35"/>
  <c r="AU291" i="35" s="1"/>
  <c r="AP291" i="35"/>
  <c r="AO291" i="35"/>
  <c r="AN291" i="35"/>
  <c r="AM291" i="35"/>
  <c r="AL291" i="35"/>
  <c r="AJ291" i="35"/>
  <c r="AI291" i="35"/>
  <c r="AH291" i="35"/>
  <c r="AG291" i="35"/>
  <c r="AA291" i="35"/>
  <c r="X291" i="35"/>
  <c r="Y291" i="35" s="1"/>
  <c r="W291" i="35"/>
  <c r="AQ290" i="35"/>
  <c r="AP290" i="35"/>
  <c r="AO290" i="35"/>
  <c r="AN290" i="35"/>
  <c r="AG290" i="35" s="1"/>
  <c r="AH290" i="35"/>
  <c r="AL290" i="35" s="1"/>
  <c r="AA290" i="35"/>
  <c r="X290" i="35"/>
  <c r="Z290" i="35" s="1"/>
  <c r="W290" i="35"/>
  <c r="AQ289" i="35"/>
  <c r="AP289" i="35"/>
  <c r="AO289" i="35"/>
  <c r="AN289" i="35"/>
  <c r="AG289" i="35" s="1"/>
  <c r="AH289" i="35"/>
  <c r="AA289" i="35"/>
  <c r="X289" i="35"/>
  <c r="W289" i="35"/>
  <c r="V289" i="35"/>
  <c r="AQ288" i="35"/>
  <c r="AP288" i="35"/>
  <c r="AH288" i="35" s="1"/>
  <c r="AI288" i="35" s="1"/>
  <c r="AO288" i="35"/>
  <c r="AN288" i="35"/>
  <c r="AG288" i="35" s="1"/>
  <c r="AA288" i="35"/>
  <c r="AQ286" i="35"/>
  <c r="AU286" i="35" s="1"/>
  <c r="AP286" i="35"/>
  <c r="AO286" i="35"/>
  <c r="AN286" i="35"/>
  <c r="AG286" i="35" s="1"/>
  <c r="AH286" i="35"/>
  <c r="AA286" i="35"/>
  <c r="X286" i="35"/>
  <c r="Y286" i="35" s="1"/>
  <c r="W286" i="35"/>
  <c r="AQ285" i="35"/>
  <c r="AP285" i="35"/>
  <c r="AO285" i="35"/>
  <c r="AN285" i="35"/>
  <c r="AG285" i="35" s="1"/>
  <c r="AH285" i="35"/>
  <c r="AA285" i="35"/>
  <c r="X285" i="35"/>
  <c r="W285" i="35"/>
  <c r="AQ284" i="35"/>
  <c r="AU284" i="35" s="1"/>
  <c r="AP284" i="35"/>
  <c r="AO284" i="35"/>
  <c r="AN284" i="35"/>
  <c r="AM284" i="35"/>
  <c r="AL284" i="35"/>
  <c r="AJ284" i="35"/>
  <c r="AI284" i="35"/>
  <c r="AH284" i="35"/>
  <c r="AG284" i="35"/>
  <c r="AA284" i="35"/>
  <c r="X284" i="35"/>
  <c r="Z284" i="35" s="1"/>
  <c r="W284" i="35"/>
  <c r="AQ283" i="35"/>
  <c r="AU283" i="35" s="1"/>
  <c r="AP283" i="35"/>
  <c r="AO283" i="35"/>
  <c r="AN283" i="35"/>
  <c r="AM283" i="35"/>
  <c r="AL283" i="35"/>
  <c r="AJ283" i="35"/>
  <c r="AI283" i="35"/>
  <c r="AH283" i="35"/>
  <c r="AG283" i="35"/>
  <c r="AA283" i="35"/>
  <c r="X283" i="35"/>
  <c r="Z283" i="35" s="1"/>
  <c r="W283" i="35"/>
  <c r="AQ282" i="35"/>
  <c r="AU282" i="35" s="1"/>
  <c r="AP282" i="35"/>
  <c r="AO282" i="35"/>
  <c r="AN282" i="35"/>
  <c r="AM282" i="35"/>
  <c r="AL282" i="35"/>
  <c r="AJ282" i="35"/>
  <c r="AI282" i="35"/>
  <c r="AH282" i="35"/>
  <c r="AG282" i="35"/>
  <c r="AA282" i="35"/>
  <c r="X282" i="35"/>
  <c r="Z282" i="35" s="1"/>
  <c r="W282" i="35"/>
  <c r="AQ281" i="35"/>
  <c r="AP281" i="35"/>
  <c r="AO281" i="35"/>
  <c r="AN281" i="35"/>
  <c r="AM281" i="35"/>
  <c r="AL281" i="35"/>
  <c r="AJ281" i="35"/>
  <c r="AI281" i="35"/>
  <c r="AH281" i="35"/>
  <c r="AG281" i="35"/>
  <c r="AA281" i="35"/>
  <c r="X281" i="35"/>
  <c r="W281" i="35"/>
  <c r="AQ280" i="35"/>
  <c r="AS280" i="35" s="1"/>
  <c r="AP280" i="35"/>
  <c r="AO280" i="35"/>
  <c r="AN280" i="35"/>
  <c r="AM280" i="35"/>
  <c r="AL280" i="35"/>
  <c r="AJ280" i="35"/>
  <c r="AI280" i="35"/>
  <c r="AH280" i="35"/>
  <c r="AG280" i="35"/>
  <c r="AA280" i="35"/>
  <c r="X280" i="35"/>
  <c r="Z280" i="35" s="1"/>
  <c r="W280" i="35"/>
  <c r="AQ279" i="35"/>
  <c r="AU279" i="35" s="1"/>
  <c r="AP279" i="35"/>
  <c r="AO279" i="35"/>
  <c r="AN279" i="35"/>
  <c r="AM279" i="35"/>
  <c r="AL279" i="35"/>
  <c r="AJ279" i="35"/>
  <c r="AI279" i="35"/>
  <c r="AH279" i="35"/>
  <c r="AG279" i="35"/>
  <c r="AA279" i="35"/>
  <c r="X279" i="35"/>
  <c r="W279" i="35"/>
  <c r="AQ278" i="35"/>
  <c r="AS278" i="35" s="1"/>
  <c r="AP278" i="35"/>
  <c r="AO278" i="35"/>
  <c r="AN278" i="35"/>
  <c r="AM278" i="35"/>
  <c r="AL278" i="35"/>
  <c r="AJ278" i="35"/>
  <c r="AI278" i="35"/>
  <c r="AH278" i="35"/>
  <c r="AG278" i="35"/>
  <c r="AA278" i="35"/>
  <c r="X278" i="35"/>
  <c r="Y278" i="35" s="1"/>
  <c r="W278" i="35"/>
  <c r="AQ277" i="35"/>
  <c r="AP277" i="35"/>
  <c r="AO277" i="35"/>
  <c r="AN277" i="35"/>
  <c r="AM277" i="35"/>
  <c r="AL277" i="35"/>
  <c r="AJ277" i="35"/>
  <c r="AI277" i="35"/>
  <c r="AH277" i="35"/>
  <c r="AG277" i="35"/>
  <c r="AA277" i="35"/>
  <c r="X277" i="35"/>
  <c r="Z277" i="35" s="1"/>
  <c r="W277" i="35"/>
  <c r="AQ276" i="35"/>
  <c r="AS276" i="35" s="1"/>
  <c r="AP276" i="35"/>
  <c r="AO276" i="35"/>
  <c r="AN276" i="35"/>
  <c r="AM276" i="35"/>
  <c r="AL276" i="35"/>
  <c r="AJ276" i="35"/>
  <c r="AI276" i="35"/>
  <c r="AH276" i="35"/>
  <c r="AG276" i="35"/>
  <c r="AA276" i="35"/>
  <c r="X276" i="35"/>
  <c r="Z276" i="35" s="1"/>
  <c r="W276" i="35"/>
  <c r="AQ275" i="35"/>
  <c r="AR275" i="35" s="1"/>
  <c r="AP275" i="35"/>
  <c r="AO275" i="35"/>
  <c r="AN275" i="35"/>
  <c r="AM275" i="35"/>
  <c r="AL275" i="35"/>
  <c r="AJ275" i="35"/>
  <c r="AI275" i="35"/>
  <c r="AH275" i="35"/>
  <c r="AG275" i="35"/>
  <c r="AA275" i="35"/>
  <c r="X275" i="35"/>
  <c r="Z275" i="35" s="1"/>
  <c r="W275" i="35"/>
  <c r="AQ274" i="35"/>
  <c r="AP274" i="35"/>
  <c r="AO274" i="35"/>
  <c r="AN274" i="35"/>
  <c r="AM274" i="35"/>
  <c r="AL274" i="35"/>
  <c r="AJ274" i="35"/>
  <c r="AI274" i="35"/>
  <c r="AH274" i="35"/>
  <c r="AG274" i="35"/>
  <c r="AA274" i="35"/>
  <c r="X274" i="35"/>
  <c r="Z274" i="35" s="1"/>
  <c r="W274" i="35"/>
  <c r="AQ273" i="35"/>
  <c r="AR273" i="35" s="1"/>
  <c r="AP273" i="35"/>
  <c r="AO273" i="35"/>
  <c r="AN273" i="35"/>
  <c r="AM273" i="35"/>
  <c r="AL273" i="35"/>
  <c r="AJ273" i="35"/>
  <c r="AI273" i="35"/>
  <c r="AH273" i="35"/>
  <c r="AG273" i="35"/>
  <c r="AA273" i="35"/>
  <c r="X273" i="35"/>
  <c r="Z273" i="35" s="1"/>
  <c r="W273" i="35"/>
  <c r="AQ272" i="35"/>
  <c r="AT272" i="35" s="1"/>
  <c r="AP272" i="35"/>
  <c r="AO272" i="35"/>
  <c r="AN272" i="35"/>
  <c r="AM272" i="35"/>
  <c r="AL272" i="35"/>
  <c r="AJ272" i="35"/>
  <c r="AI272" i="35"/>
  <c r="AH272" i="35"/>
  <c r="AG272" i="35"/>
  <c r="AA272" i="35"/>
  <c r="X272" i="35"/>
  <c r="Z272" i="35" s="1"/>
  <c r="W272" i="35"/>
  <c r="AQ271" i="35"/>
  <c r="AU271" i="35" s="1"/>
  <c r="AP271" i="35"/>
  <c r="AO271" i="35"/>
  <c r="AN271" i="35"/>
  <c r="AM271" i="35"/>
  <c r="AL271" i="35"/>
  <c r="AJ271" i="35"/>
  <c r="AI271" i="35"/>
  <c r="AH271" i="35"/>
  <c r="AG271" i="35"/>
  <c r="AA271" i="35"/>
  <c r="X271" i="35"/>
  <c r="Z271" i="35" s="1"/>
  <c r="W271" i="35"/>
  <c r="AQ270" i="35"/>
  <c r="AS270" i="35" s="1"/>
  <c r="AP270" i="35"/>
  <c r="AO270" i="35"/>
  <c r="AN270" i="35"/>
  <c r="AM270" i="35"/>
  <c r="AL270" i="35"/>
  <c r="AJ270" i="35"/>
  <c r="AI270" i="35"/>
  <c r="AH270" i="35"/>
  <c r="AG270" i="35"/>
  <c r="AA270" i="35"/>
  <c r="X270" i="35"/>
  <c r="Z270" i="35" s="1"/>
  <c r="W270" i="35"/>
  <c r="AQ269" i="35"/>
  <c r="AU269" i="35" s="1"/>
  <c r="AP269" i="35"/>
  <c r="AO269" i="35"/>
  <c r="AN269" i="35"/>
  <c r="AM269" i="35"/>
  <c r="AL269" i="35"/>
  <c r="AJ269" i="35"/>
  <c r="AI269" i="35"/>
  <c r="AH269" i="35"/>
  <c r="AG269" i="35"/>
  <c r="AA269" i="35"/>
  <c r="X269" i="35"/>
  <c r="Z269" i="35" s="1"/>
  <c r="W269" i="35"/>
  <c r="AQ268" i="35"/>
  <c r="AT268" i="35" s="1"/>
  <c r="AP268" i="35"/>
  <c r="AO268" i="35"/>
  <c r="AN268" i="35"/>
  <c r="AM268" i="35"/>
  <c r="AL268" i="35"/>
  <c r="AJ268" i="35"/>
  <c r="AI268" i="35"/>
  <c r="AH268" i="35"/>
  <c r="AG268" i="35"/>
  <c r="AA268" i="35"/>
  <c r="X268" i="35"/>
  <c r="Y268" i="35" s="1"/>
  <c r="W268" i="35"/>
  <c r="AQ267" i="35"/>
  <c r="AU267" i="35" s="1"/>
  <c r="AP267" i="35"/>
  <c r="AO267" i="35"/>
  <c r="AN267" i="35"/>
  <c r="AM267" i="35"/>
  <c r="AL267" i="35"/>
  <c r="AJ267" i="35"/>
  <c r="AI267" i="35"/>
  <c r="AH267" i="35"/>
  <c r="AG267" i="35"/>
  <c r="AA267" i="35"/>
  <c r="X267" i="35"/>
  <c r="Z267" i="35" s="1"/>
  <c r="W267" i="35"/>
  <c r="AQ266" i="35"/>
  <c r="AS266" i="35" s="1"/>
  <c r="AP266" i="35"/>
  <c r="AO266" i="35"/>
  <c r="AN266" i="35"/>
  <c r="AM266" i="35"/>
  <c r="AL266" i="35"/>
  <c r="AJ266" i="35"/>
  <c r="AI266" i="35"/>
  <c r="AH266" i="35"/>
  <c r="AG266" i="35"/>
  <c r="AA266" i="35"/>
  <c r="X266" i="35"/>
  <c r="Z266" i="35" s="1"/>
  <c r="W266" i="35"/>
  <c r="AQ265" i="35"/>
  <c r="AS265" i="35" s="1"/>
  <c r="AP265" i="35"/>
  <c r="AO265" i="35"/>
  <c r="AN265" i="35"/>
  <c r="AM265" i="35"/>
  <c r="AL265" i="35"/>
  <c r="AJ265" i="35"/>
  <c r="AI265" i="35"/>
  <c r="AH265" i="35"/>
  <c r="AG265" i="35"/>
  <c r="AA265" i="35"/>
  <c r="X265" i="35"/>
  <c r="Y265" i="35" s="1"/>
  <c r="W265" i="35"/>
  <c r="AQ264" i="35"/>
  <c r="AT264" i="35" s="1"/>
  <c r="AP264" i="35"/>
  <c r="AO264" i="35"/>
  <c r="AN264" i="35"/>
  <c r="AM264" i="35"/>
  <c r="AL264" i="35"/>
  <c r="AJ264" i="35"/>
  <c r="AI264" i="35"/>
  <c r="AH264" i="35"/>
  <c r="AG264" i="35"/>
  <c r="AA264" i="35"/>
  <c r="X264" i="35"/>
  <c r="Z264" i="35" s="1"/>
  <c r="W264" i="35"/>
  <c r="AQ263" i="35"/>
  <c r="AP263" i="35"/>
  <c r="AO263" i="35"/>
  <c r="AN263" i="35"/>
  <c r="AM263" i="35"/>
  <c r="AL263" i="35"/>
  <c r="AJ263" i="35"/>
  <c r="AI263" i="35"/>
  <c r="AH263" i="35"/>
  <c r="AG263" i="35"/>
  <c r="AA263" i="35"/>
  <c r="X263" i="35"/>
  <c r="Z263" i="35" s="1"/>
  <c r="W263" i="35"/>
  <c r="AQ262" i="35"/>
  <c r="AU262" i="35" s="1"/>
  <c r="AP262" i="35"/>
  <c r="AO262" i="35"/>
  <c r="AN262" i="35"/>
  <c r="AM262" i="35"/>
  <c r="AL262" i="35"/>
  <c r="AJ262" i="35"/>
  <c r="AI262" i="35"/>
  <c r="AH262" i="35"/>
  <c r="AG262" i="35"/>
  <c r="AA262" i="35"/>
  <c r="X262" i="35"/>
  <c r="Z262" i="35" s="1"/>
  <c r="W262" i="35"/>
  <c r="AQ261" i="35"/>
  <c r="AP261" i="35"/>
  <c r="AO261" i="35"/>
  <c r="AN261" i="35"/>
  <c r="AG261" i="35" s="1"/>
  <c r="AH261" i="35"/>
  <c r="AA261" i="35"/>
  <c r="X261" i="35"/>
  <c r="Z261" i="35" s="1"/>
  <c r="W261" i="35"/>
  <c r="AQ260" i="35"/>
  <c r="AT260" i="35" s="1"/>
  <c r="AP260" i="35"/>
  <c r="AO260" i="35"/>
  <c r="AN260" i="35"/>
  <c r="AG260" i="35" s="1"/>
  <c r="AH260" i="35"/>
  <c r="AI260" i="35" s="1"/>
  <c r="AA260" i="35"/>
  <c r="X260" i="35"/>
  <c r="Y260" i="35" s="1"/>
  <c r="W260" i="35"/>
  <c r="AQ259" i="35"/>
  <c r="AT259" i="35" s="1"/>
  <c r="AP259" i="35"/>
  <c r="AO259" i="35"/>
  <c r="AN259" i="35"/>
  <c r="AG259" i="35" s="1"/>
  <c r="AH259" i="35"/>
  <c r="AA259" i="35"/>
  <c r="X259" i="35"/>
  <c r="Z259" i="35" s="1"/>
  <c r="W259" i="35"/>
  <c r="AQ258" i="35"/>
  <c r="AP258" i="35"/>
  <c r="AO258" i="35"/>
  <c r="AN258" i="35"/>
  <c r="AG258" i="35" s="1"/>
  <c r="AH258" i="35"/>
  <c r="AA258" i="35"/>
  <c r="X258" i="35"/>
  <c r="Z258" i="35" s="1"/>
  <c r="W258" i="35"/>
  <c r="AQ257" i="35"/>
  <c r="AP257" i="35"/>
  <c r="AO257" i="35"/>
  <c r="AN257" i="35"/>
  <c r="AG257" i="35" s="1"/>
  <c r="AH257" i="35"/>
  <c r="AA257" i="35"/>
  <c r="X257" i="35"/>
  <c r="Z257" i="35" s="1"/>
  <c r="W257" i="35"/>
  <c r="AQ256" i="35"/>
  <c r="AT256" i="35" s="1"/>
  <c r="AP256" i="35"/>
  <c r="AO256" i="35"/>
  <c r="AN256" i="35"/>
  <c r="AG256" i="35" s="1"/>
  <c r="AH256" i="35"/>
  <c r="AA256" i="35"/>
  <c r="X256" i="35"/>
  <c r="Z256" i="35" s="1"/>
  <c r="W256" i="35"/>
  <c r="AQ255" i="35"/>
  <c r="AS255" i="35" s="1"/>
  <c r="AP255" i="35"/>
  <c r="AO255" i="35"/>
  <c r="AN255" i="35"/>
  <c r="AG255" i="35" s="1"/>
  <c r="AH255" i="35"/>
  <c r="AL255" i="35" s="1"/>
  <c r="AA255" i="35"/>
  <c r="X255" i="35"/>
  <c r="Z255" i="35" s="1"/>
  <c r="W255" i="35"/>
  <c r="AQ254" i="35"/>
  <c r="AR254" i="35" s="1"/>
  <c r="AP254" i="35"/>
  <c r="AO254" i="35"/>
  <c r="AN254" i="35"/>
  <c r="AG254" i="35" s="1"/>
  <c r="AH254" i="35"/>
  <c r="AA254" i="35"/>
  <c r="X254" i="35"/>
  <c r="Z254" i="35" s="1"/>
  <c r="W254" i="35"/>
  <c r="AQ253" i="35"/>
  <c r="AP253" i="35"/>
  <c r="AO253" i="35"/>
  <c r="AN253" i="35"/>
  <c r="AG253" i="35" s="1"/>
  <c r="AH253" i="35"/>
  <c r="AL253" i="35" s="1"/>
  <c r="AA253" i="35"/>
  <c r="X253" i="35"/>
  <c r="W253" i="35"/>
  <c r="V253" i="35"/>
  <c r="AQ252" i="35"/>
  <c r="AP252" i="35"/>
  <c r="AH252" i="35" s="1"/>
  <c r="AO252" i="35"/>
  <c r="AN252" i="35"/>
  <c r="AG252" i="35" s="1"/>
  <c r="AA252" i="35"/>
  <c r="AQ250" i="35"/>
  <c r="AP250" i="35"/>
  <c r="AO250" i="35"/>
  <c r="AN250" i="35"/>
  <c r="AG250" i="35" s="1"/>
  <c r="AH250" i="35"/>
  <c r="AI250" i="35" s="1"/>
  <c r="AA250" i="35"/>
  <c r="X250" i="35"/>
  <c r="Y250" i="35" s="1"/>
  <c r="W250" i="35"/>
  <c r="AQ249" i="35"/>
  <c r="AR249" i="35" s="1"/>
  <c r="AP249" i="35"/>
  <c r="AO249" i="35"/>
  <c r="AN249" i="35"/>
  <c r="AG249" i="35" s="1"/>
  <c r="AH249" i="35"/>
  <c r="AA249" i="35"/>
  <c r="X249" i="35"/>
  <c r="Z249" i="35" s="1"/>
  <c r="W249" i="35"/>
  <c r="AQ248" i="35"/>
  <c r="AR248" i="35" s="1"/>
  <c r="AP248" i="35"/>
  <c r="AO248" i="35"/>
  <c r="AN248" i="35"/>
  <c r="AG248" i="35" s="1"/>
  <c r="AH248" i="35"/>
  <c r="AI248" i="35" s="1"/>
  <c r="AA248" i="35"/>
  <c r="X248" i="35"/>
  <c r="W248" i="35"/>
  <c r="AQ247" i="35"/>
  <c r="AR247" i="35" s="1"/>
  <c r="AP247" i="35"/>
  <c r="AO247" i="35"/>
  <c r="AN247" i="35"/>
  <c r="AM247" i="35"/>
  <c r="AL247" i="35"/>
  <c r="AJ247" i="35"/>
  <c r="AI247" i="35"/>
  <c r="AH247" i="35"/>
  <c r="AG247" i="35"/>
  <c r="AA247" i="35"/>
  <c r="X247" i="35"/>
  <c r="Z247" i="35" s="1"/>
  <c r="W247" i="35"/>
  <c r="AQ246" i="35"/>
  <c r="AU246" i="35" s="1"/>
  <c r="AP246" i="35"/>
  <c r="AO246" i="35"/>
  <c r="AN246" i="35"/>
  <c r="AM246" i="35"/>
  <c r="AL246" i="35"/>
  <c r="AJ246" i="35"/>
  <c r="AI246" i="35"/>
  <c r="AH246" i="35"/>
  <c r="AG246" i="35"/>
  <c r="AA246" i="35"/>
  <c r="X246" i="35"/>
  <c r="Y246" i="35" s="1"/>
  <c r="W246" i="35"/>
  <c r="AQ245" i="35"/>
  <c r="AT245" i="35" s="1"/>
  <c r="AP245" i="35"/>
  <c r="AO245" i="35"/>
  <c r="AN245" i="35"/>
  <c r="AM245" i="35"/>
  <c r="AL245" i="35"/>
  <c r="AJ245" i="35"/>
  <c r="AI245" i="35"/>
  <c r="AH245" i="35"/>
  <c r="AG245" i="35"/>
  <c r="AA245" i="35"/>
  <c r="X245" i="35"/>
  <c r="Z245" i="35" s="1"/>
  <c r="W245" i="35"/>
  <c r="AQ244" i="35"/>
  <c r="AT244" i="35" s="1"/>
  <c r="AP244" i="35"/>
  <c r="AO244" i="35"/>
  <c r="AN244" i="35"/>
  <c r="AM244" i="35"/>
  <c r="AL244" i="35"/>
  <c r="AJ244" i="35"/>
  <c r="AI244" i="35"/>
  <c r="AH244" i="35"/>
  <c r="AG244" i="35"/>
  <c r="AA244" i="35"/>
  <c r="X244" i="35"/>
  <c r="Z244" i="35" s="1"/>
  <c r="W244" i="35"/>
  <c r="AQ243" i="35"/>
  <c r="AT243" i="35" s="1"/>
  <c r="AP243" i="35"/>
  <c r="AO243" i="35"/>
  <c r="AN243" i="35"/>
  <c r="AM243" i="35"/>
  <c r="AL243" i="35"/>
  <c r="AJ243" i="35"/>
  <c r="AI243" i="35"/>
  <c r="AH243" i="35"/>
  <c r="AG243" i="35"/>
  <c r="AA243" i="35"/>
  <c r="X243" i="35"/>
  <c r="W243" i="35"/>
  <c r="AQ242" i="35"/>
  <c r="AU242" i="35" s="1"/>
  <c r="AP242" i="35"/>
  <c r="AO242" i="35"/>
  <c r="AN242" i="35"/>
  <c r="AM242" i="35"/>
  <c r="AL242" i="35"/>
  <c r="AJ242" i="35"/>
  <c r="AI242" i="35"/>
  <c r="AH242" i="35"/>
  <c r="AG242" i="35"/>
  <c r="AA242" i="35"/>
  <c r="X242" i="35"/>
  <c r="Z242" i="35" s="1"/>
  <c r="W242" i="35"/>
  <c r="AQ241" i="35"/>
  <c r="AP241" i="35"/>
  <c r="AO241" i="35"/>
  <c r="AN241" i="35"/>
  <c r="AM241" i="35"/>
  <c r="AL241" i="35"/>
  <c r="AJ241" i="35"/>
  <c r="AI241" i="35"/>
  <c r="AH241" i="35"/>
  <c r="AG241" i="35"/>
  <c r="AA241" i="35"/>
  <c r="X241" i="35"/>
  <c r="Y241" i="35" s="1"/>
  <c r="W241" i="35"/>
  <c r="AQ240" i="35"/>
  <c r="AP240" i="35"/>
  <c r="AO240" i="35"/>
  <c r="AN240" i="35"/>
  <c r="AM240" i="35"/>
  <c r="AL240" i="35"/>
  <c r="AJ240" i="35"/>
  <c r="AI240" i="35"/>
  <c r="AH240" i="35"/>
  <c r="AG240" i="35"/>
  <c r="AA240" i="35"/>
  <c r="X240" i="35"/>
  <c r="Z240" i="35" s="1"/>
  <c r="W240" i="35"/>
  <c r="AQ239" i="35"/>
  <c r="AT239" i="35" s="1"/>
  <c r="AP239" i="35"/>
  <c r="AO239" i="35"/>
  <c r="AN239" i="35"/>
  <c r="AM239" i="35"/>
  <c r="AL239" i="35"/>
  <c r="AJ239" i="35"/>
  <c r="AI239" i="35"/>
  <c r="AH239" i="35"/>
  <c r="AG239" i="35"/>
  <c r="AA239" i="35"/>
  <c r="X239" i="35"/>
  <c r="Y239" i="35" s="1"/>
  <c r="W239" i="35"/>
  <c r="AQ238" i="35"/>
  <c r="AP238" i="35"/>
  <c r="AO238" i="35"/>
  <c r="AN238" i="35"/>
  <c r="AM238" i="35"/>
  <c r="AL238" i="35"/>
  <c r="AJ238" i="35"/>
  <c r="AI238" i="35"/>
  <c r="AH238" i="35"/>
  <c r="AG238" i="35"/>
  <c r="AA238" i="35"/>
  <c r="X238" i="35"/>
  <c r="Y238" i="35" s="1"/>
  <c r="W238" i="35"/>
  <c r="AQ237" i="35"/>
  <c r="AP237" i="35"/>
  <c r="AO237" i="35"/>
  <c r="AN237" i="35"/>
  <c r="AM237" i="35"/>
  <c r="AL237" i="35"/>
  <c r="AJ237" i="35"/>
  <c r="AI237" i="35"/>
  <c r="AH237" i="35"/>
  <c r="AG237" i="35"/>
  <c r="AA237" i="35"/>
  <c r="X237" i="35"/>
  <c r="W237" i="35"/>
  <c r="AQ236" i="35"/>
  <c r="AU236" i="35" s="1"/>
  <c r="AP236" i="35"/>
  <c r="AO236" i="35"/>
  <c r="AN236" i="35"/>
  <c r="AM236" i="35"/>
  <c r="AL236" i="35"/>
  <c r="AJ236" i="35"/>
  <c r="AI236" i="35"/>
  <c r="AH236" i="35"/>
  <c r="AG236" i="35"/>
  <c r="AA236" i="35"/>
  <c r="X236" i="35"/>
  <c r="Y236" i="35" s="1"/>
  <c r="W236" i="35"/>
  <c r="AQ235" i="35"/>
  <c r="AT235" i="35" s="1"/>
  <c r="AP235" i="35"/>
  <c r="AO235" i="35"/>
  <c r="AN235" i="35"/>
  <c r="AM235" i="35"/>
  <c r="AL235" i="35"/>
  <c r="AJ235" i="35"/>
  <c r="AI235" i="35"/>
  <c r="AH235" i="35"/>
  <c r="AG235" i="35"/>
  <c r="AA235" i="35"/>
  <c r="X235" i="35"/>
  <c r="Z235" i="35" s="1"/>
  <c r="W235" i="35"/>
  <c r="AQ234" i="35"/>
  <c r="AT234" i="35" s="1"/>
  <c r="AP234" i="35"/>
  <c r="AO234" i="35"/>
  <c r="AN234" i="35"/>
  <c r="AM234" i="35"/>
  <c r="AL234" i="35"/>
  <c r="AJ234" i="35"/>
  <c r="AI234" i="35"/>
  <c r="AH234" i="35"/>
  <c r="AG234" i="35"/>
  <c r="AA234" i="35"/>
  <c r="X234" i="35"/>
  <c r="Y234" i="35" s="1"/>
  <c r="W234" i="35"/>
  <c r="AQ233" i="35"/>
  <c r="AP233" i="35"/>
  <c r="AO233" i="35"/>
  <c r="AN233" i="35"/>
  <c r="AM233" i="35"/>
  <c r="AL233" i="35"/>
  <c r="AJ233" i="35"/>
  <c r="AI233" i="35"/>
  <c r="AH233" i="35"/>
  <c r="AG233" i="35"/>
  <c r="AA233" i="35"/>
  <c r="X233" i="35"/>
  <c r="Z233" i="35" s="1"/>
  <c r="W233" i="35"/>
  <c r="AQ232" i="35"/>
  <c r="AP232" i="35"/>
  <c r="AO232" i="35"/>
  <c r="AN232" i="35"/>
  <c r="AM232" i="35"/>
  <c r="AL232" i="35"/>
  <c r="AJ232" i="35"/>
  <c r="AI232" i="35"/>
  <c r="AH232" i="35"/>
  <c r="AG232" i="35"/>
  <c r="AA232" i="35"/>
  <c r="X232" i="35"/>
  <c r="Z232" i="35" s="1"/>
  <c r="W232" i="35"/>
  <c r="AQ231" i="35"/>
  <c r="AS231" i="35" s="1"/>
  <c r="AP231" i="35"/>
  <c r="AO231" i="35"/>
  <c r="AN231" i="35"/>
  <c r="AM231" i="35"/>
  <c r="AL231" i="35"/>
  <c r="AJ231" i="35"/>
  <c r="AI231" i="35"/>
  <c r="AH231" i="35"/>
  <c r="AG231" i="35"/>
  <c r="AA231" i="35"/>
  <c r="X231" i="35"/>
  <c r="Z231" i="35" s="1"/>
  <c r="W231" i="35"/>
  <c r="AQ230" i="35"/>
  <c r="AP230" i="35"/>
  <c r="AO230" i="35"/>
  <c r="AN230" i="35"/>
  <c r="AM230" i="35"/>
  <c r="AL230" i="35"/>
  <c r="AJ230" i="35"/>
  <c r="AI230" i="35"/>
  <c r="AH230" i="35"/>
  <c r="AG230" i="35"/>
  <c r="AA230" i="35"/>
  <c r="X230" i="35"/>
  <c r="Z230" i="35" s="1"/>
  <c r="W230" i="35"/>
  <c r="AQ229" i="35"/>
  <c r="AR229" i="35" s="1"/>
  <c r="AP229" i="35"/>
  <c r="AO229" i="35"/>
  <c r="AN229" i="35"/>
  <c r="AM229" i="35"/>
  <c r="AL229" i="35"/>
  <c r="AJ229" i="35"/>
  <c r="AI229" i="35"/>
  <c r="AH229" i="35"/>
  <c r="AG229" i="35"/>
  <c r="AA229" i="35"/>
  <c r="X229" i="35"/>
  <c r="W229" i="35"/>
  <c r="AQ228" i="35"/>
  <c r="AU228" i="35" s="1"/>
  <c r="AP228" i="35"/>
  <c r="AO228" i="35"/>
  <c r="AN228" i="35"/>
  <c r="AM228" i="35"/>
  <c r="AL228" i="35"/>
  <c r="AJ228" i="35"/>
  <c r="AI228" i="35"/>
  <c r="AH228" i="35"/>
  <c r="AG228" i="35"/>
  <c r="AA228" i="35"/>
  <c r="X228" i="35"/>
  <c r="W228" i="35"/>
  <c r="AQ227" i="35"/>
  <c r="AR227" i="35" s="1"/>
  <c r="AP227" i="35"/>
  <c r="AO227" i="35"/>
  <c r="AN227" i="35"/>
  <c r="AM227" i="35"/>
  <c r="AL227" i="35"/>
  <c r="AJ227" i="35"/>
  <c r="AI227" i="35"/>
  <c r="AH227" i="35"/>
  <c r="AG227" i="35"/>
  <c r="AA227" i="35"/>
  <c r="X227" i="35"/>
  <c r="Z227" i="35" s="1"/>
  <c r="W227" i="35"/>
  <c r="AQ226" i="35"/>
  <c r="AR226" i="35" s="1"/>
  <c r="AP226" i="35"/>
  <c r="AO226" i="35"/>
  <c r="AN226" i="35"/>
  <c r="AM226" i="35"/>
  <c r="AL226" i="35"/>
  <c r="AJ226" i="35"/>
  <c r="AI226" i="35"/>
  <c r="AH226" i="35"/>
  <c r="AG226" i="35"/>
  <c r="AA226" i="35"/>
  <c r="X226" i="35"/>
  <c r="Z226" i="35" s="1"/>
  <c r="W226" i="35"/>
  <c r="AQ225" i="35"/>
  <c r="AU225" i="35" s="1"/>
  <c r="AP225" i="35"/>
  <c r="AO225" i="35"/>
  <c r="AN225" i="35"/>
  <c r="AM225" i="35"/>
  <c r="AL225" i="35"/>
  <c r="AJ225" i="35"/>
  <c r="AI225" i="35"/>
  <c r="AH225" i="35"/>
  <c r="AG225" i="35"/>
  <c r="AA225" i="35"/>
  <c r="X225" i="35"/>
  <c r="W225" i="35"/>
  <c r="AQ224" i="35"/>
  <c r="AS224" i="35" s="1"/>
  <c r="AP224" i="35"/>
  <c r="AH224" i="35" s="1"/>
  <c r="AJ224" i="35" s="1"/>
  <c r="AO224" i="35"/>
  <c r="AN224" i="35"/>
  <c r="AG224" i="35" s="1"/>
  <c r="AA224" i="35"/>
  <c r="X224" i="35"/>
  <c r="Z224" i="35" s="1"/>
  <c r="W224" i="35"/>
  <c r="AQ223" i="35"/>
  <c r="AS223" i="35" s="1"/>
  <c r="AP223" i="35"/>
  <c r="AH223" i="35" s="1"/>
  <c r="AL223" i="35" s="1"/>
  <c r="AO223" i="35"/>
  <c r="AN223" i="35"/>
  <c r="AG223" i="35" s="1"/>
  <c r="AA223" i="35"/>
  <c r="X223" i="35"/>
  <c r="Z223" i="35" s="1"/>
  <c r="W223" i="35"/>
  <c r="AQ222" i="35"/>
  <c r="AP222" i="35"/>
  <c r="AH222" i="35" s="1"/>
  <c r="AJ222" i="35" s="1"/>
  <c r="AO222" i="35"/>
  <c r="AN222" i="35"/>
  <c r="AG222" i="35" s="1"/>
  <c r="AA222" i="35"/>
  <c r="X222" i="35"/>
  <c r="W222" i="35"/>
  <c r="AQ221" i="35"/>
  <c r="AU221" i="35" s="1"/>
  <c r="AP221" i="35"/>
  <c r="AO221" i="35"/>
  <c r="AN221" i="35"/>
  <c r="AG221" i="35" s="1"/>
  <c r="AH221" i="35"/>
  <c r="AA221" i="35"/>
  <c r="X221" i="35"/>
  <c r="Z221" i="35" s="1"/>
  <c r="W221" i="35"/>
  <c r="AQ220" i="35"/>
  <c r="AU220" i="35" s="1"/>
  <c r="AP220" i="35"/>
  <c r="AO220" i="35"/>
  <c r="AN220" i="35"/>
  <c r="AG220" i="35" s="1"/>
  <c r="AH220" i="35"/>
  <c r="AJ220" i="35" s="1"/>
  <c r="AA220" i="35"/>
  <c r="X220" i="35"/>
  <c r="Z220" i="35" s="1"/>
  <c r="W220" i="35"/>
  <c r="AQ219" i="35"/>
  <c r="AP219" i="35"/>
  <c r="AO219" i="35"/>
  <c r="AN219" i="35"/>
  <c r="AG219" i="35" s="1"/>
  <c r="AH219" i="35"/>
  <c r="AA219" i="35"/>
  <c r="X219" i="35"/>
  <c r="Z219" i="35" s="1"/>
  <c r="W219" i="35"/>
  <c r="AQ218" i="35"/>
  <c r="AS218" i="35" s="1"/>
  <c r="AP218" i="35"/>
  <c r="AO218" i="35"/>
  <c r="AN218" i="35"/>
  <c r="AG218" i="35" s="1"/>
  <c r="AH218" i="35"/>
  <c r="AA218" i="35"/>
  <c r="X218" i="35"/>
  <c r="Z218" i="35" s="1"/>
  <c r="W218" i="35"/>
  <c r="AQ217" i="35"/>
  <c r="AU217" i="35" s="1"/>
  <c r="AP217" i="35"/>
  <c r="AO217" i="35"/>
  <c r="AN217" i="35"/>
  <c r="AG217" i="35" s="1"/>
  <c r="AH217" i="35"/>
  <c r="AA217" i="35"/>
  <c r="X217" i="35"/>
  <c r="W217" i="35"/>
  <c r="V217" i="35"/>
  <c r="AQ216" i="35"/>
  <c r="AP216" i="35"/>
  <c r="AO216" i="35"/>
  <c r="AN216" i="35"/>
  <c r="AG216" i="35" s="1"/>
  <c r="AH216" i="35"/>
  <c r="AA216" i="35"/>
  <c r="AQ214" i="35"/>
  <c r="AS214" i="35" s="1"/>
  <c r="AP214" i="35"/>
  <c r="AO214" i="35"/>
  <c r="AN214" i="35"/>
  <c r="AM214" i="35"/>
  <c r="AL214" i="35"/>
  <c r="AJ214" i="35"/>
  <c r="AI214" i="35"/>
  <c r="AH214" i="35"/>
  <c r="AG214" i="35"/>
  <c r="AA214" i="35"/>
  <c r="X214" i="35"/>
  <c r="W214" i="35"/>
  <c r="AQ213" i="35"/>
  <c r="AU213" i="35" s="1"/>
  <c r="AP213" i="35"/>
  <c r="AO213" i="35"/>
  <c r="AN213" i="35"/>
  <c r="AM213" i="35"/>
  <c r="AL213" i="35"/>
  <c r="AJ213" i="35"/>
  <c r="AI213" i="35"/>
  <c r="AH213" i="35"/>
  <c r="AG213" i="35"/>
  <c r="AA213" i="35"/>
  <c r="X213" i="35"/>
  <c r="W213" i="35"/>
  <c r="AQ212" i="35"/>
  <c r="AS212" i="35" s="1"/>
  <c r="AP212" i="35"/>
  <c r="AO212" i="35"/>
  <c r="AN212" i="35"/>
  <c r="AM212" i="35"/>
  <c r="AL212" i="35"/>
  <c r="AJ212" i="35"/>
  <c r="AI212" i="35"/>
  <c r="AH212" i="35"/>
  <c r="AG212" i="35"/>
  <c r="AA212" i="35"/>
  <c r="X212" i="35"/>
  <c r="Z212" i="35" s="1"/>
  <c r="W212" i="35"/>
  <c r="AQ211" i="35"/>
  <c r="AU211" i="35" s="1"/>
  <c r="AP211" i="35"/>
  <c r="AO211" i="35"/>
  <c r="AN211" i="35"/>
  <c r="AM211" i="35"/>
  <c r="AL211" i="35"/>
  <c r="AJ211" i="35"/>
  <c r="AI211" i="35"/>
  <c r="AH211" i="35"/>
  <c r="AG211" i="35"/>
  <c r="AA211" i="35"/>
  <c r="X211" i="35"/>
  <c r="Z211" i="35" s="1"/>
  <c r="W211" i="35"/>
  <c r="AQ210" i="35"/>
  <c r="AT210" i="35" s="1"/>
  <c r="AP210" i="35"/>
  <c r="AO210" i="35"/>
  <c r="AN210" i="35"/>
  <c r="AM210" i="35"/>
  <c r="AL210" i="35"/>
  <c r="AJ210" i="35"/>
  <c r="AI210" i="35"/>
  <c r="AH210" i="35"/>
  <c r="AG210" i="35"/>
  <c r="AA210" i="35"/>
  <c r="X210" i="35"/>
  <c r="Z210" i="35" s="1"/>
  <c r="W210" i="35"/>
  <c r="AQ209" i="35"/>
  <c r="AR209" i="35" s="1"/>
  <c r="AP209" i="35"/>
  <c r="AO209" i="35"/>
  <c r="AN209" i="35"/>
  <c r="AM209" i="35"/>
  <c r="AL209" i="35"/>
  <c r="AJ209" i="35"/>
  <c r="AI209" i="35"/>
  <c r="AH209" i="35"/>
  <c r="AG209" i="35"/>
  <c r="AA209" i="35"/>
  <c r="X209" i="35"/>
  <c r="Z209" i="35" s="1"/>
  <c r="W209" i="35"/>
  <c r="AQ208" i="35"/>
  <c r="AP208" i="35"/>
  <c r="AO208" i="35"/>
  <c r="AN208" i="35"/>
  <c r="AM208" i="35"/>
  <c r="AL208" i="35"/>
  <c r="AJ208" i="35"/>
  <c r="AI208" i="35"/>
  <c r="AH208" i="35"/>
  <c r="AG208" i="35"/>
  <c r="AA208" i="35"/>
  <c r="X208" i="35"/>
  <c r="W208" i="35"/>
  <c r="AQ207" i="35"/>
  <c r="AS207" i="35" s="1"/>
  <c r="AP207" i="35"/>
  <c r="AO207" i="35"/>
  <c r="AN207" i="35"/>
  <c r="AM207" i="35"/>
  <c r="AL207" i="35"/>
  <c r="AJ207" i="35"/>
  <c r="AI207" i="35"/>
  <c r="AH207" i="35"/>
  <c r="AG207" i="35"/>
  <c r="AA207" i="35"/>
  <c r="X207" i="35"/>
  <c r="Y207" i="35" s="1"/>
  <c r="W207" i="35"/>
  <c r="AQ206" i="35"/>
  <c r="AP206" i="35"/>
  <c r="AO206" i="35"/>
  <c r="AN206" i="35"/>
  <c r="AM206" i="35"/>
  <c r="AL206" i="35"/>
  <c r="AJ206" i="35"/>
  <c r="AI206" i="35"/>
  <c r="AH206" i="35"/>
  <c r="AG206" i="35"/>
  <c r="AA206" i="35"/>
  <c r="X206" i="35"/>
  <c r="Z206" i="35" s="1"/>
  <c r="W206" i="35"/>
  <c r="AQ205" i="35"/>
  <c r="AT205" i="35" s="1"/>
  <c r="AP205" i="35"/>
  <c r="AO205" i="35"/>
  <c r="AN205" i="35"/>
  <c r="AM205" i="35"/>
  <c r="AL205" i="35"/>
  <c r="AJ205" i="35"/>
  <c r="AI205" i="35"/>
  <c r="AH205" i="35"/>
  <c r="AG205" i="35"/>
  <c r="AA205" i="35"/>
  <c r="X205" i="35"/>
  <c r="Z205" i="35" s="1"/>
  <c r="W205" i="35"/>
  <c r="AQ204" i="35"/>
  <c r="AS204" i="35" s="1"/>
  <c r="AP204" i="35"/>
  <c r="AO204" i="35"/>
  <c r="AN204" i="35"/>
  <c r="AM204" i="35"/>
  <c r="AL204" i="35"/>
  <c r="AJ204" i="35"/>
  <c r="AI204" i="35"/>
  <c r="AH204" i="35"/>
  <c r="AG204" i="35"/>
  <c r="AA204" i="35"/>
  <c r="X204" i="35"/>
  <c r="Z204" i="35" s="1"/>
  <c r="W204" i="35"/>
  <c r="AQ203" i="35"/>
  <c r="AU203" i="35" s="1"/>
  <c r="AP203" i="35"/>
  <c r="AO203" i="35"/>
  <c r="AN203" i="35"/>
  <c r="AM203" i="35"/>
  <c r="AL203" i="35"/>
  <c r="AJ203" i="35"/>
  <c r="AI203" i="35"/>
  <c r="AH203" i="35"/>
  <c r="AG203" i="35"/>
  <c r="AA203" i="35"/>
  <c r="X203" i="35"/>
  <c r="Y203" i="35" s="1"/>
  <c r="W203" i="35"/>
  <c r="AQ202" i="35"/>
  <c r="AP202" i="35"/>
  <c r="AO202" i="35"/>
  <c r="AN202" i="35"/>
  <c r="AM202" i="35"/>
  <c r="AL202" i="35"/>
  <c r="AJ202" i="35"/>
  <c r="AI202" i="35"/>
  <c r="AH202" i="35"/>
  <c r="AG202" i="35"/>
  <c r="AA202" i="35"/>
  <c r="X202" i="35"/>
  <c r="W202" i="35"/>
  <c r="AQ201" i="35"/>
  <c r="AR201" i="35" s="1"/>
  <c r="AP201" i="35"/>
  <c r="AO201" i="35"/>
  <c r="AN201" i="35"/>
  <c r="AM201" i="35"/>
  <c r="AL201" i="35"/>
  <c r="AJ201" i="35"/>
  <c r="AI201" i="35"/>
  <c r="AH201" i="35"/>
  <c r="AG201" i="35"/>
  <c r="AA201" i="35"/>
  <c r="X201" i="35"/>
  <c r="Z201" i="35" s="1"/>
  <c r="W201" i="35"/>
  <c r="AQ200" i="35"/>
  <c r="AU200" i="35" s="1"/>
  <c r="AP200" i="35"/>
  <c r="AO200" i="35"/>
  <c r="AN200" i="35"/>
  <c r="AM200" i="35"/>
  <c r="AL200" i="35"/>
  <c r="AJ200" i="35"/>
  <c r="AI200" i="35"/>
  <c r="AH200" i="35"/>
  <c r="AG200" i="35"/>
  <c r="AA200" i="35"/>
  <c r="X200" i="35"/>
  <c r="Z200" i="35" s="1"/>
  <c r="W200" i="35"/>
  <c r="AQ199" i="35"/>
  <c r="AS199" i="35" s="1"/>
  <c r="AP199" i="35"/>
  <c r="AO199" i="35"/>
  <c r="AN199" i="35"/>
  <c r="AM199" i="35"/>
  <c r="AL199" i="35"/>
  <c r="AJ199" i="35"/>
  <c r="AI199" i="35"/>
  <c r="AH199" i="35"/>
  <c r="AG199" i="35"/>
  <c r="AA199" i="35"/>
  <c r="X199" i="35"/>
  <c r="W199" i="35"/>
  <c r="AQ198" i="35"/>
  <c r="AP198" i="35"/>
  <c r="AO198" i="35"/>
  <c r="AN198" i="35"/>
  <c r="AM198" i="35"/>
  <c r="AL198" i="35"/>
  <c r="AJ198" i="35"/>
  <c r="AI198" i="35"/>
  <c r="AH198" i="35"/>
  <c r="AG198" i="35"/>
  <c r="AA198" i="35"/>
  <c r="X198" i="35"/>
  <c r="Z198" i="35" s="1"/>
  <c r="W198" i="35"/>
  <c r="AQ197" i="35"/>
  <c r="AR197" i="35" s="1"/>
  <c r="AP197" i="35"/>
  <c r="AO197" i="35"/>
  <c r="AN197" i="35"/>
  <c r="AM197" i="35"/>
  <c r="AL197" i="35"/>
  <c r="AJ197" i="35"/>
  <c r="AI197" i="35"/>
  <c r="AH197" i="35"/>
  <c r="AG197" i="35"/>
  <c r="AA197" i="35"/>
  <c r="X197" i="35"/>
  <c r="Z197" i="35" s="1"/>
  <c r="W197" i="35"/>
  <c r="AQ196" i="35"/>
  <c r="AP196" i="35"/>
  <c r="AO196" i="35"/>
  <c r="AN196" i="35"/>
  <c r="AM196" i="35"/>
  <c r="AL196" i="35"/>
  <c r="AJ196" i="35"/>
  <c r="AI196" i="35"/>
  <c r="AH196" i="35"/>
  <c r="AG196" i="35"/>
  <c r="AA196" i="35"/>
  <c r="X196" i="35"/>
  <c r="Z196" i="35" s="1"/>
  <c r="W196" i="35"/>
  <c r="AQ195" i="35"/>
  <c r="AS195" i="35" s="1"/>
  <c r="AP195" i="35"/>
  <c r="AO195" i="35"/>
  <c r="AN195" i="35"/>
  <c r="AM195" i="35"/>
  <c r="AL195" i="35"/>
  <c r="AJ195" i="35"/>
  <c r="AI195" i="35"/>
  <c r="AH195" i="35"/>
  <c r="AG195" i="35"/>
  <c r="AA195" i="35"/>
  <c r="X195" i="35"/>
  <c r="Z195" i="35" s="1"/>
  <c r="W195" i="35"/>
  <c r="AQ194" i="35"/>
  <c r="AP194" i="35"/>
  <c r="AO194" i="35"/>
  <c r="AN194" i="35"/>
  <c r="AM194" i="35"/>
  <c r="AL194" i="35"/>
  <c r="AJ194" i="35"/>
  <c r="AI194" i="35"/>
  <c r="AH194" i="35"/>
  <c r="AG194" i="35"/>
  <c r="AA194" i="35"/>
  <c r="X194" i="35"/>
  <c r="Y194" i="35" s="1"/>
  <c r="W194" i="35"/>
  <c r="AQ193" i="35"/>
  <c r="AR193" i="35" s="1"/>
  <c r="AP193" i="35"/>
  <c r="AO193" i="35"/>
  <c r="AN193" i="35"/>
  <c r="AM193" i="35"/>
  <c r="AL193" i="35"/>
  <c r="AJ193" i="35"/>
  <c r="AI193" i="35"/>
  <c r="AH193" i="35"/>
  <c r="AG193" i="35"/>
  <c r="AA193" i="35"/>
  <c r="X193" i="35"/>
  <c r="Z193" i="35" s="1"/>
  <c r="W193" i="35"/>
  <c r="AQ192" i="35"/>
  <c r="AU192" i="35" s="1"/>
  <c r="AP192" i="35"/>
  <c r="AO192" i="35"/>
  <c r="AN192" i="35"/>
  <c r="AM192" i="35"/>
  <c r="AL192" i="35"/>
  <c r="AJ192" i="35"/>
  <c r="AI192" i="35"/>
  <c r="AH192" i="35"/>
  <c r="AG192" i="35"/>
  <c r="AA192" i="35"/>
  <c r="X192" i="35"/>
  <c r="Z192" i="35" s="1"/>
  <c r="W192" i="35"/>
  <c r="AQ191" i="35"/>
  <c r="AP191" i="35"/>
  <c r="AO191" i="35"/>
  <c r="AN191" i="35"/>
  <c r="AM191" i="35"/>
  <c r="AL191" i="35"/>
  <c r="AJ191" i="35"/>
  <c r="AI191" i="35"/>
  <c r="AH191" i="35"/>
  <c r="AG191" i="35"/>
  <c r="AA191" i="35"/>
  <c r="X191" i="35"/>
  <c r="W191" i="35"/>
  <c r="AQ190" i="35"/>
  <c r="AP190" i="35"/>
  <c r="AO190" i="35"/>
  <c r="AN190" i="35"/>
  <c r="AM190" i="35"/>
  <c r="AL190" i="35"/>
  <c r="AJ190" i="35"/>
  <c r="AI190" i="35"/>
  <c r="AH190" i="35"/>
  <c r="AG190" i="35"/>
  <c r="AA190" i="35"/>
  <c r="X190" i="35"/>
  <c r="Z190" i="35" s="1"/>
  <c r="W190" i="35"/>
  <c r="AQ189" i="35"/>
  <c r="AP189" i="35"/>
  <c r="AH189" i="35" s="1"/>
  <c r="AL189" i="35" s="1"/>
  <c r="AO189" i="35"/>
  <c r="AN189" i="35"/>
  <c r="AG189" i="35" s="1"/>
  <c r="AA189" i="35"/>
  <c r="X189" i="35"/>
  <c r="W189" i="35"/>
  <c r="AQ188" i="35"/>
  <c r="AU188" i="35" s="1"/>
  <c r="AP188" i="35"/>
  <c r="AO188" i="35"/>
  <c r="AN188" i="35"/>
  <c r="AG188" i="35" s="1"/>
  <c r="AH188" i="35"/>
  <c r="AA188" i="35"/>
  <c r="X188" i="35"/>
  <c r="Z188" i="35" s="1"/>
  <c r="W188" i="35"/>
  <c r="AQ187" i="35"/>
  <c r="AU187" i="35" s="1"/>
  <c r="AP187" i="35"/>
  <c r="AO187" i="35"/>
  <c r="AN187" i="35"/>
  <c r="AG187" i="35" s="1"/>
  <c r="AH187" i="35"/>
  <c r="AJ187" i="35" s="1"/>
  <c r="AA187" i="35"/>
  <c r="X187" i="35"/>
  <c r="Z187" i="35" s="1"/>
  <c r="W187" i="35"/>
  <c r="AQ186" i="35"/>
  <c r="AS186" i="35" s="1"/>
  <c r="AP186" i="35"/>
  <c r="AO186" i="35"/>
  <c r="AN186" i="35"/>
  <c r="AG186" i="35" s="1"/>
  <c r="AH186" i="35"/>
  <c r="AA186" i="35"/>
  <c r="X186" i="35"/>
  <c r="Z186" i="35" s="1"/>
  <c r="W186" i="35"/>
  <c r="AQ185" i="35"/>
  <c r="AP185" i="35"/>
  <c r="AO185" i="35"/>
  <c r="AN185" i="35"/>
  <c r="AG185" i="35" s="1"/>
  <c r="AH185" i="35"/>
  <c r="AI185" i="35" s="1"/>
  <c r="AA185" i="35"/>
  <c r="X185" i="35"/>
  <c r="Z185" i="35" s="1"/>
  <c r="W185" i="35"/>
  <c r="AQ184" i="35"/>
  <c r="AP184" i="35"/>
  <c r="AO184" i="35"/>
  <c r="AN184" i="35"/>
  <c r="AG184" i="35" s="1"/>
  <c r="AH184" i="35"/>
  <c r="AI184" i="35" s="1"/>
  <c r="AA184" i="35"/>
  <c r="X184" i="35"/>
  <c r="Z184" i="35" s="1"/>
  <c r="W184" i="35"/>
  <c r="AQ183" i="35"/>
  <c r="AU183" i="35" s="1"/>
  <c r="AP183" i="35"/>
  <c r="AO183" i="35"/>
  <c r="AN183" i="35"/>
  <c r="AG183" i="35" s="1"/>
  <c r="AH183" i="35"/>
  <c r="AA183" i="35"/>
  <c r="X183" i="35"/>
  <c r="W183" i="35"/>
  <c r="AQ182" i="35"/>
  <c r="AT182" i="35" s="1"/>
  <c r="AP182" i="35"/>
  <c r="AO182" i="35"/>
  <c r="AN182" i="35"/>
  <c r="AG182" i="35" s="1"/>
  <c r="AH182" i="35"/>
  <c r="AA182" i="35"/>
  <c r="X182" i="35"/>
  <c r="Z182" i="35" s="1"/>
  <c r="W182" i="35"/>
  <c r="AQ181" i="35"/>
  <c r="AP181" i="35"/>
  <c r="AO181" i="35"/>
  <c r="AN181" i="35"/>
  <c r="AG181" i="35" s="1"/>
  <c r="AH181" i="35"/>
  <c r="AJ181" i="35" s="1"/>
  <c r="AA181" i="35"/>
  <c r="X181" i="35"/>
  <c r="Z181" i="35" s="1"/>
  <c r="W181" i="35"/>
  <c r="V181" i="35"/>
  <c r="AQ180" i="35"/>
  <c r="AT180" i="35" s="1"/>
  <c r="AP180" i="35"/>
  <c r="AH180" i="35" s="1"/>
  <c r="AJ180" i="35" s="1"/>
  <c r="AO180" i="35"/>
  <c r="AN180" i="35"/>
  <c r="AG180" i="35" s="1"/>
  <c r="AA180" i="35"/>
  <c r="AQ178" i="35"/>
  <c r="AU178" i="35" s="1"/>
  <c r="AP178" i="35"/>
  <c r="AO178" i="35"/>
  <c r="AN178" i="35"/>
  <c r="AM178" i="35"/>
  <c r="AL178" i="35"/>
  <c r="AJ178" i="35"/>
  <c r="AI178" i="35"/>
  <c r="AH178" i="35"/>
  <c r="AG178" i="35"/>
  <c r="AA178" i="35"/>
  <c r="X178" i="35"/>
  <c r="Z178" i="35" s="1"/>
  <c r="W178" i="35"/>
  <c r="AQ177" i="35"/>
  <c r="AP177" i="35"/>
  <c r="AO177" i="35"/>
  <c r="AN177" i="35"/>
  <c r="AM177" i="35"/>
  <c r="AL177" i="35"/>
  <c r="AJ177" i="35"/>
  <c r="AI177" i="35"/>
  <c r="AH177" i="35"/>
  <c r="AG177" i="35"/>
  <c r="AA177" i="35"/>
  <c r="X177" i="35"/>
  <c r="Z177" i="35" s="1"/>
  <c r="W177" i="35"/>
  <c r="AQ176" i="35"/>
  <c r="AP176" i="35"/>
  <c r="AO176" i="35"/>
  <c r="AN176" i="35"/>
  <c r="AM176" i="35"/>
  <c r="AL176" i="35"/>
  <c r="AJ176" i="35"/>
  <c r="AI176" i="35"/>
  <c r="AH176" i="35"/>
  <c r="AG176" i="35"/>
  <c r="AA176" i="35"/>
  <c r="X176" i="35"/>
  <c r="Z176" i="35" s="1"/>
  <c r="W176" i="35"/>
  <c r="AQ175" i="35"/>
  <c r="AP175" i="35"/>
  <c r="AO175" i="35"/>
  <c r="AN175" i="35"/>
  <c r="AM175" i="35"/>
  <c r="AL175" i="35"/>
  <c r="AJ175" i="35"/>
  <c r="AI175" i="35"/>
  <c r="AH175" i="35"/>
  <c r="AG175" i="35"/>
  <c r="AA175" i="35"/>
  <c r="X175" i="35"/>
  <c r="Z175" i="35" s="1"/>
  <c r="W175" i="35"/>
  <c r="AQ174" i="35"/>
  <c r="AP174" i="35"/>
  <c r="AO174" i="35"/>
  <c r="AN174" i="35"/>
  <c r="AM174" i="35"/>
  <c r="AL174" i="35"/>
  <c r="AJ174" i="35"/>
  <c r="AI174" i="35"/>
  <c r="AH174" i="35"/>
  <c r="AG174" i="35"/>
  <c r="AA174" i="35"/>
  <c r="X174" i="35"/>
  <c r="W174" i="35"/>
  <c r="AQ173" i="35"/>
  <c r="AS173" i="35" s="1"/>
  <c r="AP173" i="35"/>
  <c r="AO173" i="35"/>
  <c r="AN173" i="35"/>
  <c r="AM173" i="35"/>
  <c r="AL173" i="35"/>
  <c r="AJ173" i="35"/>
  <c r="AI173" i="35"/>
  <c r="AH173" i="35"/>
  <c r="AG173" i="35"/>
  <c r="AA173" i="35"/>
  <c r="X173" i="35"/>
  <c r="Z173" i="35" s="1"/>
  <c r="W173" i="35"/>
  <c r="AQ172" i="35"/>
  <c r="AU172" i="35" s="1"/>
  <c r="AP172" i="35"/>
  <c r="AO172" i="35"/>
  <c r="AN172" i="35"/>
  <c r="AM172" i="35"/>
  <c r="AL172" i="35"/>
  <c r="AJ172" i="35"/>
  <c r="AI172" i="35"/>
  <c r="AH172" i="35"/>
  <c r="AG172" i="35"/>
  <c r="AA172" i="35"/>
  <c r="X172" i="35"/>
  <c r="Z172" i="35" s="1"/>
  <c r="W172" i="35"/>
  <c r="AQ171" i="35"/>
  <c r="AS171" i="35" s="1"/>
  <c r="AP171" i="35"/>
  <c r="AO171" i="35"/>
  <c r="AN171" i="35"/>
  <c r="AM171" i="35"/>
  <c r="AL171" i="35"/>
  <c r="AJ171" i="35"/>
  <c r="AI171" i="35"/>
  <c r="AH171" i="35"/>
  <c r="AG171" i="35"/>
  <c r="AA171" i="35"/>
  <c r="X171" i="35"/>
  <c r="Z171" i="35" s="1"/>
  <c r="W171" i="35"/>
  <c r="AQ170" i="35"/>
  <c r="AU170" i="35" s="1"/>
  <c r="AP170" i="35"/>
  <c r="AO170" i="35"/>
  <c r="AN170" i="35"/>
  <c r="AM170" i="35"/>
  <c r="AL170" i="35"/>
  <c r="AJ170" i="35"/>
  <c r="AI170" i="35"/>
  <c r="AH170" i="35"/>
  <c r="AG170" i="35"/>
  <c r="AA170" i="35"/>
  <c r="X170" i="35"/>
  <c r="Z170" i="35" s="1"/>
  <c r="W170" i="35"/>
  <c r="AQ169" i="35"/>
  <c r="AP169" i="35"/>
  <c r="AO169" i="35"/>
  <c r="AN169" i="35"/>
  <c r="AM169" i="35"/>
  <c r="AL169" i="35"/>
  <c r="AJ169" i="35"/>
  <c r="AI169" i="35"/>
  <c r="AH169" i="35"/>
  <c r="AG169" i="35"/>
  <c r="AA169" i="35"/>
  <c r="X169" i="35"/>
  <c r="Z169" i="35" s="1"/>
  <c r="W169" i="35"/>
  <c r="AQ168" i="35"/>
  <c r="AP168" i="35"/>
  <c r="AO168" i="35"/>
  <c r="AN168" i="35"/>
  <c r="AM168" i="35"/>
  <c r="AL168" i="35"/>
  <c r="AJ168" i="35"/>
  <c r="AI168" i="35"/>
  <c r="AH168" i="35"/>
  <c r="AG168" i="35"/>
  <c r="AA168" i="35"/>
  <c r="X168" i="35"/>
  <c r="Y168" i="35" s="1"/>
  <c r="W168" i="35"/>
  <c r="AQ167" i="35"/>
  <c r="AS167" i="35" s="1"/>
  <c r="AP167" i="35"/>
  <c r="AO167" i="35"/>
  <c r="AN167" i="35"/>
  <c r="AM167" i="35"/>
  <c r="AL167" i="35"/>
  <c r="AJ167" i="35"/>
  <c r="AI167" i="35"/>
  <c r="AH167" i="35"/>
  <c r="AG167" i="35"/>
  <c r="AA167" i="35"/>
  <c r="X167" i="35"/>
  <c r="Z167" i="35" s="1"/>
  <c r="W167" i="35"/>
  <c r="AQ166" i="35"/>
  <c r="AT166" i="35" s="1"/>
  <c r="AP166" i="35"/>
  <c r="AO166" i="35"/>
  <c r="AN166" i="35"/>
  <c r="AM166" i="35"/>
  <c r="AL166" i="35"/>
  <c r="AJ166" i="35"/>
  <c r="AI166" i="35"/>
  <c r="AH166" i="35"/>
  <c r="AG166" i="35"/>
  <c r="AA166" i="35"/>
  <c r="X166" i="35"/>
  <c r="Z166" i="35" s="1"/>
  <c r="W166" i="35"/>
  <c r="AQ165" i="35"/>
  <c r="AP165" i="35"/>
  <c r="AO165" i="35"/>
  <c r="AN165" i="35"/>
  <c r="AM165" i="35"/>
  <c r="AL165" i="35"/>
  <c r="AJ165" i="35"/>
  <c r="AI165" i="35"/>
  <c r="AH165" i="35"/>
  <c r="AG165" i="35"/>
  <c r="AA165" i="35"/>
  <c r="X165" i="35"/>
  <c r="Z165" i="35" s="1"/>
  <c r="W165" i="35"/>
  <c r="AQ164" i="35"/>
  <c r="AP164" i="35"/>
  <c r="AO164" i="35"/>
  <c r="AN164" i="35"/>
  <c r="AM164" i="35"/>
  <c r="AL164" i="35"/>
  <c r="AJ164" i="35"/>
  <c r="AI164" i="35"/>
  <c r="AH164" i="35"/>
  <c r="AG164" i="35"/>
  <c r="AA164" i="35"/>
  <c r="X164" i="35"/>
  <c r="Z164" i="35" s="1"/>
  <c r="W164" i="35"/>
  <c r="AQ163" i="35"/>
  <c r="AT163" i="35" s="1"/>
  <c r="AP163" i="35"/>
  <c r="AO163" i="35"/>
  <c r="AN163" i="35"/>
  <c r="AM163" i="35"/>
  <c r="AL163" i="35"/>
  <c r="AJ163" i="35"/>
  <c r="AI163" i="35"/>
  <c r="AH163" i="35"/>
  <c r="AG163" i="35"/>
  <c r="AA163" i="35"/>
  <c r="X163" i="35"/>
  <c r="Z163" i="35" s="1"/>
  <c r="W163" i="35"/>
  <c r="AQ162" i="35"/>
  <c r="AP162" i="35"/>
  <c r="AO162" i="35"/>
  <c r="AN162" i="35"/>
  <c r="AM162" i="35"/>
  <c r="AL162" i="35"/>
  <c r="AJ162" i="35"/>
  <c r="AI162" i="35"/>
  <c r="AH162" i="35"/>
  <c r="AG162" i="35"/>
  <c r="AA162" i="35"/>
  <c r="X162" i="35"/>
  <c r="Y162" i="35" s="1"/>
  <c r="W162" i="35"/>
  <c r="AQ161" i="35"/>
  <c r="AP161" i="35"/>
  <c r="AO161" i="35"/>
  <c r="AN161" i="35"/>
  <c r="AM161" i="35"/>
  <c r="AL161" i="35"/>
  <c r="AJ161" i="35"/>
  <c r="AI161" i="35"/>
  <c r="AH161" i="35"/>
  <c r="AG161" i="35"/>
  <c r="AA161" i="35"/>
  <c r="X161" i="35"/>
  <c r="Y161" i="35" s="1"/>
  <c r="W161" i="35"/>
  <c r="AQ160" i="35"/>
  <c r="AU160" i="35" s="1"/>
  <c r="AP160" i="35"/>
  <c r="AO160" i="35"/>
  <c r="AN160" i="35"/>
  <c r="AM160" i="35"/>
  <c r="AL160" i="35"/>
  <c r="AJ160" i="35"/>
  <c r="AI160" i="35"/>
  <c r="AH160" i="35"/>
  <c r="AG160" i="35"/>
  <c r="AA160" i="35"/>
  <c r="X160" i="35"/>
  <c r="Z160" i="35" s="1"/>
  <c r="W160" i="35"/>
  <c r="AQ159" i="35"/>
  <c r="AP159" i="35"/>
  <c r="AO159" i="35"/>
  <c r="AN159" i="35"/>
  <c r="AM159" i="35"/>
  <c r="AL159" i="35"/>
  <c r="AJ159" i="35"/>
  <c r="AI159" i="35"/>
  <c r="AH159" i="35"/>
  <c r="AG159" i="35"/>
  <c r="AA159" i="35"/>
  <c r="X159" i="35"/>
  <c r="Y159" i="35" s="1"/>
  <c r="W159" i="35"/>
  <c r="AQ158" i="35"/>
  <c r="AU158" i="35" s="1"/>
  <c r="AP158" i="35"/>
  <c r="AO158" i="35"/>
  <c r="AN158" i="35"/>
  <c r="AM158" i="35"/>
  <c r="AL158" i="35"/>
  <c r="AJ158" i="35"/>
  <c r="AI158" i="35"/>
  <c r="AH158" i="35"/>
  <c r="AG158" i="35"/>
  <c r="AA158" i="35"/>
  <c r="X158" i="35"/>
  <c r="Z158" i="35" s="1"/>
  <c r="W158" i="35"/>
  <c r="AQ157" i="35"/>
  <c r="AU157" i="35" s="1"/>
  <c r="AP157" i="35"/>
  <c r="AO157" i="35"/>
  <c r="AN157" i="35"/>
  <c r="AM157" i="35"/>
  <c r="AL157" i="35"/>
  <c r="AJ157" i="35"/>
  <c r="AI157" i="35"/>
  <c r="AH157" i="35"/>
  <c r="AG157" i="35"/>
  <c r="AA157" i="35"/>
  <c r="X157" i="35"/>
  <c r="Z157" i="35" s="1"/>
  <c r="W157" i="35"/>
  <c r="AQ156" i="35"/>
  <c r="AR156" i="35" s="1"/>
  <c r="AP156" i="35"/>
  <c r="AO156" i="35"/>
  <c r="AN156" i="35"/>
  <c r="AM156" i="35"/>
  <c r="AL156" i="35"/>
  <c r="AJ156" i="35"/>
  <c r="AI156" i="35"/>
  <c r="AH156" i="35"/>
  <c r="AG156" i="35"/>
  <c r="AA156" i="35"/>
  <c r="X156" i="35"/>
  <c r="Z156" i="35" s="1"/>
  <c r="W156" i="35"/>
  <c r="AQ155" i="35"/>
  <c r="AS155" i="35" s="1"/>
  <c r="AP155" i="35"/>
  <c r="AO155" i="35"/>
  <c r="AN155" i="35"/>
  <c r="AM155" i="35"/>
  <c r="AL155" i="35"/>
  <c r="AJ155" i="35"/>
  <c r="AI155" i="35"/>
  <c r="AH155" i="35"/>
  <c r="AG155" i="35"/>
  <c r="AA155" i="35"/>
  <c r="X155" i="35"/>
  <c r="Z155" i="35" s="1"/>
  <c r="W155" i="35"/>
  <c r="AQ154" i="35"/>
  <c r="AU154" i="35" s="1"/>
  <c r="AP154" i="35"/>
  <c r="AO154" i="35"/>
  <c r="AN154" i="35"/>
  <c r="AM154" i="35"/>
  <c r="AL154" i="35"/>
  <c r="AJ154" i="35"/>
  <c r="AI154" i="35"/>
  <c r="AH154" i="35"/>
  <c r="AG154" i="35"/>
  <c r="AA154" i="35"/>
  <c r="X154" i="35"/>
  <c r="W154" i="35"/>
  <c r="AQ153" i="35"/>
  <c r="AR153" i="35" s="1"/>
  <c r="AP153" i="35"/>
  <c r="AO153" i="35"/>
  <c r="AN153" i="35"/>
  <c r="AM153" i="35"/>
  <c r="AL153" i="35"/>
  <c r="AJ153" i="35"/>
  <c r="AI153" i="35"/>
  <c r="AH153" i="35"/>
  <c r="AG153" i="35"/>
  <c r="AA153" i="35"/>
  <c r="X153" i="35"/>
  <c r="Z153" i="35" s="1"/>
  <c r="W153" i="35"/>
  <c r="AQ152" i="35"/>
  <c r="AP152" i="35"/>
  <c r="AO152" i="35"/>
  <c r="AN152" i="35"/>
  <c r="AG152" i="35" s="1"/>
  <c r="AH152" i="35"/>
  <c r="AA152" i="35"/>
  <c r="X152" i="35"/>
  <c r="Z152" i="35" s="1"/>
  <c r="W152" i="35"/>
  <c r="AQ151" i="35"/>
  <c r="AR151" i="35" s="1"/>
  <c r="AP151" i="35"/>
  <c r="AO151" i="35"/>
  <c r="AN151" i="35"/>
  <c r="AG151" i="35" s="1"/>
  <c r="AH151" i="35"/>
  <c r="AL151" i="35" s="1"/>
  <c r="AA151" i="35"/>
  <c r="X151" i="35"/>
  <c r="Y151" i="35" s="1"/>
  <c r="W151" i="35"/>
  <c r="AQ150" i="35"/>
  <c r="AU150" i="35" s="1"/>
  <c r="AP150" i="35"/>
  <c r="AH150" i="35" s="1"/>
  <c r="AO150" i="35"/>
  <c r="AN150" i="35"/>
  <c r="AG150" i="35" s="1"/>
  <c r="AA150" i="35"/>
  <c r="X150" i="35"/>
  <c r="Z150" i="35" s="1"/>
  <c r="W150" i="35"/>
  <c r="AQ149" i="35"/>
  <c r="AP149" i="35"/>
  <c r="AH149" i="35" s="1"/>
  <c r="AL149" i="35" s="1"/>
  <c r="AO149" i="35"/>
  <c r="AN149" i="35"/>
  <c r="AG149" i="35" s="1"/>
  <c r="AA149" i="35"/>
  <c r="X149" i="35"/>
  <c r="Z149" i="35" s="1"/>
  <c r="W149" i="35"/>
  <c r="AQ148" i="35"/>
  <c r="AU148" i="35" s="1"/>
  <c r="AP148" i="35"/>
  <c r="AO148" i="35"/>
  <c r="AN148" i="35"/>
  <c r="AG148" i="35" s="1"/>
  <c r="AH148" i="35"/>
  <c r="AL148" i="35" s="1"/>
  <c r="AA148" i="35"/>
  <c r="X148" i="35"/>
  <c r="Z148" i="35" s="1"/>
  <c r="W148" i="35"/>
  <c r="AQ147" i="35"/>
  <c r="AP147" i="35"/>
  <c r="AO147" i="35"/>
  <c r="AN147" i="35"/>
  <c r="AG147" i="35" s="1"/>
  <c r="AH147" i="35"/>
  <c r="AA147" i="35"/>
  <c r="X147" i="35"/>
  <c r="Y147" i="35" s="1"/>
  <c r="W147" i="35"/>
  <c r="AQ146" i="35"/>
  <c r="AS146" i="35" s="1"/>
  <c r="AP146" i="35"/>
  <c r="AH146" i="35" s="1"/>
  <c r="AL146" i="35" s="1"/>
  <c r="AO146" i="35"/>
  <c r="AN146" i="35"/>
  <c r="AG146" i="35" s="1"/>
  <c r="AA146" i="35"/>
  <c r="X146" i="35"/>
  <c r="Z146" i="35" s="1"/>
  <c r="W146" i="35"/>
  <c r="AQ145" i="35"/>
  <c r="AT145" i="35" s="1"/>
  <c r="AP145" i="35"/>
  <c r="AO145" i="35"/>
  <c r="AN145" i="35"/>
  <c r="AG145" i="35" s="1"/>
  <c r="AH145" i="35"/>
  <c r="AL145" i="35" s="1"/>
  <c r="AA145" i="35"/>
  <c r="X145" i="35"/>
  <c r="Y145" i="35" s="1"/>
  <c r="W145" i="35"/>
  <c r="V145" i="35"/>
  <c r="AQ144" i="35"/>
  <c r="AP144" i="35"/>
  <c r="AO144" i="35"/>
  <c r="AN144" i="35"/>
  <c r="AG144" i="35" s="1"/>
  <c r="AH144" i="35"/>
  <c r="AA144" i="35"/>
  <c r="AQ142" i="35"/>
  <c r="AU142" i="35" s="1"/>
  <c r="AP142" i="35"/>
  <c r="AO142" i="35"/>
  <c r="AN142" i="35"/>
  <c r="AG142" i="35" s="1"/>
  <c r="AH142" i="35"/>
  <c r="AJ142" i="35" s="1"/>
  <c r="AA142" i="35"/>
  <c r="X142" i="35"/>
  <c r="Y142" i="35" s="1"/>
  <c r="W142" i="35"/>
  <c r="AQ141" i="35"/>
  <c r="AT141" i="35" s="1"/>
  <c r="AP141" i="35"/>
  <c r="AO141" i="35"/>
  <c r="AN141" i="35"/>
  <c r="AG141" i="35" s="1"/>
  <c r="AH141" i="35"/>
  <c r="AJ141" i="35" s="1"/>
  <c r="AA141" i="35"/>
  <c r="X141" i="35"/>
  <c r="Y141" i="35" s="1"/>
  <c r="W141" i="35"/>
  <c r="AQ140" i="35"/>
  <c r="AP140" i="35"/>
  <c r="AO140" i="35"/>
  <c r="AN140" i="35"/>
  <c r="AM140" i="35"/>
  <c r="AL140" i="35"/>
  <c r="AJ140" i="35"/>
  <c r="AI140" i="35"/>
  <c r="AH140" i="35"/>
  <c r="AG140" i="35"/>
  <c r="AA140" i="35"/>
  <c r="X140" i="35"/>
  <c r="W140" i="35"/>
  <c r="AQ139" i="35"/>
  <c r="AU139" i="35" s="1"/>
  <c r="AP139" i="35"/>
  <c r="AO139" i="35"/>
  <c r="AN139" i="35"/>
  <c r="AM139" i="35"/>
  <c r="AL139" i="35"/>
  <c r="AJ139" i="35"/>
  <c r="AI139" i="35"/>
  <c r="AH139" i="35"/>
  <c r="AG139" i="35"/>
  <c r="AA139" i="35"/>
  <c r="X139" i="35"/>
  <c r="Z139" i="35" s="1"/>
  <c r="W139" i="35"/>
  <c r="AQ138" i="35"/>
  <c r="AU138" i="35" s="1"/>
  <c r="AP138" i="35"/>
  <c r="AO138" i="35"/>
  <c r="AN138" i="35"/>
  <c r="AM138" i="35"/>
  <c r="AL138" i="35"/>
  <c r="AJ138" i="35"/>
  <c r="AI138" i="35"/>
  <c r="AH138" i="35"/>
  <c r="AG138" i="35"/>
  <c r="AA138" i="35"/>
  <c r="X138" i="35"/>
  <c r="Z138" i="35" s="1"/>
  <c r="W138" i="35"/>
  <c r="AQ137" i="35"/>
  <c r="AT137" i="35" s="1"/>
  <c r="AP137" i="35"/>
  <c r="AO137" i="35"/>
  <c r="AN137" i="35"/>
  <c r="AM137" i="35"/>
  <c r="AL137" i="35"/>
  <c r="AJ137" i="35"/>
  <c r="AI137" i="35"/>
  <c r="AH137" i="35"/>
  <c r="AG137" i="35"/>
  <c r="AA137" i="35"/>
  <c r="X137" i="35"/>
  <c r="Y137" i="35" s="1"/>
  <c r="W137" i="35"/>
  <c r="AQ136" i="35"/>
  <c r="AP136" i="35"/>
  <c r="AO136" i="35"/>
  <c r="AN136" i="35"/>
  <c r="AM136" i="35"/>
  <c r="AL136" i="35"/>
  <c r="AJ136" i="35"/>
  <c r="AI136" i="35"/>
  <c r="AH136" i="35"/>
  <c r="AG136" i="35"/>
  <c r="AA136" i="35"/>
  <c r="X136" i="35"/>
  <c r="Z136" i="35" s="1"/>
  <c r="W136" i="35"/>
  <c r="AQ135" i="35"/>
  <c r="AR135" i="35" s="1"/>
  <c r="AP135" i="35"/>
  <c r="AO135" i="35"/>
  <c r="AN135" i="35"/>
  <c r="AM135" i="35"/>
  <c r="AL135" i="35"/>
  <c r="AJ135" i="35"/>
  <c r="AI135" i="35"/>
  <c r="AH135" i="35"/>
  <c r="AG135" i="35"/>
  <c r="AA135" i="35"/>
  <c r="X135" i="35"/>
  <c r="Z135" i="35" s="1"/>
  <c r="W135" i="35"/>
  <c r="AQ134" i="35"/>
  <c r="AU134" i="35" s="1"/>
  <c r="AP134" i="35"/>
  <c r="AO134" i="35"/>
  <c r="AN134" i="35"/>
  <c r="AM134" i="35"/>
  <c r="AL134" i="35"/>
  <c r="AJ134" i="35"/>
  <c r="AI134" i="35"/>
  <c r="AH134" i="35"/>
  <c r="AG134" i="35"/>
  <c r="AA134" i="35"/>
  <c r="X134" i="35"/>
  <c r="W134" i="35"/>
  <c r="AQ133" i="35"/>
  <c r="AT133" i="35" s="1"/>
  <c r="AP133" i="35"/>
  <c r="AO133" i="35"/>
  <c r="AN133" i="35"/>
  <c r="AM133" i="35"/>
  <c r="AL133" i="35"/>
  <c r="AJ133" i="35"/>
  <c r="AI133" i="35"/>
  <c r="AH133" i="35"/>
  <c r="AG133" i="35"/>
  <c r="AA133" i="35"/>
  <c r="X133" i="35"/>
  <c r="Y133" i="35" s="1"/>
  <c r="W133" i="35"/>
  <c r="AQ132" i="35"/>
  <c r="AT132" i="35" s="1"/>
  <c r="AP132" i="35"/>
  <c r="AO132" i="35"/>
  <c r="AN132" i="35"/>
  <c r="AM132" i="35"/>
  <c r="AL132" i="35"/>
  <c r="AJ132" i="35"/>
  <c r="AI132" i="35"/>
  <c r="AH132" i="35"/>
  <c r="AG132" i="35"/>
  <c r="AA132" i="35"/>
  <c r="X132" i="35"/>
  <c r="Z132" i="35" s="1"/>
  <c r="W132" i="35"/>
  <c r="AQ131" i="35"/>
  <c r="AP131" i="35"/>
  <c r="AO131" i="35"/>
  <c r="AN131" i="35"/>
  <c r="AM131" i="35"/>
  <c r="AL131" i="35"/>
  <c r="AJ131" i="35"/>
  <c r="AI131" i="35"/>
  <c r="AH131" i="35"/>
  <c r="AG131" i="35"/>
  <c r="AA131" i="35"/>
  <c r="X131" i="35"/>
  <c r="W131" i="35"/>
  <c r="AQ130" i="35"/>
  <c r="AU130" i="35" s="1"/>
  <c r="AP130" i="35"/>
  <c r="AO130" i="35"/>
  <c r="AN130" i="35"/>
  <c r="AM130" i="35"/>
  <c r="AL130" i="35"/>
  <c r="AJ130" i="35"/>
  <c r="AI130" i="35"/>
  <c r="AH130" i="35"/>
  <c r="AG130" i="35"/>
  <c r="AA130" i="35"/>
  <c r="X130" i="35"/>
  <c r="Z130" i="35" s="1"/>
  <c r="W130" i="35"/>
  <c r="AQ129" i="35"/>
  <c r="AT129" i="35" s="1"/>
  <c r="AP129" i="35"/>
  <c r="AO129" i="35"/>
  <c r="AN129" i="35"/>
  <c r="AM129" i="35"/>
  <c r="AL129" i="35"/>
  <c r="AJ129" i="35"/>
  <c r="AI129" i="35"/>
  <c r="AH129" i="35"/>
  <c r="AG129" i="35"/>
  <c r="AA129" i="35"/>
  <c r="X129" i="35"/>
  <c r="Y129" i="35" s="1"/>
  <c r="W129" i="35"/>
  <c r="AQ128" i="35"/>
  <c r="AP128" i="35"/>
  <c r="AO128" i="35"/>
  <c r="AN128" i="35"/>
  <c r="AM128" i="35"/>
  <c r="AL128" i="35"/>
  <c r="AJ128" i="35"/>
  <c r="AI128" i="35"/>
  <c r="AH128" i="35"/>
  <c r="AG128" i="35"/>
  <c r="AA128" i="35"/>
  <c r="X128" i="35"/>
  <c r="Y128" i="35" s="1"/>
  <c r="W128" i="35"/>
  <c r="AQ127" i="35"/>
  <c r="AP127" i="35"/>
  <c r="AO127" i="35"/>
  <c r="AN127" i="35"/>
  <c r="AM127" i="35"/>
  <c r="AL127" i="35"/>
  <c r="AJ127" i="35"/>
  <c r="AI127" i="35"/>
  <c r="AH127" i="35"/>
  <c r="AG127" i="35"/>
  <c r="AA127" i="35"/>
  <c r="X127" i="35"/>
  <c r="Y127" i="35" s="1"/>
  <c r="W127" i="35"/>
  <c r="AQ126" i="35"/>
  <c r="AU126" i="35" s="1"/>
  <c r="AP126" i="35"/>
  <c r="AO126" i="35"/>
  <c r="AN126" i="35"/>
  <c r="AM126" i="35"/>
  <c r="AL126" i="35"/>
  <c r="AJ126" i="35"/>
  <c r="AI126" i="35"/>
  <c r="AH126" i="35"/>
  <c r="AG126" i="35"/>
  <c r="AA126" i="35"/>
  <c r="X126" i="35"/>
  <c r="Z126" i="35" s="1"/>
  <c r="W126" i="35"/>
  <c r="AQ125" i="35"/>
  <c r="AT125" i="35" s="1"/>
  <c r="AP125" i="35"/>
  <c r="AO125" i="35"/>
  <c r="AN125" i="35"/>
  <c r="AM125" i="35"/>
  <c r="AL125" i="35"/>
  <c r="AJ125" i="35"/>
  <c r="AI125" i="35"/>
  <c r="AH125" i="35"/>
  <c r="AG125" i="35"/>
  <c r="AA125" i="35"/>
  <c r="X125" i="35"/>
  <c r="Y125" i="35" s="1"/>
  <c r="W125" i="35"/>
  <c r="AQ124" i="35"/>
  <c r="AT124" i="35" s="1"/>
  <c r="AP124" i="35"/>
  <c r="AO124" i="35"/>
  <c r="AN124" i="35"/>
  <c r="AM124" i="35"/>
  <c r="AL124" i="35"/>
  <c r="AJ124" i="35"/>
  <c r="AI124" i="35"/>
  <c r="AH124" i="35"/>
  <c r="AG124" i="35"/>
  <c r="AA124" i="35"/>
  <c r="X124" i="35"/>
  <c r="Z124" i="35" s="1"/>
  <c r="W124" i="35"/>
  <c r="AQ123" i="35"/>
  <c r="AU123" i="35" s="1"/>
  <c r="AP123" i="35"/>
  <c r="AO123" i="35"/>
  <c r="AN123" i="35"/>
  <c r="AM123" i="35"/>
  <c r="AL123" i="35"/>
  <c r="AJ123" i="35"/>
  <c r="AI123" i="35"/>
  <c r="AH123" i="35"/>
  <c r="AG123" i="35"/>
  <c r="AA123" i="35"/>
  <c r="X123" i="35"/>
  <c r="Z123" i="35" s="1"/>
  <c r="W123" i="35"/>
  <c r="AQ122" i="35"/>
  <c r="AP122" i="35"/>
  <c r="AO122" i="35"/>
  <c r="AN122" i="35"/>
  <c r="AM122" i="35"/>
  <c r="AL122" i="35"/>
  <c r="AJ122" i="35"/>
  <c r="AI122" i="35"/>
  <c r="AH122" i="35"/>
  <c r="AG122" i="35"/>
  <c r="AA122" i="35"/>
  <c r="X122" i="35"/>
  <c r="W122" i="35"/>
  <c r="AQ121" i="35"/>
  <c r="AP121" i="35"/>
  <c r="AO121" i="35"/>
  <c r="AN121" i="35"/>
  <c r="AM121" i="35"/>
  <c r="AL121" i="35"/>
  <c r="AJ121" i="35"/>
  <c r="AI121" i="35"/>
  <c r="AH121" i="35"/>
  <c r="AG121" i="35"/>
  <c r="AA121" i="35"/>
  <c r="X121" i="35"/>
  <c r="Y121" i="35" s="1"/>
  <c r="W121" i="35"/>
  <c r="BB120" i="35"/>
  <c r="AQ120" i="35"/>
  <c r="AP120" i="35"/>
  <c r="AO120" i="35"/>
  <c r="AN120" i="35"/>
  <c r="AM120" i="35"/>
  <c r="AL120" i="35"/>
  <c r="AJ120" i="35"/>
  <c r="AI120" i="35"/>
  <c r="AH120" i="35"/>
  <c r="AG120" i="35"/>
  <c r="AA120" i="35"/>
  <c r="X120" i="35"/>
  <c r="Z120" i="35" s="1"/>
  <c r="W120" i="35"/>
  <c r="AQ119" i="35"/>
  <c r="AU119" i="35" s="1"/>
  <c r="AP119" i="35"/>
  <c r="AO119" i="35"/>
  <c r="AN119" i="35"/>
  <c r="AG119" i="35" s="1"/>
  <c r="AH119" i="35"/>
  <c r="AA119" i="35"/>
  <c r="X119" i="35"/>
  <c r="W119" i="35"/>
  <c r="AQ118" i="35"/>
  <c r="AP118" i="35"/>
  <c r="AO118" i="35"/>
  <c r="AN118" i="35"/>
  <c r="AG118" i="35" s="1"/>
  <c r="AH118" i="35"/>
  <c r="AL118" i="35" s="1"/>
  <c r="AA118" i="35"/>
  <c r="X118" i="35"/>
  <c r="Z118" i="35" s="1"/>
  <c r="W118" i="35"/>
  <c r="AQ117" i="35"/>
  <c r="AU117" i="35" s="1"/>
  <c r="AP117" i="35"/>
  <c r="AO117" i="35"/>
  <c r="AN117" i="35"/>
  <c r="AM117" i="35"/>
  <c r="AL117" i="35"/>
  <c r="AJ117" i="35"/>
  <c r="AI117" i="35"/>
  <c r="AH117" i="35"/>
  <c r="AG117" i="35"/>
  <c r="AA117" i="35"/>
  <c r="X117" i="35"/>
  <c r="Z117" i="35" s="1"/>
  <c r="W117" i="35"/>
  <c r="AQ116" i="35"/>
  <c r="AU116" i="35" s="1"/>
  <c r="AP116" i="35"/>
  <c r="AO116" i="35"/>
  <c r="AN116" i="35"/>
  <c r="AG116" i="35" s="1"/>
  <c r="AH116" i="35"/>
  <c r="AA116" i="35"/>
  <c r="X116" i="35"/>
  <c r="Y116" i="35" s="1"/>
  <c r="W116" i="35"/>
  <c r="AQ115" i="35"/>
  <c r="AU115" i="35" s="1"/>
  <c r="AP115" i="35"/>
  <c r="AO115" i="35"/>
  <c r="AN115" i="35"/>
  <c r="AG115" i="35" s="1"/>
  <c r="AH115" i="35"/>
  <c r="AA115" i="35"/>
  <c r="X115" i="35"/>
  <c r="Z115" i="35" s="1"/>
  <c r="W115" i="35"/>
  <c r="AQ114" i="35"/>
  <c r="AT114" i="35" s="1"/>
  <c r="AP114" i="35"/>
  <c r="AO114" i="35"/>
  <c r="AN114" i="35"/>
  <c r="AG114" i="35" s="1"/>
  <c r="AH114" i="35"/>
  <c r="AL114" i="35" s="1"/>
  <c r="AA114" i="35"/>
  <c r="X114" i="35"/>
  <c r="Y114" i="35" s="1"/>
  <c r="W114" i="35"/>
  <c r="AQ113" i="35"/>
  <c r="AP113" i="35"/>
  <c r="AO113" i="35"/>
  <c r="AN113" i="35"/>
  <c r="AG113" i="35" s="1"/>
  <c r="AH113" i="35"/>
  <c r="AJ113" i="35" s="1"/>
  <c r="AA113" i="35"/>
  <c r="X113" i="35"/>
  <c r="Z113" i="35" s="1"/>
  <c r="W113" i="35"/>
  <c r="AQ112" i="35"/>
  <c r="AP112" i="35"/>
  <c r="AO112" i="35"/>
  <c r="AN112" i="35"/>
  <c r="AG112" i="35" s="1"/>
  <c r="AH112" i="35"/>
  <c r="AA112" i="35"/>
  <c r="X112" i="35"/>
  <c r="W112" i="35"/>
  <c r="AQ111" i="35"/>
  <c r="AP111" i="35"/>
  <c r="AO111" i="35"/>
  <c r="AN111" i="35"/>
  <c r="AG111" i="35" s="1"/>
  <c r="AH111" i="35"/>
  <c r="AL111" i="35" s="1"/>
  <c r="AA111" i="35"/>
  <c r="X111" i="35"/>
  <c r="Z111" i="35" s="1"/>
  <c r="W111" i="35"/>
  <c r="AQ110" i="35"/>
  <c r="AT110" i="35" s="1"/>
  <c r="AP110" i="35"/>
  <c r="AH110" i="35" s="1"/>
  <c r="AO110" i="35"/>
  <c r="AN110" i="35"/>
  <c r="AG110" i="35" s="1"/>
  <c r="AA110" i="35"/>
  <c r="X110" i="35"/>
  <c r="Z110" i="35" s="1"/>
  <c r="W110" i="35"/>
  <c r="AQ109" i="35"/>
  <c r="AP109" i="35"/>
  <c r="AO109" i="35"/>
  <c r="AN109" i="35"/>
  <c r="AG109" i="35" s="1"/>
  <c r="AH109" i="35"/>
  <c r="AI109" i="35" s="1"/>
  <c r="AA109" i="35"/>
  <c r="X109" i="35"/>
  <c r="Z109" i="35" s="1"/>
  <c r="W109" i="35"/>
  <c r="V109" i="35"/>
  <c r="AQ108" i="35"/>
  <c r="AT108" i="35" s="1"/>
  <c r="AP108" i="35"/>
  <c r="AH108" i="35" s="1"/>
  <c r="AO108" i="35"/>
  <c r="AN108" i="35"/>
  <c r="AG108" i="35" s="1"/>
  <c r="AQ106" i="35"/>
  <c r="AR106" i="35" s="1"/>
  <c r="AP106" i="35"/>
  <c r="AO106" i="35"/>
  <c r="AN106" i="35"/>
  <c r="AG106" i="35" s="1"/>
  <c r="AH106" i="35"/>
  <c r="AI106" i="35" s="1"/>
  <c r="AA106" i="35"/>
  <c r="X106" i="35"/>
  <c r="W106" i="35"/>
  <c r="AQ105" i="35"/>
  <c r="AU105" i="35" s="1"/>
  <c r="AP105" i="35"/>
  <c r="AO105" i="35"/>
  <c r="AN105" i="35"/>
  <c r="AG105" i="35" s="1"/>
  <c r="AH105" i="35"/>
  <c r="AA105" i="35"/>
  <c r="X105" i="35"/>
  <c r="Z105" i="35" s="1"/>
  <c r="W105" i="35"/>
  <c r="AQ104" i="35"/>
  <c r="AU104" i="35" s="1"/>
  <c r="AP104" i="35"/>
  <c r="AO104" i="35"/>
  <c r="AN104" i="35"/>
  <c r="AG104" i="35" s="1"/>
  <c r="AH104" i="35"/>
  <c r="AA104" i="35"/>
  <c r="X104" i="35"/>
  <c r="Z104" i="35" s="1"/>
  <c r="W104" i="35"/>
  <c r="AQ103" i="35"/>
  <c r="AU103" i="35" s="1"/>
  <c r="AP103" i="35"/>
  <c r="AO103" i="35"/>
  <c r="AN103" i="35"/>
  <c r="AM103" i="35"/>
  <c r="AL103" i="35"/>
  <c r="AJ103" i="35"/>
  <c r="AI103" i="35"/>
  <c r="AH103" i="35"/>
  <c r="AG103" i="35"/>
  <c r="AA103" i="35"/>
  <c r="X103" i="35"/>
  <c r="Z103" i="35" s="1"/>
  <c r="W103" i="35"/>
  <c r="AQ102" i="35"/>
  <c r="AP102" i="35"/>
  <c r="AO102" i="35"/>
  <c r="AN102" i="35"/>
  <c r="AM102" i="35"/>
  <c r="AL102" i="35"/>
  <c r="AJ102" i="35"/>
  <c r="AI102" i="35"/>
  <c r="AH102" i="35"/>
  <c r="AG102" i="35"/>
  <c r="AA102" i="35"/>
  <c r="X102" i="35"/>
  <c r="Y102" i="35" s="1"/>
  <c r="W102" i="35"/>
  <c r="AQ101" i="35"/>
  <c r="AR101" i="35" s="1"/>
  <c r="AP101" i="35"/>
  <c r="AO101" i="35"/>
  <c r="AN101" i="35"/>
  <c r="AM101" i="35"/>
  <c r="AL101" i="35"/>
  <c r="AJ101" i="35"/>
  <c r="AI101" i="35"/>
  <c r="AH101" i="35"/>
  <c r="AG101" i="35"/>
  <c r="AA101" i="35"/>
  <c r="X101" i="35"/>
  <c r="Z101" i="35" s="1"/>
  <c r="W101" i="35"/>
  <c r="AQ100" i="35"/>
  <c r="AT100" i="35" s="1"/>
  <c r="AP100" i="35"/>
  <c r="AO100" i="35"/>
  <c r="AN100" i="35"/>
  <c r="AM100" i="35"/>
  <c r="AL100" i="35"/>
  <c r="AJ100" i="35"/>
  <c r="AI100" i="35"/>
  <c r="AH100" i="35"/>
  <c r="AG100" i="35"/>
  <c r="AA100" i="35"/>
  <c r="X100" i="35"/>
  <c r="W100" i="35"/>
  <c r="AQ99" i="35"/>
  <c r="AS99" i="35" s="1"/>
  <c r="AP99" i="35"/>
  <c r="AO99" i="35"/>
  <c r="AN99" i="35"/>
  <c r="AM99" i="35"/>
  <c r="AL99" i="35"/>
  <c r="AJ99" i="35"/>
  <c r="AI99" i="35"/>
  <c r="AH99" i="35"/>
  <c r="AG99" i="35"/>
  <c r="AA99" i="35"/>
  <c r="X99" i="35"/>
  <c r="Z99" i="35" s="1"/>
  <c r="W99" i="35"/>
  <c r="AQ98" i="35"/>
  <c r="AS98" i="35" s="1"/>
  <c r="AP98" i="35"/>
  <c r="AO98" i="35"/>
  <c r="AN98" i="35"/>
  <c r="AM98" i="35"/>
  <c r="AL98" i="35"/>
  <c r="AJ98" i="35"/>
  <c r="AI98" i="35"/>
  <c r="AH98" i="35"/>
  <c r="AG98" i="35"/>
  <c r="AA98" i="35"/>
  <c r="X98" i="35"/>
  <c r="Z98" i="35" s="1"/>
  <c r="W98" i="35"/>
  <c r="AQ97" i="35"/>
  <c r="AS97" i="35" s="1"/>
  <c r="AP97" i="35"/>
  <c r="AO97" i="35"/>
  <c r="AN97" i="35"/>
  <c r="AM97" i="35"/>
  <c r="AL97" i="35"/>
  <c r="AJ97" i="35"/>
  <c r="AI97" i="35"/>
  <c r="AH97" i="35"/>
  <c r="AG97" i="35"/>
  <c r="AA97" i="35"/>
  <c r="X97" i="35"/>
  <c r="W97" i="35"/>
  <c r="AQ96" i="35"/>
  <c r="AU96" i="35" s="1"/>
  <c r="AP96" i="35"/>
  <c r="AO96" i="35"/>
  <c r="AN96" i="35"/>
  <c r="AM96" i="35"/>
  <c r="AL96" i="35"/>
  <c r="AJ96" i="35"/>
  <c r="AI96" i="35"/>
  <c r="AH96" i="35"/>
  <c r="AG96" i="35"/>
  <c r="AA96" i="35"/>
  <c r="X96" i="35"/>
  <c r="Z96" i="35" s="1"/>
  <c r="W96" i="35"/>
  <c r="AQ95" i="35"/>
  <c r="AU95" i="35" s="1"/>
  <c r="AP95" i="35"/>
  <c r="AO95" i="35"/>
  <c r="AN95" i="35"/>
  <c r="AM95" i="35"/>
  <c r="AL95" i="35"/>
  <c r="AJ95" i="35"/>
  <c r="AI95" i="35"/>
  <c r="AH95" i="35"/>
  <c r="AG95" i="35"/>
  <c r="AA95" i="35"/>
  <c r="X95" i="35"/>
  <c r="Z95" i="35" s="1"/>
  <c r="W95" i="35"/>
  <c r="AQ94" i="35"/>
  <c r="AP94" i="35"/>
  <c r="AO94" i="35"/>
  <c r="AN94" i="35"/>
  <c r="AM94" i="35"/>
  <c r="AL94" i="35"/>
  <c r="AJ94" i="35"/>
  <c r="AI94" i="35"/>
  <c r="AH94" i="35"/>
  <c r="AG94" i="35"/>
  <c r="AA94" i="35"/>
  <c r="X94" i="35"/>
  <c r="Y94" i="35" s="1"/>
  <c r="W94" i="35"/>
  <c r="AQ93" i="35"/>
  <c r="AP93" i="35"/>
  <c r="AO93" i="35"/>
  <c r="AN93" i="35"/>
  <c r="AM93" i="35"/>
  <c r="AL93" i="35"/>
  <c r="AJ93" i="35"/>
  <c r="AI93" i="35"/>
  <c r="AH93" i="35"/>
  <c r="AG93" i="35"/>
  <c r="AA93" i="35"/>
  <c r="X93" i="35"/>
  <c r="Z93" i="35" s="1"/>
  <c r="W93" i="35"/>
  <c r="AQ92" i="35"/>
  <c r="AP92" i="35"/>
  <c r="AO92" i="35"/>
  <c r="AN92" i="35"/>
  <c r="AM92" i="35"/>
  <c r="AL92" i="35"/>
  <c r="AJ92" i="35"/>
  <c r="AI92" i="35"/>
  <c r="AH92" i="35"/>
  <c r="AG92" i="35"/>
  <c r="AA92" i="35"/>
  <c r="X92" i="35"/>
  <c r="Z92" i="35" s="1"/>
  <c r="W92" i="35"/>
  <c r="AQ91" i="35"/>
  <c r="AP91" i="35"/>
  <c r="AO91" i="35"/>
  <c r="AN91" i="35"/>
  <c r="AM91" i="35"/>
  <c r="AL91" i="35"/>
  <c r="AJ91" i="35"/>
  <c r="AI91" i="35"/>
  <c r="AH91" i="35"/>
  <c r="AG91" i="35"/>
  <c r="AA91" i="35"/>
  <c r="X91" i="35"/>
  <c r="Z91" i="35" s="1"/>
  <c r="W91" i="35"/>
  <c r="AQ90" i="35"/>
  <c r="AS90" i="35" s="1"/>
  <c r="AP90" i="35"/>
  <c r="AO90" i="35"/>
  <c r="AN90" i="35"/>
  <c r="AM90" i="35"/>
  <c r="AL90" i="35"/>
  <c r="AJ90" i="35"/>
  <c r="AI90" i="35"/>
  <c r="AH90" i="35"/>
  <c r="AG90" i="35"/>
  <c r="AA90" i="35"/>
  <c r="X90" i="35"/>
  <c r="Z90" i="35" s="1"/>
  <c r="W90" i="35"/>
  <c r="AQ89" i="35"/>
  <c r="AT89" i="35" s="1"/>
  <c r="AP89" i="35"/>
  <c r="AO89" i="35"/>
  <c r="AN89" i="35"/>
  <c r="AM89" i="35"/>
  <c r="AL89" i="35"/>
  <c r="AJ89" i="35"/>
  <c r="AI89" i="35"/>
  <c r="AH89" i="35"/>
  <c r="AG89" i="35"/>
  <c r="AA89" i="35"/>
  <c r="X89" i="35"/>
  <c r="Z89" i="35" s="1"/>
  <c r="W89" i="35"/>
  <c r="AQ88" i="35"/>
  <c r="AT88" i="35" s="1"/>
  <c r="AP88" i="35"/>
  <c r="AO88" i="35"/>
  <c r="AN88" i="35"/>
  <c r="AM88" i="35"/>
  <c r="AL88" i="35"/>
  <c r="AJ88" i="35"/>
  <c r="AI88" i="35"/>
  <c r="AH88" i="35"/>
  <c r="AG88" i="35"/>
  <c r="AA88" i="35"/>
  <c r="X88" i="35"/>
  <c r="W88" i="35"/>
  <c r="AQ87" i="35"/>
  <c r="AU87" i="35" s="1"/>
  <c r="AP87" i="35"/>
  <c r="AO87" i="35"/>
  <c r="AN87" i="35"/>
  <c r="AM87" i="35"/>
  <c r="AL87" i="35"/>
  <c r="AJ87" i="35"/>
  <c r="AI87" i="35"/>
  <c r="AH87" i="35"/>
  <c r="AG87" i="35"/>
  <c r="AA87" i="35"/>
  <c r="X87" i="35"/>
  <c r="Z87" i="35" s="1"/>
  <c r="W87" i="35"/>
  <c r="AQ86" i="35"/>
  <c r="AP86" i="35"/>
  <c r="AO86" i="35"/>
  <c r="AN86" i="35"/>
  <c r="AM86" i="35"/>
  <c r="AL86" i="35"/>
  <c r="AJ86" i="35"/>
  <c r="AI86" i="35"/>
  <c r="AH86" i="35"/>
  <c r="AG86" i="35"/>
  <c r="AA86" i="35"/>
  <c r="X86" i="35"/>
  <c r="Z86" i="35" s="1"/>
  <c r="W86" i="35"/>
  <c r="AQ85" i="35"/>
  <c r="AU85" i="35" s="1"/>
  <c r="AP85" i="35"/>
  <c r="AO85" i="35"/>
  <c r="AN85" i="35"/>
  <c r="AM85" i="35"/>
  <c r="AL85" i="35"/>
  <c r="AJ85" i="35"/>
  <c r="AI85" i="35"/>
  <c r="AH85" i="35"/>
  <c r="AG85" i="35"/>
  <c r="AA85" i="35"/>
  <c r="X85" i="35"/>
  <c r="Z85" i="35" s="1"/>
  <c r="W85" i="35"/>
  <c r="AQ84" i="35"/>
  <c r="AU84" i="35" s="1"/>
  <c r="AP84" i="35"/>
  <c r="AO84" i="35"/>
  <c r="AN84" i="35"/>
  <c r="AM84" i="35"/>
  <c r="AL84" i="35"/>
  <c r="AJ84" i="35"/>
  <c r="AI84" i="35"/>
  <c r="AH84" i="35"/>
  <c r="AG84" i="35"/>
  <c r="AA84" i="35"/>
  <c r="X84" i="35"/>
  <c r="Z84" i="35" s="1"/>
  <c r="W84" i="35"/>
  <c r="AQ83" i="35"/>
  <c r="AR83" i="35" s="1"/>
  <c r="AP83" i="35"/>
  <c r="AO83" i="35"/>
  <c r="AN83" i="35"/>
  <c r="AM83" i="35"/>
  <c r="AL83" i="35"/>
  <c r="AJ83" i="35"/>
  <c r="AI83" i="35"/>
  <c r="AH83" i="35"/>
  <c r="AG83" i="35"/>
  <c r="AA83" i="35"/>
  <c r="X83" i="35"/>
  <c r="W83" i="35"/>
  <c r="AQ82" i="35"/>
  <c r="AP82" i="35"/>
  <c r="AO82" i="35"/>
  <c r="AN82" i="35"/>
  <c r="AM82" i="35"/>
  <c r="AL82" i="35"/>
  <c r="AJ82" i="35"/>
  <c r="AI82" i="35"/>
  <c r="AH82" i="35"/>
  <c r="AG82" i="35"/>
  <c r="AA82" i="35"/>
  <c r="X82" i="35"/>
  <c r="Z82" i="35" s="1"/>
  <c r="W82" i="35"/>
  <c r="AQ81" i="35"/>
  <c r="AU81" i="35" s="1"/>
  <c r="AP81" i="35"/>
  <c r="AO81" i="35"/>
  <c r="AN81" i="35"/>
  <c r="AM81" i="35"/>
  <c r="AL81" i="35"/>
  <c r="AJ81" i="35"/>
  <c r="AI81" i="35"/>
  <c r="AH81" i="35"/>
  <c r="AG81" i="35"/>
  <c r="AA81" i="35"/>
  <c r="X81" i="35"/>
  <c r="Z81" i="35" s="1"/>
  <c r="W81" i="35"/>
  <c r="AQ80" i="35"/>
  <c r="AS80" i="35" s="1"/>
  <c r="AP80" i="35"/>
  <c r="AO80" i="35"/>
  <c r="AN80" i="35"/>
  <c r="AM80" i="35"/>
  <c r="AL80" i="35"/>
  <c r="AJ80" i="35"/>
  <c r="AI80" i="35"/>
  <c r="AH80" i="35"/>
  <c r="AG80" i="35"/>
  <c r="AA80" i="35"/>
  <c r="X80" i="35"/>
  <c r="Z80" i="35" s="1"/>
  <c r="W80" i="35"/>
  <c r="AQ79" i="35"/>
  <c r="AP79" i="35"/>
  <c r="AO79" i="35"/>
  <c r="AN79" i="35"/>
  <c r="AM79" i="35"/>
  <c r="AL79" i="35"/>
  <c r="AJ79" i="35"/>
  <c r="AI79" i="35"/>
  <c r="AH79" i="35"/>
  <c r="AG79" i="35"/>
  <c r="AA79" i="35"/>
  <c r="X79" i="35"/>
  <c r="Z79" i="35" s="1"/>
  <c r="W79" i="35"/>
  <c r="AQ78" i="35"/>
  <c r="AS78" i="35" s="1"/>
  <c r="AP78" i="35"/>
  <c r="AO78" i="35"/>
  <c r="AN78" i="35"/>
  <c r="AG78" i="35" s="1"/>
  <c r="AH78" i="35"/>
  <c r="AA78" i="35"/>
  <c r="X78" i="35"/>
  <c r="Z78" i="35" s="1"/>
  <c r="W78" i="35"/>
  <c r="AQ77" i="35"/>
  <c r="AU77" i="35" s="1"/>
  <c r="AP77" i="35"/>
  <c r="AO77" i="35"/>
  <c r="AN77" i="35"/>
  <c r="AG77" i="35" s="1"/>
  <c r="AH77" i="35"/>
  <c r="AA77" i="35"/>
  <c r="X77" i="35"/>
  <c r="W77" i="35"/>
  <c r="AQ76" i="35"/>
  <c r="AP76" i="35"/>
  <c r="AO76" i="35"/>
  <c r="AN76" i="35"/>
  <c r="AG76" i="35" s="1"/>
  <c r="AH76" i="35"/>
  <c r="AI76" i="35" s="1"/>
  <c r="AA76" i="35"/>
  <c r="X76" i="35"/>
  <c r="Z76" i="35" s="1"/>
  <c r="W76" i="35"/>
  <c r="AQ75" i="35"/>
  <c r="AP75" i="35"/>
  <c r="AO75" i="35"/>
  <c r="AN75" i="35"/>
  <c r="AG75" i="35" s="1"/>
  <c r="AH75" i="35"/>
  <c r="AI75" i="35" s="1"/>
  <c r="AA75" i="35"/>
  <c r="X75" i="35"/>
  <c r="Z75" i="35" s="1"/>
  <c r="W75" i="35"/>
  <c r="AQ74" i="35"/>
  <c r="AS74" i="35" s="1"/>
  <c r="AP74" i="35"/>
  <c r="AO74" i="35"/>
  <c r="AN74" i="35"/>
  <c r="AG74" i="35" s="1"/>
  <c r="AH74" i="35"/>
  <c r="AA74" i="35"/>
  <c r="X74" i="35"/>
  <c r="W74" i="35"/>
  <c r="AQ73" i="35"/>
  <c r="AP73" i="35"/>
  <c r="AO73" i="35"/>
  <c r="AN73" i="35"/>
  <c r="AG73" i="35" s="1"/>
  <c r="AH73" i="35"/>
  <c r="AA73" i="35"/>
  <c r="X73" i="35"/>
  <c r="Z73" i="35" s="1"/>
  <c r="W73" i="35"/>
  <c r="V73" i="35"/>
  <c r="AQ72" i="35"/>
  <c r="AR72" i="35" s="1"/>
  <c r="AP72" i="35"/>
  <c r="AO72" i="35"/>
  <c r="AN72" i="35"/>
  <c r="AG72" i="35" s="1"/>
  <c r="AH72" i="35"/>
  <c r="AI72" i="35" s="1"/>
  <c r="AA72" i="35"/>
  <c r="AY70" i="35"/>
  <c r="AU69" i="35"/>
  <c r="AT69" i="35"/>
  <c r="AS69" i="35"/>
  <c r="AR69" i="35"/>
  <c r="AQ69" i="35"/>
  <c r="AP69" i="35"/>
  <c r="AO69" i="35"/>
  <c r="AN69" i="35"/>
  <c r="AM69" i="35"/>
  <c r="AF69" i="35"/>
  <c r="AE69" i="35"/>
  <c r="AD69" i="35"/>
  <c r="AC69" i="35"/>
  <c r="AB69" i="35"/>
  <c r="AA69" i="35"/>
  <c r="Z69" i="35"/>
  <c r="Y69" i="35"/>
  <c r="X69" i="35"/>
  <c r="W69" i="35"/>
  <c r="V69" i="35"/>
  <c r="T69" i="35"/>
  <c r="R69" i="35"/>
  <c r="AB67" i="35"/>
  <c r="B64" i="35" a="1"/>
  <c r="B64" i="35" s="1"/>
  <c r="B56" i="35" a="1"/>
  <c r="B56" i="35" s="1"/>
  <c r="B55" i="35" a="1"/>
  <c r="B55" i="35" s="1"/>
  <c r="B54" i="35" a="1"/>
  <c r="B54" i="35" s="1"/>
  <c r="B53" i="35" a="1"/>
  <c r="B53" i="35" s="1"/>
  <c r="B52" i="35" a="1"/>
  <c r="B52" i="35" s="1"/>
  <c r="B51" i="35" a="1"/>
  <c r="B51" i="35" s="1"/>
  <c r="B50" i="35" a="1"/>
  <c r="B50" i="35" s="1"/>
  <c r="B49" i="35" a="1"/>
  <c r="B49" i="35" s="1"/>
  <c r="B48" i="35" a="1"/>
  <c r="B48" i="35" s="1"/>
  <c r="B47" i="35" a="1"/>
  <c r="B47" i="35" s="1"/>
  <c r="B46" i="35" a="1"/>
  <c r="B46" i="35" s="1"/>
  <c r="B45" i="35" a="1"/>
  <c r="B45" i="35" s="1"/>
  <c r="B44" i="35" a="1"/>
  <c r="B44" i="35" s="1"/>
  <c r="B43" i="35" a="1"/>
  <c r="B43" i="35" s="1"/>
  <c r="B42" i="35" a="1"/>
  <c r="B42" i="35" s="1"/>
  <c r="B41" i="35" a="1"/>
  <c r="B41" i="35" s="1"/>
  <c r="B40" i="35" a="1"/>
  <c r="B40" i="35" s="1"/>
  <c r="B39" i="35" a="1"/>
  <c r="B39" i="35" s="1"/>
  <c r="B38" i="35" a="1"/>
  <c r="B38" i="35" s="1"/>
  <c r="B37" i="35" a="1"/>
  <c r="B37" i="35" s="1"/>
  <c r="B36" i="35" a="1"/>
  <c r="B36" i="35" s="1"/>
  <c r="B35" i="35" a="1"/>
  <c r="B35" i="35" s="1"/>
  <c r="B34" i="35" a="1"/>
  <c r="B34" i="35" s="1"/>
  <c r="B33" i="35" a="1"/>
  <c r="B33" i="35" s="1"/>
  <c r="B32" i="35" a="1"/>
  <c r="B32" i="35" s="1"/>
  <c r="B31" i="35" a="1"/>
  <c r="B31" i="35" s="1"/>
  <c r="B30" i="35" a="1"/>
  <c r="B30" i="35" s="1"/>
  <c r="B29" i="35" a="1"/>
  <c r="B29" i="35" s="1"/>
  <c r="B28" i="35" a="1"/>
  <c r="B28" i="35" s="1"/>
  <c r="B27" i="35" a="1"/>
  <c r="B27" i="35" s="1"/>
  <c r="B26" i="35" a="1"/>
  <c r="B26" i="35" s="1"/>
  <c r="B25" i="35" a="1"/>
  <c r="B25" i="35" s="1"/>
  <c r="B24" i="35" a="1"/>
  <c r="B24" i="35" s="1"/>
  <c r="B23" i="35" a="1"/>
  <c r="B23" i="35" s="1"/>
  <c r="B22" i="35" a="1"/>
  <c r="B22" i="35" s="1"/>
  <c r="G20" i="35"/>
  <c r="E20" i="35"/>
  <c r="B16" i="35"/>
  <c r="Q15" i="35"/>
  <c r="P15" i="35"/>
  <c r="M15" i="35"/>
  <c r="L15" i="35"/>
  <c r="K15" i="35"/>
  <c r="Q14" i="35"/>
  <c r="P14" i="35"/>
  <c r="M14" i="35"/>
  <c r="L14" i="35"/>
  <c r="K14" i="35"/>
  <c r="Q13" i="35"/>
  <c r="P13" i="35"/>
  <c r="M13" i="35"/>
  <c r="L13" i="35"/>
  <c r="K13" i="35"/>
  <c r="Q12" i="35"/>
  <c r="P12" i="35"/>
  <c r="M12" i="35"/>
  <c r="L12" i="35"/>
  <c r="K12" i="35"/>
  <c r="Q11" i="35"/>
  <c r="P11" i="35"/>
  <c r="C20" i="35" s="1" a="1"/>
  <c r="C20" i="35" s="1"/>
  <c r="M11" i="35"/>
  <c r="L11" i="35"/>
  <c r="K11" i="35"/>
  <c r="G11" i="35" a="1"/>
  <c r="G11" i="35" s="1"/>
  <c r="B11" i="35" a="1"/>
  <c r="B11" i="35" s="1"/>
  <c r="Q10" i="35"/>
  <c r="P10" i="35"/>
  <c r="M10" i="35"/>
  <c r="L10" i="35"/>
  <c r="K10" i="35"/>
  <c r="Q9" i="35"/>
  <c r="P9" i="35"/>
  <c r="M9" i="35"/>
  <c r="L9" i="35"/>
  <c r="K9" i="35"/>
  <c r="Q8" i="35"/>
  <c r="P8" i="35"/>
  <c r="M8" i="35"/>
  <c r="L8" i="35"/>
  <c r="K8" i="35"/>
  <c r="Q7" i="35"/>
  <c r="P7" i="35"/>
  <c r="M7" i="35"/>
  <c r="L7" i="35"/>
  <c r="K7" i="35"/>
  <c r="H7" i="35" a="1"/>
  <c r="H7" i="35" s="1"/>
  <c r="Q6" i="35"/>
  <c r="P6" i="35"/>
  <c r="M6" i="35"/>
  <c r="L6" i="35"/>
  <c r="K6" i="35"/>
  <c r="BD432" i="34"/>
  <c r="T4" i="34" s="1"/>
  <c r="AQ430" i="34"/>
  <c r="AT430" i="34" s="1"/>
  <c r="AP430" i="34"/>
  <c r="AO430" i="34"/>
  <c r="AN430" i="34"/>
  <c r="AM430" i="34"/>
  <c r="AL430" i="34"/>
  <c r="AJ430" i="34"/>
  <c r="AI430" i="34"/>
  <c r="AH430" i="34"/>
  <c r="AG430" i="34"/>
  <c r="AA430" i="34"/>
  <c r="X430" i="34"/>
  <c r="Z430" i="34" s="1"/>
  <c r="W430" i="34"/>
  <c r="AQ429" i="34"/>
  <c r="AT429" i="34" s="1"/>
  <c r="AP429" i="34"/>
  <c r="AO429" i="34"/>
  <c r="AN429" i="34"/>
  <c r="AM429" i="34"/>
  <c r="AL429" i="34"/>
  <c r="AJ429" i="34"/>
  <c r="AI429" i="34"/>
  <c r="AH429" i="34"/>
  <c r="AG429" i="34"/>
  <c r="AA429" i="34"/>
  <c r="X429" i="34"/>
  <c r="Z429" i="34" s="1"/>
  <c r="W429" i="34"/>
  <c r="AQ428" i="34"/>
  <c r="AU428" i="34" s="1"/>
  <c r="AP428" i="34"/>
  <c r="AO428" i="34"/>
  <c r="AN428" i="34"/>
  <c r="AM428" i="34"/>
  <c r="AL428" i="34"/>
  <c r="AJ428" i="34"/>
  <c r="AI428" i="34"/>
  <c r="AH428" i="34"/>
  <c r="AG428" i="34"/>
  <c r="AA428" i="34"/>
  <c r="X428" i="34"/>
  <c r="W428" i="34"/>
  <c r="AQ427" i="34"/>
  <c r="AT427" i="34" s="1"/>
  <c r="AP427" i="34"/>
  <c r="AO427" i="34"/>
  <c r="AN427" i="34"/>
  <c r="AM427" i="34"/>
  <c r="AL427" i="34"/>
  <c r="AJ427" i="34"/>
  <c r="AI427" i="34"/>
  <c r="AH427" i="34"/>
  <c r="AG427" i="34"/>
  <c r="AA427" i="34"/>
  <c r="X427" i="34"/>
  <c r="W427" i="34"/>
  <c r="AQ426" i="34"/>
  <c r="AU426" i="34" s="1"/>
  <c r="AP426" i="34"/>
  <c r="AO426" i="34"/>
  <c r="AN426" i="34"/>
  <c r="AM426" i="34"/>
  <c r="AL426" i="34"/>
  <c r="AJ426" i="34"/>
  <c r="AI426" i="34"/>
  <c r="AH426" i="34"/>
  <c r="AG426" i="34"/>
  <c r="AA426" i="34"/>
  <c r="X426" i="34"/>
  <c r="Z426" i="34" s="1"/>
  <c r="W426" i="34"/>
  <c r="AQ425" i="34"/>
  <c r="AT425" i="34" s="1"/>
  <c r="AP425" i="34"/>
  <c r="AO425" i="34"/>
  <c r="AN425" i="34"/>
  <c r="AM425" i="34"/>
  <c r="AL425" i="34"/>
  <c r="AJ425" i="34"/>
  <c r="AI425" i="34"/>
  <c r="AH425" i="34"/>
  <c r="AG425" i="34"/>
  <c r="AA425" i="34"/>
  <c r="X425" i="34"/>
  <c r="Z425" i="34" s="1"/>
  <c r="W425" i="34"/>
  <c r="AQ424" i="34"/>
  <c r="AU424" i="34" s="1"/>
  <c r="AP424" i="34"/>
  <c r="AO424" i="34"/>
  <c r="AN424" i="34"/>
  <c r="AM424" i="34"/>
  <c r="AL424" i="34"/>
  <c r="AJ424" i="34"/>
  <c r="AI424" i="34"/>
  <c r="AH424" i="34"/>
  <c r="AG424" i="34"/>
  <c r="AA424" i="34"/>
  <c r="X424" i="34"/>
  <c r="Z424" i="34" s="1"/>
  <c r="W424" i="34"/>
  <c r="AQ423" i="34"/>
  <c r="AR423" i="34" s="1"/>
  <c r="AP423" i="34"/>
  <c r="AO423" i="34"/>
  <c r="AN423" i="34"/>
  <c r="AM423" i="34"/>
  <c r="AL423" i="34"/>
  <c r="AJ423" i="34"/>
  <c r="AI423" i="34"/>
  <c r="AH423" i="34"/>
  <c r="AG423" i="34"/>
  <c r="AA423" i="34"/>
  <c r="X423" i="34"/>
  <c r="W423" i="34"/>
  <c r="AQ422" i="34"/>
  <c r="AP422" i="34"/>
  <c r="AO422" i="34"/>
  <c r="AN422" i="34"/>
  <c r="AM422" i="34"/>
  <c r="AL422" i="34"/>
  <c r="AJ422" i="34"/>
  <c r="AI422" i="34"/>
  <c r="AH422" i="34"/>
  <c r="AG422" i="34"/>
  <c r="AA422" i="34"/>
  <c r="X422" i="34"/>
  <c r="Y422" i="34" s="1"/>
  <c r="W422" i="34"/>
  <c r="AQ421" i="34"/>
  <c r="AU421" i="34" s="1"/>
  <c r="AP421" i="34"/>
  <c r="AO421" i="34"/>
  <c r="AN421" i="34"/>
  <c r="AM421" i="34"/>
  <c r="AL421" i="34"/>
  <c r="AJ421" i="34"/>
  <c r="AI421" i="34"/>
  <c r="AH421" i="34"/>
  <c r="AG421" i="34"/>
  <c r="AA421" i="34"/>
  <c r="X421" i="34"/>
  <c r="Y421" i="34" s="1"/>
  <c r="W421" i="34"/>
  <c r="AQ420" i="34"/>
  <c r="AU420" i="34" s="1"/>
  <c r="AP420" i="34"/>
  <c r="AO420" i="34"/>
  <c r="AN420" i="34"/>
  <c r="AM420" i="34"/>
  <c r="AL420" i="34"/>
  <c r="AJ420" i="34"/>
  <c r="AI420" i="34"/>
  <c r="AH420" i="34"/>
  <c r="AG420" i="34"/>
  <c r="AA420" i="34"/>
  <c r="X420" i="34"/>
  <c r="W420" i="34"/>
  <c r="AQ419" i="34"/>
  <c r="AP419" i="34"/>
  <c r="AO419" i="34"/>
  <c r="AN419" i="34"/>
  <c r="AM419" i="34"/>
  <c r="AL419" i="34"/>
  <c r="AJ419" i="34"/>
  <c r="AI419" i="34"/>
  <c r="AH419" i="34"/>
  <c r="AG419" i="34"/>
  <c r="AA419" i="34"/>
  <c r="X419" i="34"/>
  <c r="Y419" i="34" s="1"/>
  <c r="W419" i="34"/>
  <c r="AQ418" i="34"/>
  <c r="AP418" i="34"/>
  <c r="AO418" i="34"/>
  <c r="AN418" i="34"/>
  <c r="AM418" i="34"/>
  <c r="AL418" i="34"/>
  <c r="AJ418" i="34"/>
  <c r="AI418" i="34"/>
  <c r="AH418" i="34"/>
  <c r="AG418" i="34"/>
  <c r="AA418" i="34"/>
  <c r="X418" i="34"/>
  <c r="Z418" i="34" s="1"/>
  <c r="W418" i="34"/>
  <c r="AQ417" i="34"/>
  <c r="AU417" i="34" s="1"/>
  <c r="AP417" i="34"/>
  <c r="AO417" i="34"/>
  <c r="AN417" i="34"/>
  <c r="AM417" i="34"/>
  <c r="AL417" i="34"/>
  <c r="AJ417" i="34"/>
  <c r="AI417" i="34"/>
  <c r="AH417" i="34"/>
  <c r="AG417" i="34"/>
  <c r="AA417" i="34"/>
  <c r="X417" i="34"/>
  <c r="W417" i="34"/>
  <c r="AQ416" i="34"/>
  <c r="AP416" i="34"/>
  <c r="AO416" i="34"/>
  <c r="AN416" i="34"/>
  <c r="AM416" i="34"/>
  <c r="AL416" i="34"/>
  <c r="AJ416" i="34"/>
  <c r="AI416" i="34"/>
  <c r="AH416" i="34"/>
  <c r="AG416" i="34"/>
  <c r="AA416" i="34"/>
  <c r="X416" i="34"/>
  <c r="W416" i="34"/>
  <c r="AQ415" i="34"/>
  <c r="AS415" i="34" s="1"/>
  <c r="AP415" i="34"/>
  <c r="AO415" i="34"/>
  <c r="AN415" i="34"/>
  <c r="AM415" i="34"/>
  <c r="AL415" i="34"/>
  <c r="AJ415" i="34"/>
  <c r="AI415" i="34"/>
  <c r="AH415" i="34"/>
  <c r="AG415" i="34"/>
  <c r="AA415" i="34"/>
  <c r="X415" i="34"/>
  <c r="Y415" i="34" s="1"/>
  <c r="W415" i="34"/>
  <c r="AQ414" i="34"/>
  <c r="AP414" i="34"/>
  <c r="AO414" i="34"/>
  <c r="AN414" i="34"/>
  <c r="AM414" i="34"/>
  <c r="AL414" i="34"/>
  <c r="AJ414" i="34"/>
  <c r="AI414" i="34"/>
  <c r="AH414" i="34"/>
  <c r="AG414" i="34"/>
  <c r="AA414" i="34"/>
  <c r="X414" i="34"/>
  <c r="Z414" i="34" s="1"/>
  <c r="W414" i="34"/>
  <c r="AQ413" i="34"/>
  <c r="AT413" i="34" s="1"/>
  <c r="AP413" i="34"/>
  <c r="AO413" i="34"/>
  <c r="AN413" i="34"/>
  <c r="AM413" i="34"/>
  <c r="AL413" i="34"/>
  <c r="AJ413" i="34"/>
  <c r="AI413" i="34"/>
  <c r="AH413" i="34"/>
  <c r="AG413" i="34"/>
  <c r="AA413" i="34"/>
  <c r="X413" i="34"/>
  <c r="W413" i="34"/>
  <c r="AQ412" i="34"/>
  <c r="AR412" i="34" s="1"/>
  <c r="AP412" i="34"/>
  <c r="AO412" i="34"/>
  <c r="AN412" i="34"/>
  <c r="AM412" i="34"/>
  <c r="AL412" i="34"/>
  <c r="AJ412" i="34"/>
  <c r="AI412" i="34"/>
  <c r="AH412" i="34"/>
  <c r="AG412" i="34"/>
  <c r="AA412" i="34"/>
  <c r="X412" i="34"/>
  <c r="W412" i="34"/>
  <c r="AQ411" i="34"/>
  <c r="AP411" i="34"/>
  <c r="AO411" i="34"/>
  <c r="AN411" i="34"/>
  <c r="AM411" i="34"/>
  <c r="AL411" i="34"/>
  <c r="AJ411" i="34"/>
  <c r="AI411" i="34"/>
  <c r="AH411" i="34"/>
  <c r="AG411" i="34"/>
  <c r="AA411" i="34"/>
  <c r="X411" i="34"/>
  <c r="W411" i="34"/>
  <c r="AQ410" i="34"/>
  <c r="AP410" i="34"/>
  <c r="AO410" i="34"/>
  <c r="AN410" i="34"/>
  <c r="AM410" i="34"/>
  <c r="AL410" i="34"/>
  <c r="AJ410" i="34"/>
  <c r="AI410" i="34"/>
  <c r="AH410" i="34"/>
  <c r="AG410" i="34"/>
  <c r="AA410" i="34"/>
  <c r="X410" i="34"/>
  <c r="W410" i="34"/>
  <c r="AQ409" i="34"/>
  <c r="AP409" i="34"/>
  <c r="AO409" i="34"/>
  <c r="AN409" i="34"/>
  <c r="AM409" i="34"/>
  <c r="AL409" i="34"/>
  <c r="AJ409" i="34"/>
  <c r="AI409" i="34"/>
  <c r="AH409" i="34"/>
  <c r="AG409" i="34"/>
  <c r="AA409" i="34"/>
  <c r="X409" i="34"/>
  <c r="W409" i="34"/>
  <c r="AQ408" i="34"/>
  <c r="AR408" i="34" s="1"/>
  <c r="AP408" i="34"/>
  <c r="AO408" i="34"/>
  <c r="AN408" i="34"/>
  <c r="AM408" i="34"/>
  <c r="AL408" i="34"/>
  <c r="AJ408" i="34"/>
  <c r="AI408" i="34"/>
  <c r="AH408" i="34"/>
  <c r="AG408" i="34"/>
  <c r="AA408" i="34"/>
  <c r="X408" i="34"/>
  <c r="Z408" i="34" s="1"/>
  <c r="W408" i="34"/>
  <c r="AQ407" i="34"/>
  <c r="AP407" i="34"/>
  <c r="AO407" i="34"/>
  <c r="AN407" i="34"/>
  <c r="AM407" i="34"/>
  <c r="AL407" i="34"/>
  <c r="AJ407" i="34"/>
  <c r="AI407" i="34"/>
  <c r="AH407" i="34"/>
  <c r="AG407" i="34"/>
  <c r="AA407" i="34"/>
  <c r="X407" i="34"/>
  <c r="Z407" i="34" s="1"/>
  <c r="W407" i="34"/>
  <c r="AQ406" i="34"/>
  <c r="AP406" i="34"/>
  <c r="AO406" i="34"/>
  <c r="AN406" i="34"/>
  <c r="AM406" i="34"/>
  <c r="AL406" i="34"/>
  <c r="AJ406" i="34"/>
  <c r="AI406" i="34"/>
  <c r="AH406" i="34"/>
  <c r="AG406" i="34"/>
  <c r="AA406" i="34"/>
  <c r="X406" i="34"/>
  <c r="W406" i="34"/>
  <c r="AQ405" i="34"/>
  <c r="AU405" i="34" s="1"/>
  <c r="AP405" i="34"/>
  <c r="AO405" i="34"/>
  <c r="AN405" i="34"/>
  <c r="AM405" i="34"/>
  <c r="AL405" i="34"/>
  <c r="AJ405" i="34"/>
  <c r="AI405" i="34"/>
  <c r="AH405" i="34"/>
  <c r="AG405" i="34"/>
  <c r="AA405" i="34"/>
  <c r="X405" i="34"/>
  <c r="Y405" i="34" s="1"/>
  <c r="W405" i="34"/>
  <c r="AQ404" i="34"/>
  <c r="AP404" i="34"/>
  <c r="AO404" i="34"/>
  <c r="AN404" i="34"/>
  <c r="AM404" i="34"/>
  <c r="AL404" i="34"/>
  <c r="AJ404" i="34"/>
  <c r="AI404" i="34"/>
  <c r="AH404" i="34"/>
  <c r="AG404" i="34"/>
  <c r="AA404" i="34"/>
  <c r="X404" i="34"/>
  <c r="Z404" i="34" s="1"/>
  <c r="W404" i="34"/>
  <c r="AQ403" i="34"/>
  <c r="AR403" i="34" s="1"/>
  <c r="AP403" i="34"/>
  <c r="AO403" i="34"/>
  <c r="AN403" i="34"/>
  <c r="AM403" i="34"/>
  <c r="AL403" i="34"/>
  <c r="AJ403" i="34"/>
  <c r="AI403" i="34"/>
  <c r="AH403" i="34"/>
  <c r="AG403" i="34"/>
  <c r="AA403" i="34"/>
  <c r="X403" i="34"/>
  <c r="W403" i="34"/>
  <c r="AQ402" i="34"/>
  <c r="AP402" i="34"/>
  <c r="AO402" i="34"/>
  <c r="AN402" i="34"/>
  <c r="AM402" i="34"/>
  <c r="AL402" i="34"/>
  <c r="AJ402" i="34"/>
  <c r="AI402" i="34"/>
  <c r="AH402" i="34"/>
  <c r="AG402" i="34"/>
  <c r="AA402" i="34"/>
  <c r="X402" i="34"/>
  <c r="Z402" i="34" s="1"/>
  <c r="W402" i="34"/>
  <c r="AQ401" i="34"/>
  <c r="AU401" i="34" s="1"/>
  <c r="AP401" i="34"/>
  <c r="AO401" i="34"/>
  <c r="AN401" i="34"/>
  <c r="AM401" i="34"/>
  <c r="AL401" i="34"/>
  <c r="AJ401" i="34"/>
  <c r="AI401" i="34"/>
  <c r="AH401" i="34"/>
  <c r="AG401" i="34"/>
  <c r="AA401" i="34"/>
  <c r="X401" i="34"/>
  <c r="Y401" i="34" s="1"/>
  <c r="W401" i="34"/>
  <c r="AQ400" i="34"/>
  <c r="AP400" i="34"/>
  <c r="AO400" i="34"/>
  <c r="AN400" i="34"/>
  <c r="AM400" i="34"/>
  <c r="AL400" i="34"/>
  <c r="AJ400" i="34"/>
  <c r="AI400" i="34"/>
  <c r="AH400" i="34"/>
  <c r="AG400" i="34"/>
  <c r="AA400" i="34"/>
  <c r="X400" i="34"/>
  <c r="W400" i="34"/>
  <c r="AQ399" i="34"/>
  <c r="AP399" i="34"/>
  <c r="AO399" i="34"/>
  <c r="AN399" i="34"/>
  <c r="AM399" i="34"/>
  <c r="AL399" i="34"/>
  <c r="AJ399" i="34"/>
  <c r="AI399" i="34"/>
  <c r="AH399" i="34"/>
  <c r="AG399" i="34"/>
  <c r="AA399" i="34"/>
  <c r="X399" i="34"/>
  <c r="Z399" i="34" s="1"/>
  <c r="W399" i="34"/>
  <c r="AQ398" i="34"/>
  <c r="AP398" i="34"/>
  <c r="AO398" i="34"/>
  <c r="AN398" i="34"/>
  <c r="AM398" i="34"/>
  <c r="AL398" i="34"/>
  <c r="AJ398" i="34"/>
  <c r="AI398" i="34"/>
  <c r="AH398" i="34"/>
  <c r="AG398" i="34"/>
  <c r="AA398" i="34"/>
  <c r="X398" i="34"/>
  <c r="W398" i="34"/>
  <c r="AQ397" i="34"/>
  <c r="AP397" i="34"/>
  <c r="AO397" i="34"/>
  <c r="AN397" i="34"/>
  <c r="AM397" i="34"/>
  <c r="AL397" i="34"/>
  <c r="AJ397" i="34"/>
  <c r="AI397" i="34"/>
  <c r="AH397" i="34"/>
  <c r="AG397" i="34"/>
  <c r="AA397" i="34"/>
  <c r="X397" i="34"/>
  <c r="Y397" i="34" s="1"/>
  <c r="W397" i="34"/>
  <c r="V397" i="34"/>
  <c r="AQ396" i="34"/>
  <c r="AR396" i="34" s="1"/>
  <c r="AP396" i="34"/>
  <c r="AH396" i="34" s="1"/>
  <c r="AO396" i="34"/>
  <c r="AN396" i="34"/>
  <c r="AG396" i="34" s="1"/>
  <c r="AA396" i="34"/>
  <c r="AQ394" i="34"/>
  <c r="AS394" i="34" s="1"/>
  <c r="AP394" i="34"/>
  <c r="AO394" i="34"/>
  <c r="AN394" i="34"/>
  <c r="AM394" i="34"/>
  <c r="AL394" i="34"/>
  <c r="AJ394" i="34"/>
  <c r="AI394" i="34"/>
  <c r="AH394" i="34"/>
  <c r="AG394" i="34"/>
  <c r="AA394" i="34"/>
  <c r="X394" i="34"/>
  <c r="Z394" i="34" s="1"/>
  <c r="W394" i="34"/>
  <c r="AQ393" i="34"/>
  <c r="AP393" i="34"/>
  <c r="AO393" i="34"/>
  <c r="AN393" i="34"/>
  <c r="AM393" i="34"/>
  <c r="AL393" i="34"/>
  <c r="AJ393" i="34"/>
  <c r="AI393" i="34"/>
  <c r="AH393" i="34"/>
  <c r="AG393" i="34"/>
  <c r="AA393" i="34"/>
  <c r="X393" i="34"/>
  <c r="Z393" i="34" s="1"/>
  <c r="W393" i="34"/>
  <c r="AQ392" i="34"/>
  <c r="AP392" i="34"/>
  <c r="AO392" i="34"/>
  <c r="AN392" i="34"/>
  <c r="AM392" i="34"/>
  <c r="AL392" i="34"/>
  <c r="AJ392" i="34"/>
  <c r="AI392" i="34"/>
  <c r="AH392" i="34"/>
  <c r="AG392" i="34"/>
  <c r="AA392" i="34"/>
  <c r="X392" i="34"/>
  <c r="W392" i="34"/>
  <c r="AQ391" i="34"/>
  <c r="AP391" i="34"/>
  <c r="AO391" i="34"/>
  <c r="AN391" i="34"/>
  <c r="AM391" i="34"/>
  <c r="AL391" i="34"/>
  <c r="AJ391" i="34"/>
  <c r="AI391" i="34"/>
  <c r="AH391" i="34"/>
  <c r="AG391" i="34"/>
  <c r="AA391" i="34"/>
  <c r="X391" i="34"/>
  <c r="Y391" i="34" s="1"/>
  <c r="W391" i="34"/>
  <c r="AQ390" i="34"/>
  <c r="AU390" i="34" s="1"/>
  <c r="AP390" i="34"/>
  <c r="AO390" i="34"/>
  <c r="AN390" i="34"/>
  <c r="AM390" i="34"/>
  <c r="AL390" i="34"/>
  <c r="AJ390" i="34"/>
  <c r="AI390" i="34"/>
  <c r="AH390" i="34"/>
  <c r="AG390" i="34"/>
  <c r="AA390" i="34"/>
  <c r="X390" i="34"/>
  <c r="Y390" i="34" s="1"/>
  <c r="W390" i="34"/>
  <c r="AQ389" i="34"/>
  <c r="AT389" i="34" s="1"/>
  <c r="AP389" i="34"/>
  <c r="AO389" i="34"/>
  <c r="AN389" i="34"/>
  <c r="AM389" i="34"/>
  <c r="AL389" i="34"/>
  <c r="AJ389" i="34"/>
  <c r="AI389" i="34"/>
  <c r="AH389" i="34"/>
  <c r="AG389" i="34"/>
  <c r="AA389" i="34"/>
  <c r="X389" i="34"/>
  <c r="Z389" i="34" s="1"/>
  <c r="W389" i="34"/>
  <c r="AQ388" i="34"/>
  <c r="AP388" i="34"/>
  <c r="AO388" i="34"/>
  <c r="AN388" i="34"/>
  <c r="AM388" i="34"/>
  <c r="AL388" i="34"/>
  <c r="AJ388" i="34"/>
  <c r="AI388" i="34"/>
  <c r="AH388" i="34"/>
  <c r="AG388" i="34"/>
  <c r="AA388" i="34"/>
  <c r="X388" i="34"/>
  <c r="Y388" i="34" s="1"/>
  <c r="W388" i="34"/>
  <c r="AQ387" i="34"/>
  <c r="AP387" i="34"/>
  <c r="AO387" i="34"/>
  <c r="AN387" i="34"/>
  <c r="AM387" i="34"/>
  <c r="AL387" i="34"/>
  <c r="AJ387" i="34"/>
  <c r="AI387" i="34"/>
  <c r="AH387" i="34"/>
  <c r="AG387" i="34"/>
  <c r="AA387" i="34"/>
  <c r="X387" i="34"/>
  <c r="Y387" i="34" s="1"/>
  <c r="W387" i="34"/>
  <c r="AQ386" i="34"/>
  <c r="AT386" i="34" s="1"/>
  <c r="AP386" i="34"/>
  <c r="AO386" i="34"/>
  <c r="AN386" i="34"/>
  <c r="AM386" i="34"/>
  <c r="AL386" i="34"/>
  <c r="AJ386" i="34"/>
  <c r="AI386" i="34"/>
  <c r="AH386" i="34"/>
  <c r="AG386" i="34"/>
  <c r="AA386" i="34"/>
  <c r="X386" i="34"/>
  <c r="Y386" i="34" s="1"/>
  <c r="W386" i="34"/>
  <c r="AQ385" i="34"/>
  <c r="AT385" i="34" s="1"/>
  <c r="AP385" i="34"/>
  <c r="AO385" i="34"/>
  <c r="AN385" i="34"/>
  <c r="AM385" i="34"/>
  <c r="AL385" i="34"/>
  <c r="AJ385" i="34"/>
  <c r="AI385" i="34"/>
  <c r="AH385" i="34"/>
  <c r="AG385" i="34"/>
  <c r="AA385" i="34"/>
  <c r="X385" i="34"/>
  <c r="W385" i="34"/>
  <c r="AQ384" i="34"/>
  <c r="AR384" i="34" s="1"/>
  <c r="AP384" i="34"/>
  <c r="AO384" i="34"/>
  <c r="AN384" i="34"/>
  <c r="AM384" i="34"/>
  <c r="AL384" i="34"/>
  <c r="AJ384" i="34"/>
  <c r="AI384" i="34"/>
  <c r="AH384" i="34"/>
  <c r="AG384" i="34"/>
  <c r="AA384" i="34"/>
  <c r="X384" i="34"/>
  <c r="W384" i="34"/>
  <c r="AQ383" i="34"/>
  <c r="AT383" i="34" s="1"/>
  <c r="AP383" i="34"/>
  <c r="AO383" i="34"/>
  <c r="AN383" i="34"/>
  <c r="AM383" i="34"/>
  <c r="AL383" i="34"/>
  <c r="AJ383" i="34"/>
  <c r="AI383" i="34"/>
  <c r="AH383" i="34"/>
  <c r="AG383" i="34"/>
  <c r="AA383" i="34"/>
  <c r="X383" i="34"/>
  <c r="Y383" i="34" s="1"/>
  <c r="W383" i="34"/>
  <c r="AQ382" i="34"/>
  <c r="AS382" i="34" s="1"/>
  <c r="AP382" i="34"/>
  <c r="AO382" i="34"/>
  <c r="AN382" i="34"/>
  <c r="AM382" i="34"/>
  <c r="AL382" i="34"/>
  <c r="AJ382" i="34"/>
  <c r="AI382" i="34"/>
  <c r="AH382" i="34"/>
  <c r="AG382" i="34"/>
  <c r="AA382" i="34"/>
  <c r="X382" i="34"/>
  <c r="W382" i="34"/>
  <c r="AQ381" i="34"/>
  <c r="AT381" i="34" s="1"/>
  <c r="AP381" i="34"/>
  <c r="AO381" i="34"/>
  <c r="AN381" i="34"/>
  <c r="AM381" i="34"/>
  <c r="AL381" i="34"/>
  <c r="AJ381" i="34"/>
  <c r="AI381" i="34"/>
  <c r="AH381" i="34"/>
  <c r="AG381" i="34"/>
  <c r="AA381" i="34"/>
  <c r="X381" i="34"/>
  <c r="W381" i="34"/>
  <c r="AQ380" i="34"/>
  <c r="AP380" i="34"/>
  <c r="AO380" i="34"/>
  <c r="AN380" i="34"/>
  <c r="AM380" i="34"/>
  <c r="AL380" i="34"/>
  <c r="AJ380" i="34"/>
  <c r="AI380" i="34"/>
  <c r="AH380" i="34"/>
  <c r="AG380" i="34"/>
  <c r="AA380" i="34"/>
  <c r="X380" i="34"/>
  <c r="Z380" i="34" s="1"/>
  <c r="W380" i="34"/>
  <c r="AQ379" i="34"/>
  <c r="AU379" i="34" s="1"/>
  <c r="AP379" i="34"/>
  <c r="AO379" i="34"/>
  <c r="AN379" i="34"/>
  <c r="AM379" i="34"/>
  <c r="AL379" i="34"/>
  <c r="AJ379" i="34"/>
  <c r="AI379" i="34"/>
  <c r="AH379" i="34"/>
  <c r="AG379" i="34"/>
  <c r="AA379" i="34"/>
  <c r="X379" i="34"/>
  <c r="W379" i="34"/>
  <c r="AQ378" i="34"/>
  <c r="AP378" i="34"/>
  <c r="AO378" i="34"/>
  <c r="AN378" i="34"/>
  <c r="AM378" i="34"/>
  <c r="AL378" i="34"/>
  <c r="AJ378" i="34"/>
  <c r="AI378" i="34"/>
  <c r="AH378" i="34"/>
  <c r="AG378" i="34"/>
  <c r="AA378" i="34"/>
  <c r="X378" i="34"/>
  <c r="W378" i="34"/>
  <c r="AQ377" i="34"/>
  <c r="AR377" i="34" s="1"/>
  <c r="AP377" i="34"/>
  <c r="AO377" i="34"/>
  <c r="AN377" i="34"/>
  <c r="AM377" i="34"/>
  <c r="AL377" i="34"/>
  <c r="AJ377" i="34"/>
  <c r="AI377" i="34"/>
  <c r="AH377" i="34"/>
  <c r="AG377" i="34"/>
  <c r="AA377" i="34"/>
  <c r="X377" i="34"/>
  <c r="Z377" i="34" s="1"/>
  <c r="W377" i="34"/>
  <c r="AQ376" i="34"/>
  <c r="AP376" i="34"/>
  <c r="AO376" i="34"/>
  <c r="AN376" i="34"/>
  <c r="AM376" i="34"/>
  <c r="AL376" i="34"/>
  <c r="AJ376" i="34"/>
  <c r="AI376" i="34"/>
  <c r="AH376" i="34"/>
  <c r="AG376" i="34"/>
  <c r="AA376" i="34"/>
  <c r="X376" i="34"/>
  <c r="Z376" i="34" s="1"/>
  <c r="W376" i="34"/>
  <c r="AQ375" i="34"/>
  <c r="AP375" i="34"/>
  <c r="AO375" i="34"/>
  <c r="AN375" i="34"/>
  <c r="AM375" i="34"/>
  <c r="AL375" i="34"/>
  <c r="AJ375" i="34"/>
  <c r="AI375" i="34"/>
  <c r="AH375" i="34"/>
  <c r="AG375" i="34"/>
  <c r="AA375" i="34"/>
  <c r="X375" i="34"/>
  <c r="Z375" i="34" s="1"/>
  <c r="W375" i="34"/>
  <c r="AQ374" i="34"/>
  <c r="AP374" i="34"/>
  <c r="AO374" i="34"/>
  <c r="AN374" i="34"/>
  <c r="AM374" i="34"/>
  <c r="AL374" i="34"/>
  <c r="AJ374" i="34"/>
  <c r="AI374" i="34"/>
  <c r="AH374" i="34"/>
  <c r="AG374" i="34"/>
  <c r="AA374" i="34"/>
  <c r="X374" i="34"/>
  <c r="W374" i="34"/>
  <c r="AQ373" i="34"/>
  <c r="AU373" i="34" s="1"/>
  <c r="AP373" i="34"/>
  <c r="AO373" i="34"/>
  <c r="AN373" i="34"/>
  <c r="AM373" i="34"/>
  <c r="AL373" i="34"/>
  <c r="AJ373" i="34"/>
  <c r="AI373" i="34"/>
  <c r="AH373" i="34"/>
  <c r="AG373" i="34"/>
  <c r="AA373" i="34"/>
  <c r="X373" i="34"/>
  <c r="W373" i="34"/>
  <c r="AQ372" i="34"/>
  <c r="AP372" i="34"/>
  <c r="AO372" i="34"/>
  <c r="AN372" i="34"/>
  <c r="AM372" i="34"/>
  <c r="AL372" i="34"/>
  <c r="AJ372" i="34"/>
  <c r="AI372" i="34"/>
  <c r="AH372" i="34"/>
  <c r="AG372" i="34"/>
  <c r="AA372" i="34"/>
  <c r="X372" i="34"/>
  <c r="Y372" i="34" s="1"/>
  <c r="W372" i="34"/>
  <c r="AQ371" i="34"/>
  <c r="AU371" i="34" s="1"/>
  <c r="AP371" i="34"/>
  <c r="AO371" i="34"/>
  <c r="AN371" i="34"/>
  <c r="AM371" i="34"/>
  <c r="AL371" i="34"/>
  <c r="AJ371" i="34"/>
  <c r="AI371" i="34"/>
  <c r="AH371" i="34"/>
  <c r="AG371" i="34"/>
  <c r="AA371" i="34"/>
  <c r="X371" i="34"/>
  <c r="Z371" i="34" s="1"/>
  <c r="W371" i="34"/>
  <c r="AQ370" i="34"/>
  <c r="AP370" i="34"/>
  <c r="AO370" i="34"/>
  <c r="AN370" i="34"/>
  <c r="AM370" i="34"/>
  <c r="AL370" i="34"/>
  <c r="AJ370" i="34"/>
  <c r="AI370" i="34"/>
  <c r="AH370" i="34"/>
  <c r="AG370" i="34"/>
  <c r="AA370" i="34"/>
  <c r="X370" i="34"/>
  <c r="W370" i="34"/>
  <c r="AQ369" i="34"/>
  <c r="AP369" i="34"/>
  <c r="AO369" i="34"/>
  <c r="AN369" i="34"/>
  <c r="AM369" i="34"/>
  <c r="AL369" i="34"/>
  <c r="AJ369" i="34"/>
  <c r="AI369" i="34"/>
  <c r="AH369" i="34"/>
  <c r="AG369" i="34"/>
  <c r="AA369" i="34"/>
  <c r="X369" i="34"/>
  <c r="W369" i="34"/>
  <c r="AQ368" i="34"/>
  <c r="AU368" i="34" s="1"/>
  <c r="AP368" i="34"/>
  <c r="AO368" i="34"/>
  <c r="AN368" i="34"/>
  <c r="AM368" i="34"/>
  <c r="AL368" i="34"/>
  <c r="AJ368" i="34"/>
  <c r="AI368" i="34"/>
  <c r="AH368" i="34"/>
  <c r="AG368" i="34"/>
  <c r="AA368" i="34"/>
  <c r="X368" i="34"/>
  <c r="W368" i="34"/>
  <c r="AQ367" i="34"/>
  <c r="AT367" i="34" s="1"/>
  <c r="AP367" i="34"/>
  <c r="AO367" i="34"/>
  <c r="AN367" i="34"/>
  <c r="AM367" i="34"/>
  <c r="AL367" i="34"/>
  <c r="AJ367" i="34"/>
  <c r="AI367" i="34"/>
  <c r="AH367" i="34"/>
  <c r="AG367" i="34"/>
  <c r="AA367" i="34"/>
  <c r="X367" i="34"/>
  <c r="W367" i="34"/>
  <c r="AQ366" i="34"/>
  <c r="AS366" i="34" s="1"/>
  <c r="AP366" i="34"/>
  <c r="AO366" i="34"/>
  <c r="AN366" i="34"/>
  <c r="AM366" i="34"/>
  <c r="AL366" i="34"/>
  <c r="AJ366" i="34"/>
  <c r="AI366" i="34"/>
  <c r="AH366" i="34"/>
  <c r="AG366" i="34"/>
  <c r="AA366" i="34"/>
  <c r="X366" i="34"/>
  <c r="Z366" i="34" s="1"/>
  <c r="W366" i="34"/>
  <c r="AQ365" i="34"/>
  <c r="AS365" i="34" s="1"/>
  <c r="AP365" i="34"/>
  <c r="AO365" i="34"/>
  <c r="AN365" i="34"/>
  <c r="AM365" i="34"/>
  <c r="AL365" i="34"/>
  <c r="AJ365" i="34"/>
  <c r="AI365" i="34"/>
  <c r="AH365" i="34"/>
  <c r="AG365" i="34"/>
  <c r="AA365" i="34"/>
  <c r="X365" i="34"/>
  <c r="Z365" i="34" s="1"/>
  <c r="W365" i="34"/>
  <c r="AQ364" i="34"/>
  <c r="AP364" i="34"/>
  <c r="AO364" i="34"/>
  <c r="AN364" i="34"/>
  <c r="AM364" i="34"/>
  <c r="AL364" i="34"/>
  <c r="AJ364" i="34"/>
  <c r="AI364" i="34"/>
  <c r="AH364" i="34"/>
  <c r="AG364" i="34"/>
  <c r="AA364" i="34"/>
  <c r="X364" i="34"/>
  <c r="Z364" i="34" s="1"/>
  <c r="W364" i="34"/>
  <c r="AQ363" i="34"/>
  <c r="AR363" i="34" s="1"/>
  <c r="AP363" i="34"/>
  <c r="AO363" i="34"/>
  <c r="AN363" i="34"/>
  <c r="AM363" i="34"/>
  <c r="AL363" i="34"/>
  <c r="AJ363" i="34"/>
  <c r="AI363" i="34"/>
  <c r="AH363" i="34"/>
  <c r="AG363" i="34"/>
  <c r="AA363" i="34"/>
  <c r="X363" i="34"/>
  <c r="Z363" i="34" s="1"/>
  <c r="W363" i="34"/>
  <c r="AQ362" i="34"/>
  <c r="AP362" i="34"/>
  <c r="AO362" i="34"/>
  <c r="AN362" i="34"/>
  <c r="AM362" i="34"/>
  <c r="AL362" i="34"/>
  <c r="AJ362" i="34"/>
  <c r="AI362" i="34"/>
  <c r="AH362" i="34"/>
  <c r="AG362" i="34"/>
  <c r="AA362" i="34"/>
  <c r="X362" i="34"/>
  <c r="Y362" i="34" s="1"/>
  <c r="W362" i="34"/>
  <c r="AQ361" i="34"/>
  <c r="AS361" i="34" s="1"/>
  <c r="AP361" i="34"/>
  <c r="AO361" i="34"/>
  <c r="AN361" i="34"/>
  <c r="AM361" i="34"/>
  <c r="AL361" i="34"/>
  <c r="AJ361" i="34"/>
  <c r="AI361" i="34"/>
  <c r="AH361" i="34"/>
  <c r="AG361" i="34"/>
  <c r="AA361" i="34"/>
  <c r="X361" i="34"/>
  <c r="W361" i="34"/>
  <c r="V361" i="34"/>
  <c r="AQ360" i="34"/>
  <c r="AP360" i="34"/>
  <c r="AH360" i="34" s="1"/>
  <c r="AO360" i="34"/>
  <c r="AN360" i="34"/>
  <c r="AG360" i="34" s="1"/>
  <c r="AA360" i="34"/>
  <c r="AQ358" i="34"/>
  <c r="AR358" i="34" s="1"/>
  <c r="AP358" i="34"/>
  <c r="AO358" i="34"/>
  <c r="AN358" i="34"/>
  <c r="AM358" i="34"/>
  <c r="AL358" i="34"/>
  <c r="AJ358" i="34"/>
  <c r="AI358" i="34"/>
  <c r="AH358" i="34"/>
  <c r="AG358" i="34"/>
  <c r="AA358" i="34"/>
  <c r="X358" i="34"/>
  <c r="W358" i="34"/>
  <c r="AQ357" i="34"/>
  <c r="AS357" i="34" s="1"/>
  <c r="AP357" i="34"/>
  <c r="AO357" i="34"/>
  <c r="AN357" i="34"/>
  <c r="AM357" i="34"/>
  <c r="AL357" i="34"/>
  <c r="AJ357" i="34"/>
  <c r="AI357" i="34"/>
  <c r="AH357" i="34"/>
  <c r="AG357" i="34"/>
  <c r="AA357" i="34"/>
  <c r="X357" i="34"/>
  <c r="Z357" i="34" s="1"/>
  <c r="W357" i="34"/>
  <c r="AQ356" i="34"/>
  <c r="AP356" i="34"/>
  <c r="AO356" i="34"/>
  <c r="AN356" i="34"/>
  <c r="AM356" i="34"/>
  <c r="AL356" i="34"/>
  <c r="AJ356" i="34"/>
  <c r="AI356" i="34"/>
  <c r="AH356" i="34"/>
  <c r="AG356" i="34"/>
  <c r="AA356" i="34"/>
  <c r="X356" i="34"/>
  <c r="Z356" i="34" s="1"/>
  <c r="W356" i="34"/>
  <c r="AQ355" i="34"/>
  <c r="AS355" i="34" s="1"/>
  <c r="AP355" i="34"/>
  <c r="AO355" i="34"/>
  <c r="AN355" i="34"/>
  <c r="AM355" i="34"/>
  <c r="AL355" i="34"/>
  <c r="AJ355" i="34"/>
  <c r="AI355" i="34"/>
  <c r="AH355" i="34"/>
  <c r="AG355" i="34"/>
  <c r="AA355" i="34"/>
  <c r="X355" i="34"/>
  <c r="W355" i="34"/>
  <c r="AQ354" i="34"/>
  <c r="AP354" i="34"/>
  <c r="AO354" i="34"/>
  <c r="AN354" i="34"/>
  <c r="AM354" i="34"/>
  <c r="AL354" i="34"/>
  <c r="AJ354" i="34"/>
  <c r="AI354" i="34"/>
  <c r="AH354" i="34"/>
  <c r="AG354" i="34"/>
  <c r="AA354" i="34"/>
  <c r="X354" i="34"/>
  <c r="W354" i="34"/>
  <c r="AQ353" i="34"/>
  <c r="AR353" i="34" s="1"/>
  <c r="AP353" i="34"/>
  <c r="AO353" i="34"/>
  <c r="AN353" i="34"/>
  <c r="AM353" i="34"/>
  <c r="AL353" i="34"/>
  <c r="AJ353" i="34"/>
  <c r="AI353" i="34"/>
  <c r="AH353" i="34"/>
  <c r="AG353" i="34"/>
  <c r="AA353" i="34"/>
  <c r="X353" i="34"/>
  <c r="Y353" i="34" s="1"/>
  <c r="W353" i="34"/>
  <c r="AQ352" i="34"/>
  <c r="AS352" i="34" s="1"/>
  <c r="AP352" i="34"/>
  <c r="AO352" i="34"/>
  <c r="AN352" i="34"/>
  <c r="AM352" i="34"/>
  <c r="AL352" i="34"/>
  <c r="AJ352" i="34"/>
  <c r="AI352" i="34"/>
  <c r="AH352" i="34"/>
  <c r="AG352" i="34"/>
  <c r="AA352" i="34"/>
  <c r="X352" i="34"/>
  <c r="Z352" i="34" s="1"/>
  <c r="W352" i="34"/>
  <c r="AQ351" i="34"/>
  <c r="AP351" i="34"/>
  <c r="AO351" i="34"/>
  <c r="AN351" i="34"/>
  <c r="AM351" i="34"/>
  <c r="AL351" i="34"/>
  <c r="AJ351" i="34"/>
  <c r="AI351" i="34"/>
  <c r="AH351" i="34"/>
  <c r="AG351" i="34"/>
  <c r="AA351" i="34"/>
  <c r="X351" i="34"/>
  <c r="W351" i="34"/>
  <c r="AQ350" i="34"/>
  <c r="AP350" i="34"/>
  <c r="AO350" i="34"/>
  <c r="AN350" i="34"/>
  <c r="AM350" i="34"/>
  <c r="AL350" i="34"/>
  <c r="AJ350" i="34"/>
  <c r="AI350" i="34"/>
  <c r="AH350" i="34"/>
  <c r="AG350" i="34"/>
  <c r="AA350" i="34"/>
  <c r="X350" i="34"/>
  <c r="W350" i="34"/>
  <c r="AQ349" i="34"/>
  <c r="AS349" i="34" s="1"/>
  <c r="AP349" i="34"/>
  <c r="AO349" i="34"/>
  <c r="AN349" i="34"/>
  <c r="AM349" i="34"/>
  <c r="AL349" i="34"/>
  <c r="AJ349" i="34"/>
  <c r="AI349" i="34"/>
  <c r="AH349" i="34"/>
  <c r="AG349" i="34"/>
  <c r="AA349" i="34"/>
  <c r="X349" i="34"/>
  <c r="W349" i="34"/>
  <c r="AQ348" i="34"/>
  <c r="AR348" i="34" s="1"/>
  <c r="AP348" i="34"/>
  <c r="AO348" i="34"/>
  <c r="AN348" i="34"/>
  <c r="AM348" i="34"/>
  <c r="AL348" i="34"/>
  <c r="AJ348" i="34"/>
  <c r="AI348" i="34"/>
  <c r="AH348" i="34"/>
  <c r="AG348" i="34"/>
  <c r="AA348" i="34"/>
  <c r="X348" i="34"/>
  <c r="W348" i="34"/>
  <c r="AQ347" i="34"/>
  <c r="AS347" i="34" s="1"/>
  <c r="AP347" i="34"/>
  <c r="AO347" i="34"/>
  <c r="AN347" i="34"/>
  <c r="AM347" i="34"/>
  <c r="AL347" i="34"/>
  <c r="AJ347" i="34"/>
  <c r="AI347" i="34"/>
  <c r="AH347" i="34"/>
  <c r="AG347" i="34"/>
  <c r="AA347" i="34"/>
  <c r="X347" i="34"/>
  <c r="W347" i="34"/>
  <c r="AQ346" i="34"/>
  <c r="AP346" i="34"/>
  <c r="AO346" i="34"/>
  <c r="AN346" i="34"/>
  <c r="AM346" i="34"/>
  <c r="AL346" i="34"/>
  <c r="AJ346" i="34"/>
  <c r="AI346" i="34"/>
  <c r="AH346" i="34"/>
  <c r="AG346" i="34"/>
  <c r="AA346" i="34"/>
  <c r="X346" i="34"/>
  <c r="W346" i="34"/>
  <c r="AQ345" i="34"/>
  <c r="AP345" i="34"/>
  <c r="AO345" i="34"/>
  <c r="AN345" i="34"/>
  <c r="AM345" i="34"/>
  <c r="AL345" i="34"/>
  <c r="AJ345" i="34"/>
  <c r="AI345" i="34"/>
  <c r="AH345" i="34"/>
  <c r="AG345" i="34"/>
  <c r="AA345" i="34"/>
  <c r="X345" i="34"/>
  <c r="Z345" i="34" s="1"/>
  <c r="W345" i="34"/>
  <c r="AQ344" i="34"/>
  <c r="AS344" i="34" s="1"/>
  <c r="AP344" i="34"/>
  <c r="AO344" i="34"/>
  <c r="AN344" i="34"/>
  <c r="AM344" i="34"/>
  <c r="AL344" i="34"/>
  <c r="AJ344" i="34"/>
  <c r="AI344" i="34"/>
  <c r="AH344" i="34"/>
  <c r="AG344" i="34"/>
  <c r="AA344" i="34"/>
  <c r="X344" i="34"/>
  <c r="Z344" i="34" s="1"/>
  <c r="W344" i="34"/>
  <c r="AQ343" i="34"/>
  <c r="AS343" i="34" s="1"/>
  <c r="AP343" i="34"/>
  <c r="AO343" i="34"/>
  <c r="AN343" i="34"/>
  <c r="AM343" i="34"/>
  <c r="AL343" i="34"/>
  <c r="AJ343" i="34"/>
  <c r="AI343" i="34"/>
  <c r="AH343" i="34"/>
  <c r="AG343" i="34"/>
  <c r="AA343" i="34"/>
  <c r="X343" i="34"/>
  <c r="Y343" i="34" s="1"/>
  <c r="W343" i="34"/>
  <c r="AQ342" i="34"/>
  <c r="AS342" i="34" s="1"/>
  <c r="AP342" i="34"/>
  <c r="AO342" i="34"/>
  <c r="AN342" i="34"/>
  <c r="AM342" i="34"/>
  <c r="AL342" i="34"/>
  <c r="AJ342" i="34"/>
  <c r="AI342" i="34"/>
  <c r="AH342" i="34"/>
  <c r="AG342" i="34"/>
  <c r="AA342" i="34"/>
  <c r="X342" i="34"/>
  <c r="W342" i="34"/>
  <c r="AQ341" i="34"/>
  <c r="AS341" i="34" s="1"/>
  <c r="AP341" i="34"/>
  <c r="AO341" i="34"/>
  <c r="AN341" i="34"/>
  <c r="AM341" i="34"/>
  <c r="AL341" i="34"/>
  <c r="AJ341" i="34"/>
  <c r="AI341" i="34"/>
  <c r="AH341" i="34"/>
  <c r="AG341" i="34"/>
  <c r="AA341" i="34"/>
  <c r="X341" i="34"/>
  <c r="Z341" i="34" s="1"/>
  <c r="W341" i="34"/>
  <c r="AQ340" i="34"/>
  <c r="AP340" i="34"/>
  <c r="AO340" i="34"/>
  <c r="AN340" i="34"/>
  <c r="AM340" i="34"/>
  <c r="AL340" i="34"/>
  <c r="AJ340" i="34"/>
  <c r="AI340" i="34"/>
  <c r="AH340" i="34"/>
  <c r="AG340" i="34"/>
  <c r="AA340" i="34"/>
  <c r="X340" i="34"/>
  <c r="W340" i="34"/>
  <c r="AQ339" i="34"/>
  <c r="AS339" i="34" s="1"/>
  <c r="AP339" i="34"/>
  <c r="AO339" i="34"/>
  <c r="AN339" i="34"/>
  <c r="AM339" i="34"/>
  <c r="AL339" i="34"/>
  <c r="AJ339" i="34"/>
  <c r="AI339" i="34"/>
  <c r="AH339" i="34"/>
  <c r="AG339" i="34"/>
  <c r="AA339" i="34"/>
  <c r="X339" i="34"/>
  <c r="W339" i="34"/>
  <c r="AQ338" i="34"/>
  <c r="AP338" i="34"/>
  <c r="AO338" i="34"/>
  <c r="AN338" i="34"/>
  <c r="AM338" i="34"/>
  <c r="AL338" i="34"/>
  <c r="AJ338" i="34"/>
  <c r="AI338" i="34"/>
  <c r="AH338" i="34"/>
  <c r="AG338" i="34"/>
  <c r="AA338" i="34"/>
  <c r="X338" i="34"/>
  <c r="W338" i="34"/>
  <c r="AQ337" i="34"/>
  <c r="AR337" i="34" s="1"/>
  <c r="AP337" i="34"/>
  <c r="AO337" i="34"/>
  <c r="AN337" i="34"/>
  <c r="AM337" i="34"/>
  <c r="AL337" i="34"/>
  <c r="AJ337" i="34"/>
  <c r="AI337" i="34"/>
  <c r="AH337" i="34"/>
  <c r="AG337" i="34"/>
  <c r="AA337" i="34"/>
  <c r="X337" i="34"/>
  <c r="Z337" i="34" s="1"/>
  <c r="W337" i="34"/>
  <c r="AQ336" i="34"/>
  <c r="AR336" i="34" s="1"/>
  <c r="AP336" i="34"/>
  <c r="AO336" i="34"/>
  <c r="AN336" i="34"/>
  <c r="AM336" i="34"/>
  <c r="AL336" i="34"/>
  <c r="AJ336" i="34"/>
  <c r="AI336" i="34"/>
  <c r="AH336" i="34"/>
  <c r="AG336" i="34"/>
  <c r="AA336" i="34"/>
  <c r="X336" i="34"/>
  <c r="W336" i="34"/>
  <c r="AQ335" i="34"/>
  <c r="AS335" i="34" s="1"/>
  <c r="AP335" i="34"/>
  <c r="AO335" i="34"/>
  <c r="AN335" i="34"/>
  <c r="AM335" i="34"/>
  <c r="AL335" i="34"/>
  <c r="AJ335" i="34"/>
  <c r="AI335" i="34"/>
  <c r="AH335" i="34"/>
  <c r="AG335" i="34"/>
  <c r="AA335" i="34"/>
  <c r="X335" i="34"/>
  <c r="Z335" i="34" s="1"/>
  <c r="W335" i="34"/>
  <c r="AQ334" i="34"/>
  <c r="AS334" i="34" s="1"/>
  <c r="AP334" i="34"/>
  <c r="AO334" i="34"/>
  <c r="AN334" i="34"/>
  <c r="AM334" i="34"/>
  <c r="AL334" i="34"/>
  <c r="AJ334" i="34"/>
  <c r="AI334" i="34"/>
  <c r="AH334" i="34"/>
  <c r="AG334" i="34"/>
  <c r="AA334" i="34"/>
  <c r="X334" i="34"/>
  <c r="W334" i="34"/>
  <c r="AQ333" i="34"/>
  <c r="AP333" i="34"/>
  <c r="AO333" i="34"/>
  <c r="AN333" i="34"/>
  <c r="AM333" i="34"/>
  <c r="AL333" i="34"/>
  <c r="AJ333" i="34"/>
  <c r="AI333" i="34"/>
  <c r="AH333" i="34"/>
  <c r="AG333" i="34"/>
  <c r="AA333" i="34"/>
  <c r="X333" i="34"/>
  <c r="Z333" i="34" s="1"/>
  <c r="W333" i="34"/>
  <c r="AQ332" i="34"/>
  <c r="AT332" i="34" s="1"/>
  <c r="AP332" i="34"/>
  <c r="AO332" i="34"/>
  <c r="AN332" i="34"/>
  <c r="AM332" i="34"/>
  <c r="AL332" i="34"/>
  <c r="AJ332" i="34"/>
  <c r="AI332" i="34"/>
  <c r="AH332" i="34"/>
  <c r="AG332" i="34"/>
  <c r="AA332" i="34"/>
  <c r="X332" i="34"/>
  <c r="Y332" i="34" s="1"/>
  <c r="W332" i="34"/>
  <c r="AQ331" i="34"/>
  <c r="AS331" i="34" s="1"/>
  <c r="AP331" i="34"/>
  <c r="AO331" i="34"/>
  <c r="AN331" i="34"/>
  <c r="AM331" i="34"/>
  <c r="AL331" i="34"/>
  <c r="AJ331" i="34"/>
  <c r="AI331" i="34"/>
  <c r="AH331" i="34"/>
  <c r="AG331" i="34"/>
  <c r="AA331" i="34"/>
  <c r="X331" i="34"/>
  <c r="Y331" i="34" s="1"/>
  <c r="W331" i="34"/>
  <c r="AQ330" i="34"/>
  <c r="AR330" i="34" s="1"/>
  <c r="AP330" i="34"/>
  <c r="AO330" i="34"/>
  <c r="AN330" i="34"/>
  <c r="AM330" i="34"/>
  <c r="AL330" i="34"/>
  <c r="AJ330" i="34"/>
  <c r="AI330" i="34"/>
  <c r="AH330" i="34"/>
  <c r="AG330" i="34"/>
  <c r="AA330" i="34"/>
  <c r="X330" i="34"/>
  <c r="W330" i="34"/>
  <c r="AQ329" i="34"/>
  <c r="AP329" i="34"/>
  <c r="AO329" i="34"/>
  <c r="AN329" i="34"/>
  <c r="AM329" i="34"/>
  <c r="AL329" i="34"/>
  <c r="AJ329" i="34"/>
  <c r="AI329" i="34"/>
  <c r="AH329" i="34"/>
  <c r="AG329" i="34"/>
  <c r="AA329" i="34"/>
  <c r="X329" i="34"/>
  <c r="Z329" i="34" s="1"/>
  <c r="W329" i="34"/>
  <c r="AQ328" i="34"/>
  <c r="AR328" i="34" s="1"/>
  <c r="AP328" i="34"/>
  <c r="AO328" i="34"/>
  <c r="AN328" i="34"/>
  <c r="AM328" i="34"/>
  <c r="AL328" i="34"/>
  <c r="AJ328" i="34"/>
  <c r="AI328" i="34"/>
  <c r="AH328" i="34"/>
  <c r="AG328" i="34"/>
  <c r="AA328" i="34"/>
  <c r="X328" i="34"/>
  <c r="Y328" i="34" s="1"/>
  <c r="W328" i="34"/>
  <c r="AQ327" i="34"/>
  <c r="AP327" i="34"/>
  <c r="AO327" i="34"/>
  <c r="AN327" i="34"/>
  <c r="AM327" i="34"/>
  <c r="AL327" i="34"/>
  <c r="AJ327" i="34"/>
  <c r="AI327" i="34"/>
  <c r="AH327" i="34"/>
  <c r="AG327" i="34"/>
  <c r="AA327" i="34"/>
  <c r="X327" i="34"/>
  <c r="W327" i="34"/>
  <c r="AQ326" i="34"/>
  <c r="AP326" i="34"/>
  <c r="AO326" i="34"/>
  <c r="AN326" i="34"/>
  <c r="AM326" i="34"/>
  <c r="AL326" i="34"/>
  <c r="AJ326" i="34"/>
  <c r="AI326" i="34"/>
  <c r="AH326" i="34"/>
  <c r="AG326" i="34"/>
  <c r="AA326" i="34"/>
  <c r="X326" i="34"/>
  <c r="W326" i="34"/>
  <c r="AQ325" i="34"/>
  <c r="AS325" i="34" s="1"/>
  <c r="AP325" i="34"/>
  <c r="AO325" i="34"/>
  <c r="AN325" i="34"/>
  <c r="AM325" i="34"/>
  <c r="AL325" i="34"/>
  <c r="AJ325" i="34"/>
  <c r="AI325" i="34"/>
  <c r="AH325" i="34"/>
  <c r="AG325" i="34"/>
  <c r="AA325" i="34"/>
  <c r="X325" i="34"/>
  <c r="W325" i="34"/>
  <c r="V325" i="34"/>
  <c r="AQ324" i="34"/>
  <c r="AT324" i="34" s="1"/>
  <c r="AP324" i="34"/>
  <c r="AH324" i="34" s="1"/>
  <c r="AL324" i="34" s="1"/>
  <c r="O13" i="34" s="1"/>
  <c r="AO324" i="34"/>
  <c r="AN324" i="34"/>
  <c r="AG324" i="34" s="1"/>
  <c r="AA324" i="34"/>
  <c r="AQ322" i="34"/>
  <c r="AP322" i="34"/>
  <c r="AO322" i="34"/>
  <c r="AN322" i="34"/>
  <c r="AM322" i="34"/>
  <c r="AL322" i="34"/>
  <c r="AJ322" i="34"/>
  <c r="AI322" i="34"/>
  <c r="AH322" i="34"/>
  <c r="AG322" i="34"/>
  <c r="AA322" i="34"/>
  <c r="X322" i="34"/>
  <c r="Y322" i="34" s="1"/>
  <c r="W322" i="34"/>
  <c r="AQ321" i="34"/>
  <c r="AR321" i="34" s="1"/>
  <c r="AP321" i="34"/>
  <c r="AO321" i="34"/>
  <c r="AN321" i="34"/>
  <c r="AM321" i="34"/>
  <c r="AL321" i="34"/>
  <c r="AJ321" i="34"/>
  <c r="AI321" i="34"/>
  <c r="AH321" i="34"/>
  <c r="AG321" i="34"/>
  <c r="AA321" i="34"/>
  <c r="X321" i="34"/>
  <c r="Z321" i="34" s="1"/>
  <c r="W321" i="34"/>
  <c r="AQ320" i="34"/>
  <c r="AP320" i="34"/>
  <c r="AO320" i="34"/>
  <c r="AN320" i="34"/>
  <c r="AM320" i="34"/>
  <c r="AL320" i="34"/>
  <c r="AJ320" i="34"/>
  <c r="AI320" i="34"/>
  <c r="AH320" i="34"/>
  <c r="AG320" i="34"/>
  <c r="AA320" i="34"/>
  <c r="X320" i="34"/>
  <c r="Z320" i="34" s="1"/>
  <c r="W320" i="34"/>
  <c r="AQ319" i="34"/>
  <c r="AU319" i="34" s="1"/>
  <c r="AP319" i="34"/>
  <c r="AO319" i="34"/>
  <c r="AN319" i="34"/>
  <c r="AM319" i="34"/>
  <c r="AL319" i="34"/>
  <c r="AJ319" i="34"/>
  <c r="AI319" i="34"/>
  <c r="AH319" i="34"/>
  <c r="AG319" i="34"/>
  <c r="AA319" i="34"/>
  <c r="X319" i="34"/>
  <c r="W319" i="34"/>
  <c r="AQ318" i="34"/>
  <c r="AU318" i="34" s="1"/>
  <c r="AP318" i="34"/>
  <c r="AO318" i="34"/>
  <c r="AN318" i="34"/>
  <c r="AM318" i="34"/>
  <c r="AL318" i="34"/>
  <c r="AJ318" i="34"/>
  <c r="AI318" i="34"/>
  <c r="AH318" i="34"/>
  <c r="AG318" i="34"/>
  <c r="AA318" i="34"/>
  <c r="X318" i="34"/>
  <c r="Z318" i="34" s="1"/>
  <c r="W318" i="34"/>
  <c r="AQ317" i="34"/>
  <c r="AU317" i="34" s="1"/>
  <c r="AP317" i="34"/>
  <c r="AO317" i="34"/>
  <c r="AN317" i="34"/>
  <c r="AM317" i="34"/>
  <c r="AL317" i="34"/>
  <c r="AJ317" i="34"/>
  <c r="AI317" i="34"/>
  <c r="AH317" i="34"/>
  <c r="AG317" i="34"/>
  <c r="AA317" i="34"/>
  <c r="X317" i="34"/>
  <c r="Y317" i="34" s="1"/>
  <c r="W317" i="34"/>
  <c r="AQ316" i="34"/>
  <c r="AU316" i="34" s="1"/>
  <c r="AP316" i="34"/>
  <c r="AO316" i="34"/>
  <c r="AN316" i="34"/>
  <c r="AM316" i="34"/>
  <c r="AL316" i="34"/>
  <c r="AJ316" i="34"/>
  <c r="AI316" i="34"/>
  <c r="AH316" i="34"/>
  <c r="AG316" i="34"/>
  <c r="AA316" i="34"/>
  <c r="X316" i="34"/>
  <c r="W316" i="34"/>
  <c r="AQ315" i="34"/>
  <c r="AP315" i="34"/>
  <c r="AO315" i="34"/>
  <c r="AN315" i="34"/>
  <c r="AM315" i="34"/>
  <c r="AL315" i="34"/>
  <c r="AJ315" i="34"/>
  <c r="AI315" i="34"/>
  <c r="AH315" i="34"/>
  <c r="AG315" i="34"/>
  <c r="AA315" i="34"/>
  <c r="X315" i="34"/>
  <c r="Y315" i="34" s="1"/>
  <c r="W315" i="34"/>
  <c r="AQ314" i="34"/>
  <c r="AP314" i="34"/>
  <c r="AO314" i="34"/>
  <c r="AN314" i="34"/>
  <c r="AM314" i="34"/>
  <c r="AL314" i="34"/>
  <c r="AJ314" i="34"/>
  <c r="AI314" i="34"/>
  <c r="AH314" i="34"/>
  <c r="AG314" i="34"/>
  <c r="AA314" i="34"/>
  <c r="X314" i="34"/>
  <c r="W314" i="34"/>
  <c r="AQ313" i="34"/>
  <c r="AU313" i="34" s="1"/>
  <c r="AP313" i="34"/>
  <c r="AO313" i="34"/>
  <c r="AN313" i="34"/>
  <c r="AM313" i="34"/>
  <c r="AL313" i="34"/>
  <c r="AJ313" i="34"/>
  <c r="AI313" i="34"/>
  <c r="AH313" i="34"/>
  <c r="AG313" i="34"/>
  <c r="AA313" i="34"/>
  <c r="X313" i="34"/>
  <c r="W313" i="34"/>
  <c r="AQ312" i="34"/>
  <c r="AR312" i="34" s="1"/>
  <c r="AP312" i="34"/>
  <c r="AO312" i="34"/>
  <c r="AN312" i="34"/>
  <c r="AM312" i="34"/>
  <c r="AL312" i="34"/>
  <c r="AJ312" i="34"/>
  <c r="AI312" i="34"/>
  <c r="AH312" i="34"/>
  <c r="AG312" i="34"/>
  <c r="AA312" i="34"/>
  <c r="X312" i="34"/>
  <c r="Z312" i="34" s="1"/>
  <c r="W312" i="34"/>
  <c r="AQ311" i="34"/>
  <c r="AP311" i="34"/>
  <c r="AO311" i="34"/>
  <c r="AN311" i="34"/>
  <c r="AM311" i="34"/>
  <c r="AL311" i="34"/>
  <c r="AJ311" i="34"/>
  <c r="AI311" i="34"/>
  <c r="AH311" i="34"/>
  <c r="AG311" i="34"/>
  <c r="AA311" i="34"/>
  <c r="X311" i="34"/>
  <c r="W311" i="34"/>
  <c r="AQ310" i="34"/>
  <c r="AR310" i="34" s="1"/>
  <c r="AP310" i="34"/>
  <c r="AO310" i="34"/>
  <c r="AN310" i="34"/>
  <c r="AM310" i="34"/>
  <c r="AL310" i="34"/>
  <c r="AJ310" i="34"/>
  <c r="AI310" i="34"/>
  <c r="AH310" i="34"/>
  <c r="AG310" i="34"/>
  <c r="AA310" i="34"/>
  <c r="X310" i="34"/>
  <c r="Y310" i="34" s="1"/>
  <c r="W310" i="34"/>
  <c r="AQ309" i="34"/>
  <c r="AS309" i="34" s="1"/>
  <c r="AP309" i="34"/>
  <c r="AO309" i="34"/>
  <c r="AN309" i="34"/>
  <c r="AM309" i="34"/>
  <c r="AL309" i="34"/>
  <c r="AJ309" i="34"/>
  <c r="AI309" i="34"/>
  <c r="AH309" i="34"/>
  <c r="AG309" i="34"/>
  <c r="AA309" i="34"/>
  <c r="X309" i="34"/>
  <c r="W309" i="34"/>
  <c r="AQ308" i="34"/>
  <c r="AP308" i="34"/>
  <c r="AO308" i="34"/>
  <c r="AN308" i="34"/>
  <c r="AM308" i="34"/>
  <c r="AL308" i="34"/>
  <c r="AJ308" i="34"/>
  <c r="AI308" i="34"/>
  <c r="AH308" i="34"/>
  <c r="AG308" i="34"/>
  <c r="AA308" i="34"/>
  <c r="X308" i="34"/>
  <c r="Z308" i="34" s="1"/>
  <c r="W308" i="34"/>
  <c r="AQ307" i="34"/>
  <c r="AT307" i="34" s="1"/>
  <c r="AP307" i="34"/>
  <c r="AO307" i="34"/>
  <c r="AN307" i="34"/>
  <c r="AM307" i="34"/>
  <c r="AL307" i="34"/>
  <c r="AJ307" i="34"/>
  <c r="AI307" i="34"/>
  <c r="AH307" i="34"/>
  <c r="AG307" i="34"/>
  <c r="AA307" i="34"/>
  <c r="X307" i="34"/>
  <c r="W307" i="34"/>
  <c r="AQ306" i="34"/>
  <c r="AT306" i="34" s="1"/>
  <c r="AP306" i="34"/>
  <c r="AO306" i="34"/>
  <c r="AN306" i="34"/>
  <c r="AM306" i="34"/>
  <c r="AL306" i="34"/>
  <c r="AJ306" i="34"/>
  <c r="AI306" i="34"/>
  <c r="AH306" i="34"/>
  <c r="AG306" i="34"/>
  <c r="AA306" i="34"/>
  <c r="X306" i="34"/>
  <c r="W306" i="34"/>
  <c r="AQ305" i="34"/>
  <c r="AU305" i="34" s="1"/>
  <c r="AP305" i="34"/>
  <c r="AO305" i="34"/>
  <c r="AN305" i="34"/>
  <c r="AM305" i="34"/>
  <c r="AL305" i="34"/>
  <c r="AJ305" i="34"/>
  <c r="AI305" i="34"/>
  <c r="AH305" i="34"/>
  <c r="AG305" i="34"/>
  <c r="AA305" i="34"/>
  <c r="X305" i="34"/>
  <c r="Z305" i="34" s="1"/>
  <c r="W305" i="34"/>
  <c r="AQ304" i="34"/>
  <c r="AR304" i="34" s="1"/>
  <c r="AP304" i="34"/>
  <c r="AO304" i="34"/>
  <c r="AN304" i="34"/>
  <c r="AM304" i="34"/>
  <c r="AL304" i="34"/>
  <c r="AJ304" i="34"/>
  <c r="AI304" i="34"/>
  <c r="AH304" i="34"/>
  <c r="AG304" i="34"/>
  <c r="AA304" i="34"/>
  <c r="X304" i="34"/>
  <c r="Z304" i="34" s="1"/>
  <c r="W304" i="34"/>
  <c r="AQ303" i="34"/>
  <c r="AS303" i="34" s="1"/>
  <c r="AP303" i="34"/>
  <c r="AO303" i="34"/>
  <c r="AN303" i="34"/>
  <c r="AM303" i="34"/>
  <c r="AL303" i="34"/>
  <c r="AJ303" i="34"/>
  <c r="AI303" i="34"/>
  <c r="AH303" i="34"/>
  <c r="AG303" i="34"/>
  <c r="AA303" i="34"/>
  <c r="X303" i="34"/>
  <c r="W303" i="34"/>
  <c r="AQ302" i="34"/>
  <c r="AT302" i="34" s="1"/>
  <c r="AP302" i="34"/>
  <c r="AO302" i="34"/>
  <c r="AN302" i="34"/>
  <c r="AM302" i="34"/>
  <c r="AL302" i="34"/>
  <c r="AJ302" i="34"/>
  <c r="AI302" i="34"/>
  <c r="AH302" i="34"/>
  <c r="AG302" i="34"/>
  <c r="AA302" i="34"/>
  <c r="X302" i="34"/>
  <c r="Y302" i="34" s="1"/>
  <c r="W302" i="34"/>
  <c r="AQ301" i="34"/>
  <c r="AR301" i="34" s="1"/>
  <c r="AP301" i="34"/>
  <c r="AO301" i="34"/>
  <c r="AN301" i="34"/>
  <c r="AM301" i="34"/>
  <c r="AL301" i="34"/>
  <c r="AJ301" i="34"/>
  <c r="AI301" i="34"/>
  <c r="AH301" i="34"/>
  <c r="AG301" i="34"/>
  <c r="AA301" i="34"/>
  <c r="X301" i="34"/>
  <c r="Y301" i="34" s="1"/>
  <c r="W301" i="34"/>
  <c r="AQ300" i="34"/>
  <c r="AU300" i="34" s="1"/>
  <c r="AP300" i="34"/>
  <c r="AO300" i="34"/>
  <c r="AN300" i="34"/>
  <c r="AM300" i="34"/>
  <c r="AL300" i="34"/>
  <c r="AJ300" i="34"/>
  <c r="AI300" i="34"/>
  <c r="AH300" i="34"/>
  <c r="AG300" i="34"/>
  <c r="AA300" i="34"/>
  <c r="X300" i="34"/>
  <c r="W300" i="34"/>
  <c r="AQ299" i="34"/>
  <c r="AT299" i="34" s="1"/>
  <c r="AP299" i="34"/>
  <c r="AO299" i="34"/>
  <c r="AN299" i="34"/>
  <c r="AM299" i="34"/>
  <c r="AL299" i="34"/>
  <c r="AJ299" i="34"/>
  <c r="AI299" i="34"/>
  <c r="AH299" i="34"/>
  <c r="AG299" i="34"/>
  <c r="AA299" i="34"/>
  <c r="X299" i="34"/>
  <c r="Y299" i="34" s="1"/>
  <c r="W299" i="34"/>
  <c r="AQ298" i="34"/>
  <c r="AR298" i="34" s="1"/>
  <c r="AP298" i="34"/>
  <c r="AO298" i="34"/>
  <c r="AN298" i="34"/>
  <c r="AM298" i="34"/>
  <c r="AL298" i="34"/>
  <c r="AJ298" i="34"/>
  <c r="AI298" i="34"/>
  <c r="AH298" i="34"/>
  <c r="AG298" i="34"/>
  <c r="AA298" i="34"/>
  <c r="X298" i="34"/>
  <c r="W298" i="34"/>
  <c r="AQ297" i="34"/>
  <c r="AR297" i="34" s="1"/>
  <c r="AP297" i="34"/>
  <c r="AO297" i="34"/>
  <c r="AN297" i="34"/>
  <c r="AM297" i="34"/>
  <c r="AL297" i="34"/>
  <c r="AJ297" i="34"/>
  <c r="AI297" i="34"/>
  <c r="AH297" i="34"/>
  <c r="AG297" i="34"/>
  <c r="AA297" i="34"/>
  <c r="X297" i="34"/>
  <c r="Z297" i="34" s="1"/>
  <c r="W297" i="34"/>
  <c r="AQ296" i="34"/>
  <c r="AP296" i="34"/>
  <c r="AO296" i="34"/>
  <c r="AN296" i="34"/>
  <c r="AM296" i="34"/>
  <c r="AL296" i="34"/>
  <c r="AJ296" i="34"/>
  <c r="AI296" i="34"/>
  <c r="AH296" i="34"/>
  <c r="AG296" i="34"/>
  <c r="AA296" i="34"/>
  <c r="X296" i="34"/>
  <c r="W296" i="34"/>
  <c r="AQ295" i="34"/>
  <c r="AT295" i="34" s="1"/>
  <c r="AP295" i="34"/>
  <c r="AO295" i="34"/>
  <c r="AN295" i="34"/>
  <c r="AM295" i="34"/>
  <c r="AL295" i="34"/>
  <c r="AJ295" i="34"/>
  <c r="AI295" i="34"/>
  <c r="AH295" i="34"/>
  <c r="AG295" i="34"/>
  <c r="AA295" i="34"/>
  <c r="X295" i="34"/>
  <c r="W295" i="34"/>
  <c r="AQ294" i="34"/>
  <c r="AU294" i="34" s="1"/>
  <c r="AP294" i="34"/>
  <c r="AO294" i="34"/>
  <c r="AN294" i="34"/>
  <c r="AM294" i="34"/>
  <c r="AL294" i="34"/>
  <c r="AJ294" i="34"/>
  <c r="AI294" i="34"/>
  <c r="AH294" i="34"/>
  <c r="AG294" i="34"/>
  <c r="AA294" i="34"/>
  <c r="X294" i="34"/>
  <c r="Z294" i="34" s="1"/>
  <c r="W294" i="34"/>
  <c r="AQ293" i="34"/>
  <c r="AU293" i="34" s="1"/>
  <c r="AP293" i="34"/>
  <c r="AO293" i="34"/>
  <c r="AN293" i="34"/>
  <c r="AM293" i="34"/>
  <c r="AL293" i="34"/>
  <c r="AJ293" i="34"/>
  <c r="AI293" i="34"/>
  <c r="AH293" i="34"/>
  <c r="AG293" i="34"/>
  <c r="AA293" i="34"/>
  <c r="X293" i="34"/>
  <c r="W293" i="34"/>
  <c r="AQ292" i="34"/>
  <c r="AR292" i="34" s="1"/>
  <c r="AP292" i="34"/>
  <c r="AO292" i="34"/>
  <c r="AN292" i="34"/>
  <c r="AM292" i="34"/>
  <c r="AL292" i="34"/>
  <c r="AJ292" i="34"/>
  <c r="AI292" i="34"/>
  <c r="AH292" i="34"/>
  <c r="AG292" i="34"/>
  <c r="AA292" i="34"/>
  <c r="X292" i="34"/>
  <c r="W292" i="34"/>
  <c r="AQ291" i="34"/>
  <c r="AT291" i="34" s="1"/>
  <c r="AP291" i="34"/>
  <c r="AO291" i="34"/>
  <c r="AN291" i="34"/>
  <c r="AM291" i="34"/>
  <c r="AL291" i="34"/>
  <c r="AJ291" i="34"/>
  <c r="AI291" i="34"/>
  <c r="AH291" i="34"/>
  <c r="AG291" i="34"/>
  <c r="AA291" i="34"/>
  <c r="X291" i="34"/>
  <c r="W291" i="34"/>
  <c r="AQ290" i="34"/>
  <c r="AT290" i="34" s="1"/>
  <c r="AP290" i="34"/>
  <c r="AO290" i="34"/>
  <c r="AN290" i="34"/>
  <c r="AM290" i="34"/>
  <c r="AL290" i="34"/>
  <c r="AJ290" i="34"/>
  <c r="AI290" i="34"/>
  <c r="AH290" i="34"/>
  <c r="AG290" i="34"/>
  <c r="AA290" i="34"/>
  <c r="X290" i="34"/>
  <c r="Y290" i="34" s="1"/>
  <c r="W290" i="34"/>
  <c r="AQ289" i="34"/>
  <c r="AU289" i="34" s="1"/>
  <c r="AP289" i="34"/>
  <c r="AO289" i="34"/>
  <c r="AN289" i="34"/>
  <c r="AM289" i="34"/>
  <c r="AL289" i="34"/>
  <c r="AJ289" i="34"/>
  <c r="AI289" i="34"/>
  <c r="AH289" i="34"/>
  <c r="AG289" i="34"/>
  <c r="AA289" i="34"/>
  <c r="X289" i="34"/>
  <c r="Y289" i="34" s="1"/>
  <c r="W289" i="34"/>
  <c r="V289" i="34"/>
  <c r="AQ288" i="34"/>
  <c r="AR288" i="34" s="1"/>
  <c r="AP288" i="34"/>
  <c r="AH288" i="34" s="1"/>
  <c r="AL288" i="34" s="1"/>
  <c r="O12" i="34" s="1"/>
  <c r="AO288" i="34"/>
  <c r="AN288" i="34"/>
  <c r="AG288" i="34" s="1"/>
  <c r="AA288" i="34"/>
  <c r="AQ286" i="34"/>
  <c r="AT286" i="34" s="1"/>
  <c r="AP286" i="34"/>
  <c r="AO286" i="34"/>
  <c r="AN286" i="34"/>
  <c r="AM286" i="34"/>
  <c r="AL286" i="34"/>
  <c r="AJ286" i="34"/>
  <c r="AI286" i="34"/>
  <c r="AH286" i="34"/>
  <c r="AG286" i="34"/>
  <c r="AA286" i="34"/>
  <c r="X286" i="34"/>
  <c r="W286" i="34"/>
  <c r="AQ285" i="34"/>
  <c r="AP285" i="34"/>
  <c r="AO285" i="34"/>
  <c r="AN285" i="34"/>
  <c r="AM285" i="34"/>
  <c r="AL285" i="34"/>
  <c r="AJ285" i="34"/>
  <c r="AI285" i="34"/>
  <c r="AH285" i="34"/>
  <c r="AG285" i="34"/>
  <c r="AA285" i="34"/>
  <c r="X285" i="34"/>
  <c r="Z285" i="34" s="1"/>
  <c r="W285" i="34"/>
  <c r="AQ284" i="34"/>
  <c r="AP284" i="34"/>
  <c r="AO284" i="34"/>
  <c r="AN284" i="34"/>
  <c r="AM284" i="34"/>
  <c r="AL284" i="34"/>
  <c r="AJ284" i="34"/>
  <c r="AI284" i="34"/>
  <c r="AH284" i="34"/>
  <c r="AG284" i="34"/>
  <c r="AA284" i="34"/>
  <c r="X284" i="34"/>
  <c r="Z284" i="34" s="1"/>
  <c r="W284" i="34"/>
  <c r="AQ283" i="34"/>
  <c r="AT283" i="34" s="1"/>
  <c r="AP283" i="34"/>
  <c r="AO283" i="34"/>
  <c r="AN283" i="34"/>
  <c r="AM283" i="34"/>
  <c r="AL283" i="34"/>
  <c r="AJ283" i="34"/>
  <c r="AI283" i="34"/>
  <c r="AH283" i="34"/>
  <c r="AG283" i="34"/>
  <c r="AA283" i="34"/>
  <c r="X283" i="34"/>
  <c r="Z283" i="34" s="1"/>
  <c r="W283" i="34"/>
  <c r="AQ282" i="34"/>
  <c r="AU282" i="34" s="1"/>
  <c r="AP282" i="34"/>
  <c r="AO282" i="34"/>
  <c r="AN282" i="34"/>
  <c r="AM282" i="34"/>
  <c r="AL282" i="34"/>
  <c r="AJ282" i="34"/>
  <c r="AI282" i="34"/>
  <c r="AH282" i="34"/>
  <c r="AG282" i="34"/>
  <c r="AA282" i="34"/>
  <c r="X282" i="34"/>
  <c r="Y282" i="34" s="1"/>
  <c r="W282" i="34"/>
  <c r="AQ281" i="34"/>
  <c r="AP281" i="34"/>
  <c r="AO281" i="34"/>
  <c r="AN281" i="34"/>
  <c r="AM281" i="34"/>
  <c r="AL281" i="34"/>
  <c r="AJ281" i="34"/>
  <c r="AI281" i="34"/>
  <c r="AH281" i="34"/>
  <c r="AG281" i="34"/>
  <c r="AA281" i="34"/>
  <c r="X281" i="34"/>
  <c r="Z281" i="34" s="1"/>
  <c r="W281" i="34"/>
  <c r="AQ280" i="34"/>
  <c r="AP280" i="34"/>
  <c r="AO280" i="34"/>
  <c r="AN280" i="34"/>
  <c r="AM280" i="34"/>
  <c r="AL280" i="34"/>
  <c r="AJ280" i="34"/>
  <c r="AI280" i="34"/>
  <c r="AH280" i="34"/>
  <c r="AG280" i="34"/>
  <c r="AA280" i="34"/>
  <c r="X280" i="34"/>
  <c r="W280" i="34"/>
  <c r="AQ279" i="34"/>
  <c r="AP279" i="34"/>
  <c r="AO279" i="34"/>
  <c r="AN279" i="34"/>
  <c r="AM279" i="34"/>
  <c r="AL279" i="34"/>
  <c r="AJ279" i="34"/>
  <c r="AI279" i="34"/>
  <c r="AH279" i="34"/>
  <c r="AG279" i="34"/>
  <c r="AA279" i="34"/>
  <c r="X279" i="34"/>
  <c r="W279" i="34"/>
  <c r="AQ278" i="34"/>
  <c r="AU278" i="34" s="1"/>
  <c r="AP278" i="34"/>
  <c r="AO278" i="34"/>
  <c r="AN278" i="34"/>
  <c r="AM278" i="34"/>
  <c r="AL278" i="34"/>
  <c r="AJ278" i="34"/>
  <c r="AI278" i="34"/>
  <c r="AH278" i="34"/>
  <c r="AG278" i="34"/>
  <c r="AA278" i="34"/>
  <c r="X278" i="34"/>
  <c r="W278" i="34"/>
  <c r="AQ277" i="34"/>
  <c r="AP277" i="34"/>
  <c r="AO277" i="34"/>
  <c r="AN277" i="34"/>
  <c r="AM277" i="34"/>
  <c r="AL277" i="34"/>
  <c r="AJ277" i="34"/>
  <c r="AI277" i="34"/>
  <c r="AH277" i="34"/>
  <c r="AG277" i="34"/>
  <c r="AA277" i="34"/>
  <c r="X277" i="34"/>
  <c r="Z277" i="34" s="1"/>
  <c r="W277" i="34"/>
  <c r="AQ276" i="34"/>
  <c r="AP276" i="34"/>
  <c r="AO276" i="34"/>
  <c r="AN276" i="34"/>
  <c r="AM276" i="34"/>
  <c r="AL276" i="34"/>
  <c r="AJ276" i="34"/>
  <c r="AI276" i="34"/>
  <c r="AH276" i="34"/>
  <c r="AG276" i="34"/>
  <c r="AA276" i="34"/>
  <c r="X276" i="34"/>
  <c r="W276" i="34"/>
  <c r="AQ275" i="34"/>
  <c r="AU275" i="34" s="1"/>
  <c r="AP275" i="34"/>
  <c r="AO275" i="34"/>
  <c r="AN275" i="34"/>
  <c r="AM275" i="34"/>
  <c r="AL275" i="34"/>
  <c r="AJ275" i="34"/>
  <c r="AI275" i="34"/>
  <c r="AH275" i="34"/>
  <c r="AG275" i="34"/>
  <c r="AA275" i="34"/>
  <c r="X275" i="34"/>
  <c r="Y275" i="34" s="1"/>
  <c r="W275" i="34"/>
  <c r="AQ274" i="34"/>
  <c r="AU274" i="34" s="1"/>
  <c r="AP274" i="34"/>
  <c r="AO274" i="34"/>
  <c r="AN274" i="34"/>
  <c r="AM274" i="34"/>
  <c r="AL274" i="34"/>
  <c r="AJ274" i="34"/>
  <c r="AI274" i="34"/>
  <c r="AH274" i="34"/>
  <c r="AG274" i="34"/>
  <c r="AA274" i="34"/>
  <c r="X274" i="34"/>
  <c r="Z274" i="34" s="1"/>
  <c r="W274" i="34"/>
  <c r="AQ273" i="34"/>
  <c r="AP273" i="34"/>
  <c r="AO273" i="34"/>
  <c r="AN273" i="34"/>
  <c r="AM273" i="34"/>
  <c r="AL273" i="34"/>
  <c r="AJ273" i="34"/>
  <c r="AI273" i="34"/>
  <c r="AH273" i="34"/>
  <c r="AG273" i="34"/>
  <c r="AA273" i="34"/>
  <c r="X273" i="34"/>
  <c r="W273" i="34"/>
  <c r="AQ272" i="34"/>
  <c r="AP272" i="34"/>
  <c r="AO272" i="34"/>
  <c r="AN272" i="34"/>
  <c r="AM272" i="34"/>
  <c r="AL272" i="34"/>
  <c r="AJ272" i="34"/>
  <c r="AI272" i="34"/>
  <c r="AH272" i="34"/>
  <c r="AG272" i="34"/>
  <c r="AA272" i="34"/>
  <c r="X272" i="34"/>
  <c r="Y272" i="34" s="1"/>
  <c r="W272" i="34"/>
  <c r="AQ271" i="34"/>
  <c r="AP271" i="34"/>
  <c r="AO271" i="34"/>
  <c r="AN271" i="34"/>
  <c r="AM271" i="34"/>
  <c r="AL271" i="34"/>
  <c r="AJ271" i="34"/>
  <c r="AI271" i="34"/>
  <c r="AH271" i="34"/>
  <c r="AG271" i="34"/>
  <c r="AA271" i="34"/>
  <c r="X271" i="34"/>
  <c r="W271" i="34"/>
  <c r="AQ270" i="34"/>
  <c r="AT270" i="34" s="1"/>
  <c r="AP270" i="34"/>
  <c r="AO270" i="34"/>
  <c r="AN270" i="34"/>
  <c r="AM270" i="34"/>
  <c r="AL270" i="34"/>
  <c r="AJ270" i="34"/>
  <c r="AI270" i="34"/>
  <c r="AH270" i="34"/>
  <c r="AG270" i="34"/>
  <c r="AA270" i="34"/>
  <c r="X270" i="34"/>
  <c r="Z270" i="34" s="1"/>
  <c r="W270" i="34"/>
  <c r="AQ269" i="34"/>
  <c r="AP269" i="34"/>
  <c r="AO269" i="34"/>
  <c r="AN269" i="34"/>
  <c r="AM269" i="34"/>
  <c r="AL269" i="34"/>
  <c r="AJ269" i="34"/>
  <c r="AI269" i="34"/>
  <c r="AH269" i="34"/>
  <c r="AG269" i="34"/>
  <c r="AA269" i="34"/>
  <c r="X269" i="34"/>
  <c r="W269" i="34"/>
  <c r="AQ268" i="34"/>
  <c r="AU268" i="34" s="1"/>
  <c r="AP268" i="34"/>
  <c r="AO268" i="34"/>
  <c r="AN268" i="34"/>
  <c r="AM268" i="34"/>
  <c r="AL268" i="34"/>
  <c r="AJ268" i="34"/>
  <c r="AI268" i="34"/>
  <c r="AH268" i="34"/>
  <c r="AG268" i="34"/>
  <c r="AA268" i="34"/>
  <c r="X268" i="34"/>
  <c r="Z268" i="34" s="1"/>
  <c r="W268" i="34"/>
  <c r="AQ267" i="34"/>
  <c r="AP267" i="34"/>
  <c r="AO267" i="34"/>
  <c r="AN267" i="34"/>
  <c r="AM267" i="34"/>
  <c r="AL267" i="34"/>
  <c r="AJ267" i="34"/>
  <c r="AI267" i="34"/>
  <c r="AH267" i="34"/>
  <c r="AG267" i="34"/>
  <c r="AA267" i="34"/>
  <c r="X267" i="34"/>
  <c r="Z267" i="34" s="1"/>
  <c r="W267" i="34"/>
  <c r="AQ266" i="34"/>
  <c r="AU266" i="34" s="1"/>
  <c r="AP266" i="34"/>
  <c r="AO266" i="34"/>
  <c r="AN266" i="34"/>
  <c r="AM266" i="34"/>
  <c r="AL266" i="34"/>
  <c r="AJ266" i="34"/>
  <c r="AI266" i="34"/>
  <c r="AH266" i="34"/>
  <c r="AG266" i="34"/>
  <c r="AA266" i="34"/>
  <c r="X266" i="34"/>
  <c r="Z266" i="34" s="1"/>
  <c r="W266" i="34"/>
  <c r="AQ265" i="34"/>
  <c r="AP265" i="34"/>
  <c r="AO265" i="34"/>
  <c r="AN265" i="34"/>
  <c r="AM265" i="34"/>
  <c r="AL265" i="34"/>
  <c r="AJ265" i="34"/>
  <c r="AI265" i="34"/>
  <c r="AH265" i="34"/>
  <c r="AG265" i="34"/>
  <c r="AA265" i="34"/>
  <c r="X265" i="34"/>
  <c r="Z265" i="34" s="1"/>
  <c r="W265" i="34"/>
  <c r="AQ264" i="34"/>
  <c r="AS264" i="34" s="1"/>
  <c r="AP264" i="34"/>
  <c r="AO264" i="34"/>
  <c r="AN264" i="34"/>
  <c r="AM264" i="34"/>
  <c r="AL264" i="34"/>
  <c r="AJ264" i="34"/>
  <c r="AI264" i="34"/>
  <c r="AH264" i="34"/>
  <c r="AG264" i="34"/>
  <c r="AA264" i="34"/>
  <c r="X264" i="34"/>
  <c r="W264" i="34"/>
  <c r="AQ263" i="34"/>
  <c r="AP263" i="34"/>
  <c r="AO263" i="34"/>
  <c r="AN263" i="34"/>
  <c r="AM263" i="34"/>
  <c r="AL263" i="34"/>
  <c r="AJ263" i="34"/>
  <c r="AI263" i="34"/>
  <c r="AH263" i="34"/>
  <c r="AG263" i="34"/>
  <c r="AA263" i="34"/>
  <c r="X263" i="34"/>
  <c r="Z263" i="34" s="1"/>
  <c r="W263" i="34"/>
  <c r="AQ262" i="34"/>
  <c r="AT262" i="34" s="1"/>
  <c r="AP262" i="34"/>
  <c r="AO262" i="34"/>
  <c r="AN262" i="34"/>
  <c r="AM262" i="34"/>
  <c r="AL262" i="34"/>
  <c r="AJ262" i="34"/>
  <c r="AI262" i="34"/>
  <c r="AH262" i="34"/>
  <c r="AG262" i="34"/>
  <c r="AA262" i="34"/>
  <c r="X262" i="34"/>
  <c r="W262" i="34"/>
  <c r="AQ261" i="34"/>
  <c r="AR261" i="34" s="1"/>
  <c r="AP261" i="34"/>
  <c r="AO261" i="34"/>
  <c r="AN261" i="34"/>
  <c r="AM261" i="34"/>
  <c r="AL261" i="34"/>
  <c r="AJ261" i="34"/>
  <c r="AI261" i="34"/>
  <c r="AH261" i="34"/>
  <c r="AG261" i="34"/>
  <c r="AA261" i="34"/>
  <c r="X261" i="34"/>
  <c r="W261" i="34"/>
  <c r="AQ260" i="34"/>
  <c r="AR260" i="34" s="1"/>
  <c r="AP260" i="34"/>
  <c r="AO260" i="34"/>
  <c r="AN260" i="34"/>
  <c r="AM260" i="34"/>
  <c r="AL260" i="34"/>
  <c r="AJ260" i="34"/>
  <c r="AI260" i="34"/>
  <c r="AH260" i="34"/>
  <c r="AG260" i="34"/>
  <c r="AA260" i="34"/>
  <c r="X260" i="34"/>
  <c r="Y260" i="34" s="1"/>
  <c r="W260" i="34"/>
  <c r="AQ259" i="34"/>
  <c r="AT259" i="34" s="1"/>
  <c r="AP259" i="34"/>
  <c r="AO259" i="34"/>
  <c r="AN259" i="34"/>
  <c r="AM259" i="34"/>
  <c r="AL259" i="34"/>
  <c r="AJ259" i="34"/>
  <c r="AI259" i="34"/>
  <c r="AH259" i="34"/>
  <c r="AG259" i="34"/>
  <c r="AA259" i="34"/>
  <c r="X259" i="34"/>
  <c r="Z259" i="34" s="1"/>
  <c r="W259" i="34"/>
  <c r="AQ258" i="34"/>
  <c r="AR258" i="34" s="1"/>
  <c r="AP258" i="34"/>
  <c r="AO258" i="34"/>
  <c r="AN258" i="34"/>
  <c r="AM258" i="34"/>
  <c r="AL258" i="34"/>
  <c r="AJ258" i="34"/>
  <c r="AI258" i="34"/>
  <c r="AH258" i="34"/>
  <c r="AG258" i="34"/>
  <c r="AA258" i="34"/>
  <c r="X258" i="34"/>
  <c r="Z258" i="34" s="1"/>
  <c r="W258" i="34"/>
  <c r="AQ257" i="34"/>
  <c r="AS257" i="34" s="1"/>
  <c r="AP257" i="34"/>
  <c r="AO257" i="34"/>
  <c r="AN257" i="34"/>
  <c r="AM257" i="34"/>
  <c r="AL257" i="34"/>
  <c r="AJ257" i="34"/>
  <c r="AI257" i="34"/>
  <c r="AH257" i="34"/>
  <c r="AG257" i="34"/>
  <c r="AA257" i="34"/>
  <c r="X257" i="34"/>
  <c r="Z257" i="34" s="1"/>
  <c r="W257" i="34"/>
  <c r="AQ256" i="34"/>
  <c r="AS256" i="34" s="1"/>
  <c r="AP256" i="34"/>
  <c r="AO256" i="34"/>
  <c r="AN256" i="34"/>
  <c r="AM256" i="34"/>
  <c r="AL256" i="34"/>
  <c r="AJ256" i="34"/>
  <c r="AI256" i="34"/>
  <c r="AH256" i="34"/>
  <c r="AG256" i="34"/>
  <c r="AA256" i="34"/>
  <c r="X256" i="34"/>
  <c r="Y256" i="34" s="1"/>
  <c r="W256" i="34"/>
  <c r="AQ255" i="34"/>
  <c r="AU255" i="34" s="1"/>
  <c r="AP255" i="34"/>
  <c r="AO255" i="34"/>
  <c r="AN255" i="34"/>
  <c r="AM255" i="34"/>
  <c r="AL255" i="34"/>
  <c r="AJ255" i="34"/>
  <c r="AI255" i="34"/>
  <c r="AH255" i="34"/>
  <c r="AG255" i="34"/>
  <c r="AA255" i="34"/>
  <c r="X255" i="34"/>
  <c r="Y255" i="34" s="1"/>
  <c r="W255" i="34"/>
  <c r="AQ254" i="34"/>
  <c r="AT254" i="34" s="1"/>
  <c r="AP254" i="34"/>
  <c r="AO254" i="34"/>
  <c r="AN254" i="34"/>
  <c r="AM254" i="34"/>
  <c r="AL254" i="34"/>
  <c r="AJ254" i="34"/>
  <c r="AI254" i="34"/>
  <c r="AH254" i="34"/>
  <c r="AG254" i="34"/>
  <c r="AA254" i="34"/>
  <c r="X254" i="34"/>
  <c r="Y254" i="34" s="1"/>
  <c r="W254" i="34"/>
  <c r="AQ253" i="34"/>
  <c r="AU253" i="34" s="1"/>
  <c r="AP253" i="34"/>
  <c r="AO253" i="34"/>
  <c r="AN253" i="34"/>
  <c r="AM253" i="34"/>
  <c r="AL253" i="34"/>
  <c r="AJ253" i="34"/>
  <c r="AI253" i="34"/>
  <c r="AH253" i="34"/>
  <c r="AG253" i="34"/>
  <c r="AA253" i="34"/>
  <c r="X253" i="34"/>
  <c r="Z253" i="34" s="1"/>
  <c r="W253" i="34"/>
  <c r="V253" i="34"/>
  <c r="AQ252" i="34"/>
  <c r="AP252" i="34"/>
  <c r="AH252" i="34" s="1"/>
  <c r="AO252" i="34"/>
  <c r="AN252" i="34"/>
  <c r="AG252" i="34" s="1"/>
  <c r="AA252" i="34"/>
  <c r="AQ250" i="34"/>
  <c r="AR250" i="34" s="1"/>
  <c r="AP250" i="34"/>
  <c r="AO250" i="34"/>
  <c r="AN250" i="34"/>
  <c r="AG250" i="34" s="1"/>
  <c r="AH250" i="34"/>
  <c r="AI250" i="34" s="1"/>
  <c r="AA250" i="34"/>
  <c r="X250" i="34"/>
  <c r="W250" i="34"/>
  <c r="AQ249" i="34"/>
  <c r="AT249" i="34" s="1"/>
  <c r="AP249" i="34"/>
  <c r="AO249" i="34"/>
  <c r="AN249" i="34"/>
  <c r="AM249" i="34"/>
  <c r="AL249" i="34"/>
  <c r="AJ249" i="34"/>
  <c r="AI249" i="34"/>
  <c r="AH249" i="34"/>
  <c r="AG249" i="34"/>
  <c r="AA249" i="34"/>
  <c r="X249" i="34"/>
  <c r="Z249" i="34" s="1"/>
  <c r="W249" i="34"/>
  <c r="AQ248" i="34"/>
  <c r="AP248" i="34"/>
  <c r="AO248" i="34"/>
  <c r="AN248" i="34"/>
  <c r="AM248" i="34"/>
  <c r="AL248" i="34"/>
  <c r="AJ248" i="34"/>
  <c r="AI248" i="34"/>
  <c r="AH248" i="34"/>
  <c r="AG248" i="34"/>
  <c r="AA248" i="34"/>
  <c r="X248" i="34"/>
  <c r="Y248" i="34" s="1"/>
  <c r="W248" i="34"/>
  <c r="AQ247" i="34"/>
  <c r="AR247" i="34" s="1"/>
  <c r="AP247" i="34"/>
  <c r="AO247" i="34"/>
  <c r="AN247" i="34"/>
  <c r="AM247" i="34"/>
  <c r="AL247" i="34"/>
  <c r="AJ247" i="34"/>
  <c r="AI247" i="34"/>
  <c r="AH247" i="34"/>
  <c r="AG247" i="34"/>
  <c r="AA247" i="34"/>
  <c r="X247" i="34"/>
  <c r="Z247" i="34" s="1"/>
  <c r="W247" i="34"/>
  <c r="AQ246" i="34"/>
  <c r="AR246" i="34" s="1"/>
  <c r="AP246" i="34"/>
  <c r="AO246" i="34"/>
  <c r="AN246" i="34"/>
  <c r="AM246" i="34"/>
  <c r="AL246" i="34"/>
  <c r="AJ246" i="34"/>
  <c r="AI246" i="34"/>
  <c r="AH246" i="34"/>
  <c r="AG246" i="34"/>
  <c r="AA246" i="34"/>
  <c r="X246" i="34"/>
  <c r="Z246" i="34" s="1"/>
  <c r="W246" i="34"/>
  <c r="AQ245" i="34"/>
  <c r="AP245" i="34"/>
  <c r="AO245" i="34"/>
  <c r="AN245" i="34"/>
  <c r="AM245" i="34"/>
  <c r="AL245" i="34"/>
  <c r="AJ245" i="34"/>
  <c r="AI245" i="34"/>
  <c r="AH245" i="34"/>
  <c r="AG245" i="34"/>
  <c r="AA245" i="34"/>
  <c r="X245" i="34"/>
  <c r="Z245" i="34" s="1"/>
  <c r="W245" i="34"/>
  <c r="AQ244" i="34"/>
  <c r="AS244" i="34" s="1"/>
  <c r="AP244" i="34"/>
  <c r="AO244" i="34"/>
  <c r="AN244" i="34"/>
  <c r="AM244" i="34"/>
  <c r="AL244" i="34"/>
  <c r="AJ244" i="34"/>
  <c r="AI244" i="34"/>
  <c r="AH244" i="34"/>
  <c r="AG244" i="34"/>
  <c r="AA244" i="34"/>
  <c r="X244" i="34"/>
  <c r="W244" i="34"/>
  <c r="AQ243" i="34"/>
  <c r="AP243" i="34"/>
  <c r="AO243" i="34"/>
  <c r="AN243" i="34"/>
  <c r="AM243" i="34"/>
  <c r="AL243" i="34"/>
  <c r="AJ243" i="34"/>
  <c r="AI243" i="34"/>
  <c r="AH243" i="34"/>
  <c r="AG243" i="34"/>
  <c r="AA243" i="34"/>
  <c r="X243" i="34"/>
  <c r="Z243" i="34" s="1"/>
  <c r="W243" i="34"/>
  <c r="AQ242" i="34"/>
  <c r="AP242" i="34"/>
  <c r="AO242" i="34"/>
  <c r="AN242" i="34"/>
  <c r="AM242" i="34"/>
  <c r="AL242" i="34"/>
  <c r="AJ242" i="34"/>
  <c r="AI242" i="34"/>
  <c r="AH242" i="34"/>
  <c r="AG242" i="34"/>
  <c r="AA242" i="34"/>
  <c r="X242" i="34"/>
  <c r="Z242" i="34" s="1"/>
  <c r="W242" i="34"/>
  <c r="AQ241" i="34"/>
  <c r="AS241" i="34" s="1"/>
  <c r="AP241" i="34"/>
  <c r="AO241" i="34"/>
  <c r="AN241" i="34"/>
  <c r="AM241" i="34"/>
  <c r="AL241" i="34"/>
  <c r="AJ241" i="34"/>
  <c r="AI241" i="34"/>
  <c r="AH241" i="34"/>
  <c r="AG241" i="34"/>
  <c r="AA241" i="34"/>
  <c r="X241" i="34"/>
  <c r="Z241" i="34" s="1"/>
  <c r="W241" i="34"/>
  <c r="AQ240" i="34"/>
  <c r="AR240" i="34" s="1"/>
  <c r="AP240" i="34"/>
  <c r="AO240" i="34"/>
  <c r="AN240" i="34"/>
  <c r="AM240" i="34"/>
  <c r="AL240" i="34"/>
  <c r="AJ240" i="34"/>
  <c r="AI240" i="34"/>
  <c r="AH240" i="34"/>
  <c r="AG240" i="34"/>
  <c r="AA240" i="34"/>
  <c r="X240" i="34"/>
  <c r="Z240" i="34" s="1"/>
  <c r="W240" i="34"/>
  <c r="AQ239" i="34"/>
  <c r="AS239" i="34" s="1"/>
  <c r="AP239" i="34"/>
  <c r="AO239" i="34"/>
  <c r="AN239" i="34"/>
  <c r="AM239" i="34"/>
  <c r="AL239" i="34"/>
  <c r="AJ239" i="34"/>
  <c r="AI239" i="34"/>
  <c r="AH239" i="34"/>
  <c r="AG239" i="34"/>
  <c r="AA239" i="34"/>
  <c r="X239" i="34"/>
  <c r="W239" i="34"/>
  <c r="AQ238" i="34"/>
  <c r="AS238" i="34" s="1"/>
  <c r="AP238" i="34"/>
  <c r="AO238" i="34"/>
  <c r="AN238" i="34"/>
  <c r="AM238" i="34"/>
  <c r="AL238" i="34"/>
  <c r="AJ238" i="34"/>
  <c r="AI238" i="34"/>
  <c r="AH238" i="34"/>
  <c r="AG238" i="34"/>
  <c r="AA238" i="34"/>
  <c r="X238" i="34"/>
  <c r="Z238" i="34" s="1"/>
  <c r="W238" i="34"/>
  <c r="AQ237" i="34"/>
  <c r="AP237" i="34"/>
  <c r="AO237" i="34"/>
  <c r="AN237" i="34"/>
  <c r="AM237" i="34"/>
  <c r="AL237" i="34"/>
  <c r="AJ237" i="34"/>
  <c r="AI237" i="34"/>
  <c r="AH237" i="34"/>
  <c r="AG237" i="34"/>
  <c r="AA237" i="34"/>
  <c r="X237" i="34"/>
  <c r="Z237" i="34" s="1"/>
  <c r="W237" i="34"/>
  <c r="AQ236" i="34"/>
  <c r="AP236" i="34"/>
  <c r="AO236" i="34"/>
  <c r="AN236" i="34"/>
  <c r="AM236" i="34"/>
  <c r="AL236" i="34"/>
  <c r="AJ236" i="34"/>
  <c r="AI236" i="34"/>
  <c r="AH236" i="34"/>
  <c r="AG236" i="34"/>
  <c r="AA236" i="34"/>
  <c r="X236" i="34"/>
  <c r="Z236" i="34" s="1"/>
  <c r="W236" i="34"/>
  <c r="AQ235" i="34"/>
  <c r="AP235" i="34"/>
  <c r="AO235" i="34"/>
  <c r="AN235" i="34"/>
  <c r="AM235" i="34"/>
  <c r="AL235" i="34"/>
  <c r="AJ235" i="34"/>
  <c r="AI235" i="34"/>
  <c r="AH235" i="34"/>
  <c r="AG235" i="34"/>
  <c r="AA235" i="34"/>
  <c r="X235" i="34"/>
  <c r="Z235" i="34" s="1"/>
  <c r="W235" i="34"/>
  <c r="AQ234" i="34"/>
  <c r="AT234" i="34" s="1"/>
  <c r="AP234" i="34"/>
  <c r="AO234" i="34"/>
  <c r="AN234" i="34"/>
  <c r="AM234" i="34"/>
  <c r="AL234" i="34"/>
  <c r="AJ234" i="34"/>
  <c r="AI234" i="34"/>
  <c r="AH234" i="34"/>
  <c r="AG234" i="34"/>
  <c r="AA234" i="34"/>
  <c r="X234" i="34"/>
  <c r="W234" i="34"/>
  <c r="AQ233" i="34"/>
  <c r="AR233" i="34" s="1"/>
  <c r="AP233" i="34"/>
  <c r="AO233" i="34"/>
  <c r="AN233" i="34"/>
  <c r="AM233" i="34"/>
  <c r="AL233" i="34"/>
  <c r="AJ233" i="34"/>
  <c r="AI233" i="34"/>
  <c r="AH233" i="34"/>
  <c r="AG233" i="34"/>
  <c r="AA233" i="34"/>
  <c r="X233" i="34"/>
  <c r="Z233" i="34" s="1"/>
  <c r="W233" i="34"/>
  <c r="AQ232" i="34"/>
  <c r="AP232" i="34"/>
  <c r="AO232" i="34"/>
  <c r="AN232" i="34"/>
  <c r="AM232" i="34"/>
  <c r="AL232" i="34"/>
  <c r="AJ232" i="34"/>
  <c r="AI232" i="34"/>
  <c r="AH232" i="34"/>
  <c r="AG232" i="34"/>
  <c r="AA232" i="34"/>
  <c r="X232" i="34"/>
  <c r="Z232" i="34" s="1"/>
  <c r="W232" i="34"/>
  <c r="AQ231" i="34"/>
  <c r="AR231" i="34" s="1"/>
  <c r="AP231" i="34"/>
  <c r="AO231" i="34"/>
  <c r="AN231" i="34"/>
  <c r="AM231" i="34"/>
  <c r="AL231" i="34"/>
  <c r="AJ231" i="34"/>
  <c r="AI231" i="34"/>
  <c r="AH231" i="34"/>
  <c r="AG231" i="34"/>
  <c r="AA231" i="34"/>
  <c r="X231" i="34"/>
  <c r="Z231" i="34" s="1"/>
  <c r="W231" i="34"/>
  <c r="AQ230" i="34"/>
  <c r="AU230" i="34" s="1"/>
  <c r="AP230" i="34"/>
  <c r="AO230" i="34"/>
  <c r="AN230" i="34"/>
  <c r="AM230" i="34"/>
  <c r="AL230" i="34"/>
  <c r="AJ230" i="34"/>
  <c r="AI230" i="34"/>
  <c r="AH230" i="34"/>
  <c r="AG230" i="34"/>
  <c r="AA230" i="34"/>
  <c r="X230" i="34"/>
  <c r="Y230" i="34" s="1"/>
  <c r="W230" i="34"/>
  <c r="AQ229" i="34"/>
  <c r="AP229" i="34"/>
  <c r="AO229" i="34"/>
  <c r="AN229" i="34"/>
  <c r="AM229" i="34"/>
  <c r="AL229" i="34"/>
  <c r="AJ229" i="34"/>
  <c r="AI229" i="34"/>
  <c r="AH229" i="34"/>
  <c r="AG229" i="34"/>
  <c r="AA229" i="34"/>
  <c r="X229" i="34"/>
  <c r="Z229" i="34" s="1"/>
  <c r="W229" i="34"/>
  <c r="AQ228" i="34"/>
  <c r="AP228" i="34"/>
  <c r="AO228" i="34"/>
  <c r="AN228" i="34"/>
  <c r="AM228" i="34"/>
  <c r="AL228" i="34"/>
  <c r="AJ228" i="34"/>
  <c r="AI228" i="34"/>
  <c r="AH228" i="34"/>
  <c r="AG228" i="34"/>
  <c r="AA228" i="34"/>
  <c r="X228" i="34"/>
  <c r="Z228" i="34" s="1"/>
  <c r="W228" i="34"/>
  <c r="AQ227" i="34"/>
  <c r="AU227" i="34" s="1"/>
  <c r="AP227" i="34"/>
  <c r="AO227" i="34"/>
  <c r="AN227" i="34"/>
  <c r="AM227" i="34"/>
  <c r="AL227" i="34"/>
  <c r="AJ227" i="34"/>
  <c r="AI227" i="34"/>
  <c r="AH227" i="34"/>
  <c r="AG227" i="34"/>
  <c r="AA227" i="34"/>
  <c r="X227" i="34"/>
  <c r="Z227" i="34" s="1"/>
  <c r="W227" i="34"/>
  <c r="AQ226" i="34"/>
  <c r="AR226" i="34" s="1"/>
  <c r="AP226" i="34"/>
  <c r="AO226" i="34"/>
  <c r="AN226" i="34"/>
  <c r="AM226" i="34"/>
  <c r="AL226" i="34"/>
  <c r="AJ226" i="34"/>
  <c r="AI226" i="34"/>
  <c r="AH226" i="34"/>
  <c r="AG226" i="34"/>
  <c r="AA226" i="34"/>
  <c r="X226" i="34"/>
  <c r="Z226" i="34" s="1"/>
  <c r="W226" i="34"/>
  <c r="AQ225" i="34"/>
  <c r="AP225" i="34"/>
  <c r="AO225" i="34"/>
  <c r="AN225" i="34"/>
  <c r="AM225" i="34"/>
  <c r="AL225" i="34"/>
  <c r="AJ225" i="34"/>
  <c r="AI225" i="34"/>
  <c r="AH225" i="34"/>
  <c r="AG225" i="34"/>
  <c r="AA225" i="34"/>
  <c r="X225" i="34"/>
  <c r="Z225" i="34" s="1"/>
  <c r="W225" i="34"/>
  <c r="AQ224" i="34"/>
  <c r="AU224" i="34" s="1"/>
  <c r="AP224" i="34"/>
  <c r="AO224" i="34"/>
  <c r="AN224" i="34"/>
  <c r="AM224" i="34"/>
  <c r="AL224" i="34"/>
  <c r="AJ224" i="34"/>
  <c r="AI224" i="34"/>
  <c r="AH224" i="34"/>
  <c r="AG224" i="34"/>
  <c r="AA224" i="34"/>
  <c r="X224" i="34"/>
  <c r="Z224" i="34" s="1"/>
  <c r="W224" i="34"/>
  <c r="AQ223" i="34"/>
  <c r="AU223" i="34" s="1"/>
  <c r="AP223" i="34"/>
  <c r="AO223" i="34"/>
  <c r="AN223" i="34"/>
  <c r="AM223" i="34"/>
  <c r="AL223" i="34"/>
  <c r="AJ223" i="34"/>
  <c r="AI223" i="34"/>
  <c r="AH223" i="34"/>
  <c r="AG223" i="34"/>
  <c r="AA223" i="34"/>
  <c r="X223" i="34"/>
  <c r="Y223" i="34" s="1"/>
  <c r="W223" i="34"/>
  <c r="AQ222" i="34"/>
  <c r="AP222" i="34"/>
  <c r="AO222" i="34"/>
  <c r="AN222" i="34"/>
  <c r="AG222" i="34" s="1"/>
  <c r="AH222" i="34"/>
  <c r="AA222" i="34"/>
  <c r="X222" i="34"/>
  <c r="Y222" i="34" s="1"/>
  <c r="W222" i="34"/>
  <c r="AQ221" i="34"/>
  <c r="AS221" i="34" s="1"/>
  <c r="AP221" i="34"/>
  <c r="AO221" i="34"/>
  <c r="AN221" i="34"/>
  <c r="AG221" i="34" s="1"/>
  <c r="AH221" i="34"/>
  <c r="AI221" i="34" s="1"/>
  <c r="AA221" i="34"/>
  <c r="X221" i="34"/>
  <c r="Y221" i="34" s="1"/>
  <c r="W221" i="34"/>
  <c r="AQ220" i="34"/>
  <c r="AP220" i="34"/>
  <c r="AO220" i="34"/>
  <c r="AN220" i="34"/>
  <c r="AG220" i="34" s="1"/>
  <c r="AH220" i="34"/>
  <c r="AJ220" i="34" s="1"/>
  <c r="AA220" i="34"/>
  <c r="X220" i="34"/>
  <c r="Z220" i="34" s="1"/>
  <c r="W220" i="34"/>
  <c r="AQ219" i="34"/>
  <c r="AR219" i="34" s="1"/>
  <c r="AP219" i="34"/>
  <c r="AO219" i="34"/>
  <c r="AN219" i="34"/>
  <c r="AG219" i="34" s="1"/>
  <c r="AH219" i="34"/>
  <c r="AL219" i="34" s="1"/>
  <c r="AA219" i="34"/>
  <c r="X219" i="34"/>
  <c r="Z219" i="34" s="1"/>
  <c r="W219" i="34"/>
  <c r="AQ218" i="34"/>
  <c r="AU218" i="34" s="1"/>
  <c r="AP218" i="34"/>
  <c r="AO218" i="34"/>
  <c r="AN218" i="34"/>
  <c r="AG218" i="34" s="1"/>
  <c r="AH218" i="34"/>
  <c r="AJ218" i="34" s="1"/>
  <c r="AA218" i="34"/>
  <c r="X218" i="34"/>
  <c r="Z218" i="34" s="1"/>
  <c r="W218" i="34"/>
  <c r="AQ217" i="34"/>
  <c r="AP217" i="34"/>
  <c r="AO217" i="34"/>
  <c r="AN217" i="34"/>
  <c r="AG217" i="34" s="1"/>
  <c r="AH217" i="34"/>
  <c r="AJ217" i="34" s="1"/>
  <c r="AA217" i="34"/>
  <c r="X217" i="34"/>
  <c r="W217" i="34"/>
  <c r="V217" i="34"/>
  <c r="AQ216" i="34"/>
  <c r="AP216" i="34"/>
  <c r="AO216" i="34"/>
  <c r="AN216" i="34"/>
  <c r="AG216" i="34" s="1"/>
  <c r="AH216" i="34"/>
  <c r="AA216" i="34"/>
  <c r="AQ214" i="34"/>
  <c r="AS214" i="34" s="1"/>
  <c r="AP214" i="34"/>
  <c r="AO214" i="34"/>
  <c r="AN214" i="34"/>
  <c r="AG214" i="34" s="1"/>
  <c r="AH214" i="34"/>
  <c r="AL214" i="34" s="1"/>
  <c r="AA214" i="34"/>
  <c r="X214" i="34"/>
  <c r="Z214" i="34" s="1"/>
  <c r="W214" i="34"/>
  <c r="AQ213" i="34"/>
  <c r="AP213" i="34"/>
  <c r="AO213" i="34"/>
  <c r="AN213" i="34"/>
  <c r="AM213" i="34"/>
  <c r="AL213" i="34"/>
  <c r="AJ213" i="34"/>
  <c r="AI213" i="34"/>
  <c r="AH213" i="34"/>
  <c r="AG213" i="34"/>
  <c r="AA213" i="34"/>
  <c r="X213" i="34"/>
  <c r="Z213" i="34" s="1"/>
  <c r="W213" i="34"/>
  <c r="AQ212" i="34"/>
  <c r="AR212" i="34" s="1"/>
  <c r="AP212" i="34"/>
  <c r="AO212" i="34"/>
  <c r="AN212" i="34"/>
  <c r="AM212" i="34"/>
  <c r="AL212" i="34"/>
  <c r="AJ212" i="34"/>
  <c r="AI212" i="34"/>
  <c r="AH212" i="34"/>
  <c r="AG212" i="34"/>
  <c r="AA212" i="34"/>
  <c r="X212" i="34"/>
  <c r="W212" i="34"/>
  <c r="AQ211" i="34"/>
  <c r="AU211" i="34" s="1"/>
  <c r="AP211" i="34"/>
  <c r="AO211" i="34"/>
  <c r="AN211" i="34"/>
  <c r="AM211" i="34"/>
  <c r="AL211" i="34"/>
  <c r="AJ211" i="34"/>
  <c r="AI211" i="34"/>
  <c r="AH211" i="34"/>
  <c r="AG211" i="34"/>
  <c r="AA211" i="34"/>
  <c r="X211" i="34"/>
  <c r="Z211" i="34" s="1"/>
  <c r="W211" i="34"/>
  <c r="AQ210" i="34"/>
  <c r="AT210" i="34" s="1"/>
  <c r="AP210" i="34"/>
  <c r="AO210" i="34"/>
  <c r="AN210" i="34"/>
  <c r="AM210" i="34"/>
  <c r="AL210" i="34"/>
  <c r="AJ210" i="34"/>
  <c r="AI210" i="34"/>
  <c r="AH210" i="34"/>
  <c r="AG210" i="34"/>
  <c r="AA210" i="34"/>
  <c r="X210" i="34"/>
  <c r="W210" i="34"/>
  <c r="AQ209" i="34"/>
  <c r="AT209" i="34" s="1"/>
  <c r="AP209" i="34"/>
  <c r="AO209" i="34"/>
  <c r="AN209" i="34"/>
  <c r="AM209" i="34"/>
  <c r="AL209" i="34"/>
  <c r="AJ209" i="34"/>
  <c r="AI209" i="34"/>
  <c r="AH209" i="34"/>
  <c r="AG209" i="34"/>
  <c r="AA209" i="34"/>
  <c r="X209" i="34"/>
  <c r="Z209" i="34" s="1"/>
  <c r="W209" i="34"/>
  <c r="AQ208" i="34"/>
  <c r="AS208" i="34" s="1"/>
  <c r="AP208" i="34"/>
  <c r="AO208" i="34"/>
  <c r="AN208" i="34"/>
  <c r="AM208" i="34"/>
  <c r="AL208" i="34"/>
  <c r="AJ208" i="34"/>
  <c r="AI208" i="34"/>
  <c r="AH208" i="34"/>
  <c r="AG208" i="34"/>
  <c r="AA208" i="34"/>
  <c r="X208" i="34"/>
  <c r="Y208" i="34" s="1"/>
  <c r="W208" i="34"/>
  <c r="AQ207" i="34"/>
  <c r="AP207" i="34"/>
  <c r="AO207" i="34"/>
  <c r="AN207" i="34"/>
  <c r="AM207" i="34"/>
  <c r="AL207" i="34"/>
  <c r="AJ207" i="34"/>
  <c r="AI207" i="34"/>
  <c r="AH207" i="34"/>
  <c r="AG207" i="34"/>
  <c r="AA207" i="34"/>
  <c r="X207" i="34"/>
  <c r="W207" i="34"/>
  <c r="AQ206" i="34"/>
  <c r="AU206" i="34" s="1"/>
  <c r="AP206" i="34"/>
  <c r="AO206" i="34"/>
  <c r="AN206" i="34"/>
  <c r="AM206" i="34"/>
  <c r="AL206" i="34"/>
  <c r="AJ206" i="34"/>
  <c r="AI206" i="34"/>
  <c r="AH206" i="34"/>
  <c r="AG206" i="34"/>
  <c r="AA206" i="34"/>
  <c r="X206" i="34"/>
  <c r="Y206" i="34" s="1"/>
  <c r="W206" i="34"/>
  <c r="AQ205" i="34"/>
  <c r="AS205" i="34" s="1"/>
  <c r="AP205" i="34"/>
  <c r="AO205" i="34"/>
  <c r="AN205" i="34"/>
  <c r="AM205" i="34"/>
  <c r="AL205" i="34"/>
  <c r="AJ205" i="34"/>
  <c r="AI205" i="34"/>
  <c r="AH205" i="34"/>
  <c r="AG205" i="34"/>
  <c r="AA205" i="34"/>
  <c r="X205" i="34"/>
  <c r="Z205" i="34" s="1"/>
  <c r="W205" i="34"/>
  <c r="AQ204" i="34"/>
  <c r="AR204" i="34" s="1"/>
  <c r="AP204" i="34"/>
  <c r="AO204" i="34"/>
  <c r="AN204" i="34"/>
  <c r="AM204" i="34"/>
  <c r="AL204" i="34"/>
  <c r="AJ204" i="34"/>
  <c r="AI204" i="34"/>
  <c r="AH204" i="34"/>
  <c r="AG204" i="34"/>
  <c r="AA204" i="34"/>
  <c r="X204" i="34"/>
  <c r="W204" i="34"/>
  <c r="AQ203" i="34"/>
  <c r="AP203" i="34"/>
  <c r="AO203" i="34"/>
  <c r="AN203" i="34"/>
  <c r="AM203" i="34"/>
  <c r="AL203" i="34"/>
  <c r="AJ203" i="34"/>
  <c r="AI203" i="34"/>
  <c r="AH203" i="34"/>
  <c r="AG203" i="34"/>
  <c r="AA203" i="34"/>
  <c r="X203" i="34"/>
  <c r="Z203" i="34" s="1"/>
  <c r="W203" i="34"/>
  <c r="AQ202" i="34"/>
  <c r="AP202" i="34"/>
  <c r="AO202" i="34"/>
  <c r="AN202" i="34"/>
  <c r="AM202" i="34"/>
  <c r="AL202" i="34"/>
  <c r="AJ202" i="34"/>
  <c r="AI202" i="34"/>
  <c r="AH202" i="34"/>
  <c r="AG202" i="34"/>
  <c r="AA202" i="34"/>
  <c r="X202" i="34"/>
  <c r="Z202" i="34" s="1"/>
  <c r="W202" i="34"/>
  <c r="AQ201" i="34"/>
  <c r="AR201" i="34" s="1"/>
  <c r="AP201" i="34"/>
  <c r="AO201" i="34"/>
  <c r="AN201" i="34"/>
  <c r="AM201" i="34"/>
  <c r="AL201" i="34"/>
  <c r="AJ201" i="34"/>
  <c r="AI201" i="34"/>
  <c r="AH201" i="34"/>
  <c r="AG201" i="34"/>
  <c r="AA201" i="34"/>
  <c r="X201" i="34"/>
  <c r="W201" i="34"/>
  <c r="AQ200" i="34"/>
  <c r="AT200" i="34" s="1"/>
  <c r="AP200" i="34"/>
  <c r="AO200" i="34"/>
  <c r="AN200" i="34"/>
  <c r="AM200" i="34"/>
  <c r="AL200" i="34"/>
  <c r="AJ200" i="34"/>
  <c r="AI200" i="34"/>
  <c r="AH200" i="34"/>
  <c r="AG200" i="34"/>
  <c r="AA200" i="34"/>
  <c r="X200" i="34"/>
  <c r="Z200" i="34" s="1"/>
  <c r="W200" i="34"/>
  <c r="AQ199" i="34"/>
  <c r="AP199" i="34"/>
  <c r="AO199" i="34"/>
  <c r="AN199" i="34"/>
  <c r="AM199" i="34"/>
  <c r="AL199" i="34"/>
  <c r="AJ199" i="34"/>
  <c r="AI199" i="34"/>
  <c r="AH199" i="34"/>
  <c r="AG199" i="34"/>
  <c r="AA199" i="34"/>
  <c r="X199" i="34"/>
  <c r="Z199" i="34" s="1"/>
  <c r="W199" i="34"/>
  <c r="AQ198" i="34"/>
  <c r="AS198" i="34" s="1"/>
  <c r="AP198" i="34"/>
  <c r="AO198" i="34"/>
  <c r="AN198" i="34"/>
  <c r="AM198" i="34"/>
  <c r="AL198" i="34"/>
  <c r="AJ198" i="34"/>
  <c r="AI198" i="34"/>
  <c r="AH198" i="34"/>
  <c r="AG198" i="34"/>
  <c r="AA198" i="34"/>
  <c r="X198" i="34"/>
  <c r="Y198" i="34" s="1"/>
  <c r="W198" i="34"/>
  <c r="AQ197" i="34"/>
  <c r="AS197" i="34" s="1"/>
  <c r="AP197" i="34"/>
  <c r="AO197" i="34"/>
  <c r="AN197" i="34"/>
  <c r="AM197" i="34"/>
  <c r="AL197" i="34"/>
  <c r="AJ197" i="34"/>
  <c r="AI197" i="34"/>
  <c r="AH197" i="34"/>
  <c r="AG197" i="34"/>
  <c r="AA197" i="34"/>
  <c r="X197" i="34"/>
  <c r="Z197" i="34" s="1"/>
  <c r="W197" i="34"/>
  <c r="AQ196" i="34"/>
  <c r="AP196" i="34"/>
  <c r="AO196" i="34"/>
  <c r="AN196" i="34"/>
  <c r="AM196" i="34"/>
  <c r="AL196" i="34"/>
  <c r="AJ196" i="34"/>
  <c r="AI196" i="34"/>
  <c r="AH196" i="34"/>
  <c r="AG196" i="34"/>
  <c r="AA196" i="34"/>
  <c r="X196" i="34"/>
  <c r="Y196" i="34" s="1"/>
  <c r="W196" i="34"/>
  <c r="AQ195" i="34"/>
  <c r="AP195" i="34"/>
  <c r="AO195" i="34"/>
  <c r="AN195" i="34"/>
  <c r="AM195" i="34"/>
  <c r="AL195" i="34"/>
  <c r="AJ195" i="34"/>
  <c r="AI195" i="34"/>
  <c r="AH195" i="34"/>
  <c r="AG195" i="34"/>
  <c r="AA195" i="34"/>
  <c r="X195" i="34"/>
  <c r="Z195" i="34" s="1"/>
  <c r="W195" i="34"/>
  <c r="AQ194" i="34"/>
  <c r="AR194" i="34" s="1"/>
  <c r="AP194" i="34"/>
  <c r="AO194" i="34"/>
  <c r="AN194" i="34"/>
  <c r="AM194" i="34"/>
  <c r="AL194" i="34"/>
  <c r="AJ194" i="34"/>
  <c r="AI194" i="34"/>
  <c r="AH194" i="34"/>
  <c r="AG194" i="34"/>
  <c r="AA194" i="34"/>
  <c r="X194" i="34"/>
  <c r="Z194" i="34" s="1"/>
  <c r="W194" i="34"/>
  <c r="AQ193" i="34"/>
  <c r="AP193" i="34"/>
  <c r="AO193" i="34"/>
  <c r="AN193" i="34"/>
  <c r="AM193" i="34"/>
  <c r="AL193" i="34"/>
  <c r="AJ193" i="34"/>
  <c r="AI193" i="34"/>
  <c r="AH193" i="34"/>
  <c r="AG193" i="34"/>
  <c r="AA193" i="34"/>
  <c r="X193" i="34"/>
  <c r="Y193" i="34" s="1"/>
  <c r="W193" i="34"/>
  <c r="AQ192" i="34"/>
  <c r="AR192" i="34" s="1"/>
  <c r="AP192" i="34"/>
  <c r="AO192" i="34"/>
  <c r="AN192" i="34"/>
  <c r="AM192" i="34"/>
  <c r="AL192" i="34"/>
  <c r="AJ192" i="34"/>
  <c r="AI192" i="34"/>
  <c r="AH192" i="34"/>
  <c r="AG192" i="34"/>
  <c r="AA192" i="34"/>
  <c r="X192" i="34"/>
  <c r="Z192" i="34" s="1"/>
  <c r="W192" i="34"/>
  <c r="AQ191" i="34"/>
  <c r="AP191" i="34"/>
  <c r="AO191" i="34"/>
  <c r="AN191" i="34"/>
  <c r="AM191" i="34"/>
  <c r="AL191" i="34"/>
  <c r="AJ191" i="34"/>
  <c r="AI191" i="34"/>
  <c r="AH191" i="34"/>
  <c r="AG191" i="34"/>
  <c r="AA191" i="34"/>
  <c r="X191" i="34"/>
  <c r="Z191" i="34" s="1"/>
  <c r="W191" i="34"/>
  <c r="AQ190" i="34"/>
  <c r="AP190" i="34"/>
  <c r="AO190" i="34"/>
  <c r="AN190" i="34"/>
  <c r="AM190" i="34"/>
  <c r="AL190" i="34"/>
  <c r="AJ190" i="34"/>
  <c r="AI190" i="34"/>
  <c r="AH190" i="34"/>
  <c r="AG190" i="34"/>
  <c r="AA190" i="34"/>
  <c r="X190" i="34"/>
  <c r="Z190" i="34" s="1"/>
  <c r="W190" i="34"/>
  <c r="AQ189" i="34"/>
  <c r="AP189" i="34"/>
  <c r="AO189" i="34"/>
  <c r="AN189" i="34"/>
  <c r="AM189" i="34"/>
  <c r="AL189" i="34"/>
  <c r="AJ189" i="34"/>
  <c r="AI189" i="34"/>
  <c r="AH189" i="34"/>
  <c r="AG189" i="34"/>
  <c r="AA189" i="34"/>
  <c r="X189" i="34"/>
  <c r="Y189" i="34" s="1"/>
  <c r="W189" i="34"/>
  <c r="AQ188" i="34"/>
  <c r="AU188" i="34" s="1"/>
  <c r="AP188" i="34"/>
  <c r="AO188" i="34"/>
  <c r="AN188" i="34"/>
  <c r="AM188" i="34"/>
  <c r="AL188" i="34"/>
  <c r="AJ188" i="34"/>
  <c r="AI188" i="34"/>
  <c r="AH188" i="34"/>
  <c r="AG188" i="34"/>
  <c r="AA188" i="34"/>
  <c r="X188" i="34"/>
  <c r="W188" i="34"/>
  <c r="AQ187" i="34"/>
  <c r="AP187" i="34"/>
  <c r="AO187" i="34"/>
  <c r="AN187" i="34"/>
  <c r="AM187" i="34"/>
  <c r="AL187" i="34"/>
  <c r="AJ187" i="34"/>
  <c r="AI187" i="34"/>
  <c r="AH187" i="34"/>
  <c r="AG187" i="34"/>
  <c r="AA187" i="34"/>
  <c r="X187" i="34"/>
  <c r="W187" i="34"/>
  <c r="AQ186" i="34"/>
  <c r="AT186" i="34" s="1"/>
  <c r="AP186" i="34"/>
  <c r="AH186" i="34" s="1"/>
  <c r="AI186" i="34" s="1"/>
  <c r="AO186" i="34"/>
  <c r="AN186" i="34"/>
  <c r="AG186" i="34" s="1"/>
  <c r="AA186" i="34"/>
  <c r="X186" i="34"/>
  <c r="Z186" i="34" s="1"/>
  <c r="W186" i="34"/>
  <c r="AQ185" i="34"/>
  <c r="AR185" i="34" s="1"/>
  <c r="AP185" i="34"/>
  <c r="AO185" i="34"/>
  <c r="AN185" i="34"/>
  <c r="AG185" i="34" s="1"/>
  <c r="AH185" i="34"/>
  <c r="AA185" i="34"/>
  <c r="X185" i="34"/>
  <c r="Z185" i="34" s="1"/>
  <c r="W185" i="34"/>
  <c r="AQ184" i="34"/>
  <c r="AS184" i="34" s="1"/>
  <c r="AP184" i="34"/>
  <c r="AH184" i="34" s="1"/>
  <c r="AL184" i="34" s="1"/>
  <c r="AO184" i="34"/>
  <c r="AN184" i="34"/>
  <c r="AG184" i="34" s="1"/>
  <c r="AA184" i="34"/>
  <c r="X184" i="34"/>
  <c r="Z184" i="34" s="1"/>
  <c r="W184" i="34"/>
  <c r="AQ183" i="34"/>
  <c r="AP183" i="34"/>
  <c r="AO183" i="34"/>
  <c r="AN183" i="34"/>
  <c r="AG183" i="34" s="1"/>
  <c r="AH183" i="34"/>
  <c r="AA183" i="34"/>
  <c r="X183" i="34"/>
  <c r="Z183" i="34" s="1"/>
  <c r="W183" i="34"/>
  <c r="AQ182" i="34"/>
  <c r="AP182" i="34"/>
  <c r="AO182" i="34"/>
  <c r="AN182" i="34"/>
  <c r="AG182" i="34" s="1"/>
  <c r="AH182" i="34"/>
  <c r="AA182" i="34"/>
  <c r="X182" i="34"/>
  <c r="Z182" i="34" s="1"/>
  <c r="W182" i="34"/>
  <c r="AQ181" i="34"/>
  <c r="AU181" i="34" s="1"/>
  <c r="AP181" i="34"/>
  <c r="AO181" i="34"/>
  <c r="AN181" i="34"/>
  <c r="AG181" i="34" s="1"/>
  <c r="AH181" i="34"/>
  <c r="AA181" i="34"/>
  <c r="X181" i="34"/>
  <c r="W181" i="34"/>
  <c r="V181" i="34"/>
  <c r="AQ180" i="34"/>
  <c r="AS180" i="34" s="1"/>
  <c r="AP180" i="34"/>
  <c r="AO180" i="34"/>
  <c r="AN180" i="34"/>
  <c r="AG180" i="34" s="1"/>
  <c r="AH180" i="34"/>
  <c r="AA180" i="34"/>
  <c r="AQ178" i="34"/>
  <c r="AS178" i="34" s="1"/>
  <c r="AP178" i="34"/>
  <c r="AO178" i="34"/>
  <c r="AN178" i="34"/>
  <c r="AG178" i="34" s="1"/>
  <c r="AH178" i="34"/>
  <c r="AA178" i="34"/>
  <c r="X178" i="34"/>
  <c r="Y178" i="34" s="1"/>
  <c r="W178" i="34"/>
  <c r="AQ177" i="34"/>
  <c r="AT177" i="34" s="1"/>
  <c r="AP177" i="34"/>
  <c r="AO177" i="34"/>
  <c r="AN177" i="34"/>
  <c r="AG177" i="34" s="1"/>
  <c r="AH177" i="34"/>
  <c r="AA177" i="34"/>
  <c r="X177" i="34"/>
  <c r="Y177" i="34" s="1"/>
  <c r="W177" i="34"/>
  <c r="AQ176" i="34"/>
  <c r="AP176" i="34"/>
  <c r="AO176" i="34"/>
  <c r="AN176" i="34"/>
  <c r="AM176" i="34"/>
  <c r="AL176" i="34"/>
  <c r="AJ176" i="34"/>
  <c r="AI176" i="34"/>
  <c r="AH176" i="34"/>
  <c r="AG176" i="34"/>
  <c r="AA176" i="34"/>
  <c r="X176" i="34"/>
  <c r="Y176" i="34" s="1"/>
  <c r="W176" i="34"/>
  <c r="AQ175" i="34"/>
  <c r="AP175" i="34"/>
  <c r="AO175" i="34"/>
  <c r="AN175" i="34"/>
  <c r="AM175" i="34"/>
  <c r="AL175" i="34"/>
  <c r="AJ175" i="34"/>
  <c r="AI175" i="34"/>
  <c r="AH175" i="34"/>
  <c r="AG175" i="34"/>
  <c r="AA175" i="34"/>
  <c r="X175" i="34"/>
  <c r="Y175" i="34" s="1"/>
  <c r="W175" i="34"/>
  <c r="AQ174" i="34"/>
  <c r="AP174" i="34"/>
  <c r="AO174" i="34"/>
  <c r="AN174" i="34"/>
  <c r="AM174" i="34"/>
  <c r="AL174" i="34"/>
  <c r="AJ174" i="34"/>
  <c r="AI174" i="34"/>
  <c r="AH174" i="34"/>
  <c r="AG174" i="34"/>
  <c r="AA174" i="34"/>
  <c r="X174" i="34"/>
  <c r="Z174" i="34" s="1"/>
  <c r="W174" i="34"/>
  <c r="AQ173" i="34"/>
  <c r="AT173" i="34" s="1"/>
  <c r="AP173" i="34"/>
  <c r="AO173" i="34"/>
  <c r="AN173" i="34"/>
  <c r="AM173" i="34"/>
  <c r="AL173" i="34"/>
  <c r="AJ173" i="34"/>
  <c r="AI173" i="34"/>
  <c r="AH173" i="34"/>
  <c r="AG173" i="34"/>
  <c r="AA173" i="34"/>
  <c r="X173" i="34"/>
  <c r="Z173" i="34" s="1"/>
  <c r="W173" i="34"/>
  <c r="AQ172" i="34"/>
  <c r="AP172" i="34"/>
  <c r="AO172" i="34"/>
  <c r="AN172" i="34"/>
  <c r="AM172" i="34"/>
  <c r="AL172" i="34"/>
  <c r="AJ172" i="34"/>
  <c r="AI172" i="34"/>
  <c r="AH172" i="34"/>
  <c r="AG172" i="34"/>
  <c r="AA172" i="34"/>
  <c r="X172" i="34"/>
  <c r="Y172" i="34" s="1"/>
  <c r="W172" i="34"/>
  <c r="AQ171" i="34"/>
  <c r="AT171" i="34" s="1"/>
  <c r="AP171" i="34"/>
  <c r="AO171" i="34"/>
  <c r="AN171" i="34"/>
  <c r="AM171" i="34"/>
  <c r="AL171" i="34"/>
  <c r="AJ171" i="34"/>
  <c r="AI171" i="34"/>
  <c r="AH171" i="34"/>
  <c r="AG171" i="34"/>
  <c r="AA171" i="34"/>
  <c r="X171" i="34"/>
  <c r="Z171" i="34" s="1"/>
  <c r="W171" i="34"/>
  <c r="AQ170" i="34"/>
  <c r="AR170" i="34" s="1"/>
  <c r="AP170" i="34"/>
  <c r="AO170" i="34"/>
  <c r="AN170" i="34"/>
  <c r="AM170" i="34"/>
  <c r="AL170" i="34"/>
  <c r="AJ170" i="34"/>
  <c r="AI170" i="34"/>
  <c r="AH170" i="34"/>
  <c r="AG170" i="34"/>
  <c r="AA170" i="34"/>
  <c r="X170" i="34"/>
  <c r="Y170" i="34" s="1"/>
  <c r="W170" i="34"/>
  <c r="AQ169" i="34"/>
  <c r="AU169" i="34" s="1"/>
  <c r="AP169" i="34"/>
  <c r="AO169" i="34"/>
  <c r="AN169" i="34"/>
  <c r="AM169" i="34"/>
  <c r="AL169" i="34"/>
  <c r="AJ169" i="34"/>
  <c r="AI169" i="34"/>
  <c r="AH169" i="34"/>
  <c r="AG169" i="34"/>
  <c r="AA169" i="34"/>
  <c r="X169" i="34"/>
  <c r="Z169" i="34" s="1"/>
  <c r="W169" i="34"/>
  <c r="AQ168" i="34"/>
  <c r="AP168" i="34"/>
  <c r="AO168" i="34"/>
  <c r="AN168" i="34"/>
  <c r="AM168" i="34"/>
  <c r="AL168" i="34"/>
  <c r="AJ168" i="34"/>
  <c r="AI168" i="34"/>
  <c r="AH168" i="34"/>
  <c r="AG168" i="34"/>
  <c r="AA168" i="34"/>
  <c r="X168" i="34"/>
  <c r="W168" i="34"/>
  <c r="AQ167" i="34"/>
  <c r="AP167" i="34"/>
  <c r="AO167" i="34"/>
  <c r="AN167" i="34"/>
  <c r="AM167" i="34"/>
  <c r="AL167" i="34"/>
  <c r="AJ167" i="34"/>
  <c r="AI167" i="34"/>
  <c r="AH167" i="34"/>
  <c r="AG167" i="34"/>
  <c r="AA167" i="34"/>
  <c r="X167" i="34"/>
  <c r="Y167" i="34" s="1"/>
  <c r="W167" i="34"/>
  <c r="AQ166" i="34"/>
  <c r="AP166" i="34"/>
  <c r="AO166" i="34"/>
  <c r="AN166" i="34"/>
  <c r="AM166" i="34"/>
  <c r="AL166" i="34"/>
  <c r="AJ166" i="34"/>
  <c r="AI166" i="34"/>
  <c r="AH166" i="34"/>
  <c r="AG166" i="34"/>
  <c r="AA166" i="34"/>
  <c r="X166" i="34"/>
  <c r="Z166" i="34" s="1"/>
  <c r="W166" i="34"/>
  <c r="AQ165" i="34"/>
  <c r="AS165" i="34" s="1"/>
  <c r="AP165" i="34"/>
  <c r="AO165" i="34"/>
  <c r="AN165" i="34"/>
  <c r="AM165" i="34"/>
  <c r="AL165" i="34"/>
  <c r="AJ165" i="34"/>
  <c r="AI165" i="34"/>
  <c r="AH165" i="34"/>
  <c r="AG165" i="34"/>
  <c r="AA165" i="34"/>
  <c r="X165" i="34"/>
  <c r="Y165" i="34" s="1"/>
  <c r="W165" i="34"/>
  <c r="AQ164" i="34"/>
  <c r="AP164" i="34"/>
  <c r="AO164" i="34"/>
  <c r="AN164" i="34"/>
  <c r="AM164" i="34"/>
  <c r="AL164" i="34"/>
  <c r="AJ164" i="34"/>
  <c r="AI164" i="34"/>
  <c r="AH164" i="34"/>
  <c r="AG164" i="34"/>
  <c r="AA164" i="34"/>
  <c r="X164" i="34"/>
  <c r="Z164" i="34" s="1"/>
  <c r="W164" i="34"/>
  <c r="AQ163" i="34"/>
  <c r="AS163" i="34" s="1"/>
  <c r="AP163" i="34"/>
  <c r="AO163" i="34"/>
  <c r="AN163" i="34"/>
  <c r="AM163" i="34"/>
  <c r="AL163" i="34"/>
  <c r="AJ163" i="34"/>
  <c r="AI163" i="34"/>
  <c r="AH163" i="34"/>
  <c r="AG163" i="34"/>
  <c r="AA163" i="34"/>
  <c r="X163" i="34"/>
  <c r="Z163" i="34" s="1"/>
  <c r="W163" i="34"/>
  <c r="AQ162" i="34"/>
  <c r="AS162" i="34" s="1"/>
  <c r="AP162" i="34"/>
  <c r="AO162" i="34"/>
  <c r="AN162" i="34"/>
  <c r="AG162" i="34" s="1"/>
  <c r="AH162" i="34"/>
  <c r="AA162" i="34"/>
  <c r="X162" i="34"/>
  <c r="Z162" i="34" s="1"/>
  <c r="W162" i="34"/>
  <c r="AQ161" i="34"/>
  <c r="AP161" i="34"/>
  <c r="AO161" i="34"/>
  <c r="AN161" i="34"/>
  <c r="AG161" i="34" s="1"/>
  <c r="AH161" i="34"/>
  <c r="AA161" i="34"/>
  <c r="X161" i="34"/>
  <c r="W161" i="34"/>
  <c r="AQ160" i="34"/>
  <c r="AR160" i="34" s="1"/>
  <c r="AP160" i="34"/>
  <c r="AO160" i="34"/>
  <c r="AN160" i="34"/>
  <c r="AG160" i="34" s="1"/>
  <c r="AH160" i="34"/>
  <c r="AA160" i="34"/>
  <c r="X160" i="34"/>
  <c r="Y160" i="34" s="1"/>
  <c r="W160" i="34"/>
  <c r="AQ159" i="34"/>
  <c r="AS159" i="34" s="1"/>
  <c r="AP159" i="34"/>
  <c r="AO159" i="34"/>
  <c r="AN159" i="34"/>
  <c r="AG159" i="34" s="1"/>
  <c r="AH159" i="34"/>
  <c r="AA159" i="34"/>
  <c r="X159" i="34"/>
  <c r="Z159" i="34" s="1"/>
  <c r="W159" i="34"/>
  <c r="AQ158" i="34"/>
  <c r="AU158" i="34" s="1"/>
  <c r="AP158" i="34"/>
  <c r="AO158" i="34"/>
  <c r="AN158" i="34"/>
  <c r="AG158" i="34" s="1"/>
  <c r="AH158" i="34"/>
  <c r="AA158" i="34"/>
  <c r="X158" i="34"/>
  <c r="Z158" i="34" s="1"/>
  <c r="W158" i="34"/>
  <c r="AQ157" i="34"/>
  <c r="AT157" i="34" s="1"/>
  <c r="AP157" i="34"/>
  <c r="AO157" i="34"/>
  <c r="AN157" i="34"/>
  <c r="AG157" i="34" s="1"/>
  <c r="AH157" i="34"/>
  <c r="AA157" i="34"/>
  <c r="X157" i="34"/>
  <c r="Y157" i="34" s="1"/>
  <c r="W157" i="34"/>
  <c r="AQ156" i="34"/>
  <c r="AT156" i="34" s="1"/>
  <c r="AP156" i="34"/>
  <c r="AO156" i="34"/>
  <c r="AN156" i="34"/>
  <c r="AM156" i="34"/>
  <c r="AL156" i="34"/>
  <c r="AJ156" i="34"/>
  <c r="AI156" i="34"/>
  <c r="AH156" i="34"/>
  <c r="AG156" i="34"/>
  <c r="AA156" i="34"/>
  <c r="X156" i="34"/>
  <c r="Z156" i="34" s="1"/>
  <c r="W156" i="34"/>
  <c r="AQ155" i="34"/>
  <c r="AS155" i="34" s="1"/>
  <c r="AP155" i="34"/>
  <c r="AH155" i="34" s="1"/>
  <c r="AO155" i="34"/>
  <c r="AN155" i="34"/>
  <c r="AG155" i="34" s="1"/>
  <c r="AA155" i="34"/>
  <c r="X155" i="34"/>
  <c r="Y155" i="34" s="1"/>
  <c r="W155" i="34"/>
  <c r="AQ154" i="34"/>
  <c r="AP154" i="34"/>
  <c r="AO154" i="34"/>
  <c r="AN154" i="34"/>
  <c r="AG154" i="34" s="1"/>
  <c r="AH154" i="34"/>
  <c r="AJ154" i="34" s="1"/>
  <c r="AA154" i="34"/>
  <c r="X154" i="34"/>
  <c r="Z154" i="34" s="1"/>
  <c r="W154" i="34"/>
  <c r="AQ153" i="34"/>
  <c r="AP153" i="34"/>
  <c r="AH153" i="34" s="1"/>
  <c r="AO153" i="34"/>
  <c r="AN153" i="34"/>
  <c r="AG153" i="34" s="1"/>
  <c r="AA153" i="34"/>
  <c r="X153" i="34"/>
  <c r="Z153" i="34" s="1"/>
  <c r="W153" i="34"/>
  <c r="AQ152" i="34"/>
  <c r="AU152" i="34" s="1"/>
  <c r="AP152" i="34"/>
  <c r="AH152" i="34" s="1"/>
  <c r="AJ152" i="34" s="1"/>
  <c r="AO152" i="34"/>
  <c r="AN152" i="34"/>
  <c r="AG152" i="34" s="1"/>
  <c r="AA152" i="34"/>
  <c r="X152" i="34"/>
  <c r="Z152" i="34" s="1"/>
  <c r="W152" i="34"/>
  <c r="AQ151" i="34"/>
  <c r="AS151" i="34" s="1"/>
  <c r="AP151" i="34"/>
  <c r="AO151" i="34"/>
  <c r="AN151" i="34"/>
  <c r="AG151" i="34" s="1"/>
  <c r="AH151" i="34"/>
  <c r="AA151" i="34"/>
  <c r="X151" i="34"/>
  <c r="Y151" i="34" s="1"/>
  <c r="W151" i="34"/>
  <c r="AQ150" i="34"/>
  <c r="AP150" i="34"/>
  <c r="AO150" i="34"/>
  <c r="AN150" i="34"/>
  <c r="AG150" i="34" s="1"/>
  <c r="AH150" i="34"/>
  <c r="AJ150" i="34" s="1"/>
  <c r="AA150" i="34"/>
  <c r="X150" i="34"/>
  <c r="Z150" i="34" s="1"/>
  <c r="W150" i="34"/>
  <c r="AQ149" i="34"/>
  <c r="AP149" i="34"/>
  <c r="AO149" i="34"/>
  <c r="AN149" i="34"/>
  <c r="AG149" i="34" s="1"/>
  <c r="AH149" i="34"/>
  <c r="AA149" i="34"/>
  <c r="X149" i="34"/>
  <c r="Y149" i="34" s="1"/>
  <c r="W149" i="34"/>
  <c r="AQ148" i="34"/>
  <c r="AP148" i="34"/>
  <c r="AO148" i="34"/>
  <c r="AN148" i="34"/>
  <c r="AG148" i="34" s="1"/>
  <c r="AH148" i="34"/>
  <c r="AA148" i="34"/>
  <c r="X148" i="34"/>
  <c r="W148" i="34"/>
  <c r="AQ147" i="34"/>
  <c r="AS147" i="34" s="1"/>
  <c r="AP147" i="34"/>
  <c r="AH147" i="34" s="1"/>
  <c r="AO147" i="34"/>
  <c r="AN147" i="34"/>
  <c r="AG147" i="34" s="1"/>
  <c r="AA147" i="34"/>
  <c r="X147" i="34"/>
  <c r="Z147" i="34" s="1"/>
  <c r="W147" i="34"/>
  <c r="AQ146" i="34"/>
  <c r="AU146" i="34" s="1"/>
  <c r="AP146" i="34"/>
  <c r="AO146" i="34"/>
  <c r="AN146" i="34"/>
  <c r="AG146" i="34" s="1"/>
  <c r="AH146" i="34"/>
  <c r="AA146" i="34"/>
  <c r="X146" i="34"/>
  <c r="W146" i="34"/>
  <c r="AQ145" i="34"/>
  <c r="AT145" i="34" s="1"/>
  <c r="AP145" i="34"/>
  <c r="AO145" i="34"/>
  <c r="AN145" i="34"/>
  <c r="AG145" i="34" s="1"/>
  <c r="AH145" i="34"/>
  <c r="AA145" i="34"/>
  <c r="X145" i="34"/>
  <c r="Z145" i="34" s="1"/>
  <c r="W145" i="34"/>
  <c r="V145" i="34"/>
  <c r="AQ144" i="34"/>
  <c r="AS144" i="34" s="1"/>
  <c r="AP144" i="34"/>
  <c r="AO144" i="34"/>
  <c r="AN144" i="34"/>
  <c r="AG144" i="34" s="1"/>
  <c r="AH144" i="34"/>
  <c r="AA144" i="34"/>
  <c r="AQ142" i="34"/>
  <c r="AP142" i="34"/>
  <c r="AO142" i="34"/>
  <c r="AN142" i="34"/>
  <c r="AG142" i="34" s="1"/>
  <c r="AH142" i="34"/>
  <c r="AI142" i="34" s="1"/>
  <c r="AA142" i="34"/>
  <c r="X142" i="34"/>
  <c r="W142" i="34"/>
  <c r="AQ141" i="34"/>
  <c r="AU141" i="34" s="1"/>
  <c r="AP141" i="34"/>
  <c r="AO141" i="34"/>
  <c r="AN141" i="34"/>
  <c r="AM141" i="34"/>
  <c r="AL141" i="34"/>
  <c r="AJ141" i="34"/>
  <c r="AI141" i="34"/>
  <c r="AH141" i="34"/>
  <c r="AG141" i="34"/>
  <c r="AA141" i="34"/>
  <c r="X141" i="34"/>
  <c r="Y141" i="34" s="1"/>
  <c r="W141" i="34"/>
  <c r="AQ140" i="34"/>
  <c r="AT140" i="34" s="1"/>
  <c r="AP140" i="34"/>
  <c r="AO140" i="34"/>
  <c r="AN140" i="34"/>
  <c r="AM140" i="34"/>
  <c r="AL140" i="34"/>
  <c r="AJ140" i="34"/>
  <c r="AI140" i="34"/>
  <c r="AH140" i="34"/>
  <c r="AG140" i="34"/>
  <c r="AA140" i="34"/>
  <c r="X140" i="34"/>
  <c r="Y140" i="34" s="1"/>
  <c r="W140" i="34"/>
  <c r="AQ139" i="34"/>
  <c r="AU139" i="34" s="1"/>
  <c r="AP139" i="34"/>
  <c r="AO139" i="34"/>
  <c r="AN139" i="34"/>
  <c r="AM139" i="34"/>
  <c r="AL139" i="34"/>
  <c r="AJ139" i="34"/>
  <c r="AI139" i="34"/>
  <c r="AH139" i="34"/>
  <c r="AG139" i="34"/>
  <c r="AA139" i="34"/>
  <c r="X139" i="34"/>
  <c r="Z139" i="34" s="1"/>
  <c r="W139" i="34"/>
  <c r="AQ138" i="34"/>
  <c r="AP138" i="34"/>
  <c r="AO138" i="34"/>
  <c r="AN138" i="34"/>
  <c r="AM138" i="34"/>
  <c r="AL138" i="34"/>
  <c r="AJ138" i="34"/>
  <c r="AI138" i="34"/>
  <c r="AH138" i="34"/>
  <c r="AG138" i="34"/>
  <c r="AA138" i="34"/>
  <c r="X138" i="34"/>
  <c r="W138" i="34"/>
  <c r="AQ137" i="34"/>
  <c r="AP137" i="34"/>
  <c r="AO137" i="34"/>
  <c r="AN137" i="34"/>
  <c r="AM137" i="34"/>
  <c r="AL137" i="34"/>
  <c r="AJ137" i="34"/>
  <c r="AI137" i="34"/>
  <c r="AH137" i="34"/>
  <c r="AG137" i="34"/>
  <c r="AA137" i="34"/>
  <c r="X137" i="34"/>
  <c r="Y137" i="34" s="1"/>
  <c r="W137" i="34"/>
  <c r="AQ136" i="34"/>
  <c r="AS136" i="34" s="1"/>
  <c r="AP136" i="34"/>
  <c r="AO136" i="34"/>
  <c r="AN136" i="34"/>
  <c r="AM136" i="34"/>
  <c r="AL136" i="34"/>
  <c r="AJ136" i="34"/>
  <c r="AI136" i="34"/>
  <c r="AH136" i="34"/>
  <c r="AG136" i="34"/>
  <c r="AA136" i="34"/>
  <c r="X136" i="34"/>
  <c r="Z136" i="34" s="1"/>
  <c r="W136" i="34"/>
  <c r="AQ135" i="34"/>
  <c r="AU135" i="34" s="1"/>
  <c r="AP135" i="34"/>
  <c r="AO135" i="34"/>
  <c r="AN135" i="34"/>
  <c r="AM135" i="34"/>
  <c r="AL135" i="34"/>
  <c r="AJ135" i="34"/>
  <c r="AI135" i="34"/>
  <c r="AH135" i="34"/>
  <c r="AG135" i="34"/>
  <c r="AA135" i="34"/>
  <c r="X135" i="34"/>
  <c r="Z135" i="34" s="1"/>
  <c r="W135" i="34"/>
  <c r="AQ134" i="34"/>
  <c r="AP134" i="34"/>
  <c r="AO134" i="34"/>
  <c r="AN134" i="34"/>
  <c r="AM134" i="34"/>
  <c r="AL134" i="34"/>
  <c r="AJ134" i="34"/>
  <c r="AI134" i="34"/>
  <c r="AH134" i="34"/>
  <c r="AG134" i="34"/>
  <c r="AA134" i="34"/>
  <c r="X134" i="34"/>
  <c r="Z134" i="34" s="1"/>
  <c r="W134" i="34"/>
  <c r="AQ133" i="34"/>
  <c r="AS133" i="34" s="1"/>
  <c r="AP133" i="34"/>
  <c r="AO133" i="34"/>
  <c r="AN133" i="34"/>
  <c r="AM133" i="34"/>
  <c r="AL133" i="34"/>
  <c r="AJ133" i="34"/>
  <c r="AI133" i="34"/>
  <c r="AH133" i="34"/>
  <c r="AG133" i="34"/>
  <c r="AA133" i="34"/>
  <c r="X133" i="34"/>
  <c r="Y133" i="34" s="1"/>
  <c r="W133" i="34"/>
  <c r="AQ132" i="34"/>
  <c r="AR132" i="34" s="1"/>
  <c r="AP132" i="34"/>
  <c r="AO132" i="34"/>
  <c r="AN132" i="34"/>
  <c r="AM132" i="34"/>
  <c r="AL132" i="34"/>
  <c r="AJ132" i="34"/>
  <c r="AI132" i="34"/>
  <c r="AH132" i="34"/>
  <c r="AG132" i="34"/>
  <c r="AA132" i="34"/>
  <c r="X132" i="34"/>
  <c r="Y132" i="34" s="1"/>
  <c r="W132" i="34"/>
  <c r="AQ131" i="34"/>
  <c r="AR131" i="34" s="1"/>
  <c r="AP131" i="34"/>
  <c r="AO131" i="34"/>
  <c r="AN131" i="34"/>
  <c r="AM131" i="34"/>
  <c r="AL131" i="34"/>
  <c r="AJ131" i="34"/>
  <c r="AI131" i="34"/>
  <c r="AH131" i="34"/>
  <c r="AG131" i="34"/>
  <c r="AA131" i="34"/>
  <c r="X131" i="34"/>
  <c r="Y131" i="34" s="1"/>
  <c r="W131" i="34"/>
  <c r="AQ130" i="34"/>
  <c r="AP130" i="34"/>
  <c r="AO130" i="34"/>
  <c r="AN130" i="34"/>
  <c r="AM130" i="34"/>
  <c r="AL130" i="34"/>
  <c r="AJ130" i="34"/>
  <c r="AI130" i="34"/>
  <c r="AH130" i="34"/>
  <c r="AG130" i="34"/>
  <c r="AA130" i="34"/>
  <c r="X130" i="34"/>
  <c r="Y130" i="34" s="1"/>
  <c r="W130" i="34"/>
  <c r="AQ129" i="34"/>
  <c r="AT129" i="34" s="1"/>
  <c r="AP129" i="34"/>
  <c r="AO129" i="34"/>
  <c r="AN129" i="34"/>
  <c r="AM129" i="34"/>
  <c r="AL129" i="34"/>
  <c r="AJ129" i="34"/>
  <c r="AI129" i="34"/>
  <c r="AH129" i="34"/>
  <c r="AG129" i="34"/>
  <c r="AA129" i="34"/>
  <c r="X129" i="34"/>
  <c r="W129" i="34"/>
  <c r="AQ128" i="34"/>
  <c r="AP128" i="34"/>
  <c r="AO128" i="34"/>
  <c r="AN128" i="34"/>
  <c r="AM128" i="34"/>
  <c r="AL128" i="34"/>
  <c r="AJ128" i="34"/>
  <c r="AI128" i="34"/>
  <c r="AH128" i="34"/>
  <c r="AG128" i="34"/>
  <c r="AA128" i="34"/>
  <c r="X128" i="34"/>
  <c r="W128" i="34"/>
  <c r="AQ127" i="34"/>
  <c r="AP127" i="34"/>
  <c r="AO127" i="34"/>
  <c r="AN127" i="34"/>
  <c r="AM127" i="34"/>
  <c r="AL127" i="34"/>
  <c r="AJ127" i="34"/>
  <c r="AI127" i="34"/>
  <c r="AH127" i="34"/>
  <c r="AG127" i="34"/>
  <c r="AA127" i="34"/>
  <c r="X127" i="34"/>
  <c r="W127" i="34"/>
  <c r="AQ126" i="34"/>
  <c r="AT126" i="34" s="1"/>
  <c r="AP126" i="34"/>
  <c r="AO126" i="34"/>
  <c r="AN126" i="34"/>
  <c r="AM126" i="34"/>
  <c r="AL126" i="34"/>
  <c r="AJ126" i="34"/>
  <c r="AI126" i="34"/>
  <c r="AH126" i="34"/>
  <c r="AG126" i="34"/>
  <c r="AA126" i="34"/>
  <c r="X126" i="34"/>
  <c r="W126" i="34"/>
  <c r="AQ125" i="34"/>
  <c r="AS125" i="34" s="1"/>
  <c r="AP125" i="34"/>
  <c r="AO125" i="34"/>
  <c r="AN125" i="34"/>
  <c r="AM125" i="34"/>
  <c r="AL125" i="34"/>
  <c r="AJ125" i="34"/>
  <c r="AI125" i="34"/>
  <c r="AH125" i="34"/>
  <c r="AG125" i="34"/>
  <c r="AA125" i="34"/>
  <c r="X125" i="34"/>
  <c r="Y125" i="34" s="1"/>
  <c r="W125" i="34"/>
  <c r="AQ124" i="34"/>
  <c r="AU124" i="34" s="1"/>
  <c r="AP124" i="34"/>
  <c r="AO124" i="34"/>
  <c r="AN124" i="34"/>
  <c r="AM124" i="34"/>
  <c r="AL124" i="34"/>
  <c r="AJ124" i="34"/>
  <c r="AI124" i="34"/>
  <c r="AH124" i="34"/>
  <c r="AG124" i="34"/>
  <c r="AA124" i="34"/>
  <c r="X124" i="34"/>
  <c r="Y124" i="34" s="1"/>
  <c r="W124" i="34"/>
  <c r="AQ123" i="34"/>
  <c r="AT123" i="34" s="1"/>
  <c r="AP123" i="34"/>
  <c r="AO123" i="34"/>
  <c r="AN123" i="34"/>
  <c r="AM123" i="34"/>
  <c r="AL123" i="34"/>
  <c r="AJ123" i="34"/>
  <c r="AI123" i="34"/>
  <c r="AH123" i="34"/>
  <c r="AG123" i="34"/>
  <c r="AA123" i="34"/>
  <c r="X123" i="34"/>
  <c r="W123" i="34"/>
  <c r="AQ122" i="34"/>
  <c r="AR122" i="34" s="1"/>
  <c r="AP122" i="34"/>
  <c r="AO122" i="34"/>
  <c r="AN122" i="34"/>
  <c r="AM122" i="34"/>
  <c r="AL122" i="34"/>
  <c r="AJ122" i="34"/>
  <c r="AI122" i="34"/>
  <c r="AH122" i="34"/>
  <c r="AG122" i="34"/>
  <c r="AA122" i="34"/>
  <c r="X122" i="34"/>
  <c r="Z122" i="34" s="1"/>
  <c r="W122" i="34"/>
  <c r="AQ121" i="34"/>
  <c r="AT121" i="34" s="1"/>
  <c r="AP121" i="34"/>
  <c r="AO121" i="34"/>
  <c r="AN121" i="34"/>
  <c r="AM121" i="34"/>
  <c r="AL121" i="34"/>
  <c r="AJ121" i="34"/>
  <c r="AI121" i="34"/>
  <c r="AH121" i="34"/>
  <c r="AG121" i="34"/>
  <c r="AA121" i="34"/>
  <c r="X121" i="34"/>
  <c r="W121" i="34"/>
  <c r="BB120" i="34"/>
  <c r="AQ120" i="34"/>
  <c r="AR120" i="34" s="1"/>
  <c r="AP120" i="34"/>
  <c r="AO120" i="34"/>
  <c r="AN120" i="34"/>
  <c r="AM120" i="34"/>
  <c r="AL120" i="34"/>
  <c r="AJ120" i="34"/>
  <c r="AI120" i="34"/>
  <c r="AH120" i="34"/>
  <c r="AG120" i="34"/>
  <c r="AA120" i="34"/>
  <c r="X120" i="34"/>
  <c r="Y120" i="34" s="1"/>
  <c r="W120" i="34"/>
  <c r="AQ119" i="34"/>
  <c r="AP119" i="34"/>
  <c r="AO119" i="34"/>
  <c r="AN119" i="34"/>
  <c r="AM119" i="34"/>
  <c r="AL119" i="34"/>
  <c r="AJ119" i="34"/>
  <c r="AI119" i="34"/>
  <c r="AH119" i="34"/>
  <c r="AG119" i="34"/>
  <c r="AA119" i="34"/>
  <c r="X119" i="34"/>
  <c r="Z119" i="34" s="1"/>
  <c r="W119" i="34"/>
  <c r="AQ118" i="34"/>
  <c r="AR118" i="34" s="1"/>
  <c r="AP118" i="34"/>
  <c r="AO118" i="34"/>
  <c r="AN118" i="34"/>
  <c r="AM118" i="34"/>
  <c r="AL118" i="34"/>
  <c r="AJ118" i="34"/>
  <c r="AI118" i="34"/>
  <c r="AH118" i="34"/>
  <c r="AG118" i="34"/>
  <c r="AA118" i="34"/>
  <c r="X118" i="34"/>
  <c r="W118" i="34"/>
  <c r="AQ117" i="34"/>
  <c r="AS117" i="34" s="1"/>
  <c r="AP117" i="34"/>
  <c r="AO117" i="34"/>
  <c r="AN117" i="34"/>
  <c r="AM117" i="34"/>
  <c r="AL117" i="34"/>
  <c r="AJ117" i="34"/>
  <c r="AI117" i="34"/>
  <c r="AH117" i="34"/>
  <c r="AG117" i="34"/>
  <c r="AA117" i="34"/>
  <c r="X117" i="34"/>
  <c r="Z117" i="34" s="1"/>
  <c r="W117" i="34"/>
  <c r="AQ116" i="34"/>
  <c r="AP116" i="34"/>
  <c r="AO116" i="34"/>
  <c r="AN116" i="34"/>
  <c r="AM116" i="34"/>
  <c r="AL116" i="34"/>
  <c r="AJ116" i="34"/>
  <c r="AI116" i="34"/>
  <c r="AH116" i="34"/>
  <c r="AG116" i="34"/>
  <c r="AA116" i="34"/>
  <c r="X116" i="34"/>
  <c r="W116" i="34"/>
  <c r="AQ115" i="34"/>
  <c r="AU115" i="34" s="1"/>
  <c r="AP115" i="34"/>
  <c r="AO115" i="34"/>
  <c r="AN115" i="34"/>
  <c r="AM115" i="34"/>
  <c r="AL115" i="34"/>
  <c r="AJ115" i="34"/>
  <c r="AI115" i="34"/>
  <c r="AH115" i="34"/>
  <c r="AG115" i="34"/>
  <c r="AA115" i="34"/>
  <c r="X115" i="34"/>
  <c r="Y115" i="34" s="1"/>
  <c r="W115" i="34"/>
  <c r="AQ114" i="34"/>
  <c r="AU114" i="34" s="1"/>
  <c r="AP114" i="34"/>
  <c r="AO114" i="34"/>
  <c r="AN114" i="34"/>
  <c r="AM114" i="34"/>
  <c r="AL114" i="34"/>
  <c r="AJ114" i="34"/>
  <c r="AI114" i="34"/>
  <c r="AH114" i="34"/>
  <c r="AG114" i="34"/>
  <c r="AA114" i="34"/>
  <c r="X114" i="34"/>
  <c r="Z114" i="34" s="1"/>
  <c r="W114" i="34"/>
  <c r="AQ113" i="34"/>
  <c r="AP113" i="34"/>
  <c r="AO113" i="34"/>
  <c r="AN113" i="34"/>
  <c r="AM113" i="34"/>
  <c r="AL113" i="34"/>
  <c r="AJ113" i="34"/>
  <c r="AI113" i="34"/>
  <c r="AH113" i="34"/>
  <c r="AG113" i="34"/>
  <c r="AA113" i="34"/>
  <c r="X113" i="34"/>
  <c r="Z113" i="34" s="1"/>
  <c r="W113" i="34"/>
  <c r="AQ112" i="34"/>
  <c r="AR112" i="34" s="1"/>
  <c r="AP112" i="34"/>
  <c r="AO112" i="34"/>
  <c r="AN112" i="34"/>
  <c r="AG112" i="34" s="1"/>
  <c r="AH112" i="34"/>
  <c r="AJ112" i="34" s="1"/>
  <c r="AA112" i="34"/>
  <c r="X112" i="34"/>
  <c r="Z112" i="34" s="1"/>
  <c r="W112" i="34"/>
  <c r="AQ111" i="34"/>
  <c r="AR111" i="34" s="1"/>
  <c r="AP111" i="34"/>
  <c r="AH111" i="34" s="1"/>
  <c r="AL111" i="34" s="1"/>
  <c r="AO111" i="34"/>
  <c r="AN111" i="34"/>
  <c r="AG111" i="34" s="1"/>
  <c r="AA111" i="34"/>
  <c r="X111" i="34"/>
  <c r="Z111" i="34" s="1"/>
  <c r="W111" i="34"/>
  <c r="AQ110" i="34"/>
  <c r="AR110" i="34" s="1"/>
  <c r="AP110" i="34"/>
  <c r="AO110" i="34"/>
  <c r="AN110" i="34"/>
  <c r="AG110" i="34" s="1"/>
  <c r="AH110" i="34"/>
  <c r="AA110" i="34"/>
  <c r="X110" i="34"/>
  <c r="Z110" i="34" s="1"/>
  <c r="W110" i="34"/>
  <c r="AQ109" i="34"/>
  <c r="AP109" i="34"/>
  <c r="AO109" i="34"/>
  <c r="AN109" i="34"/>
  <c r="AG109" i="34" s="1"/>
  <c r="AH109" i="34"/>
  <c r="AI109" i="34" s="1"/>
  <c r="AA109" i="34"/>
  <c r="X109" i="34"/>
  <c r="Z109" i="34" s="1"/>
  <c r="W109" i="34"/>
  <c r="V109" i="34"/>
  <c r="AQ108" i="34"/>
  <c r="AT108" i="34" s="1"/>
  <c r="AP108" i="34"/>
  <c r="AO108" i="34"/>
  <c r="AN108" i="34"/>
  <c r="AG108" i="34" s="1"/>
  <c r="AH108" i="34"/>
  <c r="AQ106" i="34"/>
  <c r="AR106" i="34" s="1"/>
  <c r="AP106" i="34"/>
  <c r="AO106" i="34"/>
  <c r="AN106" i="34"/>
  <c r="AM106" i="34"/>
  <c r="AL106" i="34"/>
  <c r="AJ106" i="34"/>
  <c r="AI106" i="34"/>
  <c r="AH106" i="34"/>
  <c r="AG106" i="34"/>
  <c r="AA106" i="34"/>
  <c r="X106" i="34"/>
  <c r="Y106" i="34" s="1"/>
  <c r="W106" i="34"/>
  <c r="AQ105" i="34"/>
  <c r="AT105" i="34" s="1"/>
  <c r="AP105" i="34"/>
  <c r="AO105" i="34"/>
  <c r="AN105" i="34"/>
  <c r="AM105" i="34"/>
  <c r="AL105" i="34"/>
  <c r="AJ105" i="34"/>
  <c r="AI105" i="34"/>
  <c r="AH105" i="34"/>
  <c r="AG105" i="34"/>
  <c r="AA105" i="34"/>
  <c r="X105" i="34"/>
  <c r="Y105" i="34" s="1"/>
  <c r="W105" i="34"/>
  <c r="AQ104" i="34"/>
  <c r="AR104" i="34" s="1"/>
  <c r="AP104" i="34"/>
  <c r="AO104" i="34"/>
  <c r="AN104" i="34"/>
  <c r="AM104" i="34"/>
  <c r="AL104" i="34"/>
  <c r="AJ104" i="34"/>
  <c r="AI104" i="34"/>
  <c r="AH104" i="34"/>
  <c r="AG104" i="34"/>
  <c r="AA104" i="34"/>
  <c r="X104" i="34"/>
  <c r="Z104" i="34" s="1"/>
  <c r="W104" i="34"/>
  <c r="AQ103" i="34"/>
  <c r="AP103" i="34"/>
  <c r="AO103" i="34"/>
  <c r="AN103" i="34"/>
  <c r="AM103" i="34"/>
  <c r="AL103" i="34"/>
  <c r="AJ103" i="34"/>
  <c r="AI103" i="34"/>
  <c r="AH103" i="34"/>
  <c r="AG103" i="34"/>
  <c r="AA103" i="34"/>
  <c r="X103" i="34"/>
  <c r="W103" i="34"/>
  <c r="AQ102" i="34"/>
  <c r="AP102" i="34"/>
  <c r="AO102" i="34"/>
  <c r="AN102" i="34"/>
  <c r="AM102" i="34"/>
  <c r="AL102" i="34"/>
  <c r="AJ102" i="34"/>
  <c r="AI102" i="34"/>
  <c r="AH102" i="34"/>
  <c r="AG102" i="34"/>
  <c r="AA102" i="34"/>
  <c r="X102" i="34"/>
  <c r="Z102" i="34" s="1"/>
  <c r="W102" i="34"/>
  <c r="AQ101" i="34"/>
  <c r="AT101" i="34" s="1"/>
  <c r="AP101" i="34"/>
  <c r="AO101" i="34"/>
  <c r="AN101" i="34"/>
  <c r="AM101" i="34"/>
  <c r="AL101" i="34"/>
  <c r="AJ101" i="34"/>
  <c r="AI101" i="34"/>
  <c r="AH101" i="34"/>
  <c r="AG101" i="34"/>
  <c r="AA101" i="34"/>
  <c r="X101" i="34"/>
  <c r="Y101" i="34" s="1"/>
  <c r="W101" i="34"/>
  <c r="AQ100" i="34"/>
  <c r="AT100" i="34" s="1"/>
  <c r="AP100" i="34"/>
  <c r="AO100" i="34"/>
  <c r="AN100" i="34"/>
  <c r="AM100" i="34"/>
  <c r="AL100" i="34"/>
  <c r="AJ100" i="34"/>
  <c r="AI100" i="34"/>
  <c r="AH100" i="34"/>
  <c r="AG100" i="34"/>
  <c r="AA100" i="34"/>
  <c r="X100" i="34"/>
  <c r="Y100" i="34" s="1"/>
  <c r="W100" i="34"/>
  <c r="AQ99" i="34"/>
  <c r="AS99" i="34" s="1"/>
  <c r="AP99" i="34"/>
  <c r="AO99" i="34"/>
  <c r="AN99" i="34"/>
  <c r="AM99" i="34"/>
  <c r="AL99" i="34"/>
  <c r="AJ99" i="34"/>
  <c r="AI99" i="34"/>
  <c r="AH99" i="34"/>
  <c r="AG99" i="34"/>
  <c r="AA99" i="34"/>
  <c r="X99" i="34"/>
  <c r="W99" i="34"/>
  <c r="AQ98" i="34"/>
  <c r="AR98" i="34" s="1"/>
  <c r="AP98" i="34"/>
  <c r="AO98" i="34"/>
  <c r="AN98" i="34"/>
  <c r="AM98" i="34"/>
  <c r="AL98" i="34"/>
  <c r="AJ98" i="34"/>
  <c r="AI98" i="34"/>
  <c r="AH98" i="34"/>
  <c r="AG98" i="34"/>
  <c r="AA98" i="34"/>
  <c r="X98" i="34"/>
  <c r="Y98" i="34" s="1"/>
  <c r="W98" i="34"/>
  <c r="AQ97" i="34"/>
  <c r="AP97" i="34"/>
  <c r="AO97" i="34"/>
  <c r="AN97" i="34"/>
  <c r="AM97" i="34"/>
  <c r="AL97" i="34"/>
  <c r="AJ97" i="34"/>
  <c r="AI97" i="34"/>
  <c r="AH97" i="34"/>
  <c r="AG97" i="34"/>
  <c r="AA97" i="34"/>
  <c r="X97" i="34"/>
  <c r="Y97" i="34" s="1"/>
  <c r="W97" i="34"/>
  <c r="AQ96" i="34"/>
  <c r="AR96" i="34" s="1"/>
  <c r="AP96" i="34"/>
  <c r="AO96" i="34"/>
  <c r="AN96" i="34"/>
  <c r="AM96" i="34"/>
  <c r="AL96" i="34"/>
  <c r="AJ96" i="34"/>
  <c r="AI96" i="34"/>
  <c r="AH96" i="34"/>
  <c r="AG96" i="34"/>
  <c r="AA96" i="34"/>
  <c r="X96" i="34"/>
  <c r="Z96" i="34" s="1"/>
  <c r="W96" i="34"/>
  <c r="AQ95" i="34"/>
  <c r="AP95" i="34"/>
  <c r="AO95" i="34"/>
  <c r="AN95" i="34"/>
  <c r="AM95" i="34"/>
  <c r="AL95" i="34"/>
  <c r="AJ95" i="34"/>
  <c r="AI95" i="34"/>
  <c r="AH95" i="34"/>
  <c r="AG95" i="34"/>
  <c r="AA95" i="34"/>
  <c r="X95" i="34"/>
  <c r="W95" i="34"/>
  <c r="AQ94" i="34"/>
  <c r="AU94" i="34" s="1"/>
  <c r="AP94" i="34"/>
  <c r="AO94" i="34"/>
  <c r="AN94" i="34"/>
  <c r="AM94" i="34"/>
  <c r="AL94" i="34"/>
  <c r="AJ94" i="34"/>
  <c r="AI94" i="34"/>
  <c r="AH94" i="34"/>
  <c r="AG94" i="34"/>
  <c r="AA94" i="34"/>
  <c r="X94" i="34"/>
  <c r="Z94" i="34" s="1"/>
  <c r="W94" i="34"/>
  <c r="AQ93" i="34"/>
  <c r="AS93" i="34" s="1"/>
  <c r="AP93" i="34"/>
  <c r="AO93" i="34"/>
  <c r="AN93" i="34"/>
  <c r="AM93" i="34"/>
  <c r="AL93" i="34"/>
  <c r="AJ93" i="34"/>
  <c r="AI93" i="34"/>
  <c r="AH93" i="34"/>
  <c r="AG93" i="34"/>
  <c r="AA93" i="34"/>
  <c r="X93" i="34"/>
  <c r="Y93" i="34" s="1"/>
  <c r="W93" i="34"/>
  <c r="AQ92" i="34"/>
  <c r="AU92" i="34" s="1"/>
  <c r="AP92" i="34"/>
  <c r="AO92" i="34"/>
  <c r="AN92" i="34"/>
  <c r="AM92" i="34"/>
  <c r="AL92" i="34"/>
  <c r="AJ92" i="34"/>
  <c r="AI92" i="34"/>
  <c r="AH92" i="34"/>
  <c r="AG92" i="34"/>
  <c r="AA92" i="34"/>
  <c r="X92" i="34"/>
  <c r="Y92" i="34" s="1"/>
  <c r="W92" i="34"/>
  <c r="AQ91" i="34"/>
  <c r="AS91" i="34" s="1"/>
  <c r="AP91" i="34"/>
  <c r="AO91" i="34"/>
  <c r="AN91" i="34"/>
  <c r="AM91" i="34"/>
  <c r="AL91" i="34"/>
  <c r="AJ91" i="34"/>
  <c r="AI91" i="34"/>
  <c r="AH91" i="34"/>
  <c r="AG91" i="34"/>
  <c r="AA91" i="34"/>
  <c r="X91" i="34"/>
  <c r="W91" i="34"/>
  <c r="AQ90" i="34"/>
  <c r="AU90" i="34" s="1"/>
  <c r="AP90" i="34"/>
  <c r="AO90" i="34"/>
  <c r="AN90" i="34"/>
  <c r="AM90" i="34"/>
  <c r="AL90" i="34"/>
  <c r="AJ90" i="34"/>
  <c r="AI90" i="34"/>
  <c r="AH90" i="34"/>
  <c r="AG90" i="34"/>
  <c r="AA90" i="34"/>
  <c r="X90" i="34"/>
  <c r="Y90" i="34" s="1"/>
  <c r="W90" i="34"/>
  <c r="AQ89" i="34"/>
  <c r="AT89" i="34" s="1"/>
  <c r="AP89" i="34"/>
  <c r="AO89" i="34"/>
  <c r="AN89" i="34"/>
  <c r="AM89" i="34"/>
  <c r="AL89" i="34"/>
  <c r="AJ89" i="34"/>
  <c r="AI89" i="34"/>
  <c r="AH89" i="34"/>
  <c r="AG89" i="34"/>
  <c r="AA89" i="34"/>
  <c r="X89" i="34"/>
  <c r="W89" i="34"/>
  <c r="AQ88" i="34"/>
  <c r="AS88" i="34" s="1"/>
  <c r="AP88" i="34"/>
  <c r="AO88" i="34"/>
  <c r="AN88" i="34"/>
  <c r="AM88" i="34"/>
  <c r="AL88" i="34"/>
  <c r="AJ88" i="34"/>
  <c r="AI88" i="34"/>
  <c r="AH88" i="34"/>
  <c r="AG88" i="34"/>
  <c r="AA88" i="34"/>
  <c r="X88" i="34"/>
  <c r="Z88" i="34" s="1"/>
  <c r="W88" i="34"/>
  <c r="AQ87" i="34"/>
  <c r="AP87" i="34"/>
  <c r="AO87" i="34"/>
  <c r="AN87" i="34"/>
  <c r="AM87" i="34"/>
  <c r="AL87" i="34"/>
  <c r="AJ87" i="34"/>
  <c r="AI87" i="34"/>
  <c r="AH87" i="34"/>
  <c r="AG87" i="34"/>
  <c r="AA87" i="34"/>
  <c r="X87" i="34"/>
  <c r="W87" i="34"/>
  <c r="AQ86" i="34"/>
  <c r="AU86" i="34" s="1"/>
  <c r="AP86" i="34"/>
  <c r="AO86" i="34"/>
  <c r="AN86" i="34"/>
  <c r="AM86" i="34"/>
  <c r="AL86" i="34"/>
  <c r="AJ86" i="34"/>
  <c r="AI86" i="34"/>
  <c r="AH86" i="34"/>
  <c r="AG86" i="34"/>
  <c r="AA86" i="34"/>
  <c r="X86" i="34"/>
  <c r="Z86" i="34" s="1"/>
  <c r="W86" i="34"/>
  <c r="AQ85" i="34"/>
  <c r="AT85" i="34" s="1"/>
  <c r="AP85" i="34"/>
  <c r="AO85" i="34"/>
  <c r="AN85" i="34"/>
  <c r="AM85" i="34"/>
  <c r="AL85" i="34"/>
  <c r="AJ85" i="34"/>
  <c r="AI85" i="34"/>
  <c r="AH85" i="34"/>
  <c r="AG85" i="34"/>
  <c r="AA85" i="34"/>
  <c r="X85" i="34"/>
  <c r="Y85" i="34" s="1"/>
  <c r="W85" i="34"/>
  <c r="AQ84" i="34"/>
  <c r="AU84" i="34" s="1"/>
  <c r="AP84" i="34"/>
  <c r="AO84" i="34"/>
  <c r="AN84" i="34"/>
  <c r="AM84" i="34"/>
  <c r="AL84" i="34"/>
  <c r="AJ84" i="34"/>
  <c r="AI84" i="34"/>
  <c r="AH84" i="34"/>
  <c r="AG84" i="34"/>
  <c r="AA84" i="34"/>
  <c r="X84" i="34"/>
  <c r="Y84" i="34" s="1"/>
  <c r="W84" i="34"/>
  <c r="AQ83" i="34"/>
  <c r="AP83" i="34"/>
  <c r="AO83" i="34"/>
  <c r="AN83" i="34"/>
  <c r="AM83" i="34"/>
  <c r="AL83" i="34"/>
  <c r="AJ83" i="34"/>
  <c r="AI83" i="34"/>
  <c r="AH83" i="34"/>
  <c r="AG83" i="34"/>
  <c r="AA83" i="34"/>
  <c r="X83" i="34"/>
  <c r="W83" i="34"/>
  <c r="AQ82" i="34"/>
  <c r="AU82" i="34" s="1"/>
  <c r="AP82" i="34"/>
  <c r="AO82" i="34"/>
  <c r="AN82" i="34"/>
  <c r="AM82" i="34"/>
  <c r="AL82" i="34"/>
  <c r="AJ82" i="34"/>
  <c r="AI82" i="34"/>
  <c r="AH82" i="34"/>
  <c r="AG82" i="34"/>
  <c r="AA82" i="34"/>
  <c r="X82" i="34"/>
  <c r="Z82" i="34" s="1"/>
  <c r="W82" i="34"/>
  <c r="AQ81" i="34"/>
  <c r="AP81" i="34"/>
  <c r="AO81" i="34"/>
  <c r="AN81" i="34"/>
  <c r="AM81" i="34"/>
  <c r="AL81" i="34"/>
  <c r="AJ81" i="34"/>
  <c r="AI81" i="34"/>
  <c r="AH81" i="34"/>
  <c r="AG81" i="34"/>
  <c r="AA81" i="34"/>
  <c r="X81" i="34"/>
  <c r="Y81" i="34" s="1"/>
  <c r="W81" i="34"/>
  <c r="AQ80" i="34"/>
  <c r="AU80" i="34" s="1"/>
  <c r="AP80" i="34"/>
  <c r="AO80" i="34"/>
  <c r="AN80" i="34"/>
  <c r="AM80" i="34"/>
  <c r="AL80" i="34"/>
  <c r="AJ80" i="34"/>
  <c r="AI80" i="34"/>
  <c r="AH80" i="34"/>
  <c r="AG80" i="34"/>
  <c r="AA80" i="34"/>
  <c r="X80" i="34"/>
  <c r="Z80" i="34" s="1"/>
  <c r="W80" i="34"/>
  <c r="AQ79" i="34"/>
  <c r="AP79" i="34"/>
  <c r="AH79" i="34" s="1"/>
  <c r="AL79" i="34" s="1"/>
  <c r="AO79" i="34"/>
  <c r="AN79" i="34"/>
  <c r="AG79" i="34" s="1"/>
  <c r="AA79" i="34"/>
  <c r="X79" i="34"/>
  <c r="W79" i="34"/>
  <c r="AQ78" i="34"/>
  <c r="AR78" i="34" s="1"/>
  <c r="AP78" i="34"/>
  <c r="AO78" i="34"/>
  <c r="AN78" i="34"/>
  <c r="AG78" i="34" s="1"/>
  <c r="AH78" i="34"/>
  <c r="AA78" i="34"/>
  <c r="X78" i="34"/>
  <c r="Z78" i="34" s="1"/>
  <c r="W78" i="34"/>
  <c r="AQ77" i="34"/>
  <c r="AS77" i="34" s="1"/>
  <c r="AP77" i="34"/>
  <c r="AH77" i="34" s="1"/>
  <c r="AL77" i="34" s="1"/>
  <c r="AO77" i="34"/>
  <c r="AN77" i="34"/>
  <c r="AG77" i="34" s="1"/>
  <c r="AA77" i="34"/>
  <c r="X77" i="34"/>
  <c r="Y77" i="34" s="1"/>
  <c r="W77" i="34"/>
  <c r="AQ76" i="34"/>
  <c r="AS76" i="34" s="1"/>
  <c r="AP76" i="34"/>
  <c r="AO76" i="34"/>
  <c r="AN76" i="34"/>
  <c r="AG76" i="34" s="1"/>
  <c r="AH76" i="34"/>
  <c r="AA76" i="34"/>
  <c r="X76" i="34"/>
  <c r="Y76" i="34" s="1"/>
  <c r="W76" i="34"/>
  <c r="AQ75" i="34"/>
  <c r="AS75" i="34" s="1"/>
  <c r="AP75" i="34"/>
  <c r="AO75" i="34"/>
  <c r="AN75" i="34"/>
  <c r="AG75" i="34" s="1"/>
  <c r="AH75" i="34"/>
  <c r="AL75" i="34" s="1"/>
  <c r="AA75" i="34"/>
  <c r="X75" i="34"/>
  <c r="Z75" i="34" s="1"/>
  <c r="W75" i="34"/>
  <c r="AQ74" i="34"/>
  <c r="AU74" i="34" s="1"/>
  <c r="AP74" i="34"/>
  <c r="AO74" i="34"/>
  <c r="AN74" i="34"/>
  <c r="AG74" i="34" s="1"/>
  <c r="AH74" i="34"/>
  <c r="AI74" i="34" s="1"/>
  <c r="AA74" i="34"/>
  <c r="X74" i="34"/>
  <c r="Z74" i="34" s="1"/>
  <c r="W74" i="34"/>
  <c r="AQ73" i="34"/>
  <c r="AT73" i="34" s="1"/>
  <c r="AP73" i="34"/>
  <c r="AO73" i="34"/>
  <c r="AN73" i="34"/>
  <c r="AG73" i="34" s="1"/>
  <c r="AH73" i="34"/>
  <c r="AI73" i="34" s="1"/>
  <c r="AA73" i="34"/>
  <c r="X73" i="34"/>
  <c r="Y73" i="34" s="1"/>
  <c r="W73" i="34"/>
  <c r="V73" i="34"/>
  <c r="AQ72" i="34"/>
  <c r="AS72" i="34" s="1"/>
  <c r="AP72" i="34"/>
  <c r="AH72" i="34" s="1"/>
  <c r="AI72" i="34" s="1"/>
  <c r="AO72" i="34"/>
  <c r="AN72" i="34"/>
  <c r="AG72" i="34" s="1"/>
  <c r="AA72" i="34"/>
  <c r="AY70" i="34"/>
  <c r="AU69" i="34"/>
  <c r="AT69" i="34"/>
  <c r="AS69" i="34"/>
  <c r="AR69" i="34"/>
  <c r="AQ69" i="34"/>
  <c r="AP69" i="34"/>
  <c r="AO69" i="34"/>
  <c r="AN69" i="34"/>
  <c r="AM69" i="34"/>
  <c r="AF69" i="34"/>
  <c r="AE69" i="34"/>
  <c r="AD69" i="34"/>
  <c r="AC69" i="34"/>
  <c r="AB69" i="34"/>
  <c r="AA69" i="34"/>
  <c r="Z69" i="34"/>
  <c r="Y69" i="34"/>
  <c r="X69" i="34"/>
  <c r="W69" i="34"/>
  <c r="V69" i="34"/>
  <c r="T69" i="34"/>
  <c r="R69" i="34"/>
  <c r="AB67" i="34"/>
  <c r="B64" i="34" a="1"/>
  <c r="B64" i="34" s="1"/>
  <c r="B56" i="34" a="1"/>
  <c r="B56" i="34" s="1"/>
  <c r="B55" i="34" a="1"/>
  <c r="B55" i="34" s="1"/>
  <c r="B54" i="34" a="1"/>
  <c r="B54" i="34" s="1"/>
  <c r="B53" i="34" a="1"/>
  <c r="B53" i="34" s="1"/>
  <c r="B52" i="34" a="1"/>
  <c r="B52" i="34" s="1"/>
  <c r="B51" i="34" a="1"/>
  <c r="B51" i="34" s="1"/>
  <c r="B50" i="34" a="1"/>
  <c r="B50" i="34" s="1"/>
  <c r="B49" i="34" a="1"/>
  <c r="B49" i="34" s="1"/>
  <c r="B48" i="34" a="1"/>
  <c r="B48" i="34" s="1"/>
  <c r="B47" i="34" a="1"/>
  <c r="B47" i="34" s="1"/>
  <c r="B46" i="34" a="1"/>
  <c r="B46" i="34" s="1"/>
  <c r="B45" i="34" a="1"/>
  <c r="B45" i="34" s="1"/>
  <c r="B44" i="34" a="1"/>
  <c r="B44" i="34" s="1"/>
  <c r="B43" i="34" a="1"/>
  <c r="B43" i="34" s="1"/>
  <c r="B42" i="34" a="1"/>
  <c r="B42" i="34" s="1"/>
  <c r="B41" i="34" a="1"/>
  <c r="B41" i="34" s="1"/>
  <c r="B40" i="34" a="1"/>
  <c r="B40" i="34" s="1"/>
  <c r="B39" i="34" a="1"/>
  <c r="B39" i="34" s="1"/>
  <c r="B38" i="34" a="1"/>
  <c r="B38" i="34" s="1"/>
  <c r="B37" i="34" a="1"/>
  <c r="B37" i="34" s="1"/>
  <c r="B36" i="34" a="1"/>
  <c r="B36" i="34" s="1"/>
  <c r="B35" i="34" a="1"/>
  <c r="B35" i="34" s="1"/>
  <c r="B34" i="34" a="1"/>
  <c r="B34" i="34" s="1"/>
  <c r="B33" i="34" a="1"/>
  <c r="B33" i="34" s="1"/>
  <c r="B32" i="34" a="1"/>
  <c r="B32" i="34" s="1"/>
  <c r="B31" i="34" a="1"/>
  <c r="B31" i="34" s="1"/>
  <c r="B30" i="34" a="1"/>
  <c r="B30" i="34" s="1"/>
  <c r="B29" i="34" a="1"/>
  <c r="B29" i="34" s="1"/>
  <c r="B28" i="34" a="1"/>
  <c r="B28" i="34" s="1"/>
  <c r="B27" i="34" a="1"/>
  <c r="B27" i="34" s="1"/>
  <c r="B26" i="34" a="1"/>
  <c r="B26" i="34" s="1"/>
  <c r="B25" i="34" a="1"/>
  <c r="B25" i="34" s="1"/>
  <c r="B24" i="34" a="1"/>
  <c r="B24" i="34" s="1"/>
  <c r="B23" i="34" a="1"/>
  <c r="B23" i="34" s="1"/>
  <c r="B22" i="34" a="1"/>
  <c r="B22" i="34" s="1"/>
  <c r="G20" i="34"/>
  <c r="E20" i="34"/>
  <c r="B16" i="34"/>
  <c r="Q15" i="34"/>
  <c r="P15" i="34"/>
  <c r="M15" i="34"/>
  <c r="L15" i="34"/>
  <c r="K15" i="34"/>
  <c r="Q14" i="34"/>
  <c r="P14" i="34"/>
  <c r="M14" i="34"/>
  <c r="L14" i="34"/>
  <c r="K14" i="34"/>
  <c r="Q13" i="34"/>
  <c r="P13" i="34"/>
  <c r="M13" i="34"/>
  <c r="L13" i="34"/>
  <c r="K13" i="34"/>
  <c r="Q12" i="34"/>
  <c r="P12" i="34"/>
  <c r="M12" i="34"/>
  <c r="L12" i="34"/>
  <c r="K12" i="34"/>
  <c r="Q11" i="34"/>
  <c r="P11" i="34"/>
  <c r="M11" i="34"/>
  <c r="L11" i="34"/>
  <c r="K11" i="34"/>
  <c r="G11" i="34" a="1"/>
  <c r="G11" i="34" s="1"/>
  <c r="B11" i="34" a="1"/>
  <c r="B11" i="34" s="1"/>
  <c r="Q10" i="34"/>
  <c r="P10" i="34"/>
  <c r="M10" i="34"/>
  <c r="L10" i="34"/>
  <c r="K10" i="34"/>
  <c r="Q9" i="34"/>
  <c r="P9" i="34"/>
  <c r="C20" i="34" s="1" a="1"/>
  <c r="C20" i="34" s="1"/>
  <c r="M9" i="34"/>
  <c r="B6" i="34" s="1" a="1"/>
  <c r="B6" i="34" s="1"/>
  <c r="A1" i="34" s="1"/>
  <c r="L9" i="34"/>
  <c r="B7" i="34" s="1" a="1"/>
  <c r="B7" i="34" s="1"/>
  <c r="K9" i="34"/>
  <c r="Q8" i="34"/>
  <c r="P8" i="34"/>
  <c r="M8" i="34"/>
  <c r="L8" i="34"/>
  <c r="K8" i="34"/>
  <c r="Q7" i="34"/>
  <c r="P7" i="34"/>
  <c r="M7" i="34"/>
  <c r="L7" i="34"/>
  <c r="K7" i="34"/>
  <c r="H7" i="34" a="1"/>
  <c r="H7" i="34" s="1"/>
  <c r="Q6" i="34"/>
  <c r="P6" i="34"/>
  <c r="M6" i="34"/>
  <c r="L6" i="34"/>
  <c r="K6" i="34"/>
  <c r="BD432" i="33"/>
  <c r="T4" i="33" s="1"/>
  <c r="AQ430" i="33"/>
  <c r="AP430" i="33"/>
  <c r="AO430" i="33"/>
  <c r="AN430" i="33"/>
  <c r="AM430" i="33"/>
  <c r="AL430" i="33"/>
  <c r="AJ430" i="33"/>
  <c r="AI430" i="33"/>
  <c r="AH430" i="33"/>
  <c r="AG430" i="33"/>
  <c r="AA430" i="33"/>
  <c r="X430" i="33"/>
  <c r="W430" i="33"/>
  <c r="AQ429" i="33"/>
  <c r="AR429" i="33" s="1"/>
  <c r="AP429" i="33"/>
  <c r="AO429" i="33"/>
  <c r="AN429" i="33"/>
  <c r="AM429" i="33"/>
  <c r="AL429" i="33"/>
  <c r="AJ429" i="33"/>
  <c r="AI429" i="33"/>
  <c r="AH429" i="33"/>
  <c r="AG429" i="33"/>
  <c r="AA429" i="33"/>
  <c r="X429" i="33"/>
  <c r="Z429" i="33" s="1"/>
  <c r="W429" i="33"/>
  <c r="AQ428" i="33"/>
  <c r="AU428" i="33" s="1"/>
  <c r="AP428" i="33"/>
  <c r="AO428" i="33"/>
  <c r="AN428" i="33"/>
  <c r="AM428" i="33"/>
  <c r="AL428" i="33"/>
  <c r="AJ428" i="33"/>
  <c r="AI428" i="33"/>
  <c r="AH428" i="33"/>
  <c r="AG428" i="33"/>
  <c r="AA428" i="33"/>
  <c r="X428" i="33"/>
  <c r="Y428" i="33" s="1"/>
  <c r="W428" i="33"/>
  <c r="AQ427" i="33"/>
  <c r="AR427" i="33" s="1"/>
  <c r="AP427" i="33"/>
  <c r="AO427" i="33"/>
  <c r="AN427" i="33"/>
  <c r="AM427" i="33"/>
  <c r="AL427" i="33"/>
  <c r="AJ427" i="33"/>
  <c r="AI427" i="33"/>
  <c r="AH427" i="33"/>
  <c r="AG427" i="33"/>
  <c r="AA427" i="33"/>
  <c r="X427" i="33"/>
  <c r="Z427" i="33" s="1"/>
  <c r="W427" i="33"/>
  <c r="AQ426" i="33"/>
  <c r="AS426" i="33" s="1"/>
  <c r="AP426" i="33"/>
  <c r="AO426" i="33"/>
  <c r="AN426" i="33"/>
  <c r="AM426" i="33"/>
  <c r="AL426" i="33"/>
  <c r="AJ426" i="33"/>
  <c r="AI426" i="33"/>
  <c r="AH426" i="33"/>
  <c r="AG426" i="33"/>
  <c r="AA426" i="33"/>
  <c r="X426" i="33"/>
  <c r="W426" i="33"/>
  <c r="AQ425" i="33"/>
  <c r="AP425" i="33"/>
  <c r="AO425" i="33"/>
  <c r="AN425" i="33"/>
  <c r="AM425" i="33"/>
  <c r="AL425" i="33"/>
  <c r="AJ425" i="33"/>
  <c r="AI425" i="33"/>
  <c r="AH425" i="33"/>
  <c r="AG425" i="33"/>
  <c r="AA425" i="33"/>
  <c r="X425" i="33"/>
  <c r="Z425" i="33" s="1"/>
  <c r="W425" i="33"/>
  <c r="AQ424" i="33"/>
  <c r="AP424" i="33"/>
  <c r="AO424" i="33"/>
  <c r="AN424" i="33"/>
  <c r="AM424" i="33"/>
  <c r="AL424" i="33"/>
  <c r="AJ424" i="33"/>
  <c r="AI424" i="33"/>
  <c r="AH424" i="33"/>
  <c r="AG424" i="33"/>
  <c r="AA424" i="33"/>
  <c r="X424" i="33"/>
  <c r="Z424" i="33" s="1"/>
  <c r="W424" i="33"/>
  <c r="AQ423" i="33"/>
  <c r="AU423" i="33" s="1"/>
  <c r="AP423" i="33"/>
  <c r="AO423" i="33"/>
  <c r="AN423" i="33"/>
  <c r="AM423" i="33"/>
  <c r="AL423" i="33"/>
  <c r="AJ423" i="33"/>
  <c r="AI423" i="33"/>
  <c r="AH423" i="33"/>
  <c r="AG423" i="33"/>
  <c r="AA423" i="33"/>
  <c r="X423" i="33"/>
  <c r="W423" i="33"/>
  <c r="AQ422" i="33"/>
  <c r="AP422" i="33"/>
  <c r="AO422" i="33"/>
  <c r="AN422" i="33"/>
  <c r="AM422" i="33"/>
  <c r="AL422" i="33"/>
  <c r="AJ422" i="33"/>
  <c r="AI422" i="33"/>
  <c r="AH422" i="33"/>
  <c r="AG422" i="33"/>
  <c r="AA422" i="33"/>
  <c r="X422" i="33"/>
  <c r="W422" i="33"/>
  <c r="AQ421" i="33"/>
  <c r="AT421" i="33" s="1"/>
  <c r="AP421" i="33"/>
  <c r="AO421" i="33"/>
  <c r="AN421" i="33"/>
  <c r="AM421" i="33"/>
  <c r="AL421" i="33"/>
  <c r="AJ421" i="33"/>
  <c r="AI421" i="33"/>
  <c r="AH421" i="33"/>
  <c r="AG421" i="33"/>
  <c r="AA421" i="33"/>
  <c r="X421" i="33"/>
  <c r="Z421" i="33" s="1"/>
  <c r="W421" i="33"/>
  <c r="AQ420" i="33"/>
  <c r="AU420" i="33" s="1"/>
  <c r="AP420" i="33"/>
  <c r="AO420" i="33"/>
  <c r="AN420" i="33"/>
  <c r="AM420" i="33"/>
  <c r="AL420" i="33"/>
  <c r="AJ420" i="33"/>
  <c r="AI420" i="33"/>
  <c r="AH420" i="33"/>
  <c r="AG420" i="33"/>
  <c r="AA420" i="33"/>
  <c r="X420" i="33"/>
  <c r="W420" i="33"/>
  <c r="AQ419" i="33"/>
  <c r="AT419" i="33" s="1"/>
  <c r="AP419" i="33"/>
  <c r="AO419" i="33"/>
  <c r="AN419" i="33"/>
  <c r="AM419" i="33"/>
  <c r="AL419" i="33"/>
  <c r="AJ419" i="33"/>
  <c r="AI419" i="33"/>
  <c r="AH419" i="33"/>
  <c r="AG419" i="33"/>
  <c r="AA419" i="33"/>
  <c r="X419" i="33"/>
  <c r="W419" i="33"/>
  <c r="AQ418" i="33"/>
  <c r="AS418" i="33" s="1"/>
  <c r="AP418" i="33"/>
  <c r="AO418" i="33"/>
  <c r="AN418" i="33"/>
  <c r="AM418" i="33"/>
  <c r="AL418" i="33"/>
  <c r="AJ418" i="33"/>
  <c r="AI418" i="33"/>
  <c r="AH418" i="33"/>
  <c r="AG418" i="33"/>
  <c r="AA418" i="33"/>
  <c r="X418" i="33"/>
  <c r="W418" i="33"/>
  <c r="AQ417" i="33"/>
  <c r="AP417" i="33"/>
  <c r="AO417" i="33"/>
  <c r="AN417" i="33"/>
  <c r="AM417" i="33"/>
  <c r="AL417" i="33"/>
  <c r="AJ417" i="33"/>
  <c r="AI417" i="33"/>
  <c r="AH417" i="33"/>
  <c r="AG417" i="33"/>
  <c r="AA417" i="33"/>
  <c r="X417" i="33"/>
  <c r="Z417" i="33" s="1"/>
  <c r="W417" i="33"/>
  <c r="AQ416" i="33"/>
  <c r="AU416" i="33" s="1"/>
  <c r="AP416" i="33"/>
  <c r="AO416" i="33"/>
  <c r="AN416" i="33"/>
  <c r="AM416" i="33"/>
  <c r="AL416" i="33"/>
  <c r="AJ416" i="33"/>
  <c r="AI416" i="33"/>
  <c r="AH416" i="33"/>
  <c r="AG416" i="33"/>
  <c r="AA416" i="33"/>
  <c r="X416" i="33"/>
  <c r="Z416" i="33" s="1"/>
  <c r="W416" i="33"/>
  <c r="AQ415" i="33"/>
  <c r="AU415" i="33" s="1"/>
  <c r="AP415" i="33"/>
  <c r="AO415" i="33"/>
  <c r="AN415" i="33"/>
  <c r="AM415" i="33"/>
  <c r="AL415" i="33"/>
  <c r="AJ415" i="33"/>
  <c r="AI415" i="33"/>
  <c r="AH415" i="33"/>
  <c r="AG415" i="33"/>
  <c r="AA415" i="33"/>
  <c r="X415" i="33"/>
  <c r="Z415" i="33" s="1"/>
  <c r="W415" i="33"/>
  <c r="AQ414" i="33"/>
  <c r="AR414" i="33" s="1"/>
  <c r="AP414" i="33"/>
  <c r="AO414" i="33"/>
  <c r="AN414" i="33"/>
  <c r="AM414" i="33"/>
  <c r="AL414" i="33"/>
  <c r="AJ414" i="33"/>
  <c r="AI414" i="33"/>
  <c r="AH414" i="33"/>
  <c r="AG414" i="33"/>
  <c r="AA414" i="33"/>
  <c r="X414" i="33"/>
  <c r="W414" i="33"/>
  <c r="AQ413" i="33"/>
  <c r="AU413" i="33" s="1"/>
  <c r="AP413" i="33"/>
  <c r="AO413" i="33"/>
  <c r="AN413" i="33"/>
  <c r="AM413" i="33"/>
  <c r="AL413" i="33"/>
  <c r="AJ413" i="33"/>
  <c r="AI413" i="33"/>
  <c r="AH413" i="33"/>
  <c r="AG413" i="33"/>
  <c r="AA413" i="33"/>
  <c r="X413" i="33"/>
  <c r="Z413" i="33" s="1"/>
  <c r="W413" i="33"/>
  <c r="AQ412" i="33"/>
  <c r="AP412" i="33"/>
  <c r="AO412" i="33"/>
  <c r="AN412" i="33"/>
  <c r="AM412" i="33"/>
  <c r="AL412" i="33"/>
  <c r="AJ412" i="33"/>
  <c r="AI412" i="33"/>
  <c r="AH412" i="33"/>
  <c r="AG412" i="33"/>
  <c r="AA412" i="33"/>
  <c r="X412" i="33"/>
  <c r="W412" i="33"/>
  <c r="AQ411" i="33"/>
  <c r="AT411" i="33" s="1"/>
  <c r="AP411" i="33"/>
  <c r="AO411" i="33"/>
  <c r="AN411" i="33"/>
  <c r="AM411" i="33"/>
  <c r="AL411" i="33"/>
  <c r="AJ411" i="33"/>
  <c r="AI411" i="33"/>
  <c r="AH411" i="33"/>
  <c r="AG411" i="33"/>
  <c r="AA411" i="33"/>
  <c r="X411" i="33"/>
  <c r="Z411" i="33" s="1"/>
  <c r="W411" i="33"/>
  <c r="AQ410" i="33"/>
  <c r="AS410" i="33" s="1"/>
  <c r="AP410" i="33"/>
  <c r="AO410" i="33"/>
  <c r="AN410" i="33"/>
  <c r="AM410" i="33"/>
  <c r="AL410" i="33"/>
  <c r="AJ410" i="33"/>
  <c r="AI410" i="33"/>
  <c r="AH410" i="33"/>
  <c r="AG410" i="33"/>
  <c r="AA410" i="33"/>
  <c r="X410" i="33"/>
  <c r="W410" i="33"/>
  <c r="AQ409" i="33"/>
  <c r="AU409" i="33" s="1"/>
  <c r="AP409" i="33"/>
  <c r="AO409" i="33"/>
  <c r="AN409" i="33"/>
  <c r="AM409" i="33"/>
  <c r="AL409" i="33"/>
  <c r="AJ409" i="33"/>
  <c r="AI409" i="33"/>
  <c r="AH409" i="33"/>
  <c r="AG409" i="33"/>
  <c r="AA409" i="33"/>
  <c r="X409" i="33"/>
  <c r="Z409" i="33" s="1"/>
  <c r="W409" i="33"/>
  <c r="AQ408" i="33"/>
  <c r="AP408" i="33"/>
  <c r="AO408" i="33"/>
  <c r="AN408" i="33"/>
  <c r="AM408" i="33"/>
  <c r="AL408" i="33"/>
  <c r="AJ408" i="33"/>
  <c r="AI408" i="33"/>
  <c r="AH408" i="33"/>
  <c r="AG408" i="33"/>
  <c r="AA408" i="33"/>
  <c r="X408" i="33"/>
  <c r="Z408" i="33" s="1"/>
  <c r="W408" i="33"/>
  <c r="AQ407" i="33"/>
  <c r="AU407" i="33" s="1"/>
  <c r="AP407" i="33"/>
  <c r="AO407" i="33"/>
  <c r="AN407" i="33"/>
  <c r="AM407" i="33"/>
  <c r="AL407" i="33"/>
  <c r="AJ407" i="33"/>
  <c r="AI407" i="33"/>
  <c r="AH407" i="33"/>
  <c r="AG407" i="33"/>
  <c r="AA407" i="33"/>
  <c r="X407" i="33"/>
  <c r="Z407" i="33" s="1"/>
  <c r="W407" i="33"/>
  <c r="AQ406" i="33"/>
  <c r="AR406" i="33" s="1"/>
  <c r="AP406" i="33"/>
  <c r="AO406" i="33"/>
  <c r="AN406" i="33"/>
  <c r="AM406" i="33"/>
  <c r="AL406" i="33"/>
  <c r="AJ406" i="33"/>
  <c r="AI406" i="33"/>
  <c r="AH406" i="33"/>
  <c r="AG406" i="33"/>
  <c r="AA406" i="33"/>
  <c r="X406" i="33"/>
  <c r="W406" i="33"/>
  <c r="AQ405" i="33"/>
  <c r="AU405" i="33" s="1"/>
  <c r="AP405" i="33"/>
  <c r="AO405" i="33"/>
  <c r="AN405" i="33"/>
  <c r="AM405" i="33"/>
  <c r="AL405" i="33"/>
  <c r="AJ405" i="33"/>
  <c r="AI405" i="33"/>
  <c r="AH405" i="33"/>
  <c r="AG405" i="33"/>
  <c r="AA405" i="33"/>
  <c r="X405" i="33"/>
  <c r="W405" i="33"/>
  <c r="AQ404" i="33"/>
  <c r="AR404" i="33" s="1"/>
  <c r="AP404" i="33"/>
  <c r="AO404" i="33"/>
  <c r="AN404" i="33"/>
  <c r="AM404" i="33"/>
  <c r="AL404" i="33"/>
  <c r="AJ404" i="33"/>
  <c r="AI404" i="33"/>
  <c r="AH404" i="33"/>
  <c r="AG404" i="33"/>
  <c r="AA404" i="33"/>
  <c r="X404" i="33"/>
  <c r="W404" i="33"/>
  <c r="AQ403" i="33"/>
  <c r="AS403" i="33" s="1"/>
  <c r="AP403" i="33"/>
  <c r="AO403" i="33"/>
  <c r="AN403" i="33"/>
  <c r="AM403" i="33"/>
  <c r="AL403" i="33"/>
  <c r="AJ403" i="33"/>
  <c r="AI403" i="33"/>
  <c r="AH403" i="33"/>
  <c r="AG403" i="33"/>
  <c r="AA403" i="33"/>
  <c r="X403" i="33"/>
  <c r="Z403" i="33" s="1"/>
  <c r="W403" i="33"/>
  <c r="AQ402" i="33"/>
  <c r="AS402" i="33" s="1"/>
  <c r="AP402" i="33"/>
  <c r="AO402" i="33"/>
  <c r="AN402" i="33"/>
  <c r="AM402" i="33"/>
  <c r="AL402" i="33"/>
  <c r="AJ402" i="33"/>
  <c r="AI402" i="33"/>
  <c r="AH402" i="33"/>
  <c r="AG402" i="33"/>
  <c r="AA402" i="33"/>
  <c r="X402" i="33"/>
  <c r="W402" i="33"/>
  <c r="AQ401" i="33"/>
  <c r="AS401" i="33" s="1"/>
  <c r="AP401" i="33"/>
  <c r="AO401" i="33"/>
  <c r="AN401" i="33"/>
  <c r="AM401" i="33"/>
  <c r="AL401" i="33"/>
  <c r="AJ401" i="33"/>
  <c r="AI401" i="33"/>
  <c r="AH401" i="33"/>
  <c r="AG401" i="33"/>
  <c r="AA401" i="33"/>
  <c r="X401" i="33"/>
  <c r="Z401" i="33" s="1"/>
  <c r="W401" i="33"/>
  <c r="AQ400" i="33"/>
  <c r="AU400" i="33" s="1"/>
  <c r="AP400" i="33"/>
  <c r="AO400" i="33"/>
  <c r="AN400" i="33"/>
  <c r="AM400" i="33"/>
  <c r="AL400" i="33"/>
  <c r="AJ400" i="33"/>
  <c r="AI400" i="33"/>
  <c r="AH400" i="33"/>
  <c r="AG400" i="33"/>
  <c r="AA400" i="33"/>
  <c r="X400" i="33"/>
  <c r="Z400" i="33" s="1"/>
  <c r="W400" i="33"/>
  <c r="AQ399" i="33"/>
  <c r="AP399" i="33"/>
  <c r="AO399" i="33"/>
  <c r="AN399" i="33"/>
  <c r="AM399" i="33"/>
  <c r="AL399" i="33"/>
  <c r="AJ399" i="33"/>
  <c r="AI399" i="33"/>
  <c r="AH399" i="33"/>
  <c r="AG399" i="33"/>
  <c r="AA399" i="33"/>
  <c r="X399" i="33"/>
  <c r="Z399" i="33" s="1"/>
  <c r="W399" i="33"/>
  <c r="AQ398" i="33"/>
  <c r="AR398" i="33" s="1"/>
  <c r="AP398" i="33"/>
  <c r="AO398" i="33"/>
  <c r="AN398" i="33"/>
  <c r="AM398" i="33"/>
  <c r="AL398" i="33"/>
  <c r="AJ398" i="33"/>
  <c r="AI398" i="33"/>
  <c r="AH398" i="33"/>
  <c r="AG398" i="33"/>
  <c r="AA398" i="33"/>
  <c r="X398" i="33"/>
  <c r="W398" i="33"/>
  <c r="AQ397" i="33"/>
  <c r="AU397" i="33" s="1"/>
  <c r="AP397" i="33"/>
  <c r="AO397" i="33"/>
  <c r="AN397" i="33"/>
  <c r="AM397" i="33"/>
  <c r="AL397" i="33"/>
  <c r="AJ397" i="33"/>
  <c r="AI397" i="33"/>
  <c r="AH397" i="33"/>
  <c r="AG397" i="33"/>
  <c r="AA397" i="33"/>
  <c r="X397" i="33"/>
  <c r="W397" i="33"/>
  <c r="V397" i="33"/>
  <c r="AQ396" i="33"/>
  <c r="AT396" i="33" s="1"/>
  <c r="AP396" i="33"/>
  <c r="AH396" i="33" s="1"/>
  <c r="AO396" i="33"/>
  <c r="AN396" i="33"/>
  <c r="AG396" i="33" s="1"/>
  <c r="AA396" i="33"/>
  <c r="AQ394" i="33"/>
  <c r="AU394" i="33" s="1"/>
  <c r="AP394" i="33"/>
  <c r="AO394" i="33"/>
  <c r="AN394" i="33"/>
  <c r="AG394" i="33" s="1"/>
  <c r="AH394" i="33"/>
  <c r="AI394" i="33" s="1"/>
  <c r="AA394" i="33"/>
  <c r="X394" i="33"/>
  <c r="Z394" i="33" s="1"/>
  <c r="W394" i="33"/>
  <c r="AQ393" i="33"/>
  <c r="AS393" i="33" s="1"/>
  <c r="AP393" i="33"/>
  <c r="AO393" i="33"/>
  <c r="AN393" i="33"/>
  <c r="AM393" i="33"/>
  <c r="AL393" i="33"/>
  <c r="AJ393" i="33"/>
  <c r="AI393" i="33"/>
  <c r="AH393" i="33"/>
  <c r="AG393" i="33"/>
  <c r="AA393" i="33"/>
  <c r="X393" i="33"/>
  <c r="Y393" i="33" s="1"/>
  <c r="W393" i="33"/>
  <c r="AQ392" i="33"/>
  <c r="AU392" i="33" s="1"/>
  <c r="AP392" i="33"/>
  <c r="AO392" i="33"/>
  <c r="AN392" i="33"/>
  <c r="AM392" i="33"/>
  <c r="AL392" i="33"/>
  <c r="AJ392" i="33"/>
  <c r="AI392" i="33"/>
  <c r="AH392" i="33"/>
  <c r="AG392" i="33"/>
  <c r="AA392" i="33"/>
  <c r="X392" i="33"/>
  <c r="Z392" i="33" s="1"/>
  <c r="W392" i="33"/>
  <c r="AQ391" i="33"/>
  <c r="AP391" i="33"/>
  <c r="AO391" i="33"/>
  <c r="AN391" i="33"/>
  <c r="AM391" i="33"/>
  <c r="AL391" i="33"/>
  <c r="AJ391" i="33"/>
  <c r="AI391" i="33"/>
  <c r="AH391" i="33"/>
  <c r="AG391" i="33"/>
  <c r="AA391" i="33"/>
  <c r="X391" i="33"/>
  <c r="Z391" i="33" s="1"/>
  <c r="W391" i="33"/>
  <c r="AQ390" i="33"/>
  <c r="AU390" i="33" s="1"/>
  <c r="AP390" i="33"/>
  <c r="AO390" i="33"/>
  <c r="AN390" i="33"/>
  <c r="AM390" i="33"/>
  <c r="AL390" i="33"/>
  <c r="AJ390" i="33"/>
  <c r="AI390" i="33"/>
  <c r="AH390" i="33"/>
  <c r="AG390" i="33"/>
  <c r="AA390" i="33"/>
  <c r="X390" i="33"/>
  <c r="Y390" i="33" s="1"/>
  <c r="W390" i="33"/>
  <c r="AQ389" i="33"/>
  <c r="AP389" i="33"/>
  <c r="AO389" i="33"/>
  <c r="AN389" i="33"/>
  <c r="AM389" i="33"/>
  <c r="AL389" i="33"/>
  <c r="AJ389" i="33"/>
  <c r="AI389" i="33"/>
  <c r="AH389" i="33"/>
  <c r="AG389" i="33"/>
  <c r="AA389" i="33"/>
  <c r="X389" i="33"/>
  <c r="Z389" i="33" s="1"/>
  <c r="W389" i="33"/>
  <c r="AQ388" i="33"/>
  <c r="AU388" i="33" s="1"/>
  <c r="AP388" i="33"/>
  <c r="AO388" i="33"/>
  <c r="AN388" i="33"/>
  <c r="AM388" i="33"/>
  <c r="AL388" i="33"/>
  <c r="AJ388" i="33"/>
  <c r="AI388" i="33"/>
  <c r="AH388" i="33"/>
  <c r="AG388" i="33"/>
  <c r="AA388" i="33"/>
  <c r="X388" i="33"/>
  <c r="W388" i="33"/>
  <c r="AQ387" i="33"/>
  <c r="AS387" i="33" s="1"/>
  <c r="AP387" i="33"/>
  <c r="AO387" i="33"/>
  <c r="AN387" i="33"/>
  <c r="AM387" i="33"/>
  <c r="AL387" i="33"/>
  <c r="AJ387" i="33"/>
  <c r="AI387" i="33"/>
  <c r="AH387" i="33"/>
  <c r="AG387" i="33"/>
  <c r="AA387" i="33"/>
  <c r="X387" i="33"/>
  <c r="Z387" i="33" s="1"/>
  <c r="W387" i="33"/>
  <c r="AQ386" i="33"/>
  <c r="AS386" i="33" s="1"/>
  <c r="AP386" i="33"/>
  <c r="AO386" i="33"/>
  <c r="AN386" i="33"/>
  <c r="AM386" i="33"/>
  <c r="AL386" i="33"/>
  <c r="AJ386" i="33"/>
  <c r="AI386" i="33"/>
  <c r="AH386" i="33"/>
  <c r="AG386" i="33"/>
  <c r="AA386" i="33"/>
  <c r="X386" i="33"/>
  <c r="Z386" i="33" s="1"/>
  <c r="W386" i="33"/>
  <c r="AQ385" i="33"/>
  <c r="AU385" i="33" s="1"/>
  <c r="AP385" i="33"/>
  <c r="AO385" i="33"/>
  <c r="AN385" i="33"/>
  <c r="AM385" i="33"/>
  <c r="AL385" i="33"/>
  <c r="AJ385" i="33"/>
  <c r="AI385" i="33"/>
  <c r="AH385" i="33"/>
  <c r="AG385" i="33"/>
  <c r="AA385" i="33"/>
  <c r="X385" i="33"/>
  <c r="Y385" i="33" s="1"/>
  <c r="W385" i="33"/>
  <c r="AQ384" i="33"/>
  <c r="AT384" i="33" s="1"/>
  <c r="AP384" i="33"/>
  <c r="AO384" i="33"/>
  <c r="AN384" i="33"/>
  <c r="AM384" i="33"/>
  <c r="AL384" i="33"/>
  <c r="AJ384" i="33"/>
  <c r="AI384" i="33"/>
  <c r="AH384" i="33"/>
  <c r="AG384" i="33"/>
  <c r="AA384" i="33"/>
  <c r="X384" i="33"/>
  <c r="Z384" i="33" s="1"/>
  <c r="W384" i="33"/>
  <c r="AQ383" i="33"/>
  <c r="AU383" i="33" s="1"/>
  <c r="AP383" i="33"/>
  <c r="AO383" i="33"/>
  <c r="AN383" i="33"/>
  <c r="AM383" i="33"/>
  <c r="AL383" i="33"/>
  <c r="AJ383" i="33"/>
  <c r="AI383" i="33"/>
  <c r="AH383" i="33"/>
  <c r="AG383" i="33"/>
  <c r="AA383" i="33"/>
  <c r="X383" i="33"/>
  <c r="W383" i="33"/>
  <c r="AQ382" i="33"/>
  <c r="AP382" i="33"/>
  <c r="AO382" i="33"/>
  <c r="AN382" i="33"/>
  <c r="AM382" i="33"/>
  <c r="AL382" i="33"/>
  <c r="AJ382" i="33"/>
  <c r="AI382" i="33"/>
  <c r="AH382" i="33"/>
  <c r="AG382" i="33"/>
  <c r="AA382" i="33"/>
  <c r="X382" i="33"/>
  <c r="Z382" i="33" s="1"/>
  <c r="W382" i="33"/>
  <c r="AQ381" i="33"/>
  <c r="AU381" i="33" s="1"/>
  <c r="AP381" i="33"/>
  <c r="AO381" i="33"/>
  <c r="AN381" i="33"/>
  <c r="AM381" i="33"/>
  <c r="AL381" i="33"/>
  <c r="AJ381" i="33"/>
  <c r="AI381" i="33"/>
  <c r="AH381" i="33"/>
  <c r="AG381" i="33"/>
  <c r="AA381" i="33"/>
  <c r="X381" i="33"/>
  <c r="Z381" i="33" s="1"/>
  <c r="W381" i="33"/>
  <c r="AQ380" i="33"/>
  <c r="AR380" i="33" s="1"/>
  <c r="AP380" i="33"/>
  <c r="AO380" i="33"/>
  <c r="AN380" i="33"/>
  <c r="AM380" i="33"/>
  <c r="AL380" i="33"/>
  <c r="AJ380" i="33"/>
  <c r="AI380" i="33"/>
  <c r="AH380" i="33"/>
  <c r="AG380" i="33"/>
  <c r="AA380" i="33"/>
  <c r="X380" i="33"/>
  <c r="Z380" i="33" s="1"/>
  <c r="W380" i="33"/>
  <c r="AQ379" i="33"/>
  <c r="AP379" i="33"/>
  <c r="AO379" i="33"/>
  <c r="AN379" i="33"/>
  <c r="AM379" i="33"/>
  <c r="AL379" i="33"/>
  <c r="AJ379" i="33"/>
  <c r="AI379" i="33"/>
  <c r="AH379" i="33"/>
  <c r="AG379" i="33"/>
  <c r="AA379" i="33"/>
  <c r="X379" i="33"/>
  <c r="Z379" i="33" s="1"/>
  <c r="W379" i="33"/>
  <c r="AQ378" i="33"/>
  <c r="AU378" i="33" s="1"/>
  <c r="AP378" i="33"/>
  <c r="AO378" i="33"/>
  <c r="AN378" i="33"/>
  <c r="AM378" i="33"/>
  <c r="AL378" i="33"/>
  <c r="AJ378" i="33"/>
  <c r="AI378" i="33"/>
  <c r="AH378" i="33"/>
  <c r="AG378" i="33"/>
  <c r="AA378" i="33"/>
  <c r="X378" i="33"/>
  <c r="Z378" i="33" s="1"/>
  <c r="W378" i="33"/>
  <c r="AQ377" i="33"/>
  <c r="AT377" i="33" s="1"/>
  <c r="AP377" i="33"/>
  <c r="AO377" i="33"/>
  <c r="AN377" i="33"/>
  <c r="AM377" i="33"/>
  <c r="AL377" i="33"/>
  <c r="AJ377" i="33"/>
  <c r="AI377" i="33"/>
  <c r="AH377" i="33"/>
  <c r="AG377" i="33"/>
  <c r="AA377" i="33"/>
  <c r="X377" i="33"/>
  <c r="Z377" i="33" s="1"/>
  <c r="W377" i="33"/>
  <c r="AQ376" i="33"/>
  <c r="AP376" i="33"/>
  <c r="AO376" i="33"/>
  <c r="AN376" i="33"/>
  <c r="AM376" i="33"/>
  <c r="AL376" i="33"/>
  <c r="AJ376" i="33"/>
  <c r="AI376" i="33"/>
  <c r="AH376" i="33"/>
  <c r="AG376" i="33"/>
  <c r="AA376" i="33"/>
  <c r="X376" i="33"/>
  <c r="Z376" i="33" s="1"/>
  <c r="W376" i="33"/>
  <c r="AQ375" i="33"/>
  <c r="AU375" i="33" s="1"/>
  <c r="AP375" i="33"/>
  <c r="AO375" i="33"/>
  <c r="AN375" i="33"/>
  <c r="AM375" i="33"/>
  <c r="AL375" i="33"/>
  <c r="AJ375" i="33"/>
  <c r="AI375" i="33"/>
  <c r="AH375" i="33"/>
  <c r="AG375" i="33"/>
  <c r="AA375" i="33"/>
  <c r="X375" i="33"/>
  <c r="Z375" i="33" s="1"/>
  <c r="W375" i="33"/>
  <c r="AQ374" i="33"/>
  <c r="AP374" i="33"/>
  <c r="AO374" i="33"/>
  <c r="AN374" i="33"/>
  <c r="AM374" i="33"/>
  <c r="AL374" i="33"/>
  <c r="AJ374" i="33"/>
  <c r="AI374" i="33"/>
  <c r="AH374" i="33"/>
  <c r="AG374" i="33"/>
  <c r="AA374" i="33"/>
  <c r="X374" i="33"/>
  <c r="Z374" i="33" s="1"/>
  <c r="W374" i="33"/>
  <c r="AQ373" i="33"/>
  <c r="AU373" i="33" s="1"/>
  <c r="AP373" i="33"/>
  <c r="AO373" i="33"/>
  <c r="AN373" i="33"/>
  <c r="AM373" i="33"/>
  <c r="AL373" i="33"/>
  <c r="AJ373" i="33"/>
  <c r="AI373" i="33"/>
  <c r="AH373" i="33"/>
  <c r="AG373" i="33"/>
  <c r="AA373" i="33"/>
  <c r="X373" i="33"/>
  <c r="Y373" i="33" s="1"/>
  <c r="W373" i="33"/>
  <c r="AQ372" i="33"/>
  <c r="AU372" i="33" s="1"/>
  <c r="AP372" i="33"/>
  <c r="AO372" i="33"/>
  <c r="AN372" i="33"/>
  <c r="AM372" i="33"/>
  <c r="AL372" i="33"/>
  <c r="AJ372" i="33"/>
  <c r="AI372" i="33"/>
  <c r="AH372" i="33"/>
  <c r="AG372" i="33"/>
  <c r="AA372" i="33"/>
  <c r="X372" i="33"/>
  <c r="Z372" i="33" s="1"/>
  <c r="W372" i="33"/>
  <c r="AQ371" i="33"/>
  <c r="AR371" i="33" s="1"/>
  <c r="AP371" i="33"/>
  <c r="AO371" i="33"/>
  <c r="AN371" i="33"/>
  <c r="AG371" i="33" s="1"/>
  <c r="AH371" i="33"/>
  <c r="AI371" i="33" s="1"/>
  <c r="AA371" i="33"/>
  <c r="X371" i="33"/>
  <c r="Y371" i="33" s="1"/>
  <c r="W371" i="33"/>
  <c r="AQ370" i="33"/>
  <c r="AR370" i="33" s="1"/>
  <c r="AP370" i="33"/>
  <c r="AO370" i="33"/>
  <c r="AN370" i="33"/>
  <c r="AG370" i="33" s="1"/>
  <c r="AH370" i="33"/>
  <c r="AA370" i="33"/>
  <c r="X370" i="33"/>
  <c r="Z370" i="33" s="1"/>
  <c r="W370" i="33"/>
  <c r="AQ369" i="33"/>
  <c r="AT369" i="33" s="1"/>
  <c r="AP369" i="33"/>
  <c r="AO369" i="33"/>
  <c r="AN369" i="33"/>
  <c r="AG369" i="33" s="1"/>
  <c r="AH369" i="33"/>
  <c r="AA369" i="33"/>
  <c r="X369" i="33"/>
  <c r="Y369" i="33" s="1"/>
  <c r="W369" i="33"/>
  <c r="AQ368" i="33"/>
  <c r="AU368" i="33" s="1"/>
  <c r="AP368" i="33"/>
  <c r="AO368" i="33"/>
  <c r="AN368" i="33"/>
  <c r="AG368" i="33" s="1"/>
  <c r="AH368" i="33"/>
  <c r="AA368" i="33"/>
  <c r="X368" i="33"/>
  <c r="Z368" i="33" s="1"/>
  <c r="W368" i="33"/>
  <c r="AQ367" i="33"/>
  <c r="AS367" i="33" s="1"/>
  <c r="AP367" i="33"/>
  <c r="AO367" i="33"/>
  <c r="AN367" i="33"/>
  <c r="AG367" i="33" s="1"/>
  <c r="AH367" i="33"/>
  <c r="AL367" i="33" s="1"/>
  <c r="AA367" i="33"/>
  <c r="X367" i="33"/>
  <c r="Z367" i="33" s="1"/>
  <c r="W367" i="33"/>
  <c r="AQ366" i="33"/>
  <c r="AT366" i="33" s="1"/>
  <c r="AP366" i="33"/>
  <c r="AO366" i="33"/>
  <c r="AN366" i="33"/>
  <c r="AG366" i="33" s="1"/>
  <c r="AH366" i="33"/>
  <c r="AL366" i="33" s="1"/>
  <c r="AA366" i="33"/>
  <c r="X366" i="33"/>
  <c r="Y366" i="33" s="1"/>
  <c r="W366" i="33"/>
  <c r="AQ365" i="33"/>
  <c r="AU365" i="33" s="1"/>
  <c r="AP365" i="33"/>
  <c r="AO365" i="33"/>
  <c r="AN365" i="33"/>
  <c r="AG365" i="33" s="1"/>
  <c r="AH365" i="33"/>
  <c r="AA365" i="33"/>
  <c r="X365" i="33"/>
  <c r="Z365" i="33" s="1"/>
  <c r="W365" i="33"/>
  <c r="AQ364" i="33"/>
  <c r="AP364" i="33"/>
  <c r="AO364" i="33"/>
  <c r="AN364" i="33"/>
  <c r="AG364" i="33" s="1"/>
  <c r="AH364" i="33"/>
  <c r="AL364" i="33" s="1"/>
  <c r="AA364" i="33"/>
  <c r="X364" i="33"/>
  <c r="Z364" i="33" s="1"/>
  <c r="W364" i="33"/>
  <c r="AQ363" i="33"/>
  <c r="AP363" i="33"/>
  <c r="AO363" i="33"/>
  <c r="AN363" i="33"/>
  <c r="AG363" i="33" s="1"/>
  <c r="AH363" i="33"/>
  <c r="AI363" i="33" s="1"/>
  <c r="AA363" i="33"/>
  <c r="X363" i="33"/>
  <c r="Y363" i="33" s="1"/>
  <c r="W363" i="33"/>
  <c r="AQ362" i="33"/>
  <c r="AU362" i="33" s="1"/>
  <c r="AP362" i="33"/>
  <c r="AO362" i="33"/>
  <c r="AN362" i="33"/>
  <c r="AG362" i="33" s="1"/>
  <c r="AH362" i="33"/>
  <c r="AA362" i="33"/>
  <c r="X362" i="33"/>
  <c r="Z362" i="33" s="1"/>
  <c r="W362" i="33"/>
  <c r="AQ361" i="33"/>
  <c r="AU361" i="33" s="1"/>
  <c r="AP361" i="33"/>
  <c r="AO361" i="33"/>
  <c r="AN361" i="33"/>
  <c r="AG361" i="33" s="1"/>
  <c r="AH361" i="33"/>
  <c r="AJ361" i="33" s="1"/>
  <c r="AA361" i="33"/>
  <c r="X361" i="33"/>
  <c r="Z361" i="33" s="1"/>
  <c r="W361" i="33"/>
  <c r="V361" i="33"/>
  <c r="AQ360" i="33"/>
  <c r="AU360" i="33" s="1"/>
  <c r="AP360" i="33"/>
  <c r="AH360" i="33" s="1"/>
  <c r="AJ360" i="33" s="1"/>
  <c r="AO360" i="33"/>
  <c r="AN360" i="33"/>
  <c r="AG360" i="33" s="1"/>
  <c r="AA360" i="33"/>
  <c r="AQ358" i="33"/>
  <c r="AP358" i="33"/>
  <c r="AO358" i="33"/>
  <c r="AN358" i="33"/>
  <c r="AG358" i="33" s="1"/>
  <c r="AH358" i="33"/>
  <c r="AA358" i="33"/>
  <c r="X358" i="33"/>
  <c r="Z358" i="33" s="1"/>
  <c r="W358" i="33"/>
  <c r="AQ357" i="33"/>
  <c r="AU357" i="33" s="1"/>
  <c r="AP357" i="33"/>
  <c r="AO357" i="33"/>
  <c r="AN357" i="33"/>
  <c r="AM357" i="33"/>
  <c r="AL357" i="33"/>
  <c r="AJ357" i="33"/>
  <c r="AI357" i="33"/>
  <c r="AH357" i="33"/>
  <c r="AG357" i="33"/>
  <c r="AA357" i="33"/>
  <c r="X357" i="33"/>
  <c r="Z357" i="33" s="1"/>
  <c r="W357" i="33"/>
  <c r="AQ356" i="33"/>
  <c r="AP356" i="33"/>
  <c r="AO356" i="33"/>
  <c r="AN356" i="33"/>
  <c r="AM356" i="33"/>
  <c r="AL356" i="33"/>
  <c r="AJ356" i="33"/>
  <c r="AI356" i="33"/>
  <c r="AH356" i="33"/>
  <c r="AG356" i="33"/>
  <c r="AA356" i="33"/>
  <c r="X356" i="33"/>
  <c r="W356" i="33"/>
  <c r="AQ355" i="33"/>
  <c r="AU355" i="33" s="1"/>
  <c r="AP355" i="33"/>
  <c r="AO355" i="33"/>
  <c r="AN355" i="33"/>
  <c r="AM355" i="33"/>
  <c r="AL355" i="33"/>
  <c r="AJ355" i="33"/>
  <c r="AI355" i="33"/>
  <c r="AH355" i="33"/>
  <c r="AG355" i="33"/>
  <c r="AA355" i="33"/>
  <c r="X355" i="33"/>
  <c r="Z355" i="33" s="1"/>
  <c r="W355" i="33"/>
  <c r="AQ354" i="33"/>
  <c r="AP354" i="33"/>
  <c r="AO354" i="33"/>
  <c r="AN354" i="33"/>
  <c r="AM354" i="33"/>
  <c r="AL354" i="33"/>
  <c r="AJ354" i="33"/>
  <c r="AI354" i="33"/>
  <c r="AH354" i="33"/>
  <c r="AG354" i="33"/>
  <c r="AA354" i="33"/>
  <c r="X354" i="33"/>
  <c r="Y354" i="33" s="1"/>
  <c r="W354" i="33"/>
  <c r="AQ353" i="33"/>
  <c r="AS353" i="33" s="1"/>
  <c r="AP353" i="33"/>
  <c r="AO353" i="33"/>
  <c r="AN353" i="33"/>
  <c r="AM353" i="33"/>
  <c r="AL353" i="33"/>
  <c r="AJ353" i="33"/>
  <c r="AI353" i="33"/>
  <c r="AH353" i="33"/>
  <c r="AG353" i="33"/>
  <c r="AA353" i="33"/>
  <c r="X353" i="33"/>
  <c r="W353" i="33"/>
  <c r="AQ352" i="33"/>
  <c r="AP352" i="33"/>
  <c r="AO352" i="33"/>
  <c r="AN352" i="33"/>
  <c r="AM352" i="33"/>
  <c r="AL352" i="33"/>
  <c r="AJ352" i="33"/>
  <c r="AI352" i="33"/>
  <c r="AH352" i="33"/>
  <c r="AG352" i="33"/>
  <c r="AA352" i="33"/>
  <c r="X352" i="33"/>
  <c r="Z352" i="33" s="1"/>
  <c r="W352" i="33"/>
  <c r="AQ351" i="33"/>
  <c r="AU351" i="33" s="1"/>
  <c r="AP351" i="33"/>
  <c r="AO351" i="33"/>
  <c r="AN351" i="33"/>
  <c r="AM351" i="33"/>
  <c r="AL351" i="33"/>
  <c r="AJ351" i="33"/>
  <c r="AI351" i="33"/>
  <c r="AH351" i="33"/>
  <c r="AG351" i="33"/>
  <c r="AA351" i="33"/>
  <c r="X351" i="33"/>
  <c r="Z351" i="33" s="1"/>
  <c r="W351" i="33"/>
  <c r="AQ350" i="33"/>
  <c r="AP350" i="33"/>
  <c r="AO350" i="33"/>
  <c r="AN350" i="33"/>
  <c r="AM350" i="33"/>
  <c r="AL350" i="33"/>
  <c r="AJ350" i="33"/>
  <c r="AI350" i="33"/>
  <c r="AH350" i="33"/>
  <c r="AG350" i="33"/>
  <c r="AA350" i="33"/>
  <c r="X350" i="33"/>
  <c r="Y350" i="33" s="1"/>
  <c r="W350" i="33"/>
  <c r="AQ349" i="33"/>
  <c r="AT349" i="33" s="1"/>
  <c r="AP349" i="33"/>
  <c r="AO349" i="33"/>
  <c r="AN349" i="33"/>
  <c r="AM349" i="33"/>
  <c r="AL349" i="33"/>
  <c r="AJ349" i="33"/>
  <c r="AI349" i="33"/>
  <c r="AH349" i="33"/>
  <c r="AG349" i="33"/>
  <c r="AA349" i="33"/>
  <c r="X349" i="33"/>
  <c r="Y349" i="33" s="1"/>
  <c r="W349" i="33"/>
  <c r="AQ348" i="33"/>
  <c r="AP348" i="33"/>
  <c r="AO348" i="33"/>
  <c r="AN348" i="33"/>
  <c r="AM348" i="33"/>
  <c r="AL348" i="33"/>
  <c r="AJ348" i="33"/>
  <c r="AI348" i="33"/>
  <c r="AH348" i="33"/>
  <c r="AG348" i="33"/>
  <c r="AA348" i="33"/>
  <c r="X348" i="33"/>
  <c r="Z348" i="33" s="1"/>
  <c r="W348" i="33"/>
  <c r="AQ347" i="33"/>
  <c r="AP347" i="33"/>
  <c r="AO347" i="33"/>
  <c r="AN347" i="33"/>
  <c r="AM347" i="33"/>
  <c r="AL347" i="33"/>
  <c r="AJ347" i="33"/>
  <c r="AI347" i="33"/>
  <c r="AH347" i="33"/>
  <c r="AG347" i="33"/>
  <c r="AA347" i="33"/>
  <c r="X347" i="33"/>
  <c r="Z347" i="33" s="1"/>
  <c r="W347" i="33"/>
  <c r="AQ346" i="33"/>
  <c r="AP346" i="33"/>
  <c r="AO346" i="33"/>
  <c r="AN346" i="33"/>
  <c r="AM346" i="33"/>
  <c r="AL346" i="33"/>
  <c r="AJ346" i="33"/>
  <c r="AI346" i="33"/>
  <c r="AH346" i="33"/>
  <c r="AG346" i="33"/>
  <c r="AA346" i="33"/>
  <c r="X346" i="33"/>
  <c r="Z346" i="33" s="1"/>
  <c r="W346" i="33"/>
  <c r="AQ345" i="33"/>
  <c r="AT345" i="33" s="1"/>
  <c r="AP345" i="33"/>
  <c r="AO345" i="33"/>
  <c r="AN345" i="33"/>
  <c r="AM345" i="33"/>
  <c r="AL345" i="33"/>
  <c r="AJ345" i="33"/>
  <c r="AI345" i="33"/>
  <c r="AH345" i="33"/>
  <c r="AG345" i="33"/>
  <c r="AA345" i="33"/>
  <c r="X345" i="33"/>
  <c r="Z345" i="33" s="1"/>
  <c r="W345" i="33"/>
  <c r="AQ344" i="33"/>
  <c r="AP344" i="33"/>
  <c r="AO344" i="33"/>
  <c r="AN344" i="33"/>
  <c r="AM344" i="33"/>
  <c r="AL344" i="33"/>
  <c r="AJ344" i="33"/>
  <c r="AI344" i="33"/>
  <c r="AH344" i="33"/>
  <c r="AG344" i="33"/>
  <c r="AA344" i="33"/>
  <c r="X344" i="33"/>
  <c r="Z344" i="33" s="1"/>
  <c r="W344" i="33"/>
  <c r="AQ343" i="33"/>
  <c r="AP343" i="33"/>
  <c r="AO343" i="33"/>
  <c r="AN343" i="33"/>
  <c r="AM343" i="33"/>
  <c r="AL343" i="33"/>
  <c r="AJ343" i="33"/>
  <c r="AI343" i="33"/>
  <c r="AH343" i="33"/>
  <c r="AG343" i="33"/>
  <c r="AA343" i="33"/>
  <c r="X343" i="33"/>
  <c r="Y343" i="33" s="1"/>
  <c r="W343" i="33"/>
  <c r="AQ342" i="33"/>
  <c r="AR342" i="33" s="1"/>
  <c r="AP342" i="33"/>
  <c r="AO342" i="33"/>
  <c r="AN342" i="33"/>
  <c r="AM342" i="33"/>
  <c r="AL342" i="33"/>
  <c r="AJ342" i="33"/>
  <c r="AI342" i="33"/>
  <c r="AH342" i="33"/>
  <c r="AG342" i="33"/>
  <c r="AA342" i="33"/>
  <c r="X342" i="33"/>
  <c r="Y342" i="33" s="1"/>
  <c r="W342" i="33"/>
  <c r="AQ341" i="33"/>
  <c r="AP341" i="33"/>
  <c r="AO341" i="33"/>
  <c r="AN341" i="33"/>
  <c r="AM341" i="33"/>
  <c r="AL341" i="33"/>
  <c r="AJ341" i="33"/>
  <c r="AI341" i="33"/>
  <c r="AH341" i="33"/>
  <c r="AG341" i="33"/>
  <c r="AA341" i="33"/>
  <c r="X341" i="33"/>
  <c r="Y341" i="33" s="1"/>
  <c r="W341" i="33"/>
  <c r="AQ340" i="33"/>
  <c r="AP340" i="33"/>
  <c r="AO340" i="33"/>
  <c r="AN340" i="33"/>
  <c r="AM340" i="33"/>
  <c r="AL340" i="33"/>
  <c r="AJ340" i="33"/>
  <c r="AI340" i="33"/>
  <c r="AH340" i="33"/>
  <c r="AG340" i="33"/>
  <c r="AA340" i="33"/>
  <c r="X340" i="33"/>
  <c r="Z340" i="33" s="1"/>
  <c r="W340" i="33"/>
  <c r="AQ339" i="33"/>
  <c r="AU339" i="33" s="1"/>
  <c r="AP339" i="33"/>
  <c r="AO339" i="33"/>
  <c r="AN339" i="33"/>
  <c r="AG339" i="33" s="1"/>
  <c r="AH339" i="33"/>
  <c r="AL339" i="33" s="1"/>
  <c r="AA339" i="33"/>
  <c r="X339" i="33"/>
  <c r="Z339" i="33" s="1"/>
  <c r="W339" i="33"/>
  <c r="AQ338" i="33"/>
  <c r="AP338" i="33"/>
  <c r="AO338" i="33"/>
  <c r="AN338" i="33"/>
  <c r="AG338" i="33" s="1"/>
  <c r="AH338" i="33"/>
  <c r="AI338" i="33" s="1"/>
  <c r="AA338" i="33"/>
  <c r="X338" i="33"/>
  <c r="Y338" i="33" s="1"/>
  <c r="W338" i="33"/>
  <c r="AQ337" i="33"/>
  <c r="AR337" i="33" s="1"/>
  <c r="AP337" i="33"/>
  <c r="AO337" i="33"/>
  <c r="AN337" i="33"/>
  <c r="AG337" i="33" s="1"/>
  <c r="AH337" i="33"/>
  <c r="AL337" i="33" s="1"/>
  <c r="AA337" i="33"/>
  <c r="X337" i="33"/>
  <c r="Z337" i="33" s="1"/>
  <c r="W337" i="33"/>
  <c r="AQ336" i="33"/>
  <c r="AS336" i="33" s="1"/>
  <c r="AP336" i="33"/>
  <c r="AO336" i="33"/>
  <c r="AN336" i="33"/>
  <c r="AG336" i="33" s="1"/>
  <c r="AH336" i="33"/>
  <c r="AI336" i="33" s="1"/>
  <c r="AA336" i="33"/>
  <c r="X336" i="33"/>
  <c r="Y336" i="33" s="1"/>
  <c r="W336" i="33"/>
  <c r="AQ335" i="33"/>
  <c r="AP335" i="33"/>
  <c r="AO335" i="33"/>
  <c r="AN335" i="33"/>
  <c r="AG335" i="33" s="1"/>
  <c r="AH335" i="33"/>
  <c r="AA335" i="33"/>
  <c r="X335" i="33"/>
  <c r="Z335" i="33" s="1"/>
  <c r="W335" i="33"/>
  <c r="AQ334" i="33"/>
  <c r="AU334" i="33" s="1"/>
  <c r="AP334" i="33"/>
  <c r="AO334" i="33"/>
  <c r="AN334" i="33"/>
  <c r="AM334" i="33"/>
  <c r="AL334" i="33"/>
  <c r="AJ334" i="33"/>
  <c r="AI334" i="33"/>
  <c r="AH334" i="33"/>
  <c r="AG334" i="33"/>
  <c r="AA334" i="33"/>
  <c r="X334" i="33"/>
  <c r="Z334" i="33" s="1"/>
  <c r="W334" i="33"/>
  <c r="AQ333" i="33"/>
  <c r="AT333" i="33" s="1"/>
  <c r="AP333" i="33"/>
  <c r="AO333" i="33"/>
  <c r="AN333" i="33"/>
  <c r="AG333" i="33" s="1"/>
  <c r="AH333" i="33"/>
  <c r="AL333" i="33" s="1"/>
  <c r="AA333" i="33"/>
  <c r="X333" i="33"/>
  <c r="Z333" i="33" s="1"/>
  <c r="W333" i="33"/>
  <c r="AQ332" i="33"/>
  <c r="AP332" i="33"/>
  <c r="AO332" i="33"/>
  <c r="AN332" i="33"/>
  <c r="AG332" i="33" s="1"/>
  <c r="AH332" i="33"/>
  <c r="AI332" i="33" s="1"/>
  <c r="AA332" i="33"/>
  <c r="X332" i="33"/>
  <c r="Z332" i="33" s="1"/>
  <c r="W332" i="33"/>
  <c r="AQ331" i="33"/>
  <c r="AU331" i="33" s="1"/>
  <c r="AP331" i="33"/>
  <c r="AO331" i="33"/>
  <c r="AN331" i="33"/>
  <c r="AG331" i="33" s="1"/>
  <c r="AH331" i="33"/>
  <c r="AA331" i="33"/>
  <c r="X331" i="33"/>
  <c r="Z331" i="33" s="1"/>
  <c r="W331" i="33"/>
  <c r="AQ330" i="33"/>
  <c r="AP330" i="33"/>
  <c r="AO330" i="33"/>
  <c r="AN330" i="33"/>
  <c r="AG330" i="33" s="1"/>
  <c r="AH330" i="33"/>
  <c r="AA330" i="33"/>
  <c r="X330" i="33"/>
  <c r="W330" i="33"/>
  <c r="AQ329" i="33"/>
  <c r="AU329" i="33" s="1"/>
  <c r="AP329" i="33"/>
  <c r="AO329" i="33"/>
  <c r="AN329" i="33"/>
  <c r="AG329" i="33" s="1"/>
  <c r="AH329" i="33"/>
  <c r="AI329" i="33" s="1"/>
  <c r="AA329" i="33"/>
  <c r="X329" i="33"/>
  <c r="W329" i="33"/>
  <c r="AQ328" i="33"/>
  <c r="AS328" i="33" s="1"/>
  <c r="AP328" i="33"/>
  <c r="AO328" i="33"/>
  <c r="AN328" i="33"/>
  <c r="AG328" i="33" s="1"/>
  <c r="AH328" i="33"/>
  <c r="AJ328" i="33" s="1"/>
  <c r="AA328" i="33"/>
  <c r="X328" i="33"/>
  <c r="Y328" i="33" s="1"/>
  <c r="W328" i="33"/>
  <c r="AQ327" i="33"/>
  <c r="AP327" i="33"/>
  <c r="AO327" i="33"/>
  <c r="AN327" i="33"/>
  <c r="AG327" i="33" s="1"/>
  <c r="AH327" i="33"/>
  <c r="AA327" i="33"/>
  <c r="X327" i="33"/>
  <c r="Z327" i="33" s="1"/>
  <c r="W327" i="33"/>
  <c r="AQ326" i="33"/>
  <c r="AP326" i="33"/>
  <c r="AO326" i="33"/>
  <c r="AN326" i="33"/>
  <c r="AG326" i="33" s="1"/>
  <c r="AH326" i="33"/>
  <c r="AA326" i="33"/>
  <c r="X326" i="33"/>
  <c r="Z326" i="33" s="1"/>
  <c r="W326" i="33"/>
  <c r="AQ325" i="33"/>
  <c r="AS325" i="33" s="1"/>
  <c r="AP325" i="33"/>
  <c r="AO325" i="33"/>
  <c r="AN325" i="33"/>
  <c r="AG325" i="33" s="1"/>
  <c r="AH325" i="33"/>
  <c r="AA325" i="33"/>
  <c r="X325" i="33"/>
  <c r="Z325" i="33" s="1"/>
  <c r="W325" i="33"/>
  <c r="V325" i="33"/>
  <c r="AQ324" i="33"/>
  <c r="AT324" i="33" s="1"/>
  <c r="AP324" i="33"/>
  <c r="AO324" i="33"/>
  <c r="AN324" i="33"/>
  <c r="AG324" i="33" s="1"/>
  <c r="AH324" i="33"/>
  <c r="AA324" i="33"/>
  <c r="AQ322" i="33"/>
  <c r="AU322" i="33" s="1"/>
  <c r="AP322" i="33"/>
  <c r="AO322" i="33"/>
  <c r="AN322" i="33"/>
  <c r="AG322" i="33" s="1"/>
  <c r="AH322" i="33"/>
  <c r="AJ322" i="33" s="1"/>
  <c r="AA322" i="33"/>
  <c r="X322" i="33"/>
  <c r="Y322" i="33" s="1"/>
  <c r="W322" i="33"/>
  <c r="AQ321" i="33"/>
  <c r="AR321" i="33" s="1"/>
  <c r="AP321" i="33"/>
  <c r="AO321" i="33"/>
  <c r="AN321" i="33"/>
  <c r="AG321" i="33" s="1"/>
  <c r="AH321" i="33"/>
  <c r="AL321" i="33" s="1"/>
  <c r="AA321" i="33"/>
  <c r="X321" i="33"/>
  <c r="Z321" i="33" s="1"/>
  <c r="W321" i="33"/>
  <c r="AQ320" i="33"/>
  <c r="AP320" i="33"/>
  <c r="AO320" i="33"/>
  <c r="AN320" i="33"/>
  <c r="AG320" i="33" s="1"/>
  <c r="AH320" i="33"/>
  <c r="AJ320" i="33" s="1"/>
  <c r="AA320" i="33"/>
  <c r="X320" i="33"/>
  <c r="Z320" i="33" s="1"/>
  <c r="W320" i="33"/>
  <c r="AQ319" i="33"/>
  <c r="AT319" i="33" s="1"/>
  <c r="AP319" i="33"/>
  <c r="AO319" i="33"/>
  <c r="AN319" i="33"/>
  <c r="AM319" i="33"/>
  <c r="AL319" i="33"/>
  <c r="AJ319" i="33"/>
  <c r="AI319" i="33"/>
  <c r="AH319" i="33"/>
  <c r="AG319" i="33"/>
  <c r="AA319" i="33"/>
  <c r="X319" i="33"/>
  <c r="Z319" i="33" s="1"/>
  <c r="W319" i="33"/>
  <c r="AQ318" i="33"/>
  <c r="AS318" i="33" s="1"/>
  <c r="AP318" i="33"/>
  <c r="AO318" i="33"/>
  <c r="AN318" i="33"/>
  <c r="AM318" i="33"/>
  <c r="AL318" i="33"/>
  <c r="AJ318" i="33"/>
  <c r="AI318" i="33"/>
  <c r="AH318" i="33"/>
  <c r="AG318" i="33"/>
  <c r="AA318" i="33"/>
  <c r="X318" i="33"/>
  <c r="Z318" i="33" s="1"/>
  <c r="W318" i="33"/>
  <c r="AQ317" i="33"/>
  <c r="AR317" i="33" s="1"/>
  <c r="AP317" i="33"/>
  <c r="AO317" i="33"/>
  <c r="AN317" i="33"/>
  <c r="AM317" i="33"/>
  <c r="AL317" i="33"/>
  <c r="AJ317" i="33"/>
  <c r="AI317" i="33"/>
  <c r="AH317" i="33"/>
  <c r="AG317" i="33"/>
  <c r="AA317" i="33"/>
  <c r="X317" i="33"/>
  <c r="Y317" i="33" s="1"/>
  <c r="W317" i="33"/>
  <c r="AQ316" i="33"/>
  <c r="AR316" i="33" s="1"/>
  <c r="AP316" i="33"/>
  <c r="AO316" i="33"/>
  <c r="AN316" i="33"/>
  <c r="AM316" i="33"/>
  <c r="AL316" i="33"/>
  <c r="AJ316" i="33"/>
  <c r="AI316" i="33"/>
  <c r="AH316" i="33"/>
  <c r="AG316" i="33"/>
  <c r="AA316" i="33"/>
  <c r="X316" i="33"/>
  <c r="Z316" i="33" s="1"/>
  <c r="W316" i="33"/>
  <c r="AQ315" i="33"/>
  <c r="AU315" i="33" s="1"/>
  <c r="AP315" i="33"/>
  <c r="AO315" i="33"/>
  <c r="AN315" i="33"/>
  <c r="AM315" i="33"/>
  <c r="AL315" i="33"/>
  <c r="AJ315" i="33"/>
  <c r="AI315" i="33"/>
  <c r="AH315" i="33"/>
  <c r="AG315" i="33"/>
  <c r="AA315" i="33"/>
  <c r="X315" i="33"/>
  <c r="Y315" i="33" s="1"/>
  <c r="W315" i="33"/>
  <c r="AQ314" i="33"/>
  <c r="AU314" i="33" s="1"/>
  <c r="AP314" i="33"/>
  <c r="AO314" i="33"/>
  <c r="AN314" i="33"/>
  <c r="AM314" i="33"/>
  <c r="AL314" i="33"/>
  <c r="AJ314" i="33"/>
  <c r="AI314" i="33"/>
  <c r="AH314" i="33"/>
  <c r="AG314" i="33"/>
  <c r="AA314" i="33"/>
  <c r="X314" i="33"/>
  <c r="Z314" i="33" s="1"/>
  <c r="W314" i="33"/>
  <c r="AQ313" i="33"/>
  <c r="AU313" i="33" s="1"/>
  <c r="AP313" i="33"/>
  <c r="AO313" i="33"/>
  <c r="AN313" i="33"/>
  <c r="AM313" i="33"/>
  <c r="AL313" i="33"/>
  <c r="AJ313" i="33"/>
  <c r="AI313" i="33"/>
  <c r="AH313" i="33"/>
  <c r="AG313" i="33"/>
  <c r="AA313" i="33"/>
  <c r="X313" i="33"/>
  <c r="Z313" i="33" s="1"/>
  <c r="W313" i="33"/>
  <c r="AQ312" i="33"/>
  <c r="AP312" i="33"/>
  <c r="AO312" i="33"/>
  <c r="AN312" i="33"/>
  <c r="AM312" i="33"/>
  <c r="AL312" i="33"/>
  <c r="AJ312" i="33"/>
  <c r="AI312" i="33"/>
  <c r="AH312" i="33"/>
  <c r="AG312" i="33"/>
  <c r="AA312" i="33"/>
  <c r="X312" i="33"/>
  <c r="Z312" i="33" s="1"/>
  <c r="W312" i="33"/>
  <c r="AQ311" i="33"/>
  <c r="AR311" i="33" s="1"/>
  <c r="AP311" i="33"/>
  <c r="AO311" i="33"/>
  <c r="AN311" i="33"/>
  <c r="AM311" i="33"/>
  <c r="AL311" i="33"/>
  <c r="AJ311" i="33"/>
  <c r="AI311" i="33"/>
  <c r="AH311" i="33"/>
  <c r="AG311" i="33"/>
  <c r="AA311" i="33"/>
  <c r="X311" i="33"/>
  <c r="Z311" i="33" s="1"/>
  <c r="W311" i="33"/>
  <c r="AQ310" i="33"/>
  <c r="AP310" i="33"/>
  <c r="AO310" i="33"/>
  <c r="AN310" i="33"/>
  <c r="AM310" i="33"/>
  <c r="AL310" i="33"/>
  <c r="AJ310" i="33"/>
  <c r="AI310" i="33"/>
  <c r="AH310" i="33"/>
  <c r="AG310" i="33"/>
  <c r="AA310" i="33"/>
  <c r="X310" i="33"/>
  <c r="Z310" i="33" s="1"/>
  <c r="W310" i="33"/>
  <c r="AQ309" i="33"/>
  <c r="AR309" i="33" s="1"/>
  <c r="AP309" i="33"/>
  <c r="AO309" i="33"/>
  <c r="AN309" i="33"/>
  <c r="AM309" i="33"/>
  <c r="AL309" i="33"/>
  <c r="AJ309" i="33"/>
  <c r="AI309" i="33"/>
  <c r="AH309" i="33"/>
  <c r="AG309" i="33"/>
  <c r="AA309" i="33"/>
  <c r="X309" i="33"/>
  <c r="Z309" i="33" s="1"/>
  <c r="W309" i="33"/>
  <c r="AQ308" i="33"/>
  <c r="AP308" i="33"/>
  <c r="AO308" i="33"/>
  <c r="AN308" i="33"/>
  <c r="AM308" i="33"/>
  <c r="AL308" i="33"/>
  <c r="AJ308" i="33"/>
  <c r="AI308" i="33"/>
  <c r="AH308" i="33"/>
  <c r="AG308" i="33"/>
  <c r="AA308" i="33"/>
  <c r="X308" i="33"/>
  <c r="W308" i="33"/>
  <c r="AQ307" i="33"/>
  <c r="AP307" i="33"/>
  <c r="AO307" i="33"/>
  <c r="AN307" i="33"/>
  <c r="AM307" i="33"/>
  <c r="AL307" i="33"/>
  <c r="AJ307" i="33"/>
  <c r="AI307" i="33"/>
  <c r="AH307" i="33"/>
  <c r="AG307" i="33"/>
  <c r="AA307" i="33"/>
  <c r="X307" i="33"/>
  <c r="Z307" i="33" s="1"/>
  <c r="W307" i="33"/>
  <c r="AQ306" i="33"/>
  <c r="AP306" i="33"/>
  <c r="AO306" i="33"/>
  <c r="AN306" i="33"/>
  <c r="AG306" i="33" s="1"/>
  <c r="AH306" i="33"/>
  <c r="AJ306" i="33" s="1"/>
  <c r="AA306" i="33"/>
  <c r="X306" i="33"/>
  <c r="W306" i="33"/>
  <c r="AQ305" i="33"/>
  <c r="AP305" i="33"/>
  <c r="AO305" i="33"/>
  <c r="AN305" i="33"/>
  <c r="AG305" i="33" s="1"/>
  <c r="AH305" i="33"/>
  <c r="AI305" i="33" s="1"/>
  <c r="AA305" i="33"/>
  <c r="X305" i="33"/>
  <c r="Z305" i="33" s="1"/>
  <c r="W305" i="33"/>
  <c r="AQ304" i="33"/>
  <c r="AT304" i="33" s="1"/>
  <c r="AP304" i="33"/>
  <c r="AO304" i="33"/>
  <c r="AN304" i="33"/>
  <c r="AG304" i="33" s="1"/>
  <c r="AH304" i="33"/>
  <c r="AI304" i="33" s="1"/>
  <c r="AA304" i="33"/>
  <c r="X304" i="33"/>
  <c r="Y304" i="33" s="1"/>
  <c r="W304" i="33"/>
  <c r="AQ303" i="33"/>
  <c r="AT303" i="33" s="1"/>
  <c r="AP303" i="33"/>
  <c r="AO303" i="33"/>
  <c r="AN303" i="33"/>
  <c r="AG303" i="33" s="1"/>
  <c r="AH303" i="33"/>
  <c r="AA303" i="33"/>
  <c r="X303" i="33"/>
  <c r="Y303" i="33" s="1"/>
  <c r="W303" i="33"/>
  <c r="AQ302" i="33"/>
  <c r="AR302" i="33" s="1"/>
  <c r="AP302" i="33"/>
  <c r="AO302" i="33"/>
  <c r="AN302" i="33"/>
  <c r="AG302" i="33" s="1"/>
  <c r="AH302" i="33"/>
  <c r="AA302" i="33"/>
  <c r="X302" i="33"/>
  <c r="Z302" i="33" s="1"/>
  <c r="W302" i="33"/>
  <c r="AQ301" i="33"/>
  <c r="AR301" i="33" s="1"/>
  <c r="AP301" i="33"/>
  <c r="AO301" i="33"/>
  <c r="AN301" i="33"/>
  <c r="AG301" i="33" s="1"/>
  <c r="AH301" i="33"/>
  <c r="AI301" i="33" s="1"/>
  <c r="AA301" i="33"/>
  <c r="X301" i="33"/>
  <c r="Z301" i="33" s="1"/>
  <c r="W301" i="33"/>
  <c r="AQ300" i="33"/>
  <c r="AP300" i="33"/>
  <c r="AO300" i="33"/>
  <c r="AN300" i="33"/>
  <c r="AG300" i="33" s="1"/>
  <c r="AH300" i="33"/>
  <c r="AI300" i="33" s="1"/>
  <c r="AA300" i="33"/>
  <c r="X300" i="33"/>
  <c r="Z300" i="33" s="1"/>
  <c r="W300" i="33"/>
  <c r="AQ299" i="33"/>
  <c r="AU299" i="33" s="1"/>
  <c r="AP299" i="33"/>
  <c r="AO299" i="33"/>
  <c r="AN299" i="33"/>
  <c r="AG299" i="33" s="1"/>
  <c r="AH299" i="33"/>
  <c r="AL299" i="33" s="1"/>
  <c r="AA299" i="33"/>
  <c r="X299" i="33"/>
  <c r="W299" i="33"/>
  <c r="AQ298" i="33"/>
  <c r="AS298" i="33" s="1"/>
  <c r="AP298" i="33"/>
  <c r="AO298" i="33"/>
  <c r="AN298" i="33"/>
  <c r="AG298" i="33" s="1"/>
  <c r="AH298" i="33"/>
  <c r="AA298" i="33"/>
  <c r="X298" i="33"/>
  <c r="Z298" i="33" s="1"/>
  <c r="W298" i="33"/>
  <c r="AQ297" i="33"/>
  <c r="AP297" i="33"/>
  <c r="AO297" i="33"/>
  <c r="AN297" i="33"/>
  <c r="AM297" i="33"/>
  <c r="AL297" i="33"/>
  <c r="AJ297" i="33"/>
  <c r="AI297" i="33"/>
  <c r="AH297" i="33"/>
  <c r="AG297" i="33"/>
  <c r="AA297" i="33"/>
  <c r="X297" i="33"/>
  <c r="Z297" i="33" s="1"/>
  <c r="W297" i="33"/>
  <c r="AQ296" i="33"/>
  <c r="AP296" i="33"/>
  <c r="AO296" i="33"/>
  <c r="AN296" i="33"/>
  <c r="AG296" i="33" s="1"/>
  <c r="AH296" i="33"/>
  <c r="AI296" i="33" s="1"/>
  <c r="AA296" i="33"/>
  <c r="X296" i="33"/>
  <c r="Y296" i="33" s="1"/>
  <c r="W296" i="33"/>
  <c r="AQ295" i="33"/>
  <c r="AU295" i="33" s="1"/>
  <c r="AP295" i="33"/>
  <c r="AO295" i="33"/>
  <c r="AN295" i="33"/>
  <c r="AG295" i="33" s="1"/>
  <c r="AH295" i="33"/>
  <c r="AJ295" i="33" s="1"/>
  <c r="AA295" i="33"/>
  <c r="X295" i="33"/>
  <c r="Z295" i="33" s="1"/>
  <c r="W295" i="33"/>
  <c r="AQ294" i="33"/>
  <c r="AP294" i="33"/>
  <c r="AO294" i="33"/>
  <c r="AN294" i="33"/>
  <c r="AG294" i="33" s="1"/>
  <c r="AH294" i="33"/>
  <c r="AJ294" i="33" s="1"/>
  <c r="AA294" i="33"/>
  <c r="X294" i="33"/>
  <c r="Z294" i="33" s="1"/>
  <c r="W294" i="33"/>
  <c r="AQ293" i="33"/>
  <c r="AP293" i="33"/>
  <c r="AO293" i="33"/>
  <c r="AN293" i="33"/>
  <c r="AG293" i="33" s="1"/>
  <c r="AH293" i="33"/>
  <c r="AA293" i="33"/>
  <c r="X293" i="33"/>
  <c r="Y293" i="33" s="1"/>
  <c r="W293" i="33"/>
  <c r="AQ292" i="33"/>
  <c r="AS292" i="33" s="1"/>
  <c r="AP292" i="33"/>
  <c r="AO292" i="33"/>
  <c r="AN292" i="33"/>
  <c r="AG292" i="33" s="1"/>
  <c r="AH292" i="33"/>
  <c r="AI292" i="33" s="1"/>
  <c r="AA292" i="33"/>
  <c r="X292" i="33"/>
  <c r="W292" i="33"/>
  <c r="AQ291" i="33"/>
  <c r="AS291" i="33" s="1"/>
  <c r="AP291" i="33"/>
  <c r="AO291" i="33"/>
  <c r="AN291" i="33"/>
  <c r="AG291" i="33" s="1"/>
  <c r="AH291" i="33"/>
  <c r="AA291" i="33"/>
  <c r="X291" i="33"/>
  <c r="Z291" i="33" s="1"/>
  <c r="W291" i="33"/>
  <c r="AQ290" i="33"/>
  <c r="AT290" i="33" s="1"/>
  <c r="AP290" i="33"/>
  <c r="AO290" i="33"/>
  <c r="AN290" i="33"/>
  <c r="AG290" i="33" s="1"/>
  <c r="AH290" i="33"/>
  <c r="AI290" i="33" s="1"/>
  <c r="AA290" i="33"/>
  <c r="X290" i="33"/>
  <c r="Z290" i="33" s="1"/>
  <c r="W290" i="33"/>
  <c r="AQ289" i="33"/>
  <c r="AP289" i="33"/>
  <c r="AO289" i="33"/>
  <c r="AN289" i="33"/>
  <c r="AG289" i="33" s="1"/>
  <c r="AH289" i="33"/>
  <c r="AA289" i="33"/>
  <c r="X289" i="33"/>
  <c r="Z289" i="33" s="1"/>
  <c r="W289" i="33"/>
  <c r="V289" i="33"/>
  <c r="AQ288" i="33"/>
  <c r="AU288" i="33" s="1"/>
  <c r="AP288" i="33"/>
  <c r="AH288" i="33" s="1"/>
  <c r="AL288" i="33" s="1"/>
  <c r="O12" i="33" s="1"/>
  <c r="AO288" i="33"/>
  <c r="AN288" i="33"/>
  <c r="AG288" i="33" s="1"/>
  <c r="AA288" i="33"/>
  <c r="AQ286" i="33"/>
  <c r="AP286" i="33"/>
  <c r="AO286" i="33"/>
  <c r="AN286" i="33"/>
  <c r="AG286" i="33" s="1"/>
  <c r="AH286" i="33"/>
  <c r="AA286" i="33"/>
  <c r="X286" i="33"/>
  <c r="Z286" i="33" s="1"/>
  <c r="W286" i="33"/>
  <c r="AQ285" i="33"/>
  <c r="AP285" i="33"/>
  <c r="AO285" i="33"/>
  <c r="AN285" i="33"/>
  <c r="AG285" i="33" s="1"/>
  <c r="AH285" i="33"/>
  <c r="AJ285" i="33" s="1"/>
  <c r="AA285" i="33"/>
  <c r="X285" i="33"/>
  <c r="Z285" i="33" s="1"/>
  <c r="W285" i="33"/>
  <c r="AQ284" i="33"/>
  <c r="AS284" i="33" s="1"/>
  <c r="AP284" i="33"/>
  <c r="AO284" i="33"/>
  <c r="AN284" i="33"/>
  <c r="AG284" i="33" s="1"/>
  <c r="AH284" i="33"/>
  <c r="AI284" i="33" s="1"/>
  <c r="AA284" i="33"/>
  <c r="X284" i="33"/>
  <c r="Y284" i="33" s="1"/>
  <c r="W284" i="33"/>
  <c r="AQ283" i="33"/>
  <c r="AT283" i="33" s="1"/>
  <c r="AP283" i="33"/>
  <c r="AO283" i="33"/>
  <c r="AN283" i="33"/>
  <c r="AM283" i="33"/>
  <c r="AL283" i="33"/>
  <c r="AJ283" i="33"/>
  <c r="AI283" i="33"/>
  <c r="AH283" i="33"/>
  <c r="AG283" i="33"/>
  <c r="AA283" i="33"/>
  <c r="X283" i="33"/>
  <c r="Y283" i="33" s="1"/>
  <c r="W283" i="33"/>
  <c r="AQ282" i="33"/>
  <c r="AT282" i="33" s="1"/>
  <c r="AP282" i="33"/>
  <c r="AO282" i="33"/>
  <c r="AN282" i="33"/>
  <c r="AM282" i="33"/>
  <c r="AL282" i="33"/>
  <c r="AJ282" i="33"/>
  <c r="AI282" i="33"/>
  <c r="AH282" i="33"/>
  <c r="AG282" i="33"/>
  <c r="AA282" i="33"/>
  <c r="X282" i="33"/>
  <c r="Z282" i="33" s="1"/>
  <c r="W282" i="33"/>
  <c r="AQ281" i="33"/>
  <c r="AU281" i="33" s="1"/>
  <c r="AP281" i="33"/>
  <c r="AO281" i="33"/>
  <c r="AN281" i="33"/>
  <c r="AM281" i="33"/>
  <c r="AL281" i="33"/>
  <c r="AJ281" i="33"/>
  <c r="AI281" i="33"/>
  <c r="AH281" i="33"/>
  <c r="AG281" i="33"/>
  <c r="AA281" i="33"/>
  <c r="X281" i="33"/>
  <c r="W281" i="33"/>
  <c r="AQ280" i="33"/>
  <c r="AR280" i="33" s="1"/>
  <c r="AP280" i="33"/>
  <c r="AO280" i="33"/>
  <c r="AN280" i="33"/>
  <c r="AM280" i="33"/>
  <c r="AL280" i="33"/>
  <c r="AJ280" i="33"/>
  <c r="AI280" i="33"/>
  <c r="AH280" i="33"/>
  <c r="AG280" i="33"/>
  <c r="AA280" i="33"/>
  <c r="X280" i="33"/>
  <c r="W280" i="33"/>
  <c r="AQ279" i="33"/>
  <c r="AP279" i="33"/>
  <c r="AO279" i="33"/>
  <c r="AN279" i="33"/>
  <c r="AM279" i="33"/>
  <c r="AL279" i="33"/>
  <c r="AJ279" i="33"/>
  <c r="AI279" i="33"/>
  <c r="AH279" i="33"/>
  <c r="AG279" i="33"/>
  <c r="AA279" i="33"/>
  <c r="X279" i="33"/>
  <c r="Y279" i="33" s="1"/>
  <c r="W279" i="33"/>
  <c r="AQ278" i="33"/>
  <c r="AP278" i="33"/>
  <c r="AO278" i="33"/>
  <c r="AN278" i="33"/>
  <c r="AM278" i="33"/>
  <c r="AL278" i="33"/>
  <c r="AJ278" i="33"/>
  <c r="AI278" i="33"/>
  <c r="AH278" i="33"/>
  <c r="AG278" i="33"/>
  <c r="AA278" i="33"/>
  <c r="X278" i="33"/>
  <c r="Z278" i="33" s="1"/>
  <c r="W278" i="33"/>
  <c r="AQ277" i="33"/>
  <c r="AP277" i="33"/>
  <c r="AO277" i="33"/>
  <c r="AN277" i="33"/>
  <c r="AM277" i="33"/>
  <c r="AL277" i="33"/>
  <c r="AJ277" i="33"/>
  <c r="AI277" i="33"/>
  <c r="AH277" i="33"/>
  <c r="AG277" i="33"/>
  <c r="AA277" i="33"/>
  <c r="X277" i="33"/>
  <c r="Y277" i="33" s="1"/>
  <c r="W277" i="33"/>
  <c r="AQ276" i="33"/>
  <c r="AR276" i="33" s="1"/>
  <c r="AP276" i="33"/>
  <c r="AO276" i="33"/>
  <c r="AN276" i="33"/>
  <c r="AM276" i="33"/>
  <c r="AL276" i="33"/>
  <c r="AJ276" i="33"/>
  <c r="AI276" i="33"/>
  <c r="AH276" i="33"/>
  <c r="AG276" i="33"/>
  <c r="AA276" i="33"/>
  <c r="X276" i="33"/>
  <c r="Z276" i="33" s="1"/>
  <c r="W276" i="33"/>
  <c r="AQ275" i="33"/>
  <c r="AS275" i="33" s="1"/>
  <c r="AP275" i="33"/>
  <c r="AO275" i="33"/>
  <c r="AN275" i="33"/>
  <c r="AM275" i="33"/>
  <c r="AL275" i="33"/>
  <c r="AJ275" i="33"/>
  <c r="AI275" i="33"/>
  <c r="AH275" i="33"/>
  <c r="AG275" i="33"/>
  <c r="AA275" i="33"/>
  <c r="X275" i="33"/>
  <c r="Y275" i="33" s="1"/>
  <c r="W275" i="33"/>
  <c r="AQ274" i="33"/>
  <c r="AP274" i="33"/>
  <c r="AO274" i="33"/>
  <c r="AN274" i="33"/>
  <c r="AM274" i="33"/>
  <c r="AL274" i="33"/>
  <c r="AJ274" i="33"/>
  <c r="AI274" i="33"/>
  <c r="AH274" i="33"/>
  <c r="AG274" i="33"/>
  <c r="AA274" i="33"/>
  <c r="X274" i="33"/>
  <c r="Z274" i="33" s="1"/>
  <c r="W274" i="33"/>
  <c r="AQ273" i="33"/>
  <c r="AP273" i="33"/>
  <c r="AO273" i="33"/>
  <c r="AN273" i="33"/>
  <c r="AM273" i="33"/>
  <c r="AL273" i="33"/>
  <c r="AJ273" i="33"/>
  <c r="AI273" i="33"/>
  <c r="AH273" i="33"/>
  <c r="AG273" i="33"/>
  <c r="AA273" i="33"/>
  <c r="X273" i="33"/>
  <c r="W273" i="33"/>
  <c r="AQ272" i="33"/>
  <c r="AR272" i="33" s="1"/>
  <c r="AP272" i="33"/>
  <c r="AO272" i="33"/>
  <c r="AN272" i="33"/>
  <c r="AM272" i="33"/>
  <c r="AL272" i="33"/>
  <c r="AJ272" i="33"/>
  <c r="AI272" i="33"/>
  <c r="AH272" i="33"/>
  <c r="AG272" i="33"/>
  <c r="AA272" i="33"/>
  <c r="X272" i="33"/>
  <c r="Y272" i="33" s="1"/>
  <c r="W272" i="33"/>
  <c r="AQ271" i="33"/>
  <c r="AR271" i="33" s="1"/>
  <c r="AP271" i="33"/>
  <c r="AO271" i="33"/>
  <c r="AN271" i="33"/>
  <c r="AM271" i="33"/>
  <c r="AL271" i="33"/>
  <c r="AJ271" i="33"/>
  <c r="AI271" i="33"/>
  <c r="AH271" i="33"/>
  <c r="AG271" i="33"/>
  <c r="AA271" i="33"/>
  <c r="X271" i="33"/>
  <c r="Y271" i="33" s="1"/>
  <c r="W271" i="33"/>
  <c r="AQ270" i="33"/>
  <c r="AS270" i="33" s="1"/>
  <c r="AP270" i="33"/>
  <c r="AO270" i="33"/>
  <c r="AN270" i="33"/>
  <c r="AM270" i="33"/>
  <c r="AL270" i="33"/>
  <c r="AJ270" i="33"/>
  <c r="AI270" i="33"/>
  <c r="AH270" i="33"/>
  <c r="AG270" i="33"/>
  <c r="AA270" i="33"/>
  <c r="X270" i="33"/>
  <c r="Z270" i="33" s="1"/>
  <c r="W270" i="33"/>
  <c r="AQ269" i="33"/>
  <c r="AR269" i="33" s="1"/>
  <c r="AP269" i="33"/>
  <c r="AO269" i="33"/>
  <c r="AN269" i="33"/>
  <c r="AM269" i="33"/>
  <c r="AL269" i="33"/>
  <c r="AJ269" i="33"/>
  <c r="AI269" i="33"/>
  <c r="AH269" i="33"/>
  <c r="AG269" i="33"/>
  <c r="AA269" i="33"/>
  <c r="X269" i="33"/>
  <c r="Z269" i="33" s="1"/>
  <c r="W269" i="33"/>
  <c r="AQ268" i="33"/>
  <c r="AR268" i="33" s="1"/>
  <c r="AP268" i="33"/>
  <c r="AO268" i="33"/>
  <c r="AN268" i="33"/>
  <c r="AM268" i="33"/>
  <c r="AL268" i="33"/>
  <c r="AJ268" i="33"/>
  <c r="AI268" i="33"/>
  <c r="AH268" i="33"/>
  <c r="AG268" i="33"/>
  <c r="AA268" i="33"/>
  <c r="X268" i="33"/>
  <c r="Z268" i="33" s="1"/>
  <c r="W268" i="33"/>
  <c r="AQ267" i="33"/>
  <c r="AT267" i="33" s="1"/>
  <c r="AP267" i="33"/>
  <c r="AO267" i="33"/>
  <c r="AN267" i="33"/>
  <c r="AM267" i="33"/>
  <c r="AL267" i="33"/>
  <c r="AJ267" i="33"/>
  <c r="AI267" i="33"/>
  <c r="AH267" i="33"/>
  <c r="AG267" i="33"/>
  <c r="AA267" i="33"/>
  <c r="X267" i="33"/>
  <c r="Y267" i="33" s="1"/>
  <c r="W267" i="33"/>
  <c r="AQ266" i="33"/>
  <c r="AU266" i="33" s="1"/>
  <c r="AP266" i="33"/>
  <c r="AO266" i="33"/>
  <c r="AN266" i="33"/>
  <c r="AM266" i="33"/>
  <c r="AL266" i="33"/>
  <c r="AJ266" i="33"/>
  <c r="AI266" i="33"/>
  <c r="AH266" i="33"/>
  <c r="AG266" i="33"/>
  <c r="AA266" i="33"/>
  <c r="X266" i="33"/>
  <c r="Y266" i="33" s="1"/>
  <c r="W266" i="33"/>
  <c r="AQ265" i="33"/>
  <c r="AU265" i="33" s="1"/>
  <c r="AP265" i="33"/>
  <c r="AO265" i="33"/>
  <c r="AN265" i="33"/>
  <c r="AG265" i="33" s="1"/>
  <c r="AH265" i="33"/>
  <c r="AJ265" i="33" s="1"/>
  <c r="AA265" i="33"/>
  <c r="X265" i="33"/>
  <c r="Z265" i="33" s="1"/>
  <c r="W265" i="33"/>
  <c r="AQ264" i="33"/>
  <c r="AS264" i="33" s="1"/>
  <c r="AP264" i="33"/>
  <c r="AO264" i="33"/>
  <c r="AN264" i="33"/>
  <c r="AG264" i="33" s="1"/>
  <c r="AH264" i="33"/>
  <c r="AJ264" i="33" s="1"/>
  <c r="AA264" i="33"/>
  <c r="X264" i="33"/>
  <c r="Y264" i="33" s="1"/>
  <c r="W264" i="33"/>
  <c r="AQ263" i="33"/>
  <c r="AU263" i="33" s="1"/>
  <c r="AP263" i="33"/>
  <c r="AO263" i="33"/>
  <c r="AN263" i="33"/>
  <c r="AG263" i="33" s="1"/>
  <c r="AH263" i="33"/>
  <c r="AI263" i="33" s="1"/>
  <c r="AA263" i="33"/>
  <c r="X263" i="33"/>
  <c r="Y263" i="33" s="1"/>
  <c r="W263" i="33"/>
  <c r="AQ262" i="33"/>
  <c r="AP262" i="33"/>
  <c r="AO262" i="33"/>
  <c r="AN262" i="33"/>
  <c r="AG262" i="33" s="1"/>
  <c r="AH262" i="33"/>
  <c r="AA262" i="33"/>
  <c r="X262" i="33"/>
  <c r="Z262" i="33" s="1"/>
  <c r="W262" i="33"/>
  <c r="AQ261" i="33"/>
  <c r="AP261" i="33"/>
  <c r="AO261" i="33"/>
  <c r="AN261" i="33"/>
  <c r="AG261" i="33" s="1"/>
  <c r="AH261" i="33"/>
  <c r="AA261" i="33"/>
  <c r="X261" i="33"/>
  <c r="Y261" i="33" s="1"/>
  <c r="W261" i="33"/>
  <c r="AQ260" i="33"/>
  <c r="AU260" i="33" s="1"/>
  <c r="AP260" i="33"/>
  <c r="AO260" i="33"/>
  <c r="AN260" i="33"/>
  <c r="AG260" i="33" s="1"/>
  <c r="AH260" i="33"/>
  <c r="AJ260" i="33" s="1"/>
  <c r="AA260" i="33"/>
  <c r="X260" i="33"/>
  <c r="W260" i="33"/>
  <c r="AQ259" i="33"/>
  <c r="AT259" i="33" s="1"/>
  <c r="AP259" i="33"/>
  <c r="AO259" i="33"/>
  <c r="AN259" i="33"/>
  <c r="AG259" i="33" s="1"/>
  <c r="AH259" i="33"/>
  <c r="AJ259" i="33" s="1"/>
  <c r="AA259" i="33"/>
  <c r="X259" i="33"/>
  <c r="Y259" i="33" s="1"/>
  <c r="W259" i="33"/>
  <c r="AQ258" i="33"/>
  <c r="AR258" i="33" s="1"/>
  <c r="AP258" i="33"/>
  <c r="AO258" i="33"/>
  <c r="AN258" i="33"/>
  <c r="AG258" i="33" s="1"/>
  <c r="AH258" i="33"/>
  <c r="AA258" i="33"/>
  <c r="X258" i="33"/>
  <c r="Z258" i="33" s="1"/>
  <c r="W258" i="33"/>
  <c r="AQ257" i="33"/>
  <c r="AU257" i="33" s="1"/>
  <c r="AP257" i="33"/>
  <c r="AO257" i="33"/>
  <c r="AN257" i="33"/>
  <c r="AG257" i="33" s="1"/>
  <c r="AH257" i="33"/>
  <c r="AL257" i="33" s="1"/>
  <c r="AA257" i="33"/>
  <c r="X257" i="33"/>
  <c r="W257" i="33"/>
  <c r="AQ256" i="33"/>
  <c r="AP256" i="33"/>
  <c r="AO256" i="33"/>
  <c r="AN256" i="33"/>
  <c r="AG256" i="33" s="1"/>
  <c r="AH256" i="33"/>
  <c r="AL256" i="33" s="1"/>
  <c r="AA256" i="33"/>
  <c r="X256" i="33"/>
  <c r="Z256" i="33" s="1"/>
  <c r="W256" i="33"/>
  <c r="AQ255" i="33"/>
  <c r="AP255" i="33"/>
  <c r="AO255" i="33"/>
  <c r="AN255" i="33"/>
  <c r="AM255" i="33"/>
  <c r="AL255" i="33"/>
  <c r="AJ255" i="33"/>
  <c r="AI255" i="33"/>
  <c r="AH255" i="33"/>
  <c r="AG255" i="33"/>
  <c r="AA255" i="33"/>
  <c r="X255" i="33"/>
  <c r="W255" i="33"/>
  <c r="AQ254" i="33"/>
  <c r="AP254" i="33"/>
  <c r="AO254" i="33"/>
  <c r="AN254" i="33"/>
  <c r="AG254" i="33" s="1"/>
  <c r="AH254" i="33"/>
  <c r="AL254" i="33" s="1"/>
  <c r="AA254" i="33"/>
  <c r="X254" i="33"/>
  <c r="Z254" i="33" s="1"/>
  <c r="W254" i="33"/>
  <c r="AQ253" i="33"/>
  <c r="AU253" i="33" s="1"/>
  <c r="AP253" i="33"/>
  <c r="AO253" i="33"/>
  <c r="AN253" i="33"/>
  <c r="AG253" i="33" s="1"/>
  <c r="AH253" i="33"/>
  <c r="AA253" i="33"/>
  <c r="X253" i="33"/>
  <c r="Z253" i="33" s="1"/>
  <c r="W253" i="33"/>
  <c r="V253" i="33"/>
  <c r="AQ252" i="33"/>
  <c r="AP252" i="33"/>
  <c r="AO252" i="33"/>
  <c r="AN252" i="33"/>
  <c r="AG252" i="33" s="1"/>
  <c r="AH252" i="33"/>
  <c r="AI252" i="33" s="1"/>
  <c r="AA252" i="33"/>
  <c r="AQ250" i="33"/>
  <c r="AR250" i="33" s="1"/>
  <c r="AP250" i="33"/>
  <c r="AO250" i="33"/>
  <c r="AN250" i="33"/>
  <c r="AG250" i="33" s="1"/>
  <c r="AH250" i="33"/>
  <c r="AI250" i="33" s="1"/>
  <c r="AA250" i="33"/>
  <c r="X250" i="33"/>
  <c r="Y250" i="33" s="1"/>
  <c r="W250" i="33"/>
  <c r="AQ249" i="33"/>
  <c r="AT249" i="33" s="1"/>
  <c r="AP249" i="33"/>
  <c r="AO249" i="33"/>
  <c r="AN249" i="33"/>
  <c r="AG249" i="33" s="1"/>
  <c r="AH249" i="33"/>
  <c r="AA249" i="33"/>
  <c r="X249" i="33"/>
  <c r="Z249" i="33" s="1"/>
  <c r="W249" i="33"/>
  <c r="AQ248" i="33"/>
  <c r="AP248" i="33"/>
  <c r="AO248" i="33"/>
  <c r="AN248" i="33"/>
  <c r="AG248" i="33" s="1"/>
  <c r="AH248" i="33"/>
  <c r="AA248" i="33"/>
  <c r="X248" i="33"/>
  <c r="Z248" i="33" s="1"/>
  <c r="W248" i="33"/>
  <c r="AQ247" i="33"/>
  <c r="AU247" i="33" s="1"/>
  <c r="AP247" i="33"/>
  <c r="AO247" i="33"/>
  <c r="AN247" i="33"/>
  <c r="AG247" i="33" s="1"/>
  <c r="AH247" i="33"/>
  <c r="AA247" i="33"/>
  <c r="X247" i="33"/>
  <c r="Z247" i="33" s="1"/>
  <c r="W247" i="33"/>
  <c r="AQ246" i="33"/>
  <c r="AU246" i="33" s="1"/>
  <c r="AP246" i="33"/>
  <c r="AO246" i="33"/>
  <c r="AN246" i="33"/>
  <c r="AG246" i="33" s="1"/>
  <c r="AH246" i="33"/>
  <c r="AA246" i="33"/>
  <c r="X246" i="33"/>
  <c r="Z246" i="33" s="1"/>
  <c r="W246" i="33"/>
  <c r="AQ245" i="33"/>
  <c r="AP245" i="33"/>
  <c r="AO245" i="33"/>
  <c r="AN245" i="33"/>
  <c r="AM245" i="33"/>
  <c r="AL245" i="33"/>
  <c r="AJ245" i="33"/>
  <c r="AI245" i="33"/>
  <c r="AH245" i="33"/>
  <c r="AG245" i="33"/>
  <c r="AA245" i="33"/>
  <c r="X245" i="33"/>
  <c r="W245" i="33"/>
  <c r="AQ244" i="33"/>
  <c r="AP244" i="33"/>
  <c r="AO244" i="33"/>
  <c r="AN244" i="33"/>
  <c r="AM244" i="33"/>
  <c r="AL244" i="33"/>
  <c r="AJ244" i="33"/>
  <c r="AI244" i="33"/>
  <c r="AH244" i="33"/>
  <c r="AG244" i="33"/>
  <c r="AA244" i="33"/>
  <c r="X244" i="33"/>
  <c r="Z244" i="33" s="1"/>
  <c r="W244" i="33"/>
  <c r="AQ243" i="33"/>
  <c r="AT243" i="33" s="1"/>
  <c r="AP243" i="33"/>
  <c r="AO243" i="33"/>
  <c r="AN243" i="33"/>
  <c r="AM243" i="33"/>
  <c r="AL243" i="33"/>
  <c r="AJ243" i="33"/>
  <c r="AI243" i="33"/>
  <c r="AH243" i="33"/>
  <c r="AG243" i="33"/>
  <c r="AA243" i="33"/>
  <c r="X243" i="33"/>
  <c r="Z243" i="33" s="1"/>
  <c r="W243" i="33"/>
  <c r="AQ242" i="33"/>
  <c r="AU242" i="33" s="1"/>
  <c r="AP242" i="33"/>
  <c r="AO242" i="33"/>
  <c r="AN242" i="33"/>
  <c r="AM242" i="33"/>
  <c r="AL242" i="33"/>
  <c r="AJ242" i="33"/>
  <c r="AI242" i="33"/>
  <c r="AH242" i="33"/>
  <c r="AG242" i="33"/>
  <c r="AA242" i="33"/>
  <c r="X242" i="33"/>
  <c r="Y242" i="33" s="1"/>
  <c r="W242" i="33"/>
  <c r="AQ241" i="33"/>
  <c r="AP241" i="33"/>
  <c r="AO241" i="33"/>
  <c r="AN241" i="33"/>
  <c r="AM241" i="33"/>
  <c r="AL241" i="33"/>
  <c r="AJ241" i="33"/>
  <c r="AI241" i="33"/>
  <c r="AH241" i="33"/>
  <c r="AG241" i="33"/>
  <c r="AA241" i="33"/>
  <c r="X241" i="33"/>
  <c r="W241" i="33"/>
  <c r="AQ240" i="33"/>
  <c r="AT240" i="33" s="1"/>
  <c r="AP240" i="33"/>
  <c r="AO240" i="33"/>
  <c r="AN240" i="33"/>
  <c r="AM240" i="33"/>
  <c r="AL240" i="33"/>
  <c r="AJ240" i="33"/>
  <c r="AI240" i="33"/>
  <c r="AH240" i="33"/>
  <c r="AG240" i="33"/>
  <c r="AA240" i="33"/>
  <c r="X240" i="33"/>
  <c r="Y240" i="33" s="1"/>
  <c r="W240" i="33"/>
  <c r="AQ239" i="33"/>
  <c r="AP239" i="33"/>
  <c r="AO239" i="33"/>
  <c r="AN239" i="33"/>
  <c r="AM239" i="33"/>
  <c r="AL239" i="33"/>
  <c r="AJ239" i="33"/>
  <c r="AI239" i="33"/>
  <c r="AH239" i="33"/>
  <c r="AG239" i="33"/>
  <c r="AA239" i="33"/>
  <c r="X239" i="33"/>
  <c r="Z239" i="33" s="1"/>
  <c r="W239" i="33"/>
  <c r="AQ238" i="33"/>
  <c r="AU238" i="33" s="1"/>
  <c r="AP238" i="33"/>
  <c r="AO238" i="33"/>
  <c r="AN238" i="33"/>
  <c r="AM238" i="33"/>
  <c r="AL238" i="33"/>
  <c r="AJ238" i="33"/>
  <c r="AI238" i="33"/>
  <c r="AH238" i="33"/>
  <c r="AG238" i="33"/>
  <c r="AA238" i="33"/>
  <c r="X238" i="33"/>
  <c r="Z238" i="33" s="1"/>
  <c r="W238" i="33"/>
  <c r="AQ237" i="33"/>
  <c r="AU237" i="33" s="1"/>
  <c r="AP237" i="33"/>
  <c r="AO237" i="33"/>
  <c r="AN237" i="33"/>
  <c r="AM237" i="33"/>
  <c r="AL237" i="33"/>
  <c r="AJ237" i="33"/>
  <c r="AI237" i="33"/>
  <c r="AH237" i="33"/>
  <c r="AG237" i="33"/>
  <c r="AA237" i="33"/>
  <c r="X237" i="33"/>
  <c r="W237" i="33"/>
  <c r="AQ236" i="33"/>
  <c r="AP236" i="33"/>
  <c r="AO236" i="33"/>
  <c r="AN236" i="33"/>
  <c r="AM236" i="33"/>
  <c r="AL236" i="33"/>
  <c r="AJ236" i="33"/>
  <c r="AI236" i="33"/>
  <c r="AH236" i="33"/>
  <c r="AG236" i="33"/>
  <c r="AA236" i="33"/>
  <c r="X236" i="33"/>
  <c r="W236" i="33"/>
  <c r="AQ235" i="33"/>
  <c r="AU235" i="33" s="1"/>
  <c r="AP235" i="33"/>
  <c r="AO235" i="33"/>
  <c r="AN235" i="33"/>
  <c r="AM235" i="33"/>
  <c r="AL235" i="33"/>
  <c r="AJ235" i="33"/>
  <c r="AI235" i="33"/>
  <c r="AH235" i="33"/>
  <c r="AG235" i="33"/>
  <c r="AA235" i="33"/>
  <c r="X235" i="33"/>
  <c r="Z235" i="33" s="1"/>
  <c r="W235" i="33"/>
  <c r="AQ234" i="33"/>
  <c r="AU234" i="33" s="1"/>
  <c r="AP234" i="33"/>
  <c r="AO234" i="33"/>
  <c r="AN234" i="33"/>
  <c r="AM234" i="33"/>
  <c r="AL234" i="33"/>
  <c r="AJ234" i="33"/>
  <c r="AI234" i="33"/>
  <c r="AH234" i="33"/>
  <c r="AG234" i="33"/>
  <c r="AA234" i="33"/>
  <c r="X234" i="33"/>
  <c r="Z234" i="33" s="1"/>
  <c r="W234" i="33"/>
  <c r="AQ233" i="33"/>
  <c r="AP233" i="33"/>
  <c r="AO233" i="33"/>
  <c r="AN233" i="33"/>
  <c r="AM233" i="33"/>
  <c r="AL233" i="33"/>
  <c r="AJ233" i="33"/>
  <c r="AI233" i="33"/>
  <c r="AH233" i="33"/>
  <c r="AG233" i="33"/>
  <c r="AA233" i="33"/>
  <c r="X233" i="33"/>
  <c r="Y233" i="33" s="1"/>
  <c r="W233" i="33"/>
  <c r="AQ232" i="33"/>
  <c r="AT232" i="33" s="1"/>
  <c r="AP232" i="33"/>
  <c r="AO232" i="33"/>
  <c r="AN232" i="33"/>
  <c r="AM232" i="33"/>
  <c r="AL232" i="33"/>
  <c r="AJ232" i="33"/>
  <c r="AI232" i="33"/>
  <c r="AH232" i="33"/>
  <c r="AG232" i="33"/>
  <c r="AA232" i="33"/>
  <c r="X232" i="33"/>
  <c r="W232" i="33"/>
  <c r="AQ231" i="33"/>
  <c r="AU231" i="33" s="1"/>
  <c r="AP231" i="33"/>
  <c r="AO231" i="33"/>
  <c r="AN231" i="33"/>
  <c r="AM231" i="33"/>
  <c r="AL231" i="33"/>
  <c r="AJ231" i="33"/>
  <c r="AI231" i="33"/>
  <c r="AH231" i="33"/>
  <c r="AG231" i="33"/>
  <c r="AA231" i="33"/>
  <c r="X231" i="33"/>
  <c r="Z231" i="33" s="1"/>
  <c r="W231" i="33"/>
  <c r="AQ230" i="33"/>
  <c r="AU230" i="33" s="1"/>
  <c r="AP230" i="33"/>
  <c r="AO230" i="33"/>
  <c r="AN230" i="33"/>
  <c r="AM230" i="33"/>
  <c r="AL230" i="33"/>
  <c r="AJ230" i="33"/>
  <c r="AI230" i="33"/>
  <c r="AH230" i="33"/>
  <c r="AG230" i="33"/>
  <c r="AA230" i="33"/>
  <c r="X230" i="33"/>
  <c r="W230" i="33"/>
  <c r="AQ229" i="33"/>
  <c r="AU229" i="33" s="1"/>
  <c r="AP229" i="33"/>
  <c r="AO229" i="33"/>
  <c r="AN229" i="33"/>
  <c r="AM229" i="33"/>
  <c r="AL229" i="33"/>
  <c r="AJ229" i="33"/>
  <c r="AI229" i="33"/>
  <c r="AH229" i="33"/>
  <c r="AG229" i="33"/>
  <c r="AA229" i="33"/>
  <c r="X229" i="33"/>
  <c r="W229" i="33"/>
  <c r="AQ228" i="33"/>
  <c r="AT228" i="33" s="1"/>
  <c r="AP228" i="33"/>
  <c r="AO228" i="33"/>
  <c r="AN228" i="33"/>
  <c r="AM228" i="33"/>
  <c r="AL228" i="33"/>
  <c r="AJ228" i="33"/>
  <c r="AI228" i="33"/>
  <c r="AH228" i="33"/>
  <c r="AG228" i="33"/>
  <c r="AA228" i="33"/>
  <c r="X228" i="33"/>
  <c r="Y228" i="33" s="1"/>
  <c r="W228" i="33"/>
  <c r="AQ227" i="33"/>
  <c r="AR227" i="33" s="1"/>
  <c r="AP227" i="33"/>
  <c r="AO227" i="33"/>
  <c r="AN227" i="33"/>
  <c r="AM227" i="33"/>
  <c r="AL227" i="33"/>
  <c r="AJ227" i="33"/>
  <c r="AI227" i="33"/>
  <c r="AH227" i="33"/>
  <c r="AG227" i="33"/>
  <c r="AA227" i="33"/>
  <c r="X227" i="33"/>
  <c r="Z227" i="33" s="1"/>
  <c r="W227" i="33"/>
  <c r="AQ226" i="33"/>
  <c r="AP226" i="33"/>
  <c r="AO226" i="33"/>
  <c r="AN226" i="33"/>
  <c r="AM226" i="33"/>
  <c r="AL226" i="33"/>
  <c r="AJ226" i="33"/>
  <c r="AI226" i="33"/>
  <c r="AH226" i="33"/>
  <c r="AG226" i="33"/>
  <c r="AA226" i="33"/>
  <c r="X226" i="33"/>
  <c r="W226" i="33"/>
  <c r="AQ225" i="33"/>
  <c r="AR225" i="33" s="1"/>
  <c r="AP225" i="33"/>
  <c r="AO225" i="33"/>
  <c r="AN225" i="33"/>
  <c r="AM225" i="33"/>
  <c r="AL225" i="33"/>
  <c r="AJ225" i="33"/>
  <c r="AI225" i="33"/>
  <c r="AH225" i="33"/>
  <c r="AG225" i="33"/>
  <c r="AA225" i="33"/>
  <c r="X225" i="33"/>
  <c r="Z225" i="33" s="1"/>
  <c r="W225" i="33"/>
  <c r="AQ224" i="33"/>
  <c r="AS224" i="33" s="1"/>
  <c r="AP224" i="33"/>
  <c r="AO224" i="33"/>
  <c r="AN224" i="33"/>
  <c r="AM224" i="33"/>
  <c r="AL224" i="33"/>
  <c r="AJ224" i="33"/>
  <c r="AI224" i="33"/>
  <c r="AH224" i="33"/>
  <c r="AG224" i="33"/>
  <c r="AA224" i="33"/>
  <c r="X224" i="33"/>
  <c r="Y224" i="33" s="1"/>
  <c r="W224" i="33"/>
  <c r="AQ223" i="33"/>
  <c r="AP223" i="33"/>
  <c r="AH223" i="33" s="1"/>
  <c r="AO223" i="33"/>
  <c r="AN223" i="33"/>
  <c r="AG223" i="33" s="1"/>
  <c r="AA223" i="33"/>
  <c r="X223" i="33"/>
  <c r="W223" i="33"/>
  <c r="AQ222" i="33"/>
  <c r="AT222" i="33" s="1"/>
  <c r="AP222" i="33"/>
  <c r="AH222" i="33" s="1"/>
  <c r="AO222" i="33"/>
  <c r="AN222" i="33"/>
  <c r="AG222" i="33" s="1"/>
  <c r="AA222" i="33"/>
  <c r="X222" i="33"/>
  <c r="Z222" i="33" s="1"/>
  <c r="W222" i="33"/>
  <c r="AQ221" i="33"/>
  <c r="AR221" i="33" s="1"/>
  <c r="AP221" i="33"/>
  <c r="AO221" i="33"/>
  <c r="AN221" i="33"/>
  <c r="AG221" i="33" s="1"/>
  <c r="AH221" i="33"/>
  <c r="AI221" i="33" s="1"/>
  <c r="AA221" i="33"/>
  <c r="X221" i="33"/>
  <c r="Y221" i="33" s="1"/>
  <c r="W221" i="33"/>
  <c r="AQ220" i="33"/>
  <c r="AS220" i="33" s="1"/>
  <c r="AP220" i="33"/>
  <c r="AO220" i="33"/>
  <c r="AN220" i="33"/>
  <c r="AG220" i="33" s="1"/>
  <c r="AH220" i="33"/>
  <c r="AA220" i="33"/>
  <c r="X220" i="33"/>
  <c r="Y220" i="33" s="1"/>
  <c r="W220" i="33"/>
  <c r="AQ219" i="33"/>
  <c r="AS219" i="33" s="1"/>
  <c r="AP219" i="33"/>
  <c r="AO219" i="33"/>
  <c r="AN219" i="33"/>
  <c r="AG219" i="33" s="1"/>
  <c r="AH219" i="33"/>
  <c r="AA219" i="33"/>
  <c r="X219" i="33"/>
  <c r="W219" i="33"/>
  <c r="AQ218" i="33"/>
  <c r="AS218" i="33" s="1"/>
  <c r="AP218" i="33"/>
  <c r="AO218" i="33"/>
  <c r="AN218" i="33"/>
  <c r="AG218" i="33" s="1"/>
  <c r="AH218" i="33"/>
  <c r="AL218" i="33" s="1"/>
  <c r="AA218" i="33"/>
  <c r="X218" i="33"/>
  <c r="Z218" i="33" s="1"/>
  <c r="W218" i="33"/>
  <c r="AQ217" i="33"/>
  <c r="AP217" i="33"/>
  <c r="AO217" i="33"/>
  <c r="AN217" i="33"/>
  <c r="AG217" i="33" s="1"/>
  <c r="AH217" i="33"/>
  <c r="AL217" i="33" s="1"/>
  <c r="AA217" i="33"/>
  <c r="X217" i="33"/>
  <c r="Z217" i="33" s="1"/>
  <c r="W217" i="33"/>
  <c r="V217" i="33"/>
  <c r="AQ216" i="33"/>
  <c r="AR216" i="33" s="1"/>
  <c r="AP216" i="33"/>
  <c r="AO216" i="33"/>
  <c r="AN216" i="33"/>
  <c r="AG216" i="33" s="1"/>
  <c r="AH216" i="33"/>
  <c r="AJ216" i="33" s="1"/>
  <c r="AA216" i="33"/>
  <c r="AQ214" i="33"/>
  <c r="AP214" i="33"/>
  <c r="AO214" i="33"/>
  <c r="AN214" i="33"/>
  <c r="AG214" i="33" s="1"/>
  <c r="AH214" i="33"/>
  <c r="AI214" i="33" s="1"/>
  <c r="AA214" i="33"/>
  <c r="X214" i="33"/>
  <c r="Z214" i="33" s="1"/>
  <c r="W214" i="33"/>
  <c r="AQ213" i="33"/>
  <c r="AU213" i="33" s="1"/>
  <c r="AP213" i="33"/>
  <c r="AO213" i="33"/>
  <c r="AN213" i="33"/>
  <c r="AG213" i="33" s="1"/>
  <c r="AH213" i="33"/>
  <c r="AA213" i="33"/>
  <c r="X213" i="33"/>
  <c r="Z213" i="33" s="1"/>
  <c r="W213" i="33"/>
  <c r="AQ212" i="33"/>
  <c r="AP212" i="33"/>
  <c r="AO212" i="33"/>
  <c r="AN212" i="33"/>
  <c r="AG212" i="33" s="1"/>
  <c r="AH212" i="33"/>
  <c r="AA212" i="33"/>
  <c r="X212" i="33"/>
  <c r="W212" i="33"/>
  <c r="AQ211" i="33"/>
  <c r="AP211" i="33"/>
  <c r="AO211" i="33"/>
  <c r="AN211" i="33"/>
  <c r="AM211" i="33"/>
  <c r="AL211" i="33"/>
  <c r="AJ211" i="33"/>
  <c r="AI211" i="33"/>
  <c r="AH211" i="33"/>
  <c r="AG211" i="33"/>
  <c r="AA211" i="33"/>
  <c r="X211" i="33"/>
  <c r="Y211" i="33" s="1"/>
  <c r="W211" i="33"/>
  <c r="AQ210" i="33"/>
  <c r="AT210" i="33" s="1"/>
  <c r="AP210" i="33"/>
  <c r="AO210" i="33"/>
  <c r="AN210" i="33"/>
  <c r="AM210" i="33"/>
  <c r="AL210" i="33"/>
  <c r="AJ210" i="33"/>
  <c r="AI210" i="33"/>
  <c r="AH210" i="33"/>
  <c r="AG210" i="33"/>
  <c r="AA210" i="33"/>
  <c r="X210" i="33"/>
  <c r="Z210" i="33" s="1"/>
  <c r="W210" i="33"/>
  <c r="AQ209" i="33"/>
  <c r="AU209" i="33" s="1"/>
  <c r="AP209" i="33"/>
  <c r="AO209" i="33"/>
  <c r="AN209" i="33"/>
  <c r="AM209" i="33"/>
  <c r="AL209" i="33"/>
  <c r="AJ209" i="33"/>
  <c r="AI209" i="33"/>
  <c r="AH209" i="33"/>
  <c r="AG209" i="33"/>
  <c r="AA209" i="33"/>
  <c r="X209" i="33"/>
  <c r="Z209" i="33" s="1"/>
  <c r="W209" i="33"/>
  <c r="AQ208" i="33"/>
  <c r="AU208" i="33" s="1"/>
  <c r="AP208" i="33"/>
  <c r="AO208" i="33"/>
  <c r="AN208" i="33"/>
  <c r="AM208" i="33"/>
  <c r="AL208" i="33"/>
  <c r="AJ208" i="33"/>
  <c r="AI208" i="33"/>
  <c r="AH208" i="33"/>
  <c r="AG208" i="33"/>
  <c r="AA208" i="33"/>
  <c r="X208" i="33"/>
  <c r="Z208" i="33" s="1"/>
  <c r="W208" i="33"/>
  <c r="AQ207" i="33"/>
  <c r="AP207" i="33"/>
  <c r="AO207" i="33"/>
  <c r="AN207" i="33"/>
  <c r="AM207" i="33"/>
  <c r="AL207" i="33"/>
  <c r="AJ207" i="33"/>
  <c r="AI207" i="33"/>
  <c r="AH207" i="33"/>
  <c r="AG207" i="33"/>
  <c r="AA207" i="33"/>
  <c r="X207" i="33"/>
  <c r="Z207" i="33" s="1"/>
  <c r="W207" i="33"/>
  <c r="AQ206" i="33"/>
  <c r="AU206" i="33" s="1"/>
  <c r="AP206" i="33"/>
  <c r="AO206" i="33"/>
  <c r="AN206" i="33"/>
  <c r="AM206" i="33"/>
  <c r="AL206" i="33"/>
  <c r="AJ206" i="33"/>
  <c r="AI206" i="33"/>
  <c r="AH206" i="33"/>
  <c r="AG206" i="33"/>
  <c r="AA206" i="33"/>
  <c r="X206" i="33"/>
  <c r="W206" i="33"/>
  <c r="AQ205" i="33"/>
  <c r="AU205" i="33" s="1"/>
  <c r="AP205" i="33"/>
  <c r="AO205" i="33"/>
  <c r="AN205" i="33"/>
  <c r="AM205" i="33"/>
  <c r="AL205" i="33"/>
  <c r="AJ205" i="33"/>
  <c r="AI205" i="33"/>
  <c r="AH205" i="33"/>
  <c r="AG205" i="33"/>
  <c r="AA205" i="33"/>
  <c r="X205" i="33"/>
  <c r="Z205" i="33" s="1"/>
  <c r="W205" i="33"/>
  <c r="AQ204" i="33"/>
  <c r="AP204" i="33"/>
  <c r="AO204" i="33"/>
  <c r="AN204" i="33"/>
  <c r="AM204" i="33"/>
  <c r="AL204" i="33"/>
  <c r="AJ204" i="33"/>
  <c r="AI204" i="33"/>
  <c r="AH204" i="33"/>
  <c r="AG204" i="33"/>
  <c r="AA204" i="33"/>
  <c r="X204" i="33"/>
  <c r="W204" i="33"/>
  <c r="AQ203" i="33"/>
  <c r="AU203" i="33" s="1"/>
  <c r="AP203" i="33"/>
  <c r="AO203" i="33"/>
  <c r="AN203" i="33"/>
  <c r="AM203" i="33"/>
  <c r="AL203" i="33"/>
  <c r="AJ203" i="33"/>
  <c r="AI203" i="33"/>
  <c r="AH203" i="33"/>
  <c r="AG203" i="33"/>
  <c r="AA203" i="33"/>
  <c r="X203" i="33"/>
  <c r="Z203" i="33" s="1"/>
  <c r="W203" i="33"/>
  <c r="AQ202" i="33"/>
  <c r="AR202" i="33" s="1"/>
  <c r="AP202" i="33"/>
  <c r="AO202" i="33"/>
  <c r="AN202" i="33"/>
  <c r="AM202" i="33"/>
  <c r="AL202" i="33"/>
  <c r="AJ202" i="33"/>
  <c r="AI202" i="33"/>
  <c r="AH202" i="33"/>
  <c r="AG202" i="33"/>
  <c r="AA202" i="33"/>
  <c r="X202" i="33"/>
  <c r="Z202" i="33" s="1"/>
  <c r="W202" i="33"/>
  <c r="AQ201" i="33"/>
  <c r="AP201" i="33"/>
  <c r="AO201" i="33"/>
  <c r="AN201" i="33"/>
  <c r="AM201" i="33"/>
  <c r="AL201" i="33"/>
  <c r="AJ201" i="33"/>
  <c r="AI201" i="33"/>
  <c r="AH201" i="33"/>
  <c r="AG201" i="33"/>
  <c r="AA201" i="33"/>
  <c r="X201" i="33"/>
  <c r="Z201" i="33" s="1"/>
  <c r="W201" i="33"/>
  <c r="AQ200" i="33"/>
  <c r="AU200" i="33" s="1"/>
  <c r="AP200" i="33"/>
  <c r="AO200" i="33"/>
  <c r="AN200" i="33"/>
  <c r="AM200" i="33"/>
  <c r="AL200" i="33"/>
  <c r="AJ200" i="33"/>
  <c r="AI200" i="33"/>
  <c r="AH200" i="33"/>
  <c r="AG200" i="33"/>
  <c r="AA200" i="33"/>
  <c r="X200" i="33"/>
  <c r="Z200" i="33" s="1"/>
  <c r="W200" i="33"/>
  <c r="AQ199" i="33"/>
  <c r="AT199" i="33" s="1"/>
  <c r="AP199" i="33"/>
  <c r="AO199" i="33"/>
  <c r="AN199" i="33"/>
  <c r="AM199" i="33"/>
  <c r="AL199" i="33"/>
  <c r="AJ199" i="33"/>
  <c r="AI199" i="33"/>
  <c r="AH199" i="33"/>
  <c r="AG199" i="33"/>
  <c r="AA199" i="33"/>
  <c r="X199" i="33"/>
  <c r="Z199" i="33" s="1"/>
  <c r="W199" i="33"/>
  <c r="AQ198" i="33"/>
  <c r="AR198" i="33" s="1"/>
  <c r="AP198" i="33"/>
  <c r="AO198" i="33"/>
  <c r="AN198" i="33"/>
  <c r="AM198" i="33"/>
  <c r="AL198" i="33"/>
  <c r="AJ198" i="33"/>
  <c r="AI198" i="33"/>
  <c r="AH198" i="33"/>
  <c r="AG198" i="33"/>
  <c r="AA198" i="33"/>
  <c r="X198" i="33"/>
  <c r="Y198" i="33" s="1"/>
  <c r="W198" i="33"/>
  <c r="AQ197" i="33"/>
  <c r="AP197" i="33"/>
  <c r="AO197" i="33"/>
  <c r="AN197" i="33"/>
  <c r="AM197" i="33"/>
  <c r="AL197" i="33"/>
  <c r="AJ197" i="33"/>
  <c r="AI197" i="33"/>
  <c r="AH197" i="33"/>
  <c r="AG197" i="33"/>
  <c r="AA197" i="33"/>
  <c r="X197" i="33"/>
  <c r="Z197" i="33" s="1"/>
  <c r="W197" i="33"/>
  <c r="AQ196" i="33"/>
  <c r="AR196" i="33" s="1"/>
  <c r="AP196" i="33"/>
  <c r="AO196" i="33"/>
  <c r="AN196" i="33"/>
  <c r="AM196" i="33"/>
  <c r="AL196" i="33"/>
  <c r="AJ196" i="33"/>
  <c r="AI196" i="33"/>
  <c r="AH196" i="33"/>
  <c r="AG196" i="33"/>
  <c r="AA196" i="33"/>
  <c r="X196" i="33"/>
  <c r="Z196" i="33" s="1"/>
  <c r="W196" i="33"/>
  <c r="AQ195" i="33"/>
  <c r="AU195" i="33" s="1"/>
  <c r="AP195" i="33"/>
  <c r="AO195" i="33"/>
  <c r="AN195" i="33"/>
  <c r="AM195" i="33"/>
  <c r="AL195" i="33"/>
  <c r="AJ195" i="33"/>
  <c r="AI195" i="33"/>
  <c r="AH195" i="33"/>
  <c r="AG195" i="33"/>
  <c r="AA195" i="33"/>
  <c r="X195" i="33"/>
  <c r="W195" i="33"/>
  <c r="AQ194" i="33"/>
  <c r="AU194" i="33" s="1"/>
  <c r="AP194" i="33"/>
  <c r="AO194" i="33"/>
  <c r="AN194" i="33"/>
  <c r="AM194" i="33"/>
  <c r="AL194" i="33"/>
  <c r="AJ194" i="33"/>
  <c r="AI194" i="33"/>
  <c r="AH194" i="33"/>
  <c r="AG194" i="33"/>
  <c r="AA194" i="33"/>
  <c r="X194" i="33"/>
  <c r="W194" i="33"/>
  <c r="AQ193" i="33"/>
  <c r="AT193" i="33" s="1"/>
  <c r="AP193" i="33"/>
  <c r="AO193" i="33"/>
  <c r="AN193" i="33"/>
  <c r="AM193" i="33"/>
  <c r="AL193" i="33"/>
  <c r="AJ193" i="33"/>
  <c r="AI193" i="33"/>
  <c r="AH193" i="33"/>
  <c r="AG193" i="33"/>
  <c r="AA193" i="33"/>
  <c r="X193" i="33"/>
  <c r="Z193" i="33" s="1"/>
  <c r="W193" i="33"/>
  <c r="AQ192" i="33"/>
  <c r="AU192" i="33" s="1"/>
  <c r="AP192" i="33"/>
  <c r="AO192" i="33"/>
  <c r="AN192" i="33"/>
  <c r="AM192" i="33"/>
  <c r="AL192" i="33"/>
  <c r="AJ192" i="33"/>
  <c r="AI192" i="33"/>
  <c r="AH192" i="33"/>
  <c r="AG192" i="33"/>
  <c r="AA192" i="33"/>
  <c r="X192" i="33"/>
  <c r="Z192" i="33" s="1"/>
  <c r="W192" i="33"/>
  <c r="AQ191" i="33"/>
  <c r="AR191" i="33" s="1"/>
  <c r="AP191" i="33"/>
  <c r="AO191" i="33"/>
  <c r="AN191" i="33"/>
  <c r="AM191" i="33"/>
  <c r="AL191" i="33"/>
  <c r="AJ191" i="33"/>
  <c r="AI191" i="33"/>
  <c r="AH191" i="33"/>
  <c r="AG191" i="33"/>
  <c r="AA191" i="33"/>
  <c r="X191" i="33"/>
  <c r="Z191" i="33" s="1"/>
  <c r="W191" i="33"/>
  <c r="AQ190" i="33"/>
  <c r="AT190" i="33" s="1"/>
  <c r="AP190" i="33"/>
  <c r="AO190" i="33"/>
  <c r="AN190" i="33"/>
  <c r="AG190" i="33" s="1"/>
  <c r="AH190" i="33"/>
  <c r="AJ190" i="33" s="1"/>
  <c r="AA190" i="33"/>
  <c r="X190" i="33"/>
  <c r="W190" i="33"/>
  <c r="AQ189" i="33"/>
  <c r="AU189" i="33" s="1"/>
  <c r="AP189" i="33"/>
  <c r="AO189" i="33"/>
  <c r="AN189" i="33"/>
  <c r="AM189" i="33"/>
  <c r="AL189" i="33"/>
  <c r="AJ189" i="33"/>
  <c r="AI189" i="33"/>
  <c r="AH189" i="33"/>
  <c r="AG189" i="33"/>
  <c r="AA189" i="33"/>
  <c r="X189" i="33"/>
  <c r="Z189" i="33" s="1"/>
  <c r="W189" i="33"/>
  <c r="AQ188" i="33"/>
  <c r="AP188" i="33"/>
  <c r="AO188" i="33"/>
  <c r="AN188" i="33"/>
  <c r="AG188" i="33" s="1"/>
  <c r="AH188" i="33"/>
  <c r="AI188" i="33" s="1"/>
  <c r="AA188" i="33"/>
  <c r="X188" i="33"/>
  <c r="Z188" i="33" s="1"/>
  <c r="W188" i="33"/>
  <c r="AQ187" i="33"/>
  <c r="AU187" i="33" s="1"/>
  <c r="AP187" i="33"/>
  <c r="AO187" i="33"/>
  <c r="AN187" i="33"/>
  <c r="AG187" i="33" s="1"/>
  <c r="AH187" i="33"/>
  <c r="AA187" i="33"/>
  <c r="X187" i="33"/>
  <c r="Z187" i="33" s="1"/>
  <c r="W187" i="33"/>
  <c r="AQ186" i="33"/>
  <c r="AU186" i="33" s="1"/>
  <c r="AP186" i="33"/>
  <c r="AO186" i="33"/>
  <c r="AN186" i="33"/>
  <c r="AG186" i="33" s="1"/>
  <c r="AH186" i="33"/>
  <c r="AI186" i="33" s="1"/>
  <c r="AA186" i="33"/>
  <c r="X186" i="33"/>
  <c r="Z186" i="33" s="1"/>
  <c r="W186" i="33"/>
  <c r="AQ185" i="33"/>
  <c r="AU185" i="33" s="1"/>
  <c r="AP185" i="33"/>
  <c r="AO185" i="33"/>
  <c r="AN185" i="33"/>
  <c r="AG185" i="33" s="1"/>
  <c r="AH185" i="33"/>
  <c r="AJ185" i="33" s="1"/>
  <c r="AA185" i="33"/>
  <c r="X185" i="33"/>
  <c r="W185" i="33"/>
  <c r="AQ184" i="33"/>
  <c r="AU184" i="33" s="1"/>
  <c r="AP184" i="33"/>
  <c r="AO184" i="33"/>
  <c r="AN184" i="33"/>
  <c r="AG184" i="33" s="1"/>
  <c r="AH184" i="33"/>
  <c r="AA184" i="33"/>
  <c r="X184" i="33"/>
  <c r="Z184" i="33" s="1"/>
  <c r="W184" i="33"/>
  <c r="AQ183" i="33"/>
  <c r="AU183" i="33" s="1"/>
  <c r="AP183" i="33"/>
  <c r="AO183" i="33"/>
  <c r="AN183" i="33"/>
  <c r="AG183" i="33" s="1"/>
  <c r="AH183" i="33"/>
  <c r="AI183" i="33" s="1"/>
  <c r="AA183" i="33"/>
  <c r="X183" i="33"/>
  <c r="Z183" i="33" s="1"/>
  <c r="W183" i="33"/>
  <c r="AQ182" i="33"/>
  <c r="AT182" i="33" s="1"/>
  <c r="AP182" i="33"/>
  <c r="AO182" i="33"/>
  <c r="AN182" i="33"/>
  <c r="AG182" i="33" s="1"/>
  <c r="AH182" i="33"/>
  <c r="AI182" i="33" s="1"/>
  <c r="AA182" i="33"/>
  <c r="X182" i="33"/>
  <c r="Z182" i="33" s="1"/>
  <c r="W182" i="33"/>
  <c r="AQ181" i="33"/>
  <c r="AU181" i="33" s="1"/>
  <c r="AP181" i="33"/>
  <c r="AO181" i="33"/>
  <c r="AN181" i="33"/>
  <c r="AG181" i="33" s="1"/>
  <c r="AH181" i="33"/>
  <c r="AI181" i="33" s="1"/>
  <c r="AA181" i="33"/>
  <c r="X181" i="33"/>
  <c r="Z181" i="33" s="1"/>
  <c r="W181" i="33"/>
  <c r="V181" i="33"/>
  <c r="AQ180" i="33"/>
  <c r="AU180" i="33" s="1"/>
  <c r="AP180" i="33"/>
  <c r="AO180" i="33"/>
  <c r="AN180" i="33"/>
  <c r="AG180" i="33" s="1"/>
  <c r="AH180" i="33"/>
  <c r="AJ180" i="33" s="1"/>
  <c r="AA180" i="33"/>
  <c r="AQ178" i="33"/>
  <c r="AP178" i="33"/>
  <c r="AO178" i="33"/>
  <c r="AN178" i="33"/>
  <c r="AG178" i="33" s="1"/>
  <c r="AH178" i="33"/>
  <c r="AJ178" i="33" s="1"/>
  <c r="AA178" i="33"/>
  <c r="X178" i="33"/>
  <c r="W178" i="33"/>
  <c r="AQ177" i="33"/>
  <c r="AU177" i="33" s="1"/>
  <c r="AP177" i="33"/>
  <c r="AO177" i="33"/>
  <c r="AN177" i="33"/>
  <c r="AG177" i="33" s="1"/>
  <c r="AH177" i="33"/>
  <c r="AA177" i="33"/>
  <c r="X177" i="33"/>
  <c r="Z177" i="33" s="1"/>
  <c r="W177" i="33"/>
  <c r="AQ176" i="33"/>
  <c r="AR176" i="33" s="1"/>
  <c r="AP176" i="33"/>
  <c r="AH176" i="33" s="1"/>
  <c r="AO176" i="33"/>
  <c r="AN176" i="33"/>
  <c r="AG176" i="33" s="1"/>
  <c r="AA176" i="33"/>
  <c r="X176" i="33"/>
  <c r="Z176" i="33" s="1"/>
  <c r="W176" i="33"/>
  <c r="AQ175" i="33"/>
  <c r="AR175" i="33" s="1"/>
  <c r="AP175" i="33"/>
  <c r="AO175" i="33"/>
  <c r="AN175" i="33"/>
  <c r="AG175" i="33" s="1"/>
  <c r="AH175" i="33"/>
  <c r="AL175" i="33" s="1"/>
  <c r="AA175" i="33"/>
  <c r="X175" i="33"/>
  <c r="Z175" i="33" s="1"/>
  <c r="W175" i="33"/>
  <c r="AQ174" i="33"/>
  <c r="AS174" i="33" s="1"/>
  <c r="AP174" i="33"/>
  <c r="AO174" i="33"/>
  <c r="AN174" i="33"/>
  <c r="AM174" i="33"/>
  <c r="AL174" i="33"/>
  <c r="AJ174" i="33"/>
  <c r="AI174" i="33"/>
  <c r="AH174" i="33"/>
  <c r="AG174" i="33"/>
  <c r="AA174" i="33"/>
  <c r="X174" i="33"/>
  <c r="Y174" i="33" s="1"/>
  <c r="W174" i="33"/>
  <c r="AQ173" i="33"/>
  <c r="AP173" i="33"/>
  <c r="AO173" i="33"/>
  <c r="AN173" i="33"/>
  <c r="AM173" i="33"/>
  <c r="AL173" i="33"/>
  <c r="AJ173" i="33"/>
  <c r="AI173" i="33"/>
  <c r="AH173" i="33"/>
  <c r="AG173" i="33"/>
  <c r="AA173" i="33"/>
  <c r="X173" i="33"/>
  <c r="Y173" i="33" s="1"/>
  <c r="W173" i="33"/>
  <c r="AQ172" i="33"/>
  <c r="AR172" i="33" s="1"/>
  <c r="AP172" i="33"/>
  <c r="AO172" i="33"/>
  <c r="AN172" i="33"/>
  <c r="AM172" i="33"/>
  <c r="AL172" i="33"/>
  <c r="AJ172" i="33"/>
  <c r="AI172" i="33"/>
  <c r="AH172" i="33"/>
  <c r="AG172" i="33"/>
  <c r="AA172" i="33"/>
  <c r="X172" i="33"/>
  <c r="W172" i="33"/>
  <c r="AQ171" i="33"/>
  <c r="AP171" i="33"/>
  <c r="AO171" i="33"/>
  <c r="AN171" i="33"/>
  <c r="AM171" i="33"/>
  <c r="AL171" i="33"/>
  <c r="AJ171" i="33"/>
  <c r="AI171" i="33"/>
  <c r="AH171" i="33"/>
  <c r="AG171" i="33"/>
  <c r="AA171" i="33"/>
  <c r="X171" i="33"/>
  <c r="Z171" i="33" s="1"/>
  <c r="W171" i="33"/>
  <c r="AQ170" i="33"/>
  <c r="AT170" i="33" s="1"/>
  <c r="AP170" i="33"/>
  <c r="AO170" i="33"/>
  <c r="AN170" i="33"/>
  <c r="AM170" i="33"/>
  <c r="AL170" i="33"/>
  <c r="AJ170" i="33"/>
  <c r="AI170" i="33"/>
  <c r="AH170" i="33"/>
  <c r="AG170" i="33"/>
  <c r="AA170" i="33"/>
  <c r="X170" i="33"/>
  <c r="W170" i="33"/>
  <c r="AQ169" i="33"/>
  <c r="AR169" i="33" s="1"/>
  <c r="AP169" i="33"/>
  <c r="AO169" i="33"/>
  <c r="AN169" i="33"/>
  <c r="AM169" i="33"/>
  <c r="AL169" i="33"/>
  <c r="AJ169" i="33"/>
  <c r="AI169" i="33"/>
  <c r="AH169" i="33"/>
  <c r="AG169" i="33"/>
  <c r="AA169" i="33"/>
  <c r="X169" i="33"/>
  <c r="Y169" i="33" s="1"/>
  <c r="W169" i="33"/>
  <c r="AQ168" i="33"/>
  <c r="AP168" i="33"/>
  <c r="AO168" i="33"/>
  <c r="AN168" i="33"/>
  <c r="AM168" i="33"/>
  <c r="AL168" i="33"/>
  <c r="AJ168" i="33"/>
  <c r="AI168" i="33"/>
  <c r="AH168" i="33"/>
  <c r="AG168" i="33"/>
  <c r="AA168" i="33"/>
  <c r="X168" i="33"/>
  <c r="W168" i="33"/>
  <c r="AQ167" i="33"/>
  <c r="AP167" i="33"/>
  <c r="AO167" i="33"/>
  <c r="AN167" i="33"/>
  <c r="AM167" i="33"/>
  <c r="AL167" i="33"/>
  <c r="AJ167" i="33"/>
  <c r="AI167" i="33"/>
  <c r="AH167" i="33"/>
  <c r="AG167" i="33"/>
  <c r="AA167" i="33"/>
  <c r="X167" i="33"/>
  <c r="W167" i="33"/>
  <c r="AQ166" i="33"/>
  <c r="AU166" i="33" s="1"/>
  <c r="AP166" i="33"/>
  <c r="AO166" i="33"/>
  <c r="AN166" i="33"/>
  <c r="AM166" i="33"/>
  <c r="AL166" i="33"/>
  <c r="AJ166" i="33"/>
  <c r="AI166" i="33"/>
  <c r="AH166" i="33"/>
  <c r="AG166" i="33"/>
  <c r="AA166" i="33"/>
  <c r="X166" i="33"/>
  <c r="Z166" i="33" s="1"/>
  <c r="W166" i="33"/>
  <c r="AQ165" i="33"/>
  <c r="AT165" i="33" s="1"/>
  <c r="AP165" i="33"/>
  <c r="AO165" i="33"/>
  <c r="AN165" i="33"/>
  <c r="AM165" i="33"/>
  <c r="AL165" i="33"/>
  <c r="AJ165" i="33"/>
  <c r="AI165" i="33"/>
  <c r="AH165" i="33"/>
  <c r="AG165" i="33"/>
  <c r="AA165" i="33"/>
  <c r="X165" i="33"/>
  <c r="Y165" i="33" s="1"/>
  <c r="W165" i="33"/>
  <c r="AQ164" i="33"/>
  <c r="AP164" i="33"/>
  <c r="AO164" i="33"/>
  <c r="AN164" i="33"/>
  <c r="AM164" i="33"/>
  <c r="AL164" i="33"/>
  <c r="AJ164" i="33"/>
  <c r="AI164" i="33"/>
  <c r="AH164" i="33"/>
  <c r="AG164" i="33"/>
  <c r="AA164" i="33"/>
  <c r="X164" i="33"/>
  <c r="Z164" i="33" s="1"/>
  <c r="W164" i="33"/>
  <c r="AQ163" i="33"/>
  <c r="AT163" i="33" s="1"/>
  <c r="AP163" i="33"/>
  <c r="AO163" i="33"/>
  <c r="AN163" i="33"/>
  <c r="AM163" i="33"/>
  <c r="AL163" i="33"/>
  <c r="AJ163" i="33"/>
  <c r="AI163" i="33"/>
  <c r="AH163" i="33"/>
  <c r="AG163" i="33"/>
  <c r="AA163" i="33"/>
  <c r="X163" i="33"/>
  <c r="Y163" i="33" s="1"/>
  <c r="W163" i="33"/>
  <c r="AQ162" i="33"/>
  <c r="AU162" i="33" s="1"/>
  <c r="AP162" i="33"/>
  <c r="AO162" i="33"/>
  <c r="AN162" i="33"/>
  <c r="AM162" i="33"/>
  <c r="AL162" i="33"/>
  <c r="AJ162" i="33"/>
  <c r="AI162" i="33"/>
  <c r="AH162" i="33"/>
  <c r="AG162" i="33"/>
  <c r="AA162" i="33"/>
  <c r="X162" i="33"/>
  <c r="W162" i="33"/>
  <c r="AQ161" i="33"/>
  <c r="AT161" i="33" s="1"/>
  <c r="AP161" i="33"/>
  <c r="AO161" i="33"/>
  <c r="AN161" i="33"/>
  <c r="AM161" i="33"/>
  <c r="AL161" i="33"/>
  <c r="AJ161" i="33"/>
  <c r="AI161" i="33"/>
  <c r="AH161" i="33"/>
  <c r="AG161" i="33"/>
  <c r="AA161" i="33"/>
  <c r="X161" i="33"/>
  <c r="Z161" i="33" s="1"/>
  <c r="W161" i="33"/>
  <c r="AQ160" i="33"/>
  <c r="AP160" i="33"/>
  <c r="AO160" i="33"/>
  <c r="AN160" i="33"/>
  <c r="AM160" i="33"/>
  <c r="AL160" i="33"/>
  <c r="AJ160" i="33"/>
  <c r="AI160" i="33"/>
  <c r="AH160" i="33"/>
  <c r="AG160" i="33"/>
  <c r="AA160" i="33"/>
  <c r="X160" i="33"/>
  <c r="Y160" i="33" s="1"/>
  <c r="W160" i="33"/>
  <c r="AQ159" i="33"/>
  <c r="AS159" i="33" s="1"/>
  <c r="AP159" i="33"/>
  <c r="AO159" i="33"/>
  <c r="AN159" i="33"/>
  <c r="AM159" i="33"/>
  <c r="AL159" i="33"/>
  <c r="AJ159" i="33"/>
  <c r="AI159" i="33"/>
  <c r="AH159" i="33"/>
  <c r="AG159" i="33"/>
  <c r="AA159" i="33"/>
  <c r="X159" i="33"/>
  <c r="Z159" i="33" s="1"/>
  <c r="W159" i="33"/>
  <c r="AQ158" i="33"/>
  <c r="AT158" i="33" s="1"/>
  <c r="AP158" i="33"/>
  <c r="AO158" i="33"/>
  <c r="AN158" i="33"/>
  <c r="AM158" i="33"/>
  <c r="AL158" i="33"/>
  <c r="AJ158" i="33"/>
  <c r="AI158" i="33"/>
  <c r="AH158" i="33"/>
  <c r="AG158" i="33"/>
  <c r="AA158" i="33"/>
  <c r="X158" i="33"/>
  <c r="Z158" i="33" s="1"/>
  <c r="W158" i="33"/>
  <c r="AQ157" i="33"/>
  <c r="AP157" i="33"/>
  <c r="AO157" i="33"/>
  <c r="AN157" i="33"/>
  <c r="AM157" i="33"/>
  <c r="AL157" i="33"/>
  <c r="AJ157" i="33"/>
  <c r="AI157" i="33"/>
  <c r="AH157" i="33"/>
  <c r="AG157" i="33"/>
  <c r="AA157" i="33"/>
  <c r="X157" i="33"/>
  <c r="W157" i="33"/>
  <c r="AQ156" i="33"/>
  <c r="AR156" i="33" s="1"/>
  <c r="AP156" i="33"/>
  <c r="AO156" i="33"/>
  <c r="AN156" i="33"/>
  <c r="AM156" i="33"/>
  <c r="AL156" i="33"/>
  <c r="AJ156" i="33"/>
  <c r="AI156" i="33"/>
  <c r="AH156" i="33"/>
  <c r="AG156" i="33"/>
  <c r="AA156" i="33"/>
  <c r="X156" i="33"/>
  <c r="Z156" i="33" s="1"/>
  <c r="W156" i="33"/>
  <c r="AQ155" i="33"/>
  <c r="AP155" i="33"/>
  <c r="AO155" i="33"/>
  <c r="AN155" i="33"/>
  <c r="AM155" i="33"/>
  <c r="AL155" i="33"/>
  <c r="AJ155" i="33"/>
  <c r="AI155" i="33"/>
  <c r="AH155" i="33"/>
  <c r="AG155" i="33"/>
  <c r="AA155" i="33"/>
  <c r="X155" i="33"/>
  <c r="Z155" i="33" s="1"/>
  <c r="W155" i="33"/>
  <c r="AQ154" i="33"/>
  <c r="AP154" i="33"/>
  <c r="AO154" i="33"/>
  <c r="AN154" i="33"/>
  <c r="AM154" i="33"/>
  <c r="AL154" i="33"/>
  <c r="AJ154" i="33"/>
  <c r="AI154" i="33"/>
  <c r="AH154" i="33"/>
  <c r="AG154" i="33"/>
  <c r="AA154" i="33"/>
  <c r="X154" i="33"/>
  <c r="W154" i="33"/>
  <c r="AQ153" i="33"/>
  <c r="AT153" i="33" s="1"/>
  <c r="AP153" i="33"/>
  <c r="AO153" i="33"/>
  <c r="AN153" i="33"/>
  <c r="AM153" i="33"/>
  <c r="AL153" i="33"/>
  <c r="AJ153" i="33"/>
  <c r="AI153" i="33"/>
  <c r="AH153" i="33"/>
  <c r="AG153" i="33"/>
  <c r="AA153" i="33"/>
  <c r="X153" i="33"/>
  <c r="Z153" i="33" s="1"/>
  <c r="W153" i="33"/>
  <c r="AQ152" i="33"/>
  <c r="AP152" i="33"/>
  <c r="AO152" i="33"/>
  <c r="AN152" i="33"/>
  <c r="AM152" i="33"/>
  <c r="AL152" i="33"/>
  <c r="AJ152" i="33"/>
  <c r="AI152" i="33"/>
  <c r="AH152" i="33"/>
  <c r="AG152" i="33"/>
  <c r="AA152" i="33"/>
  <c r="X152" i="33"/>
  <c r="W152" i="33"/>
  <c r="AQ151" i="33"/>
  <c r="AP151" i="33"/>
  <c r="AO151" i="33"/>
  <c r="AN151" i="33"/>
  <c r="AG151" i="33" s="1"/>
  <c r="AH151" i="33"/>
  <c r="AL151" i="33" s="1"/>
  <c r="AA151" i="33"/>
  <c r="X151" i="33"/>
  <c r="W151" i="33"/>
  <c r="AQ150" i="33"/>
  <c r="AU150" i="33" s="1"/>
  <c r="AP150" i="33"/>
  <c r="AO150" i="33"/>
  <c r="AN150" i="33"/>
  <c r="AG150" i="33" s="1"/>
  <c r="AH150" i="33"/>
  <c r="AI150" i="33" s="1"/>
  <c r="AA150" i="33"/>
  <c r="X150" i="33"/>
  <c r="Z150" i="33" s="1"/>
  <c r="W150" i="33"/>
  <c r="AQ149" i="33"/>
  <c r="AT149" i="33" s="1"/>
  <c r="AP149" i="33"/>
  <c r="AO149" i="33"/>
  <c r="AN149" i="33"/>
  <c r="AG149" i="33" s="1"/>
  <c r="AH149" i="33"/>
  <c r="AI149" i="33" s="1"/>
  <c r="AA149" i="33"/>
  <c r="X149" i="33"/>
  <c r="Z149" i="33" s="1"/>
  <c r="W149" i="33"/>
  <c r="AQ148" i="33"/>
  <c r="AP148" i="33"/>
  <c r="AO148" i="33"/>
  <c r="AN148" i="33"/>
  <c r="AG148" i="33" s="1"/>
  <c r="AH148" i="33"/>
  <c r="AI148" i="33" s="1"/>
  <c r="AA148" i="33"/>
  <c r="X148" i="33"/>
  <c r="Z148" i="33" s="1"/>
  <c r="W148" i="33"/>
  <c r="AQ147" i="33"/>
  <c r="AP147" i="33"/>
  <c r="AO147" i="33"/>
  <c r="AN147" i="33"/>
  <c r="AG147" i="33" s="1"/>
  <c r="AH147" i="33"/>
  <c r="AA147" i="33"/>
  <c r="X147" i="33"/>
  <c r="Z147" i="33" s="1"/>
  <c r="W147" i="33"/>
  <c r="AQ146" i="33"/>
  <c r="AR146" i="33" s="1"/>
  <c r="AP146" i="33"/>
  <c r="AO146" i="33"/>
  <c r="AN146" i="33"/>
  <c r="AG146" i="33" s="1"/>
  <c r="AH146" i="33"/>
  <c r="AA146" i="33"/>
  <c r="X146" i="33"/>
  <c r="Z146" i="33" s="1"/>
  <c r="W146" i="33"/>
  <c r="AQ145" i="33"/>
  <c r="AT145" i="33" s="1"/>
  <c r="AP145" i="33"/>
  <c r="AO145" i="33"/>
  <c r="AN145" i="33"/>
  <c r="AG145" i="33" s="1"/>
  <c r="AH145" i="33"/>
  <c r="AA145" i="33"/>
  <c r="X145" i="33"/>
  <c r="Z145" i="33" s="1"/>
  <c r="W145" i="33"/>
  <c r="V145" i="33"/>
  <c r="AQ144" i="33"/>
  <c r="AS144" i="33" s="1"/>
  <c r="AP144" i="33"/>
  <c r="AO144" i="33"/>
  <c r="AN144" i="33"/>
  <c r="AG144" i="33" s="1"/>
  <c r="AH144" i="33"/>
  <c r="AJ144" i="33" s="1"/>
  <c r="AA144" i="33"/>
  <c r="AQ142" i="33"/>
  <c r="AP142" i="33"/>
  <c r="AO142" i="33"/>
  <c r="AN142" i="33"/>
  <c r="AG142" i="33" s="1"/>
  <c r="AH142" i="33"/>
  <c r="AL142" i="33" s="1"/>
  <c r="AA142" i="33"/>
  <c r="X142" i="33"/>
  <c r="Z142" i="33" s="1"/>
  <c r="W142" i="33"/>
  <c r="AQ141" i="33"/>
  <c r="AT141" i="33" s="1"/>
  <c r="AP141" i="33"/>
  <c r="AO141" i="33"/>
  <c r="AN141" i="33"/>
  <c r="AM141" i="33"/>
  <c r="AL141" i="33"/>
  <c r="AJ141" i="33"/>
  <c r="AI141" i="33"/>
  <c r="AH141" i="33"/>
  <c r="AG141" i="33"/>
  <c r="AA141" i="33"/>
  <c r="X141" i="33"/>
  <c r="Y141" i="33" s="1"/>
  <c r="W141" i="33"/>
  <c r="AQ140" i="33"/>
  <c r="AT140" i="33" s="1"/>
  <c r="AP140" i="33"/>
  <c r="AO140" i="33"/>
  <c r="AN140" i="33"/>
  <c r="AM140" i="33"/>
  <c r="AL140" i="33"/>
  <c r="AJ140" i="33"/>
  <c r="AI140" i="33"/>
  <c r="AH140" i="33"/>
  <c r="AG140" i="33"/>
  <c r="AA140" i="33"/>
  <c r="X140" i="33"/>
  <c r="Z140" i="33" s="1"/>
  <c r="W140" i="33"/>
  <c r="AQ139" i="33"/>
  <c r="AP139" i="33"/>
  <c r="AO139" i="33"/>
  <c r="AN139" i="33"/>
  <c r="AM139" i="33"/>
  <c r="AL139" i="33"/>
  <c r="AJ139" i="33"/>
  <c r="AI139" i="33"/>
  <c r="AH139" i="33"/>
  <c r="AG139" i="33"/>
  <c r="AA139" i="33"/>
  <c r="X139" i="33"/>
  <c r="Z139" i="33" s="1"/>
  <c r="W139" i="33"/>
  <c r="AQ138" i="33"/>
  <c r="AP138" i="33"/>
  <c r="AO138" i="33"/>
  <c r="AN138" i="33"/>
  <c r="AM138" i="33"/>
  <c r="AL138" i="33"/>
  <c r="AJ138" i="33"/>
  <c r="AI138" i="33"/>
  <c r="AH138" i="33"/>
  <c r="AG138" i="33"/>
  <c r="AA138" i="33"/>
  <c r="X138" i="33"/>
  <c r="Z138" i="33" s="1"/>
  <c r="W138" i="33"/>
  <c r="AQ137" i="33"/>
  <c r="AR137" i="33" s="1"/>
  <c r="AP137" i="33"/>
  <c r="AO137" i="33"/>
  <c r="AN137" i="33"/>
  <c r="AM137" i="33"/>
  <c r="AL137" i="33"/>
  <c r="AJ137" i="33"/>
  <c r="AI137" i="33"/>
  <c r="AH137" i="33"/>
  <c r="AG137" i="33"/>
  <c r="AA137" i="33"/>
  <c r="X137" i="33"/>
  <c r="Z137" i="33" s="1"/>
  <c r="W137" i="33"/>
  <c r="AQ136" i="33"/>
  <c r="AS136" i="33" s="1"/>
  <c r="AP136" i="33"/>
  <c r="AO136" i="33"/>
  <c r="AN136" i="33"/>
  <c r="AM136" i="33"/>
  <c r="AL136" i="33"/>
  <c r="AJ136" i="33"/>
  <c r="AI136" i="33"/>
  <c r="AH136" i="33"/>
  <c r="AG136" i="33"/>
  <c r="AA136" i="33"/>
  <c r="X136" i="33"/>
  <c r="Z136" i="33" s="1"/>
  <c r="W136" i="33"/>
  <c r="AQ135" i="33"/>
  <c r="AR135" i="33" s="1"/>
  <c r="AP135" i="33"/>
  <c r="AO135" i="33"/>
  <c r="AN135" i="33"/>
  <c r="AM135" i="33"/>
  <c r="AL135" i="33"/>
  <c r="AJ135" i="33"/>
  <c r="AI135" i="33"/>
  <c r="AH135" i="33"/>
  <c r="AG135" i="33"/>
  <c r="AA135" i="33"/>
  <c r="X135" i="33"/>
  <c r="Z135" i="33" s="1"/>
  <c r="W135" i="33"/>
  <c r="AQ134" i="33"/>
  <c r="AP134" i="33"/>
  <c r="AO134" i="33"/>
  <c r="AN134" i="33"/>
  <c r="AM134" i="33"/>
  <c r="AL134" i="33"/>
  <c r="AJ134" i="33"/>
  <c r="AI134" i="33"/>
  <c r="AH134" i="33"/>
  <c r="AG134" i="33"/>
  <c r="AA134" i="33"/>
  <c r="X134" i="33"/>
  <c r="Z134" i="33" s="1"/>
  <c r="W134" i="33"/>
  <c r="AQ133" i="33"/>
  <c r="AP133" i="33"/>
  <c r="AO133" i="33"/>
  <c r="AN133" i="33"/>
  <c r="AM133" i="33"/>
  <c r="AL133" i="33"/>
  <c r="AJ133" i="33"/>
  <c r="AI133" i="33"/>
  <c r="AH133" i="33"/>
  <c r="AG133" i="33"/>
  <c r="AA133" i="33"/>
  <c r="X133" i="33"/>
  <c r="Z133" i="33" s="1"/>
  <c r="W133" i="33"/>
  <c r="AQ132" i="33"/>
  <c r="AP132" i="33"/>
  <c r="AO132" i="33"/>
  <c r="AN132" i="33"/>
  <c r="AM132" i="33"/>
  <c r="AL132" i="33"/>
  <c r="AJ132" i="33"/>
  <c r="AI132" i="33"/>
  <c r="AH132" i="33"/>
  <c r="AG132" i="33"/>
  <c r="AA132" i="33"/>
  <c r="X132" i="33"/>
  <c r="Z132" i="33" s="1"/>
  <c r="W132" i="33"/>
  <c r="AQ131" i="33"/>
  <c r="AU131" i="33" s="1"/>
  <c r="AP131" i="33"/>
  <c r="AO131" i="33"/>
  <c r="AN131" i="33"/>
  <c r="AM131" i="33"/>
  <c r="AL131" i="33"/>
  <c r="AJ131" i="33"/>
  <c r="AI131" i="33"/>
  <c r="AH131" i="33"/>
  <c r="AG131" i="33"/>
  <c r="AA131" i="33"/>
  <c r="X131" i="33"/>
  <c r="Z131" i="33" s="1"/>
  <c r="W131" i="33"/>
  <c r="AQ130" i="33"/>
  <c r="AS130" i="33" s="1"/>
  <c r="AP130" i="33"/>
  <c r="AO130" i="33"/>
  <c r="AN130" i="33"/>
  <c r="AM130" i="33"/>
  <c r="AL130" i="33"/>
  <c r="AJ130" i="33"/>
  <c r="AI130" i="33"/>
  <c r="AH130" i="33"/>
  <c r="AG130" i="33"/>
  <c r="AA130" i="33"/>
  <c r="X130" i="33"/>
  <c r="Y130" i="33" s="1"/>
  <c r="W130" i="33"/>
  <c r="AQ129" i="33"/>
  <c r="AU129" i="33" s="1"/>
  <c r="AP129" i="33"/>
  <c r="AO129" i="33"/>
  <c r="AN129" i="33"/>
  <c r="AM129" i="33"/>
  <c r="AL129" i="33"/>
  <c r="AJ129" i="33"/>
  <c r="AI129" i="33"/>
  <c r="AH129" i="33"/>
  <c r="AG129" i="33"/>
  <c r="AA129" i="33"/>
  <c r="X129" i="33"/>
  <c r="Z129" i="33" s="1"/>
  <c r="W129" i="33"/>
  <c r="AQ128" i="33"/>
  <c r="AU128" i="33" s="1"/>
  <c r="AP128" i="33"/>
  <c r="AO128" i="33"/>
  <c r="AN128" i="33"/>
  <c r="AM128" i="33"/>
  <c r="AL128" i="33"/>
  <c r="AJ128" i="33"/>
  <c r="AI128" i="33"/>
  <c r="AH128" i="33"/>
  <c r="AG128" i="33"/>
  <c r="AA128" i="33"/>
  <c r="X128" i="33"/>
  <c r="Z128" i="33" s="1"/>
  <c r="W128" i="33"/>
  <c r="AQ127" i="33"/>
  <c r="AU127" i="33" s="1"/>
  <c r="AP127" i="33"/>
  <c r="AO127" i="33"/>
  <c r="AN127" i="33"/>
  <c r="AG127" i="33" s="1"/>
  <c r="AH127" i="33"/>
  <c r="AA127" i="33"/>
  <c r="X127" i="33"/>
  <c r="Y127" i="33" s="1"/>
  <c r="W127" i="33"/>
  <c r="AQ126" i="33"/>
  <c r="AS126" i="33" s="1"/>
  <c r="AP126" i="33"/>
  <c r="AO126" i="33"/>
  <c r="AN126" i="33"/>
  <c r="AG126" i="33" s="1"/>
  <c r="AH126" i="33"/>
  <c r="AI126" i="33" s="1"/>
  <c r="AA126" i="33"/>
  <c r="X126" i="33"/>
  <c r="Z126" i="33" s="1"/>
  <c r="W126" i="33"/>
  <c r="AQ125" i="33"/>
  <c r="AP125" i="33"/>
  <c r="AO125" i="33"/>
  <c r="AN125" i="33"/>
  <c r="AG125" i="33" s="1"/>
  <c r="AH125" i="33"/>
  <c r="AI125" i="33" s="1"/>
  <c r="AA125" i="33"/>
  <c r="X125" i="33"/>
  <c r="Z125" i="33" s="1"/>
  <c r="W125" i="33"/>
  <c r="AQ124" i="33"/>
  <c r="AU124" i="33" s="1"/>
  <c r="AP124" i="33"/>
  <c r="AO124" i="33"/>
  <c r="AN124" i="33"/>
  <c r="AG124" i="33" s="1"/>
  <c r="AH124" i="33"/>
  <c r="AI124" i="33" s="1"/>
  <c r="AA124" i="33"/>
  <c r="X124" i="33"/>
  <c r="Y124" i="33" s="1"/>
  <c r="W124" i="33"/>
  <c r="AQ123" i="33"/>
  <c r="AU123" i="33" s="1"/>
  <c r="AP123" i="33"/>
  <c r="AO123" i="33"/>
  <c r="AN123" i="33"/>
  <c r="AG123" i="33" s="1"/>
  <c r="AH123" i="33"/>
  <c r="AI123" i="33" s="1"/>
  <c r="AA123" i="33"/>
  <c r="X123" i="33"/>
  <c r="Z123" i="33" s="1"/>
  <c r="W123" i="33"/>
  <c r="AQ122" i="33"/>
  <c r="AT122" i="33" s="1"/>
  <c r="AP122" i="33"/>
  <c r="AO122" i="33"/>
  <c r="AN122" i="33"/>
  <c r="AG122" i="33" s="1"/>
  <c r="AH122" i="33"/>
  <c r="AA122" i="33"/>
  <c r="X122" i="33"/>
  <c r="Y122" i="33" s="1"/>
  <c r="W122" i="33"/>
  <c r="AQ121" i="33"/>
  <c r="AS121" i="33" s="1"/>
  <c r="AP121" i="33"/>
  <c r="AO121" i="33"/>
  <c r="AN121" i="33"/>
  <c r="AG121" i="33" s="1"/>
  <c r="AH121" i="33"/>
  <c r="AA121" i="33"/>
  <c r="X121" i="33"/>
  <c r="Z121" i="33" s="1"/>
  <c r="W121" i="33"/>
  <c r="BB120" i="33"/>
  <c r="AQ120" i="33"/>
  <c r="AP120" i="33"/>
  <c r="AO120" i="33"/>
  <c r="AN120" i="33"/>
  <c r="AG120" i="33" s="1"/>
  <c r="AH120" i="33"/>
  <c r="AA120" i="33"/>
  <c r="X120" i="33"/>
  <c r="Y120" i="33" s="1"/>
  <c r="W120" i="33"/>
  <c r="AQ119" i="33"/>
  <c r="AT119" i="33" s="1"/>
  <c r="AP119" i="33"/>
  <c r="AO119" i="33"/>
  <c r="AN119" i="33"/>
  <c r="AG119" i="33" s="1"/>
  <c r="AH119" i="33"/>
  <c r="AI119" i="33" s="1"/>
  <c r="AA119" i="33"/>
  <c r="X119" i="33"/>
  <c r="Y119" i="33" s="1"/>
  <c r="W119" i="33"/>
  <c r="AQ118" i="33"/>
  <c r="AR118" i="33" s="1"/>
  <c r="AP118" i="33"/>
  <c r="AO118" i="33"/>
  <c r="AN118" i="33"/>
  <c r="AM118" i="33"/>
  <c r="AL118" i="33"/>
  <c r="AJ118" i="33"/>
  <c r="AI118" i="33"/>
  <c r="AH118" i="33"/>
  <c r="AG118" i="33"/>
  <c r="AA118" i="33"/>
  <c r="X118" i="33"/>
  <c r="Y118" i="33" s="1"/>
  <c r="W118" i="33"/>
  <c r="AQ117" i="33"/>
  <c r="AT117" i="33" s="1"/>
  <c r="AP117" i="33"/>
  <c r="AO117" i="33"/>
  <c r="AN117" i="33"/>
  <c r="AG117" i="33" s="1"/>
  <c r="AH117" i="33"/>
  <c r="AA117" i="33"/>
  <c r="X117" i="33"/>
  <c r="Y117" i="33" s="1"/>
  <c r="W117" i="33"/>
  <c r="AQ116" i="33"/>
  <c r="AP116" i="33"/>
  <c r="AO116" i="33"/>
  <c r="AN116" i="33"/>
  <c r="AG116" i="33" s="1"/>
  <c r="AH116" i="33"/>
  <c r="AI116" i="33" s="1"/>
  <c r="AA116" i="33"/>
  <c r="X116" i="33"/>
  <c r="Y116" i="33" s="1"/>
  <c r="W116" i="33"/>
  <c r="AQ115" i="33"/>
  <c r="AP115" i="33"/>
  <c r="AO115" i="33"/>
  <c r="AN115" i="33"/>
  <c r="AG115" i="33" s="1"/>
  <c r="AH115" i="33"/>
  <c r="AA115" i="33"/>
  <c r="X115" i="33"/>
  <c r="Z115" i="33" s="1"/>
  <c r="W115" i="33"/>
  <c r="AQ114" i="33"/>
  <c r="AU114" i="33" s="1"/>
  <c r="AP114" i="33"/>
  <c r="AO114" i="33"/>
  <c r="AN114" i="33"/>
  <c r="AG114" i="33" s="1"/>
  <c r="AH114" i="33"/>
  <c r="AL114" i="33" s="1"/>
  <c r="AA114" i="33"/>
  <c r="X114" i="33"/>
  <c r="Y114" i="33" s="1"/>
  <c r="W114" i="33"/>
  <c r="AQ113" i="33"/>
  <c r="AU113" i="33" s="1"/>
  <c r="AP113" i="33"/>
  <c r="AO113" i="33"/>
  <c r="AN113" i="33"/>
  <c r="AG113" i="33" s="1"/>
  <c r="AH113" i="33"/>
  <c r="AA113" i="33"/>
  <c r="X113" i="33"/>
  <c r="Z113" i="33" s="1"/>
  <c r="W113" i="33"/>
  <c r="AQ112" i="33"/>
  <c r="AR112" i="33" s="1"/>
  <c r="AP112" i="33"/>
  <c r="AO112" i="33"/>
  <c r="AN112" i="33"/>
  <c r="AG112" i="33" s="1"/>
  <c r="AH112" i="33"/>
  <c r="AA112" i="33"/>
  <c r="X112" i="33"/>
  <c r="Z112" i="33" s="1"/>
  <c r="W112" i="33"/>
  <c r="AQ111" i="33"/>
  <c r="AU111" i="33" s="1"/>
  <c r="AP111" i="33"/>
  <c r="AO111" i="33"/>
  <c r="AN111" i="33"/>
  <c r="AG111" i="33" s="1"/>
  <c r="AH111" i="33"/>
  <c r="AA111" i="33"/>
  <c r="X111" i="33"/>
  <c r="Z111" i="33" s="1"/>
  <c r="W111" i="33"/>
  <c r="AQ110" i="33"/>
  <c r="AT110" i="33" s="1"/>
  <c r="AP110" i="33"/>
  <c r="AO110" i="33"/>
  <c r="AN110" i="33"/>
  <c r="AG110" i="33" s="1"/>
  <c r="AH110" i="33"/>
  <c r="AA110" i="33"/>
  <c r="X110" i="33"/>
  <c r="W110" i="33"/>
  <c r="AQ109" i="33"/>
  <c r="AP109" i="33"/>
  <c r="AO109" i="33"/>
  <c r="AN109" i="33"/>
  <c r="AG109" i="33" s="1"/>
  <c r="AH109" i="33"/>
  <c r="AA109" i="33"/>
  <c r="X109" i="33"/>
  <c r="Y109" i="33" s="1"/>
  <c r="W109" i="33"/>
  <c r="V109" i="33"/>
  <c r="AQ108" i="33"/>
  <c r="AS108" i="33" s="1"/>
  <c r="AP108" i="33"/>
  <c r="AH108" i="33" s="1"/>
  <c r="AL108" i="33" s="1"/>
  <c r="O7" i="33" s="1"/>
  <c r="AO108" i="33"/>
  <c r="AN108" i="33"/>
  <c r="AG108" i="33" s="1"/>
  <c r="AQ106" i="33"/>
  <c r="AP106" i="33"/>
  <c r="AO106" i="33"/>
  <c r="AN106" i="33"/>
  <c r="AG106" i="33" s="1"/>
  <c r="AH106" i="33"/>
  <c r="AJ106" i="33" s="1"/>
  <c r="AA106" i="33"/>
  <c r="X106" i="33"/>
  <c r="Z106" i="33" s="1"/>
  <c r="W106" i="33"/>
  <c r="AQ105" i="33"/>
  <c r="AP105" i="33"/>
  <c r="AO105" i="33"/>
  <c r="AN105" i="33"/>
  <c r="AM105" i="33"/>
  <c r="AL105" i="33"/>
  <c r="AJ105" i="33"/>
  <c r="AI105" i="33"/>
  <c r="AH105" i="33"/>
  <c r="AG105" i="33"/>
  <c r="AA105" i="33"/>
  <c r="X105" i="33"/>
  <c r="W105" i="33"/>
  <c r="AQ104" i="33"/>
  <c r="AP104" i="33"/>
  <c r="AO104" i="33"/>
  <c r="AN104" i="33"/>
  <c r="AM104" i="33"/>
  <c r="AL104" i="33"/>
  <c r="AJ104" i="33"/>
  <c r="AI104" i="33"/>
  <c r="AH104" i="33"/>
  <c r="AG104" i="33"/>
  <c r="AA104" i="33"/>
  <c r="X104" i="33"/>
  <c r="Y104" i="33" s="1"/>
  <c r="W104" i="33"/>
  <c r="AQ103" i="33"/>
  <c r="AU103" i="33" s="1"/>
  <c r="AP103" i="33"/>
  <c r="AO103" i="33"/>
  <c r="AN103" i="33"/>
  <c r="AM103" i="33"/>
  <c r="AL103" i="33"/>
  <c r="AJ103" i="33"/>
  <c r="AI103" i="33"/>
  <c r="AH103" i="33"/>
  <c r="AG103" i="33"/>
  <c r="AA103" i="33"/>
  <c r="X103" i="33"/>
  <c r="W103" i="33"/>
  <c r="AQ102" i="33"/>
  <c r="AR102" i="33" s="1"/>
  <c r="AP102" i="33"/>
  <c r="AO102" i="33"/>
  <c r="AN102" i="33"/>
  <c r="AM102" i="33"/>
  <c r="AL102" i="33"/>
  <c r="AJ102" i="33"/>
  <c r="AI102" i="33"/>
  <c r="AH102" i="33"/>
  <c r="AG102" i="33"/>
  <c r="AA102" i="33"/>
  <c r="X102" i="33"/>
  <c r="W102" i="33"/>
  <c r="AQ101" i="33"/>
  <c r="AT101" i="33" s="1"/>
  <c r="AP101" i="33"/>
  <c r="AO101" i="33"/>
  <c r="AN101" i="33"/>
  <c r="AM101" i="33"/>
  <c r="AL101" i="33"/>
  <c r="AJ101" i="33"/>
  <c r="AI101" i="33"/>
  <c r="AH101" i="33"/>
  <c r="AG101" i="33"/>
  <c r="AA101" i="33"/>
  <c r="X101" i="33"/>
  <c r="Z101" i="33" s="1"/>
  <c r="W101" i="33"/>
  <c r="AQ100" i="33"/>
  <c r="AT100" i="33" s="1"/>
  <c r="AP100" i="33"/>
  <c r="AO100" i="33"/>
  <c r="AN100" i="33"/>
  <c r="AM100" i="33"/>
  <c r="AL100" i="33"/>
  <c r="AJ100" i="33"/>
  <c r="AI100" i="33"/>
  <c r="AH100" i="33"/>
  <c r="AG100" i="33"/>
  <c r="AA100" i="33"/>
  <c r="X100" i="33"/>
  <c r="Y100" i="33" s="1"/>
  <c r="W100" i="33"/>
  <c r="AQ99" i="33"/>
  <c r="AU99" i="33" s="1"/>
  <c r="AP99" i="33"/>
  <c r="AO99" i="33"/>
  <c r="AN99" i="33"/>
  <c r="AM99" i="33"/>
  <c r="AL99" i="33"/>
  <c r="AJ99" i="33"/>
  <c r="AI99" i="33"/>
  <c r="AH99" i="33"/>
  <c r="AG99" i="33"/>
  <c r="AA99" i="33"/>
  <c r="X99" i="33"/>
  <c r="Z99" i="33" s="1"/>
  <c r="W99" i="33"/>
  <c r="AQ98" i="33"/>
  <c r="AP98" i="33"/>
  <c r="AO98" i="33"/>
  <c r="AN98" i="33"/>
  <c r="AM98" i="33"/>
  <c r="AL98" i="33"/>
  <c r="AJ98" i="33"/>
  <c r="AI98" i="33"/>
  <c r="AH98" i="33"/>
  <c r="AG98" i="33"/>
  <c r="AA98" i="33"/>
  <c r="X98" i="33"/>
  <c r="Z98" i="33" s="1"/>
  <c r="W98" i="33"/>
  <c r="AQ97" i="33"/>
  <c r="AR97" i="33" s="1"/>
  <c r="AP97" i="33"/>
  <c r="AO97" i="33"/>
  <c r="AN97" i="33"/>
  <c r="AM97" i="33"/>
  <c r="AL97" i="33"/>
  <c r="AJ97" i="33"/>
  <c r="AI97" i="33"/>
  <c r="AH97" i="33"/>
  <c r="AG97" i="33"/>
  <c r="AA97" i="33"/>
  <c r="X97" i="33"/>
  <c r="W97" i="33"/>
  <c r="AQ96" i="33"/>
  <c r="AR96" i="33" s="1"/>
  <c r="AP96" i="33"/>
  <c r="AO96" i="33"/>
  <c r="AN96" i="33"/>
  <c r="AM96" i="33"/>
  <c r="AL96" i="33"/>
  <c r="AJ96" i="33"/>
  <c r="AI96" i="33"/>
  <c r="AH96" i="33"/>
  <c r="AG96" i="33"/>
  <c r="AA96" i="33"/>
  <c r="X96" i="33"/>
  <c r="Y96" i="33" s="1"/>
  <c r="W96" i="33"/>
  <c r="AQ95" i="33"/>
  <c r="AS95" i="33" s="1"/>
  <c r="AP95" i="33"/>
  <c r="AO95" i="33"/>
  <c r="AN95" i="33"/>
  <c r="AM95" i="33"/>
  <c r="AL95" i="33"/>
  <c r="AJ95" i="33"/>
  <c r="AI95" i="33"/>
  <c r="AH95" i="33"/>
  <c r="AG95" i="33"/>
  <c r="AA95" i="33"/>
  <c r="X95" i="33"/>
  <c r="Y95" i="33" s="1"/>
  <c r="W95" i="33"/>
  <c r="AQ94" i="33"/>
  <c r="AR94" i="33" s="1"/>
  <c r="AP94" i="33"/>
  <c r="AO94" i="33"/>
  <c r="AN94" i="33"/>
  <c r="AM94" i="33"/>
  <c r="AL94" i="33"/>
  <c r="AJ94" i="33"/>
  <c r="AI94" i="33"/>
  <c r="AH94" i="33"/>
  <c r="AG94" i="33"/>
  <c r="AA94" i="33"/>
  <c r="X94" i="33"/>
  <c r="Z94" i="33" s="1"/>
  <c r="W94" i="33"/>
  <c r="AQ93" i="33"/>
  <c r="AP93" i="33"/>
  <c r="AO93" i="33"/>
  <c r="AN93" i="33"/>
  <c r="AM93" i="33"/>
  <c r="AL93" i="33"/>
  <c r="AJ93" i="33"/>
  <c r="AI93" i="33"/>
  <c r="AH93" i="33"/>
  <c r="AG93" i="33"/>
  <c r="AA93" i="33"/>
  <c r="X93" i="33"/>
  <c r="W93" i="33"/>
  <c r="AQ92" i="33"/>
  <c r="AT92" i="33" s="1"/>
  <c r="AP92" i="33"/>
  <c r="AO92" i="33"/>
  <c r="AN92" i="33"/>
  <c r="AM92" i="33"/>
  <c r="AL92" i="33"/>
  <c r="AJ92" i="33"/>
  <c r="AI92" i="33"/>
  <c r="AH92" i="33"/>
  <c r="AG92" i="33"/>
  <c r="AA92" i="33"/>
  <c r="X92" i="33"/>
  <c r="Y92" i="33" s="1"/>
  <c r="W92" i="33"/>
  <c r="AQ91" i="33"/>
  <c r="AP91" i="33"/>
  <c r="AO91" i="33"/>
  <c r="AN91" i="33"/>
  <c r="AM91" i="33"/>
  <c r="AL91" i="33"/>
  <c r="AJ91" i="33"/>
  <c r="AI91" i="33"/>
  <c r="AH91" i="33"/>
  <c r="AG91" i="33"/>
  <c r="AA91" i="33"/>
  <c r="X91" i="33"/>
  <c r="Z91" i="33" s="1"/>
  <c r="W91" i="33"/>
  <c r="AQ90" i="33"/>
  <c r="AT90" i="33" s="1"/>
  <c r="AP90" i="33"/>
  <c r="AO90" i="33"/>
  <c r="AN90" i="33"/>
  <c r="AM90" i="33"/>
  <c r="AL90" i="33"/>
  <c r="AJ90" i="33"/>
  <c r="AI90" i="33"/>
  <c r="AH90" i="33"/>
  <c r="AG90" i="33"/>
  <c r="AA90" i="33"/>
  <c r="X90" i="33"/>
  <c r="Z90" i="33" s="1"/>
  <c r="W90" i="33"/>
  <c r="AQ89" i="33"/>
  <c r="AT89" i="33" s="1"/>
  <c r="AP89" i="33"/>
  <c r="AO89" i="33"/>
  <c r="AN89" i="33"/>
  <c r="AM89" i="33"/>
  <c r="AL89" i="33"/>
  <c r="AJ89" i="33"/>
  <c r="AI89" i="33"/>
  <c r="AH89" i="33"/>
  <c r="AG89" i="33"/>
  <c r="AA89" i="33"/>
  <c r="X89" i="33"/>
  <c r="Y89" i="33" s="1"/>
  <c r="W89" i="33"/>
  <c r="AQ88" i="33"/>
  <c r="AP88" i="33"/>
  <c r="AO88" i="33"/>
  <c r="AN88" i="33"/>
  <c r="AM88" i="33"/>
  <c r="AL88" i="33"/>
  <c r="AJ88" i="33"/>
  <c r="AI88" i="33"/>
  <c r="AH88" i="33"/>
  <c r="AG88" i="33"/>
  <c r="AA88" i="33"/>
  <c r="X88" i="33"/>
  <c r="W88" i="33"/>
  <c r="AQ87" i="33"/>
  <c r="AT87" i="33" s="1"/>
  <c r="AP87" i="33"/>
  <c r="AO87" i="33"/>
  <c r="AN87" i="33"/>
  <c r="AM87" i="33"/>
  <c r="AL87" i="33"/>
  <c r="AJ87" i="33"/>
  <c r="AI87" i="33"/>
  <c r="AH87" i="33"/>
  <c r="AG87" i="33"/>
  <c r="AA87" i="33"/>
  <c r="X87" i="33"/>
  <c r="Z87" i="33" s="1"/>
  <c r="W87" i="33"/>
  <c r="AQ86" i="33"/>
  <c r="AP86" i="33"/>
  <c r="AO86" i="33"/>
  <c r="AN86" i="33"/>
  <c r="AM86" i="33"/>
  <c r="AL86" i="33"/>
  <c r="AJ86" i="33"/>
  <c r="AI86" i="33"/>
  <c r="AH86" i="33"/>
  <c r="AG86" i="33"/>
  <c r="AA86" i="33"/>
  <c r="X86" i="33"/>
  <c r="Z86" i="33" s="1"/>
  <c r="W86" i="33"/>
  <c r="AQ85" i="33"/>
  <c r="AR85" i="33" s="1"/>
  <c r="AP85" i="33"/>
  <c r="AO85" i="33"/>
  <c r="AN85" i="33"/>
  <c r="AM85" i="33"/>
  <c r="AL85" i="33"/>
  <c r="AJ85" i="33"/>
  <c r="AI85" i="33"/>
  <c r="AH85" i="33"/>
  <c r="AG85" i="33"/>
  <c r="AA85" i="33"/>
  <c r="X85" i="33"/>
  <c r="Z85" i="33" s="1"/>
  <c r="W85" i="33"/>
  <c r="AQ84" i="33"/>
  <c r="AP84" i="33"/>
  <c r="AO84" i="33"/>
  <c r="AN84" i="33"/>
  <c r="AM84" i="33"/>
  <c r="AL84" i="33"/>
  <c r="AJ84" i="33"/>
  <c r="AI84" i="33"/>
  <c r="AH84" i="33"/>
  <c r="AG84" i="33"/>
  <c r="AA84" i="33"/>
  <c r="X84" i="33"/>
  <c r="Y84" i="33" s="1"/>
  <c r="W84" i="33"/>
  <c r="AQ83" i="33"/>
  <c r="AU83" i="33" s="1"/>
  <c r="AP83" i="33"/>
  <c r="AO83" i="33"/>
  <c r="AN83" i="33"/>
  <c r="AM83" i="33"/>
  <c r="AL83" i="33"/>
  <c r="AJ83" i="33"/>
  <c r="AI83" i="33"/>
  <c r="AH83" i="33"/>
  <c r="AG83" i="33"/>
  <c r="AA83" i="33"/>
  <c r="X83" i="33"/>
  <c r="Z83" i="33" s="1"/>
  <c r="W83" i="33"/>
  <c r="AQ82" i="33"/>
  <c r="AU82" i="33" s="1"/>
  <c r="AP82" i="33"/>
  <c r="AO82" i="33"/>
  <c r="AN82" i="33"/>
  <c r="AG82" i="33" s="1"/>
  <c r="AH82" i="33"/>
  <c r="AA82" i="33"/>
  <c r="X82" i="33"/>
  <c r="Z82" i="33" s="1"/>
  <c r="W82" i="33"/>
  <c r="AQ81" i="33"/>
  <c r="AT81" i="33" s="1"/>
  <c r="AP81" i="33"/>
  <c r="AO81" i="33"/>
  <c r="AN81" i="33"/>
  <c r="AG81" i="33" s="1"/>
  <c r="AH81" i="33"/>
  <c r="AL81" i="33" s="1"/>
  <c r="AA81" i="33"/>
  <c r="X81" i="33"/>
  <c r="Z81" i="33" s="1"/>
  <c r="W81" i="33"/>
  <c r="AQ80" i="33"/>
  <c r="AT80" i="33" s="1"/>
  <c r="AP80" i="33"/>
  <c r="AO80" i="33"/>
  <c r="AN80" i="33"/>
  <c r="AG80" i="33" s="1"/>
  <c r="AH80" i="33"/>
  <c r="AL80" i="33" s="1"/>
  <c r="AA80" i="33"/>
  <c r="X80" i="33"/>
  <c r="Y80" i="33" s="1"/>
  <c r="W80" i="33"/>
  <c r="AQ79" i="33"/>
  <c r="AR79" i="33" s="1"/>
  <c r="AP79" i="33"/>
  <c r="AO79" i="33"/>
  <c r="AN79" i="33"/>
  <c r="AG79" i="33" s="1"/>
  <c r="AH79" i="33"/>
  <c r="AA79" i="33"/>
  <c r="X79" i="33"/>
  <c r="W79" i="33"/>
  <c r="AQ78" i="33"/>
  <c r="AS78" i="33" s="1"/>
  <c r="AP78" i="33"/>
  <c r="AO78" i="33"/>
  <c r="AN78" i="33"/>
  <c r="AG78" i="33" s="1"/>
  <c r="AH78" i="33"/>
  <c r="AL78" i="33" s="1"/>
  <c r="AA78" i="33"/>
  <c r="X78" i="33"/>
  <c r="Z78" i="33" s="1"/>
  <c r="W78" i="33"/>
  <c r="AQ77" i="33"/>
  <c r="AP77" i="33"/>
  <c r="AO77" i="33"/>
  <c r="AN77" i="33"/>
  <c r="AG77" i="33" s="1"/>
  <c r="AH77" i="33"/>
  <c r="AL77" i="33" s="1"/>
  <c r="AA77" i="33"/>
  <c r="X77" i="33"/>
  <c r="Z77" i="33" s="1"/>
  <c r="W77" i="33"/>
  <c r="AQ76" i="33"/>
  <c r="AT76" i="33" s="1"/>
  <c r="AP76" i="33"/>
  <c r="AO76" i="33"/>
  <c r="AN76" i="33"/>
  <c r="AG76" i="33" s="1"/>
  <c r="AH76" i="33"/>
  <c r="AL76" i="33" s="1"/>
  <c r="AA76" i="33"/>
  <c r="X76" i="33"/>
  <c r="Y76" i="33" s="1"/>
  <c r="W76" i="33"/>
  <c r="AQ75" i="33"/>
  <c r="AU75" i="33" s="1"/>
  <c r="AP75" i="33"/>
  <c r="AO75" i="33"/>
  <c r="AN75" i="33"/>
  <c r="AG75" i="33" s="1"/>
  <c r="AH75" i="33"/>
  <c r="AJ75" i="33" s="1"/>
  <c r="AA75" i="33"/>
  <c r="X75" i="33"/>
  <c r="Y75" i="33" s="1"/>
  <c r="W75" i="33"/>
  <c r="AQ74" i="33"/>
  <c r="AR74" i="33" s="1"/>
  <c r="AP74" i="33"/>
  <c r="AO74" i="33"/>
  <c r="AN74" i="33"/>
  <c r="AG74" i="33" s="1"/>
  <c r="AH74" i="33"/>
  <c r="AL74" i="33" s="1"/>
  <c r="AA74" i="33"/>
  <c r="X74" i="33"/>
  <c r="Z74" i="33" s="1"/>
  <c r="W74" i="33"/>
  <c r="AQ73" i="33"/>
  <c r="AT73" i="33" s="1"/>
  <c r="AP73" i="33"/>
  <c r="AO73" i="33"/>
  <c r="AN73" i="33"/>
  <c r="AG73" i="33" s="1"/>
  <c r="AH73" i="33"/>
  <c r="AJ73" i="33" s="1"/>
  <c r="AA73" i="33"/>
  <c r="X73" i="33"/>
  <c r="Z73" i="33" s="1"/>
  <c r="W73" i="33"/>
  <c r="V73" i="33"/>
  <c r="AQ72" i="33"/>
  <c r="AU72" i="33" s="1"/>
  <c r="AP72" i="33"/>
  <c r="AO72" i="33"/>
  <c r="AN72" i="33"/>
  <c r="AG72" i="33" s="1"/>
  <c r="AH72" i="33"/>
  <c r="AA72" i="33"/>
  <c r="AY70" i="33"/>
  <c r="AU69" i="33"/>
  <c r="AT69" i="33"/>
  <c r="AS69" i="33"/>
  <c r="AR69" i="33"/>
  <c r="AQ69" i="33"/>
  <c r="AP69" i="33"/>
  <c r="AO69" i="33"/>
  <c r="AN69" i="33"/>
  <c r="AM69" i="33"/>
  <c r="AF69" i="33"/>
  <c r="AE69" i="33"/>
  <c r="AD69" i="33"/>
  <c r="AC69" i="33"/>
  <c r="AB69" i="33"/>
  <c r="AA69" i="33"/>
  <c r="Z69" i="33"/>
  <c r="Y69" i="33"/>
  <c r="X69" i="33"/>
  <c r="W69" i="33"/>
  <c r="V69" i="33"/>
  <c r="T69" i="33"/>
  <c r="R69" i="33"/>
  <c r="AB67" i="33"/>
  <c r="B64" i="33" a="1"/>
  <c r="B64" i="33" s="1"/>
  <c r="B56" i="33" a="1"/>
  <c r="B56" i="33" s="1"/>
  <c r="B55" i="33" a="1"/>
  <c r="B55" i="33" s="1"/>
  <c r="B54" i="33" a="1"/>
  <c r="B54" i="33" s="1"/>
  <c r="B53" i="33" a="1"/>
  <c r="B53" i="33" s="1"/>
  <c r="B52" i="33" a="1"/>
  <c r="B52" i="33" s="1"/>
  <c r="B51" i="33" a="1"/>
  <c r="B51" i="33" s="1"/>
  <c r="B50" i="33" a="1"/>
  <c r="B50" i="33" s="1"/>
  <c r="B49" i="33" a="1"/>
  <c r="B49" i="33" s="1"/>
  <c r="B48" i="33" a="1"/>
  <c r="B48" i="33" s="1"/>
  <c r="B47" i="33" a="1"/>
  <c r="B47" i="33" s="1"/>
  <c r="B46" i="33" a="1"/>
  <c r="B46" i="33" s="1"/>
  <c r="B45" i="33" a="1"/>
  <c r="B45" i="33" s="1"/>
  <c r="B44" i="33" a="1"/>
  <c r="B44" i="33" s="1"/>
  <c r="B43" i="33" a="1"/>
  <c r="B43" i="33" s="1"/>
  <c r="B42" i="33" a="1"/>
  <c r="B42" i="33" s="1"/>
  <c r="B41" i="33" a="1"/>
  <c r="B41" i="33" s="1"/>
  <c r="B40" i="33" a="1"/>
  <c r="B40" i="33" s="1"/>
  <c r="B39" i="33" a="1"/>
  <c r="B39" i="33" s="1"/>
  <c r="B38" i="33" a="1"/>
  <c r="B38" i="33" s="1"/>
  <c r="B37" i="33" a="1"/>
  <c r="B37" i="33" s="1"/>
  <c r="B36" i="33" a="1"/>
  <c r="B36" i="33" s="1"/>
  <c r="B35" i="33" a="1"/>
  <c r="B35" i="33" s="1"/>
  <c r="B34" i="33" a="1"/>
  <c r="B34" i="33" s="1"/>
  <c r="B33" i="33" a="1"/>
  <c r="B33" i="33" s="1"/>
  <c r="B32" i="33" a="1"/>
  <c r="B32" i="33" s="1"/>
  <c r="B31" i="33" a="1"/>
  <c r="B31" i="33" s="1"/>
  <c r="B30" i="33" a="1"/>
  <c r="B30" i="33" s="1"/>
  <c r="B29" i="33" a="1"/>
  <c r="B29" i="33" s="1"/>
  <c r="B28" i="33" a="1"/>
  <c r="B28" i="33" s="1"/>
  <c r="B27" i="33" a="1"/>
  <c r="B27" i="33" s="1"/>
  <c r="B26" i="33" a="1"/>
  <c r="B26" i="33" s="1"/>
  <c r="B25" i="33" a="1"/>
  <c r="B25" i="33" s="1"/>
  <c r="B24" i="33" a="1"/>
  <c r="B24" i="33" s="1"/>
  <c r="B23" i="33" a="1"/>
  <c r="B23" i="33" s="1"/>
  <c r="B22" i="33" a="1"/>
  <c r="B22" i="33" s="1"/>
  <c r="G20" i="33"/>
  <c r="E20" i="33"/>
  <c r="B16" i="33"/>
  <c r="Q15" i="33"/>
  <c r="P15" i="33"/>
  <c r="M15" i="33"/>
  <c r="L15" i="33"/>
  <c r="K15" i="33"/>
  <c r="Q14" i="33"/>
  <c r="P14" i="33"/>
  <c r="M14" i="33"/>
  <c r="L14" i="33"/>
  <c r="K14" i="33"/>
  <c r="Q13" i="33"/>
  <c r="P13" i="33"/>
  <c r="M13" i="33"/>
  <c r="L13" i="33"/>
  <c r="K13" i="33"/>
  <c r="Q12" i="33"/>
  <c r="P12" i="33"/>
  <c r="M12" i="33"/>
  <c r="L12" i="33"/>
  <c r="K12" i="33"/>
  <c r="Q11" i="33"/>
  <c r="P11" i="33"/>
  <c r="M11" i="33"/>
  <c r="L11" i="33"/>
  <c r="K11" i="33"/>
  <c r="G11" i="33" a="1"/>
  <c r="G11" i="33" s="1"/>
  <c r="B11" i="33" a="1"/>
  <c r="B11" i="33" s="1"/>
  <c r="Q10" i="33"/>
  <c r="P10" i="33"/>
  <c r="M10" i="33"/>
  <c r="L10" i="33"/>
  <c r="K10" i="33"/>
  <c r="Q9" i="33"/>
  <c r="P9" i="33"/>
  <c r="M9" i="33"/>
  <c r="L9" i="33"/>
  <c r="K9" i="33"/>
  <c r="Q8" i="33"/>
  <c r="P8" i="33"/>
  <c r="M8" i="33"/>
  <c r="L8" i="33"/>
  <c r="K8" i="33"/>
  <c r="Q7" i="33"/>
  <c r="P7" i="33"/>
  <c r="M7" i="33"/>
  <c r="L7" i="33"/>
  <c r="K7" i="33"/>
  <c r="H7" i="33" a="1"/>
  <c r="H7" i="33" s="1"/>
  <c r="Q6" i="33"/>
  <c r="P6" i="33"/>
  <c r="M6" i="33"/>
  <c r="L6" i="33"/>
  <c r="K6" i="33"/>
  <c r="O49" i="36" l="1" a="1"/>
  <c r="O49" i="36" s="1"/>
  <c r="M49" i="36" a="1"/>
  <c r="M49" i="36" s="1"/>
  <c r="L49" i="36" a="1"/>
  <c r="L49" i="36" s="1"/>
  <c r="L26" i="36" a="1"/>
  <c r="L26" i="36" s="1"/>
  <c r="O47" i="36" a="1"/>
  <c r="O47" i="36" s="1"/>
  <c r="L47" i="36" a="1"/>
  <c r="L47" i="36" s="1"/>
  <c r="M47" i="36" a="1"/>
  <c r="M47" i="36" s="1"/>
  <c r="L50" i="36" a="1"/>
  <c r="L50" i="36" s="1"/>
  <c r="O50" i="36" a="1"/>
  <c r="O50" i="36" s="1"/>
  <c r="M50" i="36" a="1"/>
  <c r="M50" i="36" s="1"/>
  <c r="O45" i="36" a="1"/>
  <c r="O45" i="36" s="1"/>
  <c r="L45" i="36" a="1"/>
  <c r="L45" i="36" s="1"/>
  <c r="M45" i="36" a="1"/>
  <c r="M45" i="36" s="1"/>
  <c r="L35" i="36" a="1"/>
  <c r="L35" i="36" s="1"/>
  <c r="O35" i="36" a="1"/>
  <c r="O35" i="36" s="1"/>
  <c r="M35" i="36" a="1"/>
  <c r="M35" i="36" s="1"/>
  <c r="L51" i="36" a="1"/>
  <c r="L51" i="36" s="1"/>
  <c r="O51" i="36" a="1"/>
  <c r="O51" i="36" s="1"/>
  <c r="M51" i="36" a="1"/>
  <c r="M51" i="36" s="1"/>
  <c r="O42" i="36" a="1"/>
  <c r="O42" i="36" s="1"/>
  <c r="M42" i="36" a="1"/>
  <c r="M42" i="36" s="1"/>
  <c r="L42" i="36" a="1"/>
  <c r="L42" i="36" s="1"/>
  <c r="M43" i="36" a="1"/>
  <c r="M43" i="36" s="1"/>
  <c r="O43" i="36" a="1"/>
  <c r="O43" i="36" s="1"/>
  <c r="L43" i="36" a="1"/>
  <c r="L43" i="36" s="1"/>
  <c r="L29" i="36" a="1"/>
  <c r="L29" i="36" s="1"/>
  <c r="O46" i="36" a="1"/>
  <c r="O46" i="36" s="1"/>
  <c r="L46" i="36" a="1"/>
  <c r="L46" i="36" s="1"/>
  <c r="M46" i="36" a="1"/>
  <c r="M46" i="36" s="1"/>
  <c r="L48" i="36" a="1"/>
  <c r="L48" i="36" s="1"/>
  <c r="O48" i="36" a="1"/>
  <c r="O48" i="36" s="1"/>
  <c r="M48" i="36" a="1"/>
  <c r="M48" i="36" s="1"/>
  <c r="L36" i="36" a="1"/>
  <c r="L36" i="36" s="1"/>
  <c r="O36" i="36" a="1"/>
  <c r="O36" i="36" s="1"/>
  <c r="M36" i="36" a="1"/>
  <c r="M36" i="36" s="1"/>
  <c r="L52" i="36" a="1"/>
  <c r="L52" i="36" s="1"/>
  <c r="M52" i="36" a="1"/>
  <c r="M52" i="36" s="1"/>
  <c r="O52" i="36" a="1"/>
  <c r="O52" i="36" s="1"/>
  <c r="M27" i="36" a="1"/>
  <c r="M27" i="36" s="1"/>
  <c r="M44" i="36" a="1"/>
  <c r="M44" i="36" s="1"/>
  <c r="L44" i="36" a="1"/>
  <c r="L44" i="36" s="1"/>
  <c r="O44" i="36" a="1"/>
  <c r="O44" i="36" s="1"/>
  <c r="M37" i="36" a="1"/>
  <c r="M37" i="36" s="1"/>
  <c r="L37" i="36" a="1"/>
  <c r="L37" i="36" s="1"/>
  <c r="O37" i="36" a="1"/>
  <c r="O37" i="36" s="1"/>
  <c r="L38" i="36" a="1"/>
  <c r="L38" i="36" s="1"/>
  <c r="O38" i="36" a="1"/>
  <c r="O38" i="36" s="1"/>
  <c r="M38" i="36" a="1"/>
  <c r="M38" i="36" s="1"/>
  <c r="L39" i="36" a="1"/>
  <c r="L39" i="36" s="1"/>
  <c r="M39" i="36" a="1"/>
  <c r="M39" i="36" s="1"/>
  <c r="O39" i="36" a="1"/>
  <c r="O39" i="36" s="1"/>
  <c r="M53" i="36" a="1"/>
  <c r="M53" i="36" s="1"/>
  <c r="L53" i="36" a="1"/>
  <c r="L53" i="36" s="1"/>
  <c r="O53" i="36" a="1"/>
  <c r="O53" i="36" s="1"/>
  <c r="L22" i="36" a="1"/>
  <c r="L22" i="36" s="1"/>
  <c r="L54" i="36" a="1"/>
  <c r="L54" i="36" s="1"/>
  <c r="O54" i="36" a="1"/>
  <c r="O54" i="36" s="1"/>
  <c r="M54" i="36" a="1"/>
  <c r="M54" i="36" s="1"/>
  <c r="L24" i="36" a="1"/>
  <c r="L24" i="36" s="1"/>
  <c r="O40" i="36" a="1"/>
  <c r="O40" i="36" s="1"/>
  <c r="L40" i="36" a="1"/>
  <c r="L40" i="36" s="1"/>
  <c r="M40" i="36" a="1"/>
  <c r="M40" i="36" s="1"/>
  <c r="M25" i="36" a="1"/>
  <c r="M25" i="36" s="1"/>
  <c r="L41" i="36" a="1"/>
  <c r="L41" i="36" s="1"/>
  <c r="M41" i="36" a="1"/>
  <c r="M41" i="36" s="1"/>
  <c r="O41" i="36" a="1"/>
  <c r="O41" i="36" s="1"/>
  <c r="M44" i="35" a="1"/>
  <c r="M44" i="35" s="1"/>
  <c r="L44" i="35" a="1"/>
  <c r="L44" i="35" s="1"/>
  <c r="O44" i="35" a="1"/>
  <c r="O44" i="35" s="1"/>
  <c r="O45" i="35" a="1"/>
  <c r="O45" i="35" s="1"/>
  <c r="M45" i="35" a="1"/>
  <c r="M45" i="35" s="1"/>
  <c r="L45" i="35" a="1"/>
  <c r="L45" i="35" s="1"/>
  <c r="L30" i="35" a="1"/>
  <c r="L30" i="35" s="1"/>
  <c r="L46" i="35" a="1"/>
  <c r="L46" i="35" s="1"/>
  <c r="O46" i="35" a="1"/>
  <c r="O46" i="35" s="1"/>
  <c r="M46" i="35" a="1"/>
  <c r="M46" i="35" s="1"/>
  <c r="O47" i="35" a="1"/>
  <c r="O47" i="35" s="1"/>
  <c r="M47" i="35" a="1"/>
  <c r="M47" i="35" s="1"/>
  <c r="L47" i="35" a="1"/>
  <c r="L47" i="35" s="1"/>
  <c r="O32" i="35" a="1"/>
  <c r="O32" i="35" s="1"/>
  <c r="M32" i="35" a="1"/>
  <c r="M32" i="35" s="1"/>
  <c r="L32" i="35" a="1"/>
  <c r="L32" i="35" s="1"/>
  <c r="O48" i="35" a="1"/>
  <c r="O48" i="35" s="1"/>
  <c r="M48" i="35" a="1"/>
  <c r="M48" i="35" s="1"/>
  <c r="L48" i="35" a="1"/>
  <c r="L48" i="35" s="1"/>
  <c r="O33" i="35" a="1"/>
  <c r="O33" i="35" s="1"/>
  <c r="M33" i="35" a="1"/>
  <c r="M33" i="35" s="1"/>
  <c r="L33" i="35" a="1"/>
  <c r="L33" i="35" s="1"/>
  <c r="O49" i="35" a="1"/>
  <c r="O49" i="35" s="1"/>
  <c r="M49" i="35" a="1"/>
  <c r="M49" i="35" s="1"/>
  <c r="L49" i="35" a="1"/>
  <c r="L49" i="35" s="1"/>
  <c r="O43" i="35" a="1"/>
  <c r="O43" i="35" s="1"/>
  <c r="M43" i="35" a="1"/>
  <c r="M43" i="35" s="1"/>
  <c r="L43" i="35" a="1"/>
  <c r="L43" i="35" s="1"/>
  <c r="O34" i="35" a="1"/>
  <c r="O34" i="35" s="1"/>
  <c r="M34" i="35" a="1"/>
  <c r="M34" i="35" s="1"/>
  <c r="L34" i="35" a="1"/>
  <c r="L34" i="35" s="1"/>
  <c r="O50" i="35" a="1"/>
  <c r="O50" i="35" s="1"/>
  <c r="M50" i="35" a="1"/>
  <c r="M50" i="35" s="1"/>
  <c r="L50" i="35" a="1"/>
  <c r="L50" i="35" s="1"/>
  <c r="M35" i="35" a="1"/>
  <c r="M35" i="35" s="1"/>
  <c r="L35" i="35" a="1"/>
  <c r="L35" i="35" s="1"/>
  <c r="O35" i="35" a="1"/>
  <c r="O35" i="35" s="1"/>
  <c r="M51" i="35" a="1"/>
  <c r="M51" i="35" s="1"/>
  <c r="L51" i="35" a="1"/>
  <c r="L51" i="35" s="1"/>
  <c r="O51" i="35" a="1"/>
  <c r="O51" i="35" s="1"/>
  <c r="O36" i="35" a="1"/>
  <c r="O36" i="35" s="1"/>
  <c r="M36" i="35" a="1"/>
  <c r="M36" i="35" s="1"/>
  <c r="L36" i="35" a="1"/>
  <c r="L36" i="35" s="1"/>
  <c r="O52" i="35" a="1"/>
  <c r="O52" i="35" s="1"/>
  <c r="M52" i="35" a="1"/>
  <c r="M52" i="35" s="1"/>
  <c r="L52" i="35" a="1"/>
  <c r="L52" i="35" s="1"/>
  <c r="M37" i="35" a="1"/>
  <c r="M37" i="35" s="1"/>
  <c r="L37" i="35" a="1"/>
  <c r="L37" i="35" s="1"/>
  <c r="O37" i="35" a="1"/>
  <c r="O37" i="35" s="1"/>
  <c r="M53" i="35" a="1"/>
  <c r="M53" i="35" s="1"/>
  <c r="L53" i="35" a="1"/>
  <c r="L53" i="35" s="1"/>
  <c r="O53" i="35" a="1"/>
  <c r="O53" i="35" s="1"/>
  <c r="O38" i="35" a="1"/>
  <c r="O38" i="35" s="1"/>
  <c r="M38" i="35" a="1"/>
  <c r="M38" i="35" s="1"/>
  <c r="L38" i="35" a="1"/>
  <c r="L38" i="35" s="1"/>
  <c r="O54" i="35" a="1"/>
  <c r="O54" i="35" s="1"/>
  <c r="M54" i="35" a="1"/>
  <c r="M54" i="35" s="1"/>
  <c r="L54" i="35" a="1"/>
  <c r="L54" i="35" s="1"/>
  <c r="L42" i="35" a="1"/>
  <c r="L42" i="35" s="1"/>
  <c r="M42" i="35" a="1"/>
  <c r="M42" i="35" s="1"/>
  <c r="O42" i="35" a="1"/>
  <c r="O42" i="35" s="1"/>
  <c r="L39" i="35" a="1"/>
  <c r="L39" i="35" s="1"/>
  <c r="O39" i="35" a="1"/>
  <c r="O39" i="35" s="1"/>
  <c r="M39" i="35" a="1"/>
  <c r="M39" i="35" s="1"/>
  <c r="O40" i="35" a="1"/>
  <c r="O40" i="35" s="1"/>
  <c r="M40" i="35" a="1"/>
  <c r="M40" i="35" s="1"/>
  <c r="L40" i="35" a="1"/>
  <c r="L40" i="35" s="1"/>
  <c r="O41" i="35" a="1"/>
  <c r="O41" i="35" s="1"/>
  <c r="L41" i="35" a="1"/>
  <c r="L41" i="35" s="1"/>
  <c r="M41" i="35" a="1"/>
  <c r="M41" i="35" s="1"/>
  <c r="M42" i="34" a="1"/>
  <c r="M42" i="34" s="1"/>
  <c r="L42" i="34" a="1"/>
  <c r="L42" i="34" s="1"/>
  <c r="O42" i="34" a="1"/>
  <c r="O42" i="34" s="1"/>
  <c r="O43" i="34" a="1"/>
  <c r="O43" i="34" s="1"/>
  <c r="M43" i="34" a="1"/>
  <c r="M43" i="34" s="1"/>
  <c r="L43" i="34" a="1"/>
  <c r="L43" i="34" s="1"/>
  <c r="L28" i="34" a="1"/>
  <c r="L28" i="34" s="1"/>
  <c r="M44" i="34" a="1"/>
  <c r="M44" i="34" s="1"/>
  <c r="L44" i="34" a="1"/>
  <c r="L44" i="34" s="1"/>
  <c r="O44" i="34" a="1"/>
  <c r="O44" i="34" s="1"/>
  <c r="O41" i="34" a="1"/>
  <c r="O41" i="34" s="1"/>
  <c r="M41" i="34" a="1"/>
  <c r="M41" i="34" s="1"/>
  <c r="L41" i="34" a="1"/>
  <c r="L41" i="34" s="1"/>
  <c r="O29" i="34" a="1"/>
  <c r="O29" i="34" s="1"/>
  <c r="M29" i="34" a="1"/>
  <c r="M29" i="34" s="1"/>
  <c r="L29" i="34" a="1"/>
  <c r="L29" i="34" s="1"/>
  <c r="O45" i="34" a="1"/>
  <c r="O45" i="34" s="1"/>
  <c r="M45" i="34" a="1"/>
  <c r="M45" i="34" s="1"/>
  <c r="L45" i="34" a="1"/>
  <c r="L45" i="34" s="1"/>
  <c r="L30" i="34" a="1"/>
  <c r="L30" i="34" s="1"/>
  <c r="O30" i="34" a="1"/>
  <c r="O30" i="34" s="1"/>
  <c r="M30" i="34" a="1"/>
  <c r="M30" i="34" s="1"/>
  <c r="L46" i="34" a="1"/>
  <c r="L46" i="34" s="1"/>
  <c r="O46" i="34" a="1"/>
  <c r="O46" i="34" s="1"/>
  <c r="M46" i="34" a="1"/>
  <c r="M46" i="34" s="1"/>
  <c r="O31" i="34" a="1"/>
  <c r="O31" i="34" s="1"/>
  <c r="M31" i="34" a="1"/>
  <c r="M31" i="34" s="1"/>
  <c r="L31" i="34" a="1"/>
  <c r="L31" i="34" s="1"/>
  <c r="O47" i="34" a="1"/>
  <c r="O47" i="34" s="1"/>
  <c r="M47" i="34" a="1"/>
  <c r="M47" i="34" s="1"/>
  <c r="L47" i="34" a="1"/>
  <c r="L47" i="34" s="1"/>
  <c r="O32" i="34" a="1"/>
  <c r="O32" i="34" s="1"/>
  <c r="M32" i="34" a="1"/>
  <c r="M32" i="34" s="1"/>
  <c r="L32" i="34" a="1"/>
  <c r="L32" i="34" s="1"/>
  <c r="O48" i="34" a="1"/>
  <c r="O48" i="34" s="1"/>
  <c r="M48" i="34" a="1"/>
  <c r="M48" i="34" s="1"/>
  <c r="L48" i="34" a="1"/>
  <c r="L48" i="34" s="1"/>
  <c r="O33" i="34" a="1"/>
  <c r="O33" i="34" s="1"/>
  <c r="M33" i="34" a="1"/>
  <c r="M33" i="34" s="1"/>
  <c r="L33" i="34" a="1"/>
  <c r="L33" i="34" s="1"/>
  <c r="O49" i="34" a="1"/>
  <c r="O49" i="34" s="1"/>
  <c r="M49" i="34" a="1"/>
  <c r="M49" i="34" s="1"/>
  <c r="L49" i="34" a="1"/>
  <c r="L49" i="34" s="1"/>
  <c r="O34" i="34" a="1"/>
  <c r="O34" i="34" s="1"/>
  <c r="M34" i="34" a="1"/>
  <c r="M34" i="34" s="1"/>
  <c r="L34" i="34" a="1"/>
  <c r="L34" i="34" s="1"/>
  <c r="O50" i="34" a="1"/>
  <c r="O50" i="34" s="1"/>
  <c r="M50" i="34" a="1"/>
  <c r="M50" i="34" s="1"/>
  <c r="L50" i="34" a="1"/>
  <c r="L50" i="34" s="1"/>
  <c r="M35" i="34" a="1"/>
  <c r="M35" i="34" s="1"/>
  <c r="L35" i="34" a="1"/>
  <c r="L35" i="34" s="1"/>
  <c r="O35" i="34" a="1"/>
  <c r="O35" i="34" s="1"/>
  <c r="M51" i="34" a="1"/>
  <c r="M51" i="34" s="1"/>
  <c r="L51" i="34" a="1"/>
  <c r="L51" i="34" s="1"/>
  <c r="O51" i="34" a="1"/>
  <c r="O51" i="34" s="1"/>
  <c r="O36" i="34" a="1"/>
  <c r="O36" i="34" s="1"/>
  <c r="M36" i="34" a="1"/>
  <c r="M36" i="34" s="1"/>
  <c r="L36" i="34" a="1"/>
  <c r="L36" i="34" s="1"/>
  <c r="O52" i="34" a="1"/>
  <c r="O52" i="34" s="1"/>
  <c r="M52" i="34" a="1"/>
  <c r="M52" i="34" s="1"/>
  <c r="L52" i="34" a="1"/>
  <c r="L52" i="34" s="1"/>
  <c r="M37" i="34" a="1"/>
  <c r="M37" i="34" s="1"/>
  <c r="L37" i="34" a="1"/>
  <c r="L37" i="34" s="1"/>
  <c r="O37" i="34" a="1"/>
  <c r="O37" i="34" s="1"/>
  <c r="M53" i="34" a="1"/>
  <c r="M53" i="34" s="1"/>
  <c r="L53" i="34" a="1"/>
  <c r="L53" i="34" s="1"/>
  <c r="O53" i="34" a="1"/>
  <c r="O53" i="34" s="1"/>
  <c r="O38" i="34" a="1"/>
  <c r="O38" i="34" s="1"/>
  <c r="M38" i="34" a="1"/>
  <c r="M38" i="34" s="1"/>
  <c r="L38" i="34" a="1"/>
  <c r="L38" i="34" s="1"/>
  <c r="O54" i="34" a="1"/>
  <c r="O54" i="34" s="1"/>
  <c r="M54" i="34" a="1"/>
  <c r="M54" i="34" s="1"/>
  <c r="L54" i="34" a="1"/>
  <c r="L54" i="34" s="1"/>
  <c r="L39" i="34" a="1"/>
  <c r="L39" i="34" s="1"/>
  <c r="O39" i="34" a="1"/>
  <c r="O39" i="34" s="1"/>
  <c r="M39" i="34" a="1"/>
  <c r="M39" i="34" s="1"/>
  <c r="L55" i="34" a="1"/>
  <c r="L55" i="34" s="1"/>
  <c r="O55" i="34" a="1"/>
  <c r="O55" i="34" s="1"/>
  <c r="M55" i="34" a="1"/>
  <c r="M55" i="34" s="1"/>
  <c r="O40" i="34" a="1"/>
  <c r="O40" i="34" s="1"/>
  <c r="M40" i="34" a="1"/>
  <c r="M40" i="34" s="1"/>
  <c r="L40" i="34" a="1"/>
  <c r="L40" i="34" s="1"/>
  <c r="L23" i="33" a="1"/>
  <c r="L23" i="33" s="1"/>
  <c r="L24" i="33" a="1"/>
  <c r="L24" i="33" s="1"/>
  <c r="O47" i="33" a="1"/>
  <c r="O47" i="33" s="1"/>
  <c r="M47" i="33" a="1"/>
  <c r="M47" i="33" s="1"/>
  <c r="L47" i="33" a="1"/>
  <c r="L47" i="33" s="1"/>
  <c r="L39" i="33" a="1"/>
  <c r="L39" i="33" s="1"/>
  <c r="O39" i="33" a="1"/>
  <c r="O39" i="33" s="1"/>
  <c r="M39" i="33" a="1"/>
  <c r="M39" i="33" s="1"/>
  <c r="O40" i="33" a="1"/>
  <c r="O40" i="33" s="1"/>
  <c r="M40" i="33" a="1"/>
  <c r="M40" i="33" s="1"/>
  <c r="L40" i="33" a="1"/>
  <c r="L40" i="33" s="1"/>
  <c r="L41" i="33" a="1"/>
  <c r="L41" i="33" s="1"/>
  <c r="O41" i="33" a="1"/>
  <c r="O41" i="33" s="1"/>
  <c r="M41" i="33" a="1"/>
  <c r="M41" i="33" s="1"/>
  <c r="M46" i="33" a="1"/>
  <c r="M46" i="33" s="1"/>
  <c r="L46" i="33" a="1"/>
  <c r="L46" i="33" s="1"/>
  <c r="O46" i="33" a="1"/>
  <c r="O46" i="33" s="1"/>
  <c r="O31" i="33" a="1"/>
  <c r="O31" i="33" s="1"/>
  <c r="L31" i="33" a="1"/>
  <c r="L31" i="33" s="1"/>
  <c r="M31" i="33" a="1"/>
  <c r="M31" i="33" s="1"/>
  <c r="M32" i="33" a="1"/>
  <c r="M32" i="33" s="1"/>
  <c r="M48" i="33" a="1"/>
  <c r="M48" i="33" s="1"/>
  <c r="O48" i="33" a="1"/>
  <c r="O48" i="33" s="1"/>
  <c r="L48" i="33" a="1"/>
  <c r="L48" i="33" s="1"/>
  <c r="L25" i="33" a="1"/>
  <c r="L25" i="33" s="1"/>
  <c r="L43" i="33" a="1"/>
  <c r="L43" i="33" s="1"/>
  <c r="O43" i="33" a="1"/>
  <c r="O43" i="33" s="1"/>
  <c r="M43" i="33" a="1"/>
  <c r="M43" i="33" s="1"/>
  <c r="L30" i="33" a="1"/>
  <c r="L30" i="33" s="1"/>
  <c r="O33" i="33" a="1"/>
  <c r="O33" i="33" s="1"/>
  <c r="M33" i="33" a="1"/>
  <c r="M33" i="33" s="1"/>
  <c r="L33" i="33" a="1"/>
  <c r="L33" i="33" s="1"/>
  <c r="O49" i="33" a="1"/>
  <c r="O49" i="33" s="1"/>
  <c r="M49" i="33" a="1"/>
  <c r="M49" i="33" s="1"/>
  <c r="L49" i="33" a="1"/>
  <c r="L49" i="33" s="1"/>
  <c r="O42" i="33" a="1"/>
  <c r="O42" i="33" s="1"/>
  <c r="M42" i="33" a="1"/>
  <c r="M42" i="33" s="1"/>
  <c r="L42" i="33" a="1"/>
  <c r="L42" i="33" s="1"/>
  <c r="M34" i="33" a="1"/>
  <c r="M34" i="33" s="1"/>
  <c r="O34" i="33" a="1"/>
  <c r="O34" i="33" s="1"/>
  <c r="L34" i="33" a="1"/>
  <c r="L34" i="33" s="1"/>
  <c r="L56" i="33" a="1"/>
  <c r="L56" i="33" s="1"/>
  <c r="L36" i="33" a="1"/>
  <c r="L36" i="33" s="1"/>
  <c r="M36" i="33" a="1"/>
  <c r="M36" i="33" s="1"/>
  <c r="O36" i="33" a="1"/>
  <c r="O36" i="33" s="1"/>
  <c r="M52" i="33" a="1"/>
  <c r="M52" i="33" s="1"/>
  <c r="O52" i="33" a="1"/>
  <c r="O52" i="33" s="1"/>
  <c r="L52" i="33" a="1"/>
  <c r="L52" i="33" s="1"/>
  <c r="M27" i="33" a="1"/>
  <c r="M27" i="33" s="1"/>
  <c r="L28" i="33" a="1"/>
  <c r="L28" i="33" s="1"/>
  <c r="O45" i="33" a="1"/>
  <c r="O45" i="33" s="1"/>
  <c r="M45" i="33" a="1"/>
  <c r="M45" i="33" s="1"/>
  <c r="L45" i="33" a="1"/>
  <c r="L45" i="33" s="1"/>
  <c r="L50" i="33" a="1"/>
  <c r="L50" i="33" s="1"/>
  <c r="M50" i="33" a="1"/>
  <c r="M50" i="33" s="1"/>
  <c r="O50" i="33" a="1"/>
  <c r="O50" i="33" s="1"/>
  <c r="M35" i="33" a="1"/>
  <c r="M35" i="33" s="1"/>
  <c r="L35" i="33" a="1"/>
  <c r="L35" i="33" s="1"/>
  <c r="O35" i="33" a="1"/>
  <c r="O35" i="33" s="1"/>
  <c r="L51" i="33" a="1"/>
  <c r="L51" i="33" s="1"/>
  <c r="M51" i="33" a="1"/>
  <c r="M51" i="33" s="1"/>
  <c r="O51" i="33" a="1"/>
  <c r="O51" i="33" s="1"/>
  <c r="M37" i="33" a="1"/>
  <c r="M37" i="33" s="1"/>
  <c r="O37" i="33" a="1"/>
  <c r="O37" i="33" s="1"/>
  <c r="L37" i="33" a="1"/>
  <c r="L37" i="33" s="1"/>
  <c r="M53" i="33" a="1"/>
  <c r="M53" i="33" s="1"/>
  <c r="L53" i="33" a="1"/>
  <c r="L53" i="33" s="1"/>
  <c r="O53" i="33" a="1"/>
  <c r="O53" i="33" s="1"/>
  <c r="M44" i="33" a="1"/>
  <c r="M44" i="33" s="1"/>
  <c r="L44" i="33" a="1"/>
  <c r="L44" i="33" s="1"/>
  <c r="O44" i="33" a="1"/>
  <c r="O44" i="33" s="1"/>
  <c r="M22" i="33" a="1"/>
  <c r="M22" i="33" s="1"/>
  <c r="O38" i="33" a="1"/>
  <c r="O38" i="33" s="1"/>
  <c r="M38" i="33" a="1"/>
  <c r="M38" i="33" s="1"/>
  <c r="L38" i="33" a="1"/>
  <c r="L38" i="33" s="1"/>
  <c r="A54" i="36"/>
  <c r="A25" i="36"/>
  <c r="H49" i="36" a="1"/>
  <c r="H49" i="36" s="1"/>
  <c r="C40" i="36" a="1"/>
  <c r="C40" i="36" s="1"/>
  <c r="I48" i="36" a="1"/>
  <c r="I48" i="36" s="1"/>
  <c r="I44" i="36" a="1"/>
  <c r="I44" i="36" s="1"/>
  <c r="A50" i="36"/>
  <c r="I45" i="36" a="1"/>
  <c r="I45" i="36" s="1"/>
  <c r="A33" i="36"/>
  <c r="I51" i="36" a="1"/>
  <c r="I51" i="36" s="1"/>
  <c r="E46" i="36"/>
  <c r="I47" i="36" a="1"/>
  <c r="I47" i="36" s="1"/>
  <c r="I39" i="35" a="1"/>
  <c r="I39" i="35" s="1"/>
  <c r="I34" i="35" a="1"/>
  <c r="I34" i="35" s="1"/>
  <c r="H51" i="35" a="1"/>
  <c r="H51" i="35" s="1"/>
  <c r="I36" i="35" a="1"/>
  <c r="I36" i="35" s="1"/>
  <c r="I37" i="35" a="1"/>
  <c r="I37" i="35" s="1"/>
  <c r="I40" i="35" a="1"/>
  <c r="I40" i="35" s="1"/>
  <c r="A26" i="35"/>
  <c r="F42" i="35" a="1"/>
  <c r="F42" i="35" s="1"/>
  <c r="A22" i="35"/>
  <c r="F47" i="35" a="1"/>
  <c r="F47" i="35" s="1"/>
  <c r="I32" i="35" a="1"/>
  <c r="I32" i="35" s="1"/>
  <c r="D38" i="34" a="1"/>
  <c r="D38" i="34" s="1"/>
  <c r="I40" i="34" a="1"/>
  <c r="I40" i="34" s="1"/>
  <c r="I44" i="34" a="1"/>
  <c r="I44" i="34" s="1"/>
  <c r="H34" i="34" a="1"/>
  <c r="H34" i="34" s="1"/>
  <c r="I51" i="34" a="1"/>
  <c r="I51" i="34" s="1"/>
  <c r="I54" i="34" a="1"/>
  <c r="I54" i="34" s="1"/>
  <c r="I45" i="34" a="1"/>
  <c r="I45" i="34" s="1"/>
  <c r="D31" i="34" a="1"/>
  <c r="D31" i="34" s="1"/>
  <c r="G30" i="34"/>
  <c r="F52" i="34" a="1"/>
  <c r="F52" i="34" s="1"/>
  <c r="C39" i="34" a="1"/>
  <c r="C39" i="34" s="1"/>
  <c r="A43" i="34"/>
  <c r="A29" i="34"/>
  <c r="A32" i="33"/>
  <c r="A47" i="33"/>
  <c r="F36" i="33" a="1"/>
  <c r="F36" i="33" s="1"/>
  <c r="F37" i="33" a="1"/>
  <c r="F37" i="33" s="1"/>
  <c r="C53" i="33" a="1"/>
  <c r="C53" i="33" s="1"/>
  <c r="G40" i="33"/>
  <c r="A56" i="33"/>
  <c r="D41" i="33" a="1"/>
  <c r="D41" i="33" s="1"/>
  <c r="A44" i="33"/>
  <c r="C50" i="33" a="1"/>
  <c r="C50" i="33" s="1"/>
  <c r="A39" i="33"/>
  <c r="E45" i="33"/>
  <c r="I38" i="33" a="1"/>
  <c r="I38" i="33" s="1"/>
  <c r="B7" i="33" a="1"/>
  <c r="B7" i="33" s="1"/>
  <c r="AK422" i="36"/>
  <c r="D56" i="34" a="1"/>
  <c r="D56" i="34" s="1"/>
  <c r="C20" i="33" a="1"/>
  <c r="C20" i="33" s="1"/>
  <c r="AK292" i="36"/>
  <c r="AM288" i="36"/>
  <c r="AS375" i="36"/>
  <c r="AT200" i="36"/>
  <c r="Y239" i="33"/>
  <c r="AK399" i="33"/>
  <c r="AT125" i="36"/>
  <c r="AS164" i="36"/>
  <c r="AT366" i="36"/>
  <c r="AT229" i="33"/>
  <c r="AR98" i="35"/>
  <c r="AK136" i="34"/>
  <c r="AU421" i="33"/>
  <c r="AK332" i="34"/>
  <c r="AR132" i="35"/>
  <c r="AU264" i="33"/>
  <c r="AT355" i="34"/>
  <c r="AK271" i="35"/>
  <c r="D29" i="36" a="1"/>
  <c r="D29" i="36" s="1"/>
  <c r="AR358" i="35"/>
  <c r="AS352" i="36"/>
  <c r="AK310" i="34"/>
  <c r="AK200" i="36"/>
  <c r="AK244" i="36"/>
  <c r="AK380" i="36"/>
  <c r="AR377" i="33"/>
  <c r="AK341" i="34"/>
  <c r="AS377" i="34"/>
  <c r="AS125" i="36"/>
  <c r="AT417" i="36"/>
  <c r="AT158" i="34"/>
  <c r="AR349" i="34"/>
  <c r="AU355" i="34"/>
  <c r="Y357" i="34"/>
  <c r="AU89" i="33"/>
  <c r="AT218" i="33"/>
  <c r="AK418" i="33"/>
  <c r="AU343" i="34"/>
  <c r="AK268" i="36"/>
  <c r="AK244" i="33"/>
  <c r="AT246" i="34"/>
  <c r="AK245" i="36"/>
  <c r="Z412" i="36"/>
  <c r="AK429" i="36"/>
  <c r="AM78" i="36"/>
  <c r="I28" i="36" s="1" a="1"/>
  <c r="I28" i="36" s="1"/>
  <c r="AT399" i="36"/>
  <c r="AS135" i="33"/>
  <c r="AS271" i="33"/>
  <c r="AT370" i="33"/>
  <c r="AT321" i="34"/>
  <c r="AR298" i="35"/>
  <c r="Y374" i="36"/>
  <c r="AS95" i="35"/>
  <c r="Z311" i="36"/>
  <c r="AK97" i="35"/>
  <c r="Z371" i="33"/>
  <c r="Z422" i="34"/>
  <c r="AR104" i="35"/>
  <c r="AR78" i="36"/>
  <c r="AR396" i="33"/>
  <c r="AT120" i="34"/>
  <c r="AK285" i="34"/>
  <c r="AT337" i="33"/>
  <c r="AS120" i="34"/>
  <c r="AR125" i="36"/>
  <c r="AK247" i="36"/>
  <c r="AR349" i="36"/>
  <c r="AK372" i="36"/>
  <c r="AK106" i="33"/>
  <c r="AT253" i="33"/>
  <c r="AK237" i="33"/>
  <c r="AU393" i="33"/>
  <c r="AU331" i="36"/>
  <c r="AK398" i="36"/>
  <c r="AK295" i="36"/>
  <c r="AU120" i="34"/>
  <c r="AU159" i="34"/>
  <c r="AU98" i="35"/>
  <c r="AT298" i="35"/>
  <c r="AU417" i="36"/>
  <c r="AR173" i="34"/>
  <c r="AK408" i="33"/>
  <c r="AR306" i="34"/>
  <c r="AT373" i="34"/>
  <c r="Y375" i="34"/>
  <c r="AT325" i="33"/>
  <c r="AK139" i="33"/>
  <c r="AS316" i="33"/>
  <c r="AK429" i="33"/>
  <c r="AR103" i="35"/>
  <c r="AU346" i="35"/>
  <c r="AT357" i="35"/>
  <c r="AR234" i="35"/>
  <c r="AK406" i="36"/>
  <c r="AU170" i="33"/>
  <c r="AI178" i="33"/>
  <c r="AK185" i="33"/>
  <c r="O27" i="33" s="1" a="1"/>
  <c r="O27" i="33" s="1"/>
  <c r="AS269" i="33"/>
  <c r="AK259" i="34"/>
  <c r="AT366" i="34"/>
  <c r="AT311" i="35"/>
  <c r="AS85" i="36"/>
  <c r="AT216" i="36"/>
  <c r="AK331" i="36"/>
  <c r="AK417" i="36"/>
  <c r="Y263" i="34"/>
  <c r="AR325" i="34"/>
  <c r="AK96" i="33"/>
  <c r="AS232" i="33"/>
  <c r="AU269" i="33"/>
  <c r="AT110" i="34"/>
  <c r="AU310" i="34"/>
  <c r="Y312" i="34"/>
  <c r="AR316" i="34"/>
  <c r="AU295" i="35"/>
  <c r="AK375" i="35"/>
  <c r="AT224" i="36"/>
  <c r="AK336" i="36"/>
  <c r="AT212" i="34"/>
  <c r="AR144" i="36"/>
  <c r="AU369" i="33"/>
  <c r="AK421" i="33"/>
  <c r="AS173" i="34"/>
  <c r="AS336" i="34"/>
  <c r="AU382" i="34"/>
  <c r="AR276" i="35"/>
  <c r="AS144" i="36"/>
  <c r="Y307" i="36"/>
  <c r="AR322" i="36"/>
  <c r="AU100" i="35"/>
  <c r="Y210" i="35"/>
  <c r="AU382" i="35"/>
  <c r="AK91" i="36"/>
  <c r="AT144" i="36"/>
  <c r="AK94" i="34"/>
  <c r="AK263" i="34"/>
  <c r="AT341" i="34"/>
  <c r="AT347" i="34"/>
  <c r="AK233" i="36"/>
  <c r="AS247" i="36"/>
  <c r="AK307" i="36"/>
  <c r="AR331" i="36"/>
  <c r="AT375" i="36"/>
  <c r="Y414" i="36"/>
  <c r="AR209" i="33"/>
  <c r="AT393" i="33"/>
  <c r="AU396" i="33"/>
  <c r="AU347" i="34"/>
  <c r="AK425" i="34"/>
  <c r="AT247" i="36"/>
  <c r="AS331" i="36"/>
  <c r="AM259" i="33"/>
  <c r="AU301" i="33"/>
  <c r="AS407" i="33"/>
  <c r="AR92" i="34"/>
  <c r="AS200" i="34"/>
  <c r="AS305" i="34"/>
  <c r="AS403" i="34"/>
  <c r="AS425" i="34"/>
  <c r="AU108" i="35"/>
  <c r="AT119" i="35"/>
  <c r="AR171" i="35"/>
  <c r="AK180" i="35"/>
  <c r="N9" i="35" s="1"/>
  <c r="Y211" i="35"/>
  <c r="AS296" i="36"/>
  <c r="Z356" i="36"/>
  <c r="AT94" i="33"/>
  <c r="AS137" i="33"/>
  <c r="AS337" i="33"/>
  <c r="AS370" i="33"/>
  <c r="AS110" i="34"/>
  <c r="AU200" i="34"/>
  <c r="AS212" i="34"/>
  <c r="AR253" i="34"/>
  <c r="AU425" i="34"/>
  <c r="AT171" i="35"/>
  <c r="AU413" i="35"/>
  <c r="AU191" i="36"/>
  <c r="AK206" i="36"/>
  <c r="AU218" i="36"/>
  <c r="AR224" i="36"/>
  <c r="AS239" i="36"/>
  <c r="AT296" i="36"/>
  <c r="AR211" i="34"/>
  <c r="AT292" i="34"/>
  <c r="AK399" i="34"/>
  <c r="AS153" i="36"/>
  <c r="AU172" i="36"/>
  <c r="AU193" i="36"/>
  <c r="AS203" i="36"/>
  <c r="AU238" i="36"/>
  <c r="AT270" i="36"/>
  <c r="AS396" i="36"/>
  <c r="AS397" i="36"/>
  <c r="AU80" i="33"/>
  <c r="AR268" i="35"/>
  <c r="AT188" i="34"/>
  <c r="AU212" i="34"/>
  <c r="Y283" i="34"/>
  <c r="Z388" i="34"/>
  <c r="AS72" i="35"/>
  <c r="AR284" i="35"/>
  <c r="AT354" i="35"/>
  <c r="AM113" i="36"/>
  <c r="AK189" i="33"/>
  <c r="AK357" i="33"/>
  <c r="AR390" i="33"/>
  <c r="AR85" i="34"/>
  <c r="AT152" i="34"/>
  <c r="AU233" i="34"/>
  <c r="AR291" i="34"/>
  <c r="Z353" i="34"/>
  <c r="AK364" i="34"/>
  <c r="AR401" i="34"/>
  <c r="AT72" i="35"/>
  <c r="AK199" i="35"/>
  <c r="AK380" i="35"/>
  <c r="AR402" i="35"/>
  <c r="AS157" i="36"/>
  <c r="AU270" i="36"/>
  <c r="Z343" i="36"/>
  <c r="AU374" i="36"/>
  <c r="AU375" i="36"/>
  <c r="AK383" i="36"/>
  <c r="AT396" i="36"/>
  <c r="AT397" i="36"/>
  <c r="AS421" i="36"/>
  <c r="AU72" i="35"/>
  <c r="AK374" i="35"/>
  <c r="AS402" i="35"/>
  <c r="AU244" i="36"/>
  <c r="AR294" i="36"/>
  <c r="AR306" i="36"/>
  <c r="AK377" i="36"/>
  <c r="AK423" i="36"/>
  <c r="AK174" i="35"/>
  <c r="Y408" i="33"/>
  <c r="AS291" i="34"/>
  <c r="AK330" i="34"/>
  <c r="AS401" i="34"/>
  <c r="AS206" i="33"/>
  <c r="AL295" i="33"/>
  <c r="AT367" i="33"/>
  <c r="AS226" i="34"/>
  <c r="AT402" i="35"/>
  <c r="AU204" i="34"/>
  <c r="AU226" i="34"/>
  <c r="AS321" i="34"/>
  <c r="AR271" i="35"/>
  <c r="AT295" i="35"/>
  <c r="AT83" i="36"/>
  <c r="AT280" i="36"/>
  <c r="Z308" i="36"/>
  <c r="AR413" i="36"/>
  <c r="AS85" i="33"/>
  <c r="AK369" i="36"/>
  <c r="AR305" i="34"/>
  <c r="AR119" i="35"/>
  <c r="AT356" i="35"/>
  <c r="AU165" i="33"/>
  <c r="AT85" i="33"/>
  <c r="AU353" i="33"/>
  <c r="AK80" i="34"/>
  <c r="AS100" i="34"/>
  <c r="AR151" i="34"/>
  <c r="AT214" i="34"/>
  <c r="AU231" i="34"/>
  <c r="AT256" i="34"/>
  <c r="AR268" i="34"/>
  <c r="AS301" i="34"/>
  <c r="Z310" i="34"/>
  <c r="AU321" i="34"/>
  <c r="AK393" i="34"/>
  <c r="AR428" i="34"/>
  <c r="AT195" i="35"/>
  <c r="AU260" i="35"/>
  <c r="AR264" i="35"/>
  <c r="AK429" i="35"/>
  <c r="AR103" i="36"/>
  <c r="AS123" i="36"/>
  <c r="AU190" i="36"/>
  <c r="AS192" i="36"/>
  <c r="AR242" i="36"/>
  <c r="AT262" i="36"/>
  <c r="AU299" i="36"/>
  <c r="AK309" i="36"/>
  <c r="AM360" i="36"/>
  <c r="AS94" i="33"/>
  <c r="AK154" i="33"/>
  <c r="AT151" i="34"/>
  <c r="AK176" i="34"/>
  <c r="AT268" i="34"/>
  <c r="AK291" i="34"/>
  <c r="AK293" i="34"/>
  <c r="AT301" i="34"/>
  <c r="AK85" i="35"/>
  <c r="AT192" i="36"/>
  <c r="AT242" i="36"/>
  <c r="AU262" i="36"/>
  <c r="AT201" i="34"/>
  <c r="AK268" i="34"/>
  <c r="AR136" i="33"/>
  <c r="AK134" i="34"/>
  <c r="AU151" i="34"/>
  <c r="AK270" i="34"/>
  <c r="AT104" i="34"/>
  <c r="AU81" i="33"/>
  <c r="AR210" i="33"/>
  <c r="AR362" i="33"/>
  <c r="AR393" i="33"/>
  <c r="AK405" i="33"/>
  <c r="AK123" i="34"/>
  <c r="AR307" i="34"/>
  <c r="AU348" i="34"/>
  <c r="AK95" i="35"/>
  <c r="AT275" i="35"/>
  <c r="AR334" i="35"/>
  <c r="AU415" i="35"/>
  <c r="AT108" i="36"/>
  <c r="AR165" i="36"/>
  <c r="AR316" i="36"/>
  <c r="AS322" i="36"/>
  <c r="AK373" i="36"/>
  <c r="AK153" i="33"/>
  <c r="AU210" i="33"/>
  <c r="AU225" i="33"/>
  <c r="AR253" i="33"/>
  <c r="AT264" i="33"/>
  <c r="AK400" i="34"/>
  <c r="AK417" i="34"/>
  <c r="AT334" i="35"/>
  <c r="AR247" i="36"/>
  <c r="AK250" i="36"/>
  <c r="AR80" i="35"/>
  <c r="AT134" i="35"/>
  <c r="AR270" i="35"/>
  <c r="AT409" i="35"/>
  <c r="AL112" i="36"/>
  <c r="AM123" i="36"/>
  <c r="AR230" i="36"/>
  <c r="AR231" i="36"/>
  <c r="AR318" i="36"/>
  <c r="AT330" i="36"/>
  <c r="AT332" i="36"/>
  <c r="AR351" i="36"/>
  <c r="AR363" i="36"/>
  <c r="AR378" i="36"/>
  <c r="Z387" i="36"/>
  <c r="AT75" i="33"/>
  <c r="AU94" i="33"/>
  <c r="AT108" i="33"/>
  <c r="AR119" i="33"/>
  <c r="AT137" i="33"/>
  <c r="AK204" i="33"/>
  <c r="AR208" i="33"/>
  <c r="AR243" i="33"/>
  <c r="AU370" i="33"/>
  <c r="AK388" i="33"/>
  <c r="AS118" i="34"/>
  <c r="AR145" i="34"/>
  <c r="AT147" i="34"/>
  <c r="AT240" i="34"/>
  <c r="AU246" i="34"/>
  <c r="AS250" i="34"/>
  <c r="AU256" i="34"/>
  <c r="AS270" i="34"/>
  <c r="AT305" i="34"/>
  <c r="AS306" i="34"/>
  <c r="AS307" i="34"/>
  <c r="Z317" i="34"/>
  <c r="AU341" i="34"/>
  <c r="Z343" i="34"/>
  <c r="Y344" i="34"/>
  <c r="AK391" i="34"/>
  <c r="AR417" i="34"/>
  <c r="AT80" i="35"/>
  <c r="AM112" i="36"/>
  <c r="AS230" i="36"/>
  <c r="AT318" i="36"/>
  <c r="AU332" i="36"/>
  <c r="AS363" i="36"/>
  <c r="AS119" i="33"/>
  <c r="AU156" i="33"/>
  <c r="AU176" i="33"/>
  <c r="AT353" i="33"/>
  <c r="AK398" i="33"/>
  <c r="AR407" i="33"/>
  <c r="AK410" i="33"/>
  <c r="AR117" i="34"/>
  <c r="AT118" i="34"/>
  <c r="AR136" i="34"/>
  <c r="AU147" i="34"/>
  <c r="AU306" i="34"/>
  <c r="AU307" i="34"/>
  <c r="AK325" i="34"/>
  <c r="AT357" i="34"/>
  <c r="AK377" i="34"/>
  <c r="AS417" i="34"/>
  <c r="AU80" i="35"/>
  <c r="AT98" i="35"/>
  <c r="AU195" i="35"/>
  <c r="AT207" i="35"/>
  <c r="AK241" i="35"/>
  <c r="AU321" i="35"/>
  <c r="AR366" i="35"/>
  <c r="AU408" i="35"/>
  <c r="AR94" i="36"/>
  <c r="AU129" i="36"/>
  <c r="AI166" i="36"/>
  <c r="AU213" i="36"/>
  <c r="AT230" i="36"/>
  <c r="AT253" i="36"/>
  <c r="AS311" i="36"/>
  <c r="Y346" i="36"/>
  <c r="AK353" i="36"/>
  <c r="AL360" i="36"/>
  <c r="O14" i="36" s="1"/>
  <c r="AU363" i="36"/>
  <c r="Z386" i="36"/>
  <c r="AK387" i="36"/>
  <c r="Y416" i="36"/>
  <c r="AK430" i="36"/>
  <c r="AU119" i="33"/>
  <c r="AS385" i="33"/>
  <c r="AT136" i="34"/>
  <c r="AR188" i="34"/>
  <c r="AK191" i="34"/>
  <c r="AK223" i="34"/>
  <c r="AK236" i="34"/>
  <c r="AS254" i="34"/>
  <c r="AK363" i="34"/>
  <c r="AK419" i="34"/>
  <c r="AS160" i="35"/>
  <c r="AR223" i="35"/>
  <c r="AR244" i="35"/>
  <c r="AU366" i="35"/>
  <c r="AU87" i="36"/>
  <c r="AK96" i="36"/>
  <c r="AL166" i="36"/>
  <c r="AR218" i="36"/>
  <c r="AU253" i="36"/>
  <c r="AK293" i="36"/>
  <c r="AS303" i="36"/>
  <c r="AK340" i="36"/>
  <c r="Y385" i="36"/>
  <c r="AK418" i="36"/>
  <c r="AU135" i="33"/>
  <c r="AM148" i="33"/>
  <c r="AK163" i="33"/>
  <c r="AT230" i="33"/>
  <c r="AS258" i="33"/>
  <c r="AT270" i="33"/>
  <c r="AM300" i="33"/>
  <c r="AK86" i="34"/>
  <c r="AU136" i="34"/>
  <c r="AS188" i="34"/>
  <c r="Z256" i="34"/>
  <c r="AT348" i="34"/>
  <c r="AR355" i="34"/>
  <c r="AK369" i="34"/>
  <c r="AT403" i="34"/>
  <c r="Z405" i="34"/>
  <c r="AR117" i="35"/>
  <c r="AU268" i="35"/>
  <c r="AU276" i="35"/>
  <c r="AS350" i="35"/>
  <c r="AM360" i="35"/>
  <c r="AS72" i="36"/>
  <c r="AK89" i="36"/>
  <c r="AR99" i="36"/>
  <c r="AM166" i="36"/>
  <c r="AS276" i="36"/>
  <c r="AS282" i="36"/>
  <c r="AK352" i="36"/>
  <c r="AK379" i="36"/>
  <c r="AK386" i="36"/>
  <c r="AU121" i="33"/>
  <c r="AU270" i="33"/>
  <c r="AR103" i="33"/>
  <c r="AR123" i="33"/>
  <c r="AR291" i="33"/>
  <c r="AU194" i="34"/>
  <c r="AR208" i="34"/>
  <c r="AR293" i="34"/>
  <c r="Y380" i="34"/>
  <c r="AT423" i="34"/>
  <c r="AT90" i="35"/>
  <c r="AR199" i="35"/>
  <c r="Y269" i="35"/>
  <c r="AS194" i="33"/>
  <c r="AM76" i="33"/>
  <c r="AS103" i="33"/>
  <c r="AS123" i="33"/>
  <c r="AS189" i="33"/>
  <c r="AS205" i="33"/>
  <c r="AM218" i="33"/>
  <c r="AU228" i="33"/>
  <c r="Z242" i="33"/>
  <c r="AT291" i="33"/>
  <c r="Y401" i="33"/>
  <c r="Y145" i="34"/>
  <c r="AT155" i="34"/>
  <c r="AU208" i="34"/>
  <c r="AR290" i="34"/>
  <c r="AS293" i="34"/>
  <c r="AR294" i="34"/>
  <c r="AU332" i="34"/>
  <c r="AT401" i="34"/>
  <c r="AR421" i="34"/>
  <c r="AU423" i="34"/>
  <c r="Y425" i="34"/>
  <c r="AS89" i="35"/>
  <c r="Y132" i="35"/>
  <c r="AR137" i="35"/>
  <c r="AR148" i="35"/>
  <c r="AR188" i="35"/>
  <c r="AT199" i="35"/>
  <c r="AK207" i="35"/>
  <c r="AR299" i="35"/>
  <c r="AS316" i="35"/>
  <c r="AI364" i="35"/>
  <c r="AR91" i="36"/>
  <c r="AS109" i="36"/>
  <c r="AU118" i="36"/>
  <c r="AR177" i="36"/>
  <c r="AU181" i="36"/>
  <c r="AU192" i="36"/>
  <c r="AT212" i="36"/>
  <c r="AK236" i="36"/>
  <c r="AK311" i="36"/>
  <c r="AT322" i="36"/>
  <c r="AK330" i="36"/>
  <c r="AK344" i="36"/>
  <c r="Z369" i="36"/>
  <c r="Z383" i="36"/>
  <c r="AJ76" i="33"/>
  <c r="AK76" i="33" s="1"/>
  <c r="AT123" i="33"/>
  <c r="AS290" i="34"/>
  <c r="AT293" i="34"/>
  <c r="AS294" i="34"/>
  <c r="AS421" i="34"/>
  <c r="AU89" i="35"/>
  <c r="AS148" i="35"/>
  <c r="AS188" i="35"/>
  <c r="AU199" i="35"/>
  <c r="AU299" i="35"/>
  <c r="AT316" i="35"/>
  <c r="AS91" i="36"/>
  <c r="AT109" i="36"/>
  <c r="AU212" i="36"/>
  <c r="AK318" i="36"/>
  <c r="AK339" i="36"/>
  <c r="AK364" i="36"/>
  <c r="AR267" i="33"/>
  <c r="AS302" i="33"/>
  <c r="AK402" i="33"/>
  <c r="AK413" i="33"/>
  <c r="AU78" i="34"/>
  <c r="AS192" i="34"/>
  <c r="AR266" i="34"/>
  <c r="AU290" i="34"/>
  <c r="AT294" i="34"/>
  <c r="AK315" i="34"/>
  <c r="AK368" i="34"/>
  <c r="AU413" i="34"/>
  <c r="AR420" i="34"/>
  <c r="AT421" i="34"/>
  <c r="AU430" i="34"/>
  <c r="AR124" i="35"/>
  <c r="AT148" i="35"/>
  <c r="AT188" i="35"/>
  <c r="AS220" i="35"/>
  <c r="AR327" i="35"/>
  <c r="AS336" i="35"/>
  <c r="AT392" i="35"/>
  <c r="AT91" i="36"/>
  <c r="AU109" i="36"/>
  <c r="AU314" i="36"/>
  <c r="AR366" i="36"/>
  <c r="Z376" i="36"/>
  <c r="AS399" i="36"/>
  <c r="AK403" i="36"/>
  <c r="AT419" i="36"/>
  <c r="AT103" i="33"/>
  <c r="AK105" i="33"/>
  <c r="AK173" i="33"/>
  <c r="AT302" i="33"/>
  <c r="AU98" i="34"/>
  <c r="AK135" i="34"/>
  <c r="AU173" i="34"/>
  <c r="AT192" i="34"/>
  <c r="AR206" i="34"/>
  <c r="AT224" i="34"/>
  <c r="AU291" i="34"/>
  <c r="AK303" i="34"/>
  <c r="AT318" i="34"/>
  <c r="Y320" i="34"/>
  <c r="Z332" i="34"/>
  <c r="AK379" i="34"/>
  <c r="AK392" i="34"/>
  <c r="Z415" i="34"/>
  <c r="AS157" i="35"/>
  <c r="AT336" i="35"/>
  <c r="AS374" i="35"/>
  <c r="Y391" i="35"/>
  <c r="AS411" i="35"/>
  <c r="AR423" i="35"/>
  <c r="AK93" i="36"/>
  <c r="AS122" i="36"/>
  <c r="AR152" i="36"/>
  <c r="AK427" i="36"/>
  <c r="AU153" i="33"/>
  <c r="AS80" i="33"/>
  <c r="AR170" i="33"/>
  <c r="AT192" i="33"/>
  <c r="AS198" i="33"/>
  <c r="AK285" i="33"/>
  <c r="AU302" i="33"/>
  <c r="AK384" i="33"/>
  <c r="AK100" i="34"/>
  <c r="AK141" i="34"/>
  <c r="AU192" i="34"/>
  <c r="AR205" i="34"/>
  <c r="AT206" i="34"/>
  <c r="AS258" i="34"/>
  <c r="AK297" i="34"/>
  <c r="AS310" i="34"/>
  <c r="AK361" i="34"/>
  <c r="Y365" i="34"/>
  <c r="AK367" i="34"/>
  <c r="AS389" i="34"/>
  <c r="AK401" i="34"/>
  <c r="AK403" i="34"/>
  <c r="AT412" i="34"/>
  <c r="AR429" i="34"/>
  <c r="AU224" i="35"/>
  <c r="AK244" i="35"/>
  <c r="AK268" i="35"/>
  <c r="AR272" i="35"/>
  <c r="AS279" i="35"/>
  <c r="AU336" i="35"/>
  <c r="AR108" i="36"/>
  <c r="Z133" i="36"/>
  <c r="AR137" i="36"/>
  <c r="AR180" i="36"/>
  <c r="AS191" i="36"/>
  <c r="AT205" i="36"/>
  <c r="AR238" i="36"/>
  <c r="AK249" i="36"/>
  <c r="AR334" i="36"/>
  <c r="AK350" i="36"/>
  <c r="Y355" i="36"/>
  <c r="AU399" i="36"/>
  <c r="AU104" i="34"/>
  <c r="AS204" i="34"/>
  <c r="AU205" i="34"/>
  <c r="AT223" i="34"/>
  <c r="Y285" i="34"/>
  <c r="AS299" i="34"/>
  <c r="Z301" i="34"/>
  <c r="AU309" i="34"/>
  <c r="AT310" i="34"/>
  <c r="AK313" i="34"/>
  <c r="AT343" i="34"/>
  <c r="AT344" i="34"/>
  <c r="AK356" i="34"/>
  <c r="AU389" i="34"/>
  <c r="Y414" i="34"/>
  <c r="AK423" i="34"/>
  <c r="AK96" i="35"/>
  <c r="AU272" i="35"/>
  <c r="AR422" i="35"/>
  <c r="AS428" i="35"/>
  <c r="AS108" i="36"/>
  <c r="AU137" i="36"/>
  <c r="AT180" i="36"/>
  <c r="AT191" i="36"/>
  <c r="AS238" i="36"/>
  <c r="AK281" i="36"/>
  <c r="AS334" i="36"/>
  <c r="Y373" i="36"/>
  <c r="AR417" i="36"/>
  <c r="AR424" i="36"/>
  <c r="AK160" i="33"/>
  <c r="AK194" i="33"/>
  <c r="AK200" i="33"/>
  <c r="AU145" i="33"/>
  <c r="AU163" i="33"/>
  <c r="AS169" i="33"/>
  <c r="AU290" i="33"/>
  <c r="AR361" i="33"/>
  <c r="AS381" i="33"/>
  <c r="Y411" i="33"/>
  <c r="AR415" i="33"/>
  <c r="Y417" i="33"/>
  <c r="AK290" i="36"/>
  <c r="AT334" i="36"/>
  <c r="AK421" i="36"/>
  <c r="AS361" i="33"/>
  <c r="Y257" i="36"/>
  <c r="AR260" i="36"/>
  <c r="AS330" i="36"/>
  <c r="AS332" i="36"/>
  <c r="AS345" i="36"/>
  <c r="AU149" i="33"/>
  <c r="AR134" i="34"/>
  <c r="AS134" i="34"/>
  <c r="AU388" i="35"/>
  <c r="AT388" i="35"/>
  <c r="AR388" i="35"/>
  <c r="AU85" i="33"/>
  <c r="AT169" i="33"/>
  <c r="AS170" i="33"/>
  <c r="AS208" i="33"/>
  <c r="AR220" i="33"/>
  <c r="AR242" i="33"/>
  <c r="AU243" i="33"/>
  <c r="AU291" i="33"/>
  <c r="AR303" i="33"/>
  <c r="AT316" i="33"/>
  <c r="AR324" i="33"/>
  <c r="AR345" i="33"/>
  <c r="AR366" i="33"/>
  <c r="AS396" i="33"/>
  <c r="Z428" i="33"/>
  <c r="Y429" i="33"/>
  <c r="AS96" i="34"/>
  <c r="AT252" i="34"/>
  <c r="AU252" i="34"/>
  <c r="AS388" i="35"/>
  <c r="AT187" i="34"/>
  <c r="AS187" i="34"/>
  <c r="AU261" i="35"/>
  <c r="AT261" i="35"/>
  <c r="AS261" i="35"/>
  <c r="AR261" i="35"/>
  <c r="AK87" i="33"/>
  <c r="AK100" i="33"/>
  <c r="Y142" i="33"/>
  <c r="AU169" i="33"/>
  <c r="AS180" i="33"/>
  <c r="AR205" i="33"/>
  <c r="AR206" i="33"/>
  <c r="AS242" i="33"/>
  <c r="AR257" i="33"/>
  <c r="AU303" i="33"/>
  <c r="AS324" i="33"/>
  <c r="AS345" i="33"/>
  <c r="AS366" i="33"/>
  <c r="AK374" i="33"/>
  <c r="AR385" i="33"/>
  <c r="Y399" i="33"/>
  <c r="AK409" i="33"/>
  <c r="AK416" i="33"/>
  <c r="AM75" i="34"/>
  <c r="AT96" i="34"/>
  <c r="Z340" i="34"/>
  <c r="Y340" i="34"/>
  <c r="Z349" i="34"/>
  <c r="Y349" i="34"/>
  <c r="AU407" i="35"/>
  <c r="AT407" i="35"/>
  <c r="AR407" i="35"/>
  <c r="Y327" i="34"/>
  <c r="Z327" i="34"/>
  <c r="AU78" i="33"/>
  <c r="Z141" i="33"/>
  <c r="AJ150" i="33"/>
  <c r="AK150" i="33" s="1"/>
  <c r="AK158" i="33"/>
  <c r="AK172" i="33"/>
  <c r="AR182" i="33"/>
  <c r="AS202" i="33"/>
  <c r="AR203" i="33"/>
  <c r="AT205" i="33"/>
  <c r="AT206" i="33"/>
  <c r="AR240" i="33"/>
  <c r="AS246" i="33"/>
  <c r="AU324" i="33"/>
  <c r="AU345" i="33"/>
  <c r="AK353" i="33"/>
  <c r="AR365" i="33"/>
  <c r="AU377" i="33"/>
  <c r="AS404" i="33"/>
  <c r="AR405" i="33"/>
  <c r="AK415" i="33"/>
  <c r="AR420" i="33"/>
  <c r="AR423" i="33"/>
  <c r="AJ72" i="34"/>
  <c r="AK72" i="34" s="1"/>
  <c r="N6" i="34" s="1"/>
  <c r="AR73" i="34"/>
  <c r="AR80" i="34"/>
  <c r="AR88" i="34"/>
  <c r="Z409" i="34"/>
  <c r="Y409" i="34"/>
  <c r="AU159" i="36"/>
  <c r="AT159" i="36"/>
  <c r="AU220" i="36"/>
  <c r="AT220" i="36"/>
  <c r="AS220" i="36"/>
  <c r="AR220" i="36"/>
  <c r="AT302" i="36"/>
  <c r="AU302" i="36"/>
  <c r="AR302" i="36"/>
  <c r="AS243" i="34"/>
  <c r="AU243" i="34"/>
  <c r="AK85" i="33"/>
  <c r="AU182" i="33"/>
  <c r="AT202" i="33"/>
  <c r="AS203" i="33"/>
  <c r="AK209" i="33"/>
  <c r="AU240" i="33"/>
  <c r="AU275" i="33"/>
  <c r="Z304" i="33"/>
  <c r="AR314" i="33"/>
  <c r="AS365" i="33"/>
  <c r="AT403" i="33"/>
  <c r="AT404" i="33"/>
  <c r="AS420" i="33"/>
  <c r="AS423" i="33"/>
  <c r="AS73" i="34"/>
  <c r="AS80" i="34"/>
  <c r="AT88" i="34"/>
  <c r="AR172" i="34"/>
  <c r="AS172" i="34"/>
  <c r="AU284" i="34"/>
  <c r="AT284" i="34"/>
  <c r="AS284" i="34"/>
  <c r="AR284" i="34"/>
  <c r="Y339" i="34"/>
  <c r="Z339" i="34"/>
  <c r="AS163" i="35"/>
  <c r="AU163" i="35"/>
  <c r="AR163" i="35"/>
  <c r="Y355" i="34"/>
  <c r="Z355" i="34"/>
  <c r="AK169" i="33"/>
  <c r="AU202" i="33"/>
  <c r="AT203" i="33"/>
  <c r="AK208" i="33"/>
  <c r="AT365" i="33"/>
  <c r="AU403" i="33"/>
  <c r="AU419" i="33"/>
  <c r="AT420" i="33"/>
  <c r="AR421" i="33"/>
  <c r="AT423" i="33"/>
  <c r="AT80" i="34"/>
  <c r="AU88" i="34"/>
  <c r="AR94" i="34"/>
  <c r="AU132" i="34"/>
  <c r="AU327" i="36"/>
  <c r="AT327" i="36"/>
  <c r="AS327" i="36"/>
  <c r="AR327" i="36"/>
  <c r="Z422" i="36"/>
  <c r="Y422" i="36"/>
  <c r="AM77" i="33"/>
  <c r="AS124" i="33"/>
  <c r="AR184" i="33"/>
  <c r="AL188" i="33"/>
  <c r="AR195" i="33"/>
  <c r="AR231" i="33"/>
  <c r="AS280" i="33"/>
  <c r="AR281" i="33"/>
  <c r="Z284" i="33"/>
  <c r="AM299" i="33"/>
  <c r="AI321" i="33"/>
  <c r="AR322" i="33"/>
  <c r="Y332" i="33"/>
  <c r="AS342" i="33"/>
  <c r="AS362" i="33"/>
  <c r="AK386" i="33"/>
  <c r="AK414" i="33"/>
  <c r="AS421" i="33"/>
  <c r="AS317" i="34"/>
  <c r="AT317" i="34"/>
  <c r="Z378" i="34"/>
  <c r="Y378" i="34"/>
  <c r="AU191" i="35"/>
  <c r="AS191" i="35"/>
  <c r="AJ156" i="36"/>
  <c r="AK156" i="36" s="1"/>
  <c r="AL156" i="36"/>
  <c r="AK98" i="33"/>
  <c r="AK162" i="33"/>
  <c r="AS184" i="33"/>
  <c r="AR219" i="33"/>
  <c r="AS231" i="33"/>
  <c r="AR232" i="33"/>
  <c r="AS250" i="33"/>
  <c r="AK264" i="33"/>
  <c r="AT280" i="33"/>
  <c r="AS281" i="33"/>
  <c r="AJ321" i="33"/>
  <c r="AK321" i="33" s="1"/>
  <c r="AS322" i="33"/>
  <c r="AT342" i="33"/>
  <c r="AT362" i="33"/>
  <c r="AK372" i="33"/>
  <c r="AK378" i="33"/>
  <c r="AK397" i="33"/>
  <c r="AK407" i="33"/>
  <c r="AU411" i="33"/>
  <c r="Y413" i="33"/>
  <c r="AU154" i="34"/>
  <c r="AT154" i="34"/>
  <c r="AS154" i="34"/>
  <c r="Z325" i="34"/>
  <c r="Y325" i="34"/>
  <c r="AS351" i="34"/>
  <c r="AU351" i="34"/>
  <c r="AT351" i="34"/>
  <c r="AR351" i="34"/>
  <c r="AU369" i="34"/>
  <c r="AT369" i="34"/>
  <c r="AS369" i="34"/>
  <c r="AR369" i="34"/>
  <c r="AU118" i="35"/>
  <c r="AT118" i="35"/>
  <c r="AT231" i="33"/>
  <c r="AU280" i="33"/>
  <c r="AT281" i="33"/>
  <c r="AK316" i="33"/>
  <c r="AT322" i="33"/>
  <c r="AR328" i="33"/>
  <c r="AU342" i="33"/>
  <c r="AT86" i="34"/>
  <c r="AR100" i="34"/>
  <c r="AU100" i="34"/>
  <c r="AS101" i="34"/>
  <c r="AT125" i="34"/>
  <c r="AU125" i="34"/>
  <c r="AR154" i="34"/>
  <c r="AU399" i="35"/>
  <c r="AT399" i="35"/>
  <c r="AR399" i="35"/>
  <c r="AU211" i="36"/>
  <c r="AR211" i="36"/>
  <c r="AU184" i="34"/>
  <c r="AT184" i="34"/>
  <c r="AR184" i="34"/>
  <c r="AR111" i="33"/>
  <c r="Z127" i="33"/>
  <c r="AT135" i="33"/>
  <c r="AU137" i="33"/>
  <c r="AR165" i="33"/>
  <c r="AT186" i="33"/>
  <c r="AT189" i="33"/>
  <c r="AS221" i="33"/>
  <c r="AU232" i="33"/>
  <c r="AS253" i="33"/>
  <c r="Z266" i="33"/>
  <c r="AR381" i="33"/>
  <c r="AU101" i="34"/>
  <c r="AU335" i="34"/>
  <c r="AT335" i="34"/>
  <c r="AR335" i="34"/>
  <c r="AS190" i="35"/>
  <c r="AT190" i="35"/>
  <c r="AU226" i="36"/>
  <c r="AT226" i="36"/>
  <c r="AS226" i="36"/>
  <c r="AR226" i="36"/>
  <c r="AT380" i="36"/>
  <c r="AS380" i="36"/>
  <c r="AT116" i="34"/>
  <c r="AS116" i="34"/>
  <c r="AU130" i="34"/>
  <c r="AT130" i="34"/>
  <c r="AS130" i="34"/>
  <c r="AR130" i="34"/>
  <c r="AT315" i="34"/>
  <c r="AU315" i="34"/>
  <c r="AS315" i="34"/>
  <c r="AR387" i="34"/>
  <c r="AS387" i="34"/>
  <c r="AR87" i="33"/>
  <c r="AR149" i="33"/>
  <c r="AK155" i="33"/>
  <c r="AK156" i="33"/>
  <c r="AT260" i="33"/>
  <c r="AS272" i="33"/>
  <c r="AU367" i="33"/>
  <c r="AT381" i="33"/>
  <c r="AK419" i="33"/>
  <c r="AS427" i="33"/>
  <c r="AR84" i="34"/>
  <c r="AR116" i="34"/>
  <c r="AT196" i="34"/>
  <c r="AR196" i="34"/>
  <c r="AU92" i="35"/>
  <c r="AS92" i="35"/>
  <c r="AR92" i="35"/>
  <c r="AU87" i="33"/>
  <c r="Z116" i="33"/>
  <c r="AS149" i="33"/>
  <c r="AK195" i="33"/>
  <c r="AK201" i="33"/>
  <c r="AR270" i="33"/>
  <c r="AU272" i="33"/>
  <c r="AU311" i="33"/>
  <c r="AU318" i="33"/>
  <c r="AR369" i="33"/>
  <c r="AT427" i="33"/>
  <c r="AR428" i="33"/>
  <c r="AS84" i="34"/>
  <c r="AS98" i="34"/>
  <c r="AS245" i="34"/>
  <c r="AT245" i="34"/>
  <c r="AK311" i="34"/>
  <c r="AT293" i="35"/>
  <c r="AS293" i="35"/>
  <c r="AS333" i="35"/>
  <c r="Z314" i="36"/>
  <c r="Y314" i="36"/>
  <c r="AK232" i="33"/>
  <c r="AU427" i="33"/>
  <c r="AU76" i="34"/>
  <c r="AS78" i="34"/>
  <c r="AT98" i="34"/>
  <c r="AU293" i="35"/>
  <c r="AT79" i="36"/>
  <c r="AU79" i="36"/>
  <c r="AI190" i="36"/>
  <c r="AL190" i="36"/>
  <c r="AJ190" i="36"/>
  <c r="AK190" i="36" s="1"/>
  <c r="AK192" i="34"/>
  <c r="AK260" i="34"/>
  <c r="AK342" i="34"/>
  <c r="AK372" i="34"/>
  <c r="AK421" i="34"/>
  <c r="AK427" i="35"/>
  <c r="AT208" i="34"/>
  <c r="AM252" i="34"/>
  <c r="AU254" i="34"/>
  <c r="AU301" i="34"/>
  <c r="AU325" i="34"/>
  <c r="AU349" i="34"/>
  <c r="AT417" i="34"/>
  <c r="AT103" i="35"/>
  <c r="AU124" i="35"/>
  <c r="AK160" i="35"/>
  <c r="AU171" i="35"/>
  <c r="AT276" i="35"/>
  <c r="AS298" i="35"/>
  <c r="AS334" i="35"/>
  <c r="AS366" i="35"/>
  <c r="AU374" i="35"/>
  <c r="AU409" i="35"/>
  <c r="AT72" i="36"/>
  <c r="AU99" i="36"/>
  <c r="AU165" i="36"/>
  <c r="AT303" i="36"/>
  <c r="AT349" i="36"/>
  <c r="AU419" i="36"/>
  <c r="AU72" i="36"/>
  <c r="Y93" i="36"/>
  <c r="AK94" i="36"/>
  <c r="AR117" i="36"/>
  <c r="AS135" i="36"/>
  <c r="AL145" i="36"/>
  <c r="AM156" i="36"/>
  <c r="AU186" i="36"/>
  <c r="AU204" i="36"/>
  <c r="AR225" i="36"/>
  <c r="AR227" i="36"/>
  <c r="AR228" i="36"/>
  <c r="AT259" i="36"/>
  <c r="AU272" i="36"/>
  <c r="AS290" i="36"/>
  <c r="AU303" i="36"/>
  <c r="Z322" i="36"/>
  <c r="AS328" i="36"/>
  <c r="Y334" i="36"/>
  <c r="AR339" i="36"/>
  <c r="Y342" i="36"/>
  <c r="AK366" i="36"/>
  <c r="AR401" i="36"/>
  <c r="Y404" i="36"/>
  <c r="AK412" i="36"/>
  <c r="AK413" i="36"/>
  <c r="AS427" i="36"/>
  <c r="AT204" i="34"/>
  <c r="AT205" i="34"/>
  <c r="AS206" i="34"/>
  <c r="AK225" i="34"/>
  <c r="AK328" i="34"/>
  <c r="AK329" i="34"/>
  <c r="AU336" i="34"/>
  <c r="AK402" i="34"/>
  <c r="AS428" i="34"/>
  <c r="AS429" i="34"/>
  <c r="AS137" i="35"/>
  <c r="AM146" i="35"/>
  <c r="AK236" i="35"/>
  <c r="AS284" i="35"/>
  <c r="AS422" i="35"/>
  <c r="AS423" i="35"/>
  <c r="AR83" i="36"/>
  <c r="AK87" i="36"/>
  <c r="AS117" i="36"/>
  <c r="AT135" i="36"/>
  <c r="AM145" i="36"/>
  <c r="AR164" i="36"/>
  <c r="AM190" i="36"/>
  <c r="AS227" i="36"/>
  <c r="AS228" i="36"/>
  <c r="AR254" i="36"/>
  <c r="AU259" i="36"/>
  <c r="AT290" i="36"/>
  <c r="AK294" i="36"/>
  <c r="AK306" i="36"/>
  <c r="AK317" i="36"/>
  <c r="AT328" i="36"/>
  <c r="AS339" i="36"/>
  <c r="AR347" i="36"/>
  <c r="AK390" i="36"/>
  <c r="AS401" i="36"/>
  <c r="AS104" i="34"/>
  <c r="AK265" i="34"/>
  <c r="AK266" i="34"/>
  <c r="AK273" i="34"/>
  <c r="AK274" i="34"/>
  <c r="AR282" i="34"/>
  <c r="AI288" i="34"/>
  <c r="AS297" i="34"/>
  <c r="AR313" i="34"/>
  <c r="AK319" i="34"/>
  <c r="AR331" i="34"/>
  <c r="Y335" i="34"/>
  <c r="AS363" i="34"/>
  <c r="AK388" i="34"/>
  <c r="Y408" i="34"/>
  <c r="Y418" i="34"/>
  <c r="AT428" i="34"/>
  <c r="AU429" i="34"/>
  <c r="AM77" i="35"/>
  <c r="AR84" i="35"/>
  <c r="AU110" i="35"/>
  <c r="AU137" i="35"/>
  <c r="AU141" i="35"/>
  <c r="AT151" i="35"/>
  <c r="AT155" i="35"/>
  <c r="AR203" i="35"/>
  <c r="AS226" i="35"/>
  <c r="AK242" i="35"/>
  <c r="AT284" i="35"/>
  <c r="AT314" i="35"/>
  <c r="AR341" i="35"/>
  <c r="AU355" i="35"/>
  <c r="AK418" i="35"/>
  <c r="AT422" i="35"/>
  <c r="AT423" i="35"/>
  <c r="AS83" i="36"/>
  <c r="AT117" i="36"/>
  <c r="AU134" i="36"/>
  <c r="AU135" i="36"/>
  <c r="AT227" i="36"/>
  <c r="AT228" i="36"/>
  <c r="AK238" i="36"/>
  <c r="AS254" i="36"/>
  <c r="AK267" i="36"/>
  <c r="AS288" i="36"/>
  <c r="AU290" i="36"/>
  <c r="AR299" i="36"/>
  <c r="Y302" i="36"/>
  <c r="AK322" i="36"/>
  <c r="AU328" i="36"/>
  <c r="Z333" i="36"/>
  <c r="AK335" i="36"/>
  <c r="AT339" i="36"/>
  <c r="AU347" i="36"/>
  <c r="AK363" i="36"/>
  <c r="AT378" i="36"/>
  <c r="AR392" i="36"/>
  <c r="AT401" i="36"/>
  <c r="AK404" i="36"/>
  <c r="AK405" i="36"/>
  <c r="Y410" i="36"/>
  <c r="AU123" i="34"/>
  <c r="AR186" i="34"/>
  <c r="AJ288" i="34"/>
  <c r="AK288" i="34" s="1"/>
  <c r="N12" i="34" s="1"/>
  <c r="AT297" i="34"/>
  <c r="AK302" i="34"/>
  <c r="AS313" i="34"/>
  <c r="AT331" i="34"/>
  <c r="AT363" i="34"/>
  <c r="AK380" i="34"/>
  <c r="AK387" i="34"/>
  <c r="AS396" i="34"/>
  <c r="AS84" i="35"/>
  <c r="AR100" i="35"/>
  <c r="AU155" i="35"/>
  <c r="AU182" i="35"/>
  <c r="AS203" i="35"/>
  <c r="AR220" i="35"/>
  <c r="AT226" i="35"/>
  <c r="AS341" i="35"/>
  <c r="AS396" i="35"/>
  <c r="AR415" i="35"/>
  <c r="AR133" i="36"/>
  <c r="AT164" i="36"/>
  <c r="AT169" i="36"/>
  <c r="AR176" i="36"/>
  <c r="AS177" i="36"/>
  <c r="AS222" i="36"/>
  <c r="AS244" i="36"/>
  <c r="AU254" i="36"/>
  <c r="AR264" i="36"/>
  <c r="AS270" i="36"/>
  <c r="AT277" i="36"/>
  <c r="AT288" i="36"/>
  <c r="AS299" i="36"/>
  <c r="AK343" i="36"/>
  <c r="AK358" i="36"/>
  <c r="AU368" i="36"/>
  <c r="AK371" i="36"/>
  <c r="AU378" i="36"/>
  <c r="Z428" i="36"/>
  <c r="AS219" i="34"/>
  <c r="AK254" i="34"/>
  <c r="AU270" i="34"/>
  <c r="AK279" i="34"/>
  <c r="AU297" i="34"/>
  <c r="AK300" i="34"/>
  <c r="AT309" i="34"/>
  <c r="AT313" i="34"/>
  <c r="AU331" i="34"/>
  <c r="Y337" i="34"/>
  <c r="AK340" i="34"/>
  <c r="AK349" i="34"/>
  <c r="AU363" i="34"/>
  <c r="Y366" i="34"/>
  <c r="AR373" i="34"/>
  <c r="Y376" i="34"/>
  <c r="Y393" i="34"/>
  <c r="AT396" i="34"/>
  <c r="Y407" i="34"/>
  <c r="AR413" i="34"/>
  <c r="AT84" i="35"/>
  <c r="AS100" i="35"/>
  <c r="AK103" i="35"/>
  <c r="AS114" i="35"/>
  <c r="AS117" i="35"/>
  <c r="AT203" i="35"/>
  <c r="AT302" i="35"/>
  <c r="AU341" i="35"/>
  <c r="AU379" i="35"/>
  <c r="AK390" i="35"/>
  <c r="AM403" i="35"/>
  <c r="AU133" i="36"/>
  <c r="AK171" i="36"/>
  <c r="AS176" i="36"/>
  <c r="AU177" i="36"/>
  <c r="AK205" i="36"/>
  <c r="AU209" i="36"/>
  <c r="AK231" i="36"/>
  <c r="AT235" i="36"/>
  <c r="AT244" i="36"/>
  <c r="AT264" i="36"/>
  <c r="AK279" i="36"/>
  <c r="AU288" i="36"/>
  <c r="AU298" i="36"/>
  <c r="AK304" i="36"/>
  <c r="AK333" i="36"/>
  <c r="AR345" i="36"/>
  <c r="AK389" i="36"/>
  <c r="AR396" i="36"/>
  <c r="AS407" i="36"/>
  <c r="Z409" i="36"/>
  <c r="AK411" i="36"/>
  <c r="AK419" i="36"/>
  <c r="AK106" i="34"/>
  <c r="AR155" i="34"/>
  <c r="AS158" i="34"/>
  <c r="AS194" i="34"/>
  <c r="AT219" i="34"/>
  <c r="AK264" i="34"/>
  <c r="AK335" i="34"/>
  <c r="AS373" i="34"/>
  <c r="AU396" i="34"/>
  <c r="AS413" i="34"/>
  <c r="AT424" i="34"/>
  <c r="AR425" i="34"/>
  <c r="AU114" i="35"/>
  <c r="AT117" i="35"/>
  <c r="AU135" i="35"/>
  <c r="AU146" i="35"/>
  <c r="AK163" i="35"/>
  <c r="AK164" i="35"/>
  <c r="AR186" i="35"/>
  <c r="AT220" i="35"/>
  <c r="AK240" i="35"/>
  <c r="AS244" i="35"/>
  <c r="AK263" i="35"/>
  <c r="AS268" i="35"/>
  <c r="AT270" i="35"/>
  <c r="AS271" i="35"/>
  <c r="AS272" i="35"/>
  <c r="AS282" i="35"/>
  <c r="AT327" i="35"/>
  <c r="AT378" i="35"/>
  <c r="AR413" i="35"/>
  <c r="AK302" i="36"/>
  <c r="AK428" i="36"/>
  <c r="AU219" i="34"/>
  <c r="AK299" i="34"/>
  <c r="AK346" i="34"/>
  <c r="AK416" i="34"/>
  <c r="AK428" i="34"/>
  <c r="AK429" i="34"/>
  <c r="AK430" i="34"/>
  <c r="B6" i="35" a="1"/>
  <c r="B6" i="35" s="1"/>
  <c r="A1" i="35" s="1"/>
  <c r="AK181" i="35"/>
  <c r="AT186" i="35"/>
  <c r="AK205" i="35"/>
  <c r="AU244" i="35"/>
  <c r="AK247" i="35"/>
  <c r="AS260" i="35"/>
  <c r="AU270" i="35"/>
  <c r="AT271" i="35"/>
  <c r="AR329" i="35"/>
  <c r="AR339" i="35"/>
  <c r="AK356" i="35"/>
  <c r="AU378" i="35"/>
  <c r="Y394" i="35"/>
  <c r="AS413" i="35"/>
  <c r="AL123" i="36"/>
  <c r="AK199" i="36"/>
  <c r="AK204" i="36"/>
  <c r="AU208" i="36"/>
  <c r="AR216" i="36"/>
  <c r="AS224" i="36"/>
  <c r="AK227" i="36"/>
  <c r="AK228" i="36"/>
  <c r="AK229" i="36"/>
  <c r="AU284" i="36"/>
  <c r="AK291" i="36"/>
  <c r="AR296" i="36"/>
  <c r="AK301" i="36"/>
  <c r="AK329" i="36"/>
  <c r="AK370" i="36"/>
  <c r="AT374" i="36"/>
  <c r="Z400" i="36"/>
  <c r="AK401" i="36"/>
  <c r="AK409" i="36"/>
  <c r="AK115" i="34"/>
  <c r="AK139" i="34"/>
  <c r="AU145" i="34"/>
  <c r="AR169" i="34"/>
  <c r="AR200" i="34"/>
  <c r="AU240" i="34"/>
  <c r="AK284" i="34"/>
  <c r="Y364" i="34"/>
  <c r="AK156" i="35"/>
  <c r="AU186" i="35"/>
  <c r="AT339" i="35"/>
  <c r="AM259" i="35"/>
  <c r="I29" i="35" s="1" a="1"/>
  <c r="I29" i="35" s="1"/>
  <c r="AR96" i="35"/>
  <c r="AS104" i="35"/>
  <c r="AS119" i="35"/>
  <c r="AU133" i="35"/>
  <c r="Z161" i="35"/>
  <c r="AR166" i="35"/>
  <c r="AS248" i="35"/>
  <c r="AT280" i="35"/>
  <c r="AR291" i="35"/>
  <c r="AT294" i="35"/>
  <c r="AS324" i="35"/>
  <c r="AK354" i="35"/>
  <c r="AR384" i="35"/>
  <c r="AS403" i="35"/>
  <c r="AT95" i="36"/>
  <c r="AJ128" i="36"/>
  <c r="AK128" i="36" s="1"/>
  <c r="AT160" i="36"/>
  <c r="AS180" i="36"/>
  <c r="AK197" i="36"/>
  <c r="AT282" i="36"/>
  <c r="AS294" i="36"/>
  <c r="AS306" i="36"/>
  <c r="AS316" i="36"/>
  <c r="Y325" i="36"/>
  <c r="AT352" i="36"/>
  <c r="AS423" i="36"/>
  <c r="AK195" i="34"/>
  <c r="AT250" i="34"/>
  <c r="AT258" i="34"/>
  <c r="AS266" i="34"/>
  <c r="AK309" i="34"/>
  <c r="AK358" i="34"/>
  <c r="AK373" i="34"/>
  <c r="AK413" i="34"/>
  <c r="AS96" i="35"/>
  <c r="AU166" i="35"/>
  <c r="AT248" i="35"/>
  <c r="AU280" i="35"/>
  <c r="AS291" i="35"/>
  <c r="AU294" i="35"/>
  <c r="AU324" i="35"/>
  <c r="AK428" i="35"/>
  <c r="AK235" i="36"/>
  <c r="AU282" i="36"/>
  <c r="AT294" i="36"/>
  <c r="AK298" i="36"/>
  <c r="AU306" i="36"/>
  <c r="AU316" i="36"/>
  <c r="AK320" i="36"/>
  <c r="AK346" i="36"/>
  <c r="AK347" i="36"/>
  <c r="AK355" i="36"/>
  <c r="AK378" i="36"/>
  <c r="AK385" i="36"/>
  <c r="AK402" i="36"/>
  <c r="AK415" i="36"/>
  <c r="AU210" i="34"/>
  <c r="AR224" i="34"/>
  <c r="AS231" i="34"/>
  <c r="AU250" i="34"/>
  <c r="AU258" i="34"/>
  <c r="AK261" i="34"/>
  <c r="AT266" i="34"/>
  <c r="Z275" i="34"/>
  <c r="AK298" i="34"/>
  <c r="Y329" i="34"/>
  <c r="AT339" i="34"/>
  <c r="AK343" i="34"/>
  <c r="Z372" i="34"/>
  <c r="AK375" i="34"/>
  <c r="AS386" i="34"/>
  <c r="Y389" i="34"/>
  <c r="AK404" i="34"/>
  <c r="AK406" i="34"/>
  <c r="AK424" i="34"/>
  <c r="AK426" i="34"/>
  <c r="AT95" i="35"/>
  <c r="AT96" i="35"/>
  <c r="AU132" i="35"/>
  <c r="AS145" i="35"/>
  <c r="AU207" i="35"/>
  <c r="AS229" i="35"/>
  <c r="AK238" i="35"/>
  <c r="AU248" i="35"/>
  <c r="AT278" i="35"/>
  <c r="AT279" i="35"/>
  <c r="AT291" i="35"/>
  <c r="AT299" i="35"/>
  <c r="Z347" i="35"/>
  <c r="AR371" i="35"/>
  <c r="AJ373" i="35"/>
  <c r="AK373" i="35" s="1"/>
  <c r="AK413" i="35"/>
  <c r="AT75" i="36"/>
  <c r="AT85" i="36"/>
  <c r="AS118" i="36"/>
  <c r="AR129" i="36"/>
  <c r="AS172" i="36"/>
  <c r="AS218" i="36"/>
  <c r="AR240" i="36"/>
  <c r="AS260" i="36"/>
  <c r="AR280" i="36"/>
  <c r="AK299" i="36"/>
  <c r="AR314" i="36"/>
  <c r="AK361" i="36"/>
  <c r="AK375" i="36"/>
  <c r="AK384" i="36"/>
  <c r="AK392" i="36"/>
  <c r="AK397" i="36"/>
  <c r="Z406" i="36"/>
  <c r="AS411" i="36"/>
  <c r="AT421" i="36"/>
  <c r="AK425" i="36"/>
  <c r="AS224" i="34"/>
  <c r="AT231" i="34"/>
  <c r="AK240" i="34"/>
  <c r="AR256" i="34"/>
  <c r="AK269" i="34"/>
  <c r="Z289" i="34"/>
  <c r="AK290" i="34"/>
  <c r="AK333" i="34"/>
  <c r="AU339" i="34"/>
  <c r="AK345" i="34"/>
  <c r="AS348" i="34"/>
  <c r="AK357" i="34"/>
  <c r="Y371" i="34"/>
  <c r="AK383" i="34"/>
  <c r="AU386" i="34"/>
  <c r="AU145" i="35"/>
  <c r="AT229" i="35"/>
  <c r="AM261" i="35"/>
  <c r="I31" i="35" s="1" a="1"/>
  <c r="I31" i="35" s="1"/>
  <c r="AU278" i="35"/>
  <c r="AK353" i="35"/>
  <c r="AU371" i="35"/>
  <c r="AK414" i="35"/>
  <c r="AU85" i="36"/>
  <c r="AT118" i="36"/>
  <c r="AT129" i="36"/>
  <c r="AT172" i="36"/>
  <c r="AT240" i="36"/>
  <c r="AU260" i="36"/>
  <c r="AS280" i="36"/>
  <c r="AK289" i="36"/>
  <c r="AS314" i="36"/>
  <c r="AK337" i="36"/>
  <c r="AU421" i="36"/>
  <c r="AU352" i="33"/>
  <c r="AT352" i="33"/>
  <c r="AS352" i="33"/>
  <c r="AR352" i="33"/>
  <c r="AT116" i="33"/>
  <c r="AU116" i="33"/>
  <c r="AR148" i="33"/>
  <c r="AU148" i="33"/>
  <c r="AT148" i="33"/>
  <c r="AS148" i="33"/>
  <c r="AU207" i="33"/>
  <c r="AT207" i="33"/>
  <c r="AS207" i="33"/>
  <c r="AR207" i="33"/>
  <c r="AU425" i="33"/>
  <c r="AT425" i="33"/>
  <c r="AS425" i="33"/>
  <c r="AR425" i="33"/>
  <c r="AK99" i="33"/>
  <c r="AS204" i="33"/>
  <c r="AU204" i="33"/>
  <c r="AT204" i="33"/>
  <c r="AS391" i="33"/>
  <c r="AU391" i="33"/>
  <c r="AT391" i="33"/>
  <c r="AR391" i="33"/>
  <c r="AU424" i="33"/>
  <c r="AT424" i="33"/>
  <c r="AS424" i="33"/>
  <c r="AR424" i="33"/>
  <c r="AU190" i="33"/>
  <c r="AS190" i="33"/>
  <c r="AR190" i="33"/>
  <c r="AS422" i="33"/>
  <c r="AR422" i="33"/>
  <c r="AT389" i="33"/>
  <c r="AU389" i="33"/>
  <c r="AS389" i="33"/>
  <c r="AR389" i="33"/>
  <c r="AT88" i="33"/>
  <c r="AU88" i="33"/>
  <c r="AU297" i="33"/>
  <c r="AR297" i="33"/>
  <c r="AU245" i="33"/>
  <c r="AT245" i="33"/>
  <c r="AS245" i="33"/>
  <c r="AR245" i="33"/>
  <c r="Z419" i="33"/>
  <c r="Y419" i="33"/>
  <c r="AR152" i="33"/>
  <c r="AU152" i="33"/>
  <c r="AT152" i="33"/>
  <c r="AS152" i="33"/>
  <c r="AR296" i="33"/>
  <c r="AU296" i="33"/>
  <c r="AT296" i="33"/>
  <c r="AS296" i="33"/>
  <c r="AS354" i="33"/>
  <c r="AR354" i="33"/>
  <c r="AU252" i="33"/>
  <c r="AT252" i="33"/>
  <c r="AS252" i="33"/>
  <c r="AR252" i="33"/>
  <c r="AS105" i="33"/>
  <c r="AU105" i="33"/>
  <c r="AT105" i="33"/>
  <c r="AT379" i="33"/>
  <c r="AU379" i="33"/>
  <c r="AS379" i="33"/>
  <c r="AR379" i="33"/>
  <c r="AT399" i="33"/>
  <c r="AU399" i="33"/>
  <c r="AS399" i="33"/>
  <c r="AR399" i="33"/>
  <c r="AR110" i="33"/>
  <c r="AT198" i="33"/>
  <c r="AU218" i="33"/>
  <c r="AT221" i="33"/>
  <c r="AR247" i="33"/>
  <c r="AT250" i="33"/>
  <c r="AT258" i="33"/>
  <c r="AK260" i="33"/>
  <c r="AR266" i="33"/>
  <c r="AT269" i="33"/>
  <c r="AT272" i="33"/>
  <c r="AT318" i="33"/>
  <c r="AT76" i="34"/>
  <c r="AR197" i="34"/>
  <c r="AT197" i="34"/>
  <c r="AR198" i="34"/>
  <c r="AK206" i="34"/>
  <c r="AU238" i="34"/>
  <c r="Z369" i="34"/>
  <c r="Y369" i="34"/>
  <c r="Z370" i="34"/>
  <c r="Y370" i="34"/>
  <c r="Z406" i="34"/>
  <c r="Y406" i="34"/>
  <c r="AL193" i="36"/>
  <c r="AI193" i="36"/>
  <c r="AS252" i="36"/>
  <c r="AR252" i="36"/>
  <c r="B6" i="33" a="1"/>
  <c r="B6" i="33" s="1"/>
  <c r="A1" i="33" s="1"/>
  <c r="AI75" i="33"/>
  <c r="AK138" i="33"/>
  <c r="AU73" i="33"/>
  <c r="AU141" i="33"/>
  <c r="AT184" i="33"/>
  <c r="AU198" i="33"/>
  <c r="Z379" i="34"/>
  <c r="Y379" i="34"/>
  <c r="AR176" i="35"/>
  <c r="AU176" i="35"/>
  <c r="AT176" i="35"/>
  <c r="AS176" i="35"/>
  <c r="AL186" i="35"/>
  <c r="AJ186" i="35"/>
  <c r="AK186" i="35" s="1"/>
  <c r="AI186" i="35"/>
  <c r="AT216" i="35"/>
  <c r="AS216" i="35"/>
  <c r="AR216" i="35"/>
  <c r="AS101" i="33"/>
  <c r="AR82" i="33"/>
  <c r="AU140" i="33"/>
  <c r="AU250" i="33"/>
  <c r="AU258" i="33"/>
  <c r="AL75" i="33"/>
  <c r="AR76" i="33"/>
  <c r="AS79" i="33"/>
  <c r="AS82" i="33"/>
  <c r="AS99" i="33"/>
  <c r="AU101" i="33"/>
  <c r="AR127" i="33"/>
  <c r="AS128" i="33"/>
  <c r="AR129" i="33"/>
  <c r="AL149" i="33"/>
  <c r="AU158" i="33"/>
  <c r="AT159" i="33"/>
  <c r="AR187" i="33"/>
  <c r="AT247" i="33"/>
  <c r="AS257" i="33"/>
  <c r="AT266" i="33"/>
  <c r="AS267" i="33"/>
  <c r="AT292" i="33"/>
  <c r="AM302" i="33"/>
  <c r="AU304" i="33"/>
  <c r="AR313" i="33"/>
  <c r="AS314" i="33"/>
  <c r="AU316" i="33"/>
  <c r="AT328" i="33"/>
  <c r="AU337" i="33"/>
  <c r="AR357" i="33"/>
  <c r="AT361" i="33"/>
  <c r="AR372" i="33"/>
  <c r="AR373" i="33"/>
  <c r="AT385" i="33"/>
  <c r="Y403" i="33"/>
  <c r="AU404" i="33"/>
  <c r="AS405" i="33"/>
  <c r="AT407" i="33"/>
  <c r="AR409" i="33"/>
  <c r="AS415" i="33"/>
  <c r="AK426" i="33"/>
  <c r="AK428" i="33"/>
  <c r="AU73" i="34"/>
  <c r="AS92" i="34"/>
  <c r="AR93" i="34"/>
  <c r="AS94" i="34"/>
  <c r="AU96" i="34"/>
  <c r="AU110" i="34"/>
  <c r="AR114" i="34"/>
  <c r="AU116" i="34"/>
  <c r="AU118" i="34"/>
  <c r="AR139" i="34"/>
  <c r="AS141" i="34"/>
  <c r="AR157" i="34"/>
  <c r="AT172" i="34"/>
  <c r="AS196" i="34"/>
  <c r="AU197" i="34"/>
  <c r="AR236" i="34"/>
  <c r="AU236" i="34"/>
  <c r="AT236" i="34"/>
  <c r="Z255" i="34"/>
  <c r="Y257" i="34"/>
  <c r="Y258" i="34"/>
  <c r="Z273" i="34"/>
  <c r="Y273" i="34"/>
  <c r="Z315" i="34"/>
  <c r="Y345" i="34"/>
  <c r="AR365" i="34"/>
  <c r="AU366" i="34"/>
  <c r="Z368" i="34"/>
  <c r="Y368" i="34"/>
  <c r="AT411" i="34"/>
  <c r="AS411" i="34"/>
  <c r="AM186" i="35"/>
  <c r="AU216" i="35"/>
  <c r="AT113" i="33"/>
  <c r="AR101" i="33"/>
  <c r="AU221" i="33"/>
  <c r="AS247" i="33"/>
  <c r="AS266" i="33"/>
  <c r="I42" i="33" a="1"/>
  <c r="I42" i="33" s="1"/>
  <c r="AS76" i="33"/>
  <c r="AT82" i="33"/>
  <c r="AT99" i="33"/>
  <c r="AT121" i="33"/>
  <c r="AR124" i="33"/>
  <c r="AT128" i="33"/>
  <c r="AS129" i="33"/>
  <c r="AU130" i="33"/>
  <c r="AM149" i="33"/>
  <c r="AU159" i="33"/>
  <c r="AR180" i="33"/>
  <c r="AS187" i="33"/>
  <c r="AR194" i="33"/>
  <c r="AR246" i="33"/>
  <c r="AT257" i="33"/>
  <c r="AU267" i="33"/>
  <c r="AU292" i="33"/>
  <c r="AT314" i="33"/>
  <c r="AK320" i="33"/>
  <c r="AU328" i="33"/>
  <c r="AR333" i="33"/>
  <c r="AS357" i="33"/>
  <c r="AR360" i="33"/>
  <c r="AS372" i="33"/>
  <c r="AS373" i="33"/>
  <c r="AK377" i="33"/>
  <c r="AT405" i="33"/>
  <c r="AS409" i="33"/>
  <c r="AR410" i="33"/>
  <c r="AR413" i="33"/>
  <c r="AT415" i="33"/>
  <c r="AR416" i="33"/>
  <c r="AT92" i="34"/>
  <c r="AT94" i="34"/>
  <c r="AS114" i="34"/>
  <c r="AS139" i="34"/>
  <c r="AS140" i="34"/>
  <c r="AS157" i="34"/>
  <c r="AR163" i="34"/>
  <c r="AS170" i="34"/>
  <c r="AU172" i="34"/>
  <c r="AU196" i="34"/>
  <c r="AS236" i="34"/>
  <c r="AS247" i="34"/>
  <c r="Y253" i="34"/>
  <c r="AR278" i="34"/>
  <c r="Y281" i="34"/>
  <c r="Y341" i="34"/>
  <c r="AU393" i="34"/>
  <c r="AS393" i="34"/>
  <c r="AR393" i="34"/>
  <c r="Y404" i="34"/>
  <c r="Y430" i="34"/>
  <c r="AL127" i="36"/>
  <c r="AJ127" i="36"/>
  <c r="AK127" i="36" s="1"/>
  <c r="AR159" i="33"/>
  <c r="AS333" i="33"/>
  <c r="AT336" i="33"/>
  <c r="AT357" i="33"/>
  <c r="AS360" i="33"/>
  <c r="AT372" i="33"/>
  <c r="AT373" i="33"/>
  <c r="AK400" i="33"/>
  <c r="AK401" i="33"/>
  <c r="AK403" i="33"/>
  <c r="Y409" i="33"/>
  <c r="AT409" i="33"/>
  <c r="AR411" i="33"/>
  <c r="AS413" i="33"/>
  <c r="AS416" i="33"/>
  <c r="AR418" i="33"/>
  <c r="AR419" i="33"/>
  <c r="AK81" i="34"/>
  <c r="AR90" i="34"/>
  <c r="AK99" i="34"/>
  <c r="AS106" i="34"/>
  <c r="AT114" i="34"/>
  <c r="AT139" i="34"/>
  <c r="AU140" i="34"/>
  <c r="AU157" i="34"/>
  <c r="AT163" i="34"/>
  <c r="AT170" i="34"/>
  <c r="AS177" i="34"/>
  <c r="AR210" i="34"/>
  <c r="AK257" i="34"/>
  <c r="Y259" i="34"/>
  <c r="AK262" i="34"/>
  <c r="AS278" i="34"/>
  <c r="AS288" i="34"/>
  <c r="AR300" i="34"/>
  <c r="AR302" i="34"/>
  <c r="AU361" i="34"/>
  <c r="AR361" i="34"/>
  <c r="Z385" i="34"/>
  <c r="Y385" i="34"/>
  <c r="AT393" i="34"/>
  <c r="Y402" i="34"/>
  <c r="AK405" i="34"/>
  <c r="AS73" i="35"/>
  <c r="AU73" i="35"/>
  <c r="AT73" i="35"/>
  <c r="AS175" i="35"/>
  <c r="AU175" i="35"/>
  <c r="AT175" i="35"/>
  <c r="AR175" i="35"/>
  <c r="AR184" i="35"/>
  <c r="AU184" i="35"/>
  <c r="AT184" i="35"/>
  <c r="AS184" i="35"/>
  <c r="AS370" i="35"/>
  <c r="AR370" i="35"/>
  <c r="AU110" i="33"/>
  <c r="AL150" i="33"/>
  <c r="Y153" i="33"/>
  <c r="AR99" i="33"/>
  <c r="AM150" i="33"/>
  <c r="AK104" i="33"/>
  <c r="AT129" i="33"/>
  <c r="AT187" i="33"/>
  <c r="AK84" i="33"/>
  <c r="AK101" i="33"/>
  <c r="AU117" i="33"/>
  <c r="AT124" i="33"/>
  <c r="AJ148" i="33"/>
  <c r="AK148" i="33" s="1"/>
  <c r="AS156" i="33"/>
  <c r="AS165" i="33"/>
  <c r="AT174" i="33"/>
  <c r="AT180" i="33"/>
  <c r="AL182" i="33"/>
  <c r="AR186" i="33"/>
  <c r="AT194" i="33"/>
  <c r="AS195" i="33"/>
  <c r="AR229" i="33"/>
  <c r="AR230" i="33"/>
  <c r="AT246" i="33"/>
  <c r="AS303" i="33"/>
  <c r="AS311" i="33"/>
  <c r="AU325" i="33"/>
  <c r="AU333" i="33"/>
  <c r="AU336" i="33"/>
  <c r="AT360" i="33"/>
  <c r="AR367" i="33"/>
  <c r="AK404" i="33"/>
  <c r="AS411" i="33"/>
  <c r="AT413" i="33"/>
  <c r="AT416" i="33"/>
  <c r="AS419" i="33"/>
  <c r="AT106" i="34"/>
  <c r="AU163" i="34"/>
  <c r="AU170" i="34"/>
  <c r="AU177" i="34"/>
  <c r="AS210" i="34"/>
  <c r="AK253" i="34"/>
  <c r="AK258" i="34"/>
  <c r="AK275" i="34"/>
  <c r="AT278" i="34"/>
  <c r="AK281" i="34"/>
  <c r="AK282" i="34"/>
  <c r="AT288" i="34"/>
  <c r="AT289" i="34"/>
  <c r="AS289" i="34"/>
  <c r="AS302" i="34"/>
  <c r="AJ360" i="34"/>
  <c r="AK360" i="34" s="1"/>
  <c r="N14" i="34" s="1"/>
  <c r="AL360" i="34"/>
  <c r="O14" i="34" s="1"/>
  <c r="AI360" i="34"/>
  <c r="AR374" i="34"/>
  <c r="AU374" i="34"/>
  <c r="AT374" i="34"/>
  <c r="AS110" i="33"/>
  <c r="AR128" i="33"/>
  <c r="AT131" i="33"/>
  <c r="AU76" i="33"/>
  <c r="AK225" i="33"/>
  <c r="AT78" i="33"/>
  <c r="AK102" i="33"/>
  <c r="AL148" i="33"/>
  <c r="AT156" i="33"/>
  <c r="Z160" i="33"/>
  <c r="AU174" i="33"/>
  <c r="AM182" i="33"/>
  <c r="AS186" i="33"/>
  <c r="AT195" i="33"/>
  <c r="AS229" i="33"/>
  <c r="AS230" i="33"/>
  <c r="AT311" i="33"/>
  <c r="AK350" i="33"/>
  <c r="AK375" i="33"/>
  <c r="AT78" i="34"/>
  <c r="AU89" i="34"/>
  <c r="AU106" i="34"/>
  <c r="AR125" i="34"/>
  <c r="AU126" i="34"/>
  <c r="AR147" i="34"/>
  <c r="AU245" i="34"/>
  <c r="AK256" i="34"/>
  <c r="AU288" i="34"/>
  <c r="AR289" i="34"/>
  <c r="AU299" i="34"/>
  <c r="AU302" i="34"/>
  <c r="AK314" i="34"/>
  <c r="AT336" i="34"/>
  <c r="AT361" i="34"/>
  <c r="Y363" i="34"/>
  <c r="AS374" i="34"/>
  <c r="AK412" i="34"/>
  <c r="Y426" i="34"/>
  <c r="AU75" i="35"/>
  <c r="AT75" i="35"/>
  <c r="AM150" i="35"/>
  <c r="AK172" i="34"/>
  <c r="AS182" i="34"/>
  <c r="AR182" i="34"/>
  <c r="AK229" i="34"/>
  <c r="Z384" i="34"/>
  <c r="Y384" i="34"/>
  <c r="AT397" i="34"/>
  <c r="AS397" i="34"/>
  <c r="AT409" i="34"/>
  <c r="AS409" i="34"/>
  <c r="AR409" i="34"/>
  <c r="AT307" i="35"/>
  <c r="AS307" i="35"/>
  <c r="AR307" i="35"/>
  <c r="AU386" i="35"/>
  <c r="AT386" i="35"/>
  <c r="AS386" i="35"/>
  <c r="AR386" i="35"/>
  <c r="AM293" i="33"/>
  <c r="AR152" i="34"/>
  <c r="AR159" i="34"/>
  <c r="AT182" i="34"/>
  <c r="AU185" i="34"/>
  <c r="AL220" i="34"/>
  <c r="AR243" i="34"/>
  <c r="Z271" i="34"/>
  <c r="Y271" i="34"/>
  <c r="Z279" i="34"/>
  <c r="Y279" i="34"/>
  <c r="AR295" i="34"/>
  <c r="Y304" i="34"/>
  <c r="Y308" i="34"/>
  <c r="Y392" i="34"/>
  <c r="Z392" i="34"/>
  <c r="AR397" i="34"/>
  <c r="AU409" i="34"/>
  <c r="AU82" i="35"/>
  <c r="AT82" i="35"/>
  <c r="AS82" i="35"/>
  <c r="AR82" i="35"/>
  <c r="AL150" i="35"/>
  <c r="AJ150" i="35"/>
  <c r="AK150" i="35" s="1"/>
  <c r="AI150" i="35"/>
  <c r="AU307" i="35"/>
  <c r="AM261" i="33"/>
  <c r="AS152" i="34"/>
  <c r="AT159" i="34"/>
  <c r="AU182" i="34"/>
  <c r="AT243" i="34"/>
  <c r="AS286" i="34"/>
  <c r="AR286" i="34"/>
  <c r="AU295" i="34"/>
  <c r="Y297" i="34"/>
  <c r="AK301" i="34"/>
  <c r="AK306" i="34"/>
  <c r="AK307" i="34"/>
  <c r="AK338" i="34"/>
  <c r="Y356" i="34"/>
  <c r="AU381" i="34"/>
  <c r="AS381" i="34"/>
  <c r="AR381" i="34"/>
  <c r="AU397" i="34"/>
  <c r="Y399" i="34"/>
  <c r="Z420" i="34"/>
  <c r="Y420" i="34"/>
  <c r="AU88" i="35"/>
  <c r="AS88" i="35"/>
  <c r="AR88" i="35"/>
  <c r="AS159" i="35"/>
  <c r="AU159" i="35"/>
  <c r="AS87" i="33"/>
  <c r="AK91" i="33"/>
  <c r="AU108" i="33"/>
  <c r="AS111" i="33"/>
  <c r="AK166" i="33"/>
  <c r="AK174" i="33"/>
  <c r="AS182" i="33"/>
  <c r="AM188" i="33"/>
  <c r="AT208" i="33"/>
  <c r="AS209" i="33"/>
  <c r="AS210" i="33"/>
  <c r="AR237" i="33"/>
  <c r="AR238" i="33"/>
  <c r="AS240" i="33"/>
  <c r="AT242" i="33"/>
  <c r="AS243" i="33"/>
  <c r="AK277" i="33"/>
  <c r="AM295" i="33"/>
  <c r="AK347" i="33"/>
  <c r="AK356" i="33"/>
  <c r="AU366" i="33"/>
  <c r="AS369" i="33"/>
  <c r="AS377" i="33"/>
  <c r="AR400" i="33"/>
  <c r="AK412" i="33"/>
  <c r="AK420" i="33"/>
  <c r="AR82" i="34"/>
  <c r="AT84" i="34"/>
  <c r="AS85" i="34"/>
  <c r="AK93" i="34"/>
  <c r="AS111" i="34"/>
  <c r="AT134" i="34"/>
  <c r="AR146" i="34"/>
  <c r="AU155" i="34"/>
  <c r="AR176" i="34"/>
  <c r="AU176" i="34"/>
  <c r="AR241" i="34"/>
  <c r="AR262" i="34"/>
  <c r="AR264" i="34"/>
  <c r="AR274" i="34"/>
  <c r="AT282" i="34"/>
  <c r="AS282" i="34"/>
  <c r="AU286" i="34"/>
  <c r="Y294" i="34"/>
  <c r="AK321" i="34"/>
  <c r="AS324" i="34"/>
  <c r="AU324" i="34"/>
  <c r="AU327" i="34"/>
  <c r="AS327" i="34"/>
  <c r="AR327" i="34"/>
  <c r="Y333" i="34"/>
  <c r="AK334" i="34"/>
  <c r="AK336" i="34"/>
  <c r="Y352" i="34"/>
  <c r="AK354" i="34"/>
  <c r="Z398" i="34"/>
  <c r="Y398" i="34"/>
  <c r="AS152" i="35"/>
  <c r="AU152" i="35"/>
  <c r="AT152" i="35"/>
  <c r="AJ324" i="34"/>
  <c r="AK324" i="34" s="1"/>
  <c r="N13" i="34" s="1"/>
  <c r="AI324" i="34"/>
  <c r="AS329" i="34"/>
  <c r="AU329" i="34"/>
  <c r="AT329" i="34"/>
  <c r="AR329" i="34"/>
  <c r="Z374" i="34"/>
  <c r="Y374" i="34"/>
  <c r="Z410" i="34"/>
  <c r="Y410" i="34"/>
  <c r="AR80" i="33"/>
  <c r="AT111" i="33"/>
  <c r="AR189" i="33"/>
  <c r="AT209" i="33"/>
  <c r="AK231" i="33"/>
  <c r="AS237" i="33"/>
  <c r="AS238" i="33"/>
  <c r="AM321" i="33"/>
  <c r="AS400" i="33"/>
  <c r="AK417" i="33"/>
  <c r="AK427" i="33"/>
  <c r="AS82" i="34"/>
  <c r="AU85" i="34"/>
  <c r="AK104" i="34"/>
  <c r="AT111" i="34"/>
  <c r="AK125" i="34"/>
  <c r="AK126" i="34"/>
  <c r="AU134" i="34"/>
  <c r="AS146" i="34"/>
  <c r="AU201" i="34"/>
  <c r="AS201" i="34"/>
  <c r="AS223" i="34"/>
  <c r="AT241" i="34"/>
  <c r="AU261" i="34"/>
  <c r="AT261" i="34"/>
  <c r="AS262" i="34"/>
  <c r="AT264" i="34"/>
  <c r="AS274" i="34"/>
  <c r="AK289" i="34"/>
  <c r="AK292" i="34"/>
  <c r="AK322" i="34"/>
  <c r="AR324" i="34"/>
  <c r="AT327" i="34"/>
  <c r="AK351" i="34"/>
  <c r="AT376" i="35"/>
  <c r="AS376" i="35"/>
  <c r="AR376" i="35"/>
  <c r="AT237" i="33"/>
  <c r="AT238" i="33"/>
  <c r="AK345" i="33"/>
  <c r="AK355" i="33"/>
  <c r="AT400" i="33"/>
  <c r="AK411" i="33"/>
  <c r="AK430" i="33"/>
  <c r="AT82" i="34"/>
  <c r="AU111" i="34"/>
  <c r="AT146" i="34"/>
  <c r="AU199" i="34"/>
  <c r="AT199" i="34"/>
  <c r="AT222" i="34"/>
  <c r="AU222" i="34"/>
  <c r="AU241" i="34"/>
  <c r="AU262" i="34"/>
  <c r="AU264" i="34"/>
  <c r="AT274" i="34"/>
  <c r="Y276" i="34"/>
  <c r="Z276" i="34"/>
  <c r="AK296" i="34"/>
  <c r="AT405" i="34"/>
  <c r="AS405" i="34"/>
  <c r="AR405" i="34"/>
  <c r="Z417" i="34"/>
  <c r="Y417" i="34"/>
  <c r="AT305" i="35"/>
  <c r="AU305" i="35"/>
  <c r="AS305" i="35"/>
  <c r="AR305" i="35"/>
  <c r="AK180" i="33"/>
  <c r="N9" i="33" s="1"/>
  <c r="AM298" i="33"/>
  <c r="AR318" i="33"/>
  <c r="AK352" i="33"/>
  <c r="AK389" i="33"/>
  <c r="Y400" i="33"/>
  <c r="AT401" i="33"/>
  <c r="AR402" i="33"/>
  <c r="AR403" i="33"/>
  <c r="AK422" i="33"/>
  <c r="AK424" i="33"/>
  <c r="AK425" i="33"/>
  <c r="AR76" i="34"/>
  <c r="AS121" i="34"/>
  <c r="AK124" i="34"/>
  <c r="AS129" i="34"/>
  <c r="AT131" i="34"/>
  <c r="AK137" i="34"/>
  <c r="AK168" i="34"/>
  <c r="AR181" i="34"/>
  <c r="AR199" i="34"/>
  <c r="AR222" i="34"/>
  <c r="AK234" i="34"/>
  <c r="AR238" i="34"/>
  <c r="AR249" i="34"/>
  <c r="AR257" i="34"/>
  <c r="Y267" i="34"/>
  <c r="AK295" i="34"/>
  <c r="AK320" i="34"/>
  <c r="Z381" i="34"/>
  <c r="Y381" i="34"/>
  <c r="AK397" i="34"/>
  <c r="AK408" i="34"/>
  <c r="AK409" i="34"/>
  <c r="AU76" i="35"/>
  <c r="AT76" i="35"/>
  <c r="AS76" i="35"/>
  <c r="AR76" i="35"/>
  <c r="AS177" i="35"/>
  <c r="AU177" i="35"/>
  <c r="AT177" i="35"/>
  <c r="AU349" i="33"/>
  <c r="AK360" i="33"/>
  <c r="N14" i="33" s="1"/>
  <c r="AU401" i="33"/>
  <c r="AU121" i="34"/>
  <c r="AU129" i="34"/>
  <c r="AU131" i="34"/>
  <c r="AT181" i="34"/>
  <c r="AS199" i="34"/>
  <c r="AT238" i="34"/>
  <c r="AU344" i="34"/>
  <c r="AK350" i="34"/>
  <c r="AU377" i="34"/>
  <c r="AT377" i="34"/>
  <c r="AU378" i="34"/>
  <c r="AR378" i="34"/>
  <c r="AU385" i="34"/>
  <c r="AS385" i="34"/>
  <c r="AR385" i="34"/>
  <c r="AR78" i="35"/>
  <c r="AU78" i="35"/>
  <c r="AT78" i="35"/>
  <c r="AK229" i="35"/>
  <c r="AR250" i="35"/>
  <c r="AT250" i="35"/>
  <c r="AR300" i="35"/>
  <c r="AT300" i="35"/>
  <c r="AS300" i="35"/>
  <c r="AR365" i="35"/>
  <c r="AU365" i="35"/>
  <c r="AT365" i="35"/>
  <c r="AK381" i="35"/>
  <c r="AU75" i="36"/>
  <c r="AM220" i="34"/>
  <c r="AK244" i="34"/>
  <c r="AK267" i="34"/>
  <c r="AK286" i="34"/>
  <c r="AM74" i="35"/>
  <c r="AT92" i="35"/>
  <c r="AT104" i="35"/>
  <c r="AR118" i="35"/>
  <c r="AT142" i="35"/>
  <c r="AM148" i="35"/>
  <c r="AT209" i="35"/>
  <c r="AT225" i="35"/>
  <c r="AU226" i="35"/>
  <c r="AS250" i="35"/>
  <c r="AU300" i="35"/>
  <c r="AR314" i="35"/>
  <c r="AU316" i="35"/>
  <c r="AU318" i="35"/>
  <c r="AS318" i="35"/>
  <c r="C42" i="36" a="1"/>
  <c r="C42" i="36" s="1"/>
  <c r="I42" i="36" a="1"/>
  <c r="I42" i="36" s="1"/>
  <c r="AM127" i="36"/>
  <c r="AT291" i="36"/>
  <c r="AS291" i="36"/>
  <c r="AR291" i="36"/>
  <c r="AU291" i="36"/>
  <c r="AR214" i="34"/>
  <c r="AR254" i="34"/>
  <c r="AR270" i="34"/>
  <c r="Y274" i="34"/>
  <c r="Y277" i="34"/>
  <c r="AK280" i="34"/>
  <c r="AM288" i="34"/>
  <c r="AK294" i="34"/>
  <c r="AK316" i="34"/>
  <c r="AK318" i="34"/>
  <c r="AK348" i="34"/>
  <c r="AK352" i="34"/>
  <c r="Z362" i="34"/>
  <c r="Y377" i="34"/>
  <c r="AT382" i="34"/>
  <c r="AR386" i="34"/>
  <c r="AR389" i="34"/>
  <c r="AU394" i="34"/>
  <c r="AK407" i="34"/>
  <c r="AK418" i="34"/>
  <c r="AK422" i="34"/>
  <c r="AR89" i="35"/>
  <c r="AR114" i="35"/>
  <c r="AS118" i="35"/>
  <c r="AR145" i="35"/>
  <c r="AT146" i="35"/>
  <c r="AR160" i="35"/>
  <c r="AU209" i="35"/>
  <c r="AU210" i="35"/>
  <c r="AK228" i="35"/>
  <c r="AU239" i="35"/>
  <c r="AU247" i="35"/>
  <c r="AS247" i="35"/>
  <c r="AU250" i="35"/>
  <c r="AR260" i="35"/>
  <c r="AU273" i="35"/>
  <c r="AS273" i="35"/>
  <c r="AS314" i="35"/>
  <c r="AR318" i="35"/>
  <c r="AK340" i="35"/>
  <c r="AR374" i="35"/>
  <c r="AK426" i="35"/>
  <c r="AS95" i="36"/>
  <c r="AU119" i="36"/>
  <c r="AT119" i="36"/>
  <c r="AS119" i="36"/>
  <c r="AR119" i="36"/>
  <c r="AU141" i="36"/>
  <c r="AT141" i="36"/>
  <c r="AR141" i="36"/>
  <c r="Z292" i="36"/>
  <c r="Y292" i="36"/>
  <c r="AT194" i="34"/>
  <c r="AU214" i="34"/>
  <c r="AT226" i="34"/>
  <c r="AK277" i="34"/>
  <c r="AK278" i="34"/>
  <c r="AK308" i="34"/>
  <c r="AT325" i="34"/>
  <c r="AK344" i="34"/>
  <c r="AU387" i="34"/>
  <c r="AK398" i="34"/>
  <c r="AK410" i="34"/>
  <c r="AK427" i="34"/>
  <c r="B7" i="35" a="1"/>
  <c r="B7" i="35" s="1"/>
  <c r="D28" i="35" a="1"/>
  <c r="D28" i="35" s="1"/>
  <c r="AU90" i="35"/>
  <c r="AS103" i="35"/>
  <c r="AT160" i="35"/>
  <c r="AR246" i="35"/>
  <c r="AT246" i="35"/>
  <c r="AT247" i="35"/>
  <c r="AT273" i="35"/>
  <c r="AK417" i="35"/>
  <c r="AU92" i="36"/>
  <c r="AT93" i="36"/>
  <c r="AU95" i="36"/>
  <c r="Y303" i="36"/>
  <c r="Z303" i="36"/>
  <c r="AU310" i="36"/>
  <c r="AT310" i="36"/>
  <c r="AS310" i="36"/>
  <c r="AR310" i="36"/>
  <c r="AU245" i="35"/>
  <c r="AS245" i="35"/>
  <c r="AU383" i="35"/>
  <c r="AT383" i="35"/>
  <c r="AR383" i="35"/>
  <c r="AT121" i="36"/>
  <c r="AS121" i="36"/>
  <c r="AR121" i="36"/>
  <c r="Z218" i="36"/>
  <c r="Y218" i="36"/>
  <c r="AR357" i="34"/>
  <c r="AK365" i="34"/>
  <c r="AK374" i="34"/>
  <c r="AK376" i="34"/>
  <c r="Z391" i="34"/>
  <c r="AK414" i="34"/>
  <c r="AM73" i="35"/>
  <c r="AR74" i="35"/>
  <c r="AK93" i="35"/>
  <c r="AS101" i="35"/>
  <c r="AR116" i="35"/>
  <c r="AR123" i="35"/>
  <c r="AR157" i="35"/>
  <c r="AR191" i="35"/>
  <c r="Z194" i="35"/>
  <c r="AK212" i="35"/>
  <c r="AT218" i="35"/>
  <c r="AR245" i="35"/>
  <c r="AU266" i="35"/>
  <c r="AT266" i="35"/>
  <c r="AR266" i="35"/>
  <c r="AR282" i="35"/>
  <c r="AS362" i="35"/>
  <c r="AU362" i="35"/>
  <c r="AT362" i="35"/>
  <c r="AJ367" i="35"/>
  <c r="AK367" i="35" s="1"/>
  <c r="AR411" i="35"/>
  <c r="AU151" i="36"/>
  <c r="Y290" i="36"/>
  <c r="Z290" i="36"/>
  <c r="AM324" i="36"/>
  <c r="AI324" i="36"/>
  <c r="Z328" i="34"/>
  <c r="Z331" i="34"/>
  <c r="AR332" i="34"/>
  <c r="AK370" i="34"/>
  <c r="AK378" i="34"/>
  <c r="AK381" i="34"/>
  <c r="AK384" i="34"/>
  <c r="AK385" i="34"/>
  <c r="AT101" i="35"/>
  <c r="AS123" i="35"/>
  <c r="AM188" i="35"/>
  <c r="AK209" i="35"/>
  <c r="AU218" i="35"/>
  <c r="AT237" i="35"/>
  <c r="AU237" i="35"/>
  <c r="AK377" i="35"/>
  <c r="AK416" i="35"/>
  <c r="AU419" i="35"/>
  <c r="AS419" i="35"/>
  <c r="AU113" i="36"/>
  <c r="AT113" i="36"/>
  <c r="AR113" i="36"/>
  <c r="AL192" i="36"/>
  <c r="AI192" i="36"/>
  <c r="AT263" i="36"/>
  <c r="AR263" i="36"/>
  <c r="AK272" i="34"/>
  <c r="AR309" i="34"/>
  <c r="AR317" i="34"/>
  <c r="Y321" i="34"/>
  <c r="AS332" i="34"/>
  <c r="AR334" i="34"/>
  <c r="AR339" i="34"/>
  <c r="AR342" i="34"/>
  <c r="AR343" i="34"/>
  <c r="AR347" i="34"/>
  <c r="AU357" i="34"/>
  <c r="AK371" i="34"/>
  <c r="AK382" i="34"/>
  <c r="AK389" i="34"/>
  <c r="Z390" i="34"/>
  <c r="AS420" i="34"/>
  <c r="AR424" i="34"/>
  <c r="AK89" i="35"/>
  <c r="AK91" i="35"/>
  <c r="AK92" i="35"/>
  <c r="AU101" i="35"/>
  <c r="AT123" i="35"/>
  <c r="AS124" i="35"/>
  <c r="AS132" i="35"/>
  <c r="AR133" i="35"/>
  <c r="AR134" i="35"/>
  <c r="AS135" i="35"/>
  <c r="AT157" i="35"/>
  <c r="AS166" i="35"/>
  <c r="AK170" i="35"/>
  <c r="AU180" i="35"/>
  <c r="AJ188" i="35"/>
  <c r="AK188" i="35" s="1"/>
  <c r="AU190" i="35"/>
  <c r="AT191" i="35"/>
  <c r="AK211" i="35"/>
  <c r="AT223" i="35"/>
  <c r="AR243" i="35"/>
  <c r="AS259" i="35"/>
  <c r="AT265" i="35"/>
  <c r="AU265" i="35"/>
  <c r="AR265" i="35"/>
  <c r="AR280" i="35"/>
  <c r="AT282" i="35"/>
  <c r="AR295" i="35"/>
  <c r="AS342" i="35"/>
  <c r="AU342" i="35"/>
  <c r="AU372" i="35"/>
  <c r="AT372" i="35"/>
  <c r="AR372" i="35"/>
  <c r="AS408" i="35"/>
  <c r="AR409" i="35"/>
  <c r="AT411" i="35"/>
  <c r="AK415" i="35"/>
  <c r="AR419" i="35"/>
  <c r="AU427" i="35"/>
  <c r="AT427" i="35"/>
  <c r="AS427" i="35"/>
  <c r="AR427" i="35"/>
  <c r="AT258" i="36"/>
  <c r="AS258" i="36"/>
  <c r="AR258" i="36"/>
  <c r="AU258" i="36"/>
  <c r="AK276" i="34"/>
  <c r="AK326" i="34"/>
  <c r="AT420" i="34"/>
  <c r="AS424" i="34"/>
  <c r="AS133" i="35"/>
  <c r="AS134" i="35"/>
  <c r="AT135" i="35"/>
  <c r="AU223" i="35"/>
  <c r="AR242" i="35"/>
  <c r="AT242" i="35"/>
  <c r="AU264" i="35"/>
  <c r="AS264" i="35"/>
  <c r="AT408" i="35"/>
  <c r="AT419" i="35"/>
  <c r="AM80" i="36"/>
  <c r="I30" i="36" s="1" a="1"/>
  <c r="I30" i="36" s="1"/>
  <c r="AU195" i="36"/>
  <c r="AT195" i="36"/>
  <c r="AR195" i="36"/>
  <c r="AJ258" i="35"/>
  <c r="AK258" i="35" s="1"/>
  <c r="O28" i="35" s="1" a="1"/>
  <c r="O28" i="35" s="1"/>
  <c r="AI258" i="35"/>
  <c r="L28" i="35" s="1" a="1"/>
  <c r="L28" i="35" s="1"/>
  <c r="AT268" i="36"/>
  <c r="AS268" i="36"/>
  <c r="AR268" i="36"/>
  <c r="AU268" i="36"/>
  <c r="AI146" i="35"/>
  <c r="AR256" i="35"/>
  <c r="AS348" i="35"/>
  <c r="AR348" i="35"/>
  <c r="AS361" i="35"/>
  <c r="Y406" i="35"/>
  <c r="Y408" i="35"/>
  <c r="AR120" i="36"/>
  <c r="AM191" i="36"/>
  <c r="AS241" i="36"/>
  <c r="AR241" i="36"/>
  <c r="Z401" i="34"/>
  <c r="AU403" i="34"/>
  <c r="Z421" i="34"/>
  <c r="AK102" i="35"/>
  <c r="AR110" i="35"/>
  <c r="AS129" i="35"/>
  <c r="AJ146" i="35"/>
  <c r="AK146" i="35" s="1"/>
  <c r="AR182" i="35"/>
  <c r="AT228" i="35"/>
  <c r="AU229" i="35"/>
  <c r="AS235" i="35"/>
  <c r="AU235" i="35"/>
  <c r="AR235" i="35"/>
  <c r="AK245" i="35"/>
  <c r="AS256" i="35"/>
  <c r="AU327" i="35"/>
  <c r="AU329" i="35"/>
  <c r="AS329" i="35"/>
  <c r="AT348" i="35"/>
  <c r="AK352" i="35"/>
  <c r="AT361" i="35"/>
  <c r="AM391" i="35"/>
  <c r="AR403" i="35"/>
  <c r="AK420" i="34"/>
  <c r="AK86" i="35"/>
  <c r="AK98" i="35"/>
  <c r="AS110" i="35"/>
  <c r="AU129" i="35"/>
  <c r="AS182" i="35"/>
  <c r="AK231" i="35"/>
  <c r="AU234" i="35"/>
  <c r="AS234" i="35"/>
  <c r="AU256" i="35"/>
  <c r="AK343" i="35"/>
  <c r="AS346" i="35"/>
  <c r="AR346" i="35"/>
  <c r="AU348" i="35"/>
  <c r="AU361" i="35"/>
  <c r="AK382" i="35"/>
  <c r="AR417" i="35"/>
  <c r="AU417" i="35"/>
  <c r="AT417" i="35"/>
  <c r="AS417" i="35"/>
  <c r="AU148" i="36"/>
  <c r="AT148" i="36"/>
  <c r="AS148" i="36"/>
  <c r="AR148" i="36"/>
  <c r="AU258" i="35"/>
  <c r="AT258" i="35"/>
  <c r="AS301" i="35"/>
  <c r="AR301" i="35"/>
  <c r="AU309" i="35"/>
  <c r="AS321" i="35"/>
  <c r="AR324" i="35"/>
  <c r="AM373" i="35"/>
  <c r="AS378" i="35"/>
  <c r="AT379" i="35"/>
  <c r="AT403" i="35"/>
  <c r="AR75" i="36"/>
  <c r="AU103" i="36"/>
  <c r="AS103" i="36"/>
  <c r="AS106" i="36"/>
  <c r="AR106" i="36"/>
  <c r="AU223" i="36"/>
  <c r="AT223" i="36"/>
  <c r="AS223" i="36"/>
  <c r="AR223" i="36"/>
  <c r="Z291" i="36"/>
  <c r="AK305" i="36"/>
  <c r="AK312" i="36"/>
  <c r="AU324" i="36"/>
  <c r="AU335" i="36"/>
  <c r="AS336" i="36"/>
  <c r="AK342" i="36"/>
  <c r="AT355" i="36"/>
  <c r="Z418" i="36"/>
  <c r="Z420" i="36"/>
  <c r="Z423" i="36"/>
  <c r="AU424" i="36"/>
  <c r="Z430" i="36"/>
  <c r="AM165" i="36"/>
  <c r="AU169" i="36"/>
  <c r="AT203" i="36"/>
  <c r="AU205" i="36"/>
  <c r="AT213" i="36"/>
  <c r="AK226" i="36"/>
  <c r="AK230" i="36"/>
  <c r="AK232" i="36"/>
  <c r="AR239" i="36"/>
  <c r="AK270" i="36"/>
  <c r="AK271" i="36"/>
  <c r="AR276" i="36"/>
  <c r="AK297" i="36"/>
  <c r="AK300" i="36"/>
  <c r="AK308" i="36"/>
  <c r="AK327" i="36"/>
  <c r="Z335" i="36"/>
  <c r="AU355" i="36"/>
  <c r="AK283" i="35"/>
  <c r="AK184" i="36"/>
  <c r="AS216" i="36"/>
  <c r="AT239" i="36"/>
  <c r="AS240" i="36"/>
  <c r="AS242" i="36"/>
  <c r="AS264" i="36"/>
  <c r="AT276" i="36"/>
  <c r="AU277" i="36"/>
  <c r="AK282" i="36"/>
  <c r="AK296" i="36"/>
  <c r="AS318" i="36"/>
  <c r="AS349" i="36"/>
  <c r="AU351" i="36"/>
  <c r="Y354" i="36"/>
  <c r="AS360" i="36"/>
  <c r="AS364" i="36"/>
  <c r="AS366" i="36"/>
  <c r="Y370" i="36"/>
  <c r="AK381" i="36"/>
  <c r="AS390" i="36"/>
  <c r="AS392" i="36"/>
  <c r="AT394" i="36"/>
  <c r="Y397" i="36"/>
  <c r="AU397" i="36"/>
  <c r="Z425" i="36"/>
  <c r="Y426" i="36"/>
  <c r="AM193" i="36"/>
  <c r="AT360" i="36"/>
  <c r="AU364" i="36"/>
  <c r="AK374" i="36"/>
  <c r="AT390" i="36"/>
  <c r="AU392" i="36"/>
  <c r="AT393" i="36"/>
  <c r="AU394" i="36"/>
  <c r="AR402" i="36"/>
  <c r="AS403" i="36"/>
  <c r="AR405" i="36"/>
  <c r="AM401" i="35"/>
  <c r="A29" i="36"/>
  <c r="AM122" i="36"/>
  <c r="AT156" i="36"/>
  <c r="AM158" i="36"/>
  <c r="Z163" i="36"/>
  <c r="AR234" i="36"/>
  <c r="AM256" i="36"/>
  <c r="AS261" i="36"/>
  <c r="AR315" i="36"/>
  <c r="AT319" i="36"/>
  <c r="AK328" i="36"/>
  <c r="AK332" i="36"/>
  <c r="AK334" i="36"/>
  <c r="AR343" i="36"/>
  <c r="Z363" i="36"/>
  <c r="Z368" i="36"/>
  <c r="AK376" i="36"/>
  <c r="AT403" i="36"/>
  <c r="AS405" i="36"/>
  <c r="AK278" i="35"/>
  <c r="AU339" i="35"/>
  <c r="AR350" i="35"/>
  <c r="A51" i="36"/>
  <c r="AR123" i="36"/>
  <c r="AR153" i="36"/>
  <c r="AU156" i="36"/>
  <c r="AT176" i="36"/>
  <c r="AS190" i="36"/>
  <c r="AS200" i="36"/>
  <c r="AR222" i="36"/>
  <c r="AS234" i="36"/>
  <c r="AS235" i="36"/>
  <c r="AT261" i="36"/>
  <c r="AU319" i="36"/>
  <c r="AK326" i="36"/>
  <c r="AK338" i="36"/>
  <c r="AS343" i="36"/>
  <c r="AS344" i="36"/>
  <c r="AT345" i="36"/>
  <c r="Z351" i="36"/>
  <c r="Y398" i="36"/>
  <c r="Y402" i="36"/>
  <c r="AU403" i="36"/>
  <c r="AT405" i="36"/>
  <c r="AT407" i="36"/>
  <c r="AR410" i="36"/>
  <c r="AT411" i="36"/>
  <c r="AS413" i="36"/>
  <c r="AS415" i="36"/>
  <c r="AK121" i="36"/>
  <c r="AT234" i="36"/>
  <c r="AT343" i="36"/>
  <c r="Z362" i="36"/>
  <c r="Z364" i="36"/>
  <c r="Y365" i="36"/>
  <c r="AS382" i="36"/>
  <c r="AS386" i="36"/>
  <c r="Y390" i="36"/>
  <c r="Y391" i="36"/>
  <c r="Y393" i="36"/>
  <c r="AU407" i="36"/>
  <c r="AU411" i="36"/>
  <c r="AT413" i="36"/>
  <c r="AT415" i="36"/>
  <c r="AK342" i="35"/>
  <c r="AT350" i="35"/>
  <c r="AL364" i="35"/>
  <c r="AS371" i="35"/>
  <c r="AS415" i="35"/>
  <c r="AJ78" i="36"/>
  <c r="M28" i="36" s="1" a="1"/>
  <c r="M28" i="36" s="1"/>
  <c r="AR79" i="36"/>
  <c r="AR87" i="36"/>
  <c r="AS99" i="36"/>
  <c r="AS100" i="36"/>
  <c r="AT123" i="36"/>
  <c r="AS133" i="36"/>
  <c r="AR134" i="36"/>
  <c r="AS137" i="36"/>
  <c r="AR138" i="36"/>
  <c r="AS139" i="36"/>
  <c r="AT153" i="36"/>
  <c r="AR161" i="36"/>
  <c r="AS165" i="36"/>
  <c r="AR181" i="36"/>
  <c r="AS184" i="36"/>
  <c r="AM192" i="36"/>
  <c r="AR193" i="36"/>
  <c r="AR209" i="36"/>
  <c r="AS211" i="36"/>
  <c r="AT222" i="36"/>
  <c r="AU235" i="36"/>
  <c r="AR272" i="36"/>
  <c r="AR284" i="36"/>
  <c r="AR298" i="36"/>
  <c r="AS302" i="36"/>
  <c r="AT311" i="36"/>
  <c r="Y319" i="36"/>
  <c r="Z347" i="36"/>
  <c r="Z348" i="36"/>
  <c r="AK349" i="36"/>
  <c r="AK351" i="36"/>
  <c r="AK354" i="36"/>
  <c r="Y361" i="36"/>
  <c r="AT382" i="36"/>
  <c r="AT386" i="36"/>
  <c r="Y389" i="36"/>
  <c r="AU415" i="36"/>
  <c r="AS416" i="36"/>
  <c r="AM257" i="35"/>
  <c r="I27" i="35" s="1" a="1"/>
  <c r="I27" i="35" s="1"/>
  <c r="AM364" i="35"/>
  <c r="AK383" i="35"/>
  <c r="AK385" i="35"/>
  <c r="AS79" i="36"/>
  <c r="AS87" i="36"/>
  <c r="AK90" i="36"/>
  <c r="AT100" i="36"/>
  <c r="AS134" i="36"/>
  <c r="AS138" i="36"/>
  <c r="AS181" i="36"/>
  <c r="AT184" i="36"/>
  <c r="AS193" i="36"/>
  <c r="AT208" i="36"/>
  <c r="AS209" i="36"/>
  <c r="AT211" i="36"/>
  <c r="AS253" i="36"/>
  <c r="AK263" i="36"/>
  <c r="AS272" i="36"/>
  <c r="AS284" i="36"/>
  <c r="AS298" i="36"/>
  <c r="AU311" i="36"/>
  <c r="AR330" i="36"/>
  <c r="AK362" i="36"/>
  <c r="AK367" i="36"/>
  <c r="AU382" i="36"/>
  <c r="AU386" i="36"/>
  <c r="AK394" i="36"/>
  <c r="AK399" i="36"/>
  <c r="AT416" i="36"/>
  <c r="AK426" i="36"/>
  <c r="AU100" i="36"/>
  <c r="AT138" i="36"/>
  <c r="AK142" i="36"/>
  <c r="AK167" i="36"/>
  <c r="AK176" i="36"/>
  <c r="AK177" i="36"/>
  <c r="AU184" i="36"/>
  <c r="AK314" i="36"/>
  <c r="AK316" i="36"/>
  <c r="AK345" i="36"/>
  <c r="AK348" i="36"/>
  <c r="AK365" i="36"/>
  <c r="AK368" i="36"/>
  <c r="AU380" i="36"/>
  <c r="AK391" i="36"/>
  <c r="AK393" i="36"/>
  <c r="Y408" i="36"/>
  <c r="Z415" i="36"/>
  <c r="AU416" i="36"/>
  <c r="AS419" i="36"/>
  <c r="AM114" i="36"/>
  <c r="AK178" i="36"/>
  <c r="AK201" i="36"/>
  <c r="AK234" i="36"/>
  <c r="AK313" i="36"/>
  <c r="AK315" i="36"/>
  <c r="AK319" i="36"/>
  <c r="AK407" i="36"/>
  <c r="AR324" i="36"/>
  <c r="AR335" i="36"/>
  <c r="AS371" i="36"/>
  <c r="Y381" i="36"/>
  <c r="AR169" i="36"/>
  <c r="AR186" i="36"/>
  <c r="AR205" i="36"/>
  <c r="AR267" i="36"/>
  <c r="Z296" i="36"/>
  <c r="AS324" i="36"/>
  <c r="Y331" i="36"/>
  <c r="AS335" i="36"/>
  <c r="AT337" i="36"/>
  <c r="AR355" i="36"/>
  <c r="Y377" i="36"/>
  <c r="AK414" i="36"/>
  <c r="AK416" i="36"/>
  <c r="AT423" i="36"/>
  <c r="AS424" i="36"/>
  <c r="AT427" i="36"/>
  <c r="AM124" i="36"/>
  <c r="AK132" i="36"/>
  <c r="AU160" i="36"/>
  <c r="AK172" i="36"/>
  <c r="AS186" i="36"/>
  <c r="AR203" i="36"/>
  <c r="AT204" i="36"/>
  <c r="AK303" i="36"/>
  <c r="Z327" i="36"/>
  <c r="AU337" i="36"/>
  <c r="Z339" i="36"/>
  <c r="AK341" i="36"/>
  <c r="Z379" i="36"/>
  <c r="AK388" i="36"/>
  <c r="AK410" i="36"/>
  <c r="AU423" i="36"/>
  <c r="AU427" i="36"/>
  <c r="Y256" i="36"/>
  <c r="Z255" i="36"/>
  <c r="Z283" i="36"/>
  <c r="Z260" i="36"/>
  <c r="Z223" i="36"/>
  <c r="Y208" i="36"/>
  <c r="Z184" i="36"/>
  <c r="Z147" i="36"/>
  <c r="Z150" i="36"/>
  <c r="Z148" i="36"/>
  <c r="Y154" i="36"/>
  <c r="Y146" i="36"/>
  <c r="Z109" i="36"/>
  <c r="Z110" i="36"/>
  <c r="Z135" i="36"/>
  <c r="Y99" i="36"/>
  <c r="AJ258" i="36"/>
  <c r="AK258" i="36" s="1"/>
  <c r="AM255" i="36"/>
  <c r="AL258" i="36"/>
  <c r="AM258" i="36"/>
  <c r="AK266" i="36"/>
  <c r="AK276" i="36"/>
  <c r="AK278" i="36"/>
  <c r="AK261" i="36"/>
  <c r="AK274" i="36"/>
  <c r="AK272" i="36"/>
  <c r="AM257" i="36"/>
  <c r="AM260" i="36"/>
  <c r="AK273" i="36"/>
  <c r="AK284" i="36"/>
  <c r="AM286" i="36"/>
  <c r="AM259" i="36"/>
  <c r="AI286" i="36"/>
  <c r="AM221" i="36"/>
  <c r="AM217" i="36"/>
  <c r="AK239" i="36"/>
  <c r="AM222" i="36"/>
  <c r="AK240" i="36"/>
  <c r="AM224" i="36"/>
  <c r="AM219" i="36"/>
  <c r="AM218" i="36"/>
  <c r="AM220" i="36"/>
  <c r="AK237" i="36"/>
  <c r="AK241" i="36"/>
  <c r="AK243" i="36"/>
  <c r="AI189" i="36"/>
  <c r="AM189" i="36"/>
  <c r="AM181" i="36"/>
  <c r="AM183" i="36"/>
  <c r="AK198" i="36"/>
  <c r="AM213" i="36"/>
  <c r="AJ191" i="36"/>
  <c r="AK191" i="36" s="1"/>
  <c r="AJ192" i="36"/>
  <c r="AK192" i="36" s="1"/>
  <c r="AJ193" i="36"/>
  <c r="AK193" i="36" s="1"/>
  <c r="AK209" i="36"/>
  <c r="AM186" i="36"/>
  <c r="AJ189" i="36"/>
  <c r="AK189" i="36" s="1"/>
  <c r="AK195" i="36"/>
  <c r="AM214" i="36"/>
  <c r="AM182" i="36"/>
  <c r="AM185" i="36"/>
  <c r="AM187" i="36"/>
  <c r="AL191" i="36"/>
  <c r="AK208" i="36"/>
  <c r="AK210" i="36"/>
  <c r="AL162" i="36"/>
  <c r="AM149" i="36"/>
  <c r="AM162" i="36"/>
  <c r="AK175" i="36"/>
  <c r="AK145" i="36"/>
  <c r="AM161" i="36"/>
  <c r="AK174" i="36"/>
  <c r="AJ160" i="36"/>
  <c r="AK160" i="36" s="1"/>
  <c r="AI165" i="36"/>
  <c r="AJ159" i="36"/>
  <c r="AK159" i="36" s="1"/>
  <c r="AM160" i="36"/>
  <c r="AI158" i="36"/>
  <c r="AL159" i="36"/>
  <c r="AM164" i="36"/>
  <c r="AK153" i="36"/>
  <c r="AJ158" i="36"/>
  <c r="AK158" i="36" s="1"/>
  <c r="AM159" i="36"/>
  <c r="AM146" i="36"/>
  <c r="AJ162" i="36"/>
  <c r="AK162" i="36" s="1"/>
  <c r="AM147" i="36"/>
  <c r="AJ157" i="36"/>
  <c r="AK157" i="36" s="1"/>
  <c r="AL158" i="36"/>
  <c r="AM150" i="36"/>
  <c r="AI156" i="36"/>
  <c r="AL157" i="36"/>
  <c r="AM148" i="36"/>
  <c r="AL160" i="36"/>
  <c r="AM157" i="36"/>
  <c r="AK168" i="36"/>
  <c r="AK169" i="36"/>
  <c r="AM115" i="36"/>
  <c r="AI114" i="36"/>
  <c r="AM117" i="36"/>
  <c r="AK129" i="36"/>
  <c r="AL113" i="36"/>
  <c r="AJ114" i="36"/>
  <c r="AK114" i="36" s="1"/>
  <c r="AK123" i="36"/>
  <c r="AL124" i="36"/>
  <c r="AK130" i="36"/>
  <c r="AL115" i="36"/>
  <c r="AM125" i="36"/>
  <c r="AM110" i="36"/>
  <c r="AJ108" i="36"/>
  <c r="AK108" i="36" s="1"/>
  <c r="N7" i="36" s="1"/>
  <c r="AL121" i="36"/>
  <c r="AJ122" i="36"/>
  <c r="AK122" i="36" s="1"/>
  <c r="AL108" i="36"/>
  <c r="O7" i="36" s="1"/>
  <c r="AM121" i="36"/>
  <c r="AL122" i="36"/>
  <c r="AK141" i="36"/>
  <c r="AK125" i="36"/>
  <c r="AI122" i="36"/>
  <c r="AM108" i="36"/>
  <c r="AK116" i="36"/>
  <c r="AL128" i="36"/>
  <c r="AM120" i="36"/>
  <c r="AI127" i="36"/>
  <c r="AM128" i="36"/>
  <c r="AK133" i="36"/>
  <c r="AK140" i="36"/>
  <c r="AL125" i="36"/>
  <c r="AM118" i="36"/>
  <c r="AM119" i="36"/>
  <c r="AK137" i="36"/>
  <c r="AM82" i="36"/>
  <c r="I32" i="36" s="1" a="1"/>
  <c r="I32" i="36" s="1"/>
  <c r="AM81" i="36"/>
  <c r="I31" i="36" s="1" a="1"/>
  <c r="I31" i="36" s="1"/>
  <c r="AM105" i="36"/>
  <c r="I55" i="36" s="1" a="1"/>
  <c r="I55" i="36" s="1"/>
  <c r="AM83" i="36"/>
  <c r="I33" i="36" s="1" a="1"/>
  <c r="I33" i="36" s="1"/>
  <c r="AL75" i="36"/>
  <c r="AJ79" i="36"/>
  <c r="AK79" i="36" s="1"/>
  <c r="O29" i="36" s="1" a="1"/>
  <c r="O29" i="36" s="1"/>
  <c r="AI80" i="36"/>
  <c r="L30" i="36" s="1" a="1"/>
  <c r="L30" i="36" s="1"/>
  <c r="AM75" i="36"/>
  <c r="I25" i="36" s="1" a="1"/>
  <c r="I25" i="36" s="1"/>
  <c r="AI78" i="36"/>
  <c r="L28" i="36" s="1" a="1"/>
  <c r="L28" i="36" s="1"/>
  <c r="AL79" i="36"/>
  <c r="AJ80" i="36"/>
  <c r="M30" i="36" s="1" a="1"/>
  <c r="M30" i="36" s="1"/>
  <c r="AK102" i="36"/>
  <c r="AK103" i="36"/>
  <c r="AK77" i="36"/>
  <c r="O27" i="36" s="1" a="1"/>
  <c r="O27" i="36" s="1"/>
  <c r="AJ106" i="36"/>
  <c r="M56" i="36" s="1" a="1"/>
  <c r="M56" i="36" s="1"/>
  <c r="AM73" i="36"/>
  <c r="I23" i="36" s="1" a="1"/>
  <c r="I23" i="36" s="1"/>
  <c r="AK97" i="36"/>
  <c r="AL73" i="36"/>
  <c r="AM84" i="36"/>
  <c r="I34" i="36" s="1" a="1"/>
  <c r="I34" i="36" s="1"/>
  <c r="AI75" i="36"/>
  <c r="L25" i="36" s="1" a="1"/>
  <c r="L25" i="36" s="1"/>
  <c r="AM79" i="36"/>
  <c r="I29" i="36" s="1" a="1"/>
  <c r="I29" i="36" s="1"/>
  <c r="AL80" i="36"/>
  <c r="C26" i="36" a="1"/>
  <c r="C26" i="36" s="1"/>
  <c r="AL78" i="36"/>
  <c r="AK88" i="36"/>
  <c r="AK99" i="36"/>
  <c r="AK100" i="36"/>
  <c r="AK101" i="36"/>
  <c r="AL253" i="36"/>
  <c r="AI256" i="36"/>
  <c r="AI257" i="36"/>
  <c r="AI259" i="36"/>
  <c r="Z263" i="36"/>
  <c r="Z270" i="36"/>
  <c r="Z275" i="36"/>
  <c r="AM253" i="36"/>
  <c r="AM254" i="36"/>
  <c r="AI255" i="36"/>
  <c r="AJ256" i="36"/>
  <c r="AK256" i="36" s="1"/>
  <c r="AJ257" i="36"/>
  <c r="AK257" i="36" s="1"/>
  <c r="AJ259" i="36"/>
  <c r="AK259" i="36" s="1"/>
  <c r="AI260" i="36"/>
  <c r="Z265" i="36"/>
  <c r="Y272" i="36"/>
  <c r="Z277" i="36"/>
  <c r="Y278" i="36"/>
  <c r="Y279" i="36"/>
  <c r="Y280" i="36"/>
  <c r="Z282" i="36"/>
  <c r="AJ255" i="36"/>
  <c r="AK255" i="36" s="1"/>
  <c r="AL257" i="36"/>
  <c r="AL259" i="36"/>
  <c r="AJ260" i="36"/>
  <c r="AK260" i="36" s="1"/>
  <c r="Y271" i="36"/>
  <c r="AL255" i="36"/>
  <c r="AL256" i="36"/>
  <c r="AL260" i="36"/>
  <c r="AK269" i="36"/>
  <c r="AK277" i="36"/>
  <c r="Y284" i="36"/>
  <c r="AJ252" i="36"/>
  <c r="AK252" i="36" s="1"/>
  <c r="N11" i="36" s="1"/>
  <c r="AL254" i="36"/>
  <c r="Z285" i="36"/>
  <c r="G45" i="36"/>
  <c r="AK280" i="36"/>
  <c r="AJ253" i="36"/>
  <c r="AK253" i="36" s="1"/>
  <c r="Z268" i="36"/>
  <c r="AJ254" i="36"/>
  <c r="AK254" i="36" s="1"/>
  <c r="AK275" i="36"/>
  <c r="Y253" i="36"/>
  <c r="AK283" i="36"/>
  <c r="AJ286" i="36"/>
  <c r="AK286" i="36" s="1"/>
  <c r="Y262" i="36"/>
  <c r="Y267" i="36"/>
  <c r="AK262" i="36"/>
  <c r="F47" i="36" a="1"/>
  <c r="F47" i="36" s="1"/>
  <c r="Y259" i="36"/>
  <c r="AL286" i="36"/>
  <c r="H47" i="36" a="1"/>
  <c r="H47" i="36" s="1"/>
  <c r="AI222" i="36"/>
  <c r="AI220" i="36"/>
  <c r="Y234" i="36"/>
  <c r="Y247" i="36"/>
  <c r="AJ222" i="36"/>
  <c r="AK222" i="36" s="1"/>
  <c r="Y226" i="36"/>
  <c r="AJ221" i="36"/>
  <c r="AK221" i="36" s="1"/>
  <c r="Z230" i="36"/>
  <c r="AM223" i="36"/>
  <c r="AL225" i="36"/>
  <c r="AM225" i="36"/>
  <c r="AJ220" i="36"/>
  <c r="AK220" i="36" s="1"/>
  <c r="Z240" i="36"/>
  <c r="Y246" i="36"/>
  <c r="AI218" i="36"/>
  <c r="AI219" i="36"/>
  <c r="AJ225" i="36"/>
  <c r="AK225" i="36" s="1"/>
  <c r="Y222" i="36"/>
  <c r="Y250" i="36"/>
  <c r="AI217" i="36"/>
  <c r="AI221" i="36"/>
  <c r="AL222" i="36"/>
  <c r="Y248" i="36"/>
  <c r="AJ217" i="36"/>
  <c r="AK217" i="36" s="1"/>
  <c r="AJ218" i="36"/>
  <c r="AK218" i="36" s="1"/>
  <c r="AL220" i="36"/>
  <c r="AI223" i="36"/>
  <c r="Y242" i="36"/>
  <c r="AL217" i="36"/>
  <c r="AL218" i="36"/>
  <c r="AJ219" i="36"/>
  <c r="AK219" i="36" s="1"/>
  <c r="AL221" i="36"/>
  <c r="AJ223" i="36"/>
  <c r="AK223" i="36" s="1"/>
  <c r="AI224" i="36"/>
  <c r="Y227" i="36"/>
  <c r="AL219" i="36"/>
  <c r="AJ224" i="36"/>
  <c r="AK224" i="36" s="1"/>
  <c r="AL224" i="36"/>
  <c r="Y181" i="36"/>
  <c r="Y185" i="36"/>
  <c r="AI188" i="36"/>
  <c r="AI194" i="36"/>
  <c r="Y207" i="36"/>
  <c r="Y209" i="36"/>
  <c r="AJ188" i="36"/>
  <c r="AK188" i="36" s="1"/>
  <c r="AJ194" i="36"/>
  <c r="AK194" i="36" s="1"/>
  <c r="Y204" i="36"/>
  <c r="AI187" i="36"/>
  <c r="AI183" i="36"/>
  <c r="AJ187" i="36"/>
  <c r="AK187" i="36" s="1"/>
  <c r="AM194" i="36"/>
  <c r="AI181" i="36"/>
  <c r="AJ183" i="36"/>
  <c r="AK183" i="36" s="1"/>
  <c r="AL184" i="36"/>
  <c r="AI185" i="36"/>
  <c r="AL187" i="36"/>
  <c r="AM188" i="36"/>
  <c r="Z210" i="36"/>
  <c r="Z212" i="36"/>
  <c r="Z213" i="36"/>
  <c r="Y214" i="36"/>
  <c r="AM184" i="36"/>
  <c r="AI184" i="36"/>
  <c r="AI186" i="36"/>
  <c r="AK196" i="36"/>
  <c r="AJ186" i="36"/>
  <c r="AK186" i="36" s="1"/>
  <c r="AL186" i="36"/>
  <c r="AJ181" i="36"/>
  <c r="AK181" i="36" s="1"/>
  <c r="AI182" i="36"/>
  <c r="AL183" i="36"/>
  <c r="AJ185" i="36"/>
  <c r="AK185" i="36" s="1"/>
  <c r="AK203" i="36"/>
  <c r="AK207" i="36"/>
  <c r="AL181" i="36"/>
  <c r="AJ182" i="36"/>
  <c r="AK182" i="36" s="1"/>
  <c r="AL185" i="36"/>
  <c r="AL182" i="36"/>
  <c r="AK211" i="36"/>
  <c r="Y199" i="36"/>
  <c r="AK202" i="36"/>
  <c r="AI213" i="36"/>
  <c r="Z190" i="36"/>
  <c r="Z191" i="36"/>
  <c r="AJ213" i="36"/>
  <c r="AK213" i="36" s="1"/>
  <c r="AI214" i="36"/>
  <c r="Z192" i="36"/>
  <c r="Z195" i="36"/>
  <c r="AL213" i="36"/>
  <c r="AJ214" i="36"/>
  <c r="AK214" i="36" s="1"/>
  <c r="Y197" i="36"/>
  <c r="AL214" i="36"/>
  <c r="A26" i="36"/>
  <c r="Z188" i="36"/>
  <c r="Z194" i="36"/>
  <c r="Y196" i="36"/>
  <c r="AI148" i="36"/>
  <c r="AI150" i="36"/>
  <c r="AJ151" i="36"/>
  <c r="AK151" i="36" s="1"/>
  <c r="AL152" i="36"/>
  <c r="AJ155" i="36"/>
  <c r="AK155" i="36" s="1"/>
  <c r="AI147" i="36"/>
  <c r="AJ148" i="36"/>
  <c r="AK148" i="36" s="1"/>
  <c r="AI149" i="36"/>
  <c r="AJ150" i="36"/>
  <c r="AK150" i="36" s="1"/>
  <c r="AL151" i="36"/>
  <c r="AM152" i="36"/>
  <c r="AL153" i="36"/>
  <c r="AL155" i="36"/>
  <c r="Z169" i="36"/>
  <c r="Y172" i="36"/>
  <c r="AI146" i="36"/>
  <c r="AJ147" i="36"/>
  <c r="AK147" i="36" s="1"/>
  <c r="AL148" i="36"/>
  <c r="AJ149" i="36"/>
  <c r="AK149" i="36" s="1"/>
  <c r="AL150" i="36"/>
  <c r="AM151" i="36"/>
  <c r="AM153" i="36"/>
  <c r="AI154" i="36"/>
  <c r="AM155" i="36"/>
  <c r="Y171" i="36"/>
  <c r="Y174" i="36"/>
  <c r="Y175" i="36"/>
  <c r="Y176" i="36"/>
  <c r="AI145" i="36"/>
  <c r="AJ146" i="36"/>
  <c r="AK146" i="36" s="1"/>
  <c r="AL147" i="36"/>
  <c r="AL149" i="36"/>
  <c r="AJ154" i="36"/>
  <c r="AK154" i="36" s="1"/>
  <c r="Y164" i="36"/>
  <c r="Z168" i="36"/>
  <c r="Y170" i="36"/>
  <c r="Y177" i="36"/>
  <c r="D47" i="36" a="1"/>
  <c r="D47" i="36" s="1"/>
  <c r="AI153" i="36"/>
  <c r="AM154" i="36"/>
  <c r="Y158" i="36"/>
  <c r="Y159" i="36"/>
  <c r="Z162" i="36"/>
  <c r="Y166" i="36"/>
  <c r="AI164" i="36"/>
  <c r="AK173" i="36"/>
  <c r="AJ164" i="36"/>
  <c r="AK164" i="36" s="1"/>
  <c r="AK170" i="36"/>
  <c r="Y151" i="36"/>
  <c r="Z152" i="36"/>
  <c r="Z153" i="36"/>
  <c r="AI161" i="36"/>
  <c r="AK163" i="36"/>
  <c r="AL164" i="36"/>
  <c r="AJ165" i="36"/>
  <c r="AK165" i="36" s="1"/>
  <c r="AK166" i="36"/>
  <c r="AI152" i="36"/>
  <c r="AJ161" i="36"/>
  <c r="AK161" i="36" s="1"/>
  <c r="AK152" i="36"/>
  <c r="AK115" i="36"/>
  <c r="E48" i="36"/>
  <c r="AI112" i="36"/>
  <c r="AI124" i="36"/>
  <c r="G43" i="36"/>
  <c r="Z132" i="36"/>
  <c r="AJ109" i="36"/>
  <c r="AK109" i="36" s="1"/>
  <c r="AJ111" i="36"/>
  <c r="AK111" i="36" s="1"/>
  <c r="Y134" i="36"/>
  <c r="AL109" i="36"/>
  <c r="AI110" i="36"/>
  <c r="AM111" i="36"/>
  <c r="Z118" i="36"/>
  <c r="Y141" i="36"/>
  <c r="E51" i="36"/>
  <c r="AM109" i="36"/>
  <c r="AJ110" i="36"/>
  <c r="AK110" i="36" s="1"/>
  <c r="AI117" i="36"/>
  <c r="H51" i="36" a="1"/>
  <c r="H51" i="36" s="1"/>
  <c r="AL110" i="36"/>
  <c r="AJ117" i="36"/>
  <c r="AK117" i="36" s="1"/>
  <c r="Z140" i="36"/>
  <c r="AI111" i="36"/>
  <c r="AI116" i="36"/>
  <c r="AI118" i="36"/>
  <c r="Z128" i="36"/>
  <c r="AK131" i="36"/>
  <c r="AJ118" i="36"/>
  <c r="AK118" i="36" s="1"/>
  <c r="AI119" i="36"/>
  <c r="Z127" i="36"/>
  <c r="Z136" i="36"/>
  <c r="AI115" i="36"/>
  <c r="AL116" i="36"/>
  <c r="AL118" i="36"/>
  <c r="AJ119" i="36"/>
  <c r="AK119" i="36" s="1"/>
  <c r="AI120" i="36"/>
  <c r="AI121" i="36"/>
  <c r="Z124" i="36"/>
  <c r="Y126" i="36"/>
  <c r="AI113" i="36"/>
  <c r="AM116" i="36"/>
  <c r="AL119" i="36"/>
  <c r="AJ120" i="36"/>
  <c r="AK120" i="36" s="1"/>
  <c r="AI123" i="36"/>
  <c r="AI125" i="36"/>
  <c r="AK136" i="36"/>
  <c r="AL117" i="36"/>
  <c r="AK113" i="36"/>
  <c r="Y114" i="36"/>
  <c r="Z122" i="36"/>
  <c r="AK112" i="36"/>
  <c r="AK124" i="36"/>
  <c r="AK126" i="36"/>
  <c r="AK135" i="36"/>
  <c r="AK139" i="36"/>
  <c r="A37" i="36"/>
  <c r="E37" i="36"/>
  <c r="D37" i="36" a="1"/>
  <c r="D37" i="36" s="1"/>
  <c r="F37" i="36" a="1"/>
  <c r="F37" i="36" s="1"/>
  <c r="G37" i="36"/>
  <c r="D27" i="36" a="1"/>
  <c r="D27" i="36" s="1"/>
  <c r="A27" i="36"/>
  <c r="A53" i="36"/>
  <c r="AJ74" i="36"/>
  <c r="AK74" i="36" s="1"/>
  <c r="O24" i="36" s="1" a="1"/>
  <c r="O24" i="36" s="1"/>
  <c r="AL76" i="36"/>
  <c r="AL77" i="36"/>
  <c r="Y88" i="36"/>
  <c r="AK92" i="36"/>
  <c r="Y105" i="36"/>
  <c r="F51" i="36" a="1"/>
  <c r="F51" i="36" s="1"/>
  <c r="AI73" i="36"/>
  <c r="L23" i="36" s="1" a="1"/>
  <c r="L23" i="36" s="1"/>
  <c r="AL74" i="36"/>
  <c r="AM76" i="36"/>
  <c r="I26" i="36" s="1" a="1"/>
  <c r="I26" i="36" s="1"/>
  <c r="AM77" i="36"/>
  <c r="I27" i="36" s="1" a="1"/>
  <c r="I27" i="36" s="1"/>
  <c r="Y83" i="36"/>
  <c r="Y104" i="36"/>
  <c r="D23" i="36" a="1"/>
  <c r="D23" i="36" s="1"/>
  <c r="D26" i="36" a="1"/>
  <c r="D26" i="36" s="1"/>
  <c r="D48" i="36" a="1"/>
  <c r="D48" i="36" s="1"/>
  <c r="G51" i="36"/>
  <c r="AJ73" i="36"/>
  <c r="AK73" i="36" s="1"/>
  <c r="O23" i="36" s="1" a="1"/>
  <c r="O23" i="36" s="1"/>
  <c r="AM74" i="36"/>
  <c r="I24" i="36" s="1" a="1"/>
  <c r="I24" i="36" s="1"/>
  <c r="AK85" i="36"/>
  <c r="AK86" i="36"/>
  <c r="AI106" i="36"/>
  <c r="L56" i="36" s="1" a="1"/>
  <c r="L56" i="36" s="1"/>
  <c r="AI77" i="36"/>
  <c r="L27" i="36" s="1" a="1"/>
  <c r="L27" i="36" s="1"/>
  <c r="AJ76" i="36"/>
  <c r="AK76" i="36" s="1"/>
  <c r="O26" i="36" s="1" a="1"/>
  <c r="O26" i="36" s="1"/>
  <c r="AI105" i="36"/>
  <c r="L55" i="36" s="1" a="1"/>
  <c r="L55" i="36" s="1"/>
  <c r="H45" i="36" a="1"/>
  <c r="H45" i="36" s="1"/>
  <c r="G48" i="36"/>
  <c r="AI82" i="36"/>
  <c r="L32" i="36" s="1" a="1"/>
  <c r="L32" i="36" s="1"/>
  <c r="AI83" i="36"/>
  <c r="L33" i="36" s="1" a="1"/>
  <c r="L33" i="36" s="1"/>
  <c r="AJ105" i="36"/>
  <c r="M55" i="36" s="1" a="1"/>
  <c r="M55" i="36" s="1"/>
  <c r="AM106" i="36"/>
  <c r="I56" i="36" s="1" a="1"/>
  <c r="I56" i="36" s="1"/>
  <c r="F48" i="36" a="1"/>
  <c r="F48" i="36" s="1"/>
  <c r="AJ82" i="36"/>
  <c r="AK82" i="36" s="1"/>
  <c r="O32" i="36" s="1" a="1"/>
  <c r="O32" i="36" s="1"/>
  <c r="AJ83" i="36"/>
  <c r="AK83" i="36" s="1"/>
  <c r="O33" i="36" s="1" a="1"/>
  <c r="O33" i="36" s="1"/>
  <c r="AI84" i="36"/>
  <c r="L34" i="36" s="1" a="1"/>
  <c r="L34" i="36" s="1"/>
  <c r="AK104" i="36"/>
  <c r="AL105" i="36"/>
  <c r="Y77" i="36"/>
  <c r="AI81" i="36"/>
  <c r="L31" i="36" s="1" a="1"/>
  <c r="L31" i="36" s="1"/>
  <c r="AL83" i="36"/>
  <c r="AJ84" i="36"/>
  <c r="M34" i="36" s="1" a="1"/>
  <c r="M34" i="36" s="1"/>
  <c r="AJ81" i="36"/>
  <c r="AK81" i="36" s="1"/>
  <c r="O31" i="36" s="1" a="1"/>
  <c r="O31" i="36" s="1"/>
  <c r="AL82" i="36"/>
  <c r="AL84" i="36"/>
  <c r="AK75" i="36"/>
  <c r="O25" i="36" s="1" a="1"/>
  <c r="O25" i="36" s="1"/>
  <c r="AK98" i="36"/>
  <c r="A42" i="36"/>
  <c r="AK95" i="36"/>
  <c r="Y427" i="36"/>
  <c r="H52" i="36" a="1"/>
  <c r="H52" i="36" s="1"/>
  <c r="A52" i="36"/>
  <c r="I52" i="36" a="1"/>
  <c r="I52" i="36" s="1"/>
  <c r="F52" i="36" a="1"/>
  <c r="F52" i="36" s="1"/>
  <c r="G52" i="36"/>
  <c r="E52" i="36"/>
  <c r="D52" i="36" a="1"/>
  <c r="D52" i="36" s="1"/>
  <c r="C52" i="36" a="1"/>
  <c r="C52" i="36" s="1"/>
  <c r="Z173" i="36"/>
  <c r="Y173" i="36"/>
  <c r="AT362" i="36"/>
  <c r="AS362" i="36"/>
  <c r="AR362" i="36"/>
  <c r="AU362" i="36"/>
  <c r="D28" i="36" a="1"/>
  <c r="D28" i="36" s="1"/>
  <c r="A28" i="36"/>
  <c r="C28" i="36" a="1"/>
  <c r="C28" i="36" s="1"/>
  <c r="AS88" i="36"/>
  <c r="AR88" i="36"/>
  <c r="C31" i="36" a="1"/>
  <c r="C31" i="36" s="1"/>
  <c r="D31" i="36" a="1"/>
  <c r="D31" i="36" s="1"/>
  <c r="A31" i="36"/>
  <c r="AU237" i="36"/>
  <c r="AT237" i="36"/>
  <c r="AS237" i="36"/>
  <c r="AR237" i="36"/>
  <c r="Y85" i="36"/>
  <c r="Z87" i="36"/>
  <c r="AT96" i="36"/>
  <c r="AU131" i="36"/>
  <c r="AT131" i="36"/>
  <c r="AS131" i="36"/>
  <c r="AR131" i="36"/>
  <c r="Z429" i="36"/>
  <c r="Y429" i="36"/>
  <c r="AT130" i="36"/>
  <c r="AU130" i="36"/>
  <c r="AS130" i="36"/>
  <c r="C34" i="36" a="1"/>
  <c r="C34" i="36" s="1"/>
  <c r="A34" i="36"/>
  <c r="D34" i="36" a="1"/>
  <c r="D34" i="36" s="1"/>
  <c r="AR130" i="36"/>
  <c r="Y205" i="36"/>
  <c r="Y394" i="36"/>
  <c r="Y399" i="36"/>
  <c r="A24" i="36"/>
  <c r="C24" i="36" a="1"/>
  <c r="C24" i="36" s="1"/>
  <c r="D24" i="36" a="1"/>
  <c r="D24" i="36" s="1"/>
  <c r="H38" i="36" a="1"/>
  <c r="H38" i="36" s="1"/>
  <c r="D38" i="36" a="1"/>
  <c r="D38" i="36" s="1"/>
  <c r="C38" i="36" a="1"/>
  <c r="C38" i="36" s="1"/>
  <c r="I38" i="36" a="1"/>
  <c r="I38" i="36" s="1"/>
  <c r="G38" i="36"/>
  <c r="F38" i="36" a="1"/>
  <c r="F38" i="36" s="1"/>
  <c r="E38" i="36"/>
  <c r="A38" i="36"/>
  <c r="Y119" i="36"/>
  <c r="Z202" i="36"/>
  <c r="AU338" i="36"/>
  <c r="AT338" i="36"/>
  <c r="AR338" i="36"/>
  <c r="AS338" i="36"/>
  <c r="AL396" i="36"/>
  <c r="O15" i="36" s="1"/>
  <c r="AM396" i="36"/>
  <c r="AJ396" i="36"/>
  <c r="AK396" i="36" s="1"/>
  <c r="N15" i="36" s="1"/>
  <c r="C35" i="36" a="1"/>
  <c r="C35" i="36" s="1"/>
  <c r="D35" i="36" a="1"/>
  <c r="D35" i="36" s="1"/>
  <c r="A35" i="36"/>
  <c r="E35" i="36"/>
  <c r="I35" i="36" a="1"/>
  <c r="I35" i="36" s="1"/>
  <c r="G35" i="36"/>
  <c r="H35" i="36" a="1"/>
  <c r="H35" i="36" s="1"/>
  <c r="F35" i="36" a="1"/>
  <c r="F35" i="36" s="1"/>
  <c r="AU124" i="36"/>
  <c r="AT124" i="36"/>
  <c r="AS124" i="36"/>
  <c r="AR124" i="36"/>
  <c r="AU325" i="36"/>
  <c r="AT325" i="36"/>
  <c r="AS325" i="36"/>
  <c r="Y330" i="36"/>
  <c r="AS333" i="36"/>
  <c r="AR333" i="36"/>
  <c r="AU333" i="36"/>
  <c r="AT333" i="36"/>
  <c r="AI396" i="36"/>
  <c r="H36" i="36" a="1"/>
  <c r="H36" i="36" s="1"/>
  <c r="A36" i="36"/>
  <c r="I36" i="36" a="1"/>
  <c r="I36" i="36" s="1"/>
  <c r="G36" i="36"/>
  <c r="F36" i="36" a="1"/>
  <c r="F36" i="36" s="1"/>
  <c r="E36" i="36"/>
  <c r="AT73" i="36"/>
  <c r="AU73" i="36"/>
  <c r="AS73" i="36"/>
  <c r="Z120" i="36"/>
  <c r="Y120" i="36"/>
  <c r="Z121" i="36"/>
  <c r="Y121" i="36"/>
  <c r="Y129" i="36"/>
  <c r="AT194" i="36"/>
  <c r="AU194" i="36"/>
  <c r="AS194" i="36"/>
  <c r="AR325" i="36"/>
  <c r="C36" i="36" a="1"/>
  <c r="C36" i="36" s="1"/>
  <c r="AR73" i="36"/>
  <c r="AR194" i="36"/>
  <c r="Z200" i="36"/>
  <c r="Y200" i="36"/>
  <c r="AU321" i="36"/>
  <c r="AT321" i="36"/>
  <c r="AR321" i="36"/>
  <c r="AS321" i="36"/>
  <c r="AR96" i="36"/>
  <c r="Z157" i="36"/>
  <c r="Y157" i="36"/>
  <c r="Z316" i="36"/>
  <c r="Y316" i="36"/>
  <c r="AT88" i="36"/>
  <c r="AS96" i="36"/>
  <c r="Z315" i="36"/>
  <c r="Y315" i="36"/>
  <c r="Z94" i="36"/>
  <c r="Y94" i="36"/>
  <c r="AU341" i="36"/>
  <c r="AT341" i="36"/>
  <c r="AS341" i="36"/>
  <c r="Y352" i="36"/>
  <c r="H50" i="36" a="1"/>
  <c r="H50" i="36" s="1"/>
  <c r="G50" i="36"/>
  <c r="E50" i="36"/>
  <c r="I50" i="36" a="1"/>
  <c r="I50" i="36" s="1"/>
  <c r="F50" i="36" a="1"/>
  <c r="F50" i="36" s="1"/>
  <c r="D50" i="36" a="1"/>
  <c r="D50" i="36" s="1"/>
  <c r="C50" i="36" a="1"/>
  <c r="C50" i="36" s="1"/>
  <c r="Z86" i="36"/>
  <c r="Y86" i="36"/>
  <c r="Z92" i="36"/>
  <c r="Z95" i="36"/>
  <c r="Z203" i="36"/>
  <c r="Y203" i="36"/>
  <c r="AU233" i="36"/>
  <c r="AT233" i="36"/>
  <c r="AS233" i="36"/>
  <c r="AR233" i="36"/>
  <c r="AU236" i="36"/>
  <c r="AT236" i="36"/>
  <c r="AS236" i="36"/>
  <c r="AR236" i="36"/>
  <c r="AR341" i="36"/>
  <c r="Z345" i="36"/>
  <c r="Y345" i="36"/>
  <c r="Y350" i="36"/>
  <c r="D36" i="36" a="1"/>
  <c r="D36" i="36" s="1"/>
  <c r="C39" i="36" a="1"/>
  <c r="C39" i="36" s="1"/>
  <c r="A39" i="36"/>
  <c r="I39" i="36" a="1"/>
  <c r="I39" i="36" s="1"/>
  <c r="G39" i="36"/>
  <c r="H39" i="36" a="1"/>
  <c r="H39" i="36" s="1"/>
  <c r="F39" i="36" a="1"/>
  <c r="F39" i="36" s="1"/>
  <c r="E39" i="36"/>
  <c r="D39" i="36" a="1"/>
  <c r="D39" i="36" s="1"/>
  <c r="H54" i="36" a="1"/>
  <c r="H54" i="36" s="1"/>
  <c r="D54" i="36" a="1"/>
  <c r="D54" i="36" s="1"/>
  <c r="C54" i="36" a="1"/>
  <c r="C54" i="36" s="1"/>
  <c r="I54" i="36" a="1"/>
  <c r="I54" i="36" s="1"/>
  <c r="G54" i="36"/>
  <c r="F54" i="36" a="1"/>
  <c r="F54" i="36" s="1"/>
  <c r="E54" i="36"/>
  <c r="Z111" i="36"/>
  <c r="Y111" i="36"/>
  <c r="Y137" i="36"/>
  <c r="Y193" i="36"/>
  <c r="D30" i="36" a="1"/>
  <c r="D30" i="36" s="1"/>
  <c r="A30" i="36"/>
  <c r="AU178" i="36"/>
  <c r="AT178" i="36"/>
  <c r="Z183" i="36"/>
  <c r="Y183" i="36"/>
  <c r="AK212" i="36"/>
  <c r="AU320" i="36"/>
  <c r="AS320" i="36"/>
  <c r="AT320" i="36"/>
  <c r="AR320" i="36"/>
  <c r="AT89" i="36"/>
  <c r="AU89" i="36"/>
  <c r="AS89" i="36"/>
  <c r="AT97" i="36"/>
  <c r="AS97" i="36"/>
  <c r="AR97" i="36"/>
  <c r="AU97" i="36"/>
  <c r="Y156" i="36"/>
  <c r="Y160" i="36"/>
  <c r="AU206" i="36"/>
  <c r="AT206" i="36"/>
  <c r="AU207" i="36"/>
  <c r="AT207" i="36"/>
  <c r="AS207" i="36"/>
  <c r="AR207" i="36"/>
  <c r="Z349" i="36"/>
  <c r="Y349" i="36"/>
  <c r="AS361" i="36"/>
  <c r="AR361" i="36"/>
  <c r="AU361" i="36"/>
  <c r="AT361" i="36"/>
  <c r="C41" i="36" a="1"/>
  <c r="C41" i="36" s="1"/>
  <c r="F41" i="36" a="1"/>
  <c r="F41" i="36" s="1"/>
  <c r="E41" i="36"/>
  <c r="D41" i="36" a="1"/>
  <c r="D41" i="36" s="1"/>
  <c r="I41" i="36" a="1"/>
  <c r="I41" i="36" s="1"/>
  <c r="H41" i="36" a="1"/>
  <c r="H41" i="36" s="1"/>
  <c r="G41" i="36"/>
  <c r="A41" i="36"/>
  <c r="AU88" i="36"/>
  <c r="AR206" i="36"/>
  <c r="C30" i="36" a="1"/>
  <c r="C30" i="36" s="1"/>
  <c r="Z138" i="36"/>
  <c r="Y138" i="36"/>
  <c r="Z139" i="36"/>
  <c r="Y139" i="36"/>
  <c r="AR160" i="36"/>
  <c r="AT161" i="36"/>
  <c r="AU161" i="36"/>
  <c r="AR178" i="36"/>
  <c r="AS369" i="36"/>
  <c r="AR369" i="36"/>
  <c r="AU369" i="36"/>
  <c r="AT369" i="36"/>
  <c r="H40" i="36" a="1"/>
  <c r="H40" i="36" s="1"/>
  <c r="I40" i="36" a="1"/>
  <c r="I40" i="36" s="1"/>
  <c r="G40" i="36"/>
  <c r="F40" i="36" a="1"/>
  <c r="F40" i="36" s="1"/>
  <c r="E40" i="36"/>
  <c r="D40" i="36" a="1"/>
  <c r="D40" i="36" s="1"/>
  <c r="A40" i="36"/>
  <c r="C43" i="36" a="1"/>
  <c r="C43" i="36" s="1"/>
  <c r="I43" i="36" a="1"/>
  <c r="I43" i="36" s="1"/>
  <c r="H43" i="36" a="1"/>
  <c r="H43" i="36" s="1"/>
  <c r="E43" i="36"/>
  <c r="F43" i="36" a="1"/>
  <c r="F43" i="36" s="1"/>
  <c r="D43" i="36" a="1"/>
  <c r="D43" i="36" s="1"/>
  <c r="A43" i="36"/>
  <c r="AS178" i="36"/>
  <c r="Z318" i="36"/>
  <c r="Y318" i="36"/>
  <c r="AS196" i="36"/>
  <c r="AR196" i="36"/>
  <c r="AU196" i="36"/>
  <c r="AT196" i="36"/>
  <c r="AU74" i="36"/>
  <c r="AT74" i="36"/>
  <c r="Y123" i="36"/>
  <c r="Z123" i="36"/>
  <c r="AU340" i="36"/>
  <c r="AT340" i="36"/>
  <c r="AS340" i="36"/>
  <c r="AR340" i="36"/>
  <c r="AU102" i="36"/>
  <c r="AT102" i="36"/>
  <c r="AU132" i="36"/>
  <c r="AT132" i="36"/>
  <c r="AS132" i="36"/>
  <c r="AR132" i="36"/>
  <c r="Y206" i="36"/>
  <c r="Y264" i="36"/>
  <c r="AS101" i="36"/>
  <c r="Z413" i="36"/>
  <c r="Y413" i="36"/>
  <c r="C45" i="36" a="1"/>
  <c r="C45" i="36" s="1"/>
  <c r="F45" i="36" a="1"/>
  <c r="F45" i="36" s="1"/>
  <c r="E45" i="36"/>
  <c r="D45" i="36" a="1"/>
  <c r="D45" i="36" s="1"/>
  <c r="A45" i="36"/>
  <c r="C49" i="36" a="1"/>
  <c r="C49" i="36" s="1"/>
  <c r="I49" i="36" a="1"/>
  <c r="I49" i="36" s="1"/>
  <c r="A49" i="36"/>
  <c r="Z73" i="36"/>
  <c r="Z78" i="36"/>
  <c r="Y78" i="36"/>
  <c r="AT101" i="36"/>
  <c r="AR167" i="36"/>
  <c r="AS273" i="36"/>
  <c r="Y411" i="36"/>
  <c r="Y79" i="36"/>
  <c r="AS167" i="36"/>
  <c r="Z229" i="36"/>
  <c r="Y229" i="36"/>
  <c r="AS80" i="36"/>
  <c r="AR149" i="36"/>
  <c r="AR168" i="36"/>
  <c r="AT80" i="36"/>
  <c r="AR81" i="36"/>
  <c r="Z103" i="36"/>
  <c r="AU111" i="36"/>
  <c r="AT111" i="36"/>
  <c r="AR111" i="36"/>
  <c r="Y167" i="36"/>
  <c r="AU167" i="36"/>
  <c r="Y220" i="36"/>
  <c r="AS221" i="36"/>
  <c r="AS245" i="36"/>
  <c r="AU246" i="36"/>
  <c r="AT246" i="36"/>
  <c r="AS246" i="36"/>
  <c r="Z273" i="36"/>
  <c r="Y273" i="36"/>
  <c r="Z298" i="36"/>
  <c r="Y298" i="36"/>
  <c r="AU304" i="36"/>
  <c r="AT304" i="36"/>
  <c r="H44" i="36" a="1"/>
  <c r="H44" i="36" s="1"/>
  <c r="F44" i="36" a="1"/>
  <c r="F44" i="36" s="1"/>
  <c r="E44" i="36"/>
  <c r="D44" i="36" a="1"/>
  <c r="D44" i="36" s="1"/>
  <c r="G44" i="36"/>
  <c r="C44" i="36" a="1"/>
  <c r="C44" i="36" s="1"/>
  <c r="A44" i="36"/>
  <c r="E49" i="36"/>
  <c r="C55" i="36" a="1"/>
  <c r="C55" i="36" s="1"/>
  <c r="A55" i="36"/>
  <c r="D55" i="36" a="1"/>
  <c r="D55" i="36" s="1"/>
  <c r="AU80" i="36"/>
  <c r="AS110" i="36"/>
  <c r="AS111" i="36"/>
  <c r="Y113" i="36"/>
  <c r="AS114" i="36"/>
  <c r="AT149" i="36"/>
  <c r="AU183" i="36"/>
  <c r="AS183" i="36"/>
  <c r="AR183" i="36"/>
  <c r="AS187" i="36"/>
  <c r="AT187" i="36"/>
  <c r="AU187" i="36"/>
  <c r="AR214" i="36"/>
  <c r="Z217" i="36"/>
  <c r="Y217" i="36"/>
  <c r="Z244" i="36"/>
  <c r="AU245" i="36"/>
  <c r="AU293" i="36"/>
  <c r="AT293" i="36"/>
  <c r="AR293" i="36"/>
  <c r="AS293" i="36"/>
  <c r="C27" i="36" a="1"/>
  <c r="C27" i="36" s="1"/>
  <c r="C47" i="36" a="1"/>
  <c r="C47" i="36" s="1"/>
  <c r="G47" i="36"/>
  <c r="E47" i="36"/>
  <c r="A47" i="36"/>
  <c r="F49" i="36" a="1"/>
  <c r="F49" i="36" s="1"/>
  <c r="Z80" i="36"/>
  <c r="AU81" i="36"/>
  <c r="AU86" i="36"/>
  <c r="AT86" i="36"/>
  <c r="AT110" i="36"/>
  <c r="AT114" i="36"/>
  <c r="AU136" i="36"/>
  <c r="AT136" i="36"/>
  <c r="AS136" i="36"/>
  <c r="AT142" i="36"/>
  <c r="AU142" i="36"/>
  <c r="AS142" i="36"/>
  <c r="Y149" i="36"/>
  <c r="AU149" i="36"/>
  <c r="AR151" i="36"/>
  <c r="AS175" i="36"/>
  <c r="AR175" i="36"/>
  <c r="AT182" i="36"/>
  <c r="AU182" i="36"/>
  <c r="AT183" i="36"/>
  <c r="AR187" i="36"/>
  <c r="AT214" i="36"/>
  <c r="Z219" i="36"/>
  <c r="Y219" i="36"/>
  <c r="Z243" i="36"/>
  <c r="Y243" i="36"/>
  <c r="Z245" i="36"/>
  <c r="AU248" i="36"/>
  <c r="AT248" i="36"/>
  <c r="AS248" i="36"/>
  <c r="Z254" i="36"/>
  <c r="AT255" i="36"/>
  <c r="AU283" i="36"/>
  <c r="AS283" i="36"/>
  <c r="Y299" i="36"/>
  <c r="AS304" i="36"/>
  <c r="AU353" i="36"/>
  <c r="AT353" i="36"/>
  <c r="AU354" i="36"/>
  <c r="AT354" i="36"/>
  <c r="AS354" i="36"/>
  <c r="AR354" i="36"/>
  <c r="AU400" i="36"/>
  <c r="AT400" i="36"/>
  <c r="Z417" i="36"/>
  <c r="AU418" i="36"/>
  <c r="AS418" i="36"/>
  <c r="AT418" i="36"/>
  <c r="AR418" i="36"/>
  <c r="AR74" i="36"/>
  <c r="Y100" i="36"/>
  <c r="AR101" i="36"/>
  <c r="Z317" i="36"/>
  <c r="Y317" i="36"/>
  <c r="AS74" i="36"/>
  <c r="AT166" i="36"/>
  <c r="AS166" i="36"/>
  <c r="AR166" i="36"/>
  <c r="Y228" i="36"/>
  <c r="Y235" i="36"/>
  <c r="AR273" i="36"/>
  <c r="B17" i="36"/>
  <c r="D22" i="36" a="1"/>
  <c r="D22" i="36" s="1"/>
  <c r="C22" i="36" a="1"/>
  <c r="C22" i="36" s="1"/>
  <c r="A22" i="36"/>
  <c r="Y165" i="36"/>
  <c r="AU166" i="36"/>
  <c r="C53" i="36" a="1"/>
  <c r="C53" i="36" s="1"/>
  <c r="H53" i="36" a="1"/>
  <c r="H53" i="36" s="1"/>
  <c r="G53" i="36"/>
  <c r="I53" i="36" a="1"/>
  <c r="I53" i="36" s="1"/>
  <c r="D53" i="36" a="1"/>
  <c r="D53" i="36" s="1"/>
  <c r="F53" i="36" a="1"/>
  <c r="F53" i="36" s="1"/>
  <c r="E53" i="36"/>
  <c r="AU168" i="36"/>
  <c r="AT168" i="36"/>
  <c r="Z232" i="36"/>
  <c r="Y232" i="36"/>
  <c r="C29" i="36" a="1"/>
  <c r="C29" i="36" s="1"/>
  <c r="Z101" i="36"/>
  <c r="AS104" i="36"/>
  <c r="AR104" i="36"/>
  <c r="AU104" i="36"/>
  <c r="AT104" i="36"/>
  <c r="AR245" i="36"/>
  <c r="C32" i="36" a="1"/>
  <c r="C32" i="36" s="1"/>
  <c r="A32" i="36"/>
  <c r="D32" i="36" a="1"/>
  <c r="D32" i="36" s="1"/>
  <c r="H46" i="36" a="1"/>
  <c r="H46" i="36" s="1"/>
  <c r="I46" i="36" a="1"/>
  <c r="I46" i="36" s="1"/>
  <c r="D46" i="36" a="1"/>
  <c r="D46" i="36" s="1"/>
  <c r="C46" i="36" a="1"/>
  <c r="C46" i="36" s="1"/>
  <c r="A46" i="36"/>
  <c r="AU82" i="36"/>
  <c r="AT82" i="36"/>
  <c r="AR82" i="36"/>
  <c r="Z102" i="36"/>
  <c r="Y102" i="36"/>
  <c r="AR110" i="36"/>
  <c r="AR114" i="36"/>
  <c r="AS81" i="36"/>
  <c r="AS82" i="36"/>
  <c r="Z106" i="36"/>
  <c r="Y106" i="36"/>
  <c r="AT150" i="36"/>
  <c r="AS150" i="36"/>
  <c r="AR150" i="36"/>
  <c r="AR246" i="36"/>
  <c r="AR255" i="36"/>
  <c r="AR304" i="36"/>
  <c r="F46" i="36" a="1"/>
  <c r="F46" i="36" s="1"/>
  <c r="H48" i="36" a="1"/>
  <c r="H48" i="36" s="1"/>
  <c r="C48" i="36" a="1"/>
  <c r="C48" i="36" s="1"/>
  <c r="A48" i="36"/>
  <c r="Y81" i="36"/>
  <c r="Z81" i="36"/>
  <c r="AR86" i="36"/>
  <c r="Z112" i="36"/>
  <c r="Y112" i="36"/>
  <c r="AR136" i="36"/>
  <c r="AR142" i="36"/>
  <c r="AS151" i="36"/>
  <c r="AU152" i="36"/>
  <c r="AT152" i="36"/>
  <c r="AT175" i="36"/>
  <c r="AR182" i="36"/>
  <c r="AT185" i="36"/>
  <c r="AS185" i="36"/>
  <c r="AR185" i="36"/>
  <c r="AU214" i="36"/>
  <c r="AK242" i="36"/>
  <c r="AR248" i="36"/>
  <c r="AM252" i="36"/>
  <c r="AL252" i="36"/>
  <c r="O11" i="36" s="1"/>
  <c r="AU255" i="36"/>
  <c r="AT256" i="36"/>
  <c r="AU256" i="36"/>
  <c r="AS256" i="36"/>
  <c r="AR256" i="36"/>
  <c r="AR283" i="36"/>
  <c r="AU292" i="36"/>
  <c r="AT292" i="36"/>
  <c r="AS292" i="36"/>
  <c r="AR352" i="36"/>
  <c r="AR353" i="36"/>
  <c r="AU398" i="36"/>
  <c r="AS398" i="36"/>
  <c r="AT398" i="36"/>
  <c r="AR398" i="36"/>
  <c r="AR400" i="36"/>
  <c r="Z201" i="36"/>
  <c r="Y201" i="36"/>
  <c r="C25" i="36" a="1"/>
  <c r="C25" i="36" s="1"/>
  <c r="D25" i="36" a="1"/>
  <c r="D25" i="36" s="1"/>
  <c r="Y96" i="36"/>
  <c r="Z96" i="36"/>
  <c r="AU271" i="36"/>
  <c r="AS271" i="36"/>
  <c r="AT271" i="36"/>
  <c r="Z328" i="36"/>
  <c r="Y328" i="36"/>
  <c r="AU367" i="36"/>
  <c r="AT367" i="36"/>
  <c r="AR367" i="36"/>
  <c r="AS367" i="36"/>
  <c r="AR102" i="36"/>
  <c r="Y130" i="36"/>
  <c r="AT145" i="36"/>
  <c r="AS145" i="36"/>
  <c r="AU145" i="36"/>
  <c r="AU274" i="36"/>
  <c r="AT274" i="36"/>
  <c r="AS274" i="36"/>
  <c r="Y320" i="36"/>
  <c r="AS102" i="36"/>
  <c r="AU243" i="36"/>
  <c r="AT243" i="36"/>
  <c r="AS243" i="36"/>
  <c r="AR243" i="36"/>
  <c r="AR274" i="36"/>
  <c r="H42" i="36" a="1"/>
  <c r="H42" i="36" s="1"/>
  <c r="D42" i="36" a="1"/>
  <c r="D42" i="36" s="1"/>
  <c r="G42" i="36"/>
  <c r="F42" i="36" a="1"/>
  <c r="F42" i="36" s="1"/>
  <c r="E42" i="36"/>
  <c r="D56" i="36" a="1"/>
  <c r="D56" i="36" s="1"/>
  <c r="A56" i="36"/>
  <c r="C56" i="36" a="1"/>
  <c r="C56" i="36" s="1"/>
  <c r="AU112" i="36"/>
  <c r="AT112" i="36"/>
  <c r="AS112" i="36"/>
  <c r="AR112" i="36"/>
  <c r="Z131" i="36"/>
  <c r="Y131" i="36"/>
  <c r="AU221" i="36"/>
  <c r="AT221" i="36"/>
  <c r="AT273" i="36"/>
  <c r="D49" i="36" a="1"/>
  <c r="D49" i="36" s="1"/>
  <c r="AM72" i="36"/>
  <c r="I22" i="36" s="1" a="1"/>
  <c r="I22" i="36" s="1"/>
  <c r="AL72" i="36"/>
  <c r="O6" i="36" s="1"/>
  <c r="C12" i="36" s="1" a="1"/>
  <c r="C12" i="36" s="1"/>
  <c r="AJ72" i="36"/>
  <c r="M22" i="36" s="1" a="1"/>
  <c r="M22" i="36" s="1"/>
  <c r="Z231" i="36"/>
  <c r="Y231" i="36"/>
  <c r="AU300" i="36"/>
  <c r="AT300" i="36"/>
  <c r="AS300" i="36"/>
  <c r="AU305" i="36"/>
  <c r="AT305" i="36"/>
  <c r="AR305" i="36"/>
  <c r="C37" i="36" a="1"/>
  <c r="C37" i="36" s="1"/>
  <c r="H37" i="36" a="1"/>
  <c r="H37" i="36" s="1"/>
  <c r="I37" i="36" a="1"/>
  <c r="I37" i="36" s="1"/>
  <c r="G46" i="36"/>
  <c r="G49" i="36"/>
  <c r="AS93" i="36"/>
  <c r="AR93" i="36"/>
  <c r="AU120" i="36"/>
  <c r="AT120" i="36"/>
  <c r="AK134" i="36"/>
  <c r="AS159" i="36"/>
  <c r="AR159" i="36"/>
  <c r="AU90" i="36"/>
  <c r="AT90" i="36"/>
  <c r="AU98" i="36"/>
  <c r="AT98" i="36"/>
  <c r="AR98" i="36"/>
  <c r="Z74" i="36"/>
  <c r="Y74" i="36"/>
  <c r="AU116" i="36"/>
  <c r="AT116" i="36"/>
  <c r="AS116" i="36"/>
  <c r="Z186" i="36"/>
  <c r="AR197" i="36"/>
  <c r="Y304" i="36"/>
  <c r="C33" i="36" a="1"/>
  <c r="C33" i="36" s="1"/>
  <c r="Y75" i="36"/>
  <c r="AR76" i="36"/>
  <c r="Z89" i="36"/>
  <c r="AS90" i="36"/>
  <c r="AR105" i="36"/>
  <c r="AS115" i="36"/>
  <c r="AR116" i="36"/>
  <c r="Y142" i="36"/>
  <c r="Y145" i="36"/>
  <c r="AT146" i="36"/>
  <c r="AS146" i="36"/>
  <c r="AR146" i="36"/>
  <c r="AT147" i="36"/>
  <c r="AS147" i="36"/>
  <c r="AR155" i="36"/>
  <c r="Z161" i="36"/>
  <c r="AR163" i="36"/>
  <c r="AS171" i="36"/>
  <c r="Y187" i="36"/>
  <c r="AR188" i="36"/>
  <c r="AS197" i="36"/>
  <c r="Z236" i="36"/>
  <c r="Z274" i="36"/>
  <c r="Y274" i="36"/>
  <c r="Z353" i="36"/>
  <c r="Y353" i="36"/>
  <c r="AS356" i="36"/>
  <c r="AR357" i="36"/>
  <c r="AU358" i="36"/>
  <c r="AT358" i="36"/>
  <c r="AS358" i="36"/>
  <c r="Y366" i="36"/>
  <c r="Z372" i="36"/>
  <c r="AU383" i="36"/>
  <c r="AT383" i="36"/>
  <c r="AT384" i="36"/>
  <c r="AU384" i="36"/>
  <c r="AS384" i="36"/>
  <c r="AR384" i="36"/>
  <c r="Y405" i="36"/>
  <c r="AU406" i="36"/>
  <c r="AS406" i="36"/>
  <c r="AT408" i="36"/>
  <c r="AS408" i="36"/>
  <c r="Y421" i="36"/>
  <c r="AU422" i="36"/>
  <c r="AS422" i="36"/>
  <c r="AT422" i="36"/>
  <c r="AS76" i="36"/>
  <c r="AR84" i="36"/>
  <c r="Z97" i="36"/>
  <c r="AS105" i="36"/>
  <c r="AU106" i="36"/>
  <c r="AT106" i="36"/>
  <c r="Y115" i="36"/>
  <c r="AT115" i="36"/>
  <c r="Y125" i="36"/>
  <c r="AR126" i="36"/>
  <c r="AU146" i="36"/>
  <c r="AR147" i="36"/>
  <c r="AS155" i="36"/>
  <c r="AT171" i="36"/>
  <c r="AT197" i="36"/>
  <c r="AR198" i="36"/>
  <c r="AU217" i="36"/>
  <c r="AT217" i="36"/>
  <c r="AS217" i="36"/>
  <c r="Y224" i="36"/>
  <c r="Z237" i="36"/>
  <c r="Y237" i="36"/>
  <c r="Z238" i="36"/>
  <c r="Y238" i="36"/>
  <c r="AU263" i="36"/>
  <c r="AS263" i="36"/>
  <c r="AU315" i="36"/>
  <c r="AT315" i="36"/>
  <c r="AT356" i="36"/>
  <c r="AS357" i="36"/>
  <c r="AR358" i="36"/>
  <c r="Z371" i="36"/>
  <c r="Y371" i="36"/>
  <c r="Y375" i="36"/>
  <c r="AU379" i="36"/>
  <c r="AT379" i="36"/>
  <c r="AS379" i="36"/>
  <c r="AS381" i="36"/>
  <c r="AR381" i="36"/>
  <c r="AU381" i="36"/>
  <c r="AT381" i="36"/>
  <c r="AR383" i="36"/>
  <c r="AS393" i="36"/>
  <c r="AR393" i="36"/>
  <c r="AR406" i="36"/>
  <c r="AR408" i="36"/>
  <c r="AU410" i="36"/>
  <c r="AS410" i="36"/>
  <c r="AR422" i="36"/>
  <c r="AM180" i="36"/>
  <c r="AJ180" i="36"/>
  <c r="AK180" i="36" s="1"/>
  <c r="N9" i="36" s="1"/>
  <c r="Z258" i="36"/>
  <c r="Y258" i="36"/>
  <c r="Z336" i="36"/>
  <c r="Y336" i="36"/>
  <c r="AT376" i="36"/>
  <c r="AU376" i="36"/>
  <c r="AR90" i="36"/>
  <c r="AS98" i="36"/>
  <c r="AT162" i="36"/>
  <c r="AS162" i="36"/>
  <c r="AR162" i="36"/>
  <c r="AR171" i="36"/>
  <c r="AI180" i="36"/>
  <c r="Z306" i="36"/>
  <c r="Y306" i="36"/>
  <c r="AU370" i="36"/>
  <c r="AT370" i="36"/>
  <c r="AS370" i="36"/>
  <c r="AR370" i="36"/>
  <c r="AR376" i="36"/>
  <c r="Z403" i="36"/>
  <c r="Y403" i="36"/>
  <c r="D33" i="36" a="1"/>
  <c r="D33" i="36" s="1"/>
  <c r="AU76" i="36"/>
  <c r="AS77" i="36"/>
  <c r="AR77" i="36"/>
  <c r="AS84" i="36"/>
  <c r="Z90" i="36"/>
  <c r="Y90" i="36"/>
  <c r="AT105" i="36"/>
  <c r="AU147" i="36"/>
  <c r="AT155" i="36"/>
  <c r="AU219" i="36"/>
  <c r="AT219" i="36"/>
  <c r="AU281" i="36"/>
  <c r="AT281" i="36"/>
  <c r="AK310" i="36"/>
  <c r="AU356" i="36"/>
  <c r="C23" i="36" a="1"/>
  <c r="C23" i="36" s="1"/>
  <c r="A23" i="36"/>
  <c r="C51" i="36" a="1"/>
  <c r="C51" i="36" s="1"/>
  <c r="D51" i="36" a="1"/>
  <c r="D51" i="36" s="1"/>
  <c r="Z76" i="36"/>
  <c r="AT77" i="36"/>
  <c r="Y84" i="36"/>
  <c r="AT84" i="36"/>
  <c r="Y91" i="36"/>
  <c r="AR92" i="36"/>
  <c r="Z116" i="36"/>
  <c r="Y116" i="36"/>
  <c r="AT126" i="36"/>
  <c r="AM144" i="36"/>
  <c r="AL144" i="36"/>
  <c r="O8" i="36" s="1"/>
  <c r="AJ144" i="36"/>
  <c r="AK144" i="36" s="1"/>
  <c r="N8" i="36" s="1"/>
  <c r="Y155" i="36"/>
  <c r="AR156" i="36"/>
  <c r="AU173" i="36"/>
  <c r="AT173" i="36"/>
  <c r="AU198" i="36"/>
  <c r="AT199" i="36"/>
  <c r="AS199" i="36"/>
  <c r="AR199" i="36"/>
  <c r="AU201" i="36"/>
  <c r="AS201" i="36"/>
  <c r="AR201" i="36"/>
  <c r="AT202" i="36"/>
  <c r="AS202" i="36"/>
  <c r="AR202" i="36"/>
  <c r="AR213" i="36"/>
  <c r="AR219" i="36"/>
  <c r="AU229" i="36"/>
  <c r="AT229" i="36"/>
  <c r="Z239" i="36"/>
  <c r="Y239" i="36"/>
  <c r="AU265" i="36"/>
  <c r="AT265" i="36"/>
  <c r="AU266" i="36"/>
  <c r="AT266" i="36"/>
  <c r="AS266" i="36"/>
  <c r="AR266" i="36"/>
  <c r="AR281" i="36"/>
  <c r="Z313" i="36"/>
  <c r="Y313" i="36"/>
  <c r="AU317" i="36"/>
  <c r="AT317" i="36"/>
  <c r="AR317" i="36"/>
  <c r="Y378" i="36"/>
  <c r="Z392" i="36"/>
  <c r="AR394" i="36"/>
  <c r="AU412" i="36"/>
  <c r="AT412" i="36"/>
  <c r="AS412" i="36"/>
  <c r="AT170" i="36"/>
  <c r="AS170" i="36"/>
  <c r="AR170" i="36"/>
  <c r="Z178" i="36"/>
  <c r="Y178" i="36"/>
  <c r="Z337" i="36"/>
  <c r="Y337" i="36"/>
  <c r="AR115" i="36"/>
  <c r="AT154" i="36"/>
  <c r="AS154" i="36"/>
  <c r="AR154" i="36"/>
  <c r="AT163" i="36"/>
  <c r="AS163" i="36"/>
  <c r="AT188" i="36"/>
  <c r="AS188" i="36"/>
  <c r="AT308" i="36"/>
  <c r="AU308" i="36"/>
  <c r="AS308" i="36"/>
  <c r="AR308" i="36"/>
  <c r="Z117" i="36"/>
  <c r="Y117" i="36"/>
  <c r="AS126" i="36"/>
  <c r="AS198" i="36"/>
  <c r="AU289" i="36"/>
  <c r="AT289" i="36"/>
  <c r="AR289" i="36"/>
  <c r="AT357" i="36"/>
  <c r="AU77" i="36"/>
  <c r="AS92" i="36"/>
  <c r="AU127" i="36"/>
  <c r="AS127" i="36"/>
  <c r="AR127" i="36"/>
  <c r="AU128" i="36"/>
  <c r="AT128" i="36"/>
  <c r="AS128" i="36"/>
  <c r="AR128" i="36"/>
  <c r="AI144" i="36"/>
  <c r="AU157" i="36"/>
  <c r="AT157" i="36"/>
  <c r="AR173" i="36"/>
  <c r="Y198" i="36"/>
  <c r="Z198" i="36"/>
  <c r="AU199" i="36"/>
  <c r="AR200" i="36"/>
  <c r="AT201" i="36"/>
  <c r="AU202" i="36"/>
  <c r="Y211" i="36"/>
  <c r="AS219" i="36"/>
  <c r="AR229" i="36"/>
  <c r="Z261" i="36"/>
  <c r="Y261" i="36"/>
  <c r="AR265" i="36"/>
  <c r="AU269" i="36"/>
  <c r="AT269" i="36"/>
  <c r="AS269" i="36"/>
  <c r="AR269" i="36"/>
  <c r="AS281" i="36"/>
  <c r="AS317" i="36"/>
  <c r="AU326" i="36"/>
  <c r="AT326" i="36"/>
  <c r="AS326" i="36"/>
  <c r="AR326" i="36"/>
  <c r="AT329" i="36"/>
  <c r="AU329" i="36"/>
  <c r="AS329" i="36"/>
  <c r="AR329" i="36"/>
  <c r="Y382" i="36"/>
  <c r="Z407" i="36"/>
  <c r="Y407" i="36"/>
  <c r="AR412" i="36"/>
  <c r="AU189" i="36"/>
  <c r="AT189" i="36"/>
  <c r="AJ216" i="36"/>
  <c r="AK216" i="36" s="1"/>
  <c r="N10" i="36" s="1"/>
  <c r="AI216" i="36"/>
  <c r="AM216" i="36"/>
  <c r="AL216" i="36"/>
  <c r="O10" i="36" s="1"/>
  <c r="AU295" i="36"/>
  <c r="AT295" i="36"/>
  <c r="AS295" i="36"/>
  <c r="AU414" i="36"/>
  <c r="AS414" i="36"/>
  <c r="AT414" i="36"/>
  <c r="AR414" i="36"/>
  <c r="AR122" i="36"/>
  <c r="AR139" i="36"/>
  <c r="AT158" i="36"/>
  <c r="AS158" i="36"/>
  <c r="AR158" i="36"/>
  <c r="AT174" i="36"/>
  <c r="AS174" i="36"/>
  <c r="AR174" i="36"/>
  <c r="Z182" i="36"/>
  <c r="AR189" i="36"/>
  <c r="Z221" i="36"/>
  <c r="Y221" i="36"/>
  <c r="AU231" i="36"/>
  <c r="AT231" i="36"/>
  <c r="AU232" i="36"/>
  <c r="AT232" i="36"/>
  <c r="AS232" i="36"/>
  <c r="AR232" i="36"/>
  <c r="Z266" i="36"/>
  <c r="Y266" i="36"/>
  <c r="AR295" i="36"/>
  <c r="AU309" i="36"/>
  <c r="AT309" i="36"/>
  <c r="AR309" i="36"/>
  <c r="Y338" i="36"/>
  <c r="AR344" i="36"/>
  <c r="AR371" i="36"/>
  <c r="Z401" i="36"/>
  <c r="Y401" i="36"/>
  <c r="AT425" i="36"/>
  <c r="AS425" i="36"/>
  <c r="AR425" i="36"/>
  <c r="AJ360" i="36"/>
  <c r="AK360" i="36" s="1"/>
  <c r="N14" i="36" s="1"/>
  <c r="AI360" i="36"/>
  <c r="AT372" i="36"/>
  <c r="AS372" i="36"/>
  <c r="AR372" i="36"/>
  <c r="AK382" i="36"/>
  <c r="AS385" i="36"/>
  <c r="AR385" i="36"/>
  <c r="AU385" i="36"/>
  <c r="AT385" i="36"/>
  <c r="AT388" i="36"/>
  <c r="AU388" i="36"/>
  <c r="AS388" i="36"/>
  <c r="AU426" i="36"/>
  <c r="AS426" i="36"/>
  <c r="AT122" i="36"/>
  <c r="AK138" i="36"/>
  <c r="AT139" i="36"/>
  <c r="AU140" i="36"/>
  <c r="AT140" i="36"/>
  <c r="AS140" i="36"/>
  <c r="Z233" i="36"/>
  <c r="Y233" i="36"/>
  <c r="AU279" i="36"/>
  <c r="AS279" i="36"/>
  <c r="AJ288" i="36"/>
  <c r="AK288" i="36" s="1"/>
  <c r="N12" i="36" s="1"/>
  <c r="AI288" i="36"/>
  <c r="Y294" i="36"/>
  <c r="Y329" i="36"/>
  <c r="Z341" i="36"/>
  <c r="Y341" i="36"/>
  <c r="Y344" i="36"/>
  <c r="AT344" i="36"/>
  <c r="AU346" i="36"/>
  <c r="AT346" i="36"/>
  <c r="AS346" i="36"/>
  <c r="AR346" i="36"/>
  <c r="AT371" i="36"/>
  <c r="AU372" i="36"/>
  <c r="AS373" i="36"/>
  <c r="AR373" i="36"/>
  <c r="AU373" i="36"/>
  <c r="Y384" i="36"/>
  <c r="Z384" i="36"/>
  <c r="AU387" i="36"/>
  <c r="AT387" i="36"/>
  <c r="AR388" i="36"/>
  <c r="AT404" i="36"/>
  <c r="AS404" i="36"/>
  <c r="AR404" i="36"/>
  <c r="Y424" i="36"/>
  <c r="AR426" i="36"/>
  <c r="AU428" i="36"/>
  <c r="AT428" i="36"/>
  <c r="AU429" i="36"/>
  <c r="AT429" i="36"/>
  <c r="AS429" i="36"/>
  <c r="AR429" i="36"/>
  <c r="AU257" i="36"/>
  <c r="AT257" i="36"/>
  <c r="AS257" i="36"/>
  <c r="Z276" i="36"/>
  <c r="Y276" i="36"/>
  <c r="AS278" i="36"/>
  <c r="AR278" i="36"/>
  <c r="AU297" i="36"/>
  <c r="AT297" i="36"/>
  <c r="AR297" i="36"/>
  <c r="AU78" i="36"/>
  <c r="AT78" i="36"/>
  <c r="Z82" i="36"/>
  <c r="Y82" i="36"/>
  <c r="AU94" i="36"/>
  <c r="AT94" i="36"/>
  <c r="Z98" i="36"/>
  <c r="Y98" i="36"/>
  <c r="AR140" i="36"/>
  <c r="Z189" i="36"/>
  <c r="Y189" i="36"/>
  <c r="AT210" i="36"/>
  <c r="AS210" i="36"/>
  <c r="AR210" i="36"/>
  <c r="AU225" i="36"/>
  <c r="AT225" i="36"/>
  <c r="Z241" i="36"/>
  <c r="Y241" i="36"/>
  <c r="AU252" i="36"/>
  <c r="AT252" i="36"/>
  <c r="Z269" i="36"/>
  <c r="Y269" i="36"/>
  <c r="AU278" i="36"/>
  <c r="AR279" i="36"/>
  <c r="Z293" i="36"/>
  <c r="Y293" i="36"/>
  <c r="AU301" i="36"/>
  <c r="AT301" i="36"/>
  <c r="AR301" i="36"/>
  <c r="AS301" i="36"/>
  <c r="Z310" i="36"/>
  <c r="Y310" i="36"/>
  <c r="Z340" i="36"/>
  <c r="Y340" i="36"/>
  <c r="AU350" i="36"/>
  <c r="AS350" i="36"/>
  <c r="AR350" i="36"/>
  <c r="AR360" i="36"/>
  <c r="AT373" i="36"/>
  <c r="AR387" i="36"/>
  <c r="AU404" i="36"/>
  <c r="AT426" i="36"/>
  <c r="AR428" i="36"/>
  <c r="AT249" i="36"/>
  <c r="AU249" i="36"/>
  <c r="AU275" i="36"/>
  <c r="AS275" i="36"/>
  <c r="AT285" i="36"/>
  <c r="AS285" i="36"/>
  <c r="Z309" i="36"/>
  <c r="Y309" i="36"/>
  <c r="Z332" i="36"/>
  <c r="Y332" i="36"/>
  <c r="AS365" i="36"/>
  <c r="AR365" i="36"/>
  <c r="AS377" i="36"/>
  <c r="AR377" i="36"/>
  <c r="AT420" i="36"/>
  <c r="AS420" i="36"/>
  <c r="AR420" i="36"/>
  <c r="AR190" i="36"/>
  <c r="AR249" i="36"/>
  <c r="AU250" i="36"/>
  <c r="AS250" i="36"/>
  <c r="AR250" i="36"/>
  <c r="AR261" i="36"/>
  <c r="AR275" i="36"/>
  <c r="AR285" i="36"/>
  <c r="AK356" i="36"/>
  <c r="Y357" i="36"/>
  <c r="AT365" i="36"/>
  <c r="AT377" i="36"/>
  <c r="AS389" i="36"/>
  <c r="AR389" i="36"/>
  <c r="AU389" i="36"/>
  <c r="AT389" i="36"/>
  <c r="AT391" i="36"/>
  <c r="AS391" i="36"/>
  <c r="AR391" i="36"/>
  <c r="AU402" i="36"/>
  <c r="AS402" i="36"/>
  <c r="AU420" i="36"/>
  <c r="Z225" i="36"/>
  <c r="Y225" i="36"/>
  <c r="AT241" i="36"/>
  <c r="AU241" i="36"/>
  <c r="AK246" i="36"/>
  <c r="Z300" i="36"/>
  <c r="Y300" i="36"/>
  <c r="Z301" i="36"/>
  <c r="Y301" i="36"/>
  <c r="AU312" i="36"/>
  <c r="AT312" i="36"/>
  <c r="AS312" i="36"/>
  <c r="Z321" i="36"/>
  <c r="Y321" i="36"/>
  <c r="AU336" i="36"/>
  <c r="AT336" i="36"/>
  <c r="AT348" i="36"/>
  <c r="AS348" i="36"/>
  <c r="AR348" i="36"/>
  <c r="AK400" i="36"/>
  <c r="Z419" i="36"/>
  <c r="Y419" i="36"/>
  <c r="AU286" i="36"/>
  <c r="AT286" i="36"/>
  <c r="AS286" i="36"/>
  <c r="Z297" i="36"/>
  <c r="Y297" i="36"/>
  <c r="Z305" i="36"/>
  <c r="Y305" i="36"/>
  <c r="AU342" i="36"/>
  <c r="AT342" i="36"/>
  <c r="AS342" i="36"/>
  <c r="AR342" i="36"/>
  <c r="AK248" i="36"/>
  <c r="Z249" i="36"/>
  <c r="AR259" i="36"/>
  <c r="AK264" i="36"/>
  <c r="AR286" i="36"/>
  <c r="AT307" i="36"/>
  <c r="AS307" i="36"/>
  <c r="AR307" i="36"/>
  <c r="AK321" i="36"/>
  <c r="AL324" i="36"/>
  <c r="O13" i="36" s="1"/>
  <c r="AJ324" i="36"/>
  <c r="AK324" i="36" s="1"/>
  <c r="N13" i="36" s="1"/>
  <c r="Z358" i="36"/>
  <c r="Y358" i="36"/>
  <c r="AR364" i="36"/>
  <c r="Z380" i="36"/>
  <c r="Z388" i="36"/>
  <c r="AR390" i="36"/>
  <c r="AT409" i="36"/>
  <c r="AS409" i="36"/>
  <c r="AR409" i="36"/>
  <c r="AK420" i="36"/>
  <c r="AU430" i="36"/>
  <c r="AS430" i="36"/>
  <c r="AT430" i="36"/>
  <c r="AR430" i="36"/>
  <c r="AK265" i="36"/>
  <c r="AU313" i="36"/>
  <c r="AT313" i="36"/>
  <c r="AR313" i="36"/>
  <c r="AK357" i="36"/>
  <c r="AR204" i="36"/>
  <c r="AR208" i="36"/>
  <c r="AR212" i="36"/>
  <c r="AR262" i="36"/>
  <c r="AU267" i="36"/>
  <c r="AS267" i="36"/>
  <c r="AR277" i="36"/>
  <c r="Y281" i="36"/>
  <c r="AK285" i="36"/>
  <c r="Y286" i="36"/>
  <c r="Y295" i="36"/>
  <c r="Y312" i="36"/>
  <c r="AS313" i="36"/>
  <c r="AR319" i="36"/>
  <c r="AR337" i="36"/>
  <c r="Y367" i="36"/>
  <c r="AR368" i="36"/>
  <c r="AR374" i="36"/>
  <c r="Z289" i="36"/>
  <c r="Y289" i="36"/>
  <c r="AK325" i="36"/>
  <c r="Y326" i="36"/>
  <c r="AS368" i="36"/>
  <c r="AR380" i="36"/>
  <c r="AK408" i="36"/>
  <c r="AK424" i="36"/>
  <c r="AS347" i="36"/>
  <c r="AS351" i="36"/>
  <c r="Z421" i="35"/>
  <c r="Y424" i="35"/>
  <c r="Z392" i="35"/>
  <c r="Y369" i="35"/>
  <c r="Z382" i="35"/>
  <c r="Y383" i="35"/>
  <c r="Y365" i="35"/>
  <c r="Z372" i="35"/>
  <c r="Y393" i="35"/>
  <c r="Z343" i="35"/>
  <c r="Z355" i="35"/>
  <c r="Y351" i="35"/>
  <c r="Z278" i="35"/>
  <c r="Z268" i="35"/>
  <c r="Y277" i="35"/>
  <c r="Z286" i="35"/>
  <c r="Y227" i="35"/>
  <c r="Z236" i="35"/>
  <c r="Y218" i="35"/>
  <c r="Y223" i="35"/>
  <c r="Z241" i="35"/>
  <c r="Y196" i="35"/>
  <c r="Y167" i="35"/>
  <c r="Z159" i="35"/>
  <c r="Y109" i="35"/>
  <c r="Y73" i="35"/>
  <c r="Y93" i="35"/>
  <c r="Z102" i="35"/>
  <c r="AK422" i="35"/>
  <c r="AL397" i="35"/>
  <c r="AM397" i="35"/>
  <c r="AM400" i="35"/>
  <c r="AI403" i="35"/>
  <c r="AM402" i="35"/>
  <c r="AJ403" i="35"/>
  <c r="AK403" i="35" s="1"/>
  <c r="AL403" i="35"/>
  <c r="AL402" i="35"/>
  <c r="AK420" i="35"/>
  <c r="AI430" i="35"/>
  <c r="AJ430" i="35"/>
  <c r="AK430" i="35" s="1"/>
  <c r="AM430" i="35"/>
  <c r="AM398" i="35"/>
  <c r="AK402" i="35"/>
  <c r="AK408" i="35"/>
  <c r="AK409" i="35"/>
  <c r="AK425" i="35"/>
  <c r="AM369" i="35"/>
  <c r="AK393" i="35"/>
  <c r="AK363" i="35"/>
  <c r="AI373" i="35"/>
  <c r="AK387" i="35"/>
  <c r="AM392" i="35"/>
  <c r="AM370" i="35"/>
  <c r="AM361" i="35"/>
  <c r="AJ365" i="35"/>
  <c r="AK365" i="35" s="1"/>
  <c r="AL367" i="35"/>
  <c r="AJ370" i="35"/>
  <c r="AK370" i="35" s="1"/>
  <c r="AK378" i="35"/>
  <c r="AK379" i="35"/>
  <c r="AL365" i="35"/>
  <c r="AM367" i="35"/>
  <c r="AM394" i="35"/>
  <c r="AM372" i="35"/>
  <c r="AM371" i="35"/>
  <c r="AI372" i="35"/>
  <c r="AM365" i="35"/>
  <c r="AK336" i="35"/>
  <c r="AK309" i="35"/>
  <c r="AJ319" i="35"/>
  <c r="AK319" i="35" s="1"/>
  <c r="AJ294" i="35"/>
  <c r="AK294" i="35" s="1"/>
  <c r="AK333" i="35"/>
  <c r="AK335" i="35"/>
  <c r="AK313" i="35"/>
  <c r="AK316" i="35"/>
  <c r="AK326" i="35"/>
  <c r="AM325" i="35"/>
  <c r="AK303" i="35"/>
  <c r="AK302" i="35"/>
  <c r="AK330" i="35"/>
  <c r="AM289" i="35"/>
  <c r="AM294" i="35"/>
  <c r="AK306" i="35"/>
  <c r="AK315" i="35"/>
  <c r="AK324" i="35"/>
  <c r="N13" i="35" s="1"/>
  <c r="AK348" i="35"/>
  <c r="AK351" i="35"/>
  <c r="AM293" i="35"/>
  <c r="AL320" i="35"/>
  <c r="AL293" i="35"/>
  <c r="AM297" i="35"/>
  <c r="AK312" i="35"/>
  <c r="AJ327" i="35"/>
  <c r="AK327" i="35" s="1"/>
  <c r="AK291" i="35"/>
  <c r="AM319" i="35"/>
  <c r="AI319" i="35"/>
  <c r="AM322" i="35"/>
  <c r="AI326" i="35"/>
  <c r="AM290" i="35"/>
  <c r="AM296" i="35"/>
  <c r="AM299" i="35"/>
  <c r="AJ320" i="35"/>
  <c r="AK320" i="35" s="1"/>
  <c r="AJ331" i="35"/>
  <c r="AK331" i="35" s="1"/>
  <c r="AL292" i="35"/>
  <c r="AI290" i="35"/>
  <c r="AJ296" i="35"/>
  <c r="AK296" i="35" s="1"/>
  <c r="AK310" i="35"/>
  <c r="AM332" i="35"/>
  <c r="AJ290" i="35"/>
  <c r="AK290" i="35" s="1"/>
  <c r="AM295" i="35"/>
  <c r="AK355" i="35"/>
  <c r="AM328" i="35"/>
  <c r="AM292" i="35"/>
  <c r="AM318" i="35"/>
  <c r="AM330" i="35"/>
  <c r="AM326" i="35"/>
  <c r="AM329" i="35"/>
  <c r="AM298" i="35"/>
  <c r="AK308" i="35"/>
  <c r="AM321" i="35"/>
  <c r="AK339" i="35"/>
  <c r="AL325" i="35"/>
  <c r="AI259" i="35"/>
  <c r="L29" i="35" s="1" a="1"/>
  <c r="L29" i="35" s="1"/>
  <c r="AL260" i="35"/>
  <c r="AJ261" i="35"/>
  <c r="M31" i="35" s="1" a="1"/>
  <c r="M31" i="35" s="1"/>
  <c r="AJ259" i="35"/>
  <c r="AK259" i="35" s="1"/>
  <c r="O29" i="35" s="1" a="1"/>
  <c r="O29" i="35" s="1"/>
  <c r="AM260" i="35"/>
  <c r="I30" i="35" s="1" a="1"/>
  <c r="I30" i="35" s="1"/>
  <c r="AL261" i="35"/>
  <c r="AK262" i="35"/>
  <c r="AI261" i="35"/>
  <c r="L31" i="35" s="1" a="1"/>
  <c r="L31" i="35" s="1"/>
  <c r="AM258" i="35"/>
  <c r="I28" i="35" s="1" a="1"/>
  <c r="I28" i="35" s="1"/>
  <c r="AK282" i="35"/>
  <c r="AL258" i="35"/>
  <c r="AM286" i="35"/>
  <c r="AL259" i="35"/>
  <c r="AM285" i="35"/>
  <c r="I55" i="35" s="1" a="1"/>
  <c r="I55" i="35" s="1"/>
  <c r="AK264" i="35"/>
  <c r="AM256" i="35"/>
  <c r="AM254" i="35"/>
  <c r="I24" i="35" s="1" a="1"/>
  <c r="I24" i="35" s="1"/>
  <c r="AK273" i="35"/>
  <c r="AK276" i="35"/>
  <c r="AK277" i="35"/>
  <c r="AJ260" i="35"/>
  <c r="M30" i="35" s="1" a="1"/>
  <c r="M30" i="35" s="1"/>
  <c r="AK274" i="35"/>
  <c r="AM249" i="35"/>
  <c r="AM217" i="35"/>
  <c r="AK234" i="35"/>
  <c r="AM219" i="35"/>
  <c r="AK222" i="35"/>
  <c r="AK235" i="35"/>
  <c r="AL219" i="35"/>
  <c r="AK226" i="35"/>
  <c r="AM218" i="35"/>
  <c r="AL217" i="35"/>
  <c r="AK246" i="35"/>
  <c r="AK224" i="35"/>
  <c r="AM221" i="35"/>
  <c r="AK232" i="35"/>
  <c r="AK243" i="35"/>
  <c r="AK200" i="35"/>
  <c r="AK201" i="35"/>
  <c r="AM181" i="35"/>
  <c r="AI188" i="35"/>
  <c r="AK198" i="35"/>
  <c r="AK206" i="35"/>
  <c r="AM183" i="35"/>
  <c r="AM182" i="35"/>
  <c r="AL180" i="35"/>
  <c r="O9" i="35" s="1"/>
  <c r="AM189" i="35"/>
  <c r="AK195" i="35"/>
  <c r="AK203" i="35"/>
  <c r="AI189" i="35"/>
  <c r="AL188" i="35"/>
  <c r="AJ189" i="35"/>
  <c r="AK189" i="35" s="1"/>
  <c r="AK196" i="35"/>
  <c r="AK204" i="35"/>
  <c r="AM152" i="35"/>
  <c r="AI151" i="35"/>
  <c r="AJ151" i="35"/>
  <c r="AK151" i="35" s="1"/>
  <c r="AK155" i="35"/>
  <c r="AK168" i="35"/>
  <c r="AM147" i="35"/>
  <c r="AK178" i="35"/>
  <c r="AK175" i="35"/>
  <c r="AK167" i="35"/>
  <c r="AM145" i="35"/>
  <c r="AI149" i="35"/>
  <c r="AJ145" i="35"/>
  <c r="AK145" i="35" s="1"/>
  <c r="AJ148" i="35"/>
  <c r="AK148" i="35" s="1"/>
  <c r="AK162" i="35"/>
  <c r="AM141" i="35"/>
  <c r="AK125" i="35"/>
  <c r="AK121" i="35"/>
  <c r="AM108" i="35"/>
  <c r="AI113" i="35"/>
  <c r="AK130" i="35"/>
  <c r="AK113" i="35"/>
  <c r="AL141" i="35"/>
  <c r="AK126" i="35"/>
  <c r="AM112" i="35"/>
  <c r="AM119" i="35"/>
  <c r="AK132" i="35"/>
  <c r="AI114" i="35"/>
  <c r="AL142" i="35"/>
  <c r="AI111" i="35"/>
  <c r="AJ114" i="35"/>
  <c r="AK114" i="35" s="1"/>
  <c r="AK133" i="35"/>
  <c r="AK135" i="35"/>
  <c r="AM142" i="35"/>
  <c r="AM110" i="35"/>
  <c r="AM111" i="35"/>
  <c r="AJ110" i="35"/>
  <c r="AK110" i="35" s="1"/>
  <c r="AM113" i="35"/>
  <c r="AI119" i="35"/>
  <c r="AJ119" i="35"/>
  <c r="AK119" i="35" s="1"/>
  <c r="AL109" i="35"/>
  <c r="AM116" i="35"/>
  <c r="AK117" i="35"/>
  <c r="AL119" i="35"/>
  <c r="AK128" i="35"/>
  <c r="AK139" i="35"/>
  <c r="AL108" i="35"/>
  <c r="O7" i="35" s="1"/>
  <c r="AM109" i="35"/>
  <c r="AI116" i="35"/>
  <c r="AM115" i="35"/>
  <c r="AM118" i="35"/>
  <c r="AJ116" i="35"/>
  <c r="AK116" i="35" s="1"/>
  <c r="AJ109" i="35"/>
  <c r="AK109" i="35" s="1"/>
  <c r="AJ118" i="35"/>
  <c r="AK118" i="35" s="1"/>
  <c r="AL116" i="35"/>
  <c r="AK137" i="35"/>
  <c r="AK138" i="35"/>
  <c r="AM114" i="35"/>
  <c r="AI77" i="35"/>
  <c r="AJ75" i="35"/>
  <c r="AK75" i="35" s="1"/>
  <c r="AI74" i="35"/>
  <c r="AL75" i="35"/>
  <c r="AI73" i="35"/>
  <c r="AJ74" i="35"/>
  <c r="AK74" i="35" s="1"/>
  <c r="AM75" i="35"/>
  <c r="AJ73" i="35"/>
  <c r="AK73" i="35" s="1"/>
  <c r="AL74" i="35"/>
  <c r="AK81" i="35"/>
  <c r="AK83" i="35"/>
  <c r="AL73" i="35"/>
  <c r="AK79" i="35"/>
  <c r="AM104" i="35"/>
  <c r="I54" i="35" s="1" a="1"/>
  <c r="I54" i="35" s="1"/>
  <c r="AL76" i="35"/>
  <c r="AL77" i="35"/>
  <c r="D24" i="35" a="1"/>
  <c r="D24" i="35" s="1"/>
  <c r="AK90" i="35"/>
  <c r="AM78" i="35"/>
  <c r="AK88" i="35"/>
  <c r="AM105" i="35"/>
  <c r="AJ76" i="35"/>
  <c r="AK76" i="35" s="1"/>
  <c r="AJ77" i="35"/>
  <c r="AK77" i="35" s="1"/>
  <c r="AM76" i="35"/>
  <c r="C27" i="35" a="1"/>
  <c r="C27" i="35" s="1"/>
  <c r="AI78" i="35"/>
  <c r="AK397" i="35"/>
  <c r="Z403" i="35"/>
  <c r="AK407" i="35"/>
  <c r="Y401" i="35"/>
  <c r="AK405" i="35"/>
  <c r="AK410" i="35"/>
  <c r="AK411" i="35"/>
  <c r="AK406" i="35"/>
  <c r="Y429" i="35"/>
  <c r="AI402" i="35"/>
  <c r="AK404" i="35"/>
  <c r="AK412" i="35"/>
  <c r="Z397" i="35"/>
  <c r="AL399" i="35"/>
  <c r="AJ400" i="35"/>
  <c r="AK400" i="35" s="1"/>
  <c r="AJ401" i="35"/>
  <c r="AK401" i="35" s="1"/>
  <c r="AJ399" i="35"/>
  <c r="AK399" i="35" s="1"/>
  <c r="AI400" i="35"/>
  <c r="AI401" i="35"/>
  <c r="Y422" i="35"/>
  <c r="AM399" i="35"/>
  <c r="AL400" i="35"/>
  <c r="AL401" i="35"/>
  <c r="AJ398" i="35"/>
  <c r="AK398" i="35" s="1"/>
  <c r="Z412" i="35"/>
  <c r="AI397" i="35"/>
  <c r="AL398" i="35"/>
  <c r="AK421" i="35"/>
  <c r="Z405" i="35"/>
  <c r="AK419" i="35"/>
  <c r="AK423" i="35"/>
  <c r="AK424" i="35"/>
  <c r="Y414" i="35"/>
  <c r="Y418" i="35"/>
  <c r="AM368" i="35"/>
  <c r="AK362" i="35"/>
  <c r="AI361" i="35"/>
  <c r="AI362" i="35"/>
  <c r="AJ361" i="35"/>
  <c r="AK361" i="35" s="1"/>
  <c r="Y384" i="35"/>
  <c r="Y387" i="35"/>
  <c r="AL361" i="35"/>
  <c r="AL362" i="35"/>
  <c r="AL363" i="35"/>
  <c r="Z385" i="35"/>
  <c r="Z389" i="35"/>
  <c r="AI391" i="35"/>
  <c r="AJ392" i="35"/>
  <c r="AK392" i="35" s="1"/>
  <c r="AI394" i="35"/>
  <c r="AM362" i="35"/>
  <c r="AM363" i="35"/>
  <c r="AI390" i="35"/>
  <c r="AJ391" i="35"/>
  <c r="AK391" i="35" s="1"/>
  <c r="AI393" i="35"/>
  <c r="AJ394" i="35"/>
  <c r="AK394" i="35" s="1"/>
  <c r="AI363" i="35"/>
  <c r="Y381" i="35"/>
  <c r="AI392" i="35"/>
  <c r="AL391" i="35"/>
  <c r="AL392" i="35"/>
  <c r="AL394" i="35"/>
  <c r="AL393" i="35"/>
  <c r="AI371" i="35"/>
  <c r="Z373" i="35"/>
  <c r="AK376" i="35"/>
  <c r="AK384" i="35"/>
  <c r="AL390" i="35"/>
  <c r="AM393" i="35"/>
  <c r="AI370" i="35"/>
  <c r="AJ371" i="35"/>
  <c r="AK371" i="35" s="1"/>
  <c r="AM390" i="35"/>
  <c r="AK386" i="35"/>
  <c r="AK388" i="35"/>
  <c r="AK366" i="35"/>
  <c r="AI368" i="35"/>
  <c r="AI369" i="35"/>
  <c r="AL370" i="35"/>
  <c r="AJ372" i="35"/>
  <c r="AK372" i="35" s="1"/>
  <c r="AJ368" i="35"/>
  <c r="AK368" i="35" s="1"/>
  <c r="AJ369" i="35"/>
  <c r="AK369" i="35" s="1"/>
  <c r="AL372" i="35"/>
  <c r="Y361" i="35"/>
  <c r="AK364" i="35"/>
  <c r="AL369" i="35"/>
  <c r="Z333" i="35"/>
  <c r="Y335" i="35"/>
  <c r="AK338" i="35"/>
  <c r="AK344" i="35"/>
  <c r="Y327" i="35"/>
  <c r="Y331" i="35"/>
  <c r="AI332" i="35"/>
  <c r="Z328" i="35"/>
  <c r="AJ332" i="35"/>
  <c r="AK332" i="35" s="1"/>
  <c r="Y354" i="35"/>
  <c r="AI329" i="35"/>
  <c r="AL332" i="35"/>
  <c r="Y353" i="35"/>
  <c r="AI327" i="35"/>
  <c r="AJ329" i="35"/>
  <c r="AK329" i="35" s="1"/>
  <c r="AI330" i="35"/>
  <c r="AI331" i="35"/>
  <c r="Z352" i="35"/>
  <c r="AL326" i="35"/>
  <c r="AM327" i="35"/>
  <c r="AJ328" i="35"/>
  <c r="AK328" i="35" s="1"/>
  <c r="AL330" i="35"/>
  <c r="AM331" i="35"/>
  <c r="Z339" i="35"/>
  <c r="AK341" i="35"/>
  <c r="Y342" i="35"/>
  <c r="AK334" i="35"/>
  <c r="Z349" i="35"/>
  <c r="AI324" i="35"/>
  <c r="AI325" i="35"/>
  <c r="AL328" i="35"/>
  <c r="Z340" i="35"/>
  <c r="AK345" i="35"/>
  <c r="AK346" i="35"/>
  <c r="AK347" i="35"/>
  <c r="AK350" i="35"/>
  <c r="AK358" i="35"/>
  <c r="AI328" i="35"/>
  <c r="Y344" i="35"/>
  <c r="Y302" i="35"/>
  <c r="Z304" i="35"/>
  <c r="AI298" i="35"/>
  <c r="Y303" i="35"/>
  <c r="AK307" i="35"/>
  <c r="Z319" i="35"/>
  <c r="AI322" i="35"/>
  <c r="AK292" i="35"/>
  <c r="AJ298" i="35"/>
  <c r="AK298" i="35" s="1"/>
  <c r="AI299" i="35"/>
  <c r="AK300" i="35"/>
  <c r="AK301" i="35"/>
  <c r="AK304" i="35"/>
  <c r="Z317" i="35"/>
  <c r="AI321" i="35"/>
  <c r="AJ322" i="35"/>
  <c r="AK322" i="35" s="1"/>
  <c r="G32" i="35"/>
  <c r="AI293" i="35"/>
  <c r="AI295" i="35"/>
  <c r="AI297" i="35"/>
  <c r="AL298" i="35"/>
  <c r="AJ299" i="35"/>
  <c r="AK299" i="35" s="1"/>
  <c r="AK314" i="35"/>
  <c r="AI318" i="35"/>
  <c r="AJ321" i="35"/>
  <c r="AK321" i="35" s="1"/>
  <c r="AL322" i="35"/>
  <c r="H32" i="35" a="1"/>
  <c r="H32" i="35" s="1"/>
  <c r="AI292" i="35"/>
  <c r="AJ293" i="35"/>
  <c r="AK293" i="35" s="1"/>
  <c r="AI294" i="35"/>
  <c r="AJ295" i="35"/>
  <c r="AK295" i="35" s="1"/>
  <c r="AI296" i="35"/>
  <c r="AJ297" i="35"/>
  <c r="AK297" i="35" s="1"/>
  <c r="AK305" i="35"/>
  <c r="AJ318" i="35"/>
  <c r="AK318" i="35" s="1"/>
  <c r="AL321" i="35"/>
  <c r="Y294" i="35"/>
  <c r="AL296" i="35"/>
  <c r="AI289" i="35"/>
  <c r="Z311" i="35"/>
  <c r="AL317" i="35"/>
  <c r="AJ317" i="35"/>
  <c r="AK317" i="35" s="1"/>
  <c r="AJ289" i="35"/>
  <c r="AK289" i="35" s="1"/>
  <c r="AM317" i="35"/>
  <c r="Y320" i="35"/>
  <c r="AJ288" i="35"/>
  <c r="AK288" i="35" s="1"/>
  <c r="N12" i="35" s="1"/>
  <c r="AL289" i="35"/>
  <c r="AK311" i="35"/>
  <c r="Z297" i="35"/>
  <c r="AL288" i="35"/>
  <c r="O12" i="35" s="1"/>
  <c r="Z291" i="35"/>
  <c r="Z293" i="35"/>
  <c r="Z305" i="35"/>
  <c r="AL299" i="35"/>
  <c r="AL297" i="35"/>
  <c r="AM320" i="35"/>
  <c r="AM288" i="35"/>
  <c r="AI254" i="35"/>
  <c r="L24" i="35" s="1" a="1"/>
  <c r="L24" i="35" s="1"/>
  <c r="Y264" i="35"/>
  <c r="AI253" i="35"/>
  <c r="L23" i="35" s="1" a="1"/>
  <c r="L23" i="35" s="1"/>
  <c r="AJ254" i="35"/>
  <c r="AK254" i="35" s="1"/>
  <c r="O24" i="35" s="1" a="1"/>
  <c r="O24" i="35" s="1"/>
  <c r="Y263" i="35"/>
  <c r="AM255" i="35"/>
  <c r="I25" i="35" s="1" a="1"/>
  <c r="I25" i="35" s="1"/>
  <c r="AJ253" i="35"/>
  <c r="M23" i="35" s="1" a="1"/>
  <c r="M23" i="35" s="1"/>
  <c r="AL254" i="35"/>
  <c r="D36" i="35" a="1"/>
  <c r="D36" i="35" s="1"/>
  <c r="AM253" i="35"/>
  <c r="I23" i="35" s="1" a="1"/>
  <c r="I23" i="35" s="1"/>
  <c r="Y282" i="35"/>
  <c r="Y284" i="35"/>
  <c r="AI256" i="35"/>
  <c r="L26" i="35" s="1" a="1"/>
  <c r="L26" i="35" s="1"/>
  <c r="AI285" i="35"/>
  <c r="L55" i="35" s="1" a="1"/>
  <c r="L55" i="35" s="1"/>
  <c r="AI286" i="35"/>
  <c r="L56" i="35" s="1" a="1"/>
  <c r="L56" i="35" s="1"/>
  <c r="Y254" i="35"/>
  <c r="AJ256" i="35"/>
  <c r="AK256" i="35" s="1"/>
  <c r="O26" i="35" s="1" a="1"/>
  <c r="O26" i="35" s="1"/>
  <c r="AI257" i="35"/>
  <c r="L27" i="35" s="1" a="1"/>
  <c r="L27" i="35" s="1"/>
  <c r="AK281" i="35"/>
  <c r="AJ285" i="35"/>
  <c r="AK285" i="35" s="1"/>
  <c r="O55" i="35" s="1" a="1"/>
  <c r="O55" i="35" s="1"/>
  <c r="AJ286" i="35"/>
  <c r="AK286" i="35" s="1"/>
  <c r="O56" i="35" s="1" a="1"/>
  <c r="O56" i="35" s="1"/>
  <c r="AL256" i="35"/>
  <c r="AJ257" i="35"/>
  <c r="AK257" i="35" s="1"/>
  <c r="O27" i="35" s="1" a="1"/>
  <c r="O27" i="35" s="1"/>
  <c r="AK269" i="35"/>
  <c r="AL286" i="35"/>
  <c r="AI255" i="35"/>
  <c r="L25" i="35" s="1" a="1"/>
  <c r="L25" i="35" s="1"/>
  <c r="AL257" i="35"/>
  <c r="AL285" i="35"/>
  <c r="AJ255" i="35"/>
  <c r="AK255" i="35" s="1"/>
  <c r="O25" i="35" s="1" a="1"/>
  <c r="O25" i="35" s="1"/>
  <c r="AK266" i="35"/>
  <c r="Y272" i="35"/>
  <c r="AK267" i="35"/>
  <c r="AK272" i="35"/>
  <c r="AK275" i="35"/>
  <c r="AK280" i="35"/>
  <c r="AK284" i="35"/>
  <c r="Y219" i="35"/>
  <c r="AI222" i="35"/>
  <c r="AJ223" i="35"/>
  <c r="AK223" i="35" s="1"/>
  <c r="AI220" i="35"/>
  <c r="AI224" i="35"/>
  <c r="Y233" i="35"/>
  <c r="Z234" i="35"/>
  <c r="AJ250" i="35"/>
  <c r="AK250" i="35" s="1"/>
  <c r="AI218" i="35"/>
  <c r="AL220" i="35"/>
  <c r="AM222" i="35"/>
  <c r="AL224" i="35"/>
  <c r="Z238" i="35"/>
  <c r="AK239" i="35"/>
  <c r="AJ249" i="35"/>
  <c r="AK249" i="35" s="1"/>
  <c r="AM250" i="35"/>
  <c r="AI217" i="35"/>
  <c r="AJ218" i="35"/>
  <c r="AK218" i="35" s="1"/>
  <c r="AI219" i="35"/>
  <c r="AM220" i="35"/>
  <c r="AL221" i="35"/>
  <c r="AM224" i="35"/>
  <c r="Y231" i="35"/>
  <c r="Y235" i="35"/>
  <c r="AL248" i="35"/>
  <c r="AL249" i="35"/>
  <c r="AI221" i="35"/>
  <c r="AL222" i="35"/>
  <c r="AM223" i="35"/>
  <c r="AJ248" i="35"/>
  <c r="AK248" i="35" s="1"/>
  <c r="AI249" i="35"/>
  <c r="AL250" i="35"/>
  <c r="AJ221" i="35"/>
  <c r="AK221" i="35" s="1"/>
  <c r="AJ217" i="35"/>
  <c r="AK217" i="35" s="1"/>
  <c r="AL218" i="35"/>
  <c r="AJ219" i="35"/>
  <c r="AK219" i="35" s="1"/>
  <c r="AM248" i="35"/>
  <c r="AI223" i="35"/>
  <c r="AK220" i="35"/>
  <c r="I47" i="35" a="1"/>
  <c r="I47" i="35" s="1"/>
  <c r="AK230" i="35"/>
  <c r="Y224" i="35"/>
  <c r="Y245" i="35"/>
  <c r="Z250" i="35"/>
  <c r="AK225" i="35"/>
  <c r="AK227" i="35"/>
  <c r="AJ184" i="35"/>
  <c r="AK184" i="35" s="1"/>
  <c r="AK187" i="35"/>
  <c r="AI182" i="35"/>
  <c r="AJ185" i="35"/>
  <c r="AK185" i="35" s="1"/>
  <c r="AL187" i="35"/>
  <c r="Z207" i="35"/>
  <c r="AJ182" i="35"/>
  <c r="AK182" i="35" s="1"/>
  <c r="AI183" i="35"/>
  <c r="AL184" i="35"/>
  <c r="AM187" i="35"/>
  <c r="AL182" i="35"/>
  <c r="AJ183" i="35"/>
  <c r="AK183" i="35" s="1"/>
  <c r="AM184" i="35"/>
  <c r="AL185" i="35"/>
  <c r="Y195" i="35"/>
  <c r="AI181" i="35"/>
  <c r="AL183" i="35"/>
  <c r="AM185" i="35"/>
  <c r="AK210" i="35"/>
  <c r="AL181" i="35"/>
  <c r="Z203" i="35"/>
  <c r="AK208" i="35"/>
  <c r="Y190" i="35"/>
  <c r="AK197" i="35"/>
  <c r="AK214" i="35"/>
  <c r="Y181" i="35"/>
  <c r="AI187" i="35"/>
  <c r="A24" i="35"/>
  <c r="AK191" i="35"/>
  <c r="AK194" i="35"/>
  <c r="AK202" i="35"/>
  <c r="I52" i="35" a="1"/>
  <c r="I52" i="35" s="1"/>
  <c r="AK190" i="35"/>
  <c r="AK192" i="35"/>
  <c r="AK193" i="35"/>
  <c r="Z151" i="35"/>
  <c r="Y152" i="35"/>
  <c r="AK158" i="35"/>
  <c r="Z147" i="35"/>
  <c r="AK172" i="35"/>
  <c r="Y149" i="35"/>
  <c r="AK154" i="35"/>
  <c r="Y170" i="35"/>
  <c r="Y171" i="35"/>
  <c r="Z145" i="35"/>
  <c r="AK171" i="35"/>
  <c r="AI145" i="35"/>
  <c r="AI148" i="35"/>
  <c r="Z168" i="35"/>
  <c r="AJ147" i="35"/>
  <c r="AK147" i="35" s="1"/>
  <c r="AJ152" i="35"/>
  <c r="AK152" i="35" s="1"/>
  <c r="Y163" i="35"/>
  <c r="AI147" i="35"/>
  <c r="AI152" i="35"/>
  <c r="AM151" i="35"/>
  <c r="AL152" i="35"/>
  <c r="AK166" i="35"/>
  <c r="AL147" i="35"/>
  <c r="AJ149" i="35"/>
  <c r="AK149" i="35" s="1"/>
  <c r="Z162" i="35"/>
  <c r="Y175" i="35"/>
  <c r="A52" i="35"/>
  <c r="D52" i="35" a="1"/>
  <c r="D52" i="35" s="1"/>
  <c r="AM149" i="35"/>
  <c r="E52" i="35"/>
  <c r="Y155" i="35"/>
  <c r="AK176" i="35"/>
  <c r="AK177" i="35"/>
  <c r="F52" i="35" a="1"/>
  <c r="F52" i="35" s="1"/>
  <c r="AK157" i="35"/>
  <c r="AK159" i="35"/>
  <c r="AK161" i="35"/>
  <c r="Z114" i="35"/>
  <c r="Z116" i="35"/>
  <c r="Y136" i="35"/>
  <c r="AK122" i="35"/>
  <c r="AK131" i="35"/>
  <c r="AK134" i="35"/>
  <c r="G47" i="35"/>
  <c r="G52" i="35"/>
  <c r="H47" i="35" a="1"/>
  <c r="H47" i="35" s="1"/>
  <c r="H52" i="35" a="1"/>
  <c r="H52" i="35" s="1"/>
  <c r="AI118" i="35"/>
  <c r="AK136" i="35"/>
  <c r="A42" i="35"/>
  <c r="AI112" i="35"/>
  <c r="AL113" i="35"/>
  <c r="AL115" i="35"/>
  <c r="Z127" i="35"/>
  <c r="Z141" i="35"/>
  <c r="Z142" i="35"/>
  <c r="AI115" i="35"/>
  <c r="Z128" i="35"/>
  <c r="AJ115" i="35"/>
  <c r="AK115" i="35" s="1"/>
  <c r="AJ112" i="35"/>
  <c r="AK112" i="35" s="1"/>
  <c r="AI110" i="35"/>
  <c r="AL112" i="35"/>
  <c r="AK141" i="35"/>
  <c r="AK142" i="35"/>
  <c r="A27" i="35"/>
  <c r="AL110" i="35"/>
  <c r="AJ111" i="35"/>
  <c r="AK111" i="35" s="1"/>
  <c r="AK123" i="35"/>
  <c r="AK140" i="35"/>
  <c r="AI141" i="35"/>
  <c r="AI142" i="35"/>
  <c r="I51" i="35" a="1"/>
  <c r="I51" i="35" s="1"/>
  <c r="AK124" i="35"/>
  <c r="AK127" i="35"/>
  <c r="I41" i="35" a="1"/>
  <c r="I41" i="35" s="1"/>
  <c r="F41" i="35" a="1"/>
  <c r="F41" i="35" s="1"/>
  <c r="E41" i="35"/>
  <c r="D41" i="35" a="1"/>
  <c r="D41" i="35" s="1"/>
  <c r="C41" i="35" a="1"/>
  <c r="C41" i="35" s="1"/>
  <c r="E40" i="35"/>
  <c r="Y84" i="35"/>
  <c r="F40" i="35" a="1"/>
  <c r="F40" i="35" s="1"/>
  <c r="G40" i="35"/>
  <c r="AK87" i="35"/>
  <c r="H40" i="35" a="1"/>
  <c r="H40" i="35" s="1"/>
  <c r="AK82" i="35"/>
  <c r="AK84" i="35"/>
  <c r="Y85" i="35"/>
  <c r="AK100" i="35"/>
  <c r="Y103" i="35"/>
  <c r="D40" i="35" a="1"/>
  <c r="D40" i="35" s="1"/>
  <c r="AK101" i="35"/>
  <c r="AI104" i="35"/>
  <c r="AJ106" i="35"/>
  <c r="AK106" i="35" s="1"/>
  <c r="A51" i="35"/>
  <c r="AK80" i="35"/>
  <c r="AJ104" i="35"/>
  <c r="AI105" i="35"/>
  <c r="AL106" i="35"/>
  <c r="A47" i="35"/>
  <c r="C51" i="35" a="1"/>
  <c r="C51" i="35" s="1"/>
  <c r="AJ78" i="35"/>
  <c r="AK78" i="35" s="1"/>
  <c r="Z94" i="35"/>
  <c r="AK99" i="35"/>
  <c r="AL104" i="35"/>
  <c r="AJ105" i="35"/>
  <c r="AK105" i="35" s="1"/>
  <c r="AM106" i="35"/>
  <c r="Y79" i="35"/>
  <c r="D47" i="35" a="1"/>
  <c r="D47" i="35" s="1"/>
  <c r="D51" i="35" a="1"/>
  <c r="D51" i="35" s="1"/>
  <c r="AL78" i="35"/>
  <c r="A28" i="35"/>
  <c r="E47" i="35"/>
  <c r="E51" i="35"/>
  <c r="AK94" i="35"/>
  <c r="AL105" i="35"/>
  <c r="D56" i="35" a="1"/>
  <c r="D56" i="35" s="1"/>
  <c r="C56" i="35" a="1"/>
  <c r="C56" i="35" s="1"/>
  <c r="A56" i="35"/>
  <c r="I48" i="35" a="1"/>
  <c r="I48" i="35" s="1"/>
  <c r="H48" i="35" a="1"/>
  <c r="H48" i="35" s="1"/>
  <c r="G48" i="35"/>
  <c r="F48" i="35" a="1"/>
  <c r="F48" i="35" s="1"/>
  <c r="A48" i="35"/>
  <c r="E48" i="35"/>
  <c r="D48" i="35" a="1"/>
  <c r="D48" i="35" s="1"/>
  <c r="C48" i="35" a="1"/>
  <c r="C48" i="35" s="1"/>
  <c r="E44" i="35"/>
  <c r="D44" i="35" a="1"/>
  <c r="D44" i="35" s="1"/>
  <c r="C44" i="35" a="1"/>
  <c r="C44" i="35" s="1"/>
  <c r="I44" i="35" a="1"/>
  <c r="I44" i="35" s="1"/>
  <c r="G44" i="35"/>
  <c r="A44" i="35"/>
  <c r="F44" i="35" a="1"/>
  <c r="F44" i="35" s="1"/>
  <c r="H44" i="35" a="1"/>
  <c r="H44" i="35" s="1"/>
  <c r="A50" i="35"/>
  <c r="E50" i="35"/>
  <c r="I50" i="35" a="1"/>
  <c r="I50" i="35" s="1"/>
  <c r="H50" i="35" a="1"/>
  <c r="H50" i="35" s="1"/>
  <c r="G50" i="35"/>
  <c r="F50" i="35" a="1"/>
  <c r="F50" i="35" s="1"/>
  <c r="D50" i="35" a="1"/>
  <c r="D50" i="35" s="1"/>
  <c r="C50" i="35" a="1"/>
  <c r="C50" i="35" s="1"/>
  <c r="G46" i="35"/>
  <c r="F46" i="35" a="1"/>
  <c r="F46" i="35" s="1"/>
  <c r="A46" i="35"/>
  <c r="I46" i="35" a="1"/>
  <c r="I46" i="35" s="1"/>
  <c r="E46" i="35"/>
  <c r="D46" i="35" a="1"/>
  <c r="D46" i="35" s="1"/>
  <c r="C46" i="35" a="1"/>
  <c r="C46" i="35" s="1"/>
  <c r="H46" i="35" a="1"/>
  <c r="H46" i="35" s="1"/>
  <c r="D55" i="35" a="1"/>
  <c r="D55" i="35" s="1"/>
  <c r="C55" i="35" a="1"/>
  <c r="C55" i="35" s="1"/>
  <c r="A55" i="35"/>
  <c r="D25" i="35" a="1"/>
  <c r="D25" i="35" s="1"/>
  <c r="C25" i="35" a="1"/>
  <c r="C25" i="35" s="1"/>
  <c r="A25" i="35"/>
  <c r="E49" i="35"/>
  <c r="D49" i="35" a="1"/>
  <c r="D49" i="35" s="1"/>
  <c r="H49" i="35" a="1"/>
  <c r="H49" i="35" s="1"/>
  <c r="G49" i="35"/>
  <c r="I49" i="35" a="1"/>
  <c r="I49" i="35" s="1"/>
  <c r="F49" i="35" a="1"/>
  <c r="F49" i="35" s="1"/>
  <c r="A49" i="35"/>
  <c r="C49" i="35" a="1"/>
  <c r="C49" i="35" s="1"/>
  <c r="A23" i="35"/>
  <c r="D23" i="35" a="1"/>
  <c r="D23" i="35" s="1"/>
  <c r="C23" i="35" a="1"/>
  <c r="C23" i="35" s="1"/>
  <c r="I43" i="35" a="1"/>
  <c r="I43" i="35" s="1"/>
  <c r="F43" i="35" a="1"/>
  <c r="F43" i="35" s="1"/>
  <c r="E43" i="35"/>
  <c r="A43" i="35"/>
  <c r="H43" i="35" a="1"/>
  <c r="H43" i="35" s="1"/>
  <c r="G43" i="35"/>
  <c r="D43" i="35" a="1"/>
  <c r="D43" i="35" s="1"/>
  <c r="C43" i="35" a="1"/>
  <c r="C43" i="35" s="1"/>
  <c r="I53" i="35" a="1"/>
  <c r="I53" i="35" s="1"/>
  <c r="H53" i="35" a="1"/>
  <c r="H53" i="35" s="1"/>
  <c r="G53" i="35"/>
  <c r="F53" i="35" a="1"/>
  <c r="F53" i="35" s="1"/>
  <c r="E53" i="35"/>
  <c r="C53" i="35" a="1"/>
  <c r="C53" i="35" s="1"/>
  <c r="A53" i="35"/>
  <c r="D53" i="35" a="1"/>
  <c r="D53" i="35" s="1"/>
  <c r="D54" i="35" a="1"/>
  <c r="D54" i="35" s="1"/>
  <c r="C54" i="35" a="1"/>
  <c r="C54" i="35" s="1"/>
  <c r="A54" i="35"/>
  <c r="A35" i="35"/>
  <c r="H35" i="35" a="1"/>
  <c r="H35" i="35" s="1"/>
  <c r="C35" i="35" a="1"/>
  <c r="C35" i="35" s="1"/>
  <c r="D34" i="35" a="1"/>
  <c r="D34" i="35" s="1"/>
  <c r="I38" i="35" a="1"/>
  <c r="I38" i="35" s="1"/>
  <c r="C38" i="35" a="1"/>
  <c r="C38" i="35" s="1"/>
  <c r="D38" i="35" a="1"/>
  <c r="D38" i="35" s="1"/>
  <c r="A38" i="35"/>
  <c r="Y90" i="35"/>
  <c r="AR204" i="35"/>
  <c r="AU206" i="35"/>
  <c r="AT206" i="35"/>
  <c r="AS206" i="35"/>
  <c r="AR206" i="35"/>
  <c r="AR212" i="35"/>
  <c r="Z217" i="35"/>
  <c r="Y217" i="35"/>
  <c r="Y267" i="35"/>
  <c r="Y285" i="35"/>
  <c r="Z285" i="35"/>
  <c r="AU375" i="35"/>
  <c r="AT375" i="35"/>
  <c r="F39" i="35" a="1"/>
  <c r="F39" i="35" s="1"/>
  <c r="E39" i="35"/>
  <c r="D39" i="35" a="1"/>
  <c r="D39" i="35" s="1"/>
  <c r="A39" i="35"/>
  <c r="AR172" i="35"/>
  <c r="AR213" i="35"/>
  <c r="G35" i="35"/>
  <c r="G39" i="35"/>
  <c r="Y78" i="35"/>
  <c r="AS85" i="35"/>
  <c r="AS105" i="35"/>
  <c r="AR217" i="35"/>
  <c r="Z229" i="35"/>
  <c r="Y229" i="35"/>
  <c r="AK233" i="35"/>
  <c r="AS236" i="35"/>
  <c r="AR237" i="35"/>
  <c r="Z265" i="35"/>
  <c r="AR267" i="35"/>
  <c r="Y312" i="35"/>
  <c r="AU312" i="35"/>
  <c r="AR375" i="35"/>
  <c r="Z399" i="35"/>
  <c r="Y427" i="35"/>
  <c r="G34" i="35"/>
  <c r="E38" i="35"/>
  <c r="A45" i="35"/>
  <c r="C45" i="35" a="1"/>
  <c r="C45" i="35" s="1"/>
  <c r="I45" i="35" a="1"/>
  <c r="I45" i="35" s="1"/>
  <c r="Y95" i="35"/>
  <c r="Y96" i="35"/>
  <c r="AR99" i="35"/>
  <c r="AS153" i="35"/>
  <c r="AR154" i="35"/>
  <c r="AT162" i="35"/>
  <c r="AS162" i="35"/>
  <c r="AU165" i="35"/>
  <c r="AT165" i="35"/>
  <c r="AS165" i="35"/>
  <c r="AR165" i="35"/>
  <c r="AS172" i="35"/>
  <c r="AR173" i="35"/>
  <c r="AR183" i="35"/>
  <c r="AT196" i="35"/>
  <c r="AS196" i="35"/>
  <c r="AT204" i="35"/>
  <c r="AT212" i="35"/>
  <c r="AT214" i="35"/>
  <c r="Z246" i="35"/>
  <c r="AU364" i="35"/>
  <c r="AT364" i="35"/>
  <c r="AS364" i="35"/>
  <c r="AS375" i="35"/>
  <c r="AR410" i="35"/>
  <c r="AS424" i="35"/>
  <c r="AR424" i="35"/>
  <c r="AT424" i="35"/>
  <c r="AU424" i="35"/>
  <c r="C30" i="35" a="1"/>
  <c r="C30" i="35" s="1"/>
  <c r="D30" i="35" a="1"/>
  <c r="D30" i="35" s="1"/>
  <c r="A30" i="35"/>
  <c r="D32" i="35" a="1"/>
  <c r="D32" i="35" s="1"/>
  <c r="C32" i="35" a="1"/>
  <c r="C32" i="35" s="1"/>
  <c r="A32" i="35"/>
  <c r="F32" i="35" a="1"/>
  <c r="F32" i="35" s="1"/>
  <c r="E32" i="35"/>
  <c r="H34" i="35" a="1"/>
  <c r="H34" i="35" s="1"/>
  <c r="F38" i="35" a="1"/>
  <c r="F38" i="35" s="1"/>
  <c r="AU112" i="35"/>
  <c r="AT112" i="35"/>
  <c r="AU113" i="35"/>
  <c r="AT113" i="35"/>
  <c r="AS113" i="35"/>
  <c r="AR113" i="35"/>
  <c r="AT153" i="35"/>
  <c r="AS154" i="35"/>
  <c r="AT161" i="35"/>
  <c r="AS161" i="35"/>
  <c r="AR161" i="35"/>
  <c r="AR162" i="35"/>
  <c r="AT172" i="35"/>
  <c r="AS183" i="35"/>
  <c r="AR185" i="35"/>
  <c r="AU185" i="35"/>
  <c r="AT185" i="35"/>
  <c r="AS185" i="35"/>
  <c r="AR189" i="35"/>
  <c r="AU189" i="35"/>
  <c r="AR196" i="35"/>
  <c r="AU198" i="35"/>
  <c r="AT198" i="35"/>
  <c r="AS198" i="35"/>
  <c r="Y204" i="35"/>
  <c r="AU204" i="35"/>
  <c r="Y212" i="35"/>
  <c r="AU212" i="35"/>
  <c r="AU214" i="35"/>
  <c r="Y247" i="35"/>
  <c r="Z248" i="35"/>
  <c r="Y248" i="35"/>
  <c r="Y341" i="35"/>
  <c r="Z341" i="35"/>
  <c r="AR363" i="35"/>
  <c r="AR364" i="35"/>
  <c r="Y374" i="35"/>
  <c r="AT387" i="35"/>
  <c r="AS387" i="35"/>
  <c r="AU387" i="35"/>
  <c r="Y409" i="35"/>
  <c r="AS410" i="35"/>
  <c r="Y426" i="35"/>
  <c r="D45" i="35" a="1"/>
  <c r="D45" i="35" s="1"/>
  <c r="Z97" i="35"/>
  <c r="Y97" i="35"/>
  <c r="Y98" i="35"/>
  <c r="AU109" i="35"/>
  <c r="AT109" i="35"/>
  <c r="AS109" i="35"/>
  <c r="AR109" i="35"/>
  <c r="AS111" i="35"/>
  <c r="AR111" i="35"/>
  <c r="AR112" i="35"/>
  <c r="AM144" i="35"/>
  <c r="AL144" i="35"/>
  <c r="O8" i="35" s="1"/>
  <c r="Y153" i="35"/>
  <c r="AU153" i="35"/>
  <c r="AT154" i="35"/>
  <c r="AU161" i="35"/>
  <c r="AU162" i="35"/>
  <c r="AU164" i="35"/>
  <c r="AT164" i="35"/>
  <c r="AS164" i="35"/>
  <c r="Y169" i="35"/>
  <c r="Y172" i="35"/>
  <c r="Y182" i="35"/>
  <c r="AT183" i="35"/>
  <c r="AS189" i="35"/>
  <c r="AU196" i="35"/>
  <c r="AS197" i="35"/>
  <c r="AR198" i="35"/>
  <c r="Z214" i="35"/>
  <c r="Y214" i="35"/>
  <c r="AU257" i="35"/>
  <c r="AT257" i="35"/>
  <c r="AS345" i="35"/>
  <c r="AR345" i="35"/>
  <c r="AU345" i="35"/>
  <c r="AT345" i="35"/>
  <c r="AS363" i="35"/>
  <c r="Y386" i="35"/>
  <c r="AR387" i="35"/>
  <c r="AT410" i="35"/>
  <c r="AT412" i="35"/>
  <c r="AS412" i="35"/>
  <c r="AU412" i="35"/>
  <c r="Y423" i="35"/>
  <c r="H36" i="35" a="1"/>
  <c r="H36" i="35" s="1"/>
  <c r="G36" i="35"/>
  <c r="F36" i="35" a="1"/>
  <c r="F36" i="35" s="1"/>
  <c r="E36" i="35"/>
  <c r="C36" i="35" a="1"/>
  <c r="C36" i="35" s="1"/>
  <c r="A36" i="35"/>
  <c r="G38" i="35"/>
  <c r="E45" i="35"/>
  <c r="AT111" i="35"/>
  <c r="AS112" i="35"/>
  <c r="AU120" i="35"/>
  <c r="AT120" i="35"/>
  <c r="AS120" i="35"/>
  <c r="AR120" i="35"/>
  <c r="AI144" i="35"/>
  <c r="AR164" i="35"/>
  <c r="Y188" i="35"/>
  <c r="AT189" i="35"/>
  <c r="AT197" i="35"/>
  <c r="Y213" i="35"/>
  <c r="Z213" i="35"/>
  <c r="AT253" i="35"/>
  <c r="AU253" i="35"/>
  <c r="AR257" i="35"/>
  <c r="AU332" i="35"/>
  <c r="AT332" i="35"/>
  <c r="AS332" i="35"/>
  <c r="AR332" i="35"/>
  <c r="AR343" i="35"/>
  <c r="AU344" i="35"/>
  <c r="AT344" i="35"/>
  <c r="AS347" i="35"/>
  <c r="AU347" i="35"/>
  <c r="AT347" i="35"/>
  <c r="AR347" i="35"/>
  <c r="AU349" i="35"/>
  <c r="AT349" i="35"/>
  <c r="AS349" i="35"/>
  <c r="AR349" i="35"/>
  <c r="Y362" i="35"/>
  <c r="AT363" i="35"/>
  <c r="AU391" i="35"/>
  <c r="AT391" i="35"/>
  <c r="AS391" i="35"/>
  <c r="AR391" i="35"/>
  <c r="AR412" i="35"/>
  <c r="Y425" i="35"/>
  <c r="I33" i="35" a="1"/>
  <c r="I33" i="35" s="1"/>
  <c r="A33" i="35"/>
  <c r="E33" i="35"/>
  <c r="D33" i="35" a="1"/>
  <c r="D33" i="35" s="1"/>
  <c r="C33" i="35" a="1"/>
  <c r="C33" i="35" s="1"/>
  <c r="H38" i="35" a="1"/>
  <c r="H38" i="35" s="1"/>
  <c r="F45" i="35" a="1"/>
  <c r="F45" i="35" s="1"/>
  <c r="AU111" i="35"/>
  <c r="AR125" i="35"/>
  <c r="AJ144" i="35"/>
  <c r="AK144" i="35" s="1"/>
  <c r="N8" i="35" s="1"/>
  <c r="Y160" i="35"/>
  <c r="AR178" i="35"/>
  <c r="AU197" i="35"/>
  <c r="Z199" i="35"/>
  <c r="Y199" i="35"/>
  <c r="AL252" i="35"/>
  <c r="O11" i="35" s="1"/>
  <c r="AM252" i="35"/>
  <c r="AJ252" i="35"/>
  <c r="AK252" i="35" s="1"/>
  <c r="N11" i="35" s="1"/>
  <c r="AI252" i="35"/>
  <c r="L22" i="35" s="1" a="1"/>
  <c r="L22" i="35" s="1"/>
  <c r="AR253" i="35"/>
  <c r="AS257" i="35"/>
  <c r="AU274" i="35"/>
  <c r="AT274" i="35"/>
  <c r="AS274" i="35"/>
  <c r="AT343" i="35"/>
  <c r="AR344" i="35"/>
  <c r="Y363" i="35"/>
  <c r="Z366" i="35"/>
  <c r="Y366" i="35"/>
  <c r="AS389" i="35"/>
  <c r="AR389" i="35"/>
  <c r="AU390" i="35"/>
  <c r="AT390" i="35"/>
  <c r="AS390" i="35"/>
  <c r="Y410" i="35"/>
  <c r="F33" i="35" a="1"/>
  <c r="F33" i="35" s="1"/>
  <c r="AR77" i="35"/>
  <c r="Y110" i="35"/>
  <c r="Y124" i="35"/>
  <c r="AS125" i="35"/>
  <c r="AR126" i="35"/>
  <c r="AS178" i="35"/>
  <c r="Y197" i="35"/>
  <c r="AU230" i="35"/>
  <c r="AT230" i="35"/>
  <c r="AS230" i="35"/>
  <c r="AR252" i="35"/>
  <c r="AU252" i="35"/>
  <c r="AT252" i="35"/>
  <c r="AS252" i="35"/>
  <c r="AS253" i="35"/>
  <c r="Y256" i="35"/>
  <c r="AR274" i="35"/>
  <c r="Z292" i="35"/>
  <c r="Y292" i="35"/>
  <c r="AS296" i="35"/>
  <c r="Y329" i="35"/>
  <c r="AR330" i="35"/>
  <c r="AS335" i="35"/>
  <c r="AU335" i="35"/>
  <c r="AT335" i="35"/>
  <c r="AR335" i="35"/>
  <c r="AU343" i="35"/>
  <c r="AS344" i="35"/>
  <c r="Y346" i="35"/>
  <c r="Z348" i="35"/>
  <c r="Y348" i="35"/>
  <c r="Y357" i="35"/>
  <c r="Z358" i="35"/>
  <c r="Y358" i="35"/>
  <c r="AI360" i="35"/>
  <c r="Y388" i="35"/>
  <c r="AT389" i="35"/>
  <c r="AR390" i="35"/>
  <c r="Y411" i="35"/>
  <c r="Y420" i="35"/>
  <c r="D29" i="35" a="1"/>
  <c r="D29" i="35" s="1"/>
  <c r="C29" i="35" a="1"/>
  <c r="C29" i="35" s="1"/>
  <c r="A29" i="35"/>
  <c r="D35" i="35" a="1"/>
  <c r="D35" i="35" s="1"/>
  <c r="D37" i="35" a="1"/>
  <c r="D37" i="35" s="1"/>
  <c r="C42" i="35" a="1"/>
  <c r="C42" i="35" s="1"/>
  <c r="H42" i="35" a="1"/>
  <c r="H42" i="35" s="1"/>
  <c r="G42" i="35"/>
  <c r="I42" i="35" a="1"/>
  <c r="I42" i="35" s="1"/>
  <c r="G45" i="35"/>
  <c r="AS77" i="35"/>
  <c r="Z112" i="35"/>
  <c r="Y112" i="35"/>
  <c r="Y117" i="35"/>
  <c r="AU125" i="35"/>
  <c r="AS126" i="35"/>
  <c r="AT136" i="35"/>
  <c r="AS136" i="35"/>
  <c r="AR136" i="35"/>
  <c r="Y177" i="35"/>
  <c r="AT178" i="35"/>
  <c r="Z191" i="35"/>
  <c r="Y191" i="35"/>
  <c r="AR230" i="35"/>
  <c r="Y259" i="35"/>
  <c r="Z260" i="35"/>
  <c r="Y273" i="35"/>
  <c r="Y295" i="35"/>
  <c r="AT296" i="35"/>
  <c r="AT297" i="35"/>
  <c r="AU297" i="35"/>
  <c r="AS297" i="35"/>
  <c r="AS330" i="35"/>
  <c r="Z356" i="35"/>
  <c r="Y356" i="35"/>
  <c r="AJ360" i="35"/>
  <c r="AK360" i="35" s="1"/>
  <c r="N14" i="35" s="1"/>
  <c r="AU389" i="35"/>
  <c r="C26" i="35" a="1"/>
  <c r="C26" i="35" s="1"/>
  <c r="D26" i="35" a="1"/>
  <c r="D26" i="35" s="1"/>
  <c r="G33" i="35"/>
  <c r="E35" i="35"/>
  <c r="C39" i="35" a="1"/>
  <c r="C39" i="35" s="1"/>
  <c r="D42" i="35" a="1"/>
  <c r="D42" i="35" s="1"/>
  <c r="H45" i="35" a="1"/>
  <c r="H45" i="35" s="1"/>
  <c r="Y76" i="35"/>
  <c r="AT77" i="35"/>
  <c r="AU79" i="35"/>
  <c r="AT79" i="35"/>
  <c r="AS79" i="35"/>
  <c r="Y111" i="35"/>
  <c r="Z119" i="35"/>
  <c r="Y119" i="35"/>
  <c r="AT126" i="35"/>
  <c r="Z133" i="35"/>
  <c r="Z134" i="35"/>
  <c r="Y134" i="35"/>
  <c r="AU136" i="35"/>
  <c r="Y178" i="35"/>
  <c r="Y255" i="35"/>
  <c r="Y258" i="35"/>
  <c r="AS277" i="35"/>
  <c r="AR277" i="35"/>
  <c r="AU277" i="35"/>
  <c r="AU296" i="35"/>
  <c r="AR297" i="35"/>
  <c r="AR312" i="35"/>
  <c r="AT313" i="35"/>
  <c r="AU313" i="35"/>
  <c r="AT330" i="35"/>
  <c r="Y334" i="35"/>
  <c r="C31" i="35" a="1"/>
  <c r="C31" i="35" s="1"/>
  <c r="D31" i="35" a="1"/>
  <c r="D31" i="35" s="1"/>
  <c r="A31" i="35"/>
  <c r="H33" i="35" a="1"/>
  <c r="H33" i="35" s="1"/>
  <c r="F35" i="35" a="1"/>
  <c r="F35" i="35" s="1"/>
  <c r="G37" i="35"/>
  <c r="Z74" i="35"/>
  <c r="Y74" i="35"/>
  <c r="Y75" i="35"/>
  <c r="AR79" i="35"/>
  <c r="AU86" i="35"/>
  <c r="AT86" i="35"/>
  <c r="AS86" i="35"/>
  <c r="AR86" i="35"/>
  <c r="Y104" i="35"/>
  <c r="Z125" i="35"/>
  <c r="Y135" i="35"/>
  <c r="Y253" i="35"/>
  <c r="Z253" i="35"/>
  <c r="Y275" i="35"/>
  <c r="Y276" i="35"/>
  <c r="AT277" i="35"/>
  <c r="Y296" i="35"/>
  <c r="AR308" i="35"/>
  <c r="AT308" i="35"/>
  <c r="AU308" i="35"/>
  <c r="AS312" i="35"/>
  <c r="AR313" i="35"/>
  <c r="Y330" i="35"/>
  <c r="AL360" i="35"/>
  <c r="O14" i="35" s="1"/>
  <c r="H37" i="35" a="1"/>
  <c r="H37" i="35" s="1"/>
  <c r="E42" i="35"/>
  <c r="AM72" i="35"/>
  <c r="AL72" i="35"/>
  <c r="O6" i="35" s="1"/>
  <c r="Z77" i="35"/>
  <c r="Y77" i="35"/>
  <c r="AR85" i="35"/>
  <c r="AR105" i="35"/>
  <c r="AU106" i="35"/>
  <c r="AT106" i="35"/>
  <c r="Y126" i="35"/>
  <c r="AS227" i="35"/>
  <c r="AU227" i="35"/>
  <c r="AT227" i="35"/>
  <c r="AR236" i="35"/>
  <c r="AU240" i="35"/>
  <c r="AT240" i="35"/>
  <c r="AS240" i="35"/>
  <c r="AR240" i="35"/>
  <c r="AS308" i="35"/>
  <c r="AS313" i="35"/>
  <c r="I35" i="35" a="1"/>
  <c r="I35" i="35" s="1"/>
  <c r="H39" i="35" a="1"/>
  <c r="H39" i="35" s="1"/>
  <c r="AJ72" i="35"/>
  <c r="AK72" i="35" s="1"/>
  <c r="Y82" i="35"/>
  <c r="Z83" i="35"/>
  <c r="Y83" i="35"/>
  <c r="AT85" i="35"/>
  <c r="Y89" i="35"/>
  <c r="AR90" i="35"/>
  <c r="AU91" i="35"/>
  <c r="AT91" i="35"/>
  <c r="AS91" i="35"/>
  <c r="Y105" i="35"/>
  <c r="AT105" i="35"/>
  <c r="AS106" i="35"/>
  <c r="AR146" i="35"/>
  <c r="AS217" i="35"/>
  <c r="Y226" i="35"/>
  <c r="AT236" i="35"/>
  <c r="AS237" i="35"/>
  <c r="Y266" i="35"/>
  <c r="AS267" i="35"/>
  <c r="Y307" i="35"/>
  <c r="AU400" i="35"/>
  <c r="AT400" i="35"/>
  <c r="F34" i="35" a="1"/>
  <c r="F34" i="35" s="1"/>
  <c r="E34" i="35"/>
  <c r="C34" i="35" a="1"/>
  <c r="C34" i="35" s="1"/>
  <c r="A34" i="35"/>
  <c r="C37" i="35" a="1"/>
  <c r="C37" i="35" s="1"/>
  <c r="F37" i="35" a="1"/>
  <c r="F37" i="35" s="1"/>
  <c r="E37" i="35"/>
  <c r="A37" i="35"/>
  <c r="AU97" i="35"/>
  <c r="AT97" i="35"/>
  <c r="AR238" i="35"/>
  <c r="AS238" i="35"/>
  <c r="AU238" i="35"/>
  <c r="AT238" i="35"/>
  <c r="AU249" i="35"/>
  <c r="AT249" i="35"/>
  <c r="AS249" i="35"/>
  <c r="Z306" i="35"/>
  <c r="Y306" i="35"/>
  <c r="AT397" i="35"/>
  <c r="AR397" i="35"/>
  <c r="AS397" i="35"/>
  <c r="AR97" i="35"/>
  <c r="AS147" i="35"/>
  <c r="AU147" i="35"/>
  <c r="AT147" i="35"/>
  <c r="AR147" i="35"/>
  <c r="AR205" i="35"/>
  <c r="AU205" i="35"/>
  <c r="AT213" i="35"/>
  <c r="AS213" i="35"/>
  <c r="AR214" i="35"/>
  <c r="AU425" i="35"/>
  <c r="AT425" i="35"/>
  <c r="AR425" i="35"/>
  <c r="AS425" i="35"/>
  <c r="AU429" i="35"/>
  <c r="AT429" i="35"/>
  <c r="AS429" i="35"/>
  <c r="AR429" i="35"/>
  <c r="D27" i="35" a="1"/>
  <c r="D27" i="35" s="1"/>
  <c r="AU99" i="35"/>
  <c r="AT99" i="35"/>
  <c r="Y146" i="35"/>
  <c r="AU173" i="35"/>
  <c r="AT173" i="35"/>
  <c r="AU174" i="35"/>
  <c r="AT174" i="35"/>
  <c r="AS174" i="35"/>
  <c r="AR174" i="35"/>
  <c r="AR181" i="35"/>
  <c r="AU181" i="35"/>
  <c r="AT181" i="35"/>
  <c r="AS181" i="35"/>
  <c r="AS205" i="35"/>
  <c r="H41" i="35" a="1"/>
  <c r="H41" i="35" s="1"/>
  <c r="G41" i="35"/>
  <c r="A41" i="35"/>
  <c r="AR91" i="35"/>
  <c r="AT217" i="35"/>
  <c r="AS219" i="35"/>
  <c r="AU219" i="35"/>
  <c r="AT219" i="35"/>
  <c r="AR219" i="35"/>
  <c r="Z225" i="35"/>
  <c r="Y225" i="35"/>
  <c r="Z228" i="35"/>
  <c r="Y228" i="35"/>
  <c r="AS246" i="35"/>
  <c r="AK265" i="35"/>
  <c r="AT267" i="35"/>
  <c r="Z309" i="35"/>
  <c r="AR400" i="35"/>
  <c r="AT127" i="35"/>
  <c r="AS127" i="35"/>
  <c r="AR127" i="35"/>
  <c r="AT128" i="35"/>
  <c r="AS128" i="35"/>
  <c r="Z154" i="35"/>
  <c r="Y154" i="35"/>
  <c r="Z183" i="35"/>
  <c r="Y183" i="35"/>
  <c r="Z237" i="35"/>
  <c r="Y237" i="35"/>
  <c r="AU281" i="35"/>
  <c r="AT281" i="35"/>
  <c r="AS281" i="35"/>
  <c r="AR281" i="35"/>
  <c r="AU315" i="35"/>
  <c r="AT315" i="35"/>
  <c r="Z345" i="35"/>
  <c r="Y345" i="35"/>
  <c r="Y99" i="35"/>
  <c r="AU127" i="35"/>
  <c r="AR128" i="35"/>
  <c r="AR138" i="35"/>
  <c r="Y164" i="35"/>
  <c r="Y173" i="35"/>
  <c r="Y184" i="35"/>
  <c r="AR192" i="35"/>
  <c r="AR200" i="35"/>
  <c r="Y205" i="35"/>
  <c r="AJ216" i="35"/>
  <c r="AK216" i="35" s="1"/>
  <c r="N10" i="35" s="1"/>
  <c r="AI216" i="35"/>
  <c r="Y220" i="35"/>
  <c r="AR221" i="35"/>
  <c r="AU241" i="35"/>
  <c r="AT241" i="35"/>
  <c r="AR315" i="35"/>
  <c r="AR367" i="35"/>
  <c r="AR377" i="35"/>
  <c r="AU377" i="35"/>
  <c r="Y400" i="35"/>
  <c r="AR404" i="35"/>
  <c r="Z100" i="35"/>
  <c r="Y100" i="35"/>
  <c r="AT121" i="35"/>
  <c r="AU121" i="35"/>
  <c r="AU122" i="35"/>
  <c r="AT122" i="35"/>
  <c r="AS122" i="35"/>
  <c r="AU128" i="35"/>
  <c r="Z137" i="35"/>
  <c r="AS138" i="35"/>
  <c r="Y148" i="35"/>
  <c r="AT149" i="35"/>
  <c r="AS149" i="35"/>
  <c r="Y157" i="35"/>
  <c r="AS192" i="35"/>
  <c r="AS200" i="35"/>
  <c r="AU208" i="35"/>
  <c r="AT208" i="35"/>
  <c r="AL216" i="35"/>
  <c r="O10" i="35" s="1"/>
  <c r="AS221" i="35"/>
  <c r="AU222" i="35"/>
  <c r="AT222" i="35"/>
  <c r="Y230" i="35"/>
  <c r="Z239" i="35"/>
  <c r="Y240" i="35"/>
  <c r="AR241" i="35"/>
  <c r="Y261" i="35"/>
  <c r="AR262" i="35"/>
  <c r="AT288" i="35"/>
  <c r="AS288" i="35"/>
  <c r="Z313" i="35"/>
  <c r="Y314" i="35"/>
  <c r="AS315" i="35"/>
  <c r="AS367" i="35"/>
  <c r="Y375" i="35"/>
  <c r="AS377" i="35"/>
  <c r="AT380" i="35"/>
  <c r="AU380" i="35"/>
  <c r="Y390" i="35"/>
  <c r="AS393" i="35"/>
  <c r="AR393" i="35"/>
  <c r="AT393" i="35"/>
  <c r="AU393" i="35"/>
  <c r="Y402" i="35"/>
  <c r="AS404" i="35"/>
  <c r="AU405" i="35"/>
  <c r="AS405" i="35"/>
  <c r="AT405" i="35"/>
  <c r="Y415" i="35"/>
  <c r="AR416" i="35"/>
  <c r="Y80" i="35"/>
  <c r="Y91" i="35"/>
  <c r="Y120" i="35"/>
  <c r="AR121" i="35"/>
  <c r="AR122" i="35"/>
  <c r="AR130" i="35"/>
  <c r="AT138" i="35"/>
  <c r="AR149" i="35"/>
  <c r="AR158" i="35"/>
  <c r="Z174" i="35"/>
  <c r="Y174" i="35"/>
  <c r="Y186" i="35"/>
  <c r="AT192" i="35"/>
  <c r="AS193" i="35"/>
  <c r="AT200" i="35"/>
  <c r="Y206" i="35"/>
  <c r="AR208" i="35"/>
  <c r="AM216" i="35"/>
  <c r="AT221" i="35"/>
  <c r="AR222" i="35"/>
  <c r="AR231" i="35"/>
  <c r="AU232" i="35"/>
  <c r="AT232" i="35"/>
  <c r="AS241" i="35"/>
  <c r="AS262" i="35"/>
  <c r="AU263" i="35"/>
  <c r="AT263" i="35"/>
  <c r="AR263" i="35"/>
  <c r="AS263" i="35"/>
  <c r="Z279" i="35"/>
  <c r="Y279" i="35"/>
  <c r="AR283" i="35"/>
  <c r="AR288" i="35"/>
  <c r="AT289" i="35"/>
  <c r="AU289" i="35"/>
  <c r="AR290" i="35"/>
  <c r="AU290" i="35"/>
  <c r="AT290" i="35"/>
  <c r="AR337" i="35"/>
  <c r="AT367" i="35"/>
  <c r="Y376" i="35"/>
  <c r="AT377" i="35"/>
  <c r="AR380" i="35"/>
  <c r="AT404" i="35"/>
  <c r="AR405" i="35"/>
  <c r="AS416" i="35"/>
  <c r="AU418" i="35"/>
  <c r="AT418" i="35"/>
  <c r="AS418" i="35"/>
  <c r="Y86" i="35"/>
  <c r="AR87" i="35"/>
  <c r="Y92" i="35"/>
  <c r="Y101" i="35"/>
  <c r="AT102" i="35"/>
  <c r="AS102" i="35"/>
  <c r="AR102" i="35"/>
  <c r="AJ108" i="35"/>
  <c r="AK108" i="35" s="1"/>
  <c r="N7" i="35" s="1"/>
  <c r="AI108" i="35"/>
  <c r="AS121" i="35"/>
  <c r="AS130" i="35"/>
  <c r="AU131" i="35"/>
  <c r="AT131" i="35"/>
  <c r="Y138" i="35"/>
  <c r="AU149" i="35"/>
  <c r="AS158" i="35"/>
  <c r="Y166" i="35"/>
  <c r="AI180" i="35"/>
  <c r="AM180" i="35"/>
  <c r="AR187" i="35"/>
  <c r="Y192" i="35"/>
  <c r="AT193" i="35"/>
  <c r="Y200" i="35"/>
  <c r="AS208" i="35"/>
  <c r="Y221" i="35"/>
  <c r="AS222" i="35"/>
  <c r="AT231" i="35"/>
  <c r="AR232" i="35"/>
  <c r="AT233" i="35"/>
  <c r="AU233" i="35"/>
  <c r="AS233" i="35"/>
  <c r="AR233" i="35"/>
  <c r="AT262" i="35"/>
  <c r="Y270" i="35"/>
  <c r="Z281" i="35"/>
  <c r="Y281" i="35"/>
  <c r="AS283" i="35"/>
  <c r="AU288" i="35"/>
  <c r="AR289" i="35"/>
  <c r="AS290" i="35"/>
  <c r="Z315" i="35"/>
  <c r="Y315" i="35"/>
  <c r="AT317" i="35"/>
  <c r="AU317" i="35"/>
  <c r="AS317" i="35"/>
  <c r="AR317" i="35"/>
  <c r="AT319" i="35"/>
  <c r="AU319" i="35"/>
  <c r="AR319" i="35"/>
  <c r="AS319" i="35"/>
  <c r="AU325" i="35"/>
  <c r="AT325" i="35"/>
  <c r="AU326" i="35"/>
  <c r="AT326" i="35"/>
  <c r="AS326" i="35"/>
  <c r="AR326" i="35"/>
  <c r="Y336" i="35"/>
  <c r="AS337" i="35"/>
  <c r="AR338" i="35"/>
  <c r="Y350" i="35"/>
  <c r="AS351" i="35"/>
  <c r="AT351" i="35"/>
  <c r="AR351" i="35"/>
  <c r="AT352" i="35"/>
  <c r="AR352" i="35"/>
  <c r="AS352" i="35"/>
  <c r="Y367" i="35"/>
  <c r="AS380" i="35"/>
  <c r="AM396" i="35"/>
  <c r="AL396" i="35"/>
  <c r="O15" i="35" s="1"/>
  <c r="AT416" i="35"/>
  <c r="AR418" i="35"/>
  <c r="C22" i="35" a="1"/>
  <c r="C22" i="35" s="1"/>
  <c r="D22" i="35" a="1"/>
  <c r="D22" i="35" s="1"/>
  <c r="AR81" i="35"/>
  <c r="AS87" i="35"/>
  <c r="AT93" i="35"/>
  <c r="AS93" i="35"/>
  <c r="AR93" i="35"/>
  <c r="AT94" i="35"/>
  <c r="AS94" i="35"/>
  <c r="AU102" i="35"/>
  <c r="AR115" i="35"/>
  <c r="Z129" i="35"/>
  <c r="Y130" i="35"/>
  <c r="AT130" i="35"/>
  <c r="AR131" i="35"/>
  <c r="AR139" i="35"/>
  <c r="AR150" i="35"/>
  <c r="Y158" i="35"/>
  <c r="AT158" i="35"/>
  <c r="AR167" i="35"/>
  <c r="AU168" i="35"/>
  <c r="AT168" i="35"/>
  <c r="AS169" i="35"/>
  <c r="AR169" i="35"/>
  <c r="AS187" i="35"/>
  <c r="AU193" i="35"/>
  <c r="AT194" i="35"/>
  <c r="AS194" i="35"/>
  <c r="AR194" i="35"/>
  <c r="AS201" i="35"/>
  <c r="AU202" i="35"/>
  <c r="AT202" i="35"/>
  <c r="AU231" i="35"/>
  <c r="AS232" i="35"/>
  <c r="Y262" i="35"/>
  <c r="AT283" i="35"/>
  <c r="AS289" i="35"/>
  <c r="Y316" i="35"/>
  <c r="AR322" i="35"/>
  <c r="AR325" i="35"/>
  <c r="AT337" i="35"/>
  <c r="AS338" i="35"/>
  <c r="AU351" i="35"/>
  <c r="AU352" i="35"/>
  <c r="AR368" i="35"/>
  <c r="AI396" i="35"/>
  <c r="Y404" i="35"/>
  <c r="Y416" i="35"/>
  <c r="B17" i="35"/>
  <c r="C24" i="35" a="1"/>
  <c r="C24" i="35" s="1"/>
  <c r="A40" i="35"/>
  <c r="G51" i="35"/>
  <c r="F51" i="35" a="1"/>
  <c r="F51" i="35" s="1"/>
  <c r="AS81" i="35"/>
  <c r="AT87" i="35"/>
  <c r="AU93" i="35"/>
  <c r="AR94" i="35"/>
  <c r="AR108" i="35"/>
  <c r="AS115" i="35"/>
  <c r="Z122" i="35"/>
  <c r="Y122" i="35"/>
  <c r="Y123" i="35"/>
  <c r="AS131" i="35"/>
  <c r="AS139" i="35"/>
  <c r="AU140" i="35"/>
  <c r="AT140" i="35"/>
  <c r="AS144" i="35"/>
  <c r="AR144" i="35"/>
  <c r="AS150" i="35"/>
  <c r="AK165" i="35"/>
  <c r="AT167" i="35"/>
  <c r="AR168" i="35"/>
  <c r="AT169" i="35"/>
  <c r="AR180" i="35"/>
  <c r="AT187" i="35"/>
  <c r="AU194" i="35"/>
  <c r="AT201" i="35"/>
  <c r="AR202" i="35"/>
  <c r="Z208" i="35"/>
  <c r="Y208" i="35"/>
  <c r="AR210" i="35"/>
  <c r="Z222" i="35"/>
  <c r="Y222" i="35"/>
  <c r="Y242" i="35"/>
  <c r="Z243" i="35"/>
  <c r="Y243" i="35"/>
  <c r="Y271" i="35"/>
  <c r="AT285" i="35"/>
  <c r="AU285" i="35"/>
  <c r="Y300" i="35"/>
  <c r="AR303" i="35"/>
  <c r="AU306" i="35"/>
  <c r="AT306" i="35"/>
  <c r="Y318" i="35"/>
  <c r="Z318" i="35"/>
  <c r="AS322" i="35"/>
  <c r="AS325" i="35"/>
  <c r="AT328" i="35"/>
  <c r="AS328" i="35"/>
  <c r="Y337" i="35"/>
  <c r="AT338" i="35"/>
  <c r="AS368" i="35"/>
  <c r="Y380" i="35"/>
  <c r="Z380" i="35"/>
  <c r="AJ396" i="35"/>
  <c r="AK396" i="35" s="1"/>
  <c r="N15" i="35" s="1"/>
  <c r="AR420" i="35"/>
  <c r="AT421" i="35"/>
  <c r="AS421" i="35"/>
  <c r="AU421" i="35"/>
  <c r="C40" i="35" a="1"/>
  <c r="C40" i="35" s="1"/>
  <c r="C52" i="35" a="1"/>
  <c r="C52" i="35" s="1"/>
  <c r="AR73" i="35"/>
  <c r="AU74" i="35"/>
  <c r="AT74" i="35"/>
  <c r="Y81" i="35"/>
  <c r="AT81" i="35"/>
  <c r="Y87" i="35"/>
  <c r="AU94" i="35"/>
  <c r="AS108" i="35"/>
  <c r="Y115" i="35"/>
  <c r="AT115" i="35"/>
  <c r="AT116" i="35"/>
  <c r="AS116" i="35"/>
  <c r="AK129" i="35"/>
  <c r="Y139" i="35"/>
  <c r="AT139" i="35"/>
  <c r="AR140" i="35"/>
  <c r="AT144" i="35"/>
  <c r="Y150" i="35"/>
  <c r="AT150" i="35"/>
  <c r="AS151" i="35"/>
  <c r="AU151" i="35"/>
  <c r="AR159" i="35"/>
  <c r="AU167" i="35"/>
  <c r="AS168" i="35"/>
  <c r="AU169" i="35"/>
  <c r="AT170" i="35"/>
  <c r="AS170" i="35"/>
  <c r="AR170" i="35"/>
  <c r="Y176" i="35"/>
  <c r="AR177" i="35"/>
  <c r="AS180" i="35"/>
  <c r="Y187" i="35"/>
  <c r="Y193" i="35"/>
  <c r="AR195" i="35"/>
  <c r="Y201" i="35"/>
  <c r="AU201" i="35"/>
  <c r="AS202" i="35"/>
  <c r="Y209" i="35"/>
  <c r="AS210" i="35"/>
  <c r="AR224" i="35"/>
  <c r="AR225" i="35"/>
  <c r="AK270" i="35"/>
  <c r="Y283" i="35"/>
  <c r="AR285" i="35"/>
  <c r="AR294" i="35"/>
  <c r="Y301" i="35"/>
  <c r="Z301" i="35"/>
  <c r="AS303" i="35"/>
  <c r="AT304" i="35"/>
  <c r="AS304" i="35"/>
  <c r="AR304" i="35"/>
  <c r="AR306" i="35"/>
  <c r="Z321" i="35"/>
  <c r="Y322" i="35"/>
  <c r="AT322" i="35"/>
  <c r="AR328" i="35"/>
  <c r="AR355" i="35"/>
  <c r="AR356" i="35"/>
  <c r="AR362" i="35"/>
  <c r="Y368" i="35"/>
  <c r="AT368" i="35"/>
  <c r="AU370" i="35"/>
  <c r="AT370" i="35"/>
  <c r="Y379" i="35"/>
  <c r="Y417" i="35"/>
  <c r="Y419" i="35"/>
  <c r="AS420" i="35"/>
  <c r="AR421" i="35"/>
  <c r="AU83" i="35"/>
  <c r="AT83" i="35"/>
  <c r="AS83" i="35"/>
  <c r="Z131" i="35"/>
  <c r="Y131" i="35"/>
  <c r="AS140" i="35"/>
  <c r="AS142" i="35"/>
  <c r="AR142" i="35"/>
  <c r="AU144" i="35"/>
  <c r="AT159" i="35"/>
  <c r="AT211" i="35"/>
  <c r="AS211" i="35"/>
  <c r="AR211" i="35"/>
  <c r="AT224" i="35"/>
  <c r="AS225" i="35"/>
  <c r="AS285" i="35"/>
  <c r="AT303" i="35"/>
  <c r="AS306" i="35"/>
  <c r="Z326" i="35"/>
  <c r="Y326" i="35"/>
  <c r="AU328" i="35"/>
  <c r="AT355" i="35"/>
  <c r="AS356" i="35"/>
  <c r="AS357" i="35"/>
  <c r="AR357" i="35"/>
  <c r="AR369" i="35"/>
  <c r="AT369" i="35"/>
  <c r="AS369" i="35"/>
  <c r="AT420" i="35"/>
  <c r="C28" i="35" a="1"/>
  <c r="C28" i="35" s="1"/>
  <c r="Z88" i="35"/>
  <c r="Y88" i="35"/>
  <c r="AK120" i="35"/>
  <c r="AK153" i="35"/>
  <c r="Z202" i="35"/>
  <c r="Y202" i="35"/>
  <c r="AR278" i="35"/>
  <c r="AS286" i="35"/>
  <c r="AR286" i="35"/>
  <c r="Y289" i="35"/>
  <c r="Z289" i="35"/>
  <c r="AU292" i="35"/>
  <c r="AT292" i="35"/>
  <c r="Y299" i="35"/>
  <c r="Y308" i="35"/>
  <c r="AR309" i="35"/>
  <c r="AU310" i="35"/>
  <c r="AT310" i="35"/>
  <c r="AS310" i="35"/>
  <c r="AS320" i="35"/>
  <c r="AR320" i="35"/>
  <c r="AR342" i="35"/>
  <c r="AU353" i="35"/>
  <c r="AT353" i="35"/>
  <c r="AR373" i="35"/>
  <c r="AU373" i="35"/>
  <c r="AT373" i="35"/>
  <c r="AU406" i="35"/>
  <c r="AT406" i="35"/>
  <c r="AU414" i="35"/>
  <c r="AT414" i="35"/>
  <c r="AS414" i="35"/>
  <c r="AR414" i="35"/>
  <c r="AS254" i="35"/>
  <c r="AU254" i="35"/>
  <c r="AU255" i="35"/>
  <c r="AR255" i="35"/>
  <c r="AT269" i="35"/>
  <c r="AS269" i="35"/>
  <c r="AR269" i="35"/>
  <c r="AS331" i="35"/>
  <c r="AT331" i="35"/>
  <c r="AR331" i="35"/>
  <c r="AS381" i="35"/>
  <c r="AR381" i="35"/>
  <c r="AU381" i="35"/>
  <c r="AT381" i="35"/>
  <c r="AS394" i="35"/>
  <c r="AR394" i="35"/>
  <c r="AU398" i="35"/>
  <c r="AT398" i="35"/>
  <c r="AU426" i="35"/>
  <c r="AS426" i="35"/>
  <c r="AR426" i="35"/>
  <c r="C47" i="35" a="1"/>
  <c r="C47" i="35" s="1"/>
  <c r="AR95" i="35"/>
  <c r="Z106" i="35"/>
  <c r="Y106" i="35"/>
  <c r="Z121" i="35"/>
  <c r="AR129" i="35"/>
  <c r="Z140" i="35"/>
  <c r="Y140" i="35"/>
  <c r="AR155" i="35"/>
  <c r="AU156" i="35"/>
  <c r="AT156" i="35"/>
  <c r="AS156" i="35"/>
  <c r="Z189" i="35"/>
  <c r="Y189" i="35"/>
  <c r="AS209" i="35"/>
  <c r="AK213" i="35"/>
  <c r="Y232" i="35"/>
  <c r="AS242" i="35"/>
  <c r="AU243" i="35"/>
  <c r="AS243" i="35"/>
  <c r="AT254" i="35"/>
  <c r="AT255" i="35"/>
  <c r="AR279" i="35"/>
  <c r="AT286" i="35"/>
  <c r="AR292" i="35"/>
  <c r="AT301" i="35"/>
  <c r="AU301" i="35"/>
  <c r="AS309" i="35"/>
  <c r="AR310" i="35"/>
  <c r="AT320" i="35"/>
  <c r="AR321" i="35"/>
  <c r="AR353" i="35"/>
  <c r="AS373" i="35"/>
  <c r="AU384" i="35"/>
  <c r="AT384" i="35"/>
  <c r="AU394" i="35"/>
  <c r="AS398" i="35"/>
  <c r="AR406" i="35"/>
  <c r="Y413" i="35"/>
  <c r="AU428" i="35"/>
  <c r="AT428" i="35"/>
  <c r="AT401" i="35"/>
  <c r="AS401" i="35"/>
  <c r="AK173" i="35"/>
  <c r="Z338" i="35"/>
  <c r="Y338" i="35"/>
  <c r="AT340" i="35"/>
  <c r="AS340" i="35"/>
  <c r="Z370" i="35"/>
  <c r="Y370" i="35"/>
  <c r="Z377" i="35"/>
  <c r="Y377" i="35"/>
  <c r="AS385" i="35"/>
  <c r="AR385" i="35"/>
  <c r="AK389" i="35"/>
  <c r="AR401" i="35"/>
  <c r="Y407" i="35"/>
  <c r="Y428" i="35"/>
  <c r="AU430" i="35"/>
  <c r="AT430" i="35"/>
  <c r="AS430" i="35"/>
  <c r="AR75" i="35"/>
  <c r="Y113" i="35"/>
  <c r="Y118" i="35"/>
  <c r="AR141" i="35"/>
  <c r="AR152" i="35"/>
  <c r="Y156" i="35"/>
  <c r="Y165" i="35"/>
  <c r="Y185" i="35"/>
  <c r="AR190" i="35"/>
  <c r="Y198" i="35"/>
  <c r="AR207" i="35"/>
  <c r="AR218" i="35"/>
  <c r="AR228" i="35"/>
  <c r="AR239" i="35"/>
  <c r="Y244" i="35"/>
  <c r="Y249" i="35"/>
  <c r="Y257" i="35"/>
  <c r="AR258" i="35"/>
  <c r="Y274" i="35"/>
  <c r="AU275" i="35"/>
  <c r="AS275" i="35"/>
  <c r="Y280" i="35"/>
  <c r="Y290" i="35"/>
  <c r="Y298" i="35"/>
  <c r="Y310" i="35"/>
  <c r="Y325" i="35"/>
  <c r="Y332" i="35"/>
  <c r="AU333" i="35"/>
  <c r="AT333" i="35"/>
  <c r="AR340" i="35"/>
  <c r="AS354" i="35"/>
  <c r="AR354" i="35"/>
  <c r="Z364" i="35"/>
  <c r="Y364" i="35"/>
  <c r="Y371" i="35"/>
  <c r="Y378" i="35"/>
  <c r="AR379" i="35"/>
  <c r="AT385" i="35"/>
  <c r="AS392" i="35"/>
  <c r="AR392" i="35"/>
  <c r="AU396" i="35"/>
  <c r="AT396" i="35"/>
  <c r="AU401" i="35"/>
  <c r="AR430" i="35"/>
  <c r="AS75" i="35"/>
  <c r="AS141" i="35"/>
  <c r="AK169" i="35"/>
  <c r="AS228" i="35"/>
  <c r="AK237" i="35"/>
  <c r="AS239" i="35"/>
  <c r="AS258" i="35"/>
  <c r="AU259" i="35"/>
  <c r="AR259" i="35"/>
  <c r="AS311" i="35"/>
  <c r="AR311" i="35"/>
  <c r="AM324" i="35"/>
  <c r="AL324" i="35"/>
  <c r="O13" i="35" s="1"/>
  <c r="AU340" i="35"/>
  <c r="AU360" i="35"/>
  <c r="AT360" i="35"/>
  <c r="AS360" i="35"/>
  <c r="AU385" i="35"/>
  <c r="AK279" i="35"/>
  <c r="AS302" i="35"/>
  <c r="AR302" i="35"/>
  <c r="AK337" i="35"/>
  <c r="AK349" i="35"/>
  <c r="AT382" i="35"/>
  <c r="AS382" i="35"/>
  <c r="AU358" i="35"/>
  <c r="AT358" i="35"/>
  <c r="AK325" i="35"/>
  <c r="AK357" i="35"/>
  <c r="AR293" i="35"/>
  <c r="AS365" i="35"/>
  <c r="Y398" i="35"/>
  <c r="Y430" i="35"/>
  <c r="Y225" i="34"/>
  <c r="Z222" i="34"/>
  <c r="Y231" i="34"/>
  <c r="Z230" i="34"/>
  <c r="Y229" i="34"/>
  <c r="Y211" i="34"/>
  <c r="Z196" i="34"/>
  <c r="Y186" i="34"/>
  <c r="Y195" i="34"/>
  <c r="Z155" i="34"/>
  <c r="Z124" i="34"/>
  <c r="Z120" i="34"/>
  <c r="Y78" i="34"/>
  <c r="Z76" i="34"/>
  <c r="AL218" i="34"/>
  <c r="AM222" i="34"/>
  <c r="AK248" i="34"/>
  <c r="AM218" i="34"/>
  <c r="AK245" i="34"/>
  <c r="AK249" i="34"/>
  <c r="AJ250" i="34"/>
  <c r="AK250" i="34" s="1"/>
  <c r="AI219" i="34"/>
  <c r="AL250" i="34"/>
  <c r="AM219" i="34"/>
  <c r="AM250" i="34"/>
  <c r="AM221" i="34"/>
  <c r="AK220" i="34"/>
  <c r="AK226" i="34"/>
  <c r="AK228" i="34"/>
  <c r="AK212" i="34"/>
  <c r="AK189" i="34"/>
  <c r="AK207" i="34"/>
  <c r="AM185" i="34"/>
  <c r="AI184" i="34"/>
  <c r="L26" i="34" s="1" a="1"/>
  <c r="L26" i="34" s="1"/>
  <c r="AI185" i="34"/>
  <c r="L27" i="34" s="1" a="1"/>
  <c r="L27" i="34" s="1"/>
  <c r="AJ184" i="34"/>
  <c r="AK184" i="34" s="1"/>
  <c r="O26" i="34" s="1" a="1"/>
  <c r="O26" i="34" s="1"/>
  <c r="AM184" i="34"/>
  <c r="I26" i="34" s="1" a="1"/>
  <c r="I26" i="34" s="1"/>
  <c r="AM183" i="34"/>
  <c r="I25" i="34" s="1" a="1"/>
  <c r="I25" i="34" s="1"/>
  <c r="AK190" i="34"/>
  <c r="AK205" i="34"/>
  <c r="AK210" i="34"/>
  <c r="AK208" i="34"/>
  <c r="AK203" i="34"/>
  <c r="AM181" i="34"/>
  <c r="AM214" i="34"/>
  <c r="I56" i="34" s="1" a="1"/>
  <c r="I56" i="34" s="1"/>
  <c r="AM182" i="34"/>
  <c r="I24" i="34" s="1" a="1"/>
  <c r="I24" i="34" s="1"/>
  <c r="AK196" i="34"/>
  <c r="AK200" i="34"/>
  <c r="AM186" i="34"/>
  <c r="I28" i="34" s="1" a="1"/>
  <c r="I28" i="34" s="1"/>
  <c r="AK201" i="34"/>
  <c r="AK154" i="34"/>
  <c r="AM159" i="34"/>
  <c r="AK170" i="34"/>
  <c r="AK171" i="34"/>
  <c r="AM148" i="34"/>
  <c r="AM147" i="34"/>
  <c r="AK169" i="34"/>
  <c r="AM160" i="34"/>
  <c r="AK156" i="34"/>
  <c r="AM110" i="34"/>
  <c r="AK113" i="34"/>
  <c r="AK140" i="34"/>
  <c r="AK127" i="34"/>
  <c r="AK138" i="34"/>
  <c r="AK120" i="34"/>
  <c r="AK122" i="34"/>
  <c r="AK133" i="34"/>
  <c r="AK118" i="34"/>
  <c r="AK121" i="34"/>
  <c r="AK130" i="34"/>
  <c r="AK117" i="34"/>
  <c r="AK129" i="34"/>
  <c r="AK131" i="34"/>
  <c r="AK82" i="34"/>
  <c r="AJ74" i="34"/>
  <c r="AK74" i="34" s="1"/>
  <c r="AM78" i="34"/>
  <c r="AJ73" i="34"/>
  <c r="AK73" i="34" s="1"/>
  <c r="AL74" i="34"/>
  <c r="AK89" i="34"/>
  <c r="AL73" i="34"/>
  <c r="AM74" i="34"/>
  <c r="AM72" i="34"/>
  <c r="AM77" i="34"/>
  <c r="AM79" i="34"/>
  <c r="I29" i="34" s="1" a="1"/>
  <c r="I29" i="34" s="1"/>
  <c r="AM76" i="34"/>
  <c r="AK102" i="34"/>
  <c r="AM73" i="34"/>
  <c r="D24" i="34" a="1"/>
  <c r="D24" i="34" s="1"/>
  <c r="AM217" i="34"/>
  <c r="AK233" i="34"/>
  <c r="AK230" i="34"/>
  <c r="AK232" i="34"/>
  <c r="AI217" i="34"/>
  <c r="AL217" i="34"/>
  <c r="Y220" i="34"/>
  <c r="AK224" i="34"/>
  <c r="Y238" i="34"/>
  <c r="Y241" i="34"/>
  <c r="Y249" i="34"/>
  <c r="AI222" i="34"/>
  <c r="Y237" i="34"/>
  <c r="Y243" i="34"/>
  <c r="Y245" i="34"/>
  <c r="AK218" i="34"/>
  <c r="AJ222" i="34"/>
  <c r="AK222" i="34" s="1"/>
  <c r="Y242" i="34"/>
  <c r="Y247" i="34"/>
  <c r="Z248" i="34"/>
  <c r="AJ219" i="34"/>
  <c r="AK219" i="34" s="1"/>
  <c r="AJ221" i="34"/>
  <c r="AK221" i="34" s="1"/>
  <c r="AL222" i="34"/>
  <c r="AK238" i="34"/>
  <c r="AK239" i="34"/>
  <c r="AI218" i="34"/>
  <c r="AI220" i="34"/>
  <c r="AL221" i="34"/>
  <c r="Y233" i="34"/>
  <c r="AK246" i="34"/>
  <c r="AK247" i="34"/>
  <c r="AK217" i="34"/>
  <c r="AK242" i="34"/>
  <c r="Y184" i="34"/>
  <c r="AK194" i="34"/>
  <c r="AK204" i="34"/>
  <c r="Z206" i="34"/>
  <c r="Z208" i="34"/>
  <c r="Y214" i="34"/>
  <c r="Y182" i="34"/>
  <c r="AK199" i="34"/>
  <c r="AK202" i="34"/>
  <c r="Y185" i="34"/>
  <c r="AK197" i="34"/>
  <c r="Y209" i="34"/>
  <c r="AI181" i="34"/>
  <c r="L23" i="34" s="1" a="1"/>
  <c r="L23" i="34" s="1"/>
  <c r="AI214" i="34"/>
  <c r="L56" i="34" s="1" a="1"/>
  <c r="L56" i="34" s="1"/>
  <c r="AJ181" i="34"/>
  <c r="AK181" i="34" s="1"/>
  <c r="O23" i="34" s="1" a="1"/>
  <c r="O23" i="34" s="1"/>
  <c r="AI182" i="34"/>
  <c r="L24" i="34" s="1" a="1"/>
  <c r="L24" i="34" s="1"/>
  <c r="AI183" i="34"/>
  <c r="L25" i="34" s="1" a="1"/>
  <c r="L25" i="34" s="1"/>
  <c r="AK188" i="34"/>
  <c r="AJ214" i="34"/>
  <c r="M56" i="34" s="1" a="1"/>
  <c r="M56" i="34" s="1"/>
  <c r="AL181" i="34"/>
  <c r="AJ182" i="34"/>
  <c r="AK182" i="34" s="1"/>
  <c r="O24" i="34" s="1" a="1"/>
  <c r="O24" i="34" s="1"/>
  <c r="AJ183" i="34"/>
  <c r="AK183" i="34" s="1"/>
  <c r="O25" i="34" s="1" a="1"/>
  <c r="O25" i="34" s="1"/>
  <c r="AK213" i="34"/>
  <c r="AL182" i="34"/>
  <c r="AL183" i="34"/>
  <c r="AJ185" i="34"/>
  <c r="AK185" i="34" s="1"/>
  <c r="O27" i="34" s="1" a="1"/>
  <c r="O27" i="34" s="1"/>
  <c r="AJ186" i="34"/>
  <c r="AK186" i="34" s="1"/>
  <c r="O28" i="34" s="1" a="1"/>
  <c r="O28" i="34" s="1"/>
  <c r="AK211" i="34"/>
  <c r="AL186" i="34"/>
  <c r="AL185" i="34"/>
  <c r="Y191" i="34"/>
  <c r="Y200" i="34"/>
  <c r="Y203" i="34"/>
  <c r="Y205" i="34"/>
  <c r="Z193" i="34"/>
  <c r="AK209" i="34"/>
  <c r="AM162" i="34"/>
  <c r="AL162" i="34"/>
  <c r="AM149" i="34"/>
  <c r="AI162" i="34"/>
  <c r="AI154" i="34"/>
  <c r="Y159" i="34"/>
  <c r="AM146" i="34"/>
  <c r="AL146" i="34"/>
  <c r="AJ146" i="34"/>
  <c r="AK146" i="34" s="1"/>
  <c r="AI146" i="34"/>
  <c r="AK152" i="34"/>
  <c r="AM153" i="34"/>
  <c r="AL153" i="34"/>
  <c r="AJ153" i="34"/>
  <c r="AK153" i="34" s="1"/>
  <c r="AI153" i="34"/>
  <c r="AJ162" i="34"/>
  <c r="AK162" i="34" s="1"/>
  <c r="AM145" i="34"/>
  <c r="AM152" i="34"/>
  <c r="AL152" i="34"/>
  <c r="AM158" i="34"/>
  <c r="AI152" i="34"/>
  <c r="AM178" i="34"/>
  <c r="AL178" i="34"/>
  <c r="AJ178" i="34"/>
  <c r="AK178" i="34" s="1"/>
  <c r="Y148" i="34"/>
  <c r="Z148" i="34"/>
  <c r="AM151" i="34"/>
  <c r="AL151" i="34"/>
  <c r="Y156" i="34"/>
  <c r="AI178" i="34"/>
  <c r="AM144" i="34"/>
  <c r="AL144" i="34"/>
  <c r="O8" i="34" s="1"/>
  <c r="AJ144" i="34"/>
  <c r="AK144" i="34" s="1"/>
  <c r="N8" i="34" s="1"/>
  <c r="AI144" i="34"/>
  <c r="AI151" i="34"/>
  <c r="AJ151" i="34"/>
  <c r="AK151" i="34" s="1"/>
  <c r="AM157" i="34"/>
  <c r="AM161" i="34"/>
  <c r="AM177" i="34"/>
  <c r="AL177" i="34"/>
  <c r="Y147" i="34"/>
  <c r="AI177" i="34"/>
  <c r="AK150" i="34"/>
  <c r="AJ177" i="34"/>
  <c r="AK177" i="34" s="1"/>
  <c r="AM150" i="34"/>
  <c r="AL150" i="34"/>
  <c r="Z160" i="34"/>
  <c r="Z170" i="34"/>
  <c r="AI150" i="34"/>
  <c r="AM154" i="34"/>
  <c r="AL154" i="34"/>
  <c r="AM155" i="34"/>
  <c r="AL155" i="34"/>
  <c r="AJ155" i="34"/>
  <c r="AK155" i="34" s="1"/>
  <c r="AI155" i="34"/>
  <c r="Y169" i="34"/>
  <c r="Y171" i="34"/>
  <c r="Y173" i="34"/>
  <c r="AK164" i="34"/>
  <c r="AI145" i="34"/>
  <c r="AI149" i="34"/>
  <c r="AI157" i="34"/>
  <c r="AI158" i="34"/>
  <c r="AI161" i="34"/>
  <c r="Y174" i="34"/>
  <c r="AJ145" i="34"/>
  <c r="AK145" i="34" s="1"/>
  <c r="AJ149" i="34"/>
  <c r="AK149" i="34" s="1"/>
  <c r="AJ157" i="34"/>
  <c r="AK157" i="34" s="1"/>
  <c r="AJ158" i="34"/>
  <c r="AK158" i="34" s="1"/>
  <c r="AI159" i="34"/>
  <c r="AJ161" i="34"/>
  <c r="AK161" i="34" s="1"/>
  <c r="AL145" i="34"/>
  <c r="AI147" i="34"/>
  <c r="AL149" i="34"/>
  <c r="AL157" i="34"/>
  <c r="AL158" i="34"/>
  <c r="AJ159" i="34"/>
  <c r="AK159" i="34" s="1"/>
  <c r="AI160" i="34"/>
  <c r="AL161" i="34"/>
  <c r="AK175" i="34"/>
  <c r="AJ147" i="34"/>
  <c r="AK147" i="34" s="1"/>
  <c r="AI148" i="34"/>
  <c r="AL159" i="34"/>
  <c r="AJ160" i="34"/>
  <c r="AK160" i="34" s="1"/>
  <c r="AL147" i="34"/>
  <c r="AJ148" i="34"/>
  <c r="AK148" i="34" s="1"/>
  <c r="AL160" i="34"/>
  <c r="AL148" i="34"/>
  <c r="Y163" i="34"/>
  <c r="Z151" i="34"/>
  <c r="Y164" i="34"/>
  <c r="AK165" i="34"/>
  <c r="Z178" i="34"/>
  <c r="AK174" i="34"/>
  <c r="AK167" i="34"/>
  <c r="AK163" i="34"/>
  <c r="AK166" i="34"/>
  <c r="Z141" i="34"/>
  <c r="AJ109" i="34"/>
  <c r="AK109" i="34" s="1"/>
  <c r="AM111" i="34"/>
  <c r="AL112" i="34"/>
  <c r="Z132" i="34"/>
  <c r="Z133" i="34"/>
  <c r="AJ142" i="34"/>
  <c r="AK142" i="34" s="1"/>
  <c r="AL109" i="34"/>
  <c r="AM112" i="34"/>
  <c r="AL142" i="34"/>
  <c r="AM109" i="34"/>
  <c r="AM142" i="34"/>
  <c r="Z115" i="34"/>
  <c r="Y119" i="34"/>
  <c r="Y122" i="34"/>
  <c r="AK116" i="34"/>
  <c r="Y112" i="34"/>
  <c r="AK114" i="34"/>
  <c r="F38" i="34" a="1"/>
  <c r="F38" i="34" s="1"/>
  <c r="AI110" i="34"/>
  <c r="AK119" i="34"/>
  <c r="AJ110" i="34"/>
  <c r="AK110" i="34" s="1"/>
  <c r="AI111" i="34"/>
  <c r="AL110" i="34"/>
  <c r="AJ111" i="34"/>
  <c r="AK111" i="34" s="1"/>
  <c r="AI112" i="34"/>
  <c r="Z130" i="34"/>
  <c r="Z137" i="34"/>
  <c r="AK128" i="34"/>
  <c r="Y117" i="34"/>
  <c r="Z125" i="34"/>
  <c r="AK132" i="34"/>
  <c r="D55" i="34" a="1"/>
  <c r="D55" i="34" s="1"/>
  <c r="G55" i="34"/>
  <c r="H55" i="34" a="1"/>
  <c r="H55" i="34" s="1"/>
  <c r="I55" i="34" a="1"/>
  <c r="I55" i="34" s="1"/>
  <c r="G48" i="34"/>
  <c r="F48" i="34" a="1"/>
  <c r="F48" i="34" s="1"/>
  <c r="I48" i="34" a="1"/>
  <c r="I48" i="34" s="1"/>
  <c r="H48" i="34" a="1"/>
  <c r="H48" i="34" s="1"/>
  <c r="D52" i="34" a="1"/>
  <c r="D52" i="34" s="1"/>
  <c r="Y88" i="34"/>
  <c r="Z92" i="34"/>
  <c r="Z100" i="34"/>
  <c r="G52" i="34"/>
  <c r="Y102" i="34"/>
  <c r="I52" i="34" a="1"/>
  <c r="I52" i="34" s="1"/>
  <c r="Z84" i="34"/>
  <c r="Z90" i="34"/>
  <c r="AK96" i="34"/>
  <c r="G45" i="34"/>
  <c r="Y86" i="34"/>
  <c r="AK87" i="34"/>
  <c r="AK90" i="34"/>
  <c r="AK97" i="34"/>
  <c r="AK98" i="34"/>
  <c r="Z93" i="34"/>
  <c r="AK88" i="34"/>
  <c r="AK91" i="34"/>
  <c r="AK101" i="34"/>
  <c r="AK85" i="34"/>
  <c r="AK92" i="34"/>
  <c r="I30" i="34" a="1"/>
  <c r="I30" i="34" s="1"/>
  <c r="Z73" i="34"/>
  <c r="AK83" i="34"/>
  <c r="AK95" i="34"/>
  <c r="A51" i="34"/>
  <c r="AI76" i="34"/>
  <c r="AI78" i="34"/>
  <c r="AI79" i="34"/>
  <c r="C54" i="34" a="1"/>
  <c r="C54" i="34" s="1"/>
  <c r="H30" i="34" a="1"/>
  <c r="H30" i="34" s="1"/>
  <c r="AI75" i="34"/>
  <c r="AJ76" i="34"/>
  <c r="AK76" i="34" s="1"/>
  <c r="AI77" i="34"/>
  <c r="AJ78" i="34"/>
  <c r="AK78" i="34" s="1"/>
  <c r="AJ79" i="34"/>
  <c r="AJ75" i="34"/>
  <c r="AK75" i="34" s="1"/>
  <c r="AL76" i="34"/>
  <c r="AJ77" i="34"/>
  <c r="AL78" i="34"/>
  <c r="Y104" i="34"/>
  <c r="A28" i="34"/>
  <c r="D28" i="34" a="1"/>
  <c r="D28" i="34" s="1"/>
  <c r="C28" i="34" a="1"/>
  <c r="C28" i="34" s="1"/>
  <c r="A22" i="34"/>
  <c r="B17" i="34"/>
  <c r="C22" i="34" a="1"/>
  <c r="C22" i="34" s="1"/>
  <c r="D22" i="34" a="1"/>
  <c r="D22" i="34" s="1"/>
  <c r="F53" i="34" a="1"/>
  <c r="F53" i="34" s="1"/>
  <c r="E53" i="34"/>
  <c r="I53" i="34" a="1"/>
  <c r="I53" i="34" s="1"/>
  <c r="H53" i="34" a="1"/>
  <c r="H53" i="34" s="1"/>
  <c r="G53" i="34"/>
  <c r="D53" i="34" a="1"/>
  <c r="D53" i="34" s="1"/>
  <c r="C53" i="34" a="1"/>
  <c r="C53" i="34" s="1"/>
  <c r="A53" i="34"/>
  <c r="A46" i="34"/>
  <c r="E46" i="34"/>
  <c r="I46" i="34" a="1"/>
  <c r="I46" i="34" s="1"/>
  <c r="H46" i="34" a="1"/>
  <c r="H46" i="34" s="1"/>
  <c r="G46" i="34"/>
  <c r="D46" i="34" a="1"/>
  <c r="D46" i="34" s="1"/>
  <c r="F46" i="34" a="1"/>
  <c r="F46" i="34" s="1"/>
  <c r="C46" i="34" a="1"/>
  <c r="C46" i="34" s="1"/>
  <c r="A32" i="34"/>
  <c r="E32" i="34"/>
  <c r="I32" i="34" a="1"/>
  <c r="I32" i="34" s="1"/>
  <c r="F32" i="34" a="1"/>
  <c r="F32" i="34" s="1"/>
  <c r="H32" i="34" a="1"/>
  <c r="H32" i="34" s="1"/>
  <c r="G32" i="34"/>
  <c r="D32" i="34" a="1"/>
  <c r="D32" i="34" s="1"/>
  <c r="C32" i="34" a="1"/>
  <c r="C32" i="34" s="1"/>
  <c r="F35" i="34" a="1"/>
  <c r="F35" i="34" s="1"/>
  <c r="E35" i="34"/>
  <c r="A35" i="34"/>
  <c r="I35" i="34" a="1"/>
  <c r="I35" i="34" s="1"/>
  <c r="H35" i="34" a="1"/>
  <c r="H35" i="34" s="1"/>
  <c r="G35" i="34"/>
  <c r="D35" i="34" a="1"/>
  <c r="D35" i="34" s="1"/>
  <c r="C35" i="34" a="1"/>
  <c r="C35" i="34" s="1"/>
  <c r="C25" i="34" a="1"/>
  <c r="C25" i="34" s="1"/>
  <c r="D25" i="34" a="1"/>
  <c r="D25" i="34" s="1"/>
  <c r="A25" i="34"/>
  <c r="A26" i="34"/>
  <c r="D26" i="34" a="1"/>
  <c r="D26" i="34" s="1"/>
  <c r="C26" i="34" a="1"/>
  <c r="C26" i="34" s="1"/>
  <c r="D42" i="34" a="1"/>
  <c r="D42" i="34" s="1"/>
  <c r="A44" i="34"/>
  <c r="E44" i="34"/>
  <c r="F44" i="34" a="1"/>
  <c r="F44" i="34" s="1"/>
  <c r="D44" i="34" a="1"/>
  <c r="D44" i="34" s="1"/>
  <c r="C44" i="34" a="1"/>
  <c r="C44" i="34" s="1"/>
  <c r="Z97" i="34"/>
  <c r="Z106" i="34"/>
  <c r="AJ108" i="34"/>
  <c r="AK108" i="34" s="1"/>
  <c r="N7" i="34" s="1"/>
  <c r="AM108" i="34"/>
  <c r="AL108" i="34"/>
  <c r="O7" i="34" s="1"/>
  <c r="Y197" i="34"/>
  <c r="A56" i="34"/>
  <c r="Y121" i="34"/>
  <c r="Z121" i="34"/>
  <c r="A40" i="34"/>
  <c r="E40" i="34"/>
  <c r="H40" i="34" a="1"/>
  <c r="H40" i="34" s="1"/>
  <c r="G40" i="34"/>
  <c r="F40" i="34" a="1"/>
  <c r="F40" i="34" s="1"/>
  <c r="D40" i="34" a="1"/>
  <c r="D40" i="34" s="1"/>
  <c r="C40" i="34" a="1"/>
  <c r="C40" i="34" s="1"/>
  <c r="AU102" i="34"/>
  <c r="AT102" i="34"/>
  <c r="AS102" i="34"/>
  <c r="AR102" i="34"/>
  <c r="AS202" i="34"/>
  <c r="AU202" i="34"/>
  <c r="AT202" i="34"/>
  <c r="AR202" i="34"/>
  <c r="Z262" i="34"/>
  <c r="Y262" i="34"/>
  <c r="F33" i="34" a="1"/>
  <c r="F33" i="34" s="1"/>
  <c r="E33" i="34"/>
  <c r="H33" i="34" a="1"/>
  <c r="H33" i="34" s="1"/>
  <c r="G33" i="34"/>
  <c r="D33" i="34" a="1"/>
  <c r="D33" i="34" s="1"/>
  <c r="C33" i="34" a="1"/>
  <c r="C33" i="34" s="1"/>
  <c r="A33" i="34"/>
  <c r="Z98" i="34"/>
  <c r="AU149" i="34"/>
  <c r="AT149" i="34"/>
  <c r="AS149" i="34"/>
  <c r="AR149" i="34"/>
  <c r="Z261" i="34"/>
  <c r="Y261" i="34"/>
  <c r="I33" i="34" a="1"/>
  <c r="I33" i="34" s="1"/>
  <c r="F37" i="34" a="1"/>
  <c r="F37" i="34" s="1"/>
  <c r="E37" i="34"/>
  <c r="D37" i="34" a="1"/>
  <c r="D37" i="34" s="1"/>
  <c r="C37" i="34" a="1"/>
  <c r="C37" i="34" s="1"/>
  <c r="A37" i="34"/>
  <c r="G44" i="34"/>
  <c r="D49" i="34" a="1"/>
  <c r="D49" i="34" s="1"/>
  <c r="F51" i="34" a="1"/>
  <c r="F51" i="34" s="1"/>
  <c r="E51" i="34"/>
  <c r="G51" i="34"/>
  <c r="D51" i="34" a="1"/>
  <c r="D51" i="34" s="1"/>
  <c r="C51" i="34" a="1"/>
  <c r="C51" i="34" s="1"/>
  <c r="AI108" i="34"/>
  <c r="AU142" i="34"/>
  <c r="AS142" i="34"/>
  <c r="AT161" i="34"/>
  <c r="AU161" i="34"/>
  <c r="AS161" i="34"/>
  <c r="AU164" i="34"/>
  <c r="AS164" i="34"/>
  <c r="AR164" i="34"/>
  <c r="AU207" i="34"/>
  <c r="AT207" i="34"/>
  <c r="Z244" i="34"/>
  <c r="Y244" i="34"/>
  <c r="Y250" i="34"/>
  <c r="Z250" i="34"/>
  <c r="G37" i="34"/>
  <c r="A39" i="34"/>
  <c r="G42" i="34"/>
  <c r="H44" i="34" a="1"/>
  <c r="H44" i="34" s="1"/>
  <c r="H51" i="34" a="1"/>
  <c r="H51" i="34" s="1"/>
  <c r="AR142" i="34"/>
  <c r="AR148" i="34"/>
  <c r="AU148" i="34"/>
  <c r="AT148" i="34"/>
  <c r="AS148" i="34"/>
  <c r="AR161" i="34"/>
  <c r="AT164" i="34"/>
  <c r="Z201" i="34"/>
  <c r="Y201" i="34"/>
  <c r="AR207" i="34"/>
  <c r="Y246" i="34"/>
  <c r="Z290" i="34"/>
  <c r="AU296" i="34"/>
  <c r="AS296" i="34"/>
  <c r="AR296" i="34"/>
  <c r="AT311" i="34"/>
  <c r="AU311" i="34"/>
  <c r="AR311" i="34"/>
  <c r="AS311" i="34"/>
  <c r="AU338" i="34"/>
  <c r="AT338" i="34"/>
  <c r="AR338" i="34"/>
  <c r="A24" i="34"/>
  <c r="C24" i="34" a="1"/>
  <c r="C24" i="34" s="1"/>
  <c r="A30" i="34"/>
  <c r="E30" i="34"/>
  <c r="F30" i="34" a="1"/>
  <c r="F30" i="34" s="1"/>
  <c r="D30" i="34" a="1"/>
  <c r="D30" i="34" s="1"/>
  <c r="C30" i="34" a="1"/>
  <c r="C30" i="34" s="1"/>
  <c r="H37" i="34" a="1"/>
  <c r="H37" i="34" s="1"/>
  <c r="H49" i="34" a="1"/>
  <c r="H49" i="34" s="1"/>
  <c r="AL72" i="34"/>
  <c r="O6" i="34" s="1"/>
  <c r="AK105" i="34"/>
  <c r="AT142" i="34"/>
  <c r="Z146" i="34"/>
  <c r="Y146" i="34"/>
  <c r="AT160" i="34"/>
  <c r="AU160" i="34"/>
  <c r="AS160" i="34"/>
  <c r="AS207" i="34"/>
  <c r="Z278" i="34"/>
  <c r="Y278" i="34"/>
  <c r="Y291" i="34"/>
  <c r="Z291" i="34"/>
  <c r="AT296" i="34"/>
  <c r="Z309" i="34"/>
  <c r="Y309" i="34"/>
  <c r="AS338" i="34"/>
  <c r="AU340" i="34"/>
  <c r="AT340" i="34"/>
  <c r="AR340" i="34"/>
  <c r="AS340" i="34"/>
  <c r="I37" i="34" a="1"/>
  <c r="I37" i="34" s="1"/>
  <c r="F41" i="34" a="1"/>
  <c r="F41" i="34" s="1"/>
  <c r="E41" i="34"/>
  <c r="D41" i="34" a="1"/>
  <c r="D41" i="34" s="1"/>
  <c r="C41" i="34" a="1"/>
  <c r="C41" i="34" s="1"/>
  <c r="A41" i="34"/>
  <c r="I41" i="34" a="1"/>
  <c r="I41" i="34" s="1"/>
  <c r="AR115" i="34"/>
  <c r="Z157" i="34"/>
  <c r="Y306" i="34"/>
  <c r="Z306" i="34"/>
  <c r="Y307" i="34"/>
  <c r="Z307" i="34"/>
  <c r="Z351" i="34"/>
  <c r="Y351" i="34"/>
  <c r="C23" i="34" a="1"/>
  <c r="C23" i="34" s="1"/>
  <c r="D23" i="34" a="1"/>
  <c r="D23" i="34" s="1"/>
  <c r="A23" i="34"/>
  <c r="A34" i="34"/>
  <c r="E34" i="34"/>
  <c r="D34" i="34" a="1"/>
  <c r="D34" i="34" s="1"/>
  <c r="C34" i="34" a="1"/>
  <c r="C34" i="34" s="1"/>
  <c r="I34" i="34" a="1"/>
  <c r="I34" i="34" s="1"/>
  <c r="Y114" i="34"/>
  <c r="Z140" i="34"/>
  <c r="Z142" i="34"/>
  <c r="Y142" i="34"/>
  <c r="Y158" i="34"/>
  <c r="AT175" i="34"/>
  <c r="AU175" i="34"/>
  <c r="AS175" i="34"/>
  <c r="AR175" i="34"/>
  <c r="Z347" i="34"/>
  <c r="Y347" i="34"/>
  <c r="AU400" i="34"/>
  <c r="AS400" i="34"/>
  <c r="AT400" i="34"/>
  <c r="AR400" i="34"/>
  <c r="AU128" i="34"/>
  <c r="AT128" i="34"/>
  <c r="AR128" i="34"/>
  <c r="AS128" i="34"/>
  <c r="A42" i="34"/>
  <c r="E42" i="34"/>
  <c r="I42" i="34" a="1"/>
  <c r="I42" i="34" s="1"/>
  <c r="H42" i="34" a="1"/>
  <c r="H42" i="34" s="1"/>
  <c r="F42" i="34" a="1"/>
  <c r="F42" i="34" s="1"/>
  <c r="F47" i="34" a="1"/>
  <c r="F47" i="34" s="1"/>
  <c r="E47" i="34"/>
  <c r="H47" i="34" a="1"/>
  <c r="H47" i="34" s="1"/>
  <c r="G47" i="34"/>
  <c r="D47" i="34" a="1"/>
  <c r="D47" i="34" s="1"/>
  <c r="C47" i="34" a="1"/>
  <c r="C47" i="34" s="1"/>
  <c r="A47" i="34"/>
  <c r="AT216" i="34"/>
  <c r="AR216" i="34"/>
  <c r="AU216" i="34"/>
  <c r="C42" i="34" a="1"/>
  <c r="C42" i="34" s="1"/>
  <c r="I47" i="34" a="1"/>
  <c r="I47" i="34" s="1"/>
  <c r="C56" i="34" a="1"/>
  <c r="C56" i="34" s="1"/>
  <c r="AS216" i="34"/>
  <c r="AT115" i="34"/>
  <c r="AS115" i="34"/>
  <c r="AU213" i="34"/>
  <c r="AS213" i="34"/>
  <c r="AT213" i="34"/>
  <c r="AR213" i="34"/>
  <c r="Z292" i="34"/>
  <c r="Y292" i="34"/>
  <c r="AS337" i="34"/>
  <c r="AT337" i="34"/>
  <c r="AU337" i="34"/>
  <c r="C27" i="34" a="1"/>
  <c r="C27" i="34" s="1"/>
  <c r="A27" i="34"/>
  <c r="D27" i="34" a="1"/>
  <c r="D27" i="34" s="1"/>
  <c r="F34" i="34" a="1"/>
  <c r="F34" i="34" s="1"/>
  <c r="G41" i="34"/>
  <c r="F43" i="34" a="1"/>
  <c r="F43" i="34" s="1"/>
  <c r="E43" i="34"/>
  <c r="I43" i="34" a="1"/>
  <c r="I43" i="34" s="1"/>
  <c r="H43" i="34" a="1"/>
  <c r="H43" i="34" s="1"/>
  <c r="G43" i="34"/>
  <c r="D43" i="34" a="1"/>
  <c r="D43" i="34" s="1"/>
  <c r="C43" i="34" a="1"/>
  <c r="C43" i="34" s="1"/>
  <c r="F45" i="34" a="1"/>
  <c r="F45" i="34" s="1"/>
  <c r="E45" i="34"/>
  <c r="C45" i="34" a="1"/>
  <c r="C45" i="34" s="1"/>
  <c r="A45" i="34"/>
  <c r="H45" i="34" a="1"/>
  <c r="H45" i="34" s="1"/>
  <c r="A52" i="34"/>
  <c r="E52" i="34"/>
  <c r="C52" i="34" a="1"/>
  <c r="C52" i="34" s="1"/>
  <c r="H52" i="34" a="1"/>
  <c r="H52" i="34" s="1"/>
  <c r="AU79" i="34"/>
  <c r="AT79" i="34"/>
  <c r="AT81" i="34"/>
  <c r="AR81" i="34"/>
  <c r="AU81" i="34"/>
  <c r="AS81" i="34"/>
  <c r="Y111" i="34"/>
  <c r="Y113" i="34"/>
  <c r="Y116" i="34"/>
  <c r="Z116" i="34"/>
  <c r="Z118" i="34"/>
  <c r="Y118" i="34"/>
  <c r="AU127" i="34"/>
  <c r="AT127" i="34"/>
  <c r="AU168" i="34"/>
  <c r="AT168" i="34"/>
  <c r="AS168" i="34"/>
  <c r="AR168" i="34"/>
  <c r="AU150" i="34"/>
  <c r="AT150" i="34"/>
  <c r="AR150" i="34"/>
  <c r="AS150" i="34"/>
  <c r="AR166" i="34"/>
  <c r="AS166" i="34"/>
  <c r="AU166" i="34"/>
  <c r="AT166" i="34"/>
  <c r="AR375" i="34"/>
  <c r="AU375" i="34"/>
  <c r="AS375" i="34"/>
  <c r="AT375" i="34"/>
  <c r="F49" i="34" a="1"/>
  <c r="F49" i="34" s="1"/>
  <c r="E49" i="34"/>
  <c r="A49" i="34"/>
  <c r="I49" i="34" a="1"/>
  <c r="I49" i="34" s="1"/>
  <c r="G49" i="34"/>
  <c r="C49" i="34" a="1"/>
  <c r="C49" i="34" s="1"/>
  <c r="AU162" i="34"/>
  <c r="AT162" i="34"/>
  <c r="AR162" i="34"/>
  <c r="F39" i="34" a="1"/>
  <c r="F39" i="34" s="1"/>
  <c r="E39" i="34"/>
  <c r="I39" i="34" a="1"/>
  <c r="I39" i="34" s="1"/>
  <c r="H39" i="34" a="1"/>
  <c r="H39" i="34" s="1"/>
  <c r="G39" i="34"/>
  <c r="D39" i="34" a="1"/>
  <c r="D39" i="34" s="1"/>
  <c r="A36" i="34"/>
  <c r="E36" i="34"/>
  <c r="I36" i="34" a="1"/>
  <c r="I36" i="34" s="1"/>
  <c r="H36" i="34" a="1"/>
  <c r="H36" i="34" s="1"/>
  <c r="G36" i="34"/>
  <c r="F36" i="34" a="1"/>
  <c r="F36" i="34" s="1"/>
  <c r="D36" i="34" a="1"/>
  <c r="D36" i="34" s="1"/>
  <c r="C36" i="34" a="1"/>
  <c r="C36" i="34" s="1"/>
  <c r="A38" i="34"/>
  <c r="E38" i="34"/>
  <c r="C38" i="34" a="1"/>
  <c r="C38" i="34" s="1"/>
  <c r="I38" i="34" a="1"/>
  <c r="I38" i="34" s="1"/>
  <c r="H38" i="34" a="1"/>
  <c r="H38" i="34" s="1"/>
  <c r="G38" i="34"/>
  <c r="H41" i="34" a="1"/>
  <c r="H41" i="34" s="1"/>
  <c r="A50" i="34"/>
  <c r="E50" i="34"/>
  <c r="I50" i="34" a="1"/>
  <c r="I50" i="34" s="1"/>
  <c r="H50" i="34" a="1"/>
  <c r="H50" i="34" s="1"/>
  <c r="G50" i="34"/>
  <c r="F50" i="34" a="1"/>
  <c r="F50" i="34" s="1"/>
  <c r="C50" i="34" a="1"/>
  <c r="C50" i="34" s="1"/>
  <c r="AR79" i="34"/>
  <c r="AR89" i="34"/>
  <c r="AT90" i="34"/>
  <c r="AS90" i="34"/>
  <c r="AR126" i="34"/>
  <c r="AR127" i="34"/>
  <c r="Y129" i="34"/>
  <c r="Z129" i="34"/>
  <c r="G34" i="34"/>
  <c r="D45" i="34" a="1"/>
  <c r="D45" i="34" s="1"/>
  <c r="D50" i="34" a="1"/>
  <c r="D50" i="34" s="1"/>
  <c r="AS79" i="34"/>
  <c r="AS89" i="34"/>
  <c r="AS126" i="34"/>
  <c r="AS127" i="34"/>
  <c r="AT167" i="34"/>
  <c r="AR167" i="34"/>
  <c r="AU167" i="34"/>
  <c r="AS167" i="34"/>
  <c r="AR180" i="34"/>
  <c r="AU180" i="34"/>
  <c r="AU193" i="34"/>
  <c r="AT193" i="34"/>
  <c r="AS193" i="34"/>
  <c r="AR193" i="34"/>
  <c r="Z361" i="34"/>
  <c r="Y361" i="34"/>
  <c r="AT364" i="34"/>
  <c r="AS364" i="34"/>
  <c r="AU364" i="34"/>
  <c r="AR364" i="34"/>
  <c r="AR371" i="34"/>
  <c r="AS371" i="34"/>
  <c r="AT371" i="34"/>
  <c r="Z413" i="34"/>
  <c r="Y413" i="34"/>
  <c r="D29" i="34" a="1"/>
  <c r="D29" i="34" s="1"/>
  <c r="F31" i="34" a="1"/>
  <c r="F31" i="34" s="1"/>
  <c r="E31" i="34"/>
  <c r="A31" i="34"/>
  <c r="I31" i="34" a="1"/>
  <c r="I31" i="34" s="1"/>
  <c r="H31" i="34" a="1"/>
  <c r="H31" i="34" s="1"/>
  <c r="G31" i="34"/>
  <c r="AU99" i="34"/>
  <c r="AT99" i="34"/>
  <c r="AU103" i="34"/>
  <c r="AT103" i="34"/>
  <c r="AS103" i="34"/>
  <c r="AR103" i="34"/>
  <c r="Y123" i="34"/>
  <c r="Z123" i="34"/>
  <c r="AU190" i="34"/>
  <c r="AR190" i="34"/>
  <c r="AT190" i="34"/>
  <c r="AS190" i="34"/>
  <c r="AT370" i="34"/>
  <c r="AS370" i="34"/>
  <c r="AU370" i="34"/>
  <c r="AU372" i="34"/>
  <c r="AT372" i="34"/>
  <c r="AS372" i="34"/>
  <c r="Z412" i="34"/>
  <c r="Y412" i="34"/>
  <c r="C29" i="34" a="1"/>
  <c r="C29" i="34" s="1"/>
  <c r="C31" i="34" a="1"/>
  <c r="C31" i="34" s="1"/>
  <c r="A54" i="34"/>
  <c r="E54" i="34"/>
  <c r="G54" i="34"/>
  <c r="H54" i="34" a="1"/>
  <c r="H54" i="34" s="1"/>
  <c r="F54" i="34" a="1"/>
  <c r="F54" i="34" s="1"/>
  <c r="D54" i="34" a="1"/>
  <c r="D54" i="34" s="1"/>
  <c r="Z87" i="34"/>
  <c r="Y87" i="34"/>
  <c r="Y89" i="34"/>
  <c r="Z89" i="34"/>
  <c r="AR99" i="34"/>
  <c r="Y126" i="34"/>
  <c r="Z126" i="34"/>
  <c r="AT180" i="34"/>
  <c r="AS181" i="34"/>
  <c r="AU183" i="34"/>
  <c r="AS183" i="34"/>
  <c r="AT183" i="34"/>
  <c r="AR183" i="34"/>
  <c r="AT217" i="34"/>
  <c r="AU217" i="34"/>
  <c r="AS217" i="34"/>
  <c r="AR217" i="34"/>
  <c r="AT322" i="34"/>
  <c r="AS322" i="34"/>
  <c r="AU322" i="34"/>
  <c r="AR322" i="34"/>
  <c r="Z367" i="34"/>
  <c r="Y367" i="34"/>
  <c r="AR370" i="34"/>
  <c r="AR372" i="34"/>
  <c r="Y411" i="34"/>
  <c r="Z411" i="34"/>
  <c r="AK271" i="34"/>
  <c r="AU308" i="34"/>
  <c r="AT308" i="34"/>
  <c r="AS308" i="34"/>
  <c r="AU326" i="34"/>
  <c r="AT326" i="34"/>
  <c r="AS326" i="34"/>
  <c r="Z336" i="34"/>
  <c r="Y336" i="34"/>
  <c r="AS345" i="34"/>
  <c r="AT345" i="34"/>
  <c r="AU346" i="34"/>
  <c r="AT346" i="34"/>
  <c r="AR346" i="34"/>
  <c r="AU350" i="34"/>
  <c r="AT350" i="34"/>
  <c r="AR350" i="34"/>
  <c r="AU354" i="34"/>
  <c r="AT354" i="34"/>
  <c r="AS354" i="34"/>
  <c r="AR354" i="34"/>
  <c r="AU356" i="34"/>
  <c r="AR356" i="34"/>
  <c r="AS356" i="34"/>
  <c r="Z403" i="34"/>
  <c r="Y403" i="34"/>
  <c r="AT410" i="34"/>
  <c r="AS410" i="34"/>
  <c r="AR410" i="34"/>
  <c r="AU416" i="34"/>
  <c r="AS416" i="34"/>
  <c r="AR416" i="34"/>
  <c r="Z79" i="34"/>
  <c r="Y79" i="34"/>
  <c r="AT165" i="34"/>
  <c r="AU165" i="34"/>
  <c r="AU209" i="34"/>
  <c r="AS209" i="34"/>
  <c r="AS218" i="34"/>
  <c r="AT218" i="34"/>
  <c r="AK255" i="34"/>
  <c r="Y305" i="34"/>
  <c r="AR308" i="34"/>
  <c r="AR318" i="34"/>
  <c r="AT319" i="34"/>
  <c r="AS319" i="34"/>
  <c r="AU320" i="34"/>
  <c r="AT320" i="34"/>
  <c r="AS320" i="34"/>
  <c r="AR320" i="34"/>
  <c r="AR326" i="34"/>
  <c r="AR345" i="34"/>
  <c r="AS346" i="34"/>
  <c r="AS350" i="34"/>
  <c r="AT352" i="34"/>
  <c r="AU352" i="34"/>
  <c r="AT356" i="34"/>
  <c r="AR383" i="34"/>
  <c r="AU383" i="34"/>
  <c r="Z400" i="34"/>
  <c r="Y400" i="34"/>
  <c r="AU410" i="34"/>
  <c r="AT416" i="34"/>
  <c r="AR72" i="34"/>
  <c r="AU72" i="34"/>
  <c r="AT72" i="34"/>
  <c r="Y80" i="34"/>
  <c r="Z91" i="34"/>
  <c r="Y91" i="34"/>
  <c r="AT93" i="34"/>
  <c r="AU93" i="34"/>
  <c r="AR101" i="34"/>
  <c r="AK112" i="34"/>
  <c r="Z127" i="34"/>
  <c r="Y127" i="34"/>
  <c r="Z128" i="34"/>
  <c r="Y128" i="34"/>
  <c r="AS131" i="34"/>
  <c r="AT132" i="34"/>
  <c r="AS132" i="34"/>
  <c r="AR165" i="34"/>
  <c r="AR177" i="34"/>
  <c r="Z181" i="34"/>
  <c r="Y181" i="34"/>
  <c r="AR209" i="34"/>
  <c r="AR218" i="34"/>
  <c r="Y295" i="34"/>
  <c r="Z295" i="34"/>
  <c r="Z296" i="34"/>
  <c r="Y296" i="34"/>
  <c r="Z302" i="34"/>
  <c r="Y303" i="34"/>
  <c r="Z303" i="34"/>
  <c r="AU314" i="34"/>
  <c r="AT314" i="34"/>
  <c r="AS314" i="34"/>
  <c r="AR314" i="34"/>
  <c r="AS318" i="34"/>
  <c r="AR319" i="34"/>
  <c r="AU345" i="34"/>
  <c r="AR352" i="34"/>
  <c r="AR382" i="34"/>
  <c r="AS383" i="34"/>
  <c r="AU83" i="34"/>
  <c r="AT83" i="34"/>
  <c r="AU119" i="34"/>
  <c r="AS119" i="34"/>
  <c r="Y161" i="34"/>
  <c r="Z161" i="34"/>
  <c r="AR174" i="34"/>
  <c r="AS174" i="34"/>
  <c r="AU174" i="34"/>
  <c r="Y217" i="34"/>
  <c r="Z217" i="34"/>
  <c r="AU220" i="34"/>
  <c r="AS220" i="34"/>
  <c r="AT220" i="34"/>
  <c r="AU228" i="34"/>
  <c r="AT228" i="34"/>
  <c r="AS237" i="34"/>
  <c r="AU237" i="34"/>
  <c r="AT237" i="34"/>
  <c r="AS263" i="34"/>
  <c r="AR263" i="34"/>
  <c r="AU263" i="34"/>
  <c r="AT263" i="34"/>
  <c r="AU265" i="34"/>
  <c r="AS265" i="34"/>
  <c r="AT265" i="34"/>
  <c r="Z313" i="34"/>
  <c r="Y313" i="34"/>
  <c r="Z346" i="34"/>
  <c r="Y346" i="34"/>
  <c r="Y348" i="34"/>
  <c r="Z348" i="34"/>
  <c r="AU388" i="34"/>
  <c r="AT388" i="34"/>
  <c r="AS388" i="34"/>
  <c r="AR388" i="34"/>
  <c r="AT414" i="34"/>
  <c r="AS414" i="34"/>
  <c r="AR414" i="34"/>
  <c r="AU414" i="34"/>
  <c r="AT418" i="34"/>
  <c r="AS418" i="34"/>
  <c r="AR418" i="34"/>
  <c r="AU418" i="34"/>
  <c r="A55" i="34"/>
  <c r="Z81" i="34"/>
  <c r="Y82" i="34"/>
  <c r="AR83" i="34"/>
  <c r="Z101" i="34"/>
  <c r="AR108" i="34"/>
  <c r="AR119" i="34"/>
  <c r="AR135" i="34"/>
  <c r="Z149" i="34"/>
  <c r="Y152" i="34"/>
  <c r="AS153" i="34"/>
  <c r="AT153" i="34"/>
  <c r="Z172" i="34"/>
  <c r="AT174" i="34"/>
  <c r="Z177" i="34"/>
  <c r="Y183" i="34"/>
  <c r="AT189" i="34"/>
  <c r="AU189" i="34"/>
  <c r="AS189" i="34"/>
  <c r="AR189" i="34"/>
  <c r="Y192" i="34"/>
  <c r="AU195" i="34"/>
  <c r="AT195" i="34"/>
  <c r="AU203" i="34"/>
  <c r="AS203" i="34"/>
  <c r="Z210" i="34"/>
  <c r="Y210" i="34"/>
  <c r="Y218" i="34"/>
  <c r="AR220" i="34"/>
  <c r="AR227" i="34"/>
  <c r="AR228" i="34"/>
  <c r="AR232" i="34"/>
  <c r="AT232" i="34"/>
  <c r="AS232" i="34"/>
  <c r="AR237" i="34"/>
  <c r="AJ252" i="34"/>
  <c r="AK252" i="34" s="1"/>
  <c r="N11" i="34" s="1"/>
  <c r="AL252" i="34"/>
  <c r="O11" i="34" s="1"/>
  <c r="AI252" i="34"/>
  <c r="Z260" i="34"/>
  <c r="AR265" i="34"/>
  <c r="Z316" i="34"/>
  <c r="Y316" i="34"/>
  <c r="Z326" i="34"/>
  <c r="Y326" i="34"/>
  <c r="AM360" i="34"/>
  <c r="AR74" i="34"/>
  <c r="AU75" i="34"/>
  <c r="AR75" i="34"/>
  <c r="AS83" i="34"/>
  <c r="AU95" i="34"/>
  <c r="AT95" i="34"/>
  <c r="AS108" i="34"/>
  <c r="AU109" i="34"/>
  <c r="AS109" i="34"/>
  <c r="AT119" i="34"/>
  <c r="Z131" i="34"/>
  <c r="Y134" i="34"/>
  <c r="AS135" i="34"/>
  <c r="AR153" i="34"/>
  <c r="Z176" i="34"/>
  <c r="Y194" i="34"/>
  <c r="AR195" i="34"/>
  <c r="AR203" i="34"/>
  <c r="Y212" i="34"/>
  <c r="Z212" i="34"/>
  <c r="Y219" i="34"/>
  <c r="Z223" i="34"/>
  <c r="Y224" i="34"/>
  <c r="AS225" i="34"/>
  <c r="AU225" i="34"/>
  <c r="AR225" i="34"/>
  <c r="AT225" i="34"/>
  <c r="AS227" i="34"/>
  <c r="AS228" i="34"/>
  <c r="AU232" i="34"/>
  <c r="Y236" i="34"/>
  <c r="Z264" i="34"/>
  <c r="Y264" i="34"/>
  <c r="AU269" i="34"/>
  <c r="AT269" i="34"/>
  <c r="AS269" i="34"/>
  <c r="AR269" i="34"/>
  <c r="AU273" i="34"/>
  <c r="AT273" i="34"/>
  <c r="AS273" i="34"/>
  <c r="AR273" i="34"/>
  <c r="Y382" i="34"/>
  <c r="Z382" i="34"/>
  <c r="AS74" i="34"/>
  <c r="Y94" i="34"/>
  <c r="AR95" i="34"/>
  <c r="AU108" i="34"/>
  <c r="AR109" i="34"/>
  <c r="AT135" i="34"/>
  <c r="AU138" i="34"/>
  <c r="AT138" i="34"/>
  <c r="AR138" i="34"/>
  <c r="AS138" i="34"/>
  <c r="AU153" i="34"/>
  <c r="AI180" i="34"/>
  <c r="L22" i="34" s="1" a="1"/>
  <c r="L22" i="34" s="1"/>
  <c r="AM180" i="34"/>
  <c r="I22" i="34" s="1" a="1"/>
  <c r="I22" i="34" s="1"/>
  <c r="Z188" i="34"/>
  <c r="Y188" i="34"/>
  <c r="AS195" i="34"/>
  <c r="AT203" i="34"/>
  <c r="AT227" i="34"/>
  <c r="AS267" i="34"/>
  <c r="AR267" i="34"/>
  <c r="AT267" i="34"/>
  <c r="AR272" i="34"/>
  <c r="AU272" i="34"/>
  <c r="AT272" i="34"/>
  <c r="AU281" i="34"/>
  <c r="AS281" i="34"/>
  <c r="AR281" i="34"/>
  <c r="AT281" i="34"/>
  <c r="Z419" i="34"/>
  <c r="A48" i="34"/>
  <c r="E48" i="34"/>
  <c r="C48" i="34" a="1"/>
  <c r="C48" i="34" s="1"/>
  <c r="C55" i="34" a="1"/>
  <c r="C55" i="34" s="1"/>
  <c r="AT74" i="34"/>
  <c r="AT75" i="34"/>
  <c r="AS95" i="34"/>
  <c r="Z103" i="34"/>
  <c r="Y103" i="34"/>
  <c r="AR105" i="34"/>
  <c r="AT109" i="34"/>
  <c r="AJ180" i="34"/>
  <c r="M22" i="34" s="1" a="1"/>
  <c r="M22" i="34" s="1"/>
  <c r="Z187" i="34"/>
  <c r="Y187" i="34"/>
  <c r="Y190" i="34"/>
  <c r="Y202" i="34"/>
  <c r="Y213" i="34"/>
  <c r="Y235" i="34"/>
  <c r="Y240" i="34"/>
  <c r="AT242" i="34"/>
  <c r="AS242" i="34"/>
  <c r="Y266" i="34"/>
  <c r="AU267" i="34"/>
  <c r="AS272" i="34"/>
  <c r="AT276" i="34"/>
  <c r="AR276" i="34"/>
  <c r="AU277" i="34"/>
  <c r="AR277" i="34"/>
  <c r="AU280" i="34"/>
  <c r="AT280" i="34"/>
  <c r="AR280" i="34"/>
  <c r="Z322" i="34"/>
  <c r="Y74" i="34"/>
  <c r="AU87" i="34"/>
  <c r="AT87" i="34"/>
  <c r="AS87" i="34"/>
  <c r="AS105" i="34"/>
  <c r="AS122" i="34"/>
  <c r="Y135" i="34"/>
  <c r="AT137" i="34"/>
  <c r="AR137" i="34"/>
  <c r="AU137" i="34"/>
  <c r="AS137" i="34"/>
  <c r="Y153" i="34"/>
  <c r="AL180" i="34"/>
  <c r="O9" i="34" s="1"/>
  <c r="Z204" i="34"/>
  <c r="Y204" i="34"/>
  <c r="Y226" i="34"/>
  <c r="Z234" i="34"/>
  <c r="Y234" i="34"/>
  <c r="Z239" i="34"/>
  <c r="Y239" i="34"/>
  <c r="AR242" i="34"/>
  <c r="Y265" i="34"/>
  <c r="Y270" i="34"/>
  <c r="AS271" i="34"/>
  <c r="AR271" i="34"/>
  <c r="AU271" i="34"/>
  <c r="AS276" i="34"/>
  <c r="AS277" i="34"/>
  <c r="AS280" i="34"/>
  <c r="AU285" i="34"/>
  <c r="AS285" i="34"/>
  <c r="AR285" i="34"/>
  <c r="AT285" i="34"/>
  <c r="AS333" i="34"/>
  <c r="AR333" i="34"/>
  <c r="Y394" i="34"/>
  <c r="D48" i="34" a="1"/>
  <c r="D48" i="34" s="1"/>
  <c r="AT77" i="34"/>
  <c r="AU77" i="34"/>
  <c r="AR86" i="34"/>
  <c r="AR87" i="34"/>
  <c r="Z95" i="34"/>
  <c r="Y95" i="34"/>
  <c r="AT97" i="34"/>
  <c r="AS97" i="34"/>
  <c r="AR97" i="34"/>
  <c r="AK103" i="34"/>
  <c r="AU105" i="34"/>
  <c r="AU113" i="34"/>
  <c r="AR113" i="34"/>
  <c r="AT113" i="34"/>
  <c r="AS113" i="34"/>
  <c r="AT122" i="34"/>
  <c r="AR123" i="34"/>
  <c r="Y136" i="34"/>
  <c r="Y139" i="34"/>
  <c r="AU144" i="34"/>
  <c r="AT144" i="34"/>
  <c r="Y154" i="34"/>
  <c r="Z189" i="34"/>
  <c r="AK193" i="34"/>
  <c r="AI216" i="34"/>
  <c r="AM216" i="34"/>
  <c r="AL216" i="34"/>
  <c r="O10" i="34" s="1"/>
  <c r="AK231" i="34"/>
  <c r="Y232" i="34"/>
  <c r="AU242" i="34"/>
  <c r="AS255" i="34"/>
  <c r="AR255" i="34"/>
  <c r="AT271" i="34"/>
  <c r="AU276" i="34"/>
  <c r="AT277" i="34"/>
  <c r="Z282" i="34"/>
  <c r="AT333" i="34"/>
  <c r="AM396" i="34"/>
  <c r="AL396" i="34"/>
  <c r="O15" i="34" s="1"/>
  <c r="AJ396" i="34"/>
  <c r="AK396" i="34" s="1"/>
  <c r="N15" i="34" s="1"/>
  <c r="AI396" i="34"/>
  <c r="F55" i="34" a="1"/>
  <c r="F55" i="34" s="1"/>
  <c r="E55" i="34"/>
  <c r="Y75" i="34"/>
  <c r="AR77" i="34"/>
  <c r="AK84" i="34"/>
  <c r="Z85" i="34"/>
  <c r="AS86" i="34"/>
  <c r="Y96" i="34"/>
  <c r="AU97" i="34"/>
  <c r="Z105" i="34"/>
  <c r="Y109" i="34"/>
  <c r="Y110" i="34"/>
  <c r="AU112" i="34"/>
  <c r="AT112" i="34"/>
  <c r="AS112" i="34"/>
  <c r="AU122" i="34"/>
  <c r="AS123" i="34"/>
  <c r="AS124" i="34"/>
  <c r="AR124" i="34"/>
  <c r="AT124" i="34"/>
  <c r="Z138" i="34"/>
  <c r="Y138" i="34"/>
  <c r="AR140" i="34"/>
  <c r="AR144" i="34"/>
  <c r="AS156" i="34"/>
  <c r="AR156" i="34"/>
  <c r="AU156" i="34"/>
  <c r="AT198" i="34"/>
  <c r="AU198" i="34"/>
  <c r="AJ216" i="34"/>
  <c r="AK216" i="34" s="1"/>
  <c r="N10" i="34" s="1"/>
  <c r="AK237" i="34"/>
  <c r="AS246" i="34"/>
  <c r="AU247" i="34"/>
  <c r="AT247" i="34"/>
  <c r="AR248" i="34"/>
  <c r="AU248" i="34"/>
  <c r="AT248" i="34"/>
  <c r="AS248" i="34"/>
  <c r="Z254" i="34"/>
  <c r="AT255" i="34"/>
  <c r="Y268" i="34"/>
  <c r="Z269" i="34"/>
  <c r="Y269" i="34"/>
  <c r="AS279" i="34"/>
  <c r="AR279" i="34"/>
  <c r="AT279" i="34"/>
  <c r="AU279" i="34"/>
  <c r="AU292" i="34"/>
  <c r="AS292" i="34"/>
  <c r="AU333" i="34"/>
  <c r="Z99" i="34"/>
  <c r="Y99" i="34"/>
  <c r="AU117" i="34"/>
  <c r="AT117" i="34"/>
  <c r="AR178" i="34"/>
  <c r="AT178" i="34"/>
  <c r="AU178" i="34"/>
  <c r="AT221" i="34"/>
  <c r="AR221" i="34"/>
  <c r="AU221" i="34"/>
  <c r="AR244" i="34"/>
  <c r="AU244" i="34"/>
  <c r="AT244" i="34"/>
  <c r="AT303" i="34"/>
  <c r="AU303" i="34"/>
  <c r="AR303" i="34"/>
  <c r="AU334" i="34"/>
  <c r="AT334" i="34"/>
  <c r="Z350" i="34"/>
  <c r="Y350" i="34"/>
  <c r="AR415" i="34"/>
  <c r="AU415" i="34"/>
  <c r="AT415" i="34"/>
  <c r="AR419" i="34"/>
  <c r="AS419" i="34"/>
  <c r="AU419" i="34"/>
  <c r="AT419" i="34"/>
  <c r="Z423" i="34"/>
  <c r="Y423" i="34"/>
  <c r="AT398" i="34"/>
  <c r="AS398" i="34"/>
  <c r="AR398" i="34"/>
  <c r="AR399" i="34"/>
  <c r="AT399" i="34"/>
  <c r="Z397" i="34"/>
  <c r="AU398" i="34"/>
  <c r="AS399" i="34"/>
  <c r="Z83" i="34"/>
  <c r="Y83" i="34"/>
  <c r="AU91" i="34"/>
  <c r="AT91" i="34"/>
  <c r="AU171" i="34"/>
  <c r="AS171" i="34"/>
  <c r="AU191" i="34"/>
  <c r="AT191" i="34"/>
  <c r="AR191" i="34"/>
  <c r="AU234" i="34"/>
  <c r="AR234" i="34"/>
  <c r="AS235" i="34"/>
  <c r="AR235" i="34"/>
  <c r="AU235" i="34"/>
  <c r="AU362" i="34"/>
  <c r="AT362" i="34"/>
  <c r="AS362" i="34"/>
  <c r="AR394" i="34"/>
  <c r="AU399" i="34"/>
  <c r="AU404" i="34"/>
  <c r="AT404" i="34"/>
  <c r="AS404" i="34"/>
  <c r="Z77" i="34"/>
  <c r="AR91" i="34"/>
  <c r="AR121" i="34"/>
  <c r="AR158" i="34"/>
  <c r="Z165" i="34"/>
  <c r="Y166" i="34"/>
  <c r="Z167" i="34"/>
  <c r="Z168" i="34"/>
  <c r="Y168" i="34"/>
  <c r="AR171" i="34"/>
  <c r="AS191" i="34"/>
  <c r="AK198" i="34"/>
  <c r="Z207" i="34"/>
  <c r="Y207" i="34"/>
  <c r="Y227" i="34"/>
  <c r="AS233" i="34"/>
  <c r="AT233" i="34"/>
  <c r="AS234" i="34"/>
  <c r="AT235" i="34"/>
  <c r="Y284" i="34"/>
  <c r="AK317" i="34"/>
  <c r="Y318" i="34"/>
  <c r="AU330" i="34"/>
  <c r="AT330" i="34"/>
  <c r="AS330" i="34"/>
  <c r="AR362" i="34"/>
  <c r="Z383" i="34"/>
  <c r="AT394" i="34"/>
  <c r="AT402" i="34"/>
  <c r="AS402" i="34"/>
  <c r="AR402" i="34"/>
  <c r="AU402" i="34"/>
  <c r="AR404" i="34"/>
  <c r="AT141" i="34"/>
  <c r="AR141" i="34"/>
  <c r="AK187" i="34"/>
  <c r="AK241" i="34"/>
  <c r="AU257" i="34"/>
  <c r="AT257" i="34"/>
  <c r="Z293" i="34"/>
  <c r="Y293" i="34"/>
  <c r="AK304" i="34"/>
  <c r="AK305" i="34"/>
  <c r="AT328" i="34"/>
  <c r="AS328" i="34"/>
  <c r="AU328" i="34"/>
  <c r="AU360" i="34"/>
  <c r="AT360" i="34"/>
  <c r="AR360" i="34"/>
  <c r="AS360" i="34"/>
  <c r="AK411" i="34"/>
  <c r="Z416" i="34"/>
  <c r="Y416" i="34"/>
  <c r="AT422" i="34"/>
  <c r="AS422" i="34"/>
  <c r="AR422" i="34"/>
  <c r="AU422" i="34"/>
  <c r="AU298" i="34"/>
  <c r="AT298" i="34"/>
  <c r="AS353" i="34"/>
  <c r="AU353" i="34"/>
  <c r="AT353" i="34"/>
  <c r="Z373" i="34"/>
  <c r="Y373" i="34"/>
  <c r="AU376" i="34"/>
  <c r="AT376" i="34"/>
  <c r="AS376" i="34"/>
  <c r="AR376" i="34"/>
  <c r="Y424" i="34"/>
  <c r="AR427" i="34"/>
  <c r="AU427" i="34"/>
  <c r="AS427" i="34"/>
  <c r="AT133" i="34"/>
  <c r="AR133" i="34"/>
  <c r="AU239" i="34"/>
  <c r="AR239" i="34"/>
  <c r="AS259" i="34"/>
  <c r="AR259" i="34"/>
  <c r="AU260" i="34"/>
  <c r="AS260" i="34"/>
  <c r="AS298" i="34"/>
  <c r="AS300" i="34"/>
  <c r="Z338" i="34"/>
  <c r="Y338" i="34"/>
  <c r="AU358" i="34"/>
  <c r="AT358" i="34"/>
  <c r="AS358" i="34"/>
  <c r="Z386" i="34"/>
  <c r="AR390" i="34"/>
  <c r="AK173" i="34"/>
  <c r="AS229" i="34"/>
  <c r="AR229" i="34"/>
  <c r="Z286" i="34"/>
  <c r="Y286" i="34"/>
  <c r="AT300" i="34"/>
  <c r="Y311" i="34"/>
  <c r="Z311" i="34"/>
  <c r="AK339" i="34"/>
  <c r="Z354" i="34"/>
  <c r="Y354" i="34"/>
  <c r="AK355" i="34"/>
  <c r="AS390" i="34"/>
  <c r="AR391" i="34"/>
  <c r="AU391" i="34"/>
  <c r="AR407" i="34"/>
  <c r="AU407" i="34"/>
  <c r="AS407" i="34"/>
  <c r="Z428" i="34"/>
  <c r="Y428" i="34"/>
  <c r="AU133" i="34"/>
  <c r="AS145" i="34"/>
  <c r="AS169" i="34"/>
  <c r="AS176" i="34"/>
  <c r="AS185" i="34"/>
  <c r="Z198" i="34"/>
  <c r="AS211" i="34"/>
  <c r="AS222" i="34"/>
  <c r="AK227" i="34"/>
  <c r="Y228" i="34"/>
  <c r="AT229" i="34"/>
  <c r="AT230" i="34"/>
  <c r="AS230" i="34"/>
  <c r="AT239" i="34"/>
  <c r="AS253" i="34"/>
  <c r="AU259" i="34"/>
  <c r="AT260" i="34"/>
  <c r="Z298" i="34"/>
  <c r="Y298" i="34"/>
  <c r="Z300" i="34"/>
  <c r="Y300" i="34"/>
  <c r="AS316" i="34"/>
  <c r="Z342" i="34"/>
  <c r="Y342" i="34"/>
  <c r="AK362" i="34"/>
  <c r="AT365" i="34"/>
  <c r="AR366" i="34"/>
  <c r="AR367" i="34"/>
  <c r="AU367" i="34"/>
  <c r="AS378" i="34"/>
  <c r="Z387" i="34"/>
  <c r="AT390" i="34"/>
  <c r="AS391" i="34"/>
  <c r="AU392" i="34"/>
  <c r="AT392" i="34"/>
  <c r="AS392" i="34"/>
  <c r="AR392" i="34"/>
  <c r="AT406" i="34"/>
  <c r="AS406" i="34"/>
  <c r="AR406" i="34"/>
  <c r="AU406" i="34"/>
  <c r="AT407" i="34"/>
  <c r="Z427" i="34"/>
  <c r="Y427" i="34"/>
  <c r="AR129" i="34"/>
  <c r="Y150" i="34"/>
  <c r="Y162" i="34"/>
  <c r="AT169" i="34"/>
  <c r="Z175" i="34"/>
  <c r="AT176" i="34"/>
  <c r="AT185" i="34"/>
  <c r="AU186" i="34"/>
  <c r="AS186" i="34"/>
  <c r="AU187" i="34"/>
  <c r="AR187" i="34"/>
  <c r="Y199" i="34"/>
  <c r="AT211" i="34"/>
  <c r="Z221" i="34"/>
  <c r="AR223" i="34"/>
  <c r="AU229" i="34"/>
  <c r="AR230" i="34"/>
  <c r="AT253" i="34"/>
  <c r="Z272" i="34"/>
  <c r="Z299" i="34"/>
  <c r="AK312" i="34"/>
  <c r="Z314" i="34"/>
  <c r="Y314" i="34"/>
  <c r="AT316" i="34"/>
  <c r="AM324" i="34"/>
  <c r="AK331" i="34"/>
  <c r="AK337" i="34"/>
  <c r="AR344" i="34"/>
  <c r="AU365" i="34"/>
  <c r="AS367" i="34"/>
  <c r="AT378" i="34"/>
  <c r="AU380" i="34"/>
  <c r="AT380" i="34"/>
  <c r="AS380" i="34"/>
  <c r="AR380" i="34"/>
  <c r="AT391" i="34"/>
  <c r="AR411" i="34"/>
  <c r="AU411" i="34"/>
  <c r="AU412" i="34"/>
  <c r="AS412" i="34"/>
  <c r="AS249" i="34"/>
  <c r="AU249" i="34"/>
  <c r="AS252" i="34"/>
  <c r="AR252" i="34"/>
  <c r="Z280" i="34"/>
  <c r="Y280" i="34"/>
  <c r="AS283" i="34"/>
  <c r="AR283" i="34"/>
  <c r="AU283" i="34"/>
  <c r="AU384" i="34"/>
  <c r="AT384" i="34"/>
  <c r="AS384" i="34"/>
  <c r="AU408" i="34"/>
  <c r="AT408" i="34"/>
  <c r="AK235" i="34"/>
  <c r="AU304" i="34"/>
  <c r="AT304" i="34"/>
  <c r="AS304" i="34"/>
  <c r="AU312" i="34"/>
  <c r="AS312" i="34"/>
  <c r="Z330" i="34"/>
  <c r="Y330" i="34"/>
  <c r="AK347" i="34"/>
  <c r="AK353" i="34"/>
  <c r="AR379" i="34"/>
  <c r="AT379" i="34"/>
  <c r="AS379" i="34"/>
  <c r="AK394" i="34"/>
  <c r="AS408" i="34"/>
  <c r="AK415" i="34"/>
  <c r="AS261" i="34"/>
  <c r="AS268" i="34"/>
  <c r="AK283" i="34"/>
  <c r="AS295" i="34"/>
  <c r="AT312" i="34"/>
  <c r="Y319" i="34"/>
  <c r="Z319" i="34"/>
  <c r="AT349" i="34"/>
  <c r="Z358" i="34"/>
  <c r="Y358" i="34"/>
  <c r="AT387" i="34"/>
  <c r="AK386" i="34"/>
  <c r="AT426" i="34"/>
  <c r="AS426" i="34"/>
  <c r="AR426" i="34"/>
  <c r="AK243" i="34"/>
  <c r="AS275" i="34"/>
  <c r="AR275" i="34"/>
  <c r="AK366" i="34"/>
  <c r="AT368" i="34"/>
  <c r="AS368" i="34"/>
  <c r="AS240" i="34"/>
  <c r="AR245" i="34"/>
  <c r="AT275" i="34"/>
  <c r="AR299" i="34"/>
  <c r="AR315" i="34"/>
  <c r="AK327" i="34"/>
  <c r="Z334" i="34"/>
  <c r="Y334" i="34"/>
  <c r="AR341" i="34"/>
  <c r="AU342" i="34"/>
  <c r="AT342" i="34"/>
  <c r="AR368" i="34"/>
  <c r="AK390" i="34"/>
  <c r="AS423" i="34"/>
  <c r="Y429" i="34"/>
  <c r="AR430" i="34"/>
  <c r="AS430" i="34"/>
  <c r="AM183" i="33"/>
  <c r="I25" i="33" s="1" a="1"/>
  <c r="I25" i="33" s="1"/>
  <c r="AL183" i="33"/>
  <c r="AJ183" i="33"/>
  <c r="AK183" i="33" s="1"/>
  <c r="O25" i="33" s="1" a="1"/>
  <c r="O25" i="33" s="1"/>
  <c r="Y361" i="33"/>
  <c r="Z385" i="33"/>
  <c r="Z393" i="33"/>
  <c r="Y377" i="33"/>
  <c r="Y333" i="33"/>
  <c r="Y335" i="33"/>
  <c r="Y344" i="33"/>
  <c r="Y321" i="33"/>
  <c r="Z317" i="33"/>
  <c r="Z296" i="33"/>
  <c r="Y305" i="33"/>
  <c r="Z293" i="33"/>
  <c r="Y244" i="33"/>
  <c r="Z240" i="33"/>
  <c r="Y164" i="33"/>
  <c r="Y166" i="33"/>
  <c r="Z163" i="33"/>
  <c r="Y126" i="33"/>
  <c r="Z109" i="33"/>
  <c r="Z117" i="33"/>
  <c r="Z122" i="33"/>
  <c r="Z119" i="33"/>
  <c r="Y121" i="33"/>
  <c r="Y138" i="33"/>
  <c r="Z118" i="33"/>
  <c r="Y78" i="33"/>
  <c r="Y101" i="33"/>
  <c r="AK376" i="33"/>
  <c r="AK392" i="33"/>
  <c r="AM394" i="33"/>
  <c r="AM368" i="33"/>
  <c r="AM370" i="33"/>
  <c r="AM365" i="33"/>
  <c r="AM371" i="33"/>
  <c r="AK382" i="33"/>
  <c r="AJ394" i="33"/>
  <c r="AK394" i="33" s="1"/>
  <c r="AL394" i="33"/>
  <c r="AJ367" i="33"/>
  <c r="AK367" i="33" s="1"/>
  <c r="AK373" i="33"/>
  <c r="AM363" i="33"/>
  <c r="AM362" i="33"/>
  <c r="AL360" i="33"/>
  <c r="O14" i="33" s="1"/>
  <c r="AM369" i="33"/>
  <c r="AK380" i="33"/>
  <c r="AK393" i="33"/>
  <c r="AJ363" i="33"/>
  <c r="AK363" i="33" s="1"/>
  <c r="AJ366" i="33"/>
  <c r="AK366" i="33" s="1"/>
  <c r="AJ371" i="33"/>
  <c r="AK371" i="33" s="1"/>
  <c r="AK385" i="33"/>
  <c r="AI360" i="33"/>
  <c r="AL371" i="33"/>
  <c r="AM360" i="33"/>
  <c r="AM330" i="33"/>
  <c r="AK340" i="33"/>
  <c r="AM358" i="33"/>
  <c r="AM327" i="33"/>
  <c r="AM326" i="33"/>
  <c r="AM329" i="33"/>
  <c r="AM328" i="33"/>
  <c r="AJ329" i="33"/>
  <c r="AK329" i="33" s="1"/>
  <c r="AI328" i="33"/>
  <c r="AM331" i="33"/>
  <c r="AM325" i="33"/>
  <c r="AM335" i="33"/>
  <c r="AJ300" i="33"/>
  <c r="AK300" i="33" s="1"/>
  <c r="AL300" i="33"/>
  <c r="AM291" i="33"/>
  <c r="AJ288" i="33"/>
  <c r="AK288" i="33" s="1"/>
  <c r="N12" i="33" s="1"/>
  <c r="AK294" i="33"/>
  <c r="AK306" i="33"/>
  <c r="AL306" i="33"/>
  <c r="AK310" i="33"/>
  <c r="AL322" i="33"/>
  <c r="AM306" i="33"/>
  <c r="AM322" i="33"/>
  <c r="AJ304" i="33"/>
  <c r="AK304" i="33" s="1"/>
  <c r="AJ305" i="33"/>
  <c r="AK305" i="33" s="1"/>
  <c r="AI298" i="33"/>
  <c r="AI302" i="33"/>
  <c r="AM303" i="33"/>
  <c r="AL304" i="33"/>
  <c r="AL305" i="33"/>
  <c r="AJ298" i="33"/>
  <c r="AK298" i="33" s="1"/>
  <c r="AJ302" i="33"/>
  <c r="AK302" i="33" s="1"/>
  <c r="AM304" i="33"/>
  <c r="AM305" i="33"/>
  <c r="AJ296" i="33"/>
  <c r="AK296" i="33" s="1"/>
  <c r="AL298" i="33"/>
  <c r="AJ301" i="33"/>
  <c r="AK301" i="33" s="1"/>
  <c r="AL302" i="33"/>
  <c r="AL296" i="33"/>
  <c r="AL301" i="33"/>
  <c r="AK319" i="33"/>
  <c r="AI295" i="33"/>
  <c r="AM296" i="33"/>
  <c r="AM301" i="33"/>
  <c r="AK314" i="33"/>
  <c r="AM289" i="33"/>
  <c r="AK313" i="33"/>
  <c r="AK265" i="33"/>
  <c r="AL285" i="33"/>
  <c r="AK255" i="33"/>
  <c r="AM262" i="33"/>
  <c r="AK276" i="33"/>
  <c r="AM285" i="33"/>
  <c r="AL259" i="33"/>
  <c r="AL262" i="33"/>
  <c r="AK275" i="33"/>
  <c r="AM284" i="33"/>
  <c r="AM260" i="33"/>
  <c r="AJ257" i="33"/>
  <c r="AK257" i="33" s="1"/>
  <c r="AK269" i="33"/>
  <c r="AK272" i="33"/>
  <c r="AK282" i="33"/>
  <c r="AK270" i="33"/>
  <c r="AK273" i="33"/>
  <c r="AM253" i="33"/>
  <c r="AK266" i="33"/>
  <c r="AK281" i="33"/>
  <c r="AM256" i="33"/>
  <c r="AI260" i="33"/>
  <c r="AL284" i="33"/>
  <c r="AK267" i="33"/>
  <c r="AM286" i="33"/>
  <c r="AM258" i="33"/>
  <c r="AJ284" i="33"/>
  <c r="AK284" i="33" s="1"/>
  <c r="AK278" i="33"/>
  <c r="AJ221" i="33"/>
  <c r="AK221" i="33" s="1"/>
  <c r="AI217" i="33"/>
  <c r="AM217" i="33"/>
  <c r="AK229" i="33"/>
  <c r="AK230" i="33"/>
  <c r="AM223" i="33"/>
  <c r="AK227" i="33"/>
  <c r="AK243" i="33"/>
  <c r="AK245" i="33"/>
  <c r="AK224" i="33"/>
  <c r="AK235" i="33"/>
  <c r="AM220" i="33"/>
  <c r="AK216" i="33"/>
  <c r="N10" i="33" s="1"/>
  <c r="AM248" i="33"/>
  <c r="AM247" i="33"/>
  <c r="AM246" i="33"/>
  <c r="AK228" i="33"/>
  <c r="AM249" i="33"/>
  <c r="AM221" i="33"/>
  <c r="AM222" i="33"/>
  <c r="AK236" i="33"/>
  <c r="AM219" i="33"/>
  <c r="AJ217" i="33"/>
  <c r="AK217" i="33" s="1"/>
  <c r="AL221" i="33"/>
  <c r="AK234" i="33"/>
  <c r="AM213" i="33"/>
  <c r="I55" i="33" s="1" a="1"/>
  <c r="I55" i="33" s="1"/>
  <c r="AK193" i="33"/>
  <c r="AK202" i="33"/>
  <c r="AK192" i="33"/>
  <c r="AK203" i="33"/>
  <c r="AK205" i="33"/>
  <c r="AK206" i="33"/>
  <c r="AM212" i="33"/>
  <c r="I54" i="33" s="1" a="1"/>
  <c r="I54" i="33" s="1"/>
  <c r="AL185" i="33"/>
  <c r="AK207" i="33"/>
  <c r="AM184" i="33"/>
  <c r="I26" i="33" s="1" a="1"/>
  <c r="I26" i="33" s="1"/>
  <c r="AL190" i="33"/>
  <c r="AM187" i="33"/>
  <c r="I29" i="33" s="1" a="1"/>
  <c r="I29" i="33" s="1"/>
  <c r="AM186" i="33"/>
  <c r="AM190" i="33"/>
  <c r="AM185" i="33"/>
  <c r="I27" i="33" s="1" a="1"/>
  <c r="I27" i="33" s="1"/>
  <c r="AJ182" i="33"/>
  <c r="AK182" i="33" s="1"/>
  <c r="O24" i="33" s="1" a="1"/>
  <c r="O24" i="33" s="1"/>
  <c r="AJ188" i="33"/>
  <c r="AK188" i="33" s="1"/>
  <c r="O30" i="33" s="1" a="1"/>
  <c r="O30" i="33" s="1"/>
  <c r="AM145" i="33"/>
  <c r="AK178" i="33"/>
  <c r="AM175" i="33"/>
  <c r="AM177" i="33"/>
  <c r="AK159" i="33"/>
  <c r="AM176" i="33"/>
  <c r="AK157" i="33"/>
  <c r="AM147" i="33"/>
  <c r="AM146" i="33"/>
  <c r="AJ149" i="33"/>
  <c r="AK149" i="33" s="1"/>
  <c r="AM151" i="33"/>
  <c r="AM178" i="33"/>
  <c r="AM113" i="33"/>
  <c r="AK130" i="33"/>
  <c r="AM109" i="33"/>
  <c r="AK118" i="33"/>
  <c r="AM127" i="33"/>
  <c r="AL109" i="33"/>
  <c r="AM115" i="33"/>
  <c r="AM112" i="33"/>
  <c r="AM117" i="33"/>
  <c r="AJ114" i="33"/>
  <c r="AK114" i="33" s="1"/>
  <c r="AM122" i="33"/>
  <c r="AK133" i="33"/>
  <c r="AM120" i="33"/>
  <c r="AM111" i="33"/>
  <c r="AM110" i="33"/>
  <c r="AM121" i="33"/>
  <c r="AK131" i="33"/>
  <c r="AK140" i="33"/>
  <c r="AK75" i="33"/>
  <c r="AM75" i="33"/>
  <c r="AJ74" i="33"/>
  <c r="AK74" i="33" s="1"/>
  <c r="AM74" i="33"/>
  <c r="AI73" i="33"/>
  <c r="AM79" i="33"/>
  <c r="AM73" i="33"/>
  <c r="AM78" i="33"/>
  <c r="AM82" i="33"/>
  <c r="AJ81" i="33"/>
  <c r="AK81" i="33" s="1"/>
  <c r="AM81" i="33"/>
  <c r="I31" i="33" s="1" a="1"/>
  <c r="I31" i="33" s="1"/>
  <c r="AM80" i="33"/>
  <c r="AL73" i="33"/>
  <c r="AL79" i="33"/>
  <c r="AI77" i="33"/>
  <c r="AK90" i="33"/>
  <c r="D29" i="33" a="1"/>
  <c r="D29" i="33" s="1"/>
  <c r="AI76" i="33"/>
  <c r="AJ77" i="33"/>
  <c r="Z363" i="33"/>
  <c r="AL361" i="33"/>
  <c r="AJ362" i="33"/>
  <c r="AK362" i="33" s="1"/>
  <c r="AI365" i="33"/>
  <c r="Y368" i="33"/>
  <c r="Z369" i="33"/>
  <c r="Y389" i="33"/>
  <c r="AM361" i="33"/>
  <c r="AI364" i="33"/>
  <c r="AJ365" i="33"/>
  <c r="AK365" i="33" s="1"/>
  <c r="AL362" i="33"/>
  <c r="AJ364" i="33"/>
  <c r="AK364" i="33" s="1"/>
  <c r="AL365" i="33"/>
  <c r="AI366" i="33"/>
  <c r="AI367" i="33"/>
  <c r="Y372" i="33"/>
  <c r="AK361" i="33"/>
  <c r="AI361" i="33"/>
  <c r="Z366" i="33"/>
  <c r="AI362" i="33"/>
  <c r="AM364" i="33"/>
  <c r="AL363" i="33"/>
  <c r="AM366" i="33"/>
  <c r="AM367" i="33"/>
  <c r="AJ368" i="33"/>
  <c r="AK368" i="33" s="1"/>
  <c r="AJ369" i="33"/>
  <c r="AK369" i="33" s="1"/>
  <c r="AI370" i="33"/>
  <c r="Z373" i="33"/>
  <c r="Y376" i="33"/>
  <c r="Y379" i="33"/>
  <c r="Z390" i="33"/>
  <c r="Y365" i="33"/>
  <c r="AK381" i="33"/>
  <c r="AL369" i="33"/>
  <c r="AJ370" i="33"/>
  <c r="AK370" i="33" s="1"/>
  <c r="Y375" i="33"/>
  <c r="Y378" i="33"/>
  <c r="Y386" i="33"/>
  <c r="AK387" i="33"/>
  <c r="AK391" i="33"/>
  <c r="AI369" i="33"/>
  <c r="AL368" i="33"/>
  <c r="AL370" i="33"/>
  <c r="AK379" i="33"/>
  <c r="Y380" i="33"/>
  <c r="Y381" i="33"/>
  <c r="AK390" i="33"/>
  <c r="Y364" i="33"/>
  <c r="AI368" i="33"/>
  <c r="Y374" i="33"/>
  <c r="AK383" i="33"/>
  <c r="Y331" i="33"/>
  <c r="Y351" i="33"/>
  <c r="Y355" i="33"/>
  <c r="AM336" i="33"/>
  <c r="Z328" i="33"/>
  <c r="AJ332" i="33"/>
  <c r="AK332" i="33" s="1"/>
  <c r="AM333" i="33"/>
  <c r="AJ330" i="33"/>
  <c r="AK330" i="33" s="1"/>
  <c r="AJ358" i="33"/>
  <c r="AK358" i="33" s="1"/>
  <c r="AI339" i="33"/>
  <c r="AI333" i="33"/>
  <c r="AL336" i="33"/>
  <c r="AJ339" i="33"/>
  <c r="AK339" i="33" s="1"/>
  <c r="Z354" i="33"/>
  <c r="AI335" i="33"/>
  <c r="Y327" i="33"/>
  <c r="AI331" i="33"/>
  <c r="AJ335" i="33"/>
  <c r="AK335" i="33" s="1"/>
  <c r="AM339" i="33"/>
  <c r="Y348" i="33"/>
  <c r="Z349" i="33"/>
  <c r="Z350" i="33"/>
  <c r="Y326" i="33"/>
  <c r="AI330" i="33"/>
  <c r="AJ331" i="33"/>
  <c r="AK331" i="33" s="1"/>
  <c r="AL332" i="33"/>
  <c r="AK334" i="33"/>
  <c r="AL335" i="33"/>
  <c r="AM338" i="33"/>
  <c r="Y347" i="33"/>
  <c r="AK351" i="33"/>
  <c r="AI358" i="33"/>
  <c r="AK328" i="33"/>
  <c r="AL331" i="33"/>
  <c r="AM332" i="33"/>
  <c r="AK349" i="33"/>
  <c r="AL330" i="33"/>
  <c r="AK354" i="33"/>
  <c r="AJ325" i="33"/>
  <c r="AK325" i="33" s="1"/>
  <c r="AI326" i="33"/>
  <c r="AJ327" i="33"/>
  <c r="AK327" i="33" s="1"/>
  <c r="AL328" i="33"/>
  <c r="AL329" i="33"/>
  <c r="Z341" i="33"/>
  <c r="Z343" i="33"/>
  <c r="AK348" i="33"/>
  <c r="AI337" i="33"/>
  <c r="AJ337" i="33"/>
  <c r="AK337" i="33" s="1"/>
  <c r="AM337" i="33"/>
  <c r="AJ333" i="33"/>
  <c r="AK333" i="33" s="1"/>
  <c r="AI325" i="33"/>
  <c r="AI327" i="33"/>
  <c r="AL325" i="33"/>
  <c r="AJ326" i="33"/>
  <c r="AK326" i="33" s="1"/>
  <c r="AL327" i="33"/>
  <c r="AK344" i="33"/>
  <c r="Y334" i="33"/>
  <c r="AJ336" i="33"/>
  <c r="AK336" i="33" s="1"/>
  <c r="AJ338" i="33"/>
  <c r="AK338" i="33" s="1"/>
  <c r="AL338" i="33"/>
  <c r="AL326" i="33"/>
  <c r="Y339" i="33"/>
  <c r="AK341" i="33"/>
  <c r="AK342" i="33"/>
  <c r="AK343" i="33"/>
  <c r="AK346" i="33"/>
  <c r="AL358" i="33"/>
  <c r="Z338" i="33"/>
  <c r="AI294" i="33"/>
  <c r="AI320" i="33"/>
  <c r="AI289" i="33"/>
  <c r="AJ290" i="33"/>
  <c r="AK290" i="33" s="1"/>
  <c r="AI291" i="33"/>
  <c r="Y309" i="33"/>
  <c r="AK318" i="33"/>
  <c r="AL320" i="33"/>
  <c r="AJ289" i="33"/>
  <c r="AK289" i="33" s="1"/>
  <c r="AL290" i="33"/>
  <c r="AJ291" i="33"/>
  <c r="AK291" i="33" s="1"/>
  <c r="AJ292" i="33"/>
  <c r="AK292" i="33" s="1"/>
  <c r="AI293" i="33"/>
  <c r="AL294" i="33"/>
  <c r="AK312" i="33"/>
  <c r="AM320" i="33"/>
  <c r="AL289" i="33"/>
  <c r="AM290" i="33"/>
  <c r="AL291" i="33"/>
  <c r="AL292" i="33"/>
  <c r="AJ293" i="33"/>
  <c r="AK293" i="33" s="1"/>
  <c r="AM294" i="33"/>
  <c r="Y301" i="33"/>
  <c r="AK317" i="33"/>
  <c r="AM292" i="33"/>
  <c r="AL293" i="33"/>
  <c r="Y302" i="33"/>
  <c r="AK309" i="33"/>
  <c r="AK308" i="33"/>
  <c r="Y295" i="33"/>
  <c r="Y297" i="33"/>
  <c r="AI303" i="33"/>
  <c r="AK322" i="33"/>
  <c r="Y290" i="33"/>
  <c r="AI299" i="33"/>
  <c r="AJ303" i="33"/>
  <c r="AK303" i="33" s="1"/>
  <c r="Y313" i="33"/>
  <c r="Y320" i="33"/>
  <c r="Y289" i="33"/>
  <c r="Y291" i="33"/>
  <c r="AJ299" i="33"/>
  <c r="AK299" i="33" s="1"/>
  <c r="AL303" i="33"/>
  <c r="AI306" i="33"/>
  <c r="AI322" i="33"/>
  <c r="AK297" i="33"/>
  <c r="Y312" i="33"/>
  <c r="AJ252" i="33"/>
  <c r="AK252" i="33" s="1"/>
  <c r="N11" i="33" s="1"/>
  <c r="AJ253" i="33"/>
  <c r="AK253" i="33" s="1"/>
  <c r="AI254" i="33"/>
  <c r="Z264" i="33"/>
  <c r="Z277" i="33"/>
  <c r="AL253" i="33"/>
  <c r="AK279" i="33"/>
  <c r="Y268" i="33"/>
  <c r="AM254" i="33"/>
  <c r="Y270" i="33"/>
  <c r="AI264" i="33"/>
  <c r="AI265" i="33"/>
  <c r="Z261" i="33"/>
  <c r="AJ263" i="33"/>
  <c r="AK263" i="33" s="1"/>
  <c r="AL265" i="33"/>
  <c r="Z271" i="33"/>
  <c r="AK274" i="33"/>
  <c r="Y286" i="33"/>
  <c r="Y256" i="33"/>
  <c r="AI262" i="33"/>
  <c r="AL263" i="33"/>
  <c r="AL264" i="33"/>
  <c r="AM265" i="33"/>
  <c r="AI257" i="33"/>
  <c r="Z259" i="33"/>
  <c r="AJ262" i="33"/>
  <c r="AK262" i="33" s="1"/>
  <c r="AM263" i="33"/>
  <c r="AM264" i="33"/>
  <c r="AK271" i="33"/>
  <c r="AI253" i="33"/>
  <c r="AJ254" i="33"/>
  <c r="AK254" i="33" s="1"/>
  <c r="Z263" i="33"/>
  <c r="AI261" i="33"/>
  <c r="AI286" i="33"/>
  <c r="AI256" i="33"/>
  <c r="AJ258" i="33"/>
  <c r="AK258" i="33" s="1"/>
  <c r="AJ261" i="33"/>
  <c r="AK261" i="33" s="1"/>
  <c r="AK280" i="33"/>
  <c r="AI285" i="33"/>
  <c r="AJ286" i="33"/>
  <c r="AK286" i="33" s="1"/>
  <c r="AJ256" i="33"/>
  <c r="AK256" i="33" s="1"/>
  <c r="AM257" i="33"/>
  <c r="AL258" i="33"/>
  <c r="AI259" i="33"/>
  <c r="AL260" i="33"/>
  <c r="AL261" i="33"/>
  <c r="Z279" i="33"/>
  <c r="Y282" i="33"/>
  <c r="AK283" i="33"/>
  <c r="AL286" i="33"/>
  <c r="AI258" i="33"/>
  <c r="AK259" i="33"/>
  <c r="AI216" i="33"/>
  <c r="Y225" i="33"/>
  <c r="AI246" i="33"/>
  <c r="Y248" i="33"/>
  <c r="AJ250" i="33"/>
  <c r="AK250" i="33" s="1"/>
  <c r="Z224" i="33"/>
  <c r="AJ246" i="33"/>
  <c r="AK246" i="33" s="1"/>
  <c r="AI249" i="33"/>
  <c r="AL250" i="33"/>
  <c r="AK233" i="33"/>
  <c r="AI247" i="33"/>
  <c r="AJ249" i="33"/>
  <c r="AK249" i="33" s="1"/>
  <c r="AM250" i="33"/>
  <c r="AL246" i="33"/>
  <c r="AJ247" i="33"/>
  <c r="AK247" i="33" s="1"/>
  <c r="AL249" i="33"/>
  <c r="AI248" i="33"/>
  <c r="Z220" i="33"/>
  <c r="AK226" i="33"/>
  <c r="AL247" i="33"/>
  <c r="AJ248" i="33"/>
  <c r="AK248" i="33" s="1"/>
  <c r="F42" i="33" a="1"/>
  <c r="F42" i="33" s="1"/>
  <c r="G52" i="33"/>
  <c r="AI223" i="33"/>
  <c r="AL248" i="33"/>
  <c r="A33" i="33"/>
  <c r="H42" i="33" a="1"/>
  <c r="H42" i="33" s="1"/>
  <c r="I52" i="33" a="1"/>
  <c r="I52" i="33" s="1"/>
  <c r="AJ223" i="33"/>
  <c r="AK223" i="33" s="1"/>
  <c r="AI219" i="33"/>
  <c r="AI220" i="33"/>
  <c r="AJ222" i="33"/>
  <c r="AK222" i="33" s="1"/>
  <c r="AK240" i="33"/>
  <c r="AJ218" i="33"/>
  <c r="AK218" i="33" s="1"/>
  <c r="AL219" i="33"/>
  <c r="AL220" i="33"/>
  <c r="AL222" i="33"/>
  <c r="Y231" i="33"/>
  <c r="Y234" i="33"/>
  <c r="Y235" i="33"/>
  <c r="AK238" i="33"/>
  <c r="AK239" i="33"/>
  <c r="AK241" i="33"/>
  <c r="Y246" i="33"/>
  <c r="AI222" i="33"/>
  <c r="AL223" i="33"/>
  <c r="AI218" i="33"/>
  <c r="AJ219" i="33"/>
  <c r="AK219" i="33" s="1"/>
  <c r="AJ220" i="33"/>
  <c r="AK220" i="33" s="1"/>
  <c r="AK242" i="33"/>
  <c r="I36" i="33" a="1"/>
  <c r="I36" i="33" s="1"/>
  <c r="AK190" i="33"/>
  <c r="O32" i="33" s="1" a="1"/>
  <c r="O32" i="33" s="1"/>
  <c r="AL181" i="33"/>
  <c r="Z198" i="33"/>
  <c r="AM181" i="33"/>
  <c r="Y197" i="33"/>
  <c r="Y208" i="33"/>
  <c r="Y214" i="33"/>
  <c r="AK198" i="33"/>
  <c r="G36" i="33"/>
  <c r="AK197" i="33"/>
  <c r="AK199" i="33"/>
  <c r="Y213" i="33"/>
  <c r="Y188" i="33"/>
  <c r="Z211" i="33"/>
  <c r="AI213" i="33"/>
  <c r="L55" i="33" s="1" a="1"/>
  <c r="L55" i="33" s="1"/>
  <c r="AL214" i="33"/>
  <c r="AK196" i="33"/>
  <c r="AI212" i="33"/>
  <c r="L54" i="33" s="1" a="1"/>
  <c r="L54" i="33" s="1"/>
  <c r="AJ213" i="33"/>
  <c r="M55" i="33" s="1" a="1"/>
  <c r="M55" i="33" s="1"/>
  <c r="AM214" i="33"/>
  <c r="AJ181" i="33"/>
  <c r="AK181" i="33" s="1"/>
  <c r="O23" i="33" s="1" a="1"/>
  <c r="O23" i="33" s="1"/>
  <c r="Y189" i="33"/>
  <c r="AJ214" i="33"/>
  <c r="AK214" i="33" s="1"/>
  <c r="O56" i="33" s="1" a="1"/>
  <c r="O56" i="33" s="1"/>
  <c r="AI184" i="33"/>
  <c r="L26" i="33" s="1" a="1"/>
  <c r="L26" i="33" s="1"/>
  <c r="AJ186" i="33"/>
  <c r="AK186" i="33" s="1"/>
  <c r="O28" i="33" s="1" a="1"/>
  <c r="O28" i="33" s="1"/>
  <c r="AI187" i="33"/>
  <c r="L29" i="33" s="1" a="1"/>
  <c r="L29" i="33" s="1"/>
  <c r="AK210" i="33"/>
  <c r="AJ212" i="33"/>
  <c r="AK212" i="33" s="1"/>
  <c r="O54" i="33" s="1" a="1"/>
  <c r="O54" i="33" s="1"/>
  <c r="AL213" i="33"/>
  <c r="Y181" i="33"/>
  <c r="AJ184" i="33"/>
  <c r="M26" i="33" s="1" a="1"/>
  <c r="M26" i="33" s="1"/>
  <c r="AI185" i="33"/>
  <c r="L27" i="33" s="1" a="1"/>
  <c r="L27" i="33" s="1"/>
  <c r="AL186" i="33"/>
  <c r="AJ187" i="33"/>
  <c r="AK187" i="33" s="1"/>
  <c r="O29" i="33" s="1" a="1"/>
  <c r="O29" i="33" s="1"/>
  <c r="AI190" i="33"/>
  <c r="L32" i="33" s="1" a="1"/>
  <c r="L32" i="33" s="1"/>
  <c r="AK191" i="33"/>
  <c r="Y202" i="33"/>
  <c r="AL184" i="33"/>
  <c r="AL187" i="33"/>
  <c r="AL212" i="33"/>
  <c r="AK211" i="33"/>
  <c r="AI146" i="33"/>
  <c r="AJ146" i="33"/>
  <c r="AK146" i="33" s="1"/>
  <c r="AI147" i="33"/>
  <c r="AI145" i="33"/>
  <c r="AJ147" i="33"/>
  <c r="AK147" i="33" s="1"/>
  <c r="Y156" i="33"/>
  <c r="AK165" i="33"/>
  <c r="AK167" i="33"/>
  <c r="AJ145" i="33"/>
  <c r="AK145" i="33" s="1"/>
  <c r="AL146" i="33"/>
  <c r="AL147" i="33"/>
  <c r="Y158" i="33"/>
  <c r="E52" i="33"/>
  <c r="AL145" i="33"/>
  <c r="Y177" i="33"/>
  <c r="F52" i="33" a="1"/>
  <c r="F52" i="33" s="1"/>
  <c r="AK144" i="33"/>
  <c r="N8" i="33" s="1"/>
  <c r="AK161" i="33"/>
  <c r="AK164" i="33"/>
  <c r="Z169" i="33"/>
  <c r="AI176" i="33"/>
  <c r="AI177" i="33"/>
  <c r="AL178" i="33"/>
  <c r="Z173" i="33"/>
  <c r="AK152" i="33"/>
  <c r="AJ176" i="33"/>
  <c r="AK176" i="33" s="1"/>
  <c r="AJ177" i="33"/>
  <c r="AK177" i="33" s="1"/>
  <c r="AL176" i="33"/>
  <c r="AL177" i="33"/>
  <c r="Z174" i="33"/>
  <c r="Y147" i="33"/>
  <c r="AI151" i="33"/>
  <c r="AK168" i="33"/>
  <c r="AK170" i="33"/>
  <c r="AI175" i="33"/>
  <c r="AJ151" i="33"/>
  <c r="AK151" i="33" s="1"/>
  <c r="AK171" i="33"/>
  <c r="AJ175" i="33"/>
  <c r="AK175" i="33" s="1"/>
  <c r="Y145" i="33"/>
  <c r="AL125" i="33"/>
  <c r="AM126" i="33"/>
  <c r="E42" i="33"/>
  <c r="AK137" i="33"/>
  <c r="AM142" i="33"/>
  <c r="AI117" i="33"/>
  <c r="AJ119" i="33"/>
  <c r="AK119" i="33" s="1"/>
  <c r="AI120" i="33"/>
  <c r="AI121" i="33"/>
  <c r="AJ123" i="33"/>
  <c r="AK123" i="33" s="1"/>
  <c r="AI115" i="33"/>
  <c r="AJ116" i="33"/>
  <c r="AK116" i="33" s="1"/>
  <c r="AJ117" i="33"/>
  <c r="AK117" i="33" s="1"/>
  <c r="AL119" i="33"/>
  <c r="AJ120" i="33"/>
  <c r="AK120" i="33" s="1"/>
  <c r="AJ121" i="33"/>
  <c r="AK121" i="33" s="1"/>
  <c r="AL123" i="33"/>
  <c r="AJ124" i="33"/>
  <c r="AK124" i="33" s="1"/>
  <c r="AJ115" i="33"/>
  <c r="AK115" i="33" s="1"/>
  <c r="AL116" i="33"/>
  <c r="AL117" i="33"/>
  <c r="AM119" i="33"/>
  <c r="AL120" i="33"/>
  <c r="AI122" i="33"/>
  <c r="AM123" i="33"/>
  <c r="AL124" i="33"/>
  <c r="AJ125" i="33"/>
  <c r="AK125" i="33" s="1"/>
  <c r="AJ126" i="33"/>
  <c r="AK126" i="33" s="1"/>
  <c r="AJ127" i="33"/>
  <c r="AK127" i="33" s="1"/>
  <c r="AK129" i="33"/>
  <c r="H52" i="33" a="1"/>
  <c r="H52" i="33" s="1"/>
  <c r="AI114" i="33"/>
  <c r="AL115" i="33"/>
  <c r="AM116" i="33"/>
  <c r="AL121" i="33"/>
  <c r="AJ122" i="33"/>
  <c r="AK122" i="33" s="1"/>
  <c r="AM124" i="33"/>
  <c r="AL127" i="33"/>
  <c r="Z130" i="33"/>
  <c r="AI111" i="33"/>
  <c r="AM125" i="33"/>
  <c r="AJ110" i="33"/>
  <c r="AK110" i="33" s="1"/>
  <c r="AJ111" i="33"/>
  <c r="AK111" i="33" s="1"/>
  <c r="AI112" i="33"/>
  <c r="AJ113" i="33"/>
  <c r="AK113" i="33" s="1"/>
  <c r="AM114" i="33"/>
  <c r="AL126" i="33"/>
  <c r="AI108" i="33"/>
  <c r="AL110" i="33"/>
  <c r="AJ112" i="33"/>
  <c r="AK112" i="33" s="1"/>
  <c r="AL113" i="33"/>
  <c r="Y134" i="33"/>
  <c r="Y136" i="33"/>
  <c r="AL122" i="33"/>
  <c r="AI110" i="33"/>
  <c r="AI113" i="33"/>
  <c r="AJ108" i="33"/>
  <c r="AK108" i="33" s="1"/>
  <c r="N7" i="33" s="1"/>
  <c r="AI109" i="33"/>
  <c r="AL111" i="33"/>
  <c r="AI127" i="33"/>
  <c r="AJ109" i="33"/>
  <c r="AK109" i="33" s="1"/>
  <c r="AL112" i="33"/>
  <c r="AK141" i="33"/>
  <c r="AI142" i="33"/>
  <c r="AK134" i="33"/>
  <c r="AK135" i="33"/>
  <c r="AK136" i="33"/>
  <c r="AJ142" i="33"/>
  <c r="AK142" i="33" s="1"/>
  <c r="A42" i="33"/>
  <c r="Z89" i="33"/>
  <c r="AK92" i="33"/>
  <c r="H37" i="33" a="1"/>
  <c r="H37" i="33" s="1"/>
  <c r="AK103" i="33"/>
  <c r="AL106" i="33"/>
  <c r="I37" i="33" a="1"/>
  <c r="I37" i="33" s="1"/>
  <c r="Z84" i="33"/>
  <c r="AK89" i="33"/>
  <c r="AM106" i="33"/>
  <c r="Y81" i="33"/>
  <c r="Y73" i="33"/>
  <c r="Z75" i="33"/>
  <c r="AK88" i="33"/>
  <c r="Z104" i="33"/>
  <c r="AK97" i="33"/>
  <c r="H35" i="33" a="1"/>
  <c r="H35" i="33" s="1"/>
  <c r="AI80" i="33"/>
  <c r="AI82" i="33"/>
  <c r="AK86" i="33"/>
  <c r="AK94" i="33"/>
  <c r="Y98" i="33"/>
  <c r="D28" i="33" a="1"/>
  <c r="D28" i="33" s="1"/>
  <c r="I35" i="33" a="1"/>
  <c r="I35" i="33" s="1"/>
  <c r="AK73" i="33"/>
  <c r="AI74" i="33"/>
  <c r="AI78" i="33"/>
  <c r="AI79" i="33"/>
  <c r="AJ80" i="33"/>
  <c r="AK80" i="33" s="1"/>
  <c r="AJ82" i="33"/>
  <c r="AK82" i="33" s="1"/>
  <c r="AK95" i="33"/>
  <c r="G37" i="33"/>
  <c r="AJ78" i="33"/>
  <c r="AK78" i="33" s="1"/>
  <c r="AJ79" i="33"/>
  <c r="AK79" i="33" s="1"/>
  <c r="AI81" i="33"/>
  <c r="AL82" i="33"/>
  <c r="AK83" i="33"/>
  <c r="AK93" i="33"/>
  <c r="AI106" i="33"/>
  <c r="E36" i="33"/>
  <c r="Z92" i="33"/>
  <c r="D54" i="33" a="1"/>
  <c r="D54" i="33" s="1"/>
  <c r="A54" i="33"/>
  <c r="A34" i="33"/>
  <c r="H34" i="33" a="1"/>
  <c r="H34" i="33" s="1"/>
  <c r="G34" i="33"/>
  <c r="D22" i="33" a="1"/>
  <c r="D22" i="33" s="1"/>
  <c r="C22" i="33" a="1"/>
  <c r="C22" i="33" s="1"/>
  <c r="A22" i="33"/>
  <c r="G42" i="33"/>
  <c r="D30" i="33" a="1"/>
  <c r="D30" i="33" s="1"/>
  <c r="C40" i="33" a="1"/>
  <c r="C40" i="33" s="1"/>
  <c r="D40" i="33" a="1"/>
  <c r="D40" i="33" s="1"/>
  <c r="D37" i="33" a="1"/>
  <c r="D37" i="33" s="1"/>
  <c r="E40" i="33"/>
  <c r="F40" i="33" a="1"/>
  <c r="F40" i="33" s="1"/>
  <c r="E37" i="33"/>
  <c r="AU358" i="33"/>
  <c r="AT358" i="33"/>
  <c r="AS358" i="33"/>
  <c r="AR358" i="33"/>
  <c r="H51" i="33" a="1"/>
  <c r="H51" i="33" s="1"/>
  <c r="G51" i="33"/>
  <c r="F51" i="33" a="1"/>
  <c r="F51" i="33" s="1"/>
  <c r="E51" i="33"/>
  <c r="D51" i="33" a="1"/>
  <c r="D51" i="33" s="1"/>
  <c r="I51" i="33" a="1"/>
  <c r="I51" i="33" s="1"/>
  <c r="C51" i="33" a="1"/>
  <c r="C51" i="33" s="1"/>
  <c r="A51" i="33"/>
  <c r="Y204" i="33"/>
  <c r="Z204" i="33"/>
  <c r="A45" i="33"/>
  <c r="C45" i="33" a="1"/>
  <c r="C45" i="33" s="1"/>
  <c r="D45" i="33" a="1"/>
  <c r="D45" i="33" s="1"/>
  <c r="I45" i="33" a="1"/>
  <c r="I45" i="33" s="1"/>
  <c r="H45" i="33" a="1"/>
  <c r="H45" i="33" s="1"/>
  <c r="G45" i="33"/>
  <c r="F45" i="33" a="1"/>
  <c r="F45" i="33" s="1"/>
  <c r="AS142" i="33"/>
  <c r="AU142" i="33"/>
  <c r="AT142" i="33"/>
  <c r="AR142" i="33"/>
  <c r="Y353" i="33"/>
  <c r="Z353" i="33"/>
  <c r="AT120" i="33"/>
  <c r="AU120" i="33"/>
  <c r="AS120" i="33"/>
  <c r="AS138" i="33"/>
  <c r="AU138" i="33"/>
  <c r="AT138" i="33"/>
  <c r="A55" i="33"/>
  <c r="D55" i="33" a="1"/>
  <c r="D55" i="33" s="1"/>
  <c r="C55" i="33" a="1"/>
  <c r="C55" i="33" s="1"/>
  <c r="AR138" i="33"/>
  <c r="Z105" i="33"/>
  <c r="Y105" i="33"/>
  <c r="Y190" i="33"/>
  <c r="Z190" i="33"/>
  <c r="C25" i="33" a="1"/>
  <c r="C25" i="33" s="1"/>
  <c r="D25" i="33" a="1"/>
  <c r="D25" i="33" s="1"/>
  <c r="A25" i="33"/>
  <c r="I48" i="33" a="1"/>
  <c r="I48" i="33" s="1"/>
  <c r="E48" i="33"/>
  <c r="D48" i="33" a="1"/>
  <c r="D48" i="33" s="1"/>
  <c r="H48" i="33" a="1"/>
  <c r="H48" i="33" s="1"/>
  <c r="G48" i="33"/>
  <c r="F48" i="33" a="1"/>
  <c r="F48" i="33" s="1"/>
  <c r="C48" i="33" a="1"/>
  <c r="C48" i="33" s="1"/>
  <c r="A48" i="33"/>
  <c r="D56" i="33" a="1"/>
  <c r="D56" i="33" s="1"/>
  <c r="C56" i="33" a="1"/>
  <c r="C56" i="33" s="1"/>
  <c r="A43" i="33"/>
  <c r="I43" i="33" a="1"/>
  <c r="I43" i="33" s="1"/>
  <c r="H43" i="33" a="1"/>
  <c r="H43" i="33" s="1"/>
  <c r="E43" i="33"/>
  <c r="G43" i="33"/>
  <c r="F43" i="33" a="1"/>
  <c r="F43" i="33" s="1"/>
  <c r="D43" i="33" a="1"/>
  <c r="D43" i="33" s="1"/>
  <c r="C43" i="33" a="1"/>
  <c r="C43" i="33" s="1"/>
  <c r="Z170" i="33"/>
  <c r="Y170" i="33"/>
  <c r="AT293" i="33"/>
  <c r="AS293" i="33"/>
  <c r="AR293" i="33"/>
  <c r="AU293" i="33"/>
  <c r="Z100" i="33"/>
  <c r="Z102" i="33"/>
  <c r="Y102" i="33"/>
  <c r="Y281" i="33"/>
  <c r="Z281" i="33"/>
  <c r="AS112" i="33"/>
  <c r="AU112" i="33"/>
  <c r="AT112" i="33"/>
  <c r="Y292" i="33"/>
  <c r="Z292" i="33"/>
  <c r="Y110" i="33"/>
  <c r="Z110" i="33"/>
  <c r="AU356" i="33"/>
  <c r="AT356" i="33"/>
  <c r="AS356" i="33"/>
  <c r="AR356" i="33"/>
  <c r="G38" i="33"/>
  <c r="F38" i="33" a="1"/>
  <c r="F38" i="33" s="1"/>
  <c r="A38" i="33"/>
  <c r="H38" i="33" a="1"/>
  <c r="H38" i="33" s="1"/>
  <c r="E38" i="33"/>
  <c r="D38" i="33" a="1"/>
  <c r="D38" i="33" s="1"/>
  <c r="C38" i="33" a="1"/>
  <c r="C38" i="33" s="1"/>
  <c r="AU106" i="33"/>
  <c r="AT106" i="33"/>
  <c r="AS106" i="33"/>
  <c r="AT139" i="33"/>
  <c r="AS139" i="33"/>
  <c r="AU139" i="33"/>
  <c r="AR106" i="33"/>
  <c r="AR139" i="33"/>
  <c r="Y194" i="33"/>
  <c r="Z194" i="33"/>
  <c r="C24" i="33" a="1"/>
  <c r="C24" i="33" s="1"/>
  <c r="A24" i="33"/>
  <c r="D24" i="33" a="1"/>
  <c r="D24" i="33" s="1"/>
  <c r="B17" i="33"/>
  <c r="AR120" i="33"/>
  <c r="AS171" i="33"/>
  <c r="AU171" i="33"/>
  <c r="AT171" i="33"/>
  <c r="AR171" i="33"/>
  <c r="Z260" i="33"/>
  <c r="Y260" i="33"/>
  <c r="C47" i="33" a="1"/>
  <c r="C47" i="33" s="1"/>
  <c r="I47" i="33" a="1"/>
  <c r="I47" i="33" s="1"/>
  <c r="G47" i="33"/>
  <c r="H47" i="33" a="1"/>
  <c r="H47" i="33" s="1"/>
  <c r="F47" i="33" a="1"/>
  <c r="F47" i="33" s="1"/>
  <c r="D47" i="33" a="1"/>
  <c r="D47" i="33" s="1"/>
  <c r="E47" i="33"/>
  <c r="Y137" i="33"/>
  <c r="AT305" i="33"/>
  <c r="AS305" i="33"/>
  <c r="AU305" i="33"/>
  <c r="AR305" i="33"/>
  <c r="AU408" i="33"/>
  <c r="AT408" i="33"/>
  <c r="AS408" i="33"/>
  <c r="AR408" i="33"/>
  <c r="AS294" i="33"/>
  <c r="AU294" i="33"/>
  <c r="AT294" i="33"/>
  <c r="AR294" i="33"/>
  <c r="Z103" i="33"/>
  <c r="Y103" i="33"/>
  <c r="AU374" i="33"/>
  <c r="AT374" i="33"/>
  <c r="AS374" i="33"/>
  <c r="AR374" i="33"/>
  <c r="D26" i="33" a="1"/>
  <c r="D26" i="33" s="1"/>
  <c r="C26" i="33" a="1"/>
  <c r="C26" i="33" s="1"/>
  <c r="A26" i="33"/>
  <c r="D31" i="33" a="1"/>
  <c r="D31" i="33" s="1"/>
  <c r="A31" i="33"/>
  <c r="C31" i="33" a="1"/>
  <c r="C31" i="33" s="1"/>
  <c r="C29" i="33" a="1"/>
  <c r="C29" i="33" s="1"/>
  <c r="A29" i="33"/>
  <c r="H41" i="33" a="1"/>
  <c r="H41" i="33" s="1"/>
  <c r="F41" i="33" a="1"/>
  <c r="F41" i="33" s="1"/>
  <c r="G41" i="33"/>
  <c r="I41" i="33" a="1"/>
  <c r="I41" i="33" s="1"/>
  <c r="E41" i="33"/>
  <c r="C41" i="33" a="1"/>
  <c r="C41" i="33" s="1"/>
  <c r="A41" i="33"/>
  <c r="I50" i="33" a="1"/>
  <c r="I50" i="33" s="1"/>
  <c r="H50" i="33" a="1"/>
  <c r="H50" i="33" s="1"/>
  <c r="G50" i="33"/>
  <c r="F50" i="33" a="1"/>
  <c r="F50" i="33" s="1"/>
  <c r="E50" i="33"/>
  <c r="A50" i="33"/>
  <c r="D50" i="33" a="1"/>
  <c r="D50" i="33" s="1"/>
  <c r="I53" i="33" a="1"/>
  <c r="I53" i="33" s="1"/>
  <c r="A53" i="33"/>
  <c r="H53" i="33" a="1"/>
  <c r="H53" i="33" s="1"/>
  <c r="G53" i="33"/>
  <c r="D53" i="33" a="1"/>
  <c r="D53" i="33" s="1"/>
  <c r="F53" i="33" a="1"/>
  <c r="F53" i="33" s="1"/>
  <c r="E53" i="33"/>
  <c r="Z167" i="33"/>
  <c r="Y167" i="33"/>
  <c r="Y193" i="33"/>
  <c r="AR199" i="33"/>
  <c r="Z241" i="33"/>
  <c r="Y241" i="33"/>
  <c r="AR283" i="33"/>
  <c r="AR298" i="33"/>
  <c r="AR392" i="33"/>
  <c r="Z405" i="33"/>
  <c r="Y405" i="33"/>
  <c r="C44" i="33" a="1"/>
  <c r="C44" i="33" s="1"/>
  <c r="AR83" i="33"/>
  <c r="AR122" i="33"/>
  <c r="Y140" i="33"/>
  <c r="AR150" i="33"/>
  <c r="AU151" i="33"/>
  <c r="AT151" i="33"/>
  <c r="AU178" i="33"/>
  <c r="AT178" i="33"/>
  <c r="Y205" i="33"/>
  <c r="AU274" i="33"/>
  <c r="AS274" i="33"/>
  <c r="AR274" i="33"/>
  <c r="AT274" i="33"/>
  <c r="AU283" i="33"/>
  <c r="AT298" i="33"/>
  <c r="AS299" i="33"/>
  <c r="AU312" i="33"/>
  <c r="AR312" i="33"/>
  <c r="AT312" i="33"/>
  <c r="AS312" i="33"/>
  <c r="Y362" i="33"/>
  <c r="AU382" i="33"/>
  <c r="AT382" i="33"/>
  <c r="AS382" i="33"/>
  <c r="AR382" i="33"/>
  <c r="Y384" i="33"/>
  <c r="Y391" i="33"/>
  <c r="AT392" i="33"/>
  <c r="AS397" i="33"/>
  <c r="D33" i="33" a="1"/>
  <c r="D33" i="33" s="1"/>
  <c r="E39" i="33"/>
  <c r="C39" i="33" a="1"/>
  <c r="C39" i="33" s="1"/>
  <c r="Y82" i="33"/>
  <c r="AS83" i="33"/>
  <c r="AS150" i="33"/>
  <c r="AR151" i="33"/>
  <c r="AU154" i="33"/>
  <c r="AT154" i="33"/>
  <c r="Y171" i="33"/>
  <c r="AT172" i="33"/>
  <c r="AR177" i="33"/>
  <c r="AR178" i="33"/>
  <c r="AR183" i="33"/>
  <c r="Y199" i="33"/>
  <c r="AU199" i="33"/>
  <c r="AS200" i="33"/>
  <c r="AU201" i="33"/>
  <c r="AT201" i="33"/>
  <c r="AS201" i="33"/>
  <c r="Y243" i="33"/>
  <c r="AR284" i="33"/>
  <c r="AU285" i="33"/>
  <c r="AT285" i="33"/>
  <c r="AS285" i="33"/>
  <c r="AR285" i="33"/>
  <c r="Y298" i="33"/>
  <c r="AU298" i="33"/>
  <c r="AT299" i="33"/>
  <c r="AU310" i="33"/>
  <c r="AT310" i="33"/>
  <c r="AS310" i="33"/>
  <c r="AR310" i="33"/>
  <c r="AT326" i="33"/>
  <c r="AS326" i="33"/>
  <c r="AU330" i="33"/>
  <c r="AT330" i="33"/>
  <c r="AR386" i="33"/>
  <c r="AT397" i="33"/>
  <c r="D39" i="33" a="1"/>
  <c r="D39" i="33" s="1"/>
  <c r="A49" i="33"/>
  <c r="I49" i="33" a="1"/>
  <c r="I49" i="33" s="1"/>
  <c r="H49" i="33" a="1"/>
  <c r="H49" i="33" s="1"/>
  <c r="F49" i="33" a="1"/>
  <c r="F49" i="33" s="1"/>
  <c r="G49" i="33"/>
  <c r="E49" i="33"/>
  <c r="AT84" i="33"/>
  <c r="AU84" i="33"/>
  <c r="AS84" i="33"/>
  <c r="AS173" i="33"/>
  <c r="AR173" i="33"/>
  <c r="AT173" i="33"/>
  <c r="AU173" i="33"/>
  <c r="AT200" i="33"/>
  <c r="D32" i="33" a="1"/>
  <c r="D32" i="33" s="1"/>
  <c r="F39" i="33" a="1"/>
  <c r="F39" i="33" s="1"/>
  <c r="Y152" i="33"/>
  <c r="Z152" i="33"/>
  <c r="Y159" i="33"/>
  <c r="AR160" i="33"/>
  <c r="AT160" i="33"/>
  <c r="AS160" i="33"/>
  <c r="Y176" i="33"/>
  <c r="Y178" i="33"/>
  <c r="Z178" i="33"/>
  <c r="Y200" i="33"/>
  <c r="AT308" i="33"/>
  <c r="AU308" i="33"/>
  <c r="AS308" i="33"/>
  <c r="Y316" i="33"/>
  <c r="Y325" i="33"/>
  <c r="AT329" i="33"/>
  <c r="AS340" i="33"/>
  <c r="AU340" i="33"/>
  <c r="AT340" i="33"/>
  <c r="AS394" i="33"/>
  <c r="Y416" i="33"/>
  <c r="AU160" i="33"/>
  <c r="AT387" i="33"/>
  <c r="H39" i="33" a="1"/>
  <c r="H39" i="33" s="1"/>
  <c r="AR72" i="33"/>
  <c r="AR90" i="33"/>
  <c r="AU91" i="33"/>
  <c r="AT91" i="33"/>
  <c r="Y94" i="33"/>
  <c r="AR95" i="33"/>
  <c r="Z124" i="33"/>
  <c r="AS161" i="33"/>
  <c r="AR162" i="33"/>
  <c r="Y184" i="33"/>
  <c r="AS185" i="33"/>
  <c r="Z221" i="33"/>
  <c r="AS222" i="33"/>
  <c r="AU223" i="33"/>
  <c r="AT223" i="33"/>
  <c r="AU226" i="33"/>
  <c r="AT226" i="33"/>
  <c r="AU248" i="33"/>
  <c r="AS248" i="33"/>
  <c r="AR248" i="33"/>
  <c r="AU254" i="33"/>
  <c r="AT254" i="33"/>
  <c r="Z257" i="33"/>
  <c r="Y257" i="33"/>
  <c r="Z322" i="33"/>
  <c r="Z329" i="33"/>
  <c r="Y329" i="33"/>
  <c r="AT338" i="33"/>
  <c r="AU338" i="33"/>
  <c r="AS338" i="33"/>
  <c r="AT343" i="33"/>
  <c r="AS343" i="33"/>
  <c r="AR343" i="33"/>
  <c r="AS344" i="33"/>
  <c r="AU344" i="33"/>
  <c r="AT344" i="33"/>
  <c r="Y387" i="33"/>
  <c r="AU387" i="33"/>
  <c r="AS388" i="33"/>
  <c r="Y394" i="33"/>
  <c r="A23" i="33"/>
  <c r="C54" i="33" a="1"/>
  <c r="C54" i="33" s="1"/>
  <c r="Y90" i="33"/>
  <c r="Z93" i="33"/>
  <c r="Y93" i="33"/>
  <c r="AT95" i="33"/>
  <c r="AU133" i="33"/>
  <c r="AS133" i="33"/>
  <c r="AT133" i="33"/>
  <c r="AR133" i="33"/>
  <c r="Y161" i="33"/>
  <c r="AU161" i="33"/>
  <c r="AT162" i="33"/>
  <c r="AM180" i="33"/>
  <c r="Y222" i="33"/>
  <c r="AU222" i="33"/>
  <c r="AS223" i="33"/>
  <c r="AS226" i="33"/>
  <c r="Z228" i="33"/>
  <c r="AU233" i="33"/>
  <c r="AT233" i="33"/>
  <c r="AS254" i="33"/>
  <c r="AR259" i="33"/>
  <c r="AL324" i="33"/>
  <c r="O13" i="33" s="1"/>
  <c r="AM324" i="33"/>
  <c r="AJ324" i="33"/>
  <c r="AK324" i="33" s="1"/>
  <c r="N13" i="33" s="1"/>
  <c r="AI324" i="33"/>
  <c r="Z336" i="33"/>
  <c r="Y337" i="33"/>
  <c r="Z342" i="33"/>
  <c r="Y370" i="33"/>
  <c r="Z388" i="33"/>
  <c r="Y388" i="33"/>
  <c r="Z420" i="33"/>
  <c r="Y420" i="33"/>
  <c r="C23" i="33" a="1"/>
  <c r="C23" i="33" s="1"/>
  <c r="AU90" i="33"/>
  <c r="AU95" i="33"/>
  <c r="AT109" i="33"/>
  <c r="AS109" i="33"/>
  <c r="AS115" i="33"/>
  <c r="AU115" i="33"/>
  <c r="AT115" i="33"/>
  <c r="AR115" i="33"/>
  <c r="AS132" i="33"/>
  <c r="AR132" i="33"/>
  <c r="AU132" i="33"/>
  <c r="AU144" i="33"/>
  <c r="AR145" i="33"/>
  <c r="AR164" i="33"/>
  <c r="AU164" i="33"/>
  <c r="AT164" i="33"/>
  <c r="Y203" i="33"/>
  <c r="Y209" i="33"/>
  <c r="AT211" i="33"/>
  <c r="AS211" i="33"/>
  <c r="AU212" i="33"/>
  <c r="AT212" i="33"/>
  <c r="AR233" i="33"/>
  <c r="Z237" i="33"/>
  <c r="Y237" i="33"/>
  <c r="AU241" i="33"/>
  <c r="AS241" i="33"/>
  <c r="Y247" i="33"/>
  <c r="Z250" i="33"/>
  <c r="Y253" i="33"/>
  <c r="Y258" i="33"/>
  <c r="AS259" i="33"/>
  <c r="Z303" i="33"/>
  <c r="AR304" i="33"/>
  <c r="C37" i="33" a="1"/>
  <c r="C37" i="33" s="1"/>
  <c r="A37" i="33"/>
  <c r="AS73" i="33"/>
  <c r="AT74" i="33"/>
  <c r="AU74" i="33"/>
  <c r="AS74" i="33"/>
  <c r="Z95" i="33"/>
  <c r="AR109" i="33"/>
  <c r="AS117" i="33"/>
  <c r="AT118" i="33"/>
  <c r="AU118" i="33"/>
  <c r="AS118" i="33"/>
  <c r="AK128" i="33"/>
  <c r="Y129" i="33"/>
  <c r="AR130" i="33"/>
  <c r="AR131" i="33"/>
  <c r="AT132" i="33"/>
  <c r="AS145" i="33"/>
  <c r="AU146" i="33"/>
  <c r="AT146" i="33"/>
  <c r="AS146" i="33"/>
  <c r="Z162" i="33"/>
  <c r="Y162" i="33"/>
  <c r="AS164" i="33"/>
  <c r="AR204" i="33"/>
  <c r="Y210" i="33"/>
  <c r="AR211" i="33"/>
  <c r="AR212" i="33"/>
  <c r="AM216" i="33"/>
  <c r="AL216" i="33"/>
  <c r="O10" i="33" s="1"/>
  <c r="Z223" i="33"/>
  <c r="Y223" i="33"/>
  <c r="Z226" i="33"/>
  <c r="Y226" i="33"/>
  <c r="AS233" i="33"/>
  <c r="AR241" i="33"/>
  <c r="Y249" i="33"/>
  <c r="AU259" i="33"/>
  <c r="AR260" i="33"/>
  <c r="AU262" i="33"/>
  <c r="AT262" i="33"/>
  <c r="AS262" i="33"/>
  <c r="AR262" i="33"/>
  <c r="AR292" i="33"/>
  <c r="AS304" i="33"/>
  <c r="AR306" i="33"/>
  <c r="AU306" i="33"/>
  <c r="AT306" i="33"/>
  <c r="AS306" i="33"/>
  <c r="Y345" i="33"/>
  <c r="Y352" i="33"/>
  <c r="AR353" i="33"/>
  <c r="AM396" i="33"/>
  <c r="AI396" i="33"/>
  <c r="AJ396" i="33"/>
  <c r="AK396" i="33" s="1"/>
  <c r="N15" i="33" s="1"/>
  <c r="AL396" i="33"/>
  <c r="O15" i="33" s="1"/>
  <c r="Y421" i="33"/>
  <c r="Z212" i="33"/>
  <c r="Y212" i="33"/>
  <c r="Y232" i="33"/>
  <c r="Z232" i="33"/>
  <c r="AU268" i="33"/>
  <c r="AT268" i="33"/>
  <c r="AS282" i="33"/>
  <c r="AR282" i="33"/>
  <c r="AU364" i="33"/>
  <c r="AS364" i="33"/>
  <c r="AR364" i="33"/>
  <c r="AT364" i="33"/>
  <c r="Z404" i="33"/>
  <c r="Y404" i="33"/>
  <c r="Z430" i="33"/>
  <c r="Y430" i="33"/>
  <c r="E44" i="33"/>
  <c r="G44" i="33"/>
  <c r="H44" i="33" a="1"/>
  <c r="H44" i="33" s="1"/>
  <c r="I44" i="33" a="1"/>
  <c r="I44" i="33" s="1"/>
  <c r="F44" i="33" a="1"/>
  <c r="F44" i="33" s="1"/>
  <c r="D44" i="33" a="1"/>
  <c r="D44" i="33" s="1"/>
  <c r="Y106" i="33"/>
  <c r="Y111" i="33"/>
  <c r="AS122" i="33"/>
  <c r="AU122" i="33"/>
  <c r="Y149" i="33"/>
  <c r="Y192" i="33"/>
  <c r="Z195" i="33"/>
  <c r="Y195" i="33"/>
  <c r="AS199" i="33"/>
  <c r="Z267" i="33"/>
  <c r="AS268" i="33"/>
  <c r="AU282" i="33"/>
  <c r="AS283" i="33"/>
  <c r="AR299" i="33"/>
  <c r="AU300" i="33"/>
  <c r="AS300" i="33"/>
  <c r="AT300" i="33"/>
  <c r="AR300" i="33"/>
  <c r="Y357" i="33"/>
  <c r="AU363" i="33"/>
  <c r="AT363" i="33"/>
  <c r="AS363" i="33"/>
  <c r="AR363" i="33"/>
  <c r="AS392" i="33"/>
  <c r="AR397" i="33"/>
  <c r="AU398" i="33"/>
  <c r="AT398" i="33"/>
  <c r="AS398" i="33"/>
  <c r="Y407" i="33"/>
  <c r="C33" i="33" a="1"/>
  <c r="C33" i="33" s="1"/>
  <c r="F33" i="33" a="1"/>
  <c r="F33" i="33" s="1"/>
  <c r="H33" i="33" a="1"/>
  <c r="H33" i="33" s="1"/>
  <c r="G33" i="33"/>
  <c r="E33" i="33"/>
  <c r="AU155" i="33"/>
  <c r="AS155" i="33"/>
  <c r="AT155" i="33"/>
  <c r="AR155" i="33"/>
  <c r="AS172" i="33"/>
  <c r="AT177" i="33"/>
  <c r="AS177" i="33"/>
  <c r="AR200" i="33"/>
  <c r="Z206" i="33"/>
  <c r="Y206" i="33"/>
  <c r="I33" i="33" a="1"/>
  <c r="I33" i="33" s="1"/>
  <c r="G46" i="33"/>
  <c r="A46" i="33"/>
  <c r="I46" i="33" a="1"/>
  <c r="I46" i="33" s="1"/>
  <c r="H46" i="33" a="1"/>
  <c r="H46" i="33" s="1"/>
  <c r="F46" i="33" a="1"/>
  <c r="F46" i="33" s="1"/>
  <c r="E46" i="33"/>
  <c r="AT83" i="33"/>
  <c r="AT150" i="33"/>
  <c r="AS151" i="33"/>
  <c r="AR154" i="33"/>
  <c r="AU172" i="33"/>
  <c r="AS178" i="33"/>
  <c r="Y182" i="33"/>
  <c r="AS183" i="33"/>
  <c r="AR201" i="33"/>
  <c r="Z283" i="33"/>
  <c r="AT284" i="33"/>
  <c r="AU320" i="33"/>
  <c r="AR320" i="33"/>
  <c r="AT320" i="33"/>
  <c r="AS320" i="33"/>
  <c r="AR326" i="33"/>
  <c r="AT327" i="33"/>
  <c r="AS327" i="33"/>
  <c r="AR327" i="33"/>
  <c r="AU327" i="33"/>
  <c r="AR329" i="33"/>
  <c r="AR330" i="33"/>
  <c r="Z383" i="33"/>
  <c r="Y383" i="33"/>
  <c r="AT386" i="33"/>
  <c r="Y392" i="33"/>
  <c r="Z397" i="33"/>
  <c r="Y397" i="33"/>
  <c r="C46" i="33" a="1"/>
  <c r="C46" i="33" s="1"/>
  <c r="C49" i="33" a="1"/>
  <c r="C49" i="33" s="1"/>
  <c r="AR84" i="33"/>
  <c r="AU125" i="33"/>
  <c r="AT125" i="33"/>
  <c r="AS125" i="33"/>
  <c r="Y150" i="33"/>
  <c r="AS154" i="33"/>
  <c r="AT183" i="33"/>
  <c r="Y218" i="33"/>
  <c r="Z219" i="33"/>
  <c r="Y219" i="33"/>
  <c r="AU273" i="33"/>
  <c r="AT273" i="33"/>
  <c r="AS273" i="33"/>
  <c r="AR273" i="33"/>
  <c r="AU284" i="33"/>
  <c r="Z299" i="33"/>
  <c r="Y299" i="33"/>
  <c r="AS319" i="33"/>
  <c r="AR319" i="33"/>
  <c r="AU319" i="33"/>
  <c r="AU326" i="33"/>
  <c r="AS329" i="33"/>
  <c r="AS330" i="33"/>
  <c r="AU386" i="33"/>
  <c r="AR387" i="33"/>
  <c r="AR394" i="33"/>
  <c r="Y83" i="33"/>
  <c r="AR125" i="33"/>
  <c r="AS417" i="33"/>
  <c r="AR417" i="33"/>
  <c r="AU417" i="33"/>
  <c r="AT417" i="33"/>
  <c r="C32" i="33" a="1"/>
  <c r="C32" i="33" s="1"/>
  <c r="G39" i="33"/>
  <c r="D46" i="33" a="1"/>
  <c r="D46" i="33" s="1"/>
  <c r="D49" i="33" a="1"/>
  <c r="D49" i="33" s="1"/>
  <c r="Z151" i="33"/>
  <c r="Y151" i="33"/>
  <c r="Z154" i="33"/>
  <c r="Y154" i="33"/>
  <c r="Y157" i="33"/>
  <c r="Z157" i="33"/>
  <c r="AR161" i="33"/>
  <c r="AI180" i="33"/>
  <c r="L22" i="33" s="1" a="1"/>
  <c r="L22" i="33" s="1"/>
  <c r="Y183" i="33"/>
  <c r="AR185" i="33"/>
  <c r="AR222" i="33"/>
  <c r="AT255" i="33"/>
  <c r="AR255" i="33"/>
  <c r="AU255" i="33"/>
  <c r="AS255" i="33"/>
  <c r="AR308" i="33"/>
  <c r="AR340" i="33"/>
  <c r="AR388" i="33"/>
  <c r="AT394" i="33"/>
  <c r="Z315" i="33"/>
  <c r="D27" i="33" a="1"/>
  <c r="D27" i="33" s="1"/>
  <c r="C27" i="33" a="1"/>
  <c r="C27" i="33" s="1"/>
  <c r="A27" i="33"/>
  <c r="H36" i="33" a="1"/>
  <c r="H36" i="33" s="1"/>
  <c r="C36" i="33" a="1"/>
  <c r="C36" i="33" s="1"/>
  <c r="D36" i="33" a="1"/>
  <c r="D36" i="33" s="1"/>
  <c r="A36" i="33"/>
  <c r="AS72" i="33"/>
  <c r="Y88" i="33"/>
  <c r="Z88" i="33"/>
  <c r="AS90" i="33"/>
  <c r="AR91" i="33"/>
  <c r="AT96" i="33"/>
  <c r="AU96" i="33"/>
  <c r="AU97" i="33"/>
  <c r="AT97" i="33"/>
  <c r="AS97" i="33"/>
  <c r="AR144" i="33"/>
  <c r="AS162" i="33"/>
  <c r="AL180" i="33"/>
  <c r="O9" i="33" s="1"/>
  <c r="AT185" i="33"/>
  <c r="AR223" i="33"/>
  <c r="AR226" i="33"/>
  <c r="Z229" i="33"/>
  <c r="Y229" i="33"/>
  <c r="AT248" i="33"/>
  <c r="AR254" i="33"/>
  <c r="AS307" i="33"/>
  <c r="AR307" i="33"/>
  <c r="AU307" i="33"/>
  <c r="AT307" i="33"/>
  <c r="Y318" i="33"/>
  <c r="AR338" i="33"/>
  <c r="AU343" i="33"/>
  <c r="AR344" i="33"/>
  <c r="AU346" i="33"/>
  <c r="AT346" i="33"/>
  <c r="AS346" i="33"/>
  <c r="AR346" i="33"/>
  <c r="AT371" i="33"/>
  <c r="AU371" i="33"/>
  <c r="AS371" i="33"/>
  <c r="AT388" i="33"/>
  <c r="I39" i="33" a="1"/>
  <c r="I39" i="33" s="1"/>
  <c r="AT72" i="33"/>
  <c r="AS91" i="33"/>
  <c r="AT144" i="33"/>
  <c r="AR73" i="33"/>
  <c r="AS96" i="33"/>
  <c r="AU102" i="33"/>
  <c r="AT102" i="33"/>
  <c r="AR117" i="33"/>
  <c r="D23" i="33" a="1"/>
  <c r="D23" i="33" s="1"/>
  <c r="C28" i="33" a="1"/>
  <c r="C28" i="33" s="1"/>
  <c r="A28" i="33"/>
  <c r="F34" i="33" a="1"/>
  <c r="F34" i="33" s="1"/>
  <c r="I34" i="33" a="1"/>
  <c r="I34" i="33" s="1"/>
  <c r="E34" i="33"/>
  <c r="D34" i="33" a="1"/>
  <c r="D34" i="33" s="1"/>
  <c r="C34" i="33" a="1"/>
  <c r="C34" i="33" s="1"/>
  <c r="G35" i="33"/>
  <c r="E35" i="33"/>
  <c r="F35" i="33" a="1"/>
  <c r="F35" i="33" s="1"/>
  <c r="D35" i="33" a="1"/>
  <c r="D35" i="33" s="1"/>
  <c r="C35" i="33" a="1"/>
  <c r="C35" i="33" s="1"/>
  <c r="A35" i="33"/>
  <c r="A40" i="33"/>
  <c r="I40" i="33" a="1"/>
  <c r="I40" i="33" s="1"/>
  <c r="H40" i="33" a="1"/>
  <c r="H40" i="33" s="1"/>
  <c r="AU77" i="33"/>
  <c r="AT77" i="33"/>
  <c r="AS77" i="33"/>
  <c r="AR77" i="33"/>
  <c r="AS102" i="33"/>
  <c r="AT104" i="33"/>
  <c r="AR104" i="33"/>
  <c r="AU104" i="33"/>
  <c r="AS104" i="33"/>
  <c r="AU109" i="33"/>
  <c r="AT130" i="33"/>
  <c r="AS131" i="33"/>
  <c r="AS141" i="33"/>
  <c r="AR141" i="33"/>
  <c r="AS191" i="33"/>
  <c r="AU191" i="33"/>
  <c r="AT191" i="33"/>
  <c r="AU211" i="33"/>
  <c r="AS212" i="33"/>
  <c r="Y236" i="33"/>
  <c r="Z236" i="33"/>
  <c r="AT241" i="33"/>
  <c r="AM252" i="33"/>
  <c r="AL252" i="33"/>
  <c r="O11" i="33" s="1"/>
  <c r="AS260" i="33"/>
  <c r="AT354" i="33"/>
  <c r="AU354" i="33"/>
  <c r="Z402" i="33"/>
  <c r="Y402" i="33"/>
  <c r="AU406" i="33"/>
  <c r="AT406" i="33"/>
  <c r="AS406" i="33"/>
  <c r="Z172" i="33"/>
  <c r="Y172" i="33"/>
  <c r="Z185" i="33"/>
  <c r="Y185" i="33"/>
  <c r="AS244" i="33"/>
  <c r="AR244" i="33"/>
  <c r="AU244" i="33"/>
  <c r="AS261" i="33"/>
  <c r="AT261" i="33"/>
  <c r="AR261" i="33"/>
  <c r="AI288" i="33"/>
  <c r="AM288" i="33"/>
  <c r="AU412" i="33"/>
  <c r="AT412" i="33"/>
  <c r="AM72" i="33"/>
  <c r="AL72" i="33"/>
  <c r="O6" i="33" s="1"/>
  <c r="AJ72" i="33"/>
  <c r="Z76" i="33"/>
  <c r="AU86" i="33"/>
  <c r="AS86" i="33"/>
  <c r="AT86" i="33"/>
  <c r="AR86" i="33"/>
  <c r="AI72" i="33"/>
  <c r="Y113" i="33"/>
  <c r="Y115" i="33"/>
  <c r="Z120" i="33"/>
  <c r="Y132" i="33"/>
  <c r="AI144" i="33"/>
  <c r="Y146" i="33"/>
  <c r="Z165" i="33"/>
  <c r="AR166" i="33"/>
  <c r="AS175" i="33"/>
  <c r="AS196" i="33"/>
  <c r="Y201" i="33"/>
  <c r="AS227" i="33"/>
  <c r="Z233" i="33"/>
  <c r="AR234" i="33"/>
  <c r="AS265" i="33"/>
  <c r="Z272" i="33"/>
  <c r="AS276" i="33"/>
  <c r="AR288" i="33"/>
  <c r="Y294" i="33"/>
  <c r="AR295" i="33"/>
  <c r="Z330" i="33"/>
  <c r="Y330" i="33"/>
  <c r="Y346" i="33"/>
  <c r="AT378" i="33"/>
  <c r="AS412" i="33"/>
  <c r="AR426" i="33"/>
  <c r="Y77" i="33"/>
  <c r="Y99" i="33"/>
  <c r="AR116" i="33"/>
  <c r="AR126" i="33"/>
  <c r="Y133" i="33"/>
  <c r="AT157" i="33"/>
  <c r="AU157" i="33"/>
  <c r="AS166" i="33"/>
  <c r="AT167" i="33"/>
  <c r="AU167" i="33"/>
  <c r="AR168" i="33"/>
  <c r="AU168" i="33"/>
  <c r="AT168" i="33"/>
  <c r="AS168" i="33"/>
  <c r="AT175" i="33"/>
  <c r="Y187" i="33"/>
  <c r="AT188" i="33"/>
  <c r="AS188" i="33"/>
  <c r="Y196" i="33"/>
  <c r="AT196" i="33"/>
  <c r="AU197" i="33"/>
  <c r="AT197" i="33"/>
  <c r="AS197" i="33"/>
  <c r="AU217" i="33"/>
  <c r="AT217" i="33"/>
  <c r="AS217" i="33"/>
  <c r="AT227" i="33"/>
  <c r="AR235" i="33"/>
  <c r="AT236" i="33"/>
  <c r="AS236" i="33"/>
  <c r="AR236" i="33"/>
  <c r="AT265" i="33"/>
  <c r="Z275" i="33"/>
  <c r="Y276" i="33"/>
  <c r="AT276" i="33"/>
  <c r="AT277" i="33"/>
  <c r="AS277" i="33"/>
  <c r="AU278" i="33"/>
  <c r="AT278" i="33"/>
  <c r="AS278" i="33"/>
  <c r="AS288" i="33"/>
  <c r="AS295" i="33"/>
  <c r="Y300" i="33"/>
  <c r="Z306" i="33"/>
  <c r="Y306" i="33"/>
  <c r="Z308" i="33"/>
  <c r="Y308" i="33"/>
  <c r="AR315" i="33"/>
  <c r="AT334" i="33"/>
  <c r="AT335" i="33"/>
  <c r="AS335" i="33"/>
  <c r="AR335" i="33"/>
  <c r="AT347" i="33"/>
  <c r="AS347" i="33"/>
  <c r="AR347" i="33"/>
  <c r="AU347" i="33"/>
  <c r="AS350" i="33"/>
  <c r="AR350" i="33"/>
  <c r="AK423" i="33"/>
  <c r="Y424" i="33"/>
  <c r="A30" i="33"/>
  <c r="C30" i="33" a="1"/>
  <c r="C30" i="33" s="1"/>
  <c r="C52" i="33" a="1"/>
  <c r="C52" i="33" s="1"/>
  <c r="A52" i="33"/>
  <c r="D52" i="33" a="1"/>
  <c r="D52" i="33" s="1"/>
  <c r="AR78" i="33"/>
  <c r="Y87" i="33"/>
  <c r="AR88" i="33"/>
  <c r="AS100" i="33"/>
  <c r="AS116" i="33"/>
  <c r="AR121" i="33"/>
  <c r="AT126" i="33"/>
  <c r="Y135" i="33"/>
  <c r="AU136" i="33"/>
  <c r="AT136" i="33"/>
  <c r="Y148" i="33"/>
  <c r="Y155" i="33"/>
  <c r="AR157" i="33"/>
  <c r="AT166" i="33"/>
  <c r="AR167" i="33"/>
  <c r="Y175" i="33"/>
  <c r="AU175" i="33"/>
  <c r="AS176" i="33"/>
  <c r="AR188" i="33"/>
  <c r="AU196" i="33"/>
  <c r="AR197" i="33"/>
  <c r="AU216" i="33"/>
  <c r="AT216" i="33"/>
  <c r="AS216" i="33"/>
  <c r="AR217" i="33"/>
  <c r="Y227" i="33"/>
  <c r="AU227" i="33"/>
  <c r="AR228" i="33"/>
  <c r="AS235" i="33"/>
  <c r="AU236" i="33"/>
  <c r="Y265" i="33"/>
  <c r="Z273" i="33"/>
  <c r="Y273" i="33"/>
  <c r="Y274" i="33"/>
  <c r="AU276" i="33"/>
  <c r="AR277" i="33"/>
  <c r="AR278" i="33"/>
  <c r="AT288" i="33"/>
  <c r="AT295" i="33"/>
  <c r="Y307" i="33"/>
  <c r="Y314" i="33"/>
  <c r="AS315" i="33"/>
  <c r="AU335" i="33"/>
  <c r="AR336" i="33"/>
  <c r="AT350" i="33"/>
  <c r="AT351" i="33"/>
  <c r="AS351" i="33"/>
  <c r="AR351" i="33"/>
  <c r="AU380" i="33"/>
  <c r="AT380" i="33"/>
  <c r="AS380" i="33"/>
  <c r="AR401" i="33"/>
  <c r="Y415" i="33"/>
  <c r="Y425" i="33"/>
  <c r="Z96" i="33"/>
  <c r="Y125" i="33"/>
  <c r="Y131" i="33"/>
  <c r="AS134" i="33"/>
  <c r="AU134" i="33"/>
  <c r="AT134" i="33"/>
  <c r="AR134" i="33"/>
  <c r="AL144" i="33"/>
  <c r="O8" i="33" s="1"/>
  <c r="AM144" i="33"/>
  <c r="AT234" i="33"/>
  <c r="AS234" i="33"/>
  <c r="AT244" i="33"/>
  <c r="AU261" i="33"/>
  <c r="AR265" i="33"/>
  <c r="AT309" i="33"/>
  <c r="AS309" i="33"/>
  <c r="AU309" i="33"/>
  <c r="AS378" i="33"/>
  <c r="AR378" i="33"/>
  <c r="AR412" i="33"/>
  <c r="Z423" i="33"/>
  <c r="Y423" i="33"/>
  <c r="AU426" i="33"/>
  <c r="AT426" i="33"/>
  <c r="Y85" i="33"/>
  <c r="Y97" i="33"/>
  <c r="Z97" i="33"/>
  <c r="Z114" i="33"/>
  <c r="AS334" i="33"/>
  <c r="AR334" i="33"/>
  <c r="AR100" i="33"/>
  <c r="D42" i="33" a="1"/>
  <c r="D42" i="33" s="1"/>
  <c r="C42" i="33" a="1"/>
  <c r="C42" i="33" s="1"/>
  <c r="AU79" i="33"/>
  <c r="AT79" i="33"/>
  <c r="AS88" i="33"/>
  <c r="AS89" i="33"/>
  <c r="AR89" i="33"/>
  <c r="AU100" i="33"/>
  <c r="AU126" i="33"/>
  <c r="AT127" i="33"/>
  <c r="AS127" i="33"/>
  <c r="AS157" i="33"/>
  <c r="AS167" i="33"/>
  <c r="AT176" i="33"/>
  <c r="AU188" i="33"/>
  <c r="AS228" i="33"/>
  <c r="AT235" i="33"/>
  <c r="AU277" i="33"/>
  <c r="Z280" i="33"/>
  <c r="Y280" i="33"/>
  <c r="AT315" i="33"/>
  <c r="AU350" i="33"/>
  <c r="AU402" i="33"/>
  <c r="AT402" i="33"/>
  <c r="Z412" i="33"/>
  <c r="Y412" i="33"/>
  <c r="Z414" i="33"/>
  <c r="Y414" i="33"/>
  <c r="Z79" i="33"/>
  <c r="Y79" i="33"/>
  <c r="AM108" i="33"/>
  <c r="AT147" i="33"/>
  <c r="AS147" i="33"/>
  <c r="AT289" i="33"/>
  <c r="AS289" i="33"/>
  <c r="AU289" i="33"/>
  <c r="AS348" i="33"/>
  <c r="AR348" i="33"/>
  <c r="Z356" i="33"/>
  <c r="Y356" i="33"/>
  <c r="Y74" i="33"/>
  <c r="Z80" i="33"/>
  <c r="AR81" i="33"/>
  <c r="Y91" i="33"/>
  <c r="AR92" i="33"/>
  <c r="AU93" i="33"/>
  <c r="AT93" i="33"/>
  <c r="AS98" i="33"/>
  <c r="AR98" i="33"/>
  <c r="Y112" i="33"/>
  <c r="AK132" i="33"/>
  <c r="Y139" i="33"/>
  <c r="AR140" i="33"/>
  <c r="AR147" i="33"/>
  <c r="AR153" i="33"/>
  <c r="AR158" i="33"/>
  <c r="AR163" i="33"/>
  <c r="AR181" i="33"/>
  <c r="Y191" i="33"/>
  <c r="Y207" i="33"/>
  <c r="AR213" i="33"/>
  <c r="AU214" i="33"/>
  <c r="AS214" i="33"/>
  <c r="AR214" i="33"/>
  <c r="AR224" i="33"/>
  <c r="Z230" i="33"/>
  <c r="Y230" i="33"/>
  <c r="Y238" i="33"/>
  <c r="AT239" i="33"/>
  <c r="AS239" i="33"/>
  <c r="Y254" i="33"/>
  <c r="AU256" i="33"/>
  <c r="AT256" i="33"/>
  <c r="AS256" i="33"/>
  <c r="Y269" i="33"/>
  <c r="Y278" i="33"/>
  <c r="AT279" i="33"/>
  <c r="AU279" i="33"/>
  <c r="AU286" i="33"/>
  <c r="AT286" i="33"/>
  <c r="AR289" i="33"/>
  <c r="Y311" i="33"/>
  <c r="AT332" i="33"/>
  <c r="AS332" i="33"/>
  <c r="Y340" i="33"/>
  <c r="AU341" i="33"/>
  <c r="AT341" i="33"/>
  <c r="AT348" i="33"/>
  <c r="Y367" i="33"/>
  <c r="AR368" i="33"/>
  <c r="AT375" i="33"/>
  <c r="AU376" i="33"/>
  <c r="AT376" i="33"/>
  <c r="AR383" i="33"/>
  <c r="Z426" i="33"/>
  <c r="Y426" i="33"/>
  <c r="AS75" i="33"/>
  <c r="AR75" i="33"/>
  <c r="AS81" i="33"/>
  <c r="Y86" i="33"/>
  <c r="AS92" i="33"/>
  <c r="AR93" i="33"/>
  <c r="AT98" i="33"/>
  <c r="AR105" i="33"/>
  <c r="AR108" i="33"/>
  <c r="AR113" i="33"/>
  <c r="Y123" i="33"/>
  <c r="Y128" i="33"/>
  <c r="AS140" i="33"/>
  <c r="AU147" i="33"/>
  <c r="AS153" i="33"/>
  <c r="AS158" i="33"/>
  <c r="AS163" i="33"/>
  <c r="AR174" i="33"/>
  <c r="AS181" i="33"/>
  <c r="Y186" i="33"/>
  <c r="AR192" i="33"/>
  <c r="AS213" i="33"/>
  <c r="AT214" i="33"/>
  <c r="Y217" i="33"/>
  <c r="AR218" i="33"/>
  <c r="AR239" i="33"/>
  <c r="Z245" i="33"/>
  <c r="Y245" i="33"/>
  <c r="AR256" i="33"/>
  <c r="Y262" i="33"/>
  <c r="AR264" i="33"/>
  <c r="AR279" i="33"/>
  <c r="Y285" i="33"/>
  <c r="AR286" i="33"/>
  <c r="Y310" i="33"/>
  <c r="Y319" i="33"/>
  <c r="AR325" i="33"/>
  <c r="AR332" i="33"/>
  <c r="AR341" i="33"/>
  <c r="AU348" i="33"/>
  <c r="AR349" i="33"/>
  <c r="Y358" i="33"/>
  <c r="AS368" i="33"/>
  <c r="AR376" i="33"/>
  <c r="Y382" i="33"/>
  <c r="AS383" i="33"/>
  <c r="AU384" i="33"/>
  <c r="AS384" i="33"/>
  <c r="AR384" i="33"/>
  <c r="AT390" i="33"/>
  <c r="AS390" i="33"/>
  <c r="AK406" i="33"/>
  <c r="AU410" i="33"/>
  <c r="AT410" i="33"/>
  <c r="Y427" i="33"/>
  <c r="AT428" i="33"/>
  <c r="AS428" i="33"/>
  <c r="AT224" i="33"/>
  <c r="AU224" i="33"/>
  <c r="AT263" i="33"/>
  <c r="AS263" i="33"/>
  <c r="AR263" i="33"/>
  <c r="AT331" i="33"/>
  <c r="AS331" i="33"/>
  <c r="AR331" i="33"/>
  <c r="AS375" i="33"/>
  <c r="AR375" i="33"/>
  <c r="Z406" i="33"/>
  <c r="Y406" i="33"/>
  <c r="AU92" i="33"/>
  <c r="AS93" i="33"/>
  <c r="AU98" i="33"/>
  <c r="AS113" i="33"/>
  <c r="AT114" i="33"/>
  <c r="AS114" i="33"/>
  <c r="AR114" i="33"/>
  <c r="Z168" i="33"/>
  <c r="Y168" i="33"/>
  <c r="AT181" i="33"/>
  <c r="AS192" i="33"/>
  <c r="AU193" i="33"/>
  <c r="AS193" i="33"/>
  <c r="AR193" i="33"/>
  <c r="AT213" i="33"/>
  <c r="AU219" i="33"/>
  <c r="AT219" i="33"/>
  <c r="AU239" i="33"/>
  <c r="Y255" i="33"/>
  <c r="Z255" i="33"/>
  <c r="AK268" i="33"/>
  <c r="AT271" i="33"/>
  <c r="AU271" i="33"/>
  <c r="AS279" i="33"/>
  <c r="AS286" i="33"/>
  <c r="AK295" i="33"/>
  <c r="AU332" i="33"/>
  <c r="AS341" i="33"/>
  <c r="AS349" i="33"/>
  <c r="AT368" i="33"/>
  <c r="AS376" i="33"/>
  <c r="AT383" i="33"/>
  <c r="Z418" i="33"/>
  <c r="Y418" i="33"/>
  <c r="AT220" i="33"/>
  <c r="AU220" i="33"/>
  <c r="AT225" i="33"/>
  <c r="AS225" i="33"/>
  <c r="AS290" i="33"/>
  <c r="AR290" i="33"/>
  <c r="AK315" i="33"/>
  <c r="AU317" i="33"/>
  <c r="AT317" i="33"/>
  <c r="AS317" i="33"/>
  <c r="AT355" i="33"/>
  <c r="AS355" i="33"/>
  <c r="AR355" i="33"/>
  <c r="AU414" i="33"/>
  <c r="AT414" i="33"/>
  <c r="AS414" i="33"/>
  <c r="AU430" i="33"/>
  <c r="AT430" i="33"/>
  <c r="AS430" i="33"/>
  <c r="AR430" i="33"/>
  <c r="AU249" i="33"/>
  <c r="AS249" i="33"/>
  <c r="AR249" i="33"/>
  <c r="AT275" i="33"/>
  <c r="AR275" i="33"/>
  <c r="AT297" i="33"/>
  <c r="AS297" i="33"/>
  <c r="AK307" i="33"/>
  <c r="AU422" i="33"/>
  <c r="AT422" i="33"/>
  <c r="AU429" i="33"/>
  <c r="AT429" i="33"/>
  <c r="AS429" i="33"/>
  <c r="AK311" i="33"/>
  <c r="AT313" i="33"/>
  <c r="AS313" i="33"/>
  <c r="Z410" i="33"/>
  <c r="Y410" i="33"/>
  <c r="Z422" i="33"/>
  <c r="Y422" i="33"/>
  <c r="AT339" i="33"/>
  <c r="AS339" i="33"/>
  <c r="AR339" i="33"/>
  <c r="Z398" i="33"/>
  <c r="Y398" i="33"/>
  <c r="AU418" i="33"/>
  <c r="AT418" i="33"/>
  <c r="AT301" i="33"/>
  <c r="AS301" i="33"/>
  <c r="AU321" i="33"/>
  <c r="AT321" i="33"/>
  <c r="AS321" i="33"/>
  <c r="E20" i="31"/>
  <c r="BD432" i="32"/>
  <c r="T4" i="32" s="1"/>
  <c r="AQ430" i="32"/>
  <c r="AT430" i="32" s="1"/>
  <c r="AP430" i="32"/>
  <c r="AO430" i="32"/>
  <c r="AN430" i="32"/>
  <c r="AM430" i="32"/>
  <c r="AL430" i="32"/>
  <c r="AJ430" i="32"/>
  <c r="AI430" i="32"/>
  <c r="AH430" i="32"/>
  <c r="AG430" i="32"/>
  <c r="AA430" i="32"/>
  <c r="X430" i="32"/>
  <c r="Z430" i="32" s="1"/>
  <c r="W430" i="32"/>
  <c r="AQ429" i="32"/>
  <c r="AP429" i="32"/>
  <c r="AO429" i="32"/>
  <c r="AN429" i="32"/>
  <c r="AM429" i="32"/>
  <c r="AL429" i="32"/>
  <c r="AJ429" i="32"/>
  <c r="AI429" i="32"/>
  <c r="AH429" i="32"/>
  <c r="AG429" i="32"/>
  <c r="AA429" i="32"/>
  <c r="X429" i="32"/>
  <c r="W429" i="32"/>
  <c r="AQ428" i="32"/>
  <c r="AP428" i="32"/>
  <c r="AO428" i="32"/>
  <c r="AN428" i="32"/>
  <c r="AM428" i="32"/>
  <c r="AL428" i="32"/>
  <c r="AJ428" i="32"/>
  <c r="AI428" i="32"/>
  <c r="AH428" i="32"/>
  <c r="AG428" i="32"/>
  <c r="AA428" i="32"/>
  <c r="X428" i="32"/>
  <c r="Z428" i="32" s="1"/>
  <c r="W428" i="32"/>
  <c r="AQ427" i="32"/>
  <c r="AU427" i="32" s="1"/>
  <c r="AP427" i="32"/>
  <c r="AO427" i="32"/>
  <c r="AN427" i="32"/>
  <c r="AM427" i="32"/>
  <c r="AL427" i="32"/>
  <c r="AJ427" i="32"/>
  <c r="AI427" i="32"/>
  <c r="AH427" i="32"/>
  <c r="AG427" i="32"/>
  <c r="AA427" i="32"/>
  <c r="X427" i="32"/>
  <c r="Y427" i="32" s="1"/>
  <c r="W427" i="32"/>
  <c r="AQ426" i="32"/>
  <c r="AP426" i="32"/>
  <c r="AO426" i="32"/>
  <c r="AN426" i="32"/>
  <c r="AM426" i="32"/>
  <c r="AL426" i="32"/>
  <c r="AJ426" i="32"/>
  <c r="AI426" i="32"/>
  <c r="AH426" i="32"/>
  <c r="AG426" i="32"/>
  <c r="AA426" i="32"/>
  <c r="X426" i="32"/>
  <c r="Y426" i="32" s="1"/>
  <c r="W426" i="32"/>
  <c r="AQ425" i="32"/>
  <c r="AT425" i="32" s="1"/>
  <c r="AP425" i="32"/>
  <c r="AO425" i="32"/>
  <c r="AN425" i="32"/>
  <c r="AM425" i="32"/>
  <c r="AL425" i="32"/>
  <c r="AJ425" i="32"/>
  <c r="AI425" i="32"/>
  <c r="AH425" i="32"/>
  <c r="AG425" i="32"/>
  <c r="AA425" i="32"/>
  <c r="X425" i="32"/>
  <c r="Y425" i="32" s="1"/>
  <c r="W425" i="32"/>
  <c r="AQ424" i="32"/>
  <c r="AP424" i="32"/>
  <c r="AO424" i="32"/>
  <c r="AN424" i="32"/>
  <c r="AM424" i="32"/>
  <c r="AL424" i="32"/>
  <c r="AJ424" i="32"/>
  <c r="AI424" i="32"/>
  <c r="AH424" i="32"/>
  <c r="AG424" i="32"/>
  <c r="AA424" i="32"/>
  <c r="X424" i="32"/>
  <c r="Y424" i="32" s="1"/>
  <c r="W424" i="32"/>
  <c r="AQ423" i="32"/>
  <c r="AU423" i="32" s="1"/>
  <c r="AP423" i="32"/>
  <c r="AO423" i="32"/>
  <c r="AN423" i="32"/>
  <c r="AM423" i="32"/>
  <c r="AL423" i="32"/>
  <c r="AJ423" i="32"/>
  <c r="AI423" i="32"/>
  <c r="AH423" i="32"/>
  <c r="AG423" i="32"/>
  <c r="AA423" i="32"/>
  <c r="X423" i="32"/>
  <c r="Z423" i="32" s="1"/>
  <c r="W423" i="32"/>
  <c r="AQ422" i="32"/>
  <c r="AT422" i="32" s="1"/>
  <c r="AP422" i="32"/>
  <c r="AO422" i="32"/>
  <c r="AN422" i="32"/>
  <c r="AM422" i="32"/>
  <c r="AL422" i="32"/>
  <c r="AJ422" i="32"/>
  <c r="AI422" i="32"/>
  <c r="AH422" i="32"/>
  <c r="AG422" i="32"/>
  <c r="AA422" i="32"/>
  <c r="X422" i="32"/>
  <c r="Z422" i="32" s="1"/>
  <c r="W422" i="32"/>
  <c r="AQ421" i="32"/>
  <c r="AP421" i="32"/>
  <c r="AO421" i="32"/>
  <c r="AN421" i="32"/>
  <c r="AM421" i="32"/>
  <c r="AL421" i="32"/>
  <c r="AJ421" i="32"/>
  <c r="AI421" i="32"/>
  <c r="AH421" i="32"/>
  <c r="AG421" i="32"/>
  <c r="AA421" i="32"/>
  <c r="X421" i="32"/>
  <c r="Y421" i="32" s="1"/>
  <c r="W421" i="32"/>
  <c r="AQ420" i="32"/>
  <c r="AS420" i="32" s="1"/>
  <c r="AP420" i="32"/>
  <c r="AO420" i="32"/>
  <c r="AN420" i="32"/>
  <c r="AM420" i="32"/>
  <c r="AL420" i="32"/>
  <c r="AJ420" i="32"/>
  <c r="AI420" i="32"/>
  <c r="AH420" i="32"/>
  <c r="AG420" i="32"/>
  <c r="AA420" i="32"/>
  <c r="X420" i="32"/>
  <c r="Z420" i="32" s="1"/>
  <c r="W420" i="32"/>
  <c r="AQ419" i="32"/>
  <c r="AT419" i="32" s="1"/>
  <c r="AP419" i="32"/>
  <c r="AO419" i="32"/>
  <c r="AN419" i="32"/>
  <c r="AM419" i="32"/>
  <c r="AL419" i="32"/>
  <c r="AJ419" i="32"/>
  <c r="AI419" i="32"/>
  <c r="AH419" i="32"/>
  <c r="AG419" i="32"/>
  <c r="AA419" i="32"/>
  <c r="X419" i="32"/>
  <c r="Y419" i="32" s="1"/>
  <c r="W419" i="32"/>
  <c r="AQ418" i="32"/>
  <c r="AP418" i="32"/>
  <c r="AO418" i="32"/>
  <c r="AN418" i="32"/>
  <c r="AM418" i="32"/>
  <c r="AL418" i="32"/>
  <c r="AJ418" i="32"/>
  <c r="AI418" i="32"/>
  <c r="AH418" i="32"/>
  <c r="AG418" i="32"/>
  <c r="AA418" i="32"/>
  <c r="X418" i="32"/>
  <c r="Z418" i="32" s="1"/>
  <c r="W418" i="32"/>
  <c r="AQ417" i="32"/>
  <c r="AP417" i="32"/>
  <c r="AO417" i="32"/>
  <c r="AN417" i="32"/>
  <c r="AM417" i="32"/>
  <c r="AL417" i="32"/>
  <c r="AJ417" i="32"/>
  <c r="AI417" i="32"/>
  <c r="AH417" i="32"/>
  <c r="AG417" i="32"/>
  <c r="AA417" i="32"/>
  <c r="X417" i="32"/>
  <c r="W417" i="32"/>
  <c r="AQ416" i="32"/>
  <c r="AP416" i="32"/>
  <c r="AO416" i="32"/>
  <c r="AN416" i="32"/>
  <c r="AM416" i="32"/>
  <c r="AL416" i="32"/>
  <c r="AJ416" i="32"/>
  <c r="AI416" i="32"/>
  <c r="AH416" i="32"/>
  <c r="AG416" i="32"/>
  <c r="AA416" i="32"/>
  <c r="X416" i="32"/>
  <c r="Y416" i="32" s="1"/>
  <c r="W416" i="32"/>
  <c r="AQ415" i="32"/>
  <c r="AU415" i="32" s="1"/>
  <c r="AP415" i="32"/>
  <c r="AO415" i="32"/>
  <c r="AN415" i="32"/>
  <c r="AM415" i="32"/>
  <c r="AL415" i="32"/>
  <c r="AJ415" i="32"/>
  <c r="AI415" i="32"/>
  <c r="AH415" i="32"/>
  <c r="AG415" i="32"/>
  <c r="AA415" i="32"/>
  <c r="X415" i="32"/>
  <c r="Z415" i="32" s="1"/>
  <c r="W415" i="32"/>
  <c r="AQ414" i="32"/>
  <c r="AP414" i="32"/>
  <c r="AO414" i="32"/>
  <c r="AN414" i="32"/>
  <c r="AM414" i="32"/>
  <c r="AL414" i="32"/>
  <c r="AJ414" i="32"/>
  <c r="AI414" i="32"/>
  <c r="AH414" i="32"/>
  <c r="AG414" i="32"/>
  <c r="AA414" i="32"/>
  <c r="X414" i="32"/>
  <c r="Z414" i="32" s="1"/>
  <c r="W414" i="32"/>
  <c r="AQ413" i="32"/>
  <c r="AT413" i="32" s="1"/>
  <c r="AP413" i="32"/>
  <c r="AO413" i="32"/>
  <c r="AN413" i="32"/>
  <c r="AM413" i="32"/>
  <c r="AL413" i="32"/>
  <c r="AJ413" i="32"/>
  <c r="AI413" i="32"/>
  <c r="AH413" i="32"/>
  <c r="AG413" i="32"/>
  <c r="AA413" i="32"/>
  <c r="X413" i="32"/>
  <c r="Y413" i="32" s="1"/>
  <c r="W413" i="32"/>
  <c r="AQ412" i="32"/>
  <c r="AP412" i="32"/>
  <c r="AO412" i="32"/>
  <c r="AN412" i="32"/>
  <c r="AM412" i="32"/>
  <c r="AL412" i="32"/>
  <c r="AJ412" i="32"/>
  <c r="AI412" i="32"/>
  <c r="AH412" i="32"/>
  <c r="AG412" i="32"/>
  <c r="AA412" i="32"/>
  <c r="X412" i="32"/>
  <c r="Z412" i="32" s="1"/>
  <c r="W412" i="32"/>
  <c r="AQ411" i="32"/>
  <c r="AP411" i="32"/>
  <c r="AO411" i="32"/>
  <c r="AN411" i="32"/>
  <c r="AM411" i="32"/>
  <c r="AL411" i="32"/>
  <c r="AJ411" i="32"/>
  <c r="AI411" i="32"/>
  <c r="AH411" i="32"/>
  <c r="AG411" i="32"/>
  <c r="AA411" i="32"/>
  <c r="X411" i="32"/>
  <c r="W411" i="32"/>
  <c r="AQ410" i="32"/>
  <c r="AT410" i="32" s="1"/>
  <c r="AP410" i="32"/>
  <c r="AO410" i="32"/>
  <c r="AN410" i="32"/>
  <c r="AM410" i="32"/>
  <c r="AL410" i="32"/>
  <c r="AJ410" i="32"/>
  <c r="AI410" i="32"/>
  <c r="AH410" i="32"/>
  <c r="AG410" i="32"/>
  <c r="AA410" i="32"/>
  <c r="X410" i="32"/>
  <c r="Y410" i="32" s="1"/>
  <c r="W410" i="32"/>
  <c r="AQ409" i="32"/>
  <c r="AT409" i="32" s="1"/>
  <c r="AP409" i="32"/>
  <c r="AO409" i="32"/>
  <c r="AN409" i="32"/>
  <c r="AM409" i="32"/>
  <c r="AL409" i="32"/>
  <c r="AJ409" i="32"/>
  <c r="AI409" i="32"/>
  <c r="AH409" i="32"/>
  <c r="AG409" i="32"/>
  <c r="AA409" i="32"/>
  <c r="X409" i="32"/>
  <c r="Y409" i="32" s="1"/>
  <c r="W409" i="32"/>
  <c r="AQ408" i="32"/>
  <c r="AT408" i="32" s="1"/>
  <c r="AP408" i="32"/>
  <c r="AO408" i="32"/>
  <c r="AN408" i="32"/>
  <c r="AM408" i="32"/>
  <c r="AL408" i="32"/>
  <c r="AJ408" i="32"/>
  <c r="AI408" i="32"/>
  <c r="AH408" i="32"/>
  <c r="AG408" i="32"/>
  <c r="AA408" i="32"/>
  <c r="X408" i="32"/>
  <c r="W408" i="32"/>
  <c r="AQ407" i="32"/>
  <c r="AU407" i="32" s="1"/>
  <c r="AP407" i="32"/>
  <c r="AO407" i="32"/>
  <c r="AN407" i="32"/>
  <c r="AM407" i="32"/>
  <c r="AL407" i="32"/>
  <c r="AJ407" i="32"/>
  <c r="AI407" i="32"/>
  <c r="AH407" i="32"/>
  <c r="AG407" i="32"/>
  <c r="AA407" i="32"/>
  <c r="X407" i="32"/>
  <c r="Z407" i="32" s="1"/>
  <c r="W407" i="32"/>
  <c r="AQ406" i="32"/>
  <c r="AR406" i="32" s="1"/>
  <c r="AP406" i="32"/>
  <c r="AO406" i="32"/>
  <c r="AN406" i="32"/>
  <c r="AM406" i="32"/>
  <c r="AL406" i="32"/>
  <c r="AJ406" i="32"/>
  <c r="AI406" i="32"/>
  <c r="AH406" i="32"/>
  <c r="AG406" i="32"/>
  <c r="AA406" i="32"/>
  <c r="X406" i="32"/>
  <c r="Z406" i="32" s="1"/>
  <c r="W406" i="32"/>
  <c r="AQ405" i="32"/>
  <c r="AP405" i="32"/>
  <c r="AO405" i="32"/>
  <c r="AN405" i="32"/>
  <c r="AM405" i="32"/>
  <c r="AL405" i="32"/>
  <c r="AJ405" i="32"/>
  <c r="AI405" i="32"/>
  <c r="AH405" i="32"/>
  <c r="AG405" i="32"/>
  <c r="AA405" i="32"/>
  <c r="X405" i="32"/>
  <c r="Y405" i="32" s="1"/>
  <c r="W405" i="32"/>
  <c r="AQ404" i="32"/>
  <c r="AP404" i="32"/>
  <c r="AO404" i="32"/>
  <c r="AN404" i="32"/>
  <c r="AM404" i="32"/>
  <c r="AL404" i="32"/>
  <c r="AJ404" i="32"/>
  <c r="AI404" i="32"/>
  <c r="AH404" i="32"/>
  <c r="AG404" i="32"/>
  <c r="AA404" i="32"/>
  <c r="X404" i="32"/>
  <c r="W404" i="32"/>
  <c r="AQ403" i="32"/>
  <c r="AS403" i="32" s="1"/>
  <c r="AP403" i="32"/>
  <c r="AO403" i="32"/>
  <c r="AN403" i="32"/>
  <c r="AM403" i="32"/>
  <c r="AL403" i="32"/>
  <c r="AJ403" i="32"/>
  <c r="AI403" i="32"/>
  <c r="AH403" i="32"/>
  <c r="AG403" i="32"/>
  <c r="AA403" i="32"/>
  <c r="X403" i="32"/>
  <c r="Y403" i="32" s="1"/>
  <c r="W403" i="32"/>
  <c r="AQ402" i="32"/>
  <c r="AR402" i="32" s="1"/>
  <c r="AP402" i="32"/>
  <c r="AO402" i="32"/>
  <c r="AN402" i="32"/>
  <c r="AM402" i="32"/>
  <c r="AL402" i="32"/>
  <c r="AJ402" i="32"/>
  <c r="AI402" i="32"/>
  <c r="AH402" i="32"/>
  <c r="AG402" i="32"/>
  <c r="AA402" i="32"/>
  <c r="X402" i="32"/>
  <c r="Y402" i="32" s="1"/>
  <c r="W402" i="32"/>
  <c r="AQ401" i="32"/>
  <c r="AT401" i="32" s="1"/>
  <c r="AP401" i="32"/>
  <c r="AO401" i="32"/>
  <c r="AN401" i="32"/>
  <c r="AM401" i="32"/>
  <c r="AL401" i="32"/>
  <c r="AJ401" i="32"/>
  <c r="AI401" i="32"/>
  <c r="AH401" i="32"/>
  <c r="AG401" i="32"/>
  <c r="AA401" i="32"/>
  <c r="X401" i="32"/>
  <c r="Y401" i="32" s="1"/>
  <c r="W401" i="32"/>
  <c r="AQ400" i="32"/>
  <c r="AP400" i="32"/>
  <c r="AO400" i="32"/>
  <c r="AN400" i="32"/>
  <c r="AM400" i="32"/>
  <c r="AL400" i="32"/>
  <c r="AJ400" i="32"/>
  <c r="AI400" i="32"/>
  <c r="AH400" i="32"/>
  <c r="AG400" i="32"/>
  <c r="AA400" i="32"/>
  <c r="X400" i="32"/>
  <c r="Z400" i="32" s="1"/>
  <c r="W400" i="32"/>
  <c r="AQ399" i="32"/>
  <c r="AU399" i="32" s="1"/>
  <c r="AP399" i="32"/>
  <c r="AO399" i="32"/>
  <c r="AN399" i="32"/>
  <c r="AM399" i="32"/>
  <c r="AL399" i="32"/>
  <c r="AJ399" i="32"/>
  <c r="AI399" i="32"/>
  <c r="AH399" i="32"/>
  <c r="AG399" i="32"/>
  <c r="AA399" i="32"/>
  <c r="X399" i="32"/>
  <c r="Z399" i="32" s="1"/>
  <c r="W399" i="32"/>
  <c r="AQ398" i="32"/>
  <c r="AP398" i="32"/>
  <c r="AO398" i="32"/>
  <c r="AN398" i="32"/>
  <c r="AM398" i="32"/>
  <c r="AL398" i="32"/>
  <c r="AJ398" i="32"/>
  <c r="AI398" i="32"/>
  <c r="AH398" i="32"/>
  <c r="AG398" i="32"/>
  <c r="AA398" i="32"/>
  <c r="X398" i="32"/>
  <c r="Z398" i="32" s="1"/>
  <c r="W398" i="32"/>
  <c r="AQ397" i="32"/>
  <c r="AT397" i="32" s="1"/>
  <c r="AP397" i="32"/>
  <c r="AO397" i="32"/>
  <c r="AN397" i="32"/>
  <c r="AM397" i="32"/>
  <c r="AL397" i="32"/>
  <c r="AJ397" i="32"/>
  <c r="AI397" i="32"/>
  <c r="AH397" i="32"/>
  <c r="AG397" i="32"/>
  <c r="AA397" i="32"/>
  <c r="X397" i="32"/>
  <c r="W397" i="32"/>
  <c r="V397" i="32"/>
  <c r="AQ396" i="32"/>
  <c r="AS396" i="32" s="1"/>
  <c r="AP396" i="32"/>
  <c r="AH396" i="32" s="1"/>
  <c r="AJ396" i="32" s="1"/>
  <c r="AO396" i="32"/>
  <c r="AN396" i="32"/>
  <c r="AG396" i="32" s="1"/>
  <c r="AA396" i="32"/>
  <c r="AQ394" i="32"/>
  <c r="AU394" i="32" s="1"/>
  <c r="AP394" i="32"/>
  <c r="AO394" i="32"/>
  <c r="AN394" i="32"/>
  <c r="AM394" i="32"/>
  <c r="AL394" i="32"/>
  <c r="AJ394" i="32"/>
  <c r="AI394" i="32"/>
  <c r="AH394" i="32"/>
  <c r="AG394" i="32"/>
  <c r="AA394" i="32"/>
  <c r="X394" i="32"/>
  <c r="Z394" i="32" s="1"/>
  <c r="W394" i="32"/>
  <c r="AQ393" i="32"/>
  <c r="AP393" i="32"/>
  <c r="AO393" i="32"/>
  <c r="AN393" i="32"/>
  <c r="AM393" i="32"/>
  <c r="AL393" i="32"/>
  <c r="AJ393" i="32"/>
  <c r="AI393" i="32"/>
  <c r="AH393" i="32"/>
  <c r="AG393" i="32"/>
  <c r="AA393" i="32"/>
  <c r="X393" i="32"/>
  <c r="Z393" i="32" s="1"/>
  <c r="W393" i="32"/>
  <c r="AQ392" i="32"/>
  <c r="AT392" i="32" s="1"/>
  <c r="AP392" i="32"/>
  <c r="AO392" i="32"/>
  <c r="AN392" i="32"/>
  <c r="AM392" i="32"/>
  <c r="AL392" i="32"/>
  <c r="AJ392" i="32"/>
  <c r="AI392" i="32"/>
  <c r="AH392" i="32"/>
  <c r="AG392" i="32"/>
  <c r="AA392" i="32"/>
  <c r="X392" i="32"/>
  <c r="Y392" i="32" s="1"/>
  <c r="W392" i="32"/>
  <c r="AQ391" i="32"/>
  <c r="AU391" i="32" s="1"/>
  <c r="AP391" i="32"/>
  <c r="AO391" i="32"/>
  <c r="AN391" i="32"/>
  <c r="AM391" i="32"/>
  <c r="AL391" i="32"/>
  <c r="AJ391" i="32"/>
  <c r="AI391" i="32"/>
  <c r="AH391" i="32"/>
  <c r="AG391" i="32"/>
  <c r="AA391" i="32"/>
  <c r="X391" i="32"/>
  <c r="W391" i="32"/>
  <c r="AQ390" i="32"/>
  <c r="AP390" i="32"/>
  <c r="AO390" i="32"/>
  <c r="AN390" i="32"/>
  <c r="AM390" i="32"/>
  <c r="AL390" i="32"/>
  <c r="AJ390" i="32"/>
  <c r="AI390" i="32"/>
  <c r="AH390" i="32"/>
  <c r="AG390" i="32"/>
  <c r="AA390" i="32"/>
  <c r="X390" i="32"/>
  <c r="Z390" i="32" s="1"/>
  <c r="W390" i="32"/>
  <c r="AQ389" i="32"/>
  <c r="AP389" i="32"/>
  <c r="AO389" i="32"/>
  <c r="AN389" i="32"/>
  <c r="AM389" i="32"/>
  <c r="AL389" i="32"/>
  <c r="AJ389" i="32"/>
  <c r="AI389" i="32"/>
  <c r="AH389" i="32"/>
  <c r="AG389" i="32"/>
  <c r="AA389" i="32"/>
  <c r="X389" i="32"/>
  <c r="Y389" i="32" s="1"/>
  <c r="W389" i="32"/>
  <c r="AQ388" i="32"/>
  <c r="AT388" i="32" s="1"/>
  <c r="AP388" i="32"/>
  <c r="AO388" i="32"/>
  <c r="AN388" i="32"/>
  <c r="AM388" i="32"/>
  <c r="AL388" i="32"/>
  <c r="AJ388" i="32"/>
  <c r="AI388" i="32"/>
  <c r="AH388" i="32"/>
  <c r="AG388" i="32"/>
  <c r="AA388" i="32"/>
  <c r="X388" i="32"/>
  <c r="Y388" i="32" s="1"/>
  <c r="W388" i="32"/>
  <c r="AQ387" i="32"/>
  <c r="AU387" i="32" s="1"/>
  <c r="AP387" i="32"/>
  <c r="AO387" i="32"/>
  <c r="AN387" i="32"/>
  <c r="AM387" i="32"/>
  <c r="AL387" i="32"/>
  <c r="AJ387" i="32"/>
  <c r="AI387" i="32"/>
  <c r="AH387" i="32"/>
  <c r="AG387" i="32"/>
  <c r="AA387" i="32"/>
  <c r="X387" i="32"/>
  <c r="Z387" i="32" s="1"/>
  <c r="W387" i="32"/>
  <c r="AQ386" i="32"/>
  <c r="AU386" i="32" s="1"/>
  <c r="AP386" i="32"/>
  <c r="AO386" i="32"/>
  <c r="AN386" i="32"/>
  <c r="AM386" i="32"/>
  <c r="AL386" i="32"/>
  <c r="AJ386" i="32"/>
  <c r="AI386" i="32"/>
  <c r="AH386" i="32"/>
  <c r="AG386" i="32"/>
  <c r="AA386" i="32"/>
  <c r="X386" i="32"/>
  <c r="W386" i="32"/>
  <c r="AQ385" i="32"/>
  <c r="AR385" i="32" s="1"/>
  <c r="AP385" i="32"/>
  <c r="AO385" i="32"/>
  <c r="AN385" i="32"/>
  <c r="AM385" i="32"/>
  <c r="AL385" i="32"/>
  <c r="AJ385" i="32"/>
  <c r="AI385" i="32"/>
  <c r="AH385" i="32"/>
  <c r="AG385" i="32"/>
  <c r="AA385" i="32"/>
  <c r="X385" i="32"/>
  <c r="Z385" i="32" s="1"/>
  <c r="W385" i="32"/>
  <c r="AQ384" i="32"/>
  <c r="AT384" i="32" s="1"/>
  <c r="AP384" i="32"/>
  <c r="AO384" i="32"/>
  <c r="AN384" i="32"/>
  <c r="AM384" i="32"/>
  <c r="AL384" i="32"/>
  <c r="AJ384" i="32"/>
  <c r="AI384" i="32"/>
  <c r="AH384" i="32"/>
  <c r="AG384" i="32"/>
  <c r="AA384" i="32"/>
  <c r="X384" i="32"/>
  <c r="Y384" i="32" s="1"/>
  <c r="W384" i="32"/>
  <c r="AQ383" i="32"/>
  <c r="AP383" i="32"/>
  <c r="AO383" i="32"/>
  <c r="AN383" i="32"/>
  <c r="AM383" i="32"/>
  <c r="AL383" i="32"/>
  <c r="AJ383" i="32"/>
  <c r="AI383" i="32"/>
  <c r="AH383" i="32"/>
  <c r="AG383" i="32"/>
  <c r="AA383" i="32"/>
  <c r="X383" i="32"/>
  <c r="Z383" i="32" s="1"/>
  <c r="W383" i="32"/>
  <c r="AQ382" i="32"/>
  <c r="AP382" i="32"/>
  <c r="AO382" i="32"/>
  <c r="AN382" i="32"/>
  <c r="AM382" i="32"/>
  <c r="AL382" i="32"/>
  <c r="AJ382" i="32"/>
  <c r="AI382" i="32"/>
  <c r="AH382" i="32"/>
  <c r="AG382" i="32"/>
  <c r="AA382" i="32"/>
  <c r="X382" i="32"/>
  <c r="Z382" i="32" s="1"/>
  <c r="W382" i="32"/>
  <c r="AQ381" i="32"/>
  <c r="AR381" i="32" s="1"/>
  <c r="AP381" i="32"/>
  <c r="AO381" i="32"/>
  <c r="AN381" i="32"/>
  <c r="AM381" i="32"/>
  <c r="AL381" i="32"/>
  <c r="AJ381" i="32"/>
  <c r="AI381" i="32"/>
  <c r="AH381" i="32"/>
  <c r="AG381" i="32"/>
  <c r="AA381" i="32"/>
  <c r="X381" i="32"/>
  <c r="Z381" i="32" s="1"/>
  <c r="W381" i="32"/>
  <c r="AQ380" i="32"/>
  <c r="AS380" i="32" s="1"/>
  <c r="AP380" i="32"/>
  <c r="AO380" i="32"/>
  <c r="AN380" i="32"/>
  <c r="AM380" i="32"/>
  <c r="AL380" i="32"/>
  <c r="AJ380" i="32"/>
  <c r="AI380" i="32"/>
  <c r="AH380" i="32"/>
  <c r="AG380" i="32"/>
  <c r="AA380" i="32"/>
  <c r="X380" i="32"/>
  <c r="Y380" i="32" s="1"/>
  <c r="W380" i="32"/>
  <c r="AQ379" i="32"/>
  <c r="AS379" i="32" s="1"/>
  <c r="AP379" i="32"/>
  <c r="AO379" i="32"/>
  <c r="AN379" i="32"/>
  <c r="AM379" i="32"/>
  <c r="AL379" i="32"/>
  <c r="AJ379" i="32"/>
  <c r="AI379" i="32"/>
  <c r="AH379" i="32"/>
  <c r="AG379" i="32"/>
  <c r="AA379" i="32"/>
  <c r="X379" i="32"/>
  <c r="Y379" i="32" s="1"/>
  <c r="W379" i="32"/>
  <c r="AQ378" i="32"/>
  <c r="AS378" i="32" s="1"/>
  <c r="AP378" i="32"/>
  <c r="AO378" i="32"/>
  <c r="AN378" i="32"/>
  <c r="AM378" i="32"/>
  <c r="AL378" i="32"/>
  <c r="AJ378" i="32"/>
  <c r="AI378" i="32"/>
  <c r="AH378" i="32"/>
  <c r="AG378" i="32"/>
  <c r="AA378" i="32"/>
  <c r="X378" i="32"/>
  <c r="Z378" i="32" s="1"/>
  <c r="W378" i="32"/>
  <c r="AQ377" i="32"/>
  <c r="AS377" i="32" s="1"/>
  <c r="AP377" i="32"/>
  <c r="AO377" i="32"/>
  <c r="AN377" i="32"/>
  <c r="AM377" i="32"/>
  <c r="AL377" i="32"/>
  <c r="AJ377" i="32"/>
  <c r="AI377" i="32"/>
  <c r="AH377" i="32"/>
  <c r="AG377" i="32"/>
  <c r="AA377" i="32"/>
  <c r="X377" i="32"/>
  <c r="W377" i="32"/>
  <c r="AQ376" i="32"/>
  <c r="AT376" i="32" s="1"/>
  <c r="AP376" i="32"/>
  <c r="AO376" i="32"/>
  <c r="AN376" i="32"/>
  <c r="AM376" i="32"/>
  <c r="AL376" i="32"/>
  <c r="AJ376" i="32"/>
  <c r="AI376" i="32"/>
  <c r="AH376" i="32"/>
  <c r="AG376" i="32"/>
  <c r="AA376" i="32"/>
  <c r="X376" i="32"/>
  <c r="Y376" i="32" s="1"/>
  <c r="W376" i="32"/>
  <c r="AQ375" i="32"/>
  <c r="AP375" i="32"/>
  <c r="AO375" i="32"/>
  <c r="AN375" i="32"/>
  <c r="AM375" i="32"/>
  <c r="AL375" i="32"/>
  <c r="AJ375" i="32"/>
  <c r="AI375" i="32"/>
  <c r="AH375" i="32"/>
  <c r="AG375" i="32"/>
  <c r="AA375" i="32"/>
  <c r="X375" i="32"/>
  <c r="Z375" i="32" s="1"/>
  <c r="W375" i="32"/>
  <c r="AQ374" i="32"/>
  <c r="AU374" i="32" s="1"/>
  <c r="AP374" i="32"/>
  <c r="AO374" i="32"/>
  <c r="AN374" i="32"/>
  <c r="AM374" i="32"/>
  <c r="AL374" i="32"/>
  <c r="AJ374" i="32"/>
  <c r="AI374" i="32"/>
  <c r="AH374" i="32"/>
  <c r="AG374" i="32"/>
  <c r="AA374" i="32"/>
  <c r="X374" i="32"/>
  <c r="Y374" i="32" s="1"/>
  <c r="W374" i="32"/>
  <c r="AQ373" i="32"/>
  <c r="AP373" i="32"/>
  <c r="AO373" i="32"/>
  <c r="AN373" i="32"/>
  <c r="AM373" i="32"/>
  <c r="AL373" i="32"/>
  <c r="AJ373" i="32"/>
  <c r="AI373" i="32"/>
  <c r="AH373" i="32"/>
  <c r="AG373" i="32"/>
  <c r="AA373" i="32"/>
  <c r="X373" i="32"/>
  <c r="Z373" i="32" s="1"/>
  <c r="W373" i="32"/>
  <c r="AQ372" i="32"/>
  <c r="AT372" i="32" s="1"/>
  <c r="AP372" i="32"/>
  <c r="AO372" i="32"/>
  <c r="AN372" i="32"/>
  <c r="AM372" i="32"/>
  <c r="AL372" i="32"/>
  <c r="AJ372" i="32"/>
  <c r="AI372" i="32"/>
  <c r="AH372" i="32"/>
  <c r="AG372" i="32"/>
  <c r="AA372" i="32"/>
  <c r="X372" i="32"/>
  <c r="W372" i="32"/>
  <c r="AQ371" i="32"/>
  <c r="AR371" i="32" s="1"/>
  <c r="AP371" i="32"/>
  <c r="AO371" i="32"/>
  <c r="AN371" i="32"/>
  <c r="AM371" i="32"/>
  <c r="AL371" i="32"/>
  <c r="AJ371" i="32"/>
  <c r="AI371" i="32"/>
  <c r="AH371" i="32"/>
  <c r="AG371" i="32"/>
  <c r="AA371" i="32"/>
  <c r="X371" i="32"/>
  <c r="W371" i="32"/>
  <c r="AQ370" i="32"/>
  <c r="AR370" i="32" s="1"/>
  <c r="AP370" i="32"/>
  <c r="AO370" i="32"/>
  <c r="AN370" i="32"/>
  <c r="AM370" i="32"/>
  <c r="AL370" i="32"/>
  <c r="AJ370" i="32"/>
  <c r="AI370" i="32"/>
  <c r="AH370" i="32"/>
  <c r="AG370" i="32"/>
  <c r="AA370" i="32"/>
  <c r="X370" i="32"/>
  <c r="Z370" i="32" s="1"/>
  <c r="W370" i="32"/>
  <c r="AQ369" i="32"/>
  <c r="AS369" i="32" s="1"/>
  <c r="AP369" i="32"/>
  <c r="AO369" i="32"/>
  <c r="AN369" i="32"/>
  <c r="AM369" i="32"/>
  <c r="AL369" i="32"/>
  <c r="AJ369" i="32"/>
  <c r="AI369" i="32"/>
  <c r="AH369" i="32"/>
  <c r="AG369" i="32"/>
  <c r="AA369" i="32"/>
  <c r="X369" i="32"/>
  <c r="Y369" i="32" s="1"/>
  <c r="W369" i="32"/>
  <c r="AQ368" i="32"/>
  <c r="AP368" i="32"/>
  <c r="AO368" i="32"/>
  <c r="AN368" i="32"/>
  <c r="AM368" i="32"/>
  <c r="AL368" i="32"/>
  <c r="AJ368" i="32"/>
  <c r="AI368" i="32"/>
  <c r="AH368" i="32"/>
  <c r="AG368" i="32"/>
  <c r="AA368" i="32"/>
  <c r="X368" i="32"/>
  <c r="Y368" i="32" s="1"/>
  <c r="W368" i="32"/>
  <c r="AQ367" i="32"/>
  <c r="AP367" i="32"/>
  <c r="AO367" i="32"/>
  <c r="AN367" i="32"/>
  <c r="AM367" i="32"/>
  <c r="AL367" i="32"/>
  <c r="AJ367" i="32"/>
  <c r="AI367" i="32"/>
  <c r="AH367" i="32"/>
  <c r="AG367" i="32"/>
  <c r="AA367" i="32"/>
  <c r="X367" i="32"/>
  <c r="W367" i="32"/>
  <c r="AQ366" i="32"/>
  <c r="AU366" i="32" s="1"/>
  <c r="AP366" i="32"/>
  <c r="AO366" i="32"/>
  <c r="AN366" i="32"/>
  <c r="AM366" i="32"/>
  <c r="AL366" i="32"/>
  <c r="AJ366" i="32"/>
  <c r="AI366" i="32"/>
  <c r="AH366" i="32"/>
  <c r="AG366" i="32"/>
  <c r="AA366" i="32"/>
  <c r="X366" i="32"/>
  <c r="Z366" i="32" s="1"/>
  <c r="W366" i="32"/>
  <c r="AQ365" i="32"/>
  <c r="AT365" i="32" s="1"/>
  <c r="AP365" i="32"/>
  <c r="AO365" i="32"/>
  <c r="AN365" i="32"/>
  <c r="AM365" i="32"/>
  <c r="AL365" i="32"/>
  <c r="AJ365" i="32"/>
  <c r="AI365" i="32"/>
  <c r="AH365" i="32"/>
  <c r="AG365" i="32"/>
  <c r="AA365" i="32"/>
  <c r="X365" i="32"/>
  <c r="Y365" i="32" s="1"/>
  <c r="W365" i="32"/>
  <c r="AQ364" i="32"/>
  <c r="AT364" i="32" s="1"/>
  <c r="AP364" i="32"/>
  <c r="AO364" i="32"/>
  <c r="AN364" i="32"/>
  <c r="AM364" i="32"/>
  <c r="AL364" i="32"/>
  <c r="AJ364" i="32"/>
  <c r="AI364" i="32"/>
  <c r="AH364" i="32"/>
  <c r="AG364" i="32"/>
  <c r="AA364" i="32"/>
  <c r="X364" i="32"/>
  <c r="Y364" i="32" s="1"/>
  <c r="W364" i="32"/>
  <c r="AQ363" i="32"/>
  <c r="AR363" i="32" s="1"/>
  <c r="AP363" i="32"/>
  <c r="AO363" i="32"/>
  <c r="AN363" i="32"/>
  <c r="AM363" i="32"/>
  <c r="AL363" i="32"/>
  <c r="AJ363" i="32"/>
  <c r="AI363" i="32"/>
  <c r="AH363" i="32"/>
  <c r="AG363" i="32"/>
  <c r="AA363" i="32"/>
  <c r="X363" i="32"/>
  <c r="W363" i="32"/>
  <c r="AQ362" i="32"/>
  <c r="AU362" i="32" s="1"/>
  <c r="AP362" i="32"/>
  <c r="AO362" i="32"/>
  <c r="AN362" i="32"/>
  <c r="AM362" i="32"/>
  <c r="AL362" i="32"/>
  <c r="AJ362" i="32"/>
  <c r="AI362" i="32"/>
  <c r="AH362" i="32"/>
  <c r="AG362" i="32"/>
  <c r="AA362" i="32"/>
  <c r="X362" i="32"/>
  <c r="Y362" i="32" s="1"/>
  <c r="W362" i="32"/>
  <c r="AQ361" i="32"/>
  <c r="AU361" i="32" s="1"/>
  <c r="AP361" i="32"/>
  <c r="AO361" i="32"/>
  <c r="AN361" i="32"/>
  <c r="AM361" i="32"/>
  <c r="AL361" i="32"/>
  <c r="AJ361" i="32"/>
  <c r="AI361" i="32"/>
  <c r="AH361" i="32"/>
  <c r="AG361" i="32"/>
  <c r="AA361" i="32"/>
  <c r="X361" i="32"/>
  <c r="Z361" i="32" s="1"/>
  <c r="W361" i="32"/>
  <c r="V361" i="32"/>
  <c r="AQ360" i="32"/>
  <c r="AU360" i="32" s="1"/>
  <c r="AP360" i="32"/>
  <c r="AH360" i="32" s="1"/>
  <c r="AO360" i="32"/>
  <c r="AN360" i="32"/>
  <c r="AG360" i="32" s="1"/>
  <c r="AA360" i="32"/>
  <c r="AQ358" i="32"/>
  <c r="AP358" i="32"/>
  <c r="AO358" i="32"/>
  <c r="AN358" i="32"/>
  <c r="AG358" i="32" s="1"/>
  <c r="AH358" i="32"/>
  <c r="AI358" i="32" s="1"/>
  <c r="AA358" i="32"/>
  <c r="X358" i="32"/>
  <c r="Z358" i="32" s="1"/>
  <c r="W358" i="32"/>
  <c r="AQ357" i="32"/>
  <c r="AP357" i="32"/>
  <c r="AO357" i="32"/>
  <c r="AN357" i="32"/>
  <c r="AG357" i="32" s="1"/>
  <c r="AH357" i="32"/>
  <c r="AA357" i="32"/>
  <c r="X357" i="32"/>
  <c r="Z357" i="32" s="1"/>
  <c r="W357" i="32"/>
  <c r="AQ356" i="32"/>
  <c r="AT356" i="32" s="1"/>
  <c r="AP356" i="32"/>
  <c r="AO356" i="32"/>
  <c r="AN356" i="32"/>
  <c r="AG356" i="32" s="1"/>
  <c r="AH356" i="32"/>
  <c r="AL356" i="32" s="1"/>
  <c r="AA356" i="32"/>
  <c r="X356" i="32"/>
  <c r="Y356" i="32" s="1"/>
  <c r="W356" i="32"/>
  <c r="AQ355" i="32"/>
  <c r="AU355" i="32" s="1"/>
  <c r="AP355" i="32"/>
  <c r="AO355" i="32"/>
  <c r="AN355" i="32"/>
  <c r="AG355" i="32" s="1"/>
  <c r="AH355" i="32"/>
  <c r="AL355" i="32" s="1"/>
  <c r="AA355" i="32"/>
  <c r="X355" i="32"/>
  <c r="Z355" i="32" s="1"/>
  <c r="W355" i="32"/>
  <c r="AQ354" i="32"/>
  <c r="AS354" i="32" s="1"/>
  <c r="AP354" i="32"/>
  <c r="AO354" i="32"/>
  <c r="AN354" i="32"/>
  <c r="AM354" i="32"/>
  <c r="AL354" i="32"/>
  <c r="AJ354" i="32"/>
  <c r="AI354" i="32"/>
  <c r="AH354" i="32"/>
  <c r="AG354" i="32"/>
  <c r="AA354" i="32"/>
  <c r="X354" i="32"/>
  <c r="W354" i="32"/>
  <c r="AQ353" i="32"/>
  <c r="AS353" i="32" s="1"/>
  <c r="AP353" i="32"/>
  <c r="AO353" i="32"/>
  <c r="AN353" i="32"/>
  <c r="AM353" i="32"/>
  <c r="AL353" i="32"/>
  <c r="AJ353" i="32"/>
  <c r="AI353" i="32"/>
  <c r="AH353" i="32"/>
  <c r="AG353" i="32"/>
  <c r="AA353" i="32"/>
  <c r="X353" i="32"/>
  <c r="Z353" i="32" s="1"/>
  <c r="W353" i="32"/>
  <c r="AQ352" i="32"/>
  <c r="AR352" i="32" s="1"/>
  <c r="AP352" i="32"/>
  <c r="AO352" i="32"/>
  <c r="AN352" i="32"/>
  <c r="AM352" i="32"/>
  <c r="AL352" i="32"/>
  <c r="AJ352" i="32"/>
  <c r="AI352" i="32"/>
  <c r="AH352" i="32"/>
  <c r="AG352" i="32"/>
  <c r="AA352" i="32"/>
  <c r="X352" i="32"/>
  <c r="W352" i="32"/>
  <c r="AQ351" i="32"/>
  <c r="AS351" i="32" s="1"/>
  <c r="AP351" i="32"/>
  <c r="AO351" i="32"/>
  <c r="AN351" i="32"/>
  <c r="AM351" i="32"/>
  <c r="AL351" i="32"/>
  <c r="AJ351" i="32"/>
  <c r="AI351" i="32"/>
  <c r="AH351" i="32"/>
  <c r="AG351" i="32"/>
  <c r="AA351" i="32"/>
  <c r="X351" i="32"/>
  <c r="Y351" i="32" s="1"/>
  <c r="W351" i="32"/>
  <c r="AQ350" i="32"/>
  <c r="AP350" i="32"/>
  <c r="AO350" i="32"/>
  <c r="AN350" i="32"/>
  <c r="AM350" i="32"/>
  <c r="AL350" i="32"/>
  <c r="AJ350" i="32"/>
  <c r="AI350" i="32"/>
  <c r="AH350" i="32"/>
  <c r="AG350" i="32"/>
  <c r="AA350" i="32"/>
  <c r="X350" i="32"/>
  <c r="Z350" i="32" s="1"/>
  <c r="W350" i="32"/>
  <c r="AQ349" i="32"/>
  <c r="AU349" i="32" s="1"/>
  <c r="AP349" i="32"/>
  <c r="AO349" i="32"/>
  <c r="AN349" i="32"/>
  <c r="AM349" i="32"/>
  <c r="AL349" i="32"/>
  <c r="AJ349" i="32"/>
  <c r="AI349" i="32"/>
  <c r="AH349" i="32"/>
  <c r="AG349" i="32"/>
  <c r="AA349" i="32"/>
  <c r="X349" i="32"/>
  <c r="Y349" i="32" s="1"/>
  <c r="W349" i="32"/>
  <c r="AQ348" i="32"/>
  <c r="AP348" i="32"/>
  <c r="AO348" i="32"/>
  <c r="AN348" i="32"/>
  <c r="AM348" i="32"/>
  <c r="AL348" i="32"/>
  <c r="AJ348" i="32"/>
  <c r="AI348" i="32"/>
  <c r="AH348" i="32"/>
  <c r="AG348" i="32"/>
  <c r="AA348" i="32"/>
  <c r="X348" i="32"/>
  <c r="Z348" i="32" s="1"/>
  <c r="W348" i="32"/>
  <c r="AQ347" i="32"/>
  <c r="AU347" i="32" s="1"/>
  <c r="AP347" i="32"/>
  <c r="AO347" i="32"/>
  <c r="AN347" i="32"/>
  <c r="AM347" i="32"/>
  <c r="AL347" i="32"/>
  <c r="AJ347" i="32"/>
  <c r="AI347" i="32"/>
  <c r="AH347" i="32"/>
  <c r="AG347" i="32"/>
  <c r="AA347" i="32"/>
  <c r="X347" i="32"/>
  <c r="Y347" i="32" s="1"/>
  <c r="W347" i="32"/>
  <c r="AQ346" i="32"/>
  <c r="AU346" i="32" s="1"/>
  <c r="AP346" i="32"/>
  <c r="AO346" i="32"/>
  <c r="AN346" i="32"/>
  <c r="AM346" i="32"/>
  <c r="AL346" i="32"/>
  <c r="AJ346" i="32"/>
  <c r="AI346" i="32"/>
  <c r="AH346" i="32"/>
  <c r="AG346" i="32"/>
  <c r="AA346" i="32"/>
  <c r="X346" i="32"/>
  <c r="W346" i="32"/>
  <c r="AQ345" i="32"/>
  <c r="AR345" i="32" s="1"/>
  <c r="AP345" i="32"/>
  <c r="AO345" i="32"/>
  <c r="AN345" i="32"/>
  <c r="AM345" i="32"/>
  <c r="AL345" i="32"/>
  <c r="AJ345" i="32"/>
  <c r="AI345" i="32"/>
  <c r="AH345" i="32"/>
  <c r="AG345" i="32"/>
  <c r="AA345" i="32"/>
  <c r="X345" i="32"/>
  <c r="Y345" i="32" s="1"/>
  <c r="W345" i="32"/>
  <c r="AQ344" i="32"/>
  <c r="AP344" i="32"/>
  <c r="AO344" i="32"/>
  <c r="AN344" i="32"/>
  <c r="AM344" i="32"/>
  <c r="AL344" i="32"/>
  <c r="AJ344" i="32"/>
  <c r="AI344" i="32"/>
  <c r="AH344" i="32"/>
  <c r="AG344" i="32"/>
  <c r="AA344" i="32"/>
  <c r="X344" i="32"/>
  <c r="Z344" i="32" s="1"/>
  <c r="W344" i="32"/>
  <c r="AQ343" i="32"/>
  <c r="AU343" i="32" s="1"/>
  <c r="AP343" i="32"/>
  <c r="AO343" i="32"/>
  <c r="AN343" i="32"/>
  <c r="AM343" i="32"/>
  <c r="AL343" i="32"/>
  <c r="AJ343" i="32"/>
  <c r="AI343" i="32"/>
  <c r="AH343" i="32"/>
  <c r="AG343" i="32"/>
  <c r="AA343" i="32"/>
  <c r="X343" i="32"/>
  <c r="W343" i="32"/>
  <c r="AQ342" i="32"/>
  <c r="AU342" i="32" s="1"/>
  <c r="AP342" i="32"/>
  <c r="AO342" i="32"/>
  <c r="AN342" i="32"/>
  <c r="AM342" i="32"/>
  <c r="AL342" i="32"/>
  <c r="AJ342" i="32"/>
  <c r="AI342" i="32"/>
  <c r="AH342" i="32"/>
  <c r="AG342" i="32"/>
  <c r="AA342" i="32"/>
  <c r="X342" i="32"/>
  <c r="Z342" i="32" s="1"/>
  <c r="W342" i="32"/>
  <c r="AQ341" i="32"/>
  <c r="AU341" i="32" s="1"/>
  <c r="AP341" i="32"/>
  <c r="AO341" i="32"/>
  <c r="AN341" i="32"/>
  <c r="AM341" i="32"/>
  <c r="AL341" i="32"/>
  <c r="AJ341" i="32"/>
  <c r="AI341" i="32"/>
  <c r="AH341" i="32"/>
  <c r="AG341" i="32"/>
  <c r="AA341" i="32"/>
  <c r="X341" i="32"/>
  <c r="Y341" i="32" s="1"/>
  <c r="W341" i="32"/>
  <c r="AQ340" i="32"/>
  <c r="AU340" i="32" s="1"/>
  <c r="AP340" i="32"/>
  <c r="AO340" i="32"/>
  <c r="AN340" i="32"/>
  <c r="AM340" i="32"/>
  <c r="AL340" i="32"/>
  <c r="AJ340" i="32"/>
  <c r="AI340" i="32"/>
  <c r="AH340" i="32"/>
  <c r="AG340" i="32"/>
  <c r="AA340" i="32"/>
  <c r="X340" i="32"/>
  <c r="Y340" i="32" s="1"/>
  <c r="W340" i="32"/>
  <c r="AQ339" i="32"/>
  <c r="AU339" i="32" s="1"/>
  <c r="AP339" i="32"/>
  <c r="AO339" i="32"/>
  <c r="AN339" i="32"/>
  <c r="AM339" i="32"/>
  <c r="AL339" i="32"/>
  <c r="AJ339" i="32"/>
  <c r="AI339" i="32"/>
  <c r="AH339" i="32"/>
  <c r="AG339" i="32"/>
  <c r="AA339" i="32"/>
  <c r="X339" i="32"/>
  <c r="Z339" i="32" s="1"/>
  <c r="W339" i="32"/>
  <c r="AQ338" i="32"/>
  <c r="AS338" i="32" s="1"/>
  <c r="AP338" i="32"/>
  <c r="AO338" i="32"/>
  <c r="AN338" i="32"/>
  <c r="AM338" i="32"/>
  <c r="AL338" i="32"/>
  <c r="AJ338" i="32"/>
  <c r="AI338" i="32"/>
  <c r="AH338" i="32"/>
  <c r="AG338" i="32"/>
  <c r="AA338" i="32"/>
  <c r="X338" i="32"/>
  <c r="W338" i="32"/>
  <c r="AQ337" i="32"/>
  <c r="AT337" i="32" s="1"/>
  <c r="AP337" i="32"/>
  <c r="AO337" i="32"/>
  <c r="AN337" i="32"/>
  <c r="AM337" i="32"/>
  <c r="AL337" i="32"/>
  <c r="AJ337" i="32"/>
  <c r="AI337" i="32"/>
  <c r="AH337" i="32"/>
  <c r="AG337" i="32"/>
  <c r="AA337" i="32"/>
  <c r="X337" i="32"/>
  <c r="Z337" i="32" s="1"/>
  <c r="W337" i="32"/>
  <c r="AQ336" i="32"/>
  <c r="AP336" i="32"/>
  <c r="AO336" i="32"/>
  <c r="AN336" i="32"/>
  <c r="AM336" i="32"/>
  <c r="AL336" i="32"/>
  <c r="AJ336" i="32"/>
  <c r="AI336" i="32"/>
  <c r="AH336" i="32"/>
  <c r="AG336" i="32"/>
  <c r="AA336" i="32"/>
  <c r="X336" i="32"/>
  <c r="Z336" i="32" s="1"/>
  <c r="W336" i="32"/>
  <c r="AQ335" i="32"/>
  <c r="AS335" i="32" s="1"/>
  <c r="AP335" i="32"/>
  <c r="AO335" i="32"/>
  <c r="AN335" i="32"/>
  <c r="AM335" i="32"/>
  <c r="AL335" i="32"/>
  <c r="AJ335" i="32"/>
  <c r="AI335" i="32"/>
  <c r="AH335" i="32"/>
  <c r="AG335" i="32"/>
  <c r="AA335" i="32"/>
  <c r="X335" i="32"/>
  <c r="Z335" i="32" s="1"/>
  <c r="W335" i="32"/>
  <c r="AQ334" i="32"/>
  <c r="AR334" i="32" s="1"/>
  <c r="AP334" i="32"/>
  <c r="AH334" i="32" s="1"/>
  <c r="AO334" i="32"/>
  <c r="AN334" i="32"/>
  <c r="AG334" i="32" s="1"/>
  <c r="AA334" i="32"/>
  <c r="X334" i="32"/>
  <c r="Z334" i="32" s="1"/>
  <c r="W334" i="32"/>
  <c r="AQ333" i="32"/>
  <c r="AR333" i="32" s="1"/>
  <c r="AP333" i="32"/>
  <c r="AH333" i="32" s="1"/>
  <c r="AJ333" i="32" s="1"/>
  <c r="AO333" i="32"/>
  <c r="AN333" i="32"/>
  <c r="AG333" i="32" s="1"/>
  <c r="AA333" i="32"/>
  <c r="X333" i="32"/>
  <c r="Z333" i="32" s="1"/>
  <c r="W333" i="32"/>
  <c r="AQ332" i="32"/>
  <c r="AU332" i="32" s="1"/>
  <c r="AP332" i="32"/>
  <c r="AH332" i="32" s="1"/>
  <c r="AI332" i="32" s="1"/>
  <c r="AO332" i="32"/>
  <c r="AN332" i="32"/>
  <c r="AG332" i="32" s="1"/>
  <c r="AA332" i="32"/>
  <c r="X332" i="32"/>
  <c r="Z332" i="32" s="1"/>
  <c r="W332" i="32"/>
  <c r="AQ331" i="32"/>
  <c r="AS331" i="32" s="1"/>
  <c r="AP331" i="32"/>
  <c r="AO331" i="32"/>
  <c r="AN331" i="32"/>
  <c r="AG331" i="32" s="1"/>
  <c r="AH331" i="32"/>
  <c r="AA331" i="32"/>
  <c r="X331" i="32"/>
  <c r="Z331" i="32" s="1"/>
  <c r="W331" i="32"/>
  <c r="AQ330" i="32"/>
  <c r="AP330" i="32"/>
  <c r="AO330" i="32"/>
  <c r="AN330" i="32"/>
  <c r="AG330" i="32" s="1"/>
  <c r="AH330" i="32"/>
  <c r="AA330" i="32"/>
  <c r="X330" i="32"/>
  <c r="Z330" i="32" s="1"/>
  <c r="W330" i="32"/>
  <c r="AQ329" i="32"/>
  <c r="AS329" i="32" s="1"/>
  <c r="AP329" i="32"/>
  <c r="AO329" i="32"/>
  <c r="AN329" i="32"/>
  <c r="AG329" i="32" s="1"/>
  <c r="AH329" i="32"/>
  <c r="AA329" i="32"/>
  <c r="X329" i="32"/>
  <c r="W329" i="32"/>
  <c r="AQ328" i="32"/>
  <c r="AR328" i="32" s="1"/>
  <c r="AP328" i="32"/>
  <c r="AO328" i="32"/>
  <c r="AN328" i="32"/>
  <c r="AG328" i="32" s="1"/>
  <c r="AH328" i="32"/>
  <c r="AA328" i="32"/>
  <c r="X328" i="32"/>
  <c r="Y328" i="32" s="1"/>
  <c r="W328" i="32"/>
  <c r="AQ327" i="32"/>
  <c r="AS327" i="32" s="1"/>
  <c r="AP327" i="32"/>
  <c r="AO327" i="32"/>
  <c r="AN327" i="32"/>
  <c r="AG327" i="32" s="1"/>
  <c r="AH327" i="32"/>
  <c r="AL327" i="32" s="1"/>
  <c r="AA327" i="32"/>
  <c r="X327" i="32"/>
  <c r="W327" i="32"/>
  <c r="AQ326" i="32"/>
  <c r="AP326" i="32"/>
  <c r="AO326" i="32"/>
  <c r="AN326" i="32"/>
  <c r="AG326" i="32" s="1"/>
  <c r="AH326" i="32"/>
  <c r="AL326" i="32" s="1"/>
  <c r="AA326" i="32"/>
  <c r="X326" i="32"/>
  <c r="Z326" i="32" s="1"/>
  <c r="W326" i="32"/>
  <c r="AQ325" i="32"/>
  <c r="AP325" i="32"/>
  <c r="AO325" i="32"/>
  <c r="AN325" i="32"/>
  <c r="AG325" i="32" s="1"/>
  <c r="AH325" i="32"/>
  <c r="AA325" i="32"/>
  <c r="X325" i="32"/>
  <c r="Z325" i="32" s="1"/>
  <c r="W325" i="32"/>
  <c r="V325" i="32"/>
  <c r="AQ324" i="32"/>
  <c r="AP324" i="32"/>
  <c r="AH324" i="32" s="1"/>
  <c r="AO324" i="32"/>
  <c r="AN324" i="32"/>
  <c r="AG324" i="32" s="1"/>
  <c r="AA324" i="32"/>
  <c r="AQ322" i="32"/>
  <c r="AS322" i="32" s="1"/>
  <c r="AP322" i="32"/>
  <c r="AO322" i="32"/>
  <c r="AN322" i="32"/>
  <c r="AG322" i="32" s="1"/>
  <c r="AH322" i="32"/>
  <c r="AA322" i="32"/>
  <c r="X322" i="32"/>
  <c r="Z322" i="32" s="1"/>
  <c r="W322" i="32"/>
  <c r="AQ321" i="32"/>
  <c r="AU321" i="32" s="1"/>
  <c r="AP321" i="32"/>
  <c r="AO321" i="32"/>
  <c r="AN321" i="32"/>
  <c r="AM321" i="32"/>
  <c r="AL321" i="32"/>
  <c r="AJ321" i="32"/>
  <c r="AI321" i="32"/>
  <c r="AH321" i="32"/>
  <c r="AG321" i="32"/>
  <c r="AA321" i="32"/>
  <c r="X321" i="32"/>
  <c r="Y321" i="32" s="1"/>
  <c r="W321" i="32"/>
  <c r="AQ320" i="32"/>
  <c r="AS320" i="32" s="1"/>
  <c r="AP320" i="32"/>
  <c r="AO320" i="32"/>
  <c r="AN320" i="32"/>
  <c r="AM320" i="32"/>
  <c r="AL320" i="32"/>
  <c r="AJ320" i="32"/>
  <c r="AI320" i="32"/>
  <c r="AH320" i="32"/>
  <c r="AG320" i="32"/>
  <c r="AA320" i="32"/>
  <c r="X320" i="32"/>
  <c r="Y320" i="32" s="1"/>
  <c r="W320" i="32"/>
  <c r="AQ319" i="32"/>
  <c r="AP319" i="32"/>
  <c r="AO319" i="32"/>
  <c r="AN319" i="32"/>
  <c r="AM319" i="32"/>
  <c r="AL319" i="32"/>
  <c r="AJ319" i="32"/>
  <c r="AI319" i="32"/>
  <c r="AH319" i="32"/>
  <c r="AG319" i="32"/>
  <c r="AA319" i="32"/>
  <c r="X319" i="32"/>
  <c r="Z319" i="32" s="1"/>
  <c r="W319" i="32"/>
  <c r="AQ318" i="32"/>
  <c r="AP318" i="32"/>
  <c r="AO318" i="32"/>
  <c r="AN318" i="32"/>
  <c r="AM318" i="32"/>
  <c r="AL318" i="32"/>
  <c r="AJ318" i="32"/>
  <c r="AI318" i="32"/>
  <c r="AH318" i="32"/>
  <c r="AG318" i="32"/>
  <c r="AA318" i="32"/>
  <c r="X318" i="32"/>
  <c r="Z318" i="32" s="1"/>
  <c r="W318" i="32"/>
  <c r="AQ317" i="32"/>
  <c r="AP317" i="32"/>
  <c r="AO317" i="32"/>
  <c r="AN317" i="32"/>
  <c r="AM317" i="32"/>
  <c r="AL317" i="32"/>
  <c r="AJ317" i="32"/>
  <c r="AI317" i="32"/>
  <c r="AH317" i="32"/>
  <c r="AG317" i="32"/>
  <c r="AA317" i="32"/>
  <c r="X317" i="32"/>
  <c r="W317" i="32"/>
  <c r="AQ316" i="32"/>
  <c r="AS316" i="32" s="1"/>
  <c r="AP316" i="32"/>
  <c r="AO316" i="32"/>
  <c r="AN316" i="32"/>
  <c r="AM316" i="32"/>
  <c r="AL316" i="32"/>
  <c r="AJ316" i="32"/>
  <c r="AI316" i="32"/>
  <c r="AH316" i="32"/>
  <c r="AG316" i="32"/>
  <c r="AA316" i="32"/>
  <c r="X316" i="32"/>
  <c r="Y316" i="32" s="1"/>
  <c r="W316" i="32"/>
  <c r="AQ315" i="32"/>
  <c r="AU315" i="32" s="1"/>
  <c r="AP315" i="32"/>
  <c r="AO315" i="32"/>
  <c r="AN315" i="32"/>
  <c r="AM315" i="32"/>
  <c r="AL315" i="32"/>
  <c r="AJ315" i="32"/>
  <c r="AI315" i="32"/>
  <c r="AH315" i="32"/>
  <c r="AG315" i="32"/>
  <c r="AA315" i="32"/>
  <c r="X315" i="32"/>
  <c r="Z315" i="32" s="1"/>
  <c r="W315" i="32"/>
  <c r="AQ314" i="32"/>
  <c r="AU314" i="32" s="1"/>
  <c r="AP314" i="32"/>
  <c r="AO314" i="32"/>
  <c r="AN314" i="32"/>
  <c r="AM314" i="32"/>
  <c r="AL314" i="32"/>
  <c r="AJ314" i="32"/>
  <c r="AI314" i="32"/>
  <c r="AH314" i="32"/>
  <c r="AG314" i="32"/>
  <c r="AA314" i="32"/>
  <c r="X314" i="32"/>
  <c r="W314" i="32"/>
  <c r="AQ313" i="32"/>
  <c r="AR313" i="32" s="1"/>
  <c r="AP313" i="32"/>
  <c r="AO313" i="32"/>
  <c r="AN313" i="32"/>
  <c r="AM313" i="32"/>
  <c r="AL313" i="32"/>
  <c r="AJ313" i="32"/>
  <c r="AI313" i="32"/>
  <c r="AH313" i="32"/>
  <c r="AG313" i="32"/>
  <c r="AA313" i="32"/>
  <c r="X313" i="32"/>
  <c r="Y313" i="32" s="1"/>
  <c r="W313" i="32"/>
  <c r="AQ312" i="32"/>
  <c r="AR312" i="32" s="1"/>
  <c r="AP312" i="32"/>
  <c r="AO312" i="32"/>
  <c r="AN312" i="32"/>
  <c r="AM312" i="32"/>
  <c r="AL312" i="32"/>
  <c r="AJ312" i="32"/>
  <c r="AI312" i="32"/>
  <c r="AH312" i="32"/>
  <c r="AG312" i="32"/>
  <c r="AA312" i="32"/>
  <c r="X312" i="32"/>
  <c r="Z312" i="32" s="1"/>
  <c r="W312" i="32"/>
  <c r="AQ311" i="32"/>
  <c r="AU311" i="32" s="1"/>
  <c r="AP311" i="32"/>
  <c r="AO311" i="32"/>
  <c r="AN311" i="32"/>
  <c r="AM311" i="32"/>
  <c r="AL311" i="32"/>
  <c r="AJ311" i="32"/>
  <c r="AI311" i="32"/>
  <c r="AH311" i="32"/>
  <c r="AG311" i="32"/>
  <c r="AA311" i="32"/>
  <c r="X311" i="32"/>
  <c r="Y311" i="32" s="1"/>
  <c r="W311" i="32"/>
  <c r="AQ310" i="32"/>
  <c r="AT310" i="32" s="1"/>
  <c r="AP310" i="32"/>
  <c r="AO310" i="32"/>
  <c r="AN310" i="32"/>
  <c r="AM310" i="32"/>
  <c r="AL310" i="32"/>
  <c r="AJ310" i="32"/>
  <c r="AI310" i="32"/>
  <c r="AH310" i="32"/>
  <c r="AG310" i="32"/>
  <c r="AA310" i="32"/>
  <c r="X310" i="32"/>
  <c r="Y310" i="32" s="1"/>
  <c r="W310" i="32"/>
  <c r="AQ309" i="32"/>
  <c r="AR309" i="32" s="1"/>
  <c r="AP309" i="32"/>
  <c r="AO309" i="32"/>
  <c r="AN309" i="32"/>
  <c r="AM309" i="32"/>
  <c r="AL309" i="32"/>
  <c r="AJ309" i="32"/>
  <c r="AI309" i="32"/>
  <c r="AH309" i="32"/>
  <c r="AG309" i="32"/>
  <c r="AA309" i="32"/>
  <c r="X309" i="32"/>
  <c r="Z309" i="32" s="1"/>
  <c r="W309" i="32"/>
  <c r="AQ308" i="32"/>
  <c r="AP308" i="32"/>
  <c r="AO308" i="32"/>
  <c r="AN308" i="32"/>
  <c r="AM308" i="32"/>
  <c r="AL308" i="32"/>
  <c r="AJ308" i="32"/>
  <c r="AI308" i="32"/>
  <c r="AH308" i="32"/>
  <c r="AG308" i="32"/>
  <c r="AA308" i="32"/>
  <c r="X308" i="32"/>
  <c r="Y308" i="32" s="1"/>
  <c r="W308" i="32"/>
  <c r="AQ307" i="32"/>
  <c r="AP307" i="32"/>
  <c r="AO307" i="32"/>
  <c r="AN307" i="32"/>
  <c r="AM307" i="32"/>
  <c r="AL307" i="32"/>
  <c r="AJ307" i="32"/>
  <c r="AI307" i="32"/>
  <c r="AH307" i="32"/>
  <c r="AG307" i="32"/>
  <c r="AA307" i="32"/>
  <c r="X307" i="32"/>
  <c r="Z307" i="32" s="1"/>
  <c r="W307" i="32"/>
  <c r="AQ306" i="32"/>
  <c r="AP306" i="32"/>
  <c r="AO306" i="32"/>
  <c r="AN306" i="32"/>
  <c r="AM306" i="32"/>
  <c r="AL306" i="32"/>
  <c r="AJ306" i="32"/>
  <c r="AI306" i="32"/>
  <c r="AH306" i="32"/>
  <c r="AG306" i="32"/>
  <c r="AA306" i="32"/>
  <c r="X306" i="32"/>
  <c r="Z306" i="32" s="1"/>
  <c r="W306" i="32"/>
  <c r="AQ305" i="32"/>
  <c r="AR305" i="32" s="1"/>
  <c r="AP305" i="32"/>
  <c r="AO305" i="32"/>
  <c r="AN305" i="32"/>
  <c r="AM305" i="32"/>
  <c r="AL305" i="32"/>
  <c r="AJ305" i="32"/>
  <c r="AI305" i="32"/>
  <c r="AH305" i="32"/>
  <c r="AG305" i="32"/>
  <c r="AA305" i="32"/>
  <c r="X305" i="32"/>
  <c r="Z305" i="32" s="1"/>
  <c r="W305" i="32"/>
  <c r="AQ304" i="32"/>
  <c r="AS304" i="32" s="1"/>
  <c r="AP304" i="32"/>
  <c r="AO304" i="32"/>
  <c r="AN304" i="32"/>
  <c r="AM304" i="32"/>
  <c r="AL304" i="32"/>
  <c r="AJ304" i="32"/>
  <c r="AI304" i="32"/>
  <c r="AH304" i="32"/>
  <c r="AG304" i="32"/>
  <c r="AA304" i="32"/>
  <c r="X304" i="32"/>
  <c r="Z304" i="32" s="1"/>
  <c r="W304" i="32"/>
  <c r="AQ303" i="32"/>
  <c r="AU303" i="32" s="1"/>
  <c r="AP303" i="32"/>
  <c r="AO303" i="32"/>
  <c r="AN303" i="32"/>
  <c r="AM303" i="32"/>
  <c r="AL303" i="32"/>
  <c r="AJ303" i="32"/>
  <c r="AI303" i="32"/>
  <c r="AH303" i="32"/>
  <c r="AG303" i="32"/>
  <c r="AA303" i="32"/>
  <c r="X303" i="32"/>
  <c r="Z303" i="32" s="1"/>
  <c r="W303" i="32"/>
  <c r="AQ302" i="32"/>
  <c r="AU302" i="32" s="1"/>
  <c r="AP302" i="32"/>
  <c r="AO302" i="32"/>
  <c r="AN302" i="32"/>
  <c r="AM302" i="32"/>
  <c r="AL302" i="32"/>
  <c r="AJ302" i="32"/>
  <c r="AI302" i="32"/>
  <c r="AH302" i="32"/>
  <c r="AG302" i="32"/>
  <c r="AA302" i="32"/>
  <c r="X302" i="32"/>
  <c r="Y302" i="32" s="1"/>
  <c r="W302" i="32"/>
  <c r="AQ301" i="32"/>
  <c r="AS301" i="32" s="1"/>
  <c r="AP301" i="32"/>
  <c r="AO301" i="32"/>
  <c r="AN301" i="32"/>
  <c r="AM301" i="32"/>
  <c r="AL301" i="32"/>
  <c r="AJ301" i="32"/>
  <c r="AI301" i="32"/>
  <c r="AH301" i="32"/>
  <c r="AG301" i="32"/>
  <c r="AA301" i="32"/>
  <c r="X301" i="32"/>
  <c r="Z301" i="32" s="1"/>
  <c r="W301" i="32"/>
  <c r="AQ300" i="32"/>
  <c r="AU300" i="32" s="1"/>
  <c r="AP300" i="32"/>
  <c r="AO300" i="32"/>
  <c r="AN300" i="32"/>
  <c r="AM300" i="32"/>
  <c r="AL300" i="32"/>
  <c r="AJ300" i="32"/>
  <c r="AI300" i="32"/>
  <c r="AH300" i="32"/>
  <c r="AG300" i="32"/>
  <c r="AA300" i="32"/>
  <c r="X300" i="32"/>
  <c r="W300" i="32"/>
  <c r="AQ299" i="32"/>
  <c r="AT299" i="32" s="1"/>
  <c r="AP299" i="32"/>
  <c r="AO299" i="32"/>
  <c r="AN299" i="32"/>
  <c r="AM299" i="32"/>
  <c r="AL299" i="32"/>
  <c r="AJ299" i="32"/>
  <c r="AI299" i="32"/>
  <c r="AH299" i="32"/>
  <c r="AG299" i="32"/>
  <c r="AA299" i="32"/>
  <c r="X299" i="32"/>
  <c r="Z299" i="32" s="1"/>
  <c r="W299" i="32"/>
  <c r="AQ298" i="32"/>
  <c r="AR298" i="32" s="1"/>
  <c r="AP298" i="32"/>
  <c r="AO298" i="32"/>
  <c r="AN298" i="32"/>
  <c r="AM298" i="32"/>
  <c r="AL298" i="32"/>
  <c r="AJ298" i="32"/>
  <c r="AI298" i="32"/>
  <c r="AH298" i="32"/>
  <c r="AG298" i="32"/>
  <c r="AA298" i="32"/>
  <c r="X298" i="32"/>
  <c r="Y298" i="32" s="1"/>
  <c r="W298" i="32"/>
  <c r="AQ297" i="32"/>
  <c r="AT297" i="32" s="1"/>
  <c r="AP297" i="32"/>
  <c r="AO297" i="32"/>
  <c r="AN297" i="32"/>
  <c r="AM297" i="32"/>
  <c r="AL297" i="32"/>
  <c r="AJ297" i="32"/>
  <c r="AI297" i="32"/>
  <c r="AH297" i="32"/>
  <c r="AG297" i="32"/>
  <c r="AA297" i="32"/>
  <c r="X297" i="32"/>
  <c r="W297" i="32"/>
  <c r="AQ296" i="32"/>
  <c r="AR296" i="32" s="1"/>
  <c r="AP296" i="32"/>
  <c r="AO296" i="32"/>
  <c r="AN296" i="32"/>
  <c r="AM296" i="32"/>
  <c r="AL296" i="32"/>
  <c r="AJ296" i="32"/>
  <c r="AI296" i="32"/>
  <c r="AH296" i="32"/>
  <c r="AG296" i="32"/>
  <c r="AA296" i="32"/>
  <c r="X296" i="32"/>
  <c r="Z296" i="32" s="1"/>
  <c r="W296" i="32"/>
  <c r="AQ295" i="32"/>
  <c r="AR295" i="32" s="1"/>
  <c r="AP295" i="32"/>
  <c r="AO295" i="32"/>
  <c r="AN295" i="32"/>
  <c r="AG295" i="32" s="1"/>
  <c r="AH295" i="32"/>
  <c r="AA295" i="32"/>
  <c r="X295" i="32"/>
  <c r="W295" i="32"/>
  <c r="AQ294" i="32"/>
  <c r="AS294" i="32" s="1"/>
  <c r="AP294" i="32"/>
  <c r="AO294" i="32"/>
  <c r="AN294" i="32"/>
  <c r="AG294" i="32" s="1"/>
  <c r="AH294" i="32"/>
  <c r="AA294" i="32"/>
  <c r="X294" i="32"/>
  <c r="Y294" i="32" s="1"/>
  <c r="W294" i="32"/>
  <c r="AQ293" i="32"/>
  <c r="AS293" i="32" s="1"/>
  <c r="AP293" i="32"/>
  <c r="AH293" i="32" s="1"/>
  <c r="AO293" i="32"/>
  <c r="AN293" i="32"/>
  <c r="AG293" i="32" s="1"/>
  <c r="AA293" i="32"/>
  <c r="X293" i="32"/>
  <c r="Z293" i="32" s="1"/>
  <c r="W293" i="32"/>
  <c r="AQ292" i="32"/>
  <c r="AR292" i="32" s="1"/>
  <c r="AP292" i="32"/>
  <c r="AH292" i="32" s="1"/>
  <c r="AO292" i="32"/>
  <c r="AN292" i="32"/>
  <c r="AG292" i="32" s="1"/>
  <c r="AA292" i="32"/>
  <c r="X292" i="32"/>
  <c r="Z292" i="32" s="1"/>
  <c r="W292" i="32"/>
  <c r="AQ291" i="32"/>
  <c r="AP291" i="32"/>
  <c r="AO291" i="32"/>
  <c r="AN291" i="32"/>
  <c r="AG291" i="32" s="1"/>
  <c r="AH291" i="32"/>
  <c r="AA291" i="32"/>
  <c r="X291" i="32"/>
  <c r="Z291" i="32" s="1"/>
  <c r="W291" i="32"/>
  <c r="AQ290" i="32"/>
  <c r="AP290" i="32"/>
  <c r="AO290" i="32"/>
  <c r="AN290" i="32"/>
  <c r="AG290" i="32" s="1"/>
  <c r="AH290" i="32"/>
  <c r="AA290" i="32"/>
  <c r="X290" i="32"/>
  <c r="Y290" i="32" s="1"/>
  <c r="W290" i="32"/>
  <c r="AQ289" i="32"/>
  <c r="AP289" i="32"/>
  <c r="AO289" i="32"/>
  <c r="AN289" i="32"/>
  <c r="AG289" i="32" s="1"/>
  <c r="AH289" i="32"/>
  <c r="AA289" i="32"/>
  <c r="X289" i="32"/>
  <c r="Y289" i="32" s="1"/>
  <c r="W289" i="32"/>
  <c r="V289" i="32"/>
  <c r="AQ288" i="32"/>
  <c r="AS288" i="32" s="1"/>
  <c r="AP288" i="32"/>
  <c r="AO288" i="32"/>
  <c r="AN288" i="32"/>
  <c r="AG288" i="32" s="1"/>
  <c r="AH288" i="32"/>
  <c r="AA288" i="32"/>
  <c r="AQ286" i="32"/>
  <c r="AU286" i="32" s="1"/>
  <c r="AP286" i="32"/>
  <c r="AO286" i="32"/>
  <c r="AN286" i="32"/>
  <c r="AG286" i="32" s="1"/>
  <c r="AH286" i="32"/>
  <c r="AA286" i="32"/>
  <c r="X286" i="32"/>
  <c r="Y286" i="32" s="1"/>
  <c r="W286" i="32"/>
  <c r="AQ285" i="32"/>
  <c r="AT285" i="32" s="1"/>
  <c r="AP285" i="32"/>
  <c r="AO285" i="32"/>
  <c r="AN285" i="32"/>
  <c r="AG285" i="32" s="1"/>
  <c r="AH285" i="32"/>
  <c r="AA285" i="32"/>
  <c r="X285" i="32"/>
  <c r="Y285" i="32" s="1"/>
  <c r="W285" i="32"/>
  <c r="AQ284" i="32"/>
  <c r="AR284" i="32" s="1"/>
  <c r="AP284" i="32"/>
  <c r="AO284" i="32"/>
  <c r="AN284" i="32"/>
  <c r="AG284" i="32" s="1"/>
  <c r="AH284" i="32"/>
  <c r="AI284" i="32" s="1"/>
  <c r="AA284" i="32"/>
  <c r="X284" i="32"/>
  <c r="Z284" i="32" s="1"/>
  <c r="W284" i="32"/>
  <c r="AQ283" i="32"/>
  <c r="AU283" i="32" s="1"/>
  <c r="AP283" i="32"/>
  <c r="AO283" i="32"/>
  <c r="AN283" i="32"/>
  <c r="AM283" i="32"/>
  <c r="AL283" i="32"/>
  <c r="AJ283" i="32"/>
  <c r="AI283" i="32"/>
  <c r="AH283" i="32"/>
  <c r="AG283" i="32"/>
  <c r="AA283" i="32"/>
  <c r="X283" i="32"/>
  <c r="Z283" i="32" s="1"/>
  <c r="W283" i="32"/>
  <c r="AQ282" i="32"/>
  <c r="AT282" i="32" s="1"/>
  <c r="AP282" i="32"/>
  <c r="AO282" i="32"/>
  <c r="AN282" i="32"/>
  <c r="AM282" i="32"/>
  <c r="AL282" i="32"/>
  <c r="AJ282" i="32"/>
  <c r="AI282" i="32"/>
  <c r="AH282" i="32"/>
  <c r="AG282" i="32"/>
  <c r="AA282" i="32"/>
  <c r="X282" i="32"/>
  <c r="Y282" i="32" s="1"/>
  <c r="W282" i="32"/>
  <c r="AQ281" i="32"/>
  <c r="AR281" i="32" s="1"/>
  <c r="AP281" i="32"/>
  <c r="AO281" i="32"/>
  <c r="AN281" i="32"/>
  <c r="AM281" i="32"/>
  <c r="AL281" i="32"/>
  <c r="AJ281" i="32"/>
  <c r="AI281" i="32"/>
  <c r="AH281" i="32"/>
  <c r="AG281" i="32"/>
  <c r="AA281" i="32"/>
  <c r="X281" i="32"/>
  <c r="Z281" i="32" s="1"/>
  <c r="W281" i="32"/>
  <c r="AQ280" i="32"/>
  <c r="AP280" i="32"/>
  <c r="AO280" i="32"/>
  <c r="AN280" i="32"/>
  <c r="AM280" i="32"/>
  <c r="AL280" i="32"/>
  <c r="AJ280" i="32"/>
  <c r="AI280" i="32"/>
  <c r="AH280" i="32"/>
  <c r="AG280" i="32"/>
  <c r="AA280" i="32"/>
  <c r="X280" i="32"/>
  <c r="W280" i="32"/>
  <c r="AQ279" i="32"/>
  <c r="AU279" i="32" s="1"/>
  <c r="AP279" i="32"/>
  <c r="AO279" i="32"/>
  <c r="AN279" i="32"/>
  <c r="AM279" i="32"/>
  <c r="AL279" i="32"/>
  <c r="AJ279" i="32"/>
  <c r="AI279" i="32"/>
  <c r="AH279" i="32"/>
  <c r="AG279" i="32"/>
  <c r="AA279" i="32"/>
  <c r="X279" i="32"/>
  <c r="Z279" i="32" s="1"/>
  <c r="W279" i="32"/>
  <c r="AQ278" i="32"/>
  <c r="AS278" i="32" s="1"/>
  <c r="AP278" i="32"/>
  <c r="AO278" i="32"/>
  <c r="AN278" i="32"/>
  <c r="AM278" i="32"/>
  <c r="AL278" i="32"/>
  <c r="AJ278" i="32"/>
  <c r="AI278" i="32"/>
  <c r="AH278" i="32"/>
  <c r="AG278" i="32"/>
  <c r="AA278" i="32"/>
  <c r="X278" i="32"/>
  <c r="W278" i="32"/>
  <c r="AQ277" i="32"/>
  <c r="AU277" i="32" s="1"/>
  <c r="AP277" i="32"/>
  <c r="AO277" i="32"/>
  <c r="AN277" i="32"/>
  <c r="AM277" i="32"/>
  <c r="AL277" i="32"/>
  <c r="AJ277" i="32"/>
  <c r="AI277" i="32"/>
  <c r="AH277" i="32"/>
  <c r="AG277" i="32"/>
  <c r="AA277" i="32"/>
  <c r="X277" i="32"/>
  <c r="Z277" i="32" s="1"/>
  <c r="W277" i="32"/>
  <c r="AQ276" i="32"/>
  <c r="AU276" i="32" s="1"/>
  <c r="AP276" i="32"/>
  <c r="AO276" i="32"/>
  <c r="AN276" i="32"/>
  <c r="AM276" i="32"/>
  <c r="AL276" i="32"/>
  <c r="AJ276" i="32"/>
  <c r="AI276" i="32"/>
  <c r="AH276" i="32"/>
  <c r="AG276" i="32"/>
  <c r="AA276" i="32"/>
  <c r="X276" i="32"/>
  <c r="Z276" i="32" s="1"/>
  <c r="W276" i="32"/>
  <c r="AQ275" i="32"/>
  <c r="AP275" i="32"/>
  <c r="AO275" i="32"/>
  <c r="AN275" i="32"/>
  <c r="AM275" i="32"/>
  <c r="AL275" i="32"/>
  <c r="AJ275" i="32"/>
  <c r="AI275" i="32"/>
  <c r="AH275" i="32"/>
  <c r="AG275" i="32"/>
  <c r="AA275" i="32"/>
  <c r="X275" i="32"/>
  <c r="Y275" i="32" s="1"/>
  <c r="W275" i="32"/>
  <c r="AQ274" i="32"/>
  <c r="AP274" i="32"/>
  <c r="AO274" i="32"/>
  <c r="AN274" i="32"/>
  <c r="AM274" i="32"/>
  <c r="AL274" i="32"/>
  <c r="AJ274" i="32"/>
  <c r="AI274" i="32"/>
  <c r="AH274" i="32"/>
  <c r="AG274" i="32"/>
  <c r="AA274" i="32"/>
  <c r="X274" i="32"/>
  <c r="Y274" i="32" s="1"/>
  <c r="W274" i="32"/>
  <c r="AQ273" i="32"/>
  <c r="AP273" i="32"/>
  <c r="AO273" i="32"/>
  <c r="AN273" i="32"/>
  <c r="AM273" i="32"/>
  <c r="AL273" i="32"/>
  <c r="AJ273" i="32"/>
  <c r="AI273" i="32"/>
  <c r="AH273" i="32"/>
  <c r="AG273" i="32"/>
  <c r="AA273" i="32"/>
  <c r="X273" i="32"/>
  <c r="Z273" i="32" s="1"/>
  <c r="W273" i="32"/>
  <c r="AQ272" i="32"/>
  <c r="AU272" i="32" s="1"/>
  <c r="AP272" i="32"/>
  <c r="AO272" i="32"/>
  <c r="AN272" i="32"/>
  <c r="AM272" i="32"/>
  <c r="AL272" i="32"/>
  <c r="AJ272" i="32"/>
  <c r="AI272" i="32"/>
  <c r="AH272" i="32"/>
  <c r="AG272" i="32"/>
  <c r="AA272" i="32"/>
  <c r="X272" i="32"/>
  <c r="Z272" i="32" s="1"/>
  <c r="W272" i="32"/>
  <c r="AQ271" i="32"/>
  <c r="AS271" i="32" s="1"/>
  <c r="AP271" i="32"/>
  <c r="AO271" i="32"/>
  <c r="AN271" i="32"/>
  <c r="AM271" i="32"/>
  <c r="AL271" i="32"/>
  <c r="AJ271" i="32"/>
  <c r="AI271" i="32"/>
  <c r="AH271" i="32"/>
  <c r="AG271" i="32"/>
  <c r="AA271" i="32"/>
  <c r="X271" i="32"/>
  <c r="Y271" i="32" s="1"/>
  <c r="W271" i="32"/>
  <c r="AQ270" i="32"/>
  <c r="AP270" i="32"/>
  <c r="AO270" i="32"/>
  <c r="AN270" i="32"/>
  <c r="AM270" i="32"/>
  <c r="AL270" i="32"/>
  <c r="AJ270" i="32"/>
  <c r="AI270" i="32"/>
  <c r="AH270" i="32"/>
  <c r="AG270" i="32"/>
  <c r="AA270" i="32"/>
  <c r="X270" i="32"/>
  <c r="Z270" i="32" s="1"/>
  <c r="W270" i="32"/>
  <c r="AQ269" i="32"/>
  <c r="AP269" i="32"/>
  <c r="AO269" i="32"/>
  <c r="AN269" i="32"/>
  <c r="AM269" i="32"/>
  <c r="AL269" i="32"/>
  <c r="AJ269" i="32"/>
  <c r="AI269" i="32"/>
  <c r="AH269" i="32"/>
  <c r="AG269" i="32"/>
  <c r="AA269" i="32"/>
  <c r="X269" i="32"/>
  <c r="Y269" i="32" s="1"/>
  <c r="W269" i="32"/>
  <c r="AQ268" i="32"/>
  <c r="AP268" i="32"/>
  <c r="AO268" i="32"/>
  <c r="AN268" i="32"/>
  <c r="AM268" i="32"/>
  <c r="AL268" i="32"/>
  <c r="AJ268" i="32"/>
  <c r="AI268" i="32"/>
  <c r="AH268" i="32"/>
  <c r="AG268" i="32"/>
  <c r="AA268" i="32"/>
  <c r="X268" i="32"/>
  <c r="W268" i="32"/>
  <c r="AQ267" i="32"/>
  <c r="AP267" i="32"/>
  <c r="AO267" i="32"/>
  <c r="AN267" i="32"/>
  <c r="AG267" i="32" s="1"/>
  <c r="AH267" i="32"/>
  <c r="AL267" i="32" s="1"/>
  <c r="AA267" i="32"/>
  <c r="X267" i="32"/>
  <c r="Z267" i="32" s="1"/>
  <c r="W267" i="32"/>
  <c r="AQ266" i="32"/>
  <c r="AP266" i="32"/>
  <c r="AO266" i="32"/>
  <c r="AN266" i="32"/>
  <c r="AG266" i="32" s="1"/>
  <c r="AH266" i="32"/>
  <c r="AA266" i="32"/>
  <c r="X266" i="32"/>
  <c r="Z266" i="32" s="1"/>
  <c r="W266" i="32"/>
  <c r="AQ265" i="32"/>
  <c r="AR265" i="32" s="1"/>
  <c r="AP265" i="32"/>
  <c r="AO265" i="32"/>
  <c r="AN265" i="32"/>
  <c r="AG265" i="32" s="1"/>
  <c r="AH265" i="32"/>
  <c r="AA265" i="32"/>
  <c r="X265" i="32"/>
  <c r="Z265" i="32" s="1"/>
  <c r="W265" i="32"/>
  <c r="AQ264" i="32"/>
  <c r="AP264" i="32"/>
  <c r="AO264" i="32"/>
  <c r="AN264" i="32"/>
  <c r="AG264" i="32" s="1"/>
  <c r="AH264" i="32"/>
  <c r="AA264" i="32"/>
  <c r="X264" i="32"/>
  <c r="Y264" i="32" s="1"/>
  <c r="W264" i="32"/>
  <c r="AQ263" i="32"/>
  <c r="AR263" i="32" s="1"/>
  <c r="AP263" i="32"/>
  <c r="AO263" i="32"/>
  <c r="AN263" i="32"/>
  <c r="AG263" i="32" s="1"/>
  <c r="AH263" i="32"/>
  <c r="AA263" i="32"/>
  <c r="X263" i="32"/>
  <c r="Z263" i="32" s="1"/>
  <c r="W263" i="32"/>
  <c r="AQ262" i="32"/>
  <c r="AS262" i="32" s="1"/>
  <c r="AP262" i="32"/>
  <c r="AO262" i="32"/>
  <c r="AN262" i="32"/>
  <c r="AG262" i="32" s="1"/>
  <c r="AH262" i="32"/>
  <c r="AI262" i="32" s="1"/>
  <c r="AA262" i="32"/>
  <c r="X262" i="32"/>
  <c r="Z262" i="32" s="1"/>
  <c r="W262" i="32"/>
  <c r="AQ261" i="32"/>
  <c r="AP261" i="32"/>
  <c r="AO261" i="32"/>
  <c r="AN261" i="32"/>
  <c r="AG261" i="32" s="1"/>
  <c r="AH261" i="32"/>
  <c r="AA261" i="32"/>
  <c r="X261" i="32"/>
  <c r="Y261" i="32" s="1"/>
  <c r="W261" i="32"/>
  <c r="AQ260" i="32"/>
  <c r="AU260" i="32" s="1"/>
  <c r="AP260" i="32"/>
  <c r="AO260" i="32"/>
  <c r="AN260" i="32"/>
  <c r="AG260" i="32" s="1"/>
  <c r="AH260" i="32"/>
  <c r="AA260" i="32"/>
  <c r="X260" i="32"/>
  <c r="Y260" i="32" s="1"/>
  <c r="W260" i="32"/>
  <c r="AQ259" i="32"/>
  <c r="AR259" i="32" s="1"/>
  <c r="AP259" i="32"/>
  <c r="AO259" i="32"/>
  <c r="AN259" i="32"/>
  <c r="AG259" i="32" s="1"/>
  <c r="AH259" i="32"/>
  <c r="AJ259" i="32" s="1"/>
  <c r="AA259" i="32"/>
  <c r="X259" i="32"/>
  <c r="Z259" i="32" s="1"/>
  <c r="W259" i="32"/>
  <c r="AQ258" i="32"/>
  <c r="AU258" i="32" s="1"/>
  <c r="AP258" i="32"/>
  <c r="AO258" i="32"/>
  <c r="AN258" i="32"/>
  <c r="AG258" i="32" s="1"/>
  <c r="AH258" i="32"/>
  <c r="AI258" i="32" s="1"/>
  <c r="AA258" i="32"/>
  <c r="X258" i="32"/>
  <c r="Z258" i="32" s="1"/>
  <c r="W258" i="32"/>
  <c r="AQ257" i="32"/>
  <c r="AS257" i="32" s="1"/>
  <c r="AP257" i="32"/>
  <c r="AO257" i="32"/>
  <c r="AN257" i="32"/>
  <c r="AG257" i="32" s="1"/>
  <c r="AH257" i="32"/>
  <c r="AI257" i="32" s="1"/>
  <c r="AA257" i="32"/>
  <c r="X257" i="32"/>
  <c r="Z257" i="32" s="1"/>
  <c r="W257" i="32"/>
  <c r="AQ256" i="32"/>
  <c r="AU256" i="32" s="1"/>
  <c r="AP256" i="32"/>
  <c r="AO256" i="32"/>
  <c r="AN256" i="32"/>
  <c r="AG256" i="32" s="1"/>
  <c r="AH256" i="32"/>
  <c r="AJ256" i="32" s="1"/>
  <c r="AA256" i="32"/>
  <c r="X256" i="32"/>
  <c r="Z256" i="32" s="1"/>
  <c r="W256" i="32"/>
  <c r="AQ255" i="32"/>
  <c r="AP255" i="32"/>
  <c r="AO255" i="32"/>
  <c r="AN255" i="32"/>
  <c r="AG255" i="32" s="1"/>
  <c r="AH255" i="32"/>
  <c r="AJ255" i="32" s="1"/>
  <c r="AA255" i="32"/>
  <c r="X255" i="32"/>
  <c r="Z255" i="32" s="1"/>
  <c r="W255" i="32"/>
  <c r="AQ254" i="32"/>
  <c r="AP254" i="32"/>
  <c r="AO254" i="32"/>
  <c r="AN254" i="32"/>
  <c r="AG254" i="32" s="1"/>
  <c r="AH254" i="32"/>
  <c r="AJ254" i="32" s="1"/>
  <c r="AA254" i="32"/>
  <c r="X254" i="32"/>
  <c r="Y254" i="32" s="1"/>
  <c r="W254" i="32"/>
  <c r="AQ253" i="32"/>
  <c r="AU253" i="32" s="1"/>
  <c r="AP253" i="32"/>
  <c r="AO253" i="32"/>
  <c r="AN253" i="32"/>
  <c r="AG253" i="32" s="1"/>
  <c r="AH253" i="32"/>
  <c r="AA253" i="32"/>
  <c r="X253" i="32"/>
  <c r="Y253" i="32" s="1"/>
  <c r="W253" i="32"/>
  <c r="V253" i="32"/>
  <c r="AQ252" i="32"/>
  <c r="AU252" i="32" s="1"/>
  <c r="AP252" i="32"/>
  <c r="AO252" i="32"/>
  <c r="AN252" i="32"/>
  <c r="AG252" i="32" s="1"/>
  <c r="AH252" i="32"/>
  <c r="AA252" i="32"/>
  <c r="AQ250" i="32"/>
  <c r="AU250" i="32" s="1"/>
  <c r="AP250" i="32"/>
  <c r="AO250" i="32"/>
  <c r="AN250" i="32"/>
  <c r="AG250" i="32" s="1"/>
  <c r="AH250" i="32"/>
  <c r="AJ250" i="32" s="1"/>
  <c r="AA250" i="32"/>
  <c r="X250" i="32"/>
  <c r="Y250" i="32" s="1"/>
  <c r="W250" i="32"/>
  <c r="AQ249" i="32"/>
  <c r="AT249" i="32" s="1"/>
  <c r="AP249" i="32"/>
  <c r="AO249" i="32"/>
  <c r="AN249" i="32"/>
  <c r="AG249" i="32" s="1"/>
  <c r="AH249" i="32"/>
  <c r="AA249" i="32"/>
  <c r="X249" i="32"/>
  <c r="W249" i="32"/>
  <c r="AQ248" i="32"/>
  <c r="AT248" i="32" s="1"/>
  <c r="AP248" i="32"/>
  <c r="AO248" i="32"/>
  <c r="AN248" i="32"/>
  <c r="AG248" i="32" s="1"/>
  <c r="AH248" i="32"/>
  <c r="AL248" i="32" s="1"/>
  <c r="AA248" i="32"/>
  <c r="X248" i="32"/>
  <c r="Y248" i="32" s="1"/>
  <c r="W248" i="32"/>
  <c r="AQ247" i="32"/>
  <c r="AP247" i="32"/>
  <c r="AO247" i="32"/>
  <c r="AN247" i="32"/>
  <c r="AG247" i="32" s="1"/>
  <c r="AH247" i="32"/>
  <c r="AL247" i="32" s="1"/>
  <c r="AA247" i="32"/>
  <c r="X247" i="32"/>
  <c r="W247" i="32"/>
  <c r="AQ246" i="32"/>
  <c r="AU246" i="32" s="1"/>
  <c r="AP246" i="32"/>
  <c r="AO246" i="32"/>
  <c r="AN246" i="32"/>
  <c r="AM246" i="32"/>
  <c r="AL246" i="32"/>
  <c r="AJ246" i="32"/>
  <c r="AI246" i="32"/>
  <c r="AH246" i="32"/>
  <c r="AG246" i="32"/>
  <c r="AA246" i="32"/>
  <c r="X246" i="32"/>
  <c r="Y246" i="32" s="1"/>
  <c r="W246" i="32"/>
  <c r="AQ245" i="32"/>
  <c r="AP245" i="32"/>
  <c r="AO245" i="32"/>
  <c r="AN245" i="32"/>
  <c r="AM245" i="32"/>
  <c r="AL245" i="32"/>
  <c r="AJ245" i="32"/>
  <c r="AI245" i="32"/>
  <c r="AH245" i="32"/>
  <c r="AG245" i="32"/>
  <c r="AA245" i="32"/>
  <c r="X245" i="32"/>
  <c r="Y245" i="32" s="1"/>
  <c r="W245" i="32"/>
  <c r="AQ244" i="32"/>
  <c r="AP244" i="32"/>
  <c r="AO244" i="32"/>
  <c r="AN244" i="32"/>
  <c r="AM244" i="32"/>
  <c r="AL244" i="32"/>
  <c r="AJ244" i="32"/>
  <c r="AI244" i="32"/>
  <c r="AH244" i="32"/>
  <c r="AG244" i="32"/>
  <c r="AA244" i="32"/>
  <c r="X244" i="32"/>
  <c r="Y244" i="32" s="1"/>
  <c r="W244" i="32"/>
  <c r="AQ243" i="32"/>
  <c r="AU243" i="32" s="1"/>
  <c r="AP243" i="32"/>
  <c r="AO243" i="32"/>
  <c r="AN243" i="32"/>
  <c r="AM243" i="32"/>
  <c r="AL243" i="32"/>
  <c r="AJ243" i="32"/>
  <c r="AI243" i="32"/>
  <c r="AH243" i="32"/>
  <c r="AG243" i="32"/>
  <c r="AA243" i="32"/>
  <c r="X243" i="32"/>
  <c r="Z243" i="32" s="1"/>
  <c r="W243" i="32"/>
  <c r="AQ242" i="32"/>
  <c r="AU242" i="32" s="1"/>
  <c r="AP242" i="32"/>
  <c r="AO242" i="32"/>
  <c r="AN242" i="32"/>
  <c r="AM242" i="32"/>
  <c r="AL242" i="32"/>
  <c r="AJ242" i="32"/>
  <c r="AI242" i="32"/>
  <c r="AH242" i="32"/>
  <c r="AG242" i="32"/>
  <c r="AA242" i="32"/>
  <c r="X242" i="32"/>
  <c r="Z242" i="32" s="1"/>
  <c r="W242" i="32"/>
  <c r="AQ241" i="32"/>
  <c r="AP241" i="32"/>
  <c r="AO241" i="32"/>
  <c r="AN241" i="32"/>
  <c r="AM241" i="32"/>
  <c r="AL241" i="32"/>
  <c r="AJ241" i="32"/>
  <c r="AI241" i="32"/>
  <c r="AH241" i="32"/>
  <c r="AG241" i="32"/>
  <c r="AA241" i="32"/>
  <c r="X241" i="32"/>
  <c r="Z241" i="32" s="1"/>
  <c r="W241" i="32"/>
  <c r="AQ240" i="32"/>
  <c r="AS240" i="32" s="1"/>
  <c r="AP240" i="32"/>
  <c r="AO240" i="32"/>
  <c r="AN240" i="32"/>
  <c r="AM240" i="32"/>
  <c r="AL240" i="32"/>
  <c r="AJ240" i="32"/>
  <c r="AI240" i="32"/>
  <c r="AH240" i="32"/>
  <c r="AG240" i="32"/>
  <c r="AA240" i="32"/>
  <c r="X240" i="32"/>
  <c r="Z240" i="32" s="1"/>
  <c r="W240" i="32"/>
  <c r="AQ239" i="32"/>
  <c r="AT239" i="32" s="1"/>
  <c r="AP239" i="32"/>
  <c r="AO239" i="32"/>
  <c r="AN239" i="32"/>
  <c r="AM239" i="32"/>
  <c r="AL239" i="32"/>
  <c r="AJ239" i="32"/>
  <c r="AI239" i="32"/>
  <c r="AH239" i="32"/>
  <c r="AG239" i="32"/>
  <c r="AA239" i="32"/>
  <c r="X239" i="32"/>
  <c r="W239" i="32"/>
  <c r="AQ238" i="32"/>
  <c r="AU238" i="32" s="1"/>
  <c r="AP238" i="32"/>
  <c r="AO238" i="32"/>
  <c r="AN238" i="32"/>
  <c r="AM238" i="32"/>
  <c r="AL238" i="32"/>
  <c r="AJ238" i="32"/>
  <c r="AI238" i="32"/>
  <c r="AH238" i="32"/>
  <c r="AG238" i="32"/>
  <c r="AA238" i="32"/>
  <c r="X238" i="32"/>
  <c r="Z238" i="32" s="1"/>
  <c r="W238" i="32"/>
  <c r="AQ237" i="32"/>
  <c r="AS237" i="32" s="1"/>
  <c r="AP237" i="32"/>
  <c r="AO237" i="32"/>
  <c r="AN237" i="32"/>
  <c r="AM237" i="32"/>
  <c r="AL237" i="32"/>
  <c r="AJ237" i="32"/>
  <c r="AI237" i="32"/>
  <c r="AH237" i="32"/>
  <c r="AG237" i="32"/>
  <c r="AA237" i="32"/>
  <c r="X237" i="32"/>
  <c r="Z237" i="32" s="1"/>
  <c r="W237" i="32"/>
  <c r="AQ236" i="32"/>
  <c r="AS236" i="32" s="1"/>
  <c r="AP236" i="32"/>
  <c r="AO236" i="32"/>
  <c r="AN236" i="32"/>
  <c r="AM236" i="32"/>
  <c r="AL236" i="32"/>
  <c r="AJ236" i="32"/>
  <c r="AI236" i="32"/>
  <c r="AH236" i="32"/>
  <c r="AG236" i="32"/>
  <c r="AA236" i="32"/>
  <c r="X236" i="32"/>
  <c r="Y236" i="32" s="1"/>
  <c r="W236" i="32"/>
  <c r="AQ235" i="32"/>
  <c r="AT235" i="32" s="1"/>
  <c r="AP235" i="32"/>
  <c r="AO235" i="32"/>
  <c r="AN235" i="32"/>
  <c r="AM235" i="32"/>
  <c r="AL235" i="32"/>
  <c r="AJ235" i="32"/>
  <c r="AI235" i="32"/>
  <c r="AH235" i="32"/>
  <c r="AG235" i="32"/>
  <c r="AA235" i="32"/>
  <c r="X235" i="32"/>
  <c r="W235" i="32"/>
  <c r="AQ234" i="32"/>
  <c r="AP234" i="32"/>
  <c r="AO234" i="32"/>
  <c r="AN234" i="32"/>
  <c r="AM234" i="32"/>
  <c r="AL234" i="32"/>
  <c r="AJ234" i="32"/>
  <c r="AI234" i="32"/>
  <c r="AH234" i="32"/>
  <c r="AG234" i="32"/>
  <c r="AA234" i="32"/>
  <c r="X234" i="32"/>
  <c r="Z234" i="32" s="1"/>
  <c r="W234" i="32"/>
  <c r="AQ233" i="32"/>
  <c r="AP233" i="32"/>
  <c r="AO233" i="32"/>
  <c r="AN233" i="32"/>
  <c r="AM233" i="32"/>
  <c r="AL233" i="32"/>
  <c r="AJ233" i="32"/>
  <c r="AI233" i="32"/>
  <c r="AH233" i="32"/>
  <c r="AG233" i="32"/>
  <c r="AA233" i="32"/>
  <c r="X233" i="32"/>
  <c r="Z233" i="32" s="1"/>
  <c r="W233" i="32"/>
  <c r="AQ232" i="32"/>
  <c r="AP232" i="32"/>
  <c r="AO232" i="32"/>
  <c r="AN232" i="32"/>
  <c r="AM232" i="32"/>
  <c r="AL232" i="32"/>
  <c r="AJ232" i="32"/>
  <c r="AI232" i="32"/>
  <c r="AH232" i="32"/>
  <c r="AG232" i="32"/>
  <c r="AA232" i="32"/>
  <c r="X232" i="32"/>
  <c r="Z232" i="32" s="1"/>
  <c r="W232" i="32"/>
  <c r="AQ231" i="32"/>
  <c r="AR231" i="32" s="1"/>
  <c r="AP231" i="32"/>
  <c r="AO231" i="32"/>
  <c r="AN231" i="32"/>
  <c r="AM231" i="32"/>
  <c r="AL231" i="32"/>
  <c r="AJ231" i="32"/>
  <c r="AI231" i="32"/>
  <c r="AH231" i="32"/>
  <c r="AG231" i="32"/>
  <c r="AA231" i="32"/>
  <c r="X231" i="32"/>
  <c r="Z231" i="32" s="1"/>
  <c r="W231" i="32"/>
  <c r="AQ230" i="32"/>
  <c r="AS230" i="32" s="1"/>
  <c r="AP230" i="32"/>
  <c r="AO230" i="32"/>
  <c r="AN230" i="32"/>
  <c r="AM230" i="32"/>
  <c r="AL230" i="32"/>
  <c r="AJ230" i="32"/>
  <c r="AI230" i="32"/>
  <c r="AH230" i="32"/>
  <c r="AG230" i="32"/>
  <c r="AA230" i="32"/>
  <c r="X230" i="32"/>
  <c r="Z230" i="32" s="1"/>
  <c r="W230" i="32"/>
  <c r="AQ229" i="32"/>
  <c r="AU229" i="32" s="1"/>
  <c r="AP229" i="32"/>
  <c r="AO229" i="32"/>
  <c r="AN229" i="32"/>
  <c r="AM229" i="32"/>
  <c r="AL229" i="32"/>
  <c r="AJ229" i="32"/>
  <c r="AI229" i="32"/>
  <c r="AH229" i="32"/>
  <c r="AG229" i="32"/>
  <c r="AA229" i="32"/>
  <c r="X229" i="32"/>
  <c r="Z229" i="32" s="1"/>
  <c r="W229" i="32"/>
  <c r="AQ228" i="32"/>
  <c r="AS228" i="32" s="1"/>
  <c r="AP228" i="32"/>
  <c r="AO228" i="32"/>
  <c r="AN228" i="32"/>
  <c r="AM228" i="32"/>
  <c r="AL228" i="32"/>
  <c r="AJ228" i="32"/>
  <c r="AI228" i="32"/>
  <c r="AH228" i="32"/>
  <c r="AG228" i="32"/>
  <c r="AA228" i="32"/>
  <c r="X228" i="32"/>
  <c r="Z228" i="32" s="1"/>
  <c r="W228" i="32"/>
  <c r="AQ227" i="32"/>
  <c r="AU227" i="32" s="1"/>
  <c r="AP227" i="32"/>
  <c r="AO227" i="32"/>
  <c r="AN227" i="32"/>
  <c r="AM227" i="32"/>
  <c r="AL227" i="32"/>
  <c r="AJ227" i="32"/>
  <c r="AI227" i="32"/>
  <c r="AH227" i="32"/>
  <c r="AG227" i="32"/>
  <c r="AA227" i="32"/>
  <c r="X227" i="32"/>
  <c r="W227" i="32"/>
  <c r="AQ226" i="32"/>
  <c r="AU226" i="32" s="1"/>
  <c r="AP226" i="32"/>
  <c r="AO226" i="32"/>
  <c r="AN226" i="32"/>
  <c r="AM226" i="32"/>
  <c r="AL226" i="32"/>
  <c r="AJ226" i="32"/>
  <c r="AI226" i="32"/>
  <c r="AH226" i="32"/>
  <c r="AG226" i="32"/>
  <c r="AA226" i="32"/>
  <c r="X226" i="32"/>
  <c r="Y226" i="32" s="1"/>
  <c r="W226" i="32"/>
  <c r="AQ225" i="32"/>
  <c r="AR225" i="32" s="1"/>
  <c r="AP225" i="32"/>
  <c r="AO225" i="32"/>
  <c r="AN225" i="32"/>
  <c r="AM225" i="32"/>
  <c r="AL225" i="32"/>
  <c r="AJ225" i="32"/>
  <c r="AI225" i="32"/>
  <c r="AH225" i="32"/>
  <c r="AG225" i="32"/>
  <c r="AA225" i="32"/>
  <c r="X225" i="32"/>
  <c r="Z225" i="32" s="1"/>
  <c r="W225" i="32"/>
  <c r="AQ224" i="32"/>
  <c r="AU224" i="32" s="1"/>
  <c r="AP224" i="32"/>
  <c r="AH224" i="32" s="1"/>
  <c r="AL224" i="32" s="1"/>
  <c r="AO224" i="32"/>
  <c r="AN224" i="32"/>
  <c r="AG224" i="32" s="1"/>
  <c r="AA224" i="32"/>
  <c r="X224" i="32"/>
  <c r="Y224" i="32" s="1"/>
  <c r="W224" i="32"/>
  <c r="AQ223" i="32"/>
  <c r="AP223" i="32"/>
  <c r="AH223" i="32" s="1"/>
  <c r="AO223" i="32"/>
  <c r="AN223" i="32"/>
  <c r="AG223" i="32" s="1"/>
  <c r="AA223" i="32"/>
  <c r="X223" i="32"/>
  <c r="Z223" i="32" s="1"/>
  <c r="W223" i="32"/>
  <c r="AQ222" i="32"/>
  <c r="AR222" i="32" s="1"/>
  <c r="AP222" i="32"/>
  <c r="AO222" i="32"/>
  <c r="AN222" i="32"/>
  <c r="AG222" i="32" s="1"/>
  <c r="AH222" i="32"/>
  <c r="AA222" i="32"/>
  <c r="X222" i="32"/>
  <c r="Z222" i="32" s="1"/>
  <c r="W222" i="32"/>
  <c r="AQ221" i="32"/>
  <c r="AP221" i="32"/>
  <c r="AO221" i="32"/>
  <c r="AN221" i="32"/>
  <c r="AG221" i="32" s="1"/>
  <c r="AH221" i="32"/>
  <c r="AA221" i="32"/>
  <c r="X221" i="32"/>
  <c r="Y221" i="32" s="1"/>
  <c r="W221" i="32"/>
  <c r="AQ220" i="32"/>
  <c r="AU220" i="32" s="1"/>
  <c r="AP220" i="32"/>
  <c r="AO220" i="32"/>
  <c r="AN220" i="32"/>
  <c r="AG220" i="32" s="1"/>
  <c r="AH220" i="32"/>
  <c r="AA220" i="32"/>
  <c r="X220" i="32"/>
  <c r="W220" i="32"/>
  <c r="AQ219" i="32"/>
  <c r="AP219" i="32"/>
  <c r="AO219" i="32"/>
  <c r="AN219" i="32"/>
  <c r="AG219" i="32" s="1"/>
  <c r="AH219" i="32"/>
  <c r="AA219" i="32"/>
  <c r="X219" i="32"/>
  <c r="Z219" i="32" s="1"/>
  <c r="W219" i="32"/>
  <c r="AQ218" i="32"/>
  <c r="AU218" i="32" s="1"/>
  <c r="AP218" i="32"/>
  <c r="AO218" i="32"/>
  <c r="AN218" i="32"/>
  <c r="AG218" i="32" s="1"/>
  <c r="AH218" i="32"/>
  <c r="AL218" i="32" s="1"/>
  <c r="AA218" i="32"/>
  <c r="X218" i="32"/>
  <c r="Z218" i="32" s="1"/>
  <c r="W218" i="32"/>
  <c r="AQ217" i="32"/>
  <c r="AP217" i="32"/>
  <c r="AO217" i="32"/>
  <c r="AN217" i="32"/>
  <c r="AG217" i="32" s="1"/>
  <c r="AH217" i="32"/>
  <c r="AL217" i="32" s="1"/>
  <c r="AA217" i="32"/>
  <c r="X217" i="32"/>
  <c r="Z217" i="32" s="1"/>
  <c r="W217" i="32"/>
  <c r="V217" i="32"/>
  <c r="AQ216" i="32"/>
  <c r="AP216" i="32"/>
  <c r="AH216" i="32" s="1"/>
  <c r="AI216" i="32" s="1"/>
  <c r="AO216" i="32"/>
  <c r="AN216" i="32"/>
  <c r="AG216" i="32" s="1"/>
  <c r="AA216" i="32"/>
  <c r="AQ214" i="32"/>
  <c r="AT214" i="32" s="1"/>
  <c r="AP214" i="32"/>
  <c r="AO214" i="32"/>
  <c r="AN214" i="32"/>
  <c r="AG214" i="32" s="1"/>
  <c r="AH214" i="32"/>
  <c r="AA214" i="32"/>
  <c r="X214" i="32"/>
  <c r="W214" i="32"/>
  <c r="AQ213" i="32"/>
  <c r="AP213" i="32"/>
  <c r="AO213" i="32"/>
  <c r="AN213" i="32"/>
  <c r="AG213" i="32" s="1"/>
  <c r="AH213" i="32"/>
  <c r="AI213" i="32" s="1"/>
  <c r="AA213" i="32"/>
  <c r="X213" i="32"/>
  <c r="Y213" i="32" s="1"/>
  <c r="W213" i="32"/>
  <c r="AQ212" i="32"/>
  <c r="AT212" i="32" s="1"/>
  <c r="AP212" i="32"/>
  <c r="AO212" i="32"/>
  <c r="AN212" i="32"/>
  <c r="AG212" i="32" s="1"/>
  <c r="AH212" i="32"/>
  <c r="AJ212" i="32" s="1"/>
  <c r="AA212" i="32"/>
  <c r="X212" i="32"/>
  <c r="Y212" i="32" s="1"/>
  <c r="W212" i="32"/>
  <c r="AQ211" i="32"/>
  <c r="AP211" i="32"/>
  <c r="AO211" i="32"/>
  <c r="AN211" i="32"/>
  <c r="AG211" i="32" s="1"/>
  <c r="AH211" i="32"/>
  <c r="AA211" i="32"/>
  <c r="X211" i="32"/>
  <c r="Z211" i="32" s="1"/>
  <c r="W211" i="32"/>
  <c r="AQ210" i="32"/>
  <c r="AP210" i="32"/>
  <c r="AO210" i="32"/>
  <c r="AN210" i="32"/>
  <c r="AM210" i="32"/>
  <c r="AL210" i="32"/>
  <c r="AJ210" i="32"/>
  <c r="AI210" i="32"/>
  <c r="AH210" i="32"/>
  <c r="AG210" i="32"/>
  <c r="AA210" i="32"/>
  <c r="X210" i="32"/>
  <c r="Z210" i="32" s="1"/>
  <c r="W210" i="32"/>
  <c r="AQ209" i="32"/>
  <c r="AU209" i="32" s="1"/>
  <c r="AP209" i="32"/>
  <c r="AO209" i="32"/>
  <c r="AN209" i="32"/>
  <c r="AM209" i="32"/>
  <c r="AL209" i="32"/>
  <c r="AJ209" i="32"/>
  <c r="AI209" i="32"/>
  <c r="AH209" i="32"/>
  <c r="AG209" i="32"/>
  <c r="AA209" i="32"/>
  <c r="X209" i="32"/>
  <c r="Z209" i="32" s="1"/>
  <c r="W209" i="32"/>
  <c r="AQ208" i="32"/>
  <c r="AS208" i="32" s="1"/>
  <c r="AP208" i="32"/>
  <c r="AO208" i="32"/>
  <c r="AN208" i="32"/>
  <c r="AM208" i="32"/>
  <c r="AL208" i="32"/>
  <c r="AJ208" i="32"/>
  <c r="AI208" i="32"/>
  <c r="AH208" i="32"/>
  <c r="AG208" i="32"/>
  <c r="AA208" i="32"/>
  <c r="X208" i="32"/>
  <c r="Z208" i="32" s="1"/>
  <c r="W208" i="32"/>
  <c r="AQ207" i="32"/>
  <c r="AS207" i="32" s="1"/>
  <c r="AP207" i="32"/>
  <c r="AO207" i="32"/>
  <c r="AN207" i="32"/>
  <c r="AM207" i="32"/>
  <c r="AL207" i="32"/>
  <c r="AJ207" i="32"/>
  <c r="AI207" i="32"/>
  <c r="AH207" i="32"/>
  <c r="AG207" i="32"/>
  <c r="AA207" i="32"/>
  <c r="X207" i="32"/>
  <c r="Y207" i="32" s="1"/>
  <c r="W207" i="32"/>
  <c r="AQ206" i="32"/>
  <c r="AP206" i="32"/>
  <c r="AO206" i="32"/>
  <c r="AN206" i="32"/>
  <c r="AM206" i="32"/>
  <c r="AL206" i="32"/>
  <c r="AJ206" i="32"/>
  <c r="AI206" i="32"/>
  <c r="AH206" i="32"/>
  <c r="AG206" i="32"/>
  <c r="AA206" i="32"/>
  <c r="X206" i="32"/>
  <c r="Z206" i="32" s="1"/>
  <c r="W206" i="32"/>
  <c r="AQ205" i="32"/>
  <c r="AP205" i="32"/>
  <c r="AO205" i="32"/>
  <c r="AN205" i="32"/>
  <c r="AM205" i="32"/>
  <c r="AL205" i="32"/>
  <c r="AJ205" i="32"/>
  <c r="AI205" i="32"/>
  <c r="AH205" i="32"/>
  <c r="AG205" i="32"/>
  <c r="AA205" i="32"/>
  <c r="X205" i="32"/>
  <c r="Z205" i="32" s="1"/>
  <c r="W205" i="32"/>
  <c r="AQ204" i="32"/>
  <c r="AU204" i="32" s="1"/>
  <c r="AP204" i="32"/>
  <c r="AO204" i="32"/>
  <c r="AN204" i="32"/>
  <c r="AM204" i="32"/>
  <c r="AL204" i="32"/>
  <c r="AJ204" i="32"/>
  <c r="AI204" i="32"/>
  <c r="AH204" i="32"/>
  <c r="AG204" i="32"/>
  <c r="AA204" i="32"/>
  <c r="X204" i="32"/>
  <c r="Z204" i="32" s="1"/>
  <c r="W204" i="32"/>
  <c r="AQ203" i="32"/>
  <c r="AP203" i="32"/>
  <c r="AO203" i="32"/>
  <c r="AN203" i="32"/>
  <c r="AM203" i="32"/>
  <c r="AL203" i="32"/>
  <c r="AJ203" i="32"/>
  <c r="AI203" i="32"/>
  <c r="AH203" i="32"/>
  <c r="AG203" i="32"/>
  <c r="AA203" i="32"/>
  <c r="X203" i="32"/>
  <c r="W203" i="32"/>
  <c r="AQ202" i="32"/>
  <c r="AR202" i="32" s="1"/>
  <c r="AP202" i="32"/>
  <c r="AO202" i="32"/>
  <c r="AN202" i="32"/>
  <c r="AM202" i="32"/>
  <c r="AL202" i="32"/>
  <c r="AJ202" i="32"/>
  <c r="AI202" i="32"/>
  <c r="AH202" i="32"/>
  <c r="AG202" i="32"/>
  <c r="AA202" i="32"/>
  <c r="X202" i="32"/>
  <c r="Z202" i="32" s="1"/>
  <c r="W202" i="32"/>
  <c r="AQ201" i="32"/>
  <c r="AU201" i="32" s="1"/>
  <c r="AP201" i="32"/>
  <c r="AO201" i="32"/>
  <c r="AN201" i="32"/>
  <c r="AM201" i="32"/>
  <c r="AL201" i="32"/>
  <c r="AJ201" i="32"/>
  <c r="AI201" i="32"/>
  <c r="AH201" i="32"/>
  <c r="AG201" i="32"/>
  <c r="AA201" i="32"/>
  <c r="X201" i="32"/>
  <c r="Z201" i="32" s="1"/>
  <c r="W201" i="32"/>
  <c r="AQ200" i="32"/>
  <c r="AP200" i="32"/>
  <c r="AO200" i="32"/>
  <c r="AN200" i="32"/>
  <c r="AM200" i="32"/>
  <c r="AL200" i="32"/>
  <c r="AJ200" i="32"/>
  <c r="AI200" i="32"/>
  <c r="AH200" i="32"/>
  <c r="AG200" i="32"/>
  <c r="AA200" i="32"/>
  <c r="X200" i="32"/>
  <c r="W200" i="32"/>
  <c r="AQ199" i="32"/>
  <c r="AP199" i="32"/>
  <c r="AO199" i="32"/>
  <c r="AN199" i="32"/>
  <c r="AM199" i="32"/>
  <c r="AL199" i="32"/>
  <c r="AJ199" i="32"/>
  <c r="AI199" i="32"/>
  <c r="AH199" i="32"/>
  <c r="AG199" i="32"/>
  <c r="AA199" i="32"/>
  <c r="X199" i="32"/>
  <c r="W199" i="32"/>
  <c r="AQ198" i="32"/>
  <c r="AR198" i="32" s="1"/>
  <c r="AP198" i="32"/>
  <c r="AO198" i="32"/>
  <c r="AN198" i="32"/>
  <c r="AM198" i="32"/>
  <c r="AL198" i="32"/>
  <c r="AJ198" i="32"/>
  <c r="AI198" i="32"/>
  <c r="AH198" i="32"/>
  <c r="AG198" i="32"/>
  <c r="AA198" i="32"/>
  <c r="X198" i="32"/>
  <c r="Z198" i="32" s="1"/>
  <c r="W198" i="32"/>
  <c r="AQ197" i="32"/>
  <c r="AP197" i="32"/>
  <c r="AO197" i="32"/>
  <c r="AN197" i="32"/>
  <c r="AM197" i="32"/>
  <c r="AL197" i="32"/>
  <c r="AJ197" i="32"/>
  <c r="AI197" i="32"/>
  <c r="AH197" i="32"/>
  <c r="AG197" i="32"/>
  <c r="AA197" i="32"/>
  <c r="X197" i="32"/>
  <c r="Y197" i="32" s="1"/>
  <c r="W197" i="32"/>
  <c r="AQ196" i="32"/>
  <c r="AP196" i="32"/>
  <c r="AO196" i="32"/>
  <c r="AN196" i="32"/>
  <c r="AM196" i="32"/>
  <c r="AL196" i="32"/>
  <c r="AJ196" i="32"/>
  <c r="AI196" i="32"/>
  <c r="AH196" i="32"/>
  <c r="AG196" i="32"/>
  <c r="AA196" i="32"/>
  <c r="X196" i="32"/>
  <c r="Z196" i="32" s="1"/>
  <c r="W196" i="32"/>
  <c r="AQ195" i="32"/>
  <c r="AP195" i="32"/>
  <c r="AO195" i="32"/>
  <c r="AN195" i="32"/>
  <c r="AM195" i="32"/>
  <c r="AL195" i="32"/>
  <c r="AJ195" i="32"/>
  <c r="AI195" i="32"/>
  <c r="AH195" i="32"/>
  <c r="AG195" i="32"/>
  <c r="AA195" i="32"/>
  <c r="X195" i="32"/>
  <c r="Z195" i="32" s="1"/>
  <c r="W195" i="32"/>
  <c r="AQ194" i="32"/>
  <c r="AR194" i="32" s="1"/>
  <c r="AP194" i="32"/>
  <c r="AO194" i="32"/>
  <c r="AN194" i="32"/>
  <c r="AM194" i="32"/>
  <c r="AL194" i="32"/>
  <c r="AJ194" i="32"/>
  <c r="AI194" i="32"/>
  <c r="AH194" i="32"/>
  <c r="AG194" i="32"/>
  <c r="AA194" i="32"/>
  <c r="X194" i="32"/>
  <c r="Y194" i="32" s="1"/>
  <c r="W194" i="32"/>
  <c r="AQ193" i="32"/>
  <c r="AP193" i="32"/>
  <c r="AO193" i="32"/>
  <c r="AN193" i="32"/>
  <c r="AM193" i="32"/>
  <c r="AL193" i="32"/>
  <c r="AJ193" i="32"/>
  <c r="AI193" i="32"/>
  <c r="AH193" i="32"/>
  <c r="AG193" i="32"/>
  <c r="AA193" i="32"/>
  <c r="X193" i="32"/>
  <c r="Y193" i="32" s="1"/>
  <c r="W193" i="32"/>
  <c r="AQ192" i="32"/>
  <c r="AU192" i="32" s="1"/>
  <c r="AP192" i="32"/>
  <c r="AO192" i="32"/>
  <c r="AN192" i="32"/>
  <c r="AM192" i="32"/>
  <c r="AL192" i="32"/>
  <c r="AJ192" i="32"/>
  <c r="AI192" i="32"/>
  <c r="AH192" i="32"/>
  <c r="AG192" i="32"/>
  <c r="AA192" i="32"/>
  <c r="X192" i="32"/>
  <c r="W192" i="32"/>
  <c r="AQ191" i="32"/>
  <c r="AR191" i="32" s="1"/>
  <c r="AP191" i="32"/>
  <c r="AO191" i="32"/>
  <c r="AN191" i="32"/>
  <c r="AM191" i="32"/>
  <c r="AL191" i="32"/>
  <c r="AJ191" i="32"/>
  <c r="AI191" i="32"/>
  <c r="AH191" i="32"/>
  <c r="AG191" i="32"/>
  <c r="AA191" i="32"/>
  <c r="X191" i="32"/>
  <c r="Y191" i="32" s="1"/>
  <c r="W191" i="32"/>
  <c r="AQ190" i="32"/>
  <c r="AR190" i="32" s="1"/>
  <c r="AP190" i="32"/>
  <c r="AO190" i="32"/>
  <c r="AN190" i="32"/>
  <c r="AM190" i="32"/>
  <c r="AL190" i="32"/>
  <c r="AJ190" i="32"/>
  <c r="AI190" i="32"/>
  <c r="AH190" i="32"/>
  <c r="AG190" i="32"/>
  <c r="AA190" i="32"/>
  <c r="X190" i="32"/>
  <c r="Z190" i="32" s="1"/>
  <c r="W190" i="32"/>
  <c r="AQ189" i="32"/>
  <c r="AR189" i="32" s="1"/>
  <c r="AP189" i="32"/>
  <c r="AO189" i="32"/>
  <c r="AN189" i="32"/>
  <c r="AG189" i="32" s="1"/>
  <c r="AH189" i="32"/>
  <c r="AL189" i="32" s="1"/>
  <c r="AA189" i="32"/>
  <c r="X189" i="32"/>
  <c r="Y189" i="32" s="1"/>
  <c r="W189" i="32"/>
  <c r="AQ188" i="32"/>
  <c r="AP188" i="32"/>
  <c r="AO188" i="32"/>
  <c r="AN188" i="32"/>
  <c r="AG188" i="32" s="1"/>
  <c r="AH188" i="32"/>
  <c r="AL188" i="32" s="1"/>
  <c r="AA188" i="32"/>
  <c r="X188" i="32"/>
  <c r="Y188" i="32" s="1"/>
  <c r="W188" i="32"/>
  <c r="AQ187" i="32"/>
  <c r="AS187" i="32" s="1"/>
  <c r="AP187" i="32"/>
  <c r="AO187" i="32"/>
  <c r="AN187" i="32"/>
  <c r="AG187" i="32" s="1"/>
  <c r="AH187" i="32"/>
  <c r="AA187" i="32"/>
  <c r="X187" i="32"/>
  <c r="Z187" i="32" s="1"/>
  <c r="W187" i="32"/>
  <c r="AQ186" i="32"/>
  <c r="AP186" i="32"/>
  <c r="AO186" i="32"/>
  <c r="AN186" i="32"/>
  <c r="AG186" i="32" s="1"/>
  <c r="AH186" i="32"/>
  <c r="AJ186" i="32" s="1"/>
  <c r="AA186" i="32"/>
  <c r="X186" i="32"/>
  <c r="Z186" i="32" s="1"/>
  <c r="W186" i="32"/>
  <c r="AQ185" i="32"/>
  <c r="AP185" i="32"/>
  <c r="AO185" i="32"/>
  <c r="AN185" i="32"/>
  <c r="AG185" i="32" s="1"/>
  <c r="AH185" i="32"/>
  <c r="AL185" i="32" s="1"/>
  <c r="AA185" i="32"/>
  <c r="X185" i="32"/>
  <c r="W185" i="32"/>
  <c r="AQ184" i="32"/>
  <c r="AP184" i="32"/>
  <c r="AO184" i="32"/>
  <c r="AN184" i="32"/>
  <c r="AG184" i="32" s="1"/>
  <c r="AH184" i="32"/>
  <c r="AA184" i="32"/>
  <c r="X184" i="32"/>
  <c r="Z184" i="32" s="1"/>
  <c r="W184" i="32"/>
  <c r="AQ183" i="32"/>
  <c r="AP183" i="32"/>
  <c r="AO183" i="32"/>
  <c r="AN183" i="32"/>
  <c r="AG183" i="32" s="1"/>
  <c r="AH183" i="32"/>
  <c r="AI183" i="32" s="1"/>
  <c r="AA183" i="32"/>
  <c r="X183" i="32"/>
  <c r="Z183" i="32" s="1"/>
  <c r="W183" i="32"/>
  <c r="AQ182" i="32"/>
  <c r="AR182" i="32" s="1"/>
  <c r="AP182" i="32"/>
  <c r="AO182" i="32"/>
  <c r="AN182" i="32"/>
  <c r="AG182" i="32" s="1"/>
  <c r="AH182" i="32"/>
  <c r="AL182" i="32" s="1"/>
  <c r="AA182" i="32"/>
  <c r="X182" i="32"/>
  <c r="Z182" i="32" s="1"/>
  <c r="W182" i="32"/>
  <c r="AQ181" i="32"/>
  <c r="AS181" i="32" s="1"/>
  <c r="AP181" i="32"/>
  <c r="AO181" i="32"/>
  <c r="AN181" i="32"/>
  <c r="AG181" i="32" s="1"/>
  <c r="AH181" i="32"/>
  <c r="AJ181" i="32" s="1"/>
  <c r="AA181" i="32"/>
  <c r="X181" i="32"/>
  <c r="W181" i="32"/>
  <c r="V181" i="32"/>
  <c r="AQ180" i="32"/>
  <c r="AU180" i="32" s="1"/>
  <c r="AP180" i="32"/>
  <c r="AH180" i="32" s="1"/>
  <c r="AL180" i="32" s="1"/>
  <c r="O9" i="32" s="1"/>
  <c r="AO180" i="32"/>
  <c r="AN180" i="32"/>
  <c r="AG180" i="32" s="1"/>
  <c r="AA180" i="32"/>
  <c r="AQ178" i="32"/>
  <c r="AU178" i="32" s="1"/>
  <c r="AP178" i="32"/>
  <c r="AO178" i="32"/>
  <c r="AN178" i="32"/>
  <c r="AG178" i="32" s="1"/>
  <c r="AH178" i="32"/>
  <c r="AA178" i="32"/>
  <c r="X178" i="32"/>
  <c r="Z178" i="32" s="1"/>
  <c r="W178" i="32"/>
  <c r="AQ177" i="32"/>
  <c r="AP177" i="32"/>
  <c r="AO177" i="32"/>
  <c r="AN177" i="32"/>
  <c r="AM177" i="32"/>
  <c r="AL177" i="32"/>
  <c r="AJ177" i="32"/>
  <c r="AI177" i="32"/>
  <c r="AH177" i="32"/>
  <c r="AG177" i="32"/>
  <c r="AA177" i="32"/>
  <c r="X177" i="32"/>
  <c r="Z177" i="32" s="1"/>
  <c r="W177" i="32"/>
  <c r="AQ176" i="32"/>
  <c r="AT176" i="32" s="1"/>
  <c r="AP176" i="32"/>
  <c r="AO176" i="32"/>
  <c r="AN176" i="32"/>
  <c r="AM176" i="32"/>
  <c r="AL176" i="32"/>
  <c r="AJ176" i="32"/>
  <c r="AI176" i="32"/>
  <c r="AH176" i="32"/>
  <c r="AG176" i="32"/>
  <c r="AA176" i="32"/>
  <c r="X176" i="32"/>
  <c r="Y176" i="32" s="1"/>
  <c r="W176" i="32"/>
  <c r="AQ175" i="32"/>
  <c r="AR175" i="32" s="1"/>
  <c r="AP175" i="32"/>
  <c r="AO175" i="32"/>
  <c r="AN175" i="32"/>
  <c r="AM175" i="32"/>
  <c r="AL175" i="32"/>
  <c r="AJ175" i="32"/>
  <c r="AI175" i="32"/>
  <c r="AH175" i="32"/>
  <c r="AG175" i="32"/>
  <c r="AA175" i="32"/>
  <c r="X175" i="32"/>
  <c r="Z175" i="32" s="1"/>
  <c r="W175" i="32"/>
  <c r="AQ174" i="32"/>
  <c r="AP174" i="32"/>
  <c r="AO174" i="32"/>
  <c r="AN174" i="32"/>
  <c r="AM174" i="32"/>
  <c r="AL174" i="32"/>
  <c r="AJ174" i="32"/>
  <c r="AI174" i="32"/>
  <c r="AH174" i="32"/>
  <c r="AG174" i="32"/>
  <c r="AA174" i="32"/>
  <c r="X174" i="32"/>
  <c r="Z174" i="32" s="1"/>
  <c r="W174" i="32"/>
  <c r="AQ173" i="32"/>
  <c r="AP173" i="32"/>
  <c r="AO173" i="32"/>
  <c r="AN173" i="32"/>
  <c r="AM173" i="32"/>
  <c r="AL173" i="32"/>
  <c r="AJ173" i="32"/>
  <c r="AI173" i="32"/>
  <c r="AH173" i="32"/>
  <c r="AG173" i="32"/>
  <c r="AA173" i="32"/>
  <c r="X173" i="32"/>
  <c r="W173" i="32"/>
  <c r="AQ172" i="32"/>
  <c r="AS172" i="32" s="1"/>
  <c r="AP172" i="32"/>
  <c r="AO172" i="32"/>
  <c r="AN172" i="32"/>
  <c r="AM172" i="32"/>
  <c r="AL172" i="32"/>
  <c r="AJ172" i="32"/>
  <c r="AI172" i="32"/>
  <c r="AH172" i="32"/>
  <c r="AG172" i="32"/>
  <c r="AA172" i="32"/>
  <c r="X172" i="32"/>
  <c r="Z172" i="32" s="1"/>
  <c r="W172" i="32"/>
  <c r="AQ171" i="32"/>
  <c r="AR171" i="32" s="1"/>
  <c r="AP171" i="32"/>
  <c r="AO171" i="32"/>
  <c r="AN171" i="32"/>
  <c r="AM171" i="32"/>
  <c r="AL171" i="32"/>
  <c r="AJ171" i="32"/>
  <c r="AI171" i="32"/>
  <c r="AH171" i="32"/>
  <c r="AG171" i="32"/>
  <c r="AA171" i="32"/>
  <c r="X171" i="32"/>
  <c r="Z171" i="32" s="1"/>
  <c r="W171" i="32"/>
  <c r="AQ170" i="32"/>
  <c r="AP170" i="32"/>
  <c r="AO170" i="32"/>
  <c r="AN170" i="32"/>
  <c r="AM170" i="32"/>
  <c r="AL170" i="32"/>
  <c r="AJ170" i="32"/>
  <c r="AI170" i="32"/>
  <c r="AH170" i="32"/>
  <c r="AG170" i="32"/>
  <c r="AA170" i="32"/>
  <c r="X170" i="32"/>
  <c r="Z170" i="32" s="1"/>
  <c r="W170" i="32"/>
  <c r="AQ169" i="32"/>
  <c r="AS169" i="32" s="1"/>
  <c r="AP169" i="32"/>
  <c r="AO169" i="32"/>
  <c r="AN169" i="32"/>
  <c r="AM169" i="32"/>
  <c r="AL169" i="32"/>
  <c r="AJ169" i="32"/>
  <c r="AI169" i="32"/>
  <c r="AH169" i="32"/>
  <c r="AG169" i="32"/>
  <c r="AA169" i="32"/>
  <c r="X169" i="32"/>
  <c r="Z169" i="32" s="1"/>
  <c r="W169" i="32"/>
  <c r="AQ168" i="32"/>
  <c r="AT168" i="32" s="1"/>
  <c r="AP168" i="32"/>
  <c r="AO168" i="32"/>
  <c r="AN168" i="32"/>
  <c r="AM168" i="32"/>
  <c r="AL168" i="32"/>
  <c r="AJ168" i="32"/>
  <c r="AI168" i="32"/>
  <c r="AH168" i="32"/>
  <c r="AG168" i="32"/>
  <c r="AA168" i="32"/>
  <c r="X168" i="32"/>
  <c r="Z168" i="32" s="1"/>
  <c r="W168" i="32"/>
  <c r="AQ167" i="32"/>
  <c r="AR167" i="32" s="1"/>
  <c r="AP167" i="32"/>
  <c r="AO167" i="32"/>
  <c r="AN167" i="32"/>
  <c r="AM167" i="32"/>
  <c r="AL167" i="32"/>
  <c r="AJ167" i="32"/>
  <c r="AI167" i="32"/>
  <c r="AH167" i="32"/>
  <c r="AG167" i="32"/>
  <c r="AA167" i="32"/>
  <c r="X167" i="32"/>
  <c r="Z167" i="32" s="1"/>
  <c r="W167" i="32"/>
  <c r="AQ166" i="32"/>
  <c r="AU166" i="32" s="1"/>
  <c r="AP166" i="32"/>
  <c r="AO166" i="32"/>
  <c r="AN166" i="32"/>
  <c r="AM166" i="32"/>
  <c r="AL166" i="32"/>
  <c r="AJ166" i="32"/>
  <c r="AI166" i="32"/>
  <c r="AH166" i="32"/>
  <c r="AG166" i="32"/>
  <c r="AA166" i="32"/>
  <c r="X166" i="32"/>
  <c r="Z166" i="32" s="1"/>
  <c r="W166" i="32"/>
  <c r="AQ165" i="32"/>
  <c r="AU165" i="32" s="1"/>
  <c r="AP165" i="32"/>
  <c r="AO165" i="32"/>
  <c r="AN165" i="32"/>
  <c r="AM165" i="32"/>
  <c r="AL165" i="32"/>
  <c r="AJ165" i="32"/>
  <c r="AI165" i="32"/>
  <c r="AH165" i="32"/>
  <c r="AG165" i="32"/>
  <c r="AA165" i="32"/>
  <c r="X165" i="32"/>
  <c r="Z165" i="32" s="1"/>
  <c r="W165" i="32"/>
  <c r="AQ164" i="32"/>
  <c r="AP164" i="32"/>
  <c r="AO164" i="32"/>
  <c r="AN164" i="32"/>
  <c r="AM164" i="32"/>
  <c r="AL164" i="32"/>
  <c r="AJ164" i="32"/>
  <c r="AI164" i="32"/>
  <c r="AH164" i="32"/>
  <c r="AG164" i="32"/>
  <c r="AA164" i="32"/>
  <c r="X164" i="32"/>
  <c r="Z164" i="32" s="1"/>
  <c r="W164" i="32"/>
  <c r="AQ163" i="32"/>
  <c r="AP163" i="32"/>
  <c r="AO163" i="32"/>
  <c r="AN163" i="32"/>
  <c r="AM163" i="32"/>
  <c r="AL163" i="32"/>
  <c r="AJ163" i="32"/>
  <c r="AI163" i="32"/>
  <c r="AH163" i="32"/>
  <c r="AG163" i="32"/>
  <c r="AA163" i="32"/>
  <c r="X163" i="32"/>
  <c r="Z163" i="32" s="1"/>
  <c r="W163" i="32"/>
  <c r="AQ162" i="32"/>
  <c r="AU162" i="32" s="1"/>
  <c r="AP162" i="32"/>
  <c r="AO162" i="32"/>
  <c r="AN162" i="32"/>
  <c r="AM162" i="32"/>
  <c r="AL162" i="32"/>
  <c r="AJ162" i="32"/>
  <c r="AI162" i="32"/>
  <c r="AH162" i="32"/>
  <c r="AG162" i="32"/>
  <c r="AA162" i="32"/>
  <c r="X162" i="32"/>
  <c r="Z162" i="32" s="1"/>
  <c r="W162" i="32"/>
  <c r="AQ161" i="32"/>
  <c r="AP161" i="32"/>
  <c r="AO161" i="32"/>
  <c r="AN161" i="32"/>
  <c r="AM161" i="32"/>
  <c r="AL161" i="32"/>
  <c r="AJ161" i="32"/>
  <c r="AI161" i="32"/>
  <c r="AH161" i="32"/>
  <c r="AG161" i="32"/>
  <c r="AA161" i="32"/>
  <c r="X161" i="32"/>
  <c r="Y161" i="32" s="1"/>
  <c r="W161" i="32"/>
  <c r="AQ160" i="32"/>
  <c r="AP160" i="32"/>
  <c r="AO160" i="32"/>
  <c r="AN160" i="32"/>
  <c r="AM160" i="32"/>
  <c r="AL160" i="32"/>
  <c r="AJ160" i="32"/>
  <c r="AI160" i="32"/>
  <c r="AH160" i="32"/>
  <c r="AG160" i="32"/>
  <c r="AA160" i="32"/>
  <c r="X160" i="32"/>
  <c r="Y160" i="32" s="1"/>
  <c r="W160" i="32"/>
  <c r="AQ159" i="32"/>
  <c r="AP159" i="32"/>
  <c r="AO159" i="32"/>
  <c r="AN159" i="32"/>
  <c r="AM159" i="32"/>
  <c r="AL159" i="32"/>
  <c r="AJ159" i="32"/>
  <c r="AI159" i="32"/>
  <c r="AH159" i="32"/>
  <c r="AG159" i="32"/>
  <c r="AA159" i="32"/>
  <c r="X159" i="32"/>
  <c r="Z159" i="32" s="1"/>
  <c r="W159" i="32"/>
  <c r="AQ158" i="32"/>
  <c r="AS158" i="32" s="1"/>
  <c r="AP158" i="32"/>
  <c r="AO158" i="32"/>
  <c r="AN158" i="32"/>
  <c r="AM158" i="32"/>
  <c r="AL158" i="32"/>
  <c r="AJ158" i="32"/>
  <c r="AI158" i="32"/>
  <c r="AH158" i="32"/>
  <c r="AG158" i="32"/>
  <c r="AA158" i="32"/>
  <c r="X158" i="32"/>
  <c r="Z158" i="32" s="1"/>
  <c r="W158" i="32"/>
  <c r="AQ157" i="32"/>
  <c r="AU157" i="32" s="1"/>
  <c r="AP157" i="32"/>
  <c r="AO157" i="32"/>
  <c r="AN157" i="32"/>
  <c r="AM157" i="32"/>
  <c r="AL157" i="32"/>
  <c r="AJ157" i="32"/>
  <c r="AI157" i="32"/>
  <c r="AH157" i="32"/>
  <c r="AG157" i="32"/>
  <c r="AA157" i="32"/>
  <c r="X157" i="32"/>
  <c r="Z157" i="32" s="1"/>
  <c r="W157" i="32"/>
  <c r="AQ156" i="32"/>
  <c r="AS156" i="32" s="1"/>
  <c r="AP156" i="32"/>
  <c r="AO156" i="32"/>
  <c r="AN156" i="32"/>
  <c r="AM156" i="32"/>
  <c r="AL156" i="32"/>
  <c r="AJ156" i="32"/>
  <c r="AI156" i="32"/>
  <c r="AH156" i="32"/>
  <c r="AG156" i="32"/>
  <c r="AA156" i="32"/>
  <c r="X156" i="32"/>
  <c r="Z156" i="32" s="1"/>
  <c r="W156" i="32"/>
  <c r="AQ155" i="32"/>
  <c r="AT155" i="32" s="1"/>
  <c r="AP155" i="32"/>
  <c r="AO155" i="32"/>
  <c r="AN155" i="32"/>
  <c r="AM155" i="32"/>
  <c r="AL155" i="32"/>
  <c r="AJ155" i="32"/>
  <c r="AI155" i="32"/>
  <c r="AH155" i="32"/>
  <c r="AG155" i="32"/>
  <c r="AA155" i="32"/>
  <c r="X155" i="32"/>
  <c r="Y155" i="32" s="1"/>
  <c r="W155" i="32"/>
  <c r="AQ154" i="32"/>
  <c r="AP154" i="32"/>
  <c r="AO154" i="32"/>
  <c r="AN154" i="32"/>
  <c r="AM154" i="32"/>
  <c r="AL154" i="32"/>
  <c r="AJ154" i="32"/>
  <c r="AI154" i="32"/>
  <c r="AH154" i="32"/>
  <c r="AG154" i="32"/>
  <c r="AA154" i="32"/>
  <c r="X154" i="32"/>
  <c r="Y154" i="32" s="1"/>
  <c r="W154" i="32"/>
  <c r="AQ153" i="32"/>
  <c r="AP153" i="32"/>
  <c r="AO153" i="32"/>
  <c r="AN153" i="32"/>
  <c r="AM153" i="32"/>
  <c r="AL153" i="32"/>
  <c r="AJ153" i="32"/>
  <c r="AI153" i="32"/>
  <c r="AH153" i="32"/>
  <c r="AG153" i="32"/>
  <c r="AA153" i="32"/>
  <c r="X153" i="32"/>
  <c r="W153" i="32"/>
  <c r="AQ152" i="32"/>
  <c r="AP152" i="32"/>
  <c r="AO152" i="32"/>
  <c r="AN152" i="32"/>
  <c r="AM152" i="32"/>
  <c r="AL152" i="32"/>
  <c r="AJ152" i="32"/>
  <c r="AI152" i="32"/>
  <c r="AH152" i="32"/>
  <c r="AG152" i="32"/>
  <c r="AA152" i="32"/>
  <c r="X152" i="32"/>
  <c r="Z152" i="32" s="1"/>
  <c r="W152" i="32"/>
  <c r="AQ151" i="32"/>
  <c r="AR151" i="32" s="1"/>
  <c r="AP151" i="32"/>
  <c r="AO151" i="32"/>
  <c r="AN151" i="32"/>
  <c r="AM151" i="32"/>
  <c r="AL151" i="32"/>
  <c r="AJ151" i="32"/>
  <c r="AI151" i="32"/>
  <c r="AH151" i="32"/>
  <c r="AG151" i="32"/>
  <c r="AA151" i="32"/>
  <c r="X151" i="32"/>
  <c r="Z151" i="32" s="1"/>
  <c r="W151" i="32"/>
  <c r="AQ150" i="32"/>
  <c r="AS150" i="32" s="1"/>
  <c r="AP150" i="32"/>
  <c r="AH150" i="32" s="1"/>
  <c r="AO150" i="32"/>
  <c r="AN150" i="32"/>
  <c r="AG150" i="32" s="1"/>
  <c r="AA150" i="32"/>
  <c r="X150" i="32"/>
  <c r="Z150" i="32" s="1"/>
  <c r="W150" i="32"/>
  <c r="AQ149" i="32"/>
  <c r="AU149" i="32" s="1"/>
  <c r="AP149" i="32"/>
  <c r="AH149" i="32" s="1"/>
  <c r="AO149" i="32"/>
  <c r="AN149" i="32"/>
  <c r="AG149" i="32" s="1"/>
  <c r="AA149" i="32"/>
  <c r="X149" i="32"/>
  <c r="Y149" i="32" s="1"/>
  <c r="W149" i="32"/>
  <c r="AQ148" i="32"/>
  <c r="AR148" i="32" s="1"/>
  <c r="AP148" i="32"/>
  <c r="AH148" i="32" s="1"/>
  <c r="AO148" i="32"/>
  <c r="AN148" i="32"/>
  <c r="AG148" i="32" s="1"/>
  <c r="AA148" i="32"/>
  <c r="X148" i="32"/>
  <c r="Z148" i="32" s="1"/>
  <c r="W148" i="32"/>
  <c r="AQ147" i="32"/>
  <c r="AT147" i="32" s="1"/>
  <c r="AP147" i="32"/>
  <c r="AO147" i="32"/>
  <c r="AN147" i="32"/>
  <c r="AG147" i="32" s="1"/>
  <c r="AH147" i="32"/>
  <c r="AA147" i="32"/>
  <c r="X147" i="32"/>
  <c r="Z147" i="32" s="1"/>
  <c r="W147" i="32"/>
  <c r="AQ146" i="32"/>
  <c r="AT146" i="32" s="1"/>
  <c r="AP146" i="32"/>
  <c r="AO146" i="32"/>
  <c r="AN146" i="32"/>
  <c r="AG146" i="32" s="1"/>
  <c r="AH146" i="32"/>
  <c r="AI146" i="32" s="1"/>
  <c r="AA146" i="32"/>
  <c r="X146" i="32"/>
  <c r="Z146" i="32" s="1"/>
  <c r="W146" i="32"/>
  <c r="AQ145" i="32"/>
  <c r="AP145" i="32"/>
  <c r="AO145" i="32"/>
  <c r="AN145" i="32"/>
  <c r="AG145" i="32" s="1"/>
  <c r="AH145" i="32"/>
  <c r="AL145" i="32" s="1"/>
  <c r="AA145" i="32"/>
  <c r="X145" i="32"/>
  <c r="Z145" i="32" s="1"/>
  <c r="W145" i="32"/>
  <c r="V145" i="32"/>
  <c r="AQ144" i="32"/>
  <c r="AT144" i="32" s="1"/>
  <c r="AP144" i="32"/>
  <c r="AH144" i="32" s="1"/>
  <c r="AJ144" i="32" s="1"/>
  <c r="AO144" i="32"/>
  <c r="AN144" i="32"/>
  <c r="AG144" i="32" s="1"/>
  <c r="AA144" i="32"/>
  <c r="AQ142" i="32"/>
  <c r="AT142" i="32" s="1"/>
  <c r="AP142" i="32"/>
  <c r="AO142" i="32"/>
  <c r="AN142" i="32"/>
  <c r="AG142" i="32" s="1"/>
  <c r="AH142" i="32"/>
  <c r="AA142" i="32"/>
  <c r="X142" i="32"/>
  <c r="Y142" i="32" s="1"/>
  <c r="W142" i="32"/>
  <c r="AQ141" i="32"/>
  <c r="AP141" i="32"/>
  <c r="AO141" i="32"/>
  <c r="AN141" i="32"/>
  <c r="AM141" i="32"/>
  <c r="AL141" i="32"/>
  <c r="AJ141" i="32"/>
  <c r="AI141" i="32"/>
  <c r="AH141" i="32"/>
  <c r="AG141" i="32"/>
  <c r="AA141" i="32"/>
  <c r="X141" i="32"/>
  <c r="Y141" i="32" s="1"/>
  <c r="W141" i="32"/>
  <c r="AQ140" i="32"/>
  <c r="AP140" i="32"/>
  <c r="AO140" i="32"/>
  <c r="AN140" i="32"/>
  <c r="AM140" i="32"/>
  <c r="AL140" i="32"/>
  <c r="AJ140" i="32"/>
  <c r="AI140" i="32"/>
  <c r="AH140" i="32"/>
  <c r="AG140" i="32"/>
  <c r="AA140" i="32"/>
  <c r="X140" i="32"/>
  <c r="Z140" i="32" s="1"/>
  <c r="W140" i="32"/>
  <c r="AQ139" i="32"/>
  <c r="AP139" i="32"/>
  <c r="AO139" i="32"/>
  <c r="AN139" i="32"/>
  <c r="AM139" i="32"/>
  <c r="AL139" i="32"/>
  <c r="AJ139" i="32"/>
  <c r="AI139" i="32"/>
  <c r="AH139" i="32"/>
  <c r="AG139" i="32"/>
  <c r="AA139" i="32"/>
  <c r="X139" i="32"/>
  <c r="Z139" i="32" s="1"/>
  <c r="W139" i="32"/>
  <c r="AQ138" i="32"/>
  <c r="AP138" i="32"/>
  <c r="AO138" i="32"/>
  <c r="AN138" i="32"/>
  <c r="AM138" i="32"/>
  <c r="AL138" i="32"/>
  <c r="AJ138" i="32"/>
  <c r="AI138" i="32"/>
  <c r="AH138" i="32"/>
  <c r="AG138" i="32"/>
  <c r="AA138" i="32"/>
  <c r="X138" i="32"/>
  <c r="W138" i="32"/>
  <c r="AQ137" i="32"/>
  <c r="AS137" i="32" s="1"/>
  <c r="AP137" i="32"/>
  <c r="AO137" i="32"/>
  <c r="AN137" i="32"/>
  <c r="AM137" i="32"/>
  <c r="AL137" i="32"/>
  <c r="AJ137" i="32"/>
  <c r="AI137" i="32"/>
  <c r="AH137" i="32"/>
  <c r="AG137" i="32"/>
  <c r="AA137" i="32"/>
  <c r="X137" i="32"/>
  <c r="Z137" i="32" s="1"/>
  <c r="W137" i="32"/>
  <c r="AQ136" i="32"/>
  <c r="AR136" i="32" s="1"/>
  <c r="AP136" i="32"/>
  <c r="AO136" i="32"/>
  <c r="AN136" i="32"/>
  <c r="AM136" i="32"/>
  <c r="AL136" i="32"/>
  <c r="AJ136" i="32"/>
  <c r="AI136" i="32"/>
  <c r="AH136" i="32"/>
  <c r="AG136" i="32"/>
  <c r="AA136" i="32"/>
  <c r="X136" i="32"/>
  <c r="W136" i="32"/>
  <c r="AQ135" i="32"/>
  <c r="AU135" i="32" s="1"/>
  <c r="AP135" i="32"/>
  <c r="AO135" i="32"/>
  <c r="AN135" i="32"/>
  <c r="AM135" i="32"/>
  <c r="AL135" i="32"/>
  <c r="AJ135" i="32"/>
  <c r="AI135" i="32"/>
  <c r="AH135" i="32"/>
  <c r="AG135" i="32"/>
  <c r="AA135" i="32"/>
  <c r="X135" i="32"/>
  <c r="W135" i="32"/>
  <c r="AQ134" i="32"/>
  <c r="AU134" i="32" s="1"/>
  <c r="AP134" i="32"/>
  <c r="AO134" i="32"/>
  <c r="AN134" i="32"/>
  <c r="AM134" i="32"/>
  <c r="AL134" i="32"/>
  <c r="AJ134" i="32"/>
  <c r="AI134" i="32"/>
  <c r="AH134" i="32"/>
  <c r="AG134" i="32"/>
  <c r="AA134" i="32"/>
  <c r="X134" i="32"/>
  <c r="Y134" i="32" s="1"/>
  <c r="W134" i="32"/>
  <c r="AQ133" i="32"/>
  <c r="AP133" i="32"/>
  <c r="AO133" i="32"/>
  <c r="AN133" i="32"/>
  <c r="AM133" i="32"/>
  <c r="AL133" i="32"/>
  <c r="AJ133" i="32"/>
  <c r="AI133" i="32"/>
  <c r="AH133" i="32"/>
  <c r="AG133" i="32"/>
  <c r="AA133" i="32"/>
  <c r="X133" i="32"/>
  <c r="W133" i="32"/>
  <c r="AQ132" i="32"/>
  <c r="AP132" i="32"/>
  <c r="AO132" i="32"/>
  <c r="AN132" i="32"/>
  <c r="AM132" i="32"/>
  <c r="AL132" i="32"/>
  <c r="AJ132" i="32"/>
  <c r="AI132" i="32"/>
  <c r="AH132" i="32"/>
  <c r="AG132" i="32"/>
  <c r="AA132" i="32"/>
  <c r="X132" i="32"/>
  <c r="Y132" i="32" s="1"/>
  <c r="W132" i="32"/>
  <c r="AQ131" i="32"/>
  <c r="AU131" i="32" s="1"/>
  <c r="AP131" i="32"/>
  <c r="AO131" i="32"/>
  <c r="AN131" i="32"/>
  <c r="AM131" i="32"/>
  <c r="AL131" i="32"/>
  <c r="AJ131" i="32"/>
  <c r="AI131" i="32"/>
  <c r="AH131" i="32"/>
  <c r="AG131" i="32"/>
  <c r="AA131" i="32"/>
  <c r="X131" i="32"/>
  <c r="Y131" i="32" s="1"/>
  <c r="W131" i="32"/>
  <c r="AQ130" i="32"/>
  <c r="AP130" i="32"/>
  <c r="AO130" i="32"/>
  <c r="AN130" i="32"/>
  <c r="AM130" i="32"/>
  <c r="AL130" i="32"/>
  <c r="AJ130" i="32"/>
  <c r="AI130" i="32"/>
  <c r="AH130" i="32"/>
  <c r="AG130" i="32"/>
  <c r="AA130" i="32"/>
  <c r="X130" i="32"/>
  <c r="Y130" i="32" s="1"/>
  <c r="W130" i="32"/>
  <c r="AQ129" i="32"/>
  <c r="AU129" i="32" s="1"/>
  <c r="AP129" i="32"/>
  <c r="AO129" i="32"/>
  <c r="AN129" i="32"/>
  <c r="AM129" i="32"/>
  <c r="AL129" i="32"/>
  <c r="AJ129" i="32"/>
  <c r="AI129" i="32"/>
  <c r="AH129" i="32"/>
  <c r="AG129" i="32"/>
  <c r="AA129" i="32"/>
  <c r="X129" i="32"/>
  <c r="Z129" i="32" s="1"/>
  <c r="W129" i="32"/>
  <c r="AQ128" i="32"/>
  <c r="AT128" i="32" s="1"/>
  <c r="AP128" i="32"/>
  <c r="AO128" i="32"/>
  <c r="AN128" i="32"/>
  <c r="AM128" i="32"/>
  <c r="AL128" i="32"/>
  <c r="AJ128" i="32"/>
  <c r="AI128" i="32"/>
  <c r="AH128" i="32"/>
  <c r="AG128" i="32"/>
  <c r="AA128" i="32"/>
  <c r="X128" i="32"/>
  <c r="Y128" i="32" s="1"/>
  <c r="W128" i="32"/>
  <c r="AQ127" i="32"/>
  <c r="AP127" i="32"/>
  <c r="AO127" i="32"/>
  <c r="AN127" i="32"/>
  <c r="AM127" i="32"/>
  <c r="AL127" i="32"/>
  <c r="AJ127" i="32"/>
  <c r="AI127" i="32"/>
  <c r="AH127" i="32"/>
  <c r="AG127" i="32"/>
  <c r="AA127" i="32"/>
  <c r="X127" i="32"/>
  <c r="W127" i="32"/>
  <c r="AQ126" i="32"/>
  <c r="AS126" i="32" s="1"/>
  <c r="AP126" i="32"/>
  <c r="AO126" i="32"/>
  <c r="AN126" i="32"/>
  <c r="AM126" i="32"/>
  <c r="AL126" i="32"/>
  <c r="AJ126" i="32"/>
  <c r="AI126" i="32"/>
  <c r="AH126" i="32"/>
  <c r="AG126" i="32"/>
  <c r="AA126" i="32"/>
  <c r="X126" i="32"/>
  <c r="Y126" i="32" s="1"/>
  <c r="W126" i="32"/>
  <c r="AQ125" i="32"/>
  <c r="AR125" i="32" s="1"/>
  <c r="AP125" i="32"/>
  <c r="AO125" i="32"/>
  <c r="AN125" i="32"/>
  <c r="AM125" i="32"/>
  <c r="AL125" i="32"/>
  <c r="AJ125" i="32"/>
  <c r="AI125" i="32"/>
  <c r="AH125" i="32"/>
  <c r="AG125" i="32"/>
  <c r="AA125" i="32"/>
  <c r="X125" i="32"/>
  <c r="Z125" i="32" s="1"/>
  <c r="W125" i="32"/>
  <c r="AQ124" i="32"/>
  <c r="AU124" i="32" s="1"/>
  <c r="AP124" i="32"/>
  <c r="AO124" i="32"/>
  <c r="AN124" i="32"/>
  <c r="AM124" i="32"/>
  <c r="AL124" i="32"/>
  <c r="AJ124" i="32"/>
  <c r="AI124" i="32"/>
  <c r="AH124" i="32"/>
  <c r="AG124" i="32"/>
  <c r="AA124" i="32"/>
  <c r="X124" i="32"/>
  <c r="Z124" i="32" s="1"/>
  <c r="W124" i="32"/>
  <c r="AQ123" i="32"/>
  <c r="AP123" i="32"/>
  <c r="AO123" i="32"/>
  <c r="AN123" i="32"/>
  <c r="AM123" i="32"/>
  <c r="AL123" i="32"/>
  <c r="AJ123" i="32"/>
  <c r="AI123" i="32"/>
  <c r="AH123" i="32"/>
  <c r="AG123" i="32"/>
  <c r="AA123" i="32"/>
  <c r="X123" i="32"/>
  <c r="Z123" i="32" s="1"/>
  <c r="W123" i="32"/>
  <c r="AQ122" i="32"/>
  <c r="AS122" i="32" s="1"/>
  <c r="AP122" i="32"/>
  <c r="AO122" i="32"/>
  <c r="AN122" i="32"/>
  <c r="AM122" i="32"/>
  <c r="AL122" i="32"/>
  <c r="AJ122" i="32"/>
  <c r="AI122" i="32"/>
  <c r="AH122" i="32"/>
  <c r="AG122" i="32"/>
  <c r="AA122" i="32"/>
  <c r="X122" i="32"/>
  <c r="W122" i="32"/>
  <c r="AQ121" i="32"/>
  <c r="AS121" i="32" s="1"/>
  <c r="AP121" i="32"/>
  <c r="AO121" i="32"/>
  <c r="AN121" i="32"/>
  <c r="AM121" i="32"/>
  <c r="AL121" i="32"/>
  <c r="AJ121" i="32"/>
  <c r="AI121" i="32"/>
  <c r="AH121" i="32"/>
  <c r="AG121" i="32"/>
  <c r="AA121" i="32"/>
  <c r="X121" i="32"/>
  <c r="Y121" i="32" s="1"/>
  <c r="W121" i="32"/>
  <c r="BB120" i="32"/>
  <c r="AQ120" i="32"/>
  <c r="AT120" i="32" s="1"/>
  <c r="AP120" i="32"/>
  <c r="AO120" i="32"/>
  <c r="AN120" i="32"/>
  <c r="AM120" i="32"/>
  <c r="AL120" i="32"/>
  <c r="AJ120" i="32"/>
  <c r="AI120" i="32"/>
  <c r="AH120" i="32"/>
  <c r="AG120" i="32"/>
  <c r="AA120" i="32"/>
  <c r="X120" i="32"/>
  <c r="Z120" i="32" s="1"/>
  <c r="W120" i="32"/>
  <c r="AQ119" i="32"/>
  <c r="AP119" i="32"/>
  <c r="AO119" i="32"/>
  <c r="AN119" i="32"/>
  <c r="AM119" i="32"/>
  <c r="AL119" i="32"/>
  <c r="AJ119" i="32"/>
  <c r="AI119" i="32"/>
  <c r="AH119" i="32"/>
  <c r="AG119" i="32"/>
  <c r="AA119" i="32"/>
  <c r="X119" i="32"/>
  <c r="W119" i="32"/>
  <c r="AQ118" i="32"/>
  <c r="AS118" i="32" s="1"/>
  <c r="AP118" i="32"/>
  <c r="AO118" i="32"/>
  <c r="AN118" i="32"/>
  <c r="AM118" i="32"/>
  <c r="AL118" i="32"/>
  <c r="AJ118" i="32"/>
  <c r="AI118" i="32"/>
  <c r="AH118" i="32"/>
  <c r="AG118" i="32"/>
  <c r="AA118" i="32"/>
  <c r="X118" i="32"/>
  <c r="Z118" i="32" s="1"/>
  <c r="W118" i="32"/>
  <c r="AQ117" i="32"/>
  <c r="AR117" i="32" s="1"/>
  <c r="AP117" i="32"/>
  <c r="AO117" i="32"/>
  <c r="AN117" i="32"/>
  <c r="AM117" i="32"/>
  <c r="AL117" i="32"/>
  <c r="AJ117" i="32"/>
  <c r="AI117" i="32"/>
  <c r="AH117" i="32"/>
  <c r="AG117" i="32"/>
  <c r="AA117" i="32"/>
  <c r="X117" i="32"/>
  <c r="Y117" i="32" s="1"/>
  <c r="W117" i="32"/>
  <c r="AQ116" i="32"/>
  <c r="AP116" i="32"/>
  <c r="AO116" i="32"/>
  <c r="AN116" i="32"/>
  <c r="AM116" i="32"/>
  <c r="AL116" i="32"/>
  <c r="AJ116" i="32"/>
  <c r="AI116" i="32"/>
  <c r="AH116" i="32"/>
  <c r="AG116" i="32"/>
  <c r="AA116" i="32"/>
  <c r="X116" i="32"/>
  <c r="Z116" i="32" s="1"/>
  <c r="W116" i="32"/>
  <c r="AQ115" i="32"/>
  <c r="AU115" i="32" s="1"/>
  <c r="AP115" i="32"/>
  <c r="AO115" i="32"/>
  <c r="AN115" i="32"/>
  <c r="AM115" i="32"/>
  <c r="AL115" i="32"/>
  <c r="AJ115" i="32"/>
  <c r="AI115" i="32"/>
  <c r="AH115" i="32"/>
  <c r="AG115" i="32"/>
  <c r="AA115" i="32"/>
  <c r="X115" i="32"/>
  <c r="Z115" i="32" s="1"/>
  <c r="W115" i="32"/>
  <c r="AQ114" i="32"/>
  <c r="AT114" i="32" s="1"/>
  <c r="AP114" i="32"/>
  <c r="AO114" i="32"/>
  <c r="AN114" i="32"/>
  <c r="AM114" i="32"/>
  <c r="AL114" i="32"/>
  <c r="AJ114" i="32"/>
  <c r="AI114" i="32"/>
  <c r="AH114" i="32"/>
  <c r="AG114" i="32"/>
  <c r="AA114" i="32"/>
  <c r="X114" i="32"/>
  <c r="Z114" i="32" s="1"/>
  <c r="W114" i="32"/>
  <c r="AQ113" i="32"/>
  <c r="AU113" i="32" s="1"/>
  <c r="AP113" i="32"/>
  <c r="AO113" i="32"/>
  <c r="AN113" i="32"/>
  <c r="AM113" i="32"/>
  <c r="AL113" i="32"/>
  <c r="AJ113" i="32"/>
  <c r="AI113" i="32"/>
  <c r="AH113" i="32"/>
  <c r="AG113" i="32"/>
  <c r="AA113" i="32"/>
  <c r="X113" i="32"/>
  <c r="Z113" i="32" s="1"/>
  <c r="W113" i="32"/>
  <c r="AQ112" i="32"/>
  <c r="AS112" i="32" s="1"/>
  <c r="AP112" i="32"/>
  <c r="AH112" i="32" s="1"/>
  <c r="AJ112" i="32" s="1"/>
  <c r="AO112" i="32"/>
  <c r="AN112" i="32"/>
  <c r="AG112" i="32" s="1"/>
  <c r="AA112" i="32"/>
  <c r="X112" i="32"/>
  <c r="Y112" i="32" s="1"/>
  <c r="W112" i="32"/>
  <c r="AQ111" i="32"/>
  <c r="AS111" i="32" s="1"/>
  <c r="AP111" i="32"/>
  <c r="AH111" i="32" s="1"/>
  <c r="AO111" i="32"/>
  <c r="AN111" i="32"/>
  <c r="AG111" i="32" s="1"/>
  <c r="AA111" i="32"/>
  <c r="X111" i="32"/>
  <c r="Z111" i="32" s="1"/>
  <c r="W111" i="32"/>
  <c r="AQ110" i="32"/>
  <c r="AU110" i="32" s="1"/>
  <c r="AP110" i="32"/>
  <c r="AO110" i="32"/>
  <c r="AN110" i="32"/>
  <c r="AG110" i="32" s="1"/>
  <c r="AH110" i="32"/>
  <c r="AJ110" i="32" s="1"/>
  <c r="AA110" i="32"/>
  <c r="X110" i="32"/>
  <c r="Z110" i="32" s="1"/>
  <c r="W110" i="32"/>
  <c r="AQ109" i="32"/>
  <c r="AP109" i="32"/>
  <c r="AO109" i="32"/>
  <c r="AN109" i="32"/>
  <c r="AG109" i="32" s="1"/>
  <c r="AH109" i="32"/>
  <c r="AA109" i="32"/>
  <c r="X109" i="32"/>
  <c r="Z109" i="32" s="1"/>
  <c r="W109" i="32"/>
  <c r="V109" i="32"/>
  <c r="AQ108" i="32"/>
  <c r="AS108" i="32" s="1"/>
  <c r="AP108" i="32"/>
  <c r="AH108" i="32" s="1"/>
  <c r="AO108" i="32"/>
  <c r="AN108" i="32"/>
  <c r="AG108" i="32" s="1"/>
  <c r="AQ106" i="32"/>
  <c r="AU106" i="32" s="1"/>
  <c r="AP106" i="32"/>
  <c r="AO106" i="32"/>
  <c r="AN106" i="32"/>
  <c r="AG106" i="32" s="1"/>
  <c r="AH106" i="32"/>
  <c r="AI106" i="32" s="1"/>
  <c r="AA106" i="32"/>
  <c r="X106" i="32"/>
  <c r="W106" i="32"/>
  <c r="AQ105" i="32"/>
  <c r="AP105" i="32"/>
  <c r="AO105" i="32"/>
  <c r="AN105" i="32"/>
  <c r="AG105" i="32" s="1"/>
  <c r="AH105" i="32"/>
  <c r="AJ105" i="32" s="1"/>
  <c r="AA105" i="32"/>
  <c r="X105" i="32"/>
  <c r="Z105" i="32" s="1"/>
  <c r="W105" i="32"/>
  <c r="AQ104" i="32"/>
  <c r="AU104" i="32" s="1"/>
  <c r="AP104" i="32"/>
  <c r="AO104" i="32"/>
  <c r="AN104" i="32"/>
  <c r="AM104" i="32"/>
  <c r="AL104" i="32"/>
  <c r="AJ104" i="32"/>
  <c r="AI104" i="32"/>
  <c r="AH104" i="32"/>
  <c r="AG104" i="32"/>
  <c r="AA104" i="32"/>
  <c r="X104" i="32"/>
  <c r="Z104" i="32" s="1"/>
  <c r="W104" i="32"/>
  <c r="AQ103" i="32"/>
  <c r="AU103" i="32" s="1"/>
  <c r="AP103" i="32"/>
  <c r="AO103" i="32"/>
  <c r="AN103" i="32"/>
  <c r="AM103" i="32"/>
  <c r="AL103" i="32"/>
  <c r="AJ103" i="32"/>
  <c r="AI103" i="32"/>
  <c r="AH103" i="32"/>
  <c r="AG103" i="32"/>
  <c r="AA103" i="32"/>
  <c r="X103" i="32"/>
  <c r="Y103" i="32" s="1"/>
  <c r="W103" i="32"/>
  <c r="AQ102" i="32"/>
  <c r="AU102" i="32" s="1"/>
  <c r="AP102" i="32"/>
  <c r="AO102" i="32"/>
  <c r="AN102" i="32"/>
  <c r="AM102" i="32"/>
  <c r="AL102" i="32"/>
  <c r="AJ102" i="32"/>
  <c r="AI102" i="32"/>
  <c r="AH102" i="32"/>
  <c r="AG102" i="32"/>
  <c r="AA102" i="32"/>
  <c r="X102" i="32"/>
  <c r="W102" i="32"/>
  <c r="AQ101" i="32"/>
  <c r="AS101" i="32" s="1"/>
  <c r="AP101" i="32"/>
  <c r="AO101" i="32"/>
  <c r="AN101" i="32"/>
  <c r="AM101" i="32"/>
  <c r="AL101" i="32"/>
  <c r="AJ101" i="32"/>
  <c r="AI101" i="32"/>
  <c r="AH101" i="32"/>
  <c r="AG101" i="32"/>
  <c r="AA101" i="32"/>
  <c r="X101" i="32"/>
  <c r="Z101" i="32" s="1"/>
  <c r="W101" i="32"/>
  <c r="AQ100" i="32"/>
  <c r="AP100" i="32"/>
  <c r="AO100" i="32"/>
  <c r="AN100" i="32"/>
  <c r="AM100" i="32"/>
  <c r="AL100" i="32"/>
  <c r="AJ100" i="32"/>
  <c r="AI100" i="32"/>
  <c r="AH100" i="32"/>
  <c r="AG100" i="32"/>
  <c r="AA100" i="32"/>
  <c r="X100" i="32"/>
  <c r="W100" i="32"/>
  <c r="AQ99" i="32"/>
  <c r="AT99" i="32" s="1"/>
  <c r="AP99" i="32"/>
  <c r="AO99" i="32"/>
  <c r="AN99" i="32"/>
  <c r="AM99" i="32"/>
  <c r="AL99" i="32"/>
  <c r="AJ99" i="32"/>
  <c r="AI99" i="32"/>
  <c r="AH99" i="32"/>
  <c r="AG99" i="32"/>
  <c r="AA99" i="32"/>
  <c r="X99" i="32"/>
  <c r="Z99" i="32" s="1"/>
  <c r="W99" i="32"/>
  <c r="AQ98" i="32"/>
  <c r="AU98" i="32" s="1"/>
  <c r="AP98" i="32"/>
  <c r="AO98" i="32"/>
  <c r="AN98" i="32"/>
  <c r="AM98" i="32"/>
  <c r="AL98" i="32"/>
  <c r="AJ98" i="32"/>
  <c r="AI98" i="32"/>
  <c r="AH98" i="32"/>
  <c r="AG98" i="32"/>
  <c r="AA98" i="32"/>
  <c r="X98" i="32"/>
  <c r="Y98" i="32" s="1"/>
  <c r="W98" i="32"/>
  <c r="AQ97" i="32"/>
  <c r="AT97" i="32" s="1"/>
  <c r="AP97" i="32"/>
  <c r="AO97" i="32"/>
  <c r="AN97" i="32"/>
  <c r="AM97" i="32"/>
  <c r="AL97" i="32"/>
  <c r="AJ97" i="32"/>
  <c r="AI97" i="32"/>
  <c r="AH97" i="32"/>
  <c r="AG97" i="32"/>
  <c r="AA97" i="32"/>
  <c r="X97" i="32"/>
  <c r="Y97" i="32" s="1"/>
  <c r="W97" i="32"/>
  <c r="AQ96" i="32"/>
  <c r="AU96" i="32" s="1"/>
  <c r="AP96" i="32"/>
  <c r="AO96" i="32"/>
  <c r="AN96" i="32"/>
  <c r="AM96" i="32"/>
  <c r="AL96" i="32"/>
  <c r="AJ96" i="32"/>
  <c r="AI96" i="32"/>
  <c r="AH96" i="32"/>
  <c r="AG96" i="32"/>
  <c r="AA96" i="32"/>
  <c r="X96" i="32"/>
  <c r="Z96" i="32" s="1"/>
  <c r="W96" i="32"/>
  <c r="AQ95" i="32"/>
  <c r="AP95" i="32"/>
  <c r="AO95" i="32"/>
  <c r="AN95" i="32"/>
  <c r="AG95" i="32" s="1"/>
  <c r="AH95" i="32"/>
  <c r="AI95" i="32" s="1"/>
  <c r="AA95" i="32"/>
  <c r="X95" i="32"/>
  <c r="Z95" i="32" s="1"/>
  <c r="W95" i="32"/>
  <c r="AQ94" i="32"/>
  <c r="AU94" i="32" s="1"/>
  <c r="AP94" i="32"/>
  <c r="AO94" i="32"/>
  <c r="AN94" i="32"/>
  <c r="AG94" i="32" s="1"/>
  <c r="AH94" i="32"/>
  <c r="AI94" i="32" s="1"/>
  <c r="AA94" i="32"/>
  <c r="X94" i="32"/>
  <c r="Z94" i="32" s="1"/>
  <c r="W94" i="32"/>
  <c r="AQ93" i="32"/>
  <c r="AR93" i="32" s="1"/>
  <c r="AP93" i="32"/>
  <c r="AO93" i="32"/>
  <c r="AN93" i="32"/>
  <c r="AG93" i="32" s="1"/>
  <c r="AH93" i="32"/>
  <c r="AJ93" i="32" s="1"/>
  <c r="AA93" i="32"/>
  <c r="X93" i="32"/>
  <c r="Z93" i="32" s="1"/>
  <c r="W93" i="32"/>
  <c r="AQ92" i="32"/>
  <c r="AT92" i="32" s="1"/>
  <c r="AP92" i="32"/>
  <c r="AO92" i="32"/>
  <c r="AN92" i="32"/>
  <c r="AG92" i="32" s="1"/>
  <c r="AH92" i="32"/>
  <c r="AJ92" i="32" s="1"/>
  <c r="AA92" i="32"/>
  <c r="X92" i="32"/>
  <c r="Z92" i="32" s="1"/>
  <c r="W92" i="32"/>
  <c r="AQ91" i="32"/>
  <c r="AU91" i="32" s="1"/>
  <c r="AP91" i="32"/>
  <c r="AO91" i="32"/>
  <c r="AN91" i="32"/>
  <c r="AG91" i="32" s="1"/>
  <c r="AH91" i="32"/>
  <c r="AI91" i="32" s="1"/>
  <c r="AA91" i="32"/>
  <c r="X91" i="32"/>
  <c r="W91" i="32"/>
  <c r="AQ90" i="32"/>
  <c r="AU90" i="32" s="1"/>
  <c r="AP90" i="32"/>
  <c r="AO90" i="32"/>
  <c r="AN90" i="32"/>
  <c r="AM90" i="32"/>
  <c r="AL90" i="32"/>
  <c r="AJ90" i="32"/>
  <c r="AI90" i="32"/>
  <c r="AH90" i="32"/>
  <c r="AG90" i="32"/>
  <c r="AA90" i="32"/>
  <c r="X90" i="32"/>
  <c r="Z90" i="32" s="1"/>
  <c r="W90" i="32"/>
  <c r="AQ89" i="32"/>
  <c r="AR89" i="32" s="1"/>
  <c r="AP89" i="32"/>
  <c r="AH89" i="32" s="1"/>
  <c r="AO89" i="32"/>
  <c r="AN89" i="32"/>
  <c r="AG89" i="32" s="1"/>
  <c r="AA89" i="32"/>
  <c r="X89" i="32"/>
  <c r="Y89" i="32" s="1"/>
  <c r="W89" i="32"/>
  <c r="AQ88" i="32"/>
  <c r="AP88" i="32"/>
  <c r="AO88" i="32"/>
  <c r="AN88" i="32"/>
  <c r="AG88" i="32" s="1"/>
  <c r="AH88" i="32"/>
  <c r="AA88" i="32"/>
  <c r="X88" i="32"/>
  <c r="Z88" i="32" s="1"/>
  <c r="W88" i="32"/>
  <c r="AQ87" i="32"/>
  <c r="AS87" i="32" s="1"/>
  <c r="AP87" i="32"/>
  <c r="AO87" i="32"/>
  <c r="AN87" i="32"/>
  <c r="AG87" i="32" s="1"/>
  <c r="AH87" i="32"/>
  <c r="AA87" i="32"/>
  <c r="X87" i="32"/>
  <c r="Z87" i="32" s="1"/>
  <c r="W87" i="32"/>
  <c r="AQ86" i="32"/>
  <c r="AU86" i="32" s="1"/>
  <c r="AP86" i="32"/>
  <c r="AO86" i="32"/>
  <c r="AN86" i="32"/>
  <c r="AG86" i="32" s="1"/>
  <c r="AH86" i="32"/>
  <c r="AJ86" i="32" s="1"/>
  <c r="AA86" i="32"/>
  <c r="X86" i="32"/>
  <c r="Y86" i="32" s="1"/>
  <c r="W86" i="32"/>
  <c r="AQ85" i="32"/>
  <c r="AR85" i="32" s="1"/>
  <c r="AP85" i="32"/>
  <c r="AO85" i="32"/>
  <c r="AN85" i="32"/>
  <c r="AG85" i="32" s="1"/>
  <c r="AH85" i="32"/>
  <c r="AJ85" i="32" s="1"/>
  <c r="AA85" i="32"/>
  <c r="X85" i="32"/>
  <c r="Z85" i="32" s="1"/>
  <c r="W85" i="32"/>
  <c r="AQ84" i="32"/>
  <c r="AP84" i="32"/>
  <c r="AO84" i="32"/>
  <c r="AN84" i="32"/>
  <c r="AG84" i="32" s="1"/>
  <c r="AH84" i="32"/>
  <c r="AL84" i="32" s="1"/>
  <c r="AA84" i="32"/>
  <c r="X84" i="32"/>
  <c r="Z84" i="32" s="1"/>
  <c r="W84" i="32"/>
  <c r="AQ83" i="32"/>
  <c r="AU83" i="32" s="1"/>
  <c r="AP83" i="32"/>
  <c r="AO83" i="32"/>
  <c r="AN83" i="32"/>
  <c r="AG83" i="32" s="1"/>
  <c r="AH83" i="32"/>
  <c r="AL83" i="32" s="1"/>
  <c r="AA83" i="32"/>
  <c r="X83" i="32"/>
  <c r="Z83" i="32" s="1"/>
  <c r="W83" i="32"/>
  <c r="AQ82" i="32"/>
  <c r="AT82" i="32" s="1"/>
  <c r="AP82" i="32"/>
  <c r="AO82" i="32"/>
  <c r="AN82" i="32"/>
  <c r="AG82" i="32" s="1"/>
  <c r="AH82" i="32"/>
  <c r="AA82" i="32"/>
  <c r="X82" i="32"/>
  <c r="Y82" i="32" s="1"/>
  <c r="W82" i="32"/>
  <c r="AQ81" i="32"/>
  <c r="AS81" i="32" s="1"/>
  <c r="AP81" i="32"/>
  <c r="AO81" i="32"/>
  <c r="AN81" i="32"/>
  <c r="AM81" i="32"/>
  <c r="AL81" i="32"/>
  <c r="AJ81" i="32"/>
  <c r="AI81" i="32"/>
  <c r="AH81" i="32"/>
  <c r="AG81" i="32"/>
  <c r="AA81" i="32"/>
  <c r="X81" i="32"/>
  <c r="Z81" i="32" s="1"/>
  <c r="W81" i="32"/>
  <c r="AQ80" i="32"/>
  <c r="AP80" i="32"/>
  <c r="AO80" i="32"/>
  <c r="AN80" i="32"/>
  <c r="AG80" i="32" s="1"/>
  <c r="AH80" i="32"/>
  <c r="AA80" i="32"/>
  <c r="X80" i="32"/>
  <c r="Z80" i="32" s="1"/>
  <c r="W80" i="32"/>
  <c r="AQ79" i="32"/>
  <c r="AP79" i="32"/>
  <c r="AO79" i="32"/>
  <c r="AN79" i="32"/>
  <c r="AG79" i="32" s="1"/>
  <c r="AH79" i="32"/>
  <c r="AA79" i="32"/>
  <c r="X79" i="32"/>
  <c r="Z79" i="32" s="1"/>
  <c r="W79" i="32"/>
  <c r="AQ78" i="32"/>
  <c r="AU78" i="32" s="1"/>
  <c r="AP78" i="32"/>
  <c r="AO78" i="32"/>
  <c r="AN78" i="32"/>
  <c r="AG78" i="32" s="1"/>
  <c r="AH78" i="32"/>
  <c r="AL78" i="32" s="1"/>
  <c r="AA78" i="32"/>
  <c r="X78" i="32"/>
  <c r="Z78" i="32" s="1"/>
  <c r="W78" i="32"/>
  <c r="AQ77" i="32"/>
  <c r="AT77" i="32" s="1"/>
  <c r="AP77" i="32"/>
  <c r="AO77" i="32"/>
  <c r="AN77" i="32"/>
  <c r="AG77" i="32" s="1"/>
  <c r="AH77" i="32"/>
  <c r="AA77" i="32"/>
  <c r="X77" i="32"/>
  <c r="Z77" i="32" s="1"/>
  <c r="W77" i="32"/>
  <c r="AQ76" i="32"/>
  <c r="AU76" i="32" s="1"/>
  <c r="AP76" i="32"/>
  <c r="AO76" i="32"/>
  <c r="AN76" i="32"/>
  <c r="AG76" i="32" s="1"/>
  <c r="AH76" i="32"/>
  <c r="AA76" i="32"/>
  <c r="X76" i="32"/>
  <c r="Z76" i="32" s="1"/>
  <c r="W76" i="32"/>
  <c r="AQ75" i="32"/>
  <c r="AU75" i="32" s="1"/>
  <c r="AP75" i="32"/>
  <c r="AO75" i="32"/>
  <c r="AN75" i="32"/>
  <c r="AG75" i="32" s="1"/>
  <c r="AH75" i="32"/>
  <c r="AA75" i="32"/>
  <c r="X75" i="32"/>
  <c r="Y75" i="32" s="1"/>
  <c r="W75" i="32"/>
  <c r="AQ74" i="32"/>
  <c r="AT74" i="32" s="1"/>
  <c r="AP74" i="32"/>
  <c r="AO74" i="32"/>
  <c r="AN74" i="32"/>
  <c r="AG74" i="32" s="1"/>
  <c r="AH74" i="32"/>
  <c r="AL74" i="32" s="1"/>
  <c r="AA74" i="32"/>
  <c r="X74" i="32"/>
  <c r="Z74" i="32" s="1"/>
  <c r="W74" i="32"/>
  <c r="AQ73" i="32"/>
  <c r="AU73" i="32" s="1"/>
  <c r="AP73" i="32"/>
  <c r="AO73" i="32"/>
  <c r="AN73" i="32"/>
  <c r="AM73" i="32"/>
  <c r="AL73" i="32"/>
  <c r="AJ73" i="32"/>
  <c r="AI73" i="32"/>
  <c r="AH73" i="32"/>
  <c r="AG73" i="32"/>
  <c r="AA73" i="32"/>
  <c r="X73" i="32"/>
  <c r="Z73" i="32" s="1"/>
  <c r="W73" i="32"/>
  <c r="V73" i="32"/>
  <c r="AQ72" i="32"/>
  <c r="AR72" i="32" s="1"/>
  <c r="AP72" i="32"/>
  <c r="AO72" i="32"/>
  <c r="AN72" i="32"/>
  <c r="AG72" i="32" s="1"/>
  <c r="AH72" i="32"/>
  <c r="AL72" i="32" s="1"/>
  <c r="O6" i="32" s="1"/>
  <c r="AA72" i="32"/>
  <c r="AY70" i="32"/>
  <c r="AU69" i="32"/>
  <c r="AT69" i="32"/>
  <c r="AS69" i="32"/>
  <c r="AR69" i="32"/>
  <c r="AQ69" i="32"/>
  <c r="AP69" i="32"/>
  <c r="AO69" i="32"/>
  <c r="AN69" i="32"/>
  <c r="AM69" i="32"/>
  <c r="AF69" i="32"/>
  <c r="AE69" i="32"/>
  <c r="AD69" i="32"/>
  <c r="AC69" i="32"/>
  <c r="AB69" i="32"/>
  <c r="AA69" i="32"/>
  <c r="Z69" i="32"/>
  <c r="Y69" i="32"/>
  <c r="X69" i="32"/>
  <c r="W69" i="32"/>
  <c r="V69" i="32"/>
  <c r="T69" i="32"/>
  <c r="R69" i="32"/>
  <c r="AB67" i="32"/>
  <c r="B64" i="32" a="1"/>
  <c r="B64" i="32" s="1"/>
  <c r="B56" i="32" a="1"/>
  <c r="B56" i="32" s="1"/>
  <c r="B55" i="32" a="1"/>
  <c r="B55" i="32" s="1"/>
  <c r="B54" i="32" a="1"/>
  <c r="B54" i="32" s="1"/>
  <c r="B53" i="32" a="1"/>
  <c r="B53" i="32" s="1"/>
  <c r="B52" i="32" a="1"/>
  <c r="B52" i="32" s="1"/>
  <c r="B51" i="32" a="1"/>
  <c r="B51" i="32" s="1"/>
  <c r="B50" i="32" a="1"/>
  <c r="B50" i="32" s="1"/>
  <c r="B49" i="32" a="1"/>
  <c r="B49" i="32" s="1"/>
  <c r="B48" i="32" a="1"/>
  <c r="B48" i="32" s="1"/>
  <c r="B47" i="32" a="1"/>
  <c r="B47" i="32" s="1"/>
  <c r="B46" i="32" a="1"/>
  <c r="B46" i="32" s="1"/>
  <c r="B45" i="32" a="1"/>
  <c r="B45" i="32" s="1"/>
  <c r="B44" i="32" a="1"/>
  <c r="B44" i="32" s="1"/>
  <c r="B43" i="32" a="1"/>
  <c r="B43" i="32" s="1"/>
  <c r="B42" i="32" a="1"/>
  <c r="B42" i="32" s="1"/>
  <c r="B41" i="32" a="1"/>
  <c r="B41" i="32" s="1"/>
  <c r="B40" i="32" a="1"/>
  <c r="B40" i="32" s="1"/>
  <c r="B39" i="32" a="1"/>
  <c r="B39" i="32" s="1"/>
  <c r="B38" i="32" a="1"/>
  <c r="B38" i="32" s="1"/>
  <c r="B37" i="32" a="1"/>
  <c r="B37" i="32" s="1"/>
  <c r="B36" i="32" a="1"/>
  <c r="B36" i="32" s="1"/>
  <c r="B35" i="32" a="1"/>
  <c r="B35" i="32" s="1"/>
  <c r="B34" i="32" a="1"/>
  <c r="B34" i="32" s="1"/>
  <c r="B33" i="32" a="1"/>
  <c r="B33" i="32" s="1"/>
  <c r="B32" i="32" a="1"/>
  <c r="B32" i="32" s="1"/>
  <c r="B31" i="32" a="1"/>
  <c r="B31" i="32" s="1"/>
  <c r="B30" i="32" a="1"/>
  <c r="B30" i="32" s="1"/>
  <c r="B29" i="32" a="1"/>
  <c r="B29" i="32" s="1"/>
  <c r="B28" i="32" a="1"/>
  <c r="B28" i="32" s="1"/>
  <c r="B27" i="32" a="1"/>
  <c r="B27" i="32" s="1"/>
  <c r="B26" i="32" a="1"/>
  <c r="B26" i="32" s="1"/>
  <c r="B25" i="32" a="1"/>
  <c r="B25" i="32" s="1"/>
  <c r="B24" i="32" a="1"/>
  <c r="B24" i="32" s="1"/>
  <c r="B23" i="32" a="1"/>
  <c r="B23" i="32" s="1"/>
  <c r="B22" i="32" a="1"/>
  <c r="B22" i="32" s="1"/>
  <c r="G20" i="32"/>
  <c r="E20" i="32"/>
  <c r="B16" i="32"/>
  <c r="Q15" i="32"/>
  <c r="P15" i="32"/>
  <c r="M15" i="32"/>
  <c r="L15" i="32"/>
  <c r="K15" i="32"/>
  <c r="Q14" i="32"/>
  <c r="P14" i="32"/>
  <c r="M14" i="32"/>
  <c r="L14" i="32"/>
  <c r="K14" i="32"/>
  <c r="Q13" i="32"/>
  <c r="P13" i="32"/>
  <c r="M13" i="32"/>
  <c r="L13" i="32"/>
  <c r="K13" i="32"/>
  <c r="Q12" i="32"/>
  <c r="P12" i="32"/>
  <c r="M12" i="32"/>
  <c r="L12" i="32"/>
  <c r="K12" i="32"/>
  <c r="Q11" i="32"/>
  <c r="P11" i="32"/>
  <c r="C20" i="32" s="1" a="1"/>
  <c r="C20" i="32" s="1"/>
  <c r="M11" i="32"/>
  <c r="L11" i="32"/>
  <c r="K11" i="32"/>
  <c r="G11" i="32" a="1"/>
  <c r="G11" i="32" s="1"/>
  <c r="B11" i="32" a="1"/>
  <c r="B11" i="32" s="1"/>
  <c r="Q10" i="32"/>
  <c r="P10" i="32"/>
  <c r="M10" i="32"/>
  <c r="L10" i="32"/>
  <c r="K10" i="32"/>
  <c r="Q9" i="32"/>
  <c r="P9" i="32"/>
  <c r="M9" i="32"/>
  <c r="L9" i="32"/>
  <c r="K9" i="32"/>
  <c r="Q8" i="32"/>
  <c r="P8" i="32"/>
  <c r="M8" i="32"/>
  <c r="L8" i="32"/>
  <c r="K8" i="32"/>
  <c r="Q7" i="32"/>
  <c r="P7" i="32"/>
  <c r="M7" i="32"/>
  <c r="L7" i="32"/>
  <c r="K7" i="32"/>
  <c r="H7" i="32" a="1"/>
  <c r="H7" i="32" s="1"/>
  <c r="Q6" i="32"/>
  <c r="P6" i="32"/>
  <c r="M6" i="32"/>
  <c r="L6" i="32"/>
  <c r="K6" i="32"/>
  <c r="BD432" i="31"/>
  <c r="T4" i="31" s="1"/>
  <c r="AQ430" i="31"/>
  <c r="AP430" i="31"/>
  <c r="AO430" i="31"/>
  <c r="AN430" i="31"/>
  <c r="AM430" i="31"/>
  <c r="AL430" i="31"/>
  <c r="AJ430" i="31"/>
  <c r="AI430" i="31"/>
  <c r="AH430" i="31"/>
  <c r="AG430" i="31"/>
  <c r="AA430" i="31"/>
  <c r="X430" i="31"/>
  <c r="Z430" i="31" s="1"/>
  <c r="W430" i="31"/>
  <c r="AQ429" i="31"/>
  <c r="AU429" i="31" s="1"/>
  <c r="AP429" i="31"/>
  <c r="AO429" i="31"/>
  <c r="AN429" i="31"/>
  <c r="AM429" i="31"/>
  <c r="AL429" i="31"/>
  <c r="AJ429" i="31"/>
  <c r="AI429" i="31"/>
  <c r="AH429" i="31"/>
  <c r="AG429" i="31"/>
  <c r="AA429" i="31"/>
  <c r="X429" i="31"/>
  <c r="Z429" i="31" s="1"/>
  <c r="W429" i="31"/>
  <c r="AQ428" i="31"/>
  <c r="AP428" i="31"/>
  <c r="AO428" i="31"/>
  <c r="AN428" i="31"/>
  <c r="AM428" i="31"/>
  <c r="AL428" i="31"/>
  <c r="AJ428" i="31"/>
  <c r="AI428" i="31"/>
  <c r="AH428" i="31"/>
  <c r="AG428" i="31"/>
  <c r="AA428" i="31"/>
  <c r="X428" i="31"/>
  <c r="Z428" i="31" s="1"/>
  <c r="W428" i="31"/>
  <c r="AQ427" i="31"/>
  <c r="AR427" i="31" s="1"/>
  <c r="AP427" i="31"/>
  <c r="AO427" i="31"/>
  <c r="AN427" i="31"/>
  <c r="AM427" i="31"/>
  <c r="AL427" i="31"/>
  <c r="AJ427" i="31"/>
  <c r="AI427" i="31"/>
  <c r="AH427" i="31"/>
  <c r="AG427" i="31"/>
  <c r="AA427" i="31"/>
  <c r="X427" i="31"/>
  <c r="Y427" i="31" s="1"/>
  <c r="W427" i="31"/>
  <c r="AQ426" i="31"/>
  <c r="AT426" i="31" s="1"/>
  <c r="AP426" i="31"/>
  <c r="AO426" i="31"/>
  <c r="AN426" i="31"/>
  <c r="AM426" i="31"/>
  <c r="AL426" i="31"/>
  <c r="AJ426" i="31"/>
  <c r="AI426" i="31"/>
  <c r="AH426" i="31"/>
  <c r="AG426" i="31"/>
  <c r="AA426" i="31"/>
  <c r="X426" i="31"/>
  <c r="Z426" i="31" s="1"/>
  <c r="W426" i="31"/>
  <c r="AQ425" i="31"/>
  <c r="AU425" i="31" s="1"/>
  <c r="AP425" i="31"/>
  <c r="AO425" i="31"/>
  <c r="AN425" i="31"/>
  <c r="AM425" i="31"/>
  <c r="AL425" i="31"/>
  <c r="AJ425" i="31"/>
  <c r="AI425" i="31"/>
  <c r="AH425" i="31"/>
  <c r="AG425" i="31"/>
  <c r="AA425" i="31"/>
  <c r="X425" i="31"/>
  <c r="Z425" i="31" s="1"/>
  <c r="W425" i="31"/>
  <c r="AQ424" i="31"/>
  <c r="AT424" i="31" s="1"/>
  <c r="AP424" i="31"/>
  <c r="AO424" i="31"/>
  <c r="AN424" i="31"/>
  <c r="AM424" i="31"/>
  <c r="AL424" i="31"/>
  <c r="AJ424" i="31"/>
  <c r="AI424" i="31"/>
  <c r="AH424" i="31"/>
  <c r="AG424" i="31"/>
  <c r="AA424" i="31"/>
  <c r="X424" i="31"/>
  <c r="Y424" i="31" s="1"/>
  <c r="W424" i="31"/>
  <c r="AQ423" i="31"/>
  <c r="AT423" i="31" s="1"/>
  <c r="AP423" i="31"/>
  <c r="AO423" i="31"/>
  <c r="AN423" i="31"/>
  <c r="AM423" i="31"/>
  <c r="AL423" i="31"/>
  <c r="AJ423" i="31"/>
  <c r="AI423" i="31"/>
  <c r="AH423" i="31"/>
  <c r="AG423" i="31"/>
  <c r="AA423" i="31"/>
  <c r="X423" i="31"/>
  <c r="Z423" i="31" s="1"/>
  <c r="W423" i="31"/>
  <c r="AQ422" i="31"/>
  <c r="AU422" i="31" s="1"/>
  <c r="AP422" i="31"/>
  <c r="AO422" i="31"/>
  <c r="AN422" i="31"/>
  <c r="AM422" i="31"/>
  <c r="AL422" i="31"/>
  <c r="AJ422" i="31"/>
  <c r="AI422" i="31"/>
  <c r="AH422" i="31"/>
  <c r="AG422" i="31"/>
  <c r="AA422" i="31"/>
  <c r="X422" i="31"/>
  <c r="Z422" i="31" s="1"/>
  <c r="W422" i="31"/>
  <c r="AQ421" i="31"/>
  <c r="AR421" i="31" s="1"/>
  <c r="AP421" i="31"/>
  <c r="AO421" i="31"/>
  <c r="AN421" i="31"/>
  <c r="AM421" i="31"/>
  <c r="AL421" i="31"/>
  <c r="AJ421" i="31"/>
  <c r="AI421" i="31"/>
  <c r="AH421" i="31"/>
  <c r="AG421" i="31"/>
  <c r="AA421" i="31"/>
  <c r="X421" i="31"/>
  <c r="Y421" i="31" s="1"/>
  <c r="W421" i="31"/>
  <c r="AQ420" i="31"/>
  <c r="AU420" i="31" s="1"/>
  <c r="AP420" i="31"/>
  <c r="AO420" i="31"/>
  <c r="AN420" i="31"/>
  <c r="AM420" i="31"/>
  <c r="AL420" i="31"/>
  <c r="AJ420" i="31"/>
  <c r="AI420" i="31"/>
  <c r="AH420" i="31"/>
  <c r="AG420" i="31"/>
  <c r="AA420" i="31"/>
  <c r="X420" i="31"/>
  <c r="Z420" i="31" s="1"/>
  <c r="W420" i="31"/>
  <c r="AQ419" i="31"/>
  <c r="AS419" i="31" s="1"/>
  <c r="AP419" i="31"/>
  <c r="AO419" i="31"/>
  <c r="AN419" i="31"/>
  <c r="AM419" i="31"/>
  <c r="AL419" i="31"/>
  <c r="AJ419" i="31"/>
  <c r="AI419" i="31"/>
  <c r="AH419" i="31"/>
  <c r="AG419" i="31"/>
  <c r="AA419" i="31"/>
  <c r="X419" i="31"/>
  <c r="Z419" i="31" s="1"/>
  <c r="W419" i="31"/>
  <c r="AQ418" i="31"/>
  <c r="AR418" i="31" s="1"/>
  <c r="AP418" i="31"/>
  <c r="AO418" i="31"/>
  <c r="AN418" i="31"/>
  <c r="AM418" i="31"/>
  <c r="AL418" i="31"/>
  <c r="AJ418" i="31"/>
  <c r="AI418" i="31"/>
  <c r="AH418" i="31"/>
  <c r="AG418" i="31"/>
  <c r="AA418" i="31"/>
  <c r="X418" i="31"/>
  <c r="Z418" i="31" s="1"/>
  <c r="W418" i="31"/>
  <c r="AQ417" i="31"/>
  <c r="AR417" i="31" s="1"/>
  <c r="AP417" i="31"/>
  <c r="AO417" i="31"/>
  <c r="AN417" i="31"/>
  <c r="AM417" i="31"/>
  <c r="AL417" i="31"/>
  <c r="AJ417" i="31"/>
  <c r="AI417" i="31"/>
  <c r="AH417" i="31"/>
  <c r="AG417" i="31"/>
  <c r="AA417" i="31"/>
  <c r="X417" i="31"/>
  <c r="Z417" i="31" s="1"/>
  <c r="W417" i="31"/>
  <c r="AQ416" i="31"/>
  <c r="AU416" i="31" s="1"/>
  <c r="AP416" i="31"/>
  <c r="AO416" i="31"/>
  <c r="AN416" i="31"/>
  <c r="AM416" i="31"/>
  <c r="AL416" i="31"/>
  <c r="AJ416" i="31"/>
  <c r="AI416" i="31"/>
  <c r="AH416" i="31"/>
  <c r="AG416" i="31"/>
  <c r="AA416" i="31"/>
  <c r="X416" i="31"/>
  <c r="Z416" i="31" s="1"/>
  <c r="W416" i="31"/>
  <c r="AQ415" i="31"/>
  <c r="AT415" i="31" s="1"/>
  <c r="AP415" i="31"/>
  <c r="AO415" i="31"/>
  <c r="AN415" i="31"/>
  <c r="AM415" i="31"/>
  <c r="AL415" i="31"/>
  <c r="AJ415" i="31"/>
  <c r="AI415" i="31"/>
  <c r="AH415" i="31"/>
  <c r="AG415" i="31"/>
  <c r="AA415" i="31"/>
  <c r="X415" i="31"/>
  <c r="Y415" i="31" s="1"/>
  <c r="W415" i="31"/>
  <c r="AQ414" i="31"/>
  <c r="AP414" i="31"/>
  <c r="AO414" i="31"/>
  <c r="AN414" i="31"/>
  <c r="AM414" i="31"/>
  <c r="AL414" i="31"/>
  <c r="AJ414" i="31"/>
  <c r="AI414" i="31"/>
  <c r="AH414" i="31"/>
  <c r="AG414" i="31"/>
  <c r="AA414" i="31"/>
  <c r="X414" i="31"/>
  <c r="Z414" i="31" s="1"/>
  <c r="W414" i="31"/>
  <c r="AQ413" i="31"/>
  <c r="AS413" i="31" s="1"/>
  <c r="AP413" i="31"/>
  <c r="AO413" i="31"/>
  <c r="AN413" i="31"/>
  <c r="AM413" i="31"/>
  <c r="AL413" i="31"/>
  <c r="AJ413" i="31"/>
  <c r="AI413" i="31"/>
  <c r="AH413" i="31"/>
  <c r="AG413" i="31"/>
  <c r="AA413" i="31"/>
  <c r="X413" i="31"/>
  <c r="W413" i="31"/>
  <c r="AQ412" i="31"/>
  <c r="AP412" i="31"/>
  <c r="AO412" i="31"/>
  <c r="AN412" i="31"/>
  <c r="AM412" i="31"/>
  <c r="AL412" i="31"/>
  <c r="AJ412" i="31"/>
  <c r="AI412" i="31"/>
  <c r="AH412" i="31"/>
  <c r="AG412" i="31"/>
  <c r="AA412" i="31"/>
  <c r="X412" i="31"/>
  <c r="Y412" i="31" s="1"/>
  <c r="W412" i="31"/>
  <c r="AQ411" i="31"/>
  <c r="AS411" i="31" s="1"/>
  <c r="AP411" i="31"/>
  <c r="AO411" i="31"/>
  <c r="AN411" i="31"/>
  <c r="AM411" i="31"/>
  <c r="AL411" i="31"/>
  <c r="AJ411" i="31"/>
  <c r="AI411" i="31"/>
  <c r="AH411" i="31"/>
  <c r="AG411" i="31"/>
  <c r="AA411" i="31"/>
  <c r="X411" i="31"/>
  <c r="Z411" i="31" s="1"/>
  <c r="W411" i="31"/>
  <c r="AQ410" i="31"/>
  <c r="AP410" i="31"/>
  <c r="AO410" i="31"/>
  <c r="AN410" i="31"/>
  <c r="AM410" i="31"/>
  <c r="AL410" i="31"/>
  <c r="AJ410" i="31"/>
  <c r="AI410" i="31"/>
  <c r="AH410" i="31"/>
  <c r="AG410" i="31"/>
  <c r="AA410" i="31"/>
  <c r="X410" i="31"/>
  <c r="Z410" i="31" s="1"/>
  <c r="W410" i="31"/>
  <c r="AQ409" i="31"/>
  <c r="AT409" i="31" s="1"/>
  <c r="AP409" i="31"/>
  <c r="AO409" i="31"/>
  <c r="AN409" i="31"/>
  <c r="AM409" i="31"/>
  <c r="AL409" i="31"/>
  <c r="AJ409" i="31"/>
  <c r="AI409" i="31"/>
  <c r="AH409" i="31"/>
  <c r="AG409" i="31"/>
  <c r="AA409" i="31"/>
  <c r="X409" i="31"/>
  <c r="Z409" i="31" s="1"/>
  <c r="W409" i="31"/>
  <c r="AQ408" i="31"/>
  <c r="AR408" i="31" s="1"/>
  <c r="AP408" i="31"/>
  <c r="AO408" i="31"/>
  <c r="AN408" i="31"/>
  <c r="AM408" i="31"/>
  <c r="AL408" i="31"/>
  <c r="AJ408" i="31"/>
  <c r="AI408" i="31"/>
  <c r="AH408" i="31"/>
  <c r="AG408" i="31"/>
  <c r="AA408" i="31"/>
  <c r="X408" i="31"/>
  <c r="Z408" i="31" s="1"/>
  <c r="W408" i="31"/>
  <c r="AQ407" i="31"/>
  <c r="AU407" i="31" s="1"/>
  <c r="AP407" i="31"/>
  <c r="AO407" i="31"/>
  <c r="AN407" i="31"/>
  <c r="AM407" i="31"/>
  <c r="AL407" i="31"/>
  <c r="AJ407" i="31"/>
  <c r="AI407" i="31"/>
  <c r="AH407" i="31"/>
  <c r="AG407" i="31"/>
  <c r="AA407" i="31"/>
  <c r="X407" i="31"/>
  <c r="Z407" i="31" s="1"/>
  <c r="W407" i="31"/>
  <c r="AQ406" i="31"/>
  <c r="AR406" i="31" s="1"/>
  <c r="AP406" i="31"/>
  <c r="AO406" i="31"/>
  <c r="AN406" i="31"/>
  <c r="AM406" i="31"/>
  <c r="AL406" i="31"/>
  <c r="AJ406" i="31"/>
  <c r="AI406" i="31"/>
  <c r="AH406" i="31"/>
  <c r="AG406" i="31"/>
  <c r="AA406" i="31"/>
  <c r="X406" i="31"/>
  <c r="Z406" i="31" s="1"/>
  <c r="W406" i="31"/>
  <c r="AQ405" i="31"/>
  <c r="AP405" i="31"/>
  <c r="AO405" i="31"/>
  <c r="AN405" i="31"/>
  <c r="AM405" i="31"/>
  <c r="AL405" i="31"/>
  <c r="AJ405" i="31"/>
  <c r="AI405" i="31"/>
  <c r="AH405" i="31"/>
  <c r="AG405" i="31"/>
  <c r="AA405" i="31"/>
  <c r="X405" i="31"/>
  <c r="Z405" i="31" s="1"/>
  <c r="W405" i="31"/>
  <c r="AQ404" i="31"/>
  <c r="AT404" i="31" s="1"/>
  <c r="AP404" i="31"/>
  <c r="AO404" i="31"/>
  <c r="AN404" i="31"/>
  <c r="AM404" i="31"/>
  <c r="AL404" i="31"/>
  <c r="AJ404" i="31"/>
  <c r="AI404" i="31"/>
  <c r="AH404" i="31"/>
  <c r="AG404" i="31"/>
  <c r="AA404" i="31"/>
  <c r="X404" i="31"/>
  <c r="Z404" i="31" s="1"/>
  <c r="W404" i="31"/>
  <c r="AQ403" i="31"/>
  <c r="AS403" i="31" s="1"/>
  <c r="AP403" i="31"/>
  <c r="AO403" i="31"/>
  <c r="AN403" i="31"/>
  <c r="AM403" i="31"/>
  <c r="AL403" i="31"/>
  <c r="AJ403" i="31"/>
  <c r="AI403" i="31"/>
  <c r="AH403" i="31"/>
  <c r="AG403" i="31"/>
  <c r="AA403" i="31"/>
  <c r="X403" i="31"/>
  <c r="Y403" i="31" s="1"/>
  <c r="W403" i="31"/>
  <c r="AQ402" i="31"/>
  <c r="AP402" i="31"/>
  <c r="AO402" i="31"/>
  <c r="AN402" i="31"/>
  <c r="AM402" i="31"/>
  <c r="AL402" i="31"/>
  <c r="AJ402" i="31"/>
  <c r="AI402" i="31"/>
  <c r="AH402" i="31"/>
  <c r="AG402" i="31"/>
  <c r="AA402" i="31"/>
  <c r="X402" i="31"/>
  <c r="Z402" i="31" s="1"/>
  <c r="W402" i="31"/>
  <c r="AQ401" i="31"/>
  <c r="AP401" i="31"/>
  <c r="AO401" i="31"/>
  <c r="AN401" i="31"/>
  <c r="AM401" i="31"/>
  <c r="AL401" i="31"/>
  <c r="AJ401" i="31"/>
  <c r="AI401" i="31"/>
  <c r="AH401" i="31"/>
  <c r="AG401" i="31"/>
  <c r="AA401" i="31"/>
  <c r="X401" i="31"/>
  <c r="W401" i="31"/>
  <c r="AQ400" i="31"/>
  <c r="AP400" i="31"/>
  <c r="AO400" i="31"/>
  <c r="AN400" i="31"/>
  <c r="AM400" i="31"/>
  <c r="AL400" i="31"/>
  <c r="AJ400" i="31"/>
  <c r="AI400" i="31"/>
  <c r="AH400" i="31"/>
  <c r="AG400" i="31"/>
  <c r="AA400" i="31"/>
  <c r="X400" i="31"/>
  <c r="Z400" i="31" s="1"/>
  <c r="W400" i="31"/>
  <c r="AQ399" i="31"/>
  <c r="AT399" i="31" s="1"/>
  <c r="AP399" i="31"/>
  <c r="AO399" i="31"/>
  <c r="AN399" i="31"/>
  <c r="AM399" i="31"/>
  <c r="AL399" i="31"/>
  <c r="AJ399" i="31"/>
  <c r="AI399" i="31"/>
  <c r="AH399" i="31"/>
  <c r="AG399" i="31"/>
  <c r="AA399" i="31"/>
  <c r="X399" i="31"/>
  <c r="W399" i="31"/>
  <c r="AQ398" i="31"/>
  <c r="AR398" i="31" s="1"/>
  <c r="AP398" i="31"/>
  <c r="AO398" i="31"/>
  <c r="AN398" i="31"/>
  <c r="AM398" i="31"/>
  <c r="AL398" i="31"/>
  <c r="AJ398" i="31"/>
  <c r="AI398" i="31"/>
  <c r="AH398" i="31"/>
  <c r="AG398" i="31"/>
  <c r="AA398" i="31"/>
  <c r="X398" i="31"/>
  <c r="Z398" i="31" s="1"/>
  <c r="W398" i="31"/>
  <c r="AQ397" i="31"/>
  <c r="AU397" i="31" s="1"/>
  <c r="AP397" i="31"/>
  <c r="AO397" i="31"/>
  <c r="AN397" i="31"/>
  <c r="AM397" i="31"/>
  <c r="AL397" i="31"/>
  <c r="AJ397" i="31"/>
  <c r="AI397" i="31"/>
  <c r="AH397" i="31"/>
  <c r="AG397" i="31"/>
  <c r="AA397" i="31"/>
  <c r="X397" i="31"/>
  <c r="Z397" i="31" s="1"/>
  <c r="W397" i="31"/>
  <c r="V397" i="31"/>
  <c r="AQ396" i="31"/>
  <c r="AR396" i="31" s="1"/>
  <c r="AP396" i="31"/>
  <c r="AH396" i="31" s="1"/>
  <c r="AI396" i="31" s="1"/>
  <c r="AO396" i="31"/>
  <c r="AN396" i="31"/>
  <c r="AG396" i="31" s="1"/>
  <c r="AA396" i="31"/>
  <c r="AQ394" i="31"/>
  <c r="AP394" i="31"/>
  <c r="AO394" i="31"/>
  <c r="AN394" i="31"/>
  <c r="AM394" i="31"/>
  <c r="AL394" i="31"/>
  <c r="AJ394" i="31"/>
  <c r="AI394" i="31"/>
  <c r="AH394" i="31"/>
  <c r="AG394" i="31"/>
  <c r="AA394" i="31"/>
  <c r="X394" i="31"/>
  <c r="Y394" i="31" s="1"/>
  <c r="W394" i="31"/>
  <c r="AQ393" i="31"/>
  <c r="AT393" i="31" s="1"/>
  <c r="AP393" i="31"/>
  <c r="AO393" i="31"/>
  <c r="AN393" i="31"/>
  <c r="AM393" i="31"/>
  <c r="AL393" i="31"/>
  <c r="AJ393" i="31"/>
  <c r="AI393" i="31"/>
  <c r="AH393" i="31"/>
  <c r="AG393" i="31"/>
  <c r="AA393" i="31"/>
  <c r="X393" i="31"/>
  <c r="Y393" i="31" s="1"/>
  <c r="W393" i="31"/>
  <c r="AQ392" i="31"/>
  <c r="AU392" i="31" s="1"/>
  <c r="AP392" i="31"/>
  <c r="AO392" i="31"/>
  <c r="AN392" i="31"/>
  <c r="AM392" i="31"/>
  <c r="AL392" i="31"/>
  <c r="AJ392" i="31"/>
  <c r="AI392" i="31"/>
  <c r="AH392" i="31"/>
  <c r="AG392" i="31"/>
  <c r="AA392" i="31"/>
  <c r="X392" i="31"/>
  <c r="W392" i="31"/>
  <c r="AQ391" i="31"/>
  <c r="AP391" i="31"/>
  <c r="AO391" i="31"/>
  <c r="AN391" i="31"/>
  <c r="AM391" i="31"/>
  <c r="AL391" i="31"/>
  <c r="AJ391" i="31"/>
  <c r="AI391" i="31"/>
  <c r="AH391" i="31"/>
  <c r="AG391" i="31"/>
  <c r="AA391" i="31"/>
  <c r="X391" i="31"/>
  <c r="Z391" i="31" s="1"/>
  <c r="W391" i="31"/>
  <c r="AQ390" i="31"/>
  <c r="AP390" i="31"/>
  <c r="AO390" i="31"/>
  <c r="AN390" i="31"/>
  <c r="AM390" i="31"/>
  <c r="AL390" i="31"/>
  <c r="AJ390" i="31"/>
  <c r="AI390" i="31"/>
  <c r="AH390" i="31"/>
  <c r="AG390" i="31"/>
  <c r="AA390" i="31"/>
  <c r="X390" i="31"/>
  <c r="Z390" i="31" s="1"/>
  <c r="W390" i="31"/>
  <c r="AQ389" i="31"/>
  <c r="AP389" i="31"/>
  <c r="AO389" i="31"/>
  <c r="AN389" i="31"/>
  <c r="AM389" i="31"/>
  <c r="AL389" i="31"/>
  <c r="AJ389" i="31"/>
  <c r="AI389" i="31"/>
  <c r="AH389" i="31"/>
  <c r="AG389" i="31"/>
  <c r="AA389" i="31"/>
  <c r="X389" i="31"/>
  <c r="Z389" i="31" s="1"/>
  <c r="W389" i="31"/>
  <c r="AQ388" i="31"/>
  <c r="AR388" i="31" s="1"/>
  <c r="AP388" i="31"/>
  <c r="AO388" i="31"/>
  <c r="AN388" i="31"/>
  <c r="AM388" i="31"/>
  <c r="AL388" i="31"/>
  <c r="AJ388" i="31"/>
  <c r="AI388" i="31"/>
  <c r="AH388" i="31"/>
  <c r="AG388" i="31"/>
  <c r="AA388" i="31"/>
  <c r="X388" i="31"/>
  <c r="Z388" i="31" s="1"/>
  <c r="W388" i="31"/>
  <c r="AQ387" i="31"/>
  <c r="AR387" i="31" s="1"/>
  <c r="AP387" i="31"/>
  <c r="AO387" i="31"/>
  <c r="AN387" i="31"/>
  <c r="AM387" i="31"/>
  <c r="AL387" i="31"/>
  <c r="AJ387" i="31"/>
  <c r="AI387" i="31"/>
  <c r="AH387" i="31"/>
  <c r="AG387" i="31"/>
  <c r="AA387" i="31"/>
  <c r="X387" i="31"/>
  <c r="Y387" i="31" s="1"/>
  <c r="W387" i="31"/>
  <c r="AQ386" i="31"/>
  <c r="AS386" i="31" s="1"/>
  <c r="AP386" i="31"/>
  <c r="AO386" i="31"/>
  <c r="AN386" i="31"/>
  <c r="AM386" i="31"/>
  <c r="AL386" i="31"/>
  <c r="AJ386" i="31"/>
  <c r="AI386" i="31"/>
  <c r="AH386" i="31"/>
  <c r="AG386" i="31"/>
  <c r="AA386" i="31"/>
  <c r="X386" i="31"/>
  <c r="Z386" i="31" s="1"/>
  <c r="W386" i="31"/>
  <c r="AQ385" i="31"/>
  <c r="AP385" i="31"/>
  <c r="AO385" i="31"/>
  <c r="AN385" i="31"/>
  <c r="AM385" i="31"/>
  <c r="AL385" i="31"/>
  <c r="AJ385" i="31"/>
  <c r="AI385" i="31"/>
  <c r="AH385" i="31"/>
  <c r="AG385" i="31"/>
  <c r="AA385" i="31"/>
  <c r="X385" i="31"/>
  <c r="Y385" i="31" s="1"/>
  <c r="W385" i="31"/>
  <c r="AQ384" i="31"/>
  <c r="AS384" i="31" s="1"/>
  <c r="AP384" i="31"/>
  <c r="AO384" i="31"/>
  <c r="AN384" i="31"/>
  <c r="AM384" i="31"/>
  <c r="AL384" i="31"/>
  <c r="AJ384" i="31"/>
  <c r="AI384" i="31"/>
  <c r="AH384" i="31"/>
  <c r="AG384" i="31"/>
  <c r="AA384" i="31"/>
  <c r="X384" i="31"/>
  <c r="W384" i="31"/>
  <c r="AQ383" i="31"/>
  <c r="AT383" i="31" s="1"/>
  <c r="AP383" i="31"/>
  <c r="AO383" i="31"/>
  <c r="AN383" i="31"/>
  <c r="AM383" i="31"/>
  <c r="AL383" i="31"/>
  <c r="AJ383" i="31"/>
  <c r="AI383" i="31"/>
  <c r="AH383" i="31"/>
  <c r="AG383" i="31"/>
  <c r="AA383" i="31"/>
  <c r="X383" i="31"/>
  <c r="Z383" i="31" s="1"/>
  <c r="W383" i="31"/>
  <c r="AQ382" i="31"/>
  <c r="AU382" i="31" s="1"/>
  <c r="AP382" i="31"/>
  <c r="AO382" i="31"/>
  <c r="AN382" i="31"/>
  <c r="AM382" i="31"/>
  <c r="AL382" i="31"/>
  <c r="AJ382" i="31"/>
  <c r="AI382" i="31"/>
  <c r="AH382" i="31"/>
  <c r="AG382" i="31"/>
  <c r="AA382" i="31"/>
  <c r="X382" i="31"/>
  <c r="W382" i="31"/>
  <c r="AQ381" i="31"/>
  <c r="AP381" i="31"/>
  <c r="AO381" i="31"/>
  <c r="AN381" i="31"/>
  <c r="AM381" i="31"/>
  <c r="AL381" i="31"/>
  <c r="AJ381" i="31"/>
  <c r="AI381" i="31"/>
  <c r="AH381" i="31"/>
  <c r="AG381" i="31"/>
  <c r="AA381" i="31"/>
  <c r="X381" i="31"/>
  <c r="Z381" i="31" s="1"/>
  <c r="W381" i="31"/>
  <c r="AQ380" i="31"/>
  <c r="AP380" i="31"/>
  <c r="AO380" i="31"/>
  <c r="AN380" i="31"/>
  <c r="AM380" i="31"/>
  <c r="AL380" i="31"/>
  <c r="AJ380" i="31"/>
  <c r="AI380" i="31"/>
  <c r="AH380" i="31"/>
  <c r="AG380" i="31"/>
  <c r="AA380" i="31"/>
  <c r="X380" i="31"/>
  <c r="Z380" i="31" s="1"/>
  <c r="W380" i="31"/>
  <c r="AQ379" i="31"/>
  <c r="AS379" i="31" s="1"/>
  <c r="AP379" i="31"/>
  <c r="AO379" i="31"/>
  <c r="AN379" i="31"/>
  <c r="AM379" i="31"/>
  <c r="AL379" i="31"/>
  <c r="AJ379" i="31"/>
  <c r="AI379" i="31"/>
  <c r="AH379" i="31"/>
  <c r="AG379" i="31"/>
  <c r="AA379" i="31"/>
  <c r="X379" i="31"/>
  <c r="Z379" i="31" s="1"/>
  <c r="W379" i="31"/>
  <c r="AQ378" i="31"/>
  <c r="AS378" i="31" s="1"/>
  <c r="AP378" i="31"/>
  <c r="AO378" i="31"/>
  <c r="AN378" i="31"/>
  <c r="AM378" i="31"/>
  <c r="AL378" i="31"/>
  <c r="AJ378" i="31"/>
  <c r="AI378" i="31"/>
  <c r="AH378" i="31"/>
  <c r="AG378" i="31"/>
  <c r="AA378" i="31"/>
  <c r="X378" i="31"/>
  <c r="Z378" i="31" s="1"/>
  <c r="W378" i="31"/>
  <c r="AQ377" i="31"/>
  <c r="AP377" i="31"/>
  <c r="AO377" i="31"/>
  <c r="AN377" i="31"/>
  <c r="AM377" i="31"/>
  <c r="AL377" i="31"/>
  <c r="AJ377" i="31"/>
  <c r="AI377" i="31"/>
  <c r="AH377" i="31"/>
  <c r="AG377" i="31"/>
  <c r="AA377" i="31"/>
  <c r="X377" i="31"/>
  <c r="W377" i="31"/>
  <c r="AQ376" i="31"/>
  <c r="AR376" i="31" s="1"/>
  <c r="AP376" i="31"/>
  <c r="AO376" i="31"/>
  <c r="AN376" i="31"/>
  <c r="AM376" i="31"/>
  <c r="AL376" i="31"/>
  <c r="AJ376" i="31"/>
  <c r="AI376" i="31"/>
  <c r="AH376" i="31"/>
  <c r="AG376" i="31"/>
  <c r="AA376" i="31"/>
  <c r="X376" i="31"/>
  <c r="Z376" i="31" s="1"/>
  <c r="W376" i="31"/>
  <c r="AQ375" i="31"/>
  <c r="AU375" i="31" s="1"/>
  <c r="AP375" i="31"/>
  <c r="AO375" i="31"/>
  <c r="AN375" i="31"/>
  <c r="AM375" i="31"/>
  <c r="AL375" i="31"/>
  <c r="AJ375" i="31"/>
  <c r="AI375" i="31"/>
  <c r="AH375" i="31"/>
  <c r="AG375" i="31"/>
  <c r="AA375" i="31"/>
  <c r="X375" i="31"/>
  <c r="W375" i="31"/>
  <c r="AQ374" i="31"/>
  <c r="AS374" i="31" s="1"/>
  <c r="AP374" i="31"/>
  <c r="AO374" i="31"/>
  <c r="AN374" i="31"/>
  <c r="AM374" i="31"/>
  <c r="AL374" i="31"/>
  <c r="AJ374" i="31"/>
  <c r="AI374" i="31"/>
  <c r="AH374" i="31"/>
  <c r="AG374" i="31"/>
  <c r="AA374" i="31"/>
  <c r="X374" i="31"/>
  <c r="Z374" i="31" s="1"/>
  <c r="W374" i="31"/>
  <c r="AQ373" i="31"/>
  <c r="AP373" i="31"/>
  <c r="AO373" i="31"/>
  <c r="AN373" i="31"/>
  <c r="AM373" i="31"/>
  <c r="AL373" i="31"/>
  <c r="AJ373" i="31"/>
  <c r="AI373" i="31"/>
  <c r="AH373" i="31"/>
  <c r="AG373" i="31"/>
  <c r="AA373" i="31"/>
  <c r="X373" i="31"/>
  <c r="Y373" i="31" s="1"/>
  <c r="W373" i="31"/>
  <c r="AQ372" i="31"/>
  <c r="AR372" i="31" s="1"/>
  <c r="AP372" i="31"/>
  <c r="AO372" i="31"/>
  <c r="AN372" i="31"/>
  <c r="AM372" i="31"/>
  <c r="AL372" i="31"/>
  <c r="AJ372" i="31"/>
  <c r="AI372" i="31"/>
  <c r="AH372" i="31"/>
  <c r="AG372" i="31"/>
  <c r="AA372" i="31"/>
  <c r="X372" i="31"/>
  <c r="Y372" i="31" s="1"/>
  <c r="W372" i="31"/>
  <c r="AQ371" i="31"/>
  <c r="AT371" i="31" s="1"/>
  <c r="AP371" i="31"/>
  <c r="AO371" i="31"/>
  <c r="AN371" i="31"/>
  <c r="AM371" i="31"/>
  <c r="AL371" i="31"/>
  <c r="AJ371" i="31"/>
  <c r="AI371" i="31"/>
  <c r="AH371" i="31"/>
  <c r="AG371" i="31"/>
  <c r="AA371" i="31"/>
  <c r="X371" i="31"/>
  <c r="Y371" i="31" s="1"/>
  <c r="W371" i="31"/>
  <c r="AQ370" i="31"/>
  <c r="AP370" i="31"/>
  <c r="AO370" i="31"/>
  <c r="AN370" i="31"/>
  <c r="AM370" i="31"/>
  <c r="AL370" i="31"/>
  <c r="AJ370" i="31"/>
  <c r="AI370" i="31"/>
  <c r="AH370" i="31"/>
  <c r="AG370" i="31"/>
  <c r="AA370" i="31"/>
  <c r="X370" i="31"/>
  <c r="Y370" i="31" s="1"/>
  <c r="W370" i="31"/>
  <c r="AQ369" i="31"/>
  <c r="AP369" i="31"/>
  <c r="AO369" i="31"/>
  <c r="AN369" i="31"/>
  <c r="AM369" i="31"/>
  <c r="AL369" i="31"/>
  <c r="AJ369" i="31"/>
  <c r="AI369" i="31"/>
  <c r="AH369" i="31"/>
  <c r="AG369" i="31"/>
  <c r="AA369" i="31"/>
  <c r="X369" i="31"/>
  <c r="Y369" i="31" s="1"/>
  <c r="W369" i="31"/>
  <c r="AQ368" i="31"/>
  <c r="AT368" i="31" s="1"/>
  <c r="AP368" i="31"/>
  <c r="AO368" i="31"/>
  <c r="AN368" i="31"/>
  <c r="AM368" i="31"/>
  <c r="AL368" i="31"/>
  <c r="AJ368" i="31"/>
  <c r="AI368" i="31"/>
  <c r="AH368" i="31"/>
  <c r="AG368" i="31"/>
  <c r="AA368" i="31"/>
  <c r="X368" i="31"/>
  <c r="Z368" i="31" s="1"/>
  <c r="W368" i="31"/>
  <c r="AQ367" i="31"/>
  <c r="AS367" i="31" s="1"/>
  <c r="AP367" i="31"/>
  <c r="AO367" i="31"/>
  <c r="AN367" i="31"/>
  <c r="AM367" i="31"/>
  <c r="AL367" i="31"/>
  <c r="AJ367" i="31"/>
  <c r="AI367" i="31"/>
  <c r="AH367" i="31"/>
  <c r="AG367" i="31"/>
  <c r="AA367" i="31"/>
  <c r="X367" i="31"/>
  <c r="Y367" i="31" s="1"/>
  <c r="W367" i="31"/>
  <c r="AQ366" i="31"/>
  <c r="AP366" i="31"/>
  <c r="AO366" i="31"/>
  <c r="AN366" i="31"/>
  <c r="AM366" i="31"/>
  <c r="AL366" i="31"/>
  <c r="AJ366" i="31"/>
  <c r="AI366" i="31"/>
  <c r="AH366" i="31"/>
  <c r="AG366" i="31"/>
  <c r="AA366" i="31"/>
  <c r="X366" i="31"/>
  <c r="Z366" i="31" s="1"/>
  <c r="W366" i="31"/>
  <c r="AQ365" i="31"/>
  <c r="AU365" i="31" s="1"/>
  <c r="AP365" i="31"/>
  <c r="AO365" i="31"/>
  <c r="AN365" i="31"/>
  <c r="AM365" i="31"/>
  <c r="AL365" i="31"/>
  <c r="AJ365" i="31"/>
  <c r="AI365" i="31"/>
  <c r="AH365" i="31"/>
  <c r="AG365" i="31"/>
  <c r="AA365" i="31"/>
  <c r="X365" i="31"/>
  <c r="Y365" i="31" s="1"/>
  <c r="W365" i="31"/>
  <c r="AQ364" i="31"/>
  <c r="AS364" i="31" s="1"/>
  <c r="AP364" i="31"/>
  <c r="AO364" i="31"/>
  <c r="AN364" i="31"/>
  <c r="AM364" i="31"/>
  <c r="AL364" i="31"/>
  <c r="AJ364" i="31"/>
  <c r="AI364" i="31"/>
  <c r="AH364" i="31"/>
  <c r="AG364" i="31"/>
  <c r="AA364" i="31"/>
  <c r="X364" i="31"/>
  <c r="W364" i="31"/>
  <c r="AQ363" i="31"/>
  <c r="AR363" i="31" s="1"/>
  <c r="AP363" i="31"/>
  <c r="AO363" i="31"/>
  <c r="AN363" i="31"/>
  <c r="AM363" i="31"/>
  <c r="AL363" i="31"/>
  <c r="AJ363" i="31"/>
  <c r="AI363" i="31"/>
  <c r="AH363" i="31"/>
  <c r="AG363" i="31"/>
  <c r="AA363" i="31"/>
  <c r="X363" i="31"/>
  <c r="Z363" i="31" s="1"/>
  <c r="W363" i="31"/>
  <c r="AQ362" i="31"/>
  <c r="AR362" i="31" s="1"/>
  <c r="AP362" i="31"/>
  <c r="AO362" i="31"/>
  <c r="AN362" i="31"/>
  <c r="AM362" i="31"/>
  <c r="AL362" i="31"/>
  <c r="AJ362" i="31"/>
  <c r="AI362" i="31"/>
  <c r="AH362" i="31"/>
  <c r="AG362" i="31"/>
  <c r="AA362" i="31"/>
  <c r="X362" i="31"/>
  <c r="W362" i="31"/>
  <c r="AQ361" i="31"/>
  <c r="AT361" i="31" s="1"/>
  <c r="AP361" i="31"/>
  <c r="AO361" i="31"/>
  <c r="AN361" i="31"/>
  <c r="AM361" i="31"/>
  <c r="AL361" i="31"/>
  <c r="AJ361" i="31"/>
  <c r="AI361" i="31"/>
  <c r="AH361" i="31"/>
  <c r="AG361" i="31"/>
  <c r="AA361" i="31"/>
  <c r="X361" i="31"/>
  <c r="Z361" i="31" s="1"/>
  <c r="W361" i="31"/>
  <c r="V361" i="31"/>
  <c r="AQ360" i="31"/>
  <c r="AP360" i="31"/>
  <c r="AH360" i="31" s="1"/>
  <c r="AO360" i="31"/>
  <c r="AN360" i="31"/>
  <c r="AG360" i="31" s="1"/>
  <c r="AA360" i="31"/>
  <c r="AQ358" i="31"/>
  <c r="AP358" i="31"/>
  <c r="AO358" i="31"/>
  <c r="AN358" i="31"/>
  <c r="AM358" i="31"/>
  <c r="AL358" i="31"/>
  <c r="AJ358" i="31"/>
  <c r="AI358" i="31"/>
  <c r="AH358" i="31"/>
  <c r="AG358" i="31"/>
  <c r="AA358" i="31"/>
  <c r="X358" i="31"/>
  <c r="Z358" i="31" s="1"/>
  <c r="W358" i="31"/>
  <c r="AQ357" i="31"/>
  <c r="AP357" i="31"/>
  <c r="AO357" i="31"/>
  <c r="AN357" i="31"/>
  <c r="AM357" i="31"/>
  <c r="AL357" i="31"/>
  <c r="AJ357" i="31"/>
  <c r="AI357" i="31"/>
  <c r="AH357" i="31"/>
  <c r="AG357" i="31"/>
  <c r="AA357" i="31"/>
  <c r="X357" i="31"/>
  <c r="Z357" i="31" s="1"/>
  <c r="W357" i="31"/>
  <c r="AQ356" i="31"/>
  <c r="AS356" i="31" s="1"/>
  <c r="AP356" i="31"/>
  <c r="AO356" i="31"/>
  <c r="AN356" i="31"/>
  <c r="AM356" i="31"/>
  <c r="AL356" i="31"/>
  <c r="AJ356" i="31"/>
  <c r="AI356" i="31"/>
  <c r="AH356" i="31"/>
  <c r="AG356" i="31"/>
  <c r="AA356" i="31"/>
  <c r="X356" i="31"/>
  <c r="W356" i="31"/>
  <c r="AQ355" i="31"/>
  <c r="AP355" i="31"/>
  <c r="AO355" i="31"/>
  <c r="AN355" i="31"/>
  <c r="AM355" i="31"/>
  <c r="AL355" i="31"/>
  <c r="AJ355" i="31"/>
  <c r="AI355" i="31"/>
  <c r="AH355" i="31"/>
  <c r="AG355" i="31"/>
  <c r="AA355" i="31"/>
  <c r="X355" i="31"/>
  <c r="Z355" i="31" s="1"/>
  <c r="W355" i="31"/>
  <c r="AQ354" i="31"/>
  <c r="AU354" i="31" s="1"/>
  <c r="AP354" i="31"/>
  <c r="AO354" i="31"/>
  <c r="AN354" i="31"/>
  <c r="AM354" i="31"/>
  <c r="AL354" i="31"/>
  <c r="AJ354" i="31"/>
  <c r="AI354" i="31"/>
  <c r="AH354" i="31"/>
  <c r="AG354" i="31"/>
  <c r="AA354" i="31"/>
  <c r="X354" i="31"/>
  <c r="W354" i="31"/>
  <c r="AQ353" i="31"/>
  <c r="AU353" i="31" s="1"/>
  <c r="AP353" i="31"/>
  <c r="AO353" i="31"/>
  <c r="AN353" i="31"/>
  <c r="AM353" i="31"/>
  <c r="AL353" i="31"/>
  <c r="AJ353" i="31"/>
  <c r="AI353" i="31"/>
  <c r="AH353" i="31"/>
  <c r="AG353" i="31"/>
  <c r="AA353" i="31"/>
  <c r="X353" i="31"/>
  <c r="W353" i="31"/>
  <c r="AQ352" i="31"/>
  <c r="AP352" i="31"/>
  <c r="AO352" i="31"/>
  <c r="AN352" i="31"/>
  <c r="AM352" i="31"/>
  <c r="AL352" i="31"/>
  <c r="AJ352" i="31"/>
  <c r="AI352" i="31"/>
  <c r="AH352" i="31"/>
  <c r="AG352" i="31"/>
  <c r="AA352" i="31"/>
  <c r="X352" i="31"/>
  <c r="Z352" i="31" s="1"/>
  <c r="W352" i="31"/>
  <c r="AQ351" i="31"/>
  <c r="AU351" i="31" s="1"/>
  <c r="AP351" i="31"/>
  <c r="AO351" i="31"/>
  <c r="AN351" i="31"/>
  <c r="AM351" i="31"/>
  <c r="AL351" i="31"/>
  <c r="AJ351" i="31"/>
  <c r="AI351" i="31"/>
  <c r="AH351" i="31"/>
  <c r="AG351" i="31"/>
  <c r="AA351" i="31"/>
  <c r="X351" i="31"/>
  <c r="Z351" i="31" s="1"/>
  <c r="W351" i="31"/>
  <c r="AQ350" i="31"/>
  <c r="AU350" i="31" s="1"/>
  <c r="AP350" i="31"/>
  <c r="AO350" i="31"/>
  <c r="AN350" i="31"/>
  <c r="AM350" i="31"/>
  <c r="AL350" i="31"/>
  <c r="AJ350" i="31"/>
  <c r="AI350" i="31"/>
  <c r="AH350" i="31"/>
  <c r="AG350" i="31"/>
  <c r="AA350" i="31"/>
  <c r="X350" i="31"/>
  <c r="Y350" i="31" s="1"/>
  <c r="W350" i="31"/>
  <c r="AQ349" i="31"/>
  <c r="AT349" i="31" s="1"/>
  <c r="AP349" i="31"/>
  <c r="AO349" i="31"/>
  <c r="AN349" i="31"/>
  <c r="AM349" i="31"/>
  <c r="AL349" i="31"/>
  <c r="AJ349" i="31"/>
  <c r="AI349" i="31"/>
  <c r="AH349" i="31"/>
  <c r="AG349" i="31"/>
  <c r="AA349" i="31"/>
  <c r="X349" i="31"/>
  <c r="Z349" i="31" s="1"/>
  <c r="W349" i="31"/>
  <c r="AQ348" i="31"/>
  <c r="AP348" i="31"/>
  <c r="AO348" i="31"/>
  <c r="AN348" i="31"/>
  <c r="AM348" i="31"/>
  <c r="AL348" i="31"/>
  <c r="AJ348" i="31"/>
  <c r="AI348" i="31"/>
  <c r="AH348" i="31"/>
  <c r="AG348" i="31"/>
  <c r="AA348" i="31"/>
  <c r="X348" i="31"/>
  <c r="Y348" i="31" s="1"/>
  <c r="W348" i="31"/>
  <c r="AQ347" i="31"/>
  <c r="AR347" i="31" s="1"/>
  <c r="AP347" i="31"/>
  <c r="AO347" i="31"/>
  <c r="AN347" i="31"/>
  <c r="AM347" i="31"/>
  <c r="AL347" i="31"/>
  <c r="AJ347" i="31"/>
  <c r="AI347" i="31"/>
  <c r="AH347" i="31"/>
  <c r="AG347" i="31"/>
  <c r="AA347" i="31"/>
  <c r="X347" i="31"/>
  <c r="Z347" i="31" s="1"/>
  <c r="W347" i="31"/>
  <c r="AQ346" i="31"/>
  <c r="AU346" i="31" s="1"/>
  <c r="AP346" i="31"/>
  <c r="AO346" i="31"/>
  <c r="AN346" i="31"/>
  <c r="AM346" i="31"/>
  <c r="AL346" i="31"/>
  <c r="AJ346" i="31"/>
  <c r="AI346" i="31"/>
  <c r="AH346" i="31"/>
  <c r="AG346" i="31"/>
  <c r="AA346" i="31"/>
  <c r="X346" i="31"/>
  <c r="Z346" i="31" s="1"/>
  <c r="W346" i="31"/>
  <c r="AQ345" i="31"/>
  <c r="AP345" i="31"/>
  <c r="AO345" i="31"/>
  <c r="AN345" i="31"/>
  <c r="AM345" i="31"/>
  <c r="AL345" i="31"/>
  <c r="AJ345" i="31"/>
  <c r="AI345" i="31"/>
  <c r="AH345" i="31"/>
  <c r="AG345" i="31"/>
  <c r="AA345" i="31"/>
  <c r="X345" i="31"/>
  <c r="Y345" i="31" s="1"/>
  <c r="W345" i="31"/>
  <c r="AQ344" i="31"/>
  <c r="AT344" i="31" s="1"/>
  <c r="AP344" i="31"/>
  <c r="AO344" i="31"/>
  <c r="AN344" i="31"/>
  <c r="AM344" i="31"/>
  <c r="AL344" i="31"/>
  <c r="AJ344" i="31"/>
  <c r="AI344" i="31"/>
  <c r="AH344" i="31"/>
  <c r="AG344" i="31"/>
  <c r="AA344" i="31"/>
  <c r="X344" i="31"/>
  <c r="Y344" i="31" s="1"/>
  <c r="W344" i="31"/>
  <c r="AQ343" i="31"/>
  <c r="AP343" i="31"/>
  <c r="AO343" i="31"/>
  <c r="AN343" i="31"/>
  <c r="AM343" i="31"/>
  <c r="AL343" i="31"/>
  <c r="AJ343" i="31"/>
  <c r="AI343" i="31"/>
  <c r="AH343" i="31"/>
  <c r="AG343" i="31"/>
  <c r="AA343" i="31"/>
  <c r="X343" i="31"/>
  <c r="Z343" i="31" s="1"/>
  <c r="W343" i="31"/>
  <c r="AQ342" i="31"/>
  <c r="AU342" i="31" s="1"/>
  <c r="AP342" i="31"/>
  <c r="AO342" i="31"/>
  <c r="AN342" i="31"/>
  <c r="AM342" i="31"/>
  <c r="AL342" i="31"/>
  <c r="AJ342" i="31"/>
  <c r="AI342" i="31"/>
  <c r="AH342" i="31"/>
  <c r="AG342" i="31"/>
  <c r="AA342" i="31"/>
  <c r="X342" i="31"/>
  <c r="Y342" i="31" s="1"/>
  <c r="W342" i="31"/>
  <c r="AQ341" i="31"/>
  <c r="AR341" i="31" s="1"/>
  <c r="AP341" i="31"/>
  <c r="AO341" i="31"/>
  <c r="AN341" i="31"/>
  <c r="AM341" i="31"/>
  <c r="AL341" i="31"/>
  <c r="AJ341" i="31"/>
  <c r="AI341" i="31"/>
  <c r="AH341" i="31"/>
  <c r="AG341" i="31"/>
  <c r="AA341" i="31"/>
  <c r="X341" i="31"/>
  <c r="Z341" i="31" s="1"/>
  <c r="W341" i="31"/>
  <c r="AQ340" i="31"/>
  <c r="AP340" i="31"/>
  <c r="AO340" i="31"/>
  <c r="AN340" i="31"/>
  <c r="AM340" i="31"/>
  <c r="AL340" i="31"/>
  <c r="AJ340" i="31"/>
  <c r="AI340" i="31"/>
  <c r="AH340" i="31"/>
  <c r="AG340" i="31"/>
  <c r="AA340" i="31"/>
  <c r="X340" i="31"/>
  <c r="W340" i="31"/>
  <c r="AQ339" i="31"/>
  <c r="AR339" i="31" s="1"/>
  <c r="AP339" i="31"/>
  <c r="AO339" i="31"/>
  <c r="AN339" i="31"/>
  <c r="AM339" i="31"/>
  <c r="AL339" i="31"/>
  <c r="AJ339" i="31"/>
  <c r="AI339" i="31"/>
  <c r="AH339" i="31"/>
  <c r="AG339" i="31"/>
  <c r="AA339" i="31"/>
  <c r="X339" i="31"/>
  <c r="Y339" i="31" s="1"/>
  <c r="W339" i="31"/>
  <c r="AQ338" i="31"/>
  <c r="AU338" i="31" s="1"/>
  <c r="AP338" i="31"/>
  <c r="AO338" i="31"/>
  <c r="AN338" i="31"/>
  <c r="AM338" i="31"/>
  <c r="AL338" i="31"/>
  <c r="AJ338" i="31"/>
  <c r="AI338" i="31"/>
  <c r="AH338" i="31"/>
  <c r="AG338" i="31"/>
  <c r="AA338" i="31"/>
  <c r="X338" i="31"/>
  <c r="Z338" i="31" s="1"/>
  <c r="W338" i="31"/>
  <c r="AQ337" i="31"/>
  <c r="AP337" i="31"/>
  <c r="AO337" i="31"/>
  <c r="AN337" i="31"/>
  <c r="AM337" i="31"/>
  <c r="AL337" i="31"/>
  <c r="AJ337" i="31"/>
  <c r="AI337" i="31"/>
  <c r="AH337" i="31"/>
  <c r="AG337" i="31"/>
  <c r="AA337" i="31"/>
  <c r="X337" i="31"/>
  <c r="Z337" i="31" s="1"/>
  <c r="W337" i="31"/>
  <c r="AQ336" i="31"/>
  <c r="AR336" i="31" s="1"/>
  <c r="AP336" i="31"/>
  <c r="AO336" i="31"/>
  <c r="AN336" i="31"/>
  <c r="AM336" i="31"/>
  <c r="AL336" i="31"/>
  <c r="AJ336" i="31"/>
  <c r="AI336" i="31"/>
  <c r="AH336" i="31"/>
  <c r="AG336" i="31"/>
  <c r="AA336" i="31"/>
  <c r="X336" i="31"/>
  <c r="Z336" i="31" s="1"/>
  <c r="W336" i="31"/>
  <c r="AQ335" i="31"/>
  <c r="AP335" i="31"/>
  <c r="AO335" i="31"/>
  <c r="AN335" i="31"/>
  <c r="AM335" i="31"/>
  <c r="AL335" i="31"/>
  <c r="AJ335" i="31"/>
  <c r="AI335" i="31"/>
  <c r="AH335" i="31"/>
  <c r="AG335" i="31"/>
  <c r="AA335" i="31"/>
  <c r="X335" i="31"/>
  <c r="Y335" i="31" s="1"/>
  <c r="W335" i="31"/>
  <c r="AQ334" i="31"/>
  <c r="AU334" i="31" s="1"/>
  <c r="AP334" i="31"/>
  <c r="AO334" i="31"/>
  <c r="AN334" i="31"/>
  <c r="AM334" i="31"/>
  <c r="AL334" i="31"/>
  <c r="AJ334" i="31"/>
  <c r="AI334" i="31"/>
  <c r="AH334" i="31"/>
  <c r="AG334" i="31"/>
  <c r="AA334" i="31"/>
  <c r="X334" i="31"/>
  <c r="Y334" i="31" s="1"/>
  <c r="W334" i="31"/>
  <c r="AQ333" i="31"/>
  <c r="AU333" i="31" s="1"/>
  <c r="AP333" i="31"/>
  <c r="AO333" i="31"/>
  <c r="AN333" i="31"/>
  <c r="AM333" i="31"/>
  <c r="AL333" i="31"/>
  <c r="AJ333" i="31"/>
  <c r="AI333" i="31"/>
  <c r="AH333" i="31"/>
  <c r="AG333" i="31"/>
  <c r="AA333" i="31"/>
  <c r="X333" i="31"/>
  <c r="W333" i="31"/>
  <c r="AQ332" i="31"/>
  <c r="AU332" i="31" s="1"/>
  <c r="AP332" i="31"/>
  <c r="AO332" i="31"/>
  <c r="AN332" i="31"/>
  <c r="AM332" i="31"/>
  <c r="AL332" i="31"/>
  <c r="AJ332" i="31"/>
  <c r="AI332" i="31"/>
  <c r="AH332" i="31"/>
  <c r="AG332" i="31"/>
  <c r="AA332" i="31"/>
  <c r="X332" i="31"/>
  <c r="Z332" i="31" s="1"/>
  <c r="W332" i="31"/>
  <c r="AQ331" i="31"/>
  <c r="AR331" i="31" s="1"/>
  <c r="AP331" i="31"/>
  <c r="AO331" i="31"/>
  <c r="AN331" i="31"/>
  <c r="AM331" i="31"/>
  <c r="AL331" i="31"/>
  <c r="AJ331" i="31"/>
  <c r="AI331" i="31"/>
  <c r="AH331" i="31"/>
  <c r="AG331" i="31"/>
  <c r="AA331" i="31"/>
  <c r="X331" i="31"/>
  <c r="Y331" i="31" s="1"/>
  <c r="W331" i="31"/>
  <c r="AQ330" i="31"/>
  <c r="AP330" i="31"/>
  <c r="AO330" i="31"/>
  <c r="AN330" i="31"/>
  <c r="AM330" i="31"/>
  <c r="AL330" i="31"/>
  <c r="AJ330" i="31"/>
  <c r="AI330" i="31"/>
  <c r="AH330" i="31"/>
  <c r="AG330" i="31"/>
  <c r="AA330" i="31"/>
  <c r="X330" i="31"/>
  <c r="W330" i="31"/>
  <c r="AQ329" i="31"/>
  <c r="AR329" i="31" s="1"/>
  <c r="AP329" i="31"/>
  <c r="AO329" i="31"/>
  <c r="AN329" i="31"/>
  <c r="AM329" i="31"/>
  <c r="AL329" i="31"/>
  <c r="AJ329" i="31"/>
  <c r="AI329" i="31"/>
  <c r="AH329" i="31"/>
  <c r="AG329" i="31"/>
  <c r="AA329" i="31"/>
  <c r="X329" i="31"/>
  <c r="Y329" i="31" s="1"/>
  <c r="W329" i="31"/>
  <c r="AQ328" i="31"/>
  <c r="AR328" i="31" s="1"/>
  <c r="AP328" i="31"/>
  <c r="AO328" i="31"/>
  <c r="AN328" i="31"/>
  <c r="AM328" i="31"/>
  <c r="AL328" i="31"/>
  <c r="AJ328" i="31"/>
  <c r="AI328" i="31"/>
  <c r="AH328" i="31"/>
  <c r="AG328" i="31"/>
  <c r="AA328" i="31"/>
  <c r="X328" i="31"/>
  <c r="Y328" i="31" s="1"/>
  <c r="W328" i="31"/>
  <c r="AQ327" i="31"/>
  <c r="AR327" i="31" s="1"/>
  <c r="AP327" i="31"/>
  <c r="AO327" i="31"/>
  <c r="AN327" i="31"/>
  <c r="AM327" i="31"/>
  <c r="AL327" i="31"/>
  <c r="AJ327" i="31"/>
  <c r="AI327" i="31"/>
  <c r="AH327" i="31"/>
  <c r="AG327" i="31"/>
  <c r="AA327" i="31"/>
  <c r="X327" i="31"/>
  <c r="Z327" i="31" s="1"/>
  <c r="W327" i="31"/>
  <c r="AQ326" i="31"/>
  <c r="AP326" i="31"/>
  <c r="AO326" i="31"/>
  <c r="AN326" i="31"/>
  <c r="AM326" i="31"/>
  <c r="AL326" i="31"/>
  <c r="AJ326" i="31"/>
  <c r="AI326" i="31"/>
  <c r="AH326" i="31"/>
  <c r="AG326" i="31"/>
  <c r="AA326" i="31"/>
  <c r="X326" i="31"/>
  <c r="Y326" i="31" s="1"/>
  <c r="W326" i="31"/>
  <c r="AQ325" i="31"/>
  <c r="AU325" i="31" s="1"/>
  <c r="AP325" i="31"/>
  <c r="AO325" i="31"/>
  <c r="AN325" i="31"/>
  <c r="AM325" i="31"/>
  <c r="AL325" i="31"/>
  <c r="AJ325" i="31"/>
  <c r="AI325" i="31"/>
  <c r="AH325" i="31"/>
  <c r="AG325" i="31"/>
  <c r="AA325" i="31"/>
  <c r="X325" i="31"/>
  <c r="W325" i="31"/>
  <c r="V325" i="31"/>
  <c r="AQ324" i="31"/>
  <c r="AT324" i="31" s="1"/>
  <c r="AP324" i="31"/>
  <c r="AH324" i="31" s="1"/>
  <c r="AO324" i="31"/>
  <c r="AN324" i="31"/>
  <c r="AG324" i="31" s="1"/>
  <c r="AA324" i="31"/>
  <c r="AQ322" i="31"/>
  <c r="AT322" i="31" s="1"/>
  <c r="AP322" i="31"/>
  <c r="AO322" i="31"/>
  <c r="AN322" i="31"/>
  <c r="AM322" i="31"/>
  <c r="AL322" i="31"/>
  <c r="AJ322" i="31"/>
  <c r="AI322" i="31"/>
  <c r="AH322" i="31"/>
  <c r="AG322" i="31"/>
  <c r="AA322" i="31"/>
  <c r="X322" i="31"/>
  <c r="Z322" i="31" s="1"/>
  <c r="W322" i="31"/>
  <c r="AQ321" i="31"/>
  <c r="AR321" i="31" s="1"/>
  <c r="AP321" i="31"/>
  <c r="AO321" i="31"/>
  <c r="AN321" i="31"/>
  <c r="AM321" i="31"/>
  <c r="AL321" i="31"/>
  <c r="AJ321" i="31"/>
  <c r="AI321" i="31"/>
  <c r="AH321" i="31"/>
  <c r="AG321" i="31"/>
  <c r="AA321" i="31"/>
  <c r="X321" i="31"/>
  <c r="W321" i="31"/>
  <c r="AQ320" i="31"/>
  <c r="AP320" i="31"/>
  <c r="AO320" i="31"/>
  <c r="AN320" i="31"/>
  <c r="AM320" i="31"/>
  <c r="AL320" i="31"/>
  <c r="AJ320" i="31"/>
  <c r="AI320" i="31"/>
  <c r="AH320" i="31"/>
  <c r="AG320" i="31"/>
  <c r="AA320" i="31"/>
  <c r="X320" i="31"/>
  <c r="Y320" i="31" s="1"/>
  <c r="W320" i="31"/>
  <c r="AQ319" i="31"/>
  <c r="AT319" i="31" s="1"/>
  <c r="AP319" i="31"/>
  <c r="AO319" i="31"/>
  <c r="AN319" i="31"/>
  <c r="AM319" i="31"/>
  <c r="AL319" i="31"/>
  <c r="AJ319" i="31"/>
  <c r="AI319" i="31"/>
  <c r="AH319" i="31"/>
  <c r="AG319" i="31"/>
  <c r="AA319" i="31"/>
  <c r="X319" i="31"/>
  <c r="Z319" i="31" s="1"/>
  <c r="W319" i="31"/>
  <c r="AQ318" i="31"/>
  <c r="AS318" i="31" s="1"/>
  <c r="AP318" i="31"/>
  <c r="AO318" i="31"/>
  <c r="AN318" i="31"/>
  <c r="AM318" i="31"/>
  <c r="AL318" i="31"/>
  <c r="AJ318" i="31"/>
  <c r="AI318" i="31"/>
  <c r="AH318" i="31"/>
  <c r="AG318" i="31"/>
  <c r="AA318" i="31"/>
  <c r="X318" i="31"/>
  <c r="W318" i="31"/>
  <c r="AQ317" i="31"/>
  <c r="AP317" i="31"/>
  <c r="AO317" i="31"/>
  <c r="AN317" i="31"/>
  <c r="AM317" i="31"/>
  <c r="AL317" i="31"/>
  <c r="AJ317" i="31"/>
  <c r="AI317" i="31"/>
  <c r="AH317" i="31"/>
  <c r="AG317" i="31"/>
  <c r="AA317" i="31"/>
  <c r="X317" i="31"/>
  <c r="W317" i="31"/>
  <c r="AQ316" i="31"/>
  <c r="AR316" i="31" s="1"/>
  <c r="AP316" i="31"/>
  <c r="AO316" i="31"/>
  <c r="AN316" i="31"/>
  <c r="AM316" i="31"/>
  <c r="AL316" i="31"/>
  <c r="AJ316" i="31"/>
  <c r="AI316" i="31"/>
  <c r="AH316" i="31"/>
  <c r="AG316" i="31"/>
  <c r="AA316" i="31"/>
  <c r="X316" i="31"/>
  <c r="W316" i="31"/>
  <c r="AQ315" i="31"/>
  <c r="AU315" i="31" s="1"/>
  <c r="AP315" i="31"/>
  <c r="AO315" i="31"/>
  <c r="AN315" i="31"/>
  <c r="AM315" i="31"/>
  <c r="AL315" i="31"/>
  <c r="AJ315" i="31"/>
  <c r="AI315" i="31"/>
  <c r="AH315" i="31"/>
  <c r="AG315" i="31"/>
  <c r="AA315" i="31"/>
  <c r="X315" i="31"/>
  <c r="Y315" i="31" s="1"/>
  <c r="W315" i="31"/>
  <c r="AQ314" i="31"/>
  <c r="AU314" i="31" s="1"/>
  <c r="AP314" i="31"/>
  <c r="AO314" i="31"/>
  <c r="AN314" i="31"/>
  <c r="AM314" i="31"/>
  <c r="AL314" i="31"/>
  <c r="AJ314" i="31"/>
  <c r="AI314" i="31"/>
  <c r="AH314" i="31"/>
  <c r="AG314" i="31"/>
  <c r="AA314" i="31"/>
  <c r="X314" i="31"/>
  <c r="Z314" i="31" s="1"/>
  <c r="W314" i="31"/>
  <c r="AQ313" i="31"/>
  <c r="AR313" i="31" s="1"/>
  <c r="AP313" i="31"/>
  <c r="AO313" i="31"/>
  <c r="AN313" i="31"/>
  <c r="AM313" i="31"/>
  <c r="AL313" i="31"/>
  <c r="AJ313" i="31"/>
  <c r="AI313" i="31"/>
  <c r="AH313" i="31"/>
  <c r="AG313" i="31"/>
  <c r="AA313" i="31"/>
  <c r="X313" i="31"/>
  <c r="W313" i="31"/>
  <c r="AQ312" i="31"/>
  <c r="AU312" i="31" s="1"/>
  <c r="AP312" i="31"/>
  <c r="AO312" i="31"/>
  <c r="AN312" i="31"/>
  <c r="AM312" i="31"/>
  <c r="AL312" i="31"/>
  <c r="AJ312" i="31"/>
  <c r="AI312" i="31"/>
  <c r="AH312" i="31"/>
  <c r="AG312" i="31"/>
  <c r="AA312" i="31"/>
  <c r="X312" i="31"/>
  <c r="Z312" i="31" s="1"/>
  <c r="W312" i="31"/>
  <c r="AQ311" i="31"/>
  <c r="AR311" i="31" s="1"/>
  <c r="AP311" i="31"/>
  <c r="AO311" i="31"/>
  <c r="AN311" i="31"/>
  <c r="AM311" i="31"/>
  <c r="AL311" i="31"/>
  <c r="AJ311" i="31"/>
  <c r="AI311" i="31"/>
  <c r="AH311" i="31"/>
  <c r="AG311" i="31"/>
  <c r="AA311" i="31"/>
  <c r="X311" i="31"/>
  <c r="W311" i="31"/>
  <c r="AQ310" i="31"/>
  <c r="AU310" i="31" s="1"/>
  <c r="AP310" i="31"/>
  <c r="AO310" i="31"/>
  <c r="AN310" i="31"/>
  <c r="AM310" i="31"/>
  <c r="AL310" i="31"/>
  <c r="AJ310" i="31"/>
  <c r="AI310" i="31"/>
  <c r="AH310" i="31"/>
  <c r="AG310" i="31"/>
  <c r="AA310" i="31"/>
  <c r="X310" i="31"/>
  <c r="Y310" i="31" s="1"/>
  <c r="W310" i="31"/>
  <c r="AQ309" i="31"/>
  <c r="AP309" i="31"/>
  <c r="AO309" i="31"/>
  <c r="AN309" i="31"/>
  <c r="AM309" i="31"/>
  <c r="AL309" i="31"/>
  <c r="AJ309" i="31"/>
  <c r="AI309" i="31"/>
  <c r="AH309" i="31"/>
  <c r="AG309" i="31"/>
  <c r="AA309" i="31"/>
  <c r="X309" i="31"/>
  <c r="W309" i="31"/>
  <c r="AQ308" i="31"/>
  <c r="AT308" i="31" s="1"/>
  <c r="AP308" i="31"/>
  <c r="AO308" i="31"/>
  <c r="AN308" i="31"/>
  <c r="AM308" i="31"/>
  <c r="AL308" i="31"/>
  <c r="AJ308" i="31"/>
  <c r="AI308" i="31"/>
  <c r="AH308" i="31"/>
  <c r="AG308" i="31"/>
  <c r="AA308" i="31"/>
  <c r="X308" i="31"/>
  <c r="Z308" i="31" s="1"/>
  <c r="W308" i="31"/>
  <c r="AQ307" i="31"/>
  <c r="AS307" i="31" s="1"/>
  <c r="AP307" i="31"/>
  <c r="AO307" i="31"/>
  <c r="AN307" i="31"/>
  <c r="AM307" i="31"/>
  <c r="AL307" i="31"/>
  <c r="AJ307" i="31"/>
  <c r="AI307" i="31"/>
  <c r="AH307" i="31"/>
  <c r="AG307" i="31"/>
  <c r="AA307" i="31"/>
  <c r="X307" i="31"/>
  <c r="Z307" i="31" s="1"/>
  <c r="W307" i="31"/>
  <c r="AQ306" i="31"/>
  <c r="AP306" i="31"/>
  <c r="AO306" i="31"/>
  <c r="AN306" i="31"/>
  <c r="AM306" i="31"/>
  <c r="AL306" i="31"/>
  <c r="AJ306" i="31"/>
  <c r="AI306" i="31"/>
  <c r="AH306" i="31"/>
  <c r="AG306" i="31"/>
  <c r="AA306" i="31"/>
  <c r="X306" i="31"/>
  <c r="Y306" i="31" s="1"/>
  <c r="W306" i="31"/>
  <c r="AQ305" i="31"/>
  <c r="AR305" i="31" s="1"/>
  <c r="AP305" i="31"/>
  <c r="AO305" i="31"/>
  <c r="AN305" i="31"/>
  <c r="AM305" i="31"/>
  <c r="AL305" i="31"/>
  <c r="AJ305" i="31"/>
  <c r="AI305" i="31"/>
  <c r="AH305" i="31"/>
  <c r="AG305" i="31"/>
  <c r="AA305" i="31"/>
  <c r="X305" i="31"/>
  <c r="W305" i="31"/>
  <c r="AQ304" i="31"/>
  <c r="AP304" i="31"/>
  <c r="AO304" i="31"/>
  <c r="AN304" i="31"/>
  <c r="AM304" i="31"/>
  <c r="AL304" i="31"/>
  <c r="AJ304" i="31"/>
  <c r="AI304" i="31"/>
  <c r="AH304" i="31"/>
  <c r="AG304" i="31"/>
  <c r="AA304" i="31"/>
  <c r="X304" i="31"/>
  <c r="W304" i="31"/>
  <c r="AQ303" i="31"/>
  <c r="AR303" i="31" s="1"/>
  <c r="AP303" i="31"/>
  <c r="AO303" i="31"/>
  <c r="AN303" i="31"/>
  <c r="AM303" i="31"/>
  <c r="AL303" i="31"/>
  <c r="AJ303" i="31"/>
  <c r="AI303" i="31"/>
  <c r="AH303" i="31"/>
  <c r="AG303" i="31"/>
  <c r="AA303" i="31"/>
  <c r="X303" i="31"/>
  <c r="W303" i="31"/>
  <c r="AQ302" i="31"/>
  <c r="AT302" i="31" s="1"/>
  <c r="AP302" i="31"/>
  <c r="AO302" i="31"/>
  <c r="AN302" i="31"/>
  <c r="AM302" i="31"/>
  <c r="AL302" i="31"/>
  <c r="AJ302" i="31"/>
  <c r="AI302" i="31"/>
  <c r="AH302" i="31"/>
  <c r="AG302" i="31"/>
  <c r="AA302" i="31"/>
  <c r="X302" i="31"/>
  <c r="W302" i="31"/>
  <c r="AQ301" i="31"/>
  <c r="AP301" i="31"/>
  <c r="AO301" i="31"/>
  <c r="AN301" i="31"/>
  <c r="AM301" i="31"/>
  <c r="AL301" i="31"/>
  <c r="AJ301" i="31"/>
  <c r="AI301" i="31"/>
  <c r="AH301" i="31"/>
  <c r="AG301" i="31"/>
  <c r="AA301" i="31"/>
  <c r="X301" i="31"/>
  <c r="W301" i="31"/>
  <c r="AQ300" i="31"/>
  <c r="AR300" i="31" s="1"/>
  <c r="AP300" i="31"/>
  <c r="AO300" i="31"/>
  <c r="AN300" i="31"/>
  <c r="AM300" i="31"/>
  <c r="AL300" i="31"/>
  <c r="AJ300" i="31"/>
  <c r="AI300" i="31"/>
  <c r="AH300" i="31"/>
  <c r="AG300" i="31"/>
  <c r="AA300" i="31"/>
  <c r="X300" i="31"/>
  <c r="Z300" i="31" s="1"/>
  <c r="W300" i="31"/>
  <c r="AQ299" i="31"/>
  <c r="AP299" i="31"/>
  <c r="AO299" i="31"/>
  <c r="AN299" i="31"/>
  <c r="AM299" i="31"/>
  <c r="AL299" i="31"/>
  <c r="AJ299" i="31"/>
  <c r="AI299" i="31"/>
  <c r="AH299" i="31"/>
  <c r="AG299" i="31"/>
  <c r="AA299" i="31"/>
  <c r="X299" i="31"/>
  <c r="Y299" i="31" s="1"/>
  <c r="W299" i="31"/>
  <c r="AQ298" i="31"/>
  <c r="AR298" i="31" s="1"/>
  <c r="AP298" i="31"/>
  <c r="AO298" i="31"/>
  <c r="AN298" i="31"/>
  <c r="AM298" i="31"/>
  <c r="AL298" i="31"/>
  <c r="AJ298" i="31"/>
  <c r="AI298" i="31"/>
  <c r="AH298" i="31"/>
  <c r="AG298" i="31"/>
  <c r="AA298" i="31"/>
  <c r="X298" i="31"/>
  <c r="W298" i="31"/>
  <c r="AQ297" i="31"/>
  <c r="AR297" i="31" s="1"/>
  <c r="AP297" i="31"/>
  <c r="AO297" i="31"/>
  <c r="AN297" i="31"/>
  <c r="AM297" i="31"/>
  <c r="AL297" i="31"/>
  <c r="AJ297" i="31"/>
  <c r="AI297" i="31"/>
  <c r="AH297" i="31"/>
  <c r="AG297" i="31"/>
  <c r="AA297" i="31"/>
  <c r="X297" i="31"/>
  <c r="W297" i="31"/>
  <c r="AQ296" i="31"/>
  <c r="AT296" i="31" s="1"/>
  <c r="AP296" i="31"/>
  <c r="AO296" i="31"/>
  <c r="AN296" i="31"/>
  <c r="AM296" i="31"/>
  <c r="AL296" i="31"/>
  <c r="AJ296" i="31"/>
  <c r="AI296" i="31"/>
  <c r="AH296" i="31"/>
  <c r="AG296" i="31"/>
  <c r="AA296" i="31"/>
  <c r="X296" i="31"/>
  <c r="Z296" i="31" s="1"/>
  <c r="W296" i="31"/>
  <c r="AQ295" i="31"/>
  <c r="AU295" i="31" s="1"/>
  <c r="AP295" i="31"/>
  <c r="AO295" i="31"/>
  <c r="AN295" i="31"/>
  <c r="AM295" i="31"/>
  <c r="AL295" i="31"/>
  <c r="AJ295" i="31"/>
  <c r="AI295" i="31"/>
  <c r="AH295" i="31"/>
  <c r="AG295" i="31"/>
  <c r="AA295" i="31"/>
  <c r="X295" i="31"/>
  <c r="Z295" i="31" s="1"/>
  <c r="W295" i="31"/>
  <c r="AQ294" i="31"/>
  <c r="AU294" i="31" s="1"/>
  <c r="AP294" i="31"/>
  <c r="AO294" i="31"/>
  <c r="AN294" i="31"/>
  <c r="AM294" i="31"/>
  <c r="AL294" i="31"/>
  <c r="AJ294" i="31"/>
  <c r="AI294" i="31"/>
  <c r="AH294" i="31"/>
  <c r="AG294" i="31"/>
  <c r="AA294" i="31"/>
  <c r="X294" i="31"/>
  <c r="Y294" i="31" s="1"/>
  <c r="W294" i="31"/>
  <c r="AQ293" i="31"/>
  <c r="AR293" i="31" s="1"/>
  <c r="AP293" i="31"/>
  <c r="AO293" i="31"/>
  <c r="AN293" i="31"/>
  <c r="AM293" i="31"/>
  <c r="AL293" i="31"/>
  <c r="AJ293" i="31"/>
  <c r="AI293" i="31"/>
  <c r="AH293" i="31"/>
  <c r="AG293" i="31"/>
  <c r="AA293" i="31"/>
  <c r="X293" i="31"/>
  <c r="W293" i="31"/>
  <c r="AQ292" i="31"/>
  <c r="AP292" i="31"/>
  <c r="AO292" i="31"/>
  <c r="AN292" i="31"/>
  <c r="AM292" i="31"/>
  <c r="AL292" i="31"/>
  <c r="AJ292" i="31"/>
  <c r="AI292" i="31"/>
  <c r="AH292" i="31"/>
  <c r="AG292" i="31"/>
  <c r="AA292" i="31"/>
  <c r="X292" i="31"/>
  <c r="Y292" i="31" s="1"/>
  <c r="W292" i="31"/>
  <c r="AQ291" i="31"/>
  <c r="AP291" i="31"/>
  <c r="AO291" i="31"/>
  <c r="AN291" i="31"/>
  <c r="AM291" i="31"/>
  <c r="AL291" i="31"/>
  <c r="AJ291" i="31"/>
  <c r="AI291" i="31"/>
  <c r="AH291" i="31"/>
  <c r="AG291" i="31"/>
  <c r="AA291" i="31"/>
  <c r="X291" i="31"/>
  <c r="W291" i="31"/>
  <c r="AQ290" i="31"/>
  <c r="AT290" i="31" s="1"/>
  <c r="AP290" i="31"/>
  <c r="AO290" i="31"/>
  <c r="AN290" i="31"/>
  <c r="AM290" i="31"/>
  <c r="AL290" i="31"/>
  <c r="AJ290" i="31"/>
  <c r="AI290" i="31"/>
  <c r="AH290" i="31"/>
  <c r="AG290" i="31"/>
  <c r="AA290" i="31"/>
  <c r="X290" i="31"/>
  <c r="W290" i="31"/>
  <c r="AQ289" i="31"/>
  <c r="AP289" i="31"/>
  <c r="AO289" i="31"/>
  <c r="AN289" i="31"/>
  <c r="AM289" i="31"/>
  <c r="AL289" i="31"/>
  <c r="AJ289" i="31"/>
  <c r="AI289" i="31"/>
  <c r="AH289" i="31"/>
  <c r="AG289" i="31"/>
  <c r="AA289" i="31"/>
  <c r="X289" i="31"/>
  <c r="W289" i="31"/>
  <c r="V289" i="31"/>
  <c r="AQ288" i="31"/>
  <c r="AT288" i="31" s="1"/>
  <c r="AP288" i="31"/>
  <c r="AH288" i="31" s="1"/>
  <c r="AO288" i="31"/>
  <c r="AN288" i="31"/>
  <c r="AG288" i="31" s="1"/>
  <c r="AA288" i="31"/>
  <c r="AQ286" i="31"/>
  <c r="AS286" i="31" s="1"/>
  <c r="AP286" i="31"/>
  <c r="AO286" i="31"/>
  <c r="AN286" i="31"/>
  <c r="AM286" i="31"/>
  <c r="AL286" i="31"/>
  <c r="AJ286" i="31"/>
  <c r="AI286" i="31"/>
  <c r="AH286" i="31"/>
  <c r="AG286" i="31"/>
  <c r="AA286" i="31"/>
  <c r="X286" i="31"/>
  <c r="Z286" i="31" s="1"/>
  <c r="W286" i="31"/>
  <c r="AQ285" i="31"/>
  <c r="AR285" i="31" s="1"/>
  <c r="AP285" i="31"/>
  <c r="AO285" i="31"/>
  <c r="AN285" i="31"/>
  <c r="AM285" i="31"/>
  <c r="AL285" i="31"/>
  <c r="AJ285" i="31"/>
  <c r="AI285" i="31"/>
  <c r="AH285" i="31"/>
  <c r="AG285" i="31"/>
  <c r="AA285" i="31"/>
  <c r="X285" i="31"/>
  <c r="Z285" i="31" s="1"/>
  <c r="W285" i="31"/>
  <c r="AQ284" i="31"/>
  <c r="AS284" i="31" s="1"/>
  <c r="AP284" i="31"/>
  <c r="AO284" i="31"/>
  <c r="AN284" i="31"/>
  <c r="AM284" i="31"/>
  <c r="AL284" i="31"/>
  <c r="AJ284" i="31"/>
  <c r="AI284" i="31"/>
  <c r="AH284" i="31"/>
  <c r="AG284" i="31"/>
  <c r="AA284" i="31"/>
  <c r="X284" i="31"/>
  <c r="W284" i="31"/>
  <c r="AQ283" i="31"/>
  <c r="AR283" i="31" s="1"/>
  <c r="AP283" i="31"/>
  <c r="AO283" i="31"/>
  <c r="AN283" i="31"/>
  <c r="AM283" i="31"/>
  <c r="AL283" i="31"/>
  <c r="AJ283" i="31"/>
  <c r="AI283" i="31"/>
  <c r="AH283" i="31"/>
  <c r="AG283" i="31"/>
  <c r="AA283" i="31"/>
  <c r="X283" i="31"/>
  <c r="Z283" i="31" s="1"/>
  <c r="W283" i="31"/>
  <c r="AQ282" i="31"/>
  <c r="AU282" i="31" s="1"/>
  <c r="AP282" i="31"/>
  <c r="AO282" i="31"/>
  <c r="AN282" i="31"/>
  <c r="AM282" i="31"/>
  <c r="AL282" i="31"/>
  <c r="AJ282" i="31"/>
  <c r="AI282" i="31"/>
  <c r="AH282" i="31"/>
  <c r="AG282" i="31"/>
  <c r="AA282" i="31"/>
  <c r="X282" i="31"/>
  <c r="W282" i="31"/>
  <c r="AQ281" i="31"/>
  <c r="AS281" i="31" s="1"/>
  <c r="AP281" i="31"/>
  <c r="AO281" i="31"/>
  <c r="AN281" i="31"/>
  <c r="AM281" i="31"/>
  <c r="AL281" i="31"/>
  <c r="AJ281" i="31"/>
  <c r="AI281" i="31"/>
  <c r="AH281" i="31"/>
  <c r="AG281" i="31"/>
  <c r="AA281" i="31"/>
  <c r="X281" i="31"/>
  <c r="Z281" i="31" s="1"/>
  <c r="W281" i="31"/>
  <c r="AQ280" i="31"/>
  <c r="AU280" i="31" s="1"/>
  <c r="AP280" i="31"/>
  <c r="AO280" i="31"/>
  <c r="AN280" i="31"/>
  <c r="AM280" i="31"/>
  <c r="AL280" i="31"/>
  <c r="AJ280" i="31"/>
  <c r="AI280" i="31"/>
  <c r="AH280" i="31"/>
  <c r="AG280" i="31"/>
  <c r="AA280" i="31"/>
  <c r="X280" i="31"/>
  <c r="Z280" i="31" s="1"/>
  <c r="W280" i="31"/>
  <c r="AQ279" i="31"/>
  <c r="AU279" i="31" s="1"/>
  <c r="AP279" i="31"/>
  <c r="AO279" i="31"/>
  <c r="AN279" i="31"/>
  <c r="AM279" i="31"/>
  <c r="AL279" i="31"/>
  <c r="AJ279" i="31"/>
  <c r="AI279" i="31"/>
  <c r="AH279" i="31"/>
  <c r="AG279" i="31"/>
  <c r="AA279" i="31"/>
  <c r="X279" i="31"/>
  <c r="W279" i="31"/>
  <c r="AQ278" i="31"/>
  <c r="AU278" i="31" s="1"/>
  <c r="AP278" i="31"/>
  <c r="AO278" i="31"/>
  <c r="AN278" i="31"/>
  <c r="AM278" i="31"/>
  <c r="AL278" i="31"/>
  <c r="AJ278" i="31"/>
  <c r="AI278" i="31"/>
  <c r="AH278" i="31"/>
  <c r="AG278" i="31"/>
  <c r="AA278" i="31"/>
  <c r="X278" i="31"/>
  <c r="Z278" i="31" s="1"/>
  <c r="W278" i="31"/>
  <c r="AQ277" i="31"/>
  <c r="AP277" i="31"/>
  <c r="AO277" i="31"/>
  <c r="AN277" i="31"/>
  <c r="AM277" i="31"/>
  <c r="AL277" i="31"/>
  <c r="AJ277" i="31"/>
  <c r="AI277" i="31"/>
  <c r="AH277" i="31"/>
  <c r="AG277" i="31"/>
  <c r="AA277" i="31"/>
  <c r="X277" i="31"/>
  <c r="Z277" i="31" s="1"/>
  <c r="W277" i="31"/>
  <c r="AQ276" i="31"/>
  <c r="AT276" i="31" s="1"/>
  <c r="AP276" i="31"/>
  <c r="AO276" i="31"/>
  <c r="AN276" i="31"/>
  <c r="AM276" i="31"/>
  <c r="AL276" i="31"/>
  <c r="AJ276" i="31"/>
  <c r="AI276" i="31"/>
  <c r="AH276" i="31"/>
  <c r="AG276" i="31"/>
  <c r="AA276" i="31"/>
  <c r="X276" i="31"/>
  <c r="Z276" i="31" s="1"/>
  <c r="W276" i="31"/>
  <c r="AQ275" i="31"/>
  <c r="AR275" i="31" s="1"/>
  <c r="AP275" i="31"/>
  <c r="AO275" i="31"/>
  <c r="AN275" i="31"/>
  <c r="AM275" i="31"/>
  <c r="AL275" i="31"/>
  <c r="AJ275" i="31"/>
  <c r="AI275" i="31"/>
  <c r="AH275" i="31"/>
  <c r="AG275" i="31"/>
  <c r="AA275" i="31"/>
  <c r="X275" i="31"/>
  <c r="Z275" i="31" s="1"/>
  <c r="W275" i="31"/>
  <c r="AQ274" i="31"/>
  <c r="AU274" i="31" s="1"/>
  <c r="AP274" i="31"/>
  <c r="AO274" i="31"/>
  <c r="AN274" i="31"/>
  <c r="AM274" i="31"/>
  <c r="AL274" i="31"/>
  <c r="AJ274" i="31"/>
  <c r="AI274" i="31"/>
  <c r="AH274" i="31"/>
  <c r="AG274" i="31"/>
  <c r="AA274" i="31"/>
  <c r="X274" i="31"/>
  <c r="Y274" i="31" s="1"/>
  <c r="W274" i="31"/>
  <c r="AQ273" i="31"/>
  <c r="AP273" i="31"/>
  <c r="AO273" i="31"/>
  <c r="AN273" i="31"/>
  <c r="AM273" i="31"/>
  <c r="AL273" i="31"/>
  <c r="AJ273" i="31"/>
  <c r="AI273" i="31"/>
  <c r="AH273" i="31"/>
  <c r="AG273" i="31"/>
  <c r="AA273" i="31"/>
  <c r="X273" i="31"/>
  <c r="Z273" i="31" s="1"/>
  <c r="W273" i="31"/>
  <c r="AQ272" i="31"/>
  <c r="AP272" i="31"/>
  <c r="AO272" i="31"/>
  <c r="AN272" i="31"/>
  <c r="AM272" i="31"/>
  <c r="AL272" i="31"/>
  <c r="AJ272" i="31"/>
  <c r="AI272" i="31"/>
  <c r="AH272" i="31"/>
  <c r="AG272" i="31"/>
  <c r="AA272" i="31"/>
  <c r="X272" i="31"/>
  <c r="W272" i="31"/>
  <c r="AQ271" i="31"/>
  <c r="AU271" i="31" s="1"/>
  <c r="AP271" i="31"/>
  <c r="AO271" i="31"/>
  <c r="AN271" i="31"/>
  <c r="AM271" i="31"/>
  <c r="AL271" i="31"/>
  <c r="AJ271" i="31"/>
  <c r="AI271" i="31"/>
  <c r="AH271" i="31"/>
  <c r="AG271" i="31"/>
  <c r="AA271" i="31"/>
  <c r="X271" i="31"/>
  <c r="W271" i="31"/>
  <c r="AQ270" i="31"/>
  <c r="AS270" i="31" s="1"/>
  <c r="AP270" i="31"/>
  <c r="AO270" i="31"/>
  <c r="AN270" i="31"/>
  <c r="AM270" i="31"/>
  <c r="AL270" i="31"/>
  <c r="AJ270" i="31"/>
  <c r="AI270" i="31"/>
  <c r="AH270" i="31"/>
  <c r="AG270" i="31"/>
  <c r="AA270" i="31"/>
  <c r="X270" i="31"/>
  <c r="W270" i="31"/>
  <c r="AQ269" i="31"/>
  <c r="AT269" i="31" s="1"/>
  <c r="AP269" i="31"/>
  <c r="AO269" i="31"/>
  <c r="AN269" i="31"/>
  <c r="AM269" i="31"/>
  <c r="AL269" i="31"/>
  <c r="AJ269" i="31"/>
  <c r="AI269" i="31"/>
  <c r="AH269" i="31"/>
  <c r="AG269" i="31"/>
  <c r="AA269" i="31"/>
  <c r="X269" i="31"/>
  <c r="Z269" i="31" s="1"/>
  <c r="W269" i="31"/>
  <c r="AQ268" i="31"/>
  <c r="AU268" i="31" s="1"/>
  <c r="AP268" i="31"/>
  <c r="AO268" i="31"/>
  <c r="AN268" i="31"/>
  <c r="AM268" i="31"/>
  <c r="AL268" i="31"/>
  <c r="AJ268" i="31"/>
  <c r="AI268" i="31"/>
  <c r="AH268" i="31"/>
  <c r="AG268" i="31"/>
  <c r="AA268" i="31"/>
  <c r="X268" i="31"/>
  <c r="Y268" i="31" s="1"/>
  <c r="W268" i="31"/>
  <c r="AQ267" i="31"/>
  <c r="AU267" i="31" s="1"/>
  <c r="AP267" i="31"/>
  <c r="AO267" i="31"/>
  <c r="AN267" i="31"/>
  <c r="AM267" i="31"/>
  <c r="AL267" i="31"/>
  <c r="AJ267" i="31"/>
  <c r="AI267" i="31"/>
  <c r="AH267" i="31"/>
  <c r="AG267" i="31"/>
  <c r="AA267" i="31"/>
  <c r="X267" i="31"/>
  <c r="Z267" i="31" s="1"/>
  <c r="W267" i="31"/>
  <c r="AQ266" i="31"/>
  <c r="AP266" i="31"/>
  <c r="AO266" i="31"/>
  <c r="AN266" i="31"/>
  <c r="AM266" i="31"/>
  <c r="AL266" i="31"/>
  <c r="AJ266" i="31"/>
  <c r="AI266" i="31"/>
  <c r="AH266" i="31"/>
  <c r="AG266" i="31"/>
  <c r="AA266" i="31"/>
  <c r="X266" i="31"/>
  <c r="Y266" i="31" s="1"/>
  <c r="W266" i="31"/>
  <c r="AQ265" i="31"/>
  <c r="AP265" i="31"/>
  <c r="AO265" i="31"/>
  <c r="AN265" i="31"/>
  <c r="AM265" i="31"/>
  <c r="AL265" i="31"/>
  <c r="AJ265" i="31"/>
  <c r="AI265" i="31"/>
  <c r="AH265" i="31"/>
  <c r="AG265" i="31"/>
  <c r="AA265" i="31"/>
  <c r="X265" i="31"/>
  <c r="Z265" i="31" s="1"/>
  <c r="W265" i="31"/>
  <c r="AQ264" i="31"/>
  <c r="AU264" i="31" s="1"/>
  <c r="AP264" i="31"/>
  <c r="AO264" i="31"/>
  <c r="AN264" i="31"/>
  <c r="AM264" i="31"/>
  <c r="AL264" i="31"/>
  <c r="AJ264" i="31"/>
  <c r="AI264" i="31"/>
  <c r="AH264" i="31"/>
  <c r="AG264" i="31"/>
  <c r="AA264" i="31"/>
  <c r="X264" i="31"/>
  <c r="Z264" i="31" s="1"/>
  <c r="W264" i="31"/>
  <c r="AQ263" i="31"/>
  <c r="AP263" i="31"/>
  <c r="AO263" i="31"/>
  <c r="AN263" i="31"/>
  <c r="AM263" i="31"/>
  <c r="AL263" i="31"/>
  <c r="AJ263" i="31"/>
  <c r="AI263" i="31"/>
  <c r="AH263" i="31"/>
  <c r="AG263" i="31"/>
  <c r="AA263" i="31"/>
  <c r="X263" i="31"/>
  <c r="Z263" i="31" s="1"/>
  <c r="W263" i="31"/>
  <c r="AQ262" i="31"/>
  <c r="AT262" i="31" s="1"/>
  <c r="AP262" i="31"/>
  <c r="AO262" i="31"/>
  <c r="AN262" i="31"/>
  <c r="AM262" i="31"/>
  <c r="AL262" i="31"/>
  <c r="AJ262" i="31"/>
  <c r="AI262" i="31"/>
  <c r="AH262" i="31"/>
  <c r="AG262" i="31"/>
  <c r="AA262" i="31"/>
  <c r="X262" i="31"/>
  <c r="Y262" i="31" s="1"/>
  <c r="W262" i="31"/>
  <c r="AQ261" i="31"/>
  <c r="AS261" i="31" s="1"/>
  <c r="AP261" i="31"/>
  <c r="AO261" i="31"/>
  <c r="AN261" i="31"/>
  <c r="AM261" i="31"/>
  <c r="AL261" i="31"/>
  <c r="AJ261" i="31"/>
  <c r="AI261" i="31"/>
  <c r="AH261" i="31"/>
  <c r="AG261" i="31"/>
  <c r="AA261" i="31"/>
  <c r="X261" i="31"/>
  <c r="W261" i="31"/>
  <c r="AQ260" i="31"/>
  <c r="AR260" i="31" s="1"/>
  <c r="AP260" i="31"/>
  <c r="AO260" i="31"/>
  <c r="AN260" i="31"/>
  <c r="AM260" i="31"/>
  <c r="AL260" i="31"/>
  <c r="AJ260" i="31"/>
  <c r="AI260" i="31"/>
  <c r="AH260" i="31"/>
  <c r="AG260" i="31"/>
  <c r="AA260" i="31"/>
  <c r="X260" i="31"/>
  <c r="Z260" i="31" s="1"/>
  <c r="W260" i="31"/>
  <c r="AQ259" i="31"/>
  <c r="AP259" i="31"/>
  <c r="AO259" i="31"/>
  <c r="AN259" i="31"/>
  <c r="AM259" i="31"/>
  <c r="AL259" i="31"/>
  <c r="AJ259" i="31"/>
  <c r="AI259" i="31"/>
  <c r="AH259" i="31"/>
  <c r="AG259" i="31"/>
  <c r="AA259" i="31"/>
  <c r="X259" i="31"/>
  <c r="W259" i="31"/>
  <c r="AQ258" i="31"/>
  <c r="AR258" i="31" s="1"/>
  <c r="AP258" i="31"/>
  <c r="AO258" i="31"/>
  <c r="AN258" i="31"/>
  <c r="AM258" i="31"/>
  <c r="AL258" i="31"/>
  <c r="AJ258" i="31"/>
  <c r="AI258" i="31"/>
  <c r="AH258" i="31"/>
  <c r="AG258" i="31"/>
  <c r="AA258" i="31"/>
  <c r="X258" i="31"/>
  <c r="Z258" i="31" s="1"/>
  <c r="W258" i="31"/>
  <c r="AQ257" i="31"/>
  <c r="AP257" i="31"/>
  <c r="AO257" i="31"/>
  <c r="AN257" i="31"/>
  <c r="AM257" i="31"/>
  <c r="AL257" i="31"/>
  <c r="AJ257" i="31"/>
  <c r="AI257" i="31"/>
  <c r="AH257" i="31"/>
  <c r="AG257" i="31"/>
  <c r="AA257" i="31"/>
  <c r="X257" i="31"/>
  <c r="Z257" i="31" s="1"/>
  <c r="W257" i="31"/>
  <c r="AQ256" i="31"/>
  <c r="AT256" i="31" s="1"/>
  <c r="AP256" i="31"/>
  <c r="AO256" i="31"/>
  <c r="AN256" i="31"/>
  <c r="AM256" i="31"/>
  <c r="AL256" i="31"/>
  <c r="AJ256" i="31"/>
  <c r="AI256" i="31"/>
  <c r="AH256" i="31"/>
  <c r="AG256" i="31"/>
  <c r="AA256" i="31"/>
  <c r="X256" i="31"/>
  <c r="Y256" i="31" s="1"/>
  <c r="W256" i="31"/>
  <c r="AQ255" i="31"/>
  <c r="AU255" i="31" s="1"/>
  <c r="AP255" i="31"/>
  <c r="AO255" i="31"/>
  <c r="AN255" i="31"/>
  <c r="AM255" i="31"/>
  <c r="AL255" i="31"/>
  <c r="AJ255" i="31"/>
  <c r="AI255" i="31"/>
  <c r="AH255" i="31"/>
  <c r="AG255" i="31"/>
  <c r="AA255" i="31"/>
  <c r="X255" i="31"/>
  <c r="Z255" i="31" s="1"/>
  <c r="W255" i="31"/>
  <c r="AQ254" i="31"/>
  <c r="AP254" i="31"/>
  <c r="AO254" i="31"/>
  <c r="AN254" i="31"/>
  <c r="AM254" i="31"/>
  <c r="AL254" i="31"/>
  <c r="AJ254" i="31"/>
  <c r="AI254" i="31"/>
  <c r="AH254" i="31"/>
  <c r="AG254" i="31"/>
  <c r="AA254" i="31"/>
  <c r="X254" i="31"/>
  <c r="W254" i="31"/>
  <c r="AQ253" i="31"/>
  <c r="AT253" i="31" s="1"/>
  <c r="AP253" i="31"/>
  <c r="AO253" i="31"/>
  <c r="AN253" i="31"/>
  <c r="AM253" i="31"/>
  <c r="AL253" i="31"/>
  <c r="AJ253" i="31"/>
  <c r="AI253" i="31"/>
  <c r="AH253" i="31"/>
  <c r="AG253" i="31"/>
  <c r="AA253" i="31"/>
  <c r="X253" i="31"/>
  <c r="Y253" i="31" s="1"/>
  <c r="W253" i="31"/>
  <c r="V253" i="31"/>
  <c r="AQ252" i="31"/>
  <c r="AP252" i="31"/>
  <c r="AH252" i="31" s="1"/>
  <c r="AO252" i="31"/>
  <c r="AN252" i="31"/>
  <c r="AG252" i="31" s="1"/>
  <c r="AA252" i="31"/>
  <c r="AQ250" i="31"/>
  <c r="AU250" i="31" s="1"/>
  <c r="AP250" i="31"/>
  <c r="AO250" i="31"/>
  <c r="AN250" i="31"/>
  <c r="AM250" i="31"/>
  <c r="AL250" i="31"/>
  <c r="AJ250" i="31"/>
  <c r="AI250" i="31"/>
  <c r="AH250" i="31"/>
  <c r="AG250" i="31"/>
  <c r="AA250" i="31"/>
  <c r="X250" i="31"/>
  <c r="Z250" i="31" s="1"/>
  <c r="W250" i="31"/>
  <c r="AQ249" i="31"/>
  <c r="AP249" i="31"/>
  <c r="AO249" i="31"/>
  <c r="AN249" i="31"/>
  <c r="AM249" i="31"/>
  <c r="AL249" i="31"/>
  <c r="AJ249" i="31"/>
  <c r="AI249" i="31"/>
  <c r="AH249" i="31"/>
  <c r="AG249" i="31"/>
  <c r="AA249" i="31"/>
  <c r="X249" i="31"/>
  <c r="Z249" i="31" s="1"/>
  <c r="W249" i="31"/>
  <c r="AQ248" i="31"/>
  <c r="AS248" i="31" s="1"/>
  <c r="AP248" i="31"/>
  <c r="AO248" i="31"/>
  <c r="AN248" i="31"/>
  <c r="AM248" i="31"/>
  <c r="AL248" i="31"/>
  <c r="AJ248" i="31"/>
  <c r="AI248" i="31"/>
  <c r="AH248" i="31"/>
  <c r="AG248" i="31"/>
  <c r="AA248" i="31"/>
  <c r="X248" i="31"/>
  <c r="Y248" i="31" s="1"/>
  <c r="W248" i="31"/>
  <c r="AQ247" i="31"/>
  <c r="AT247" i="31" s="1"/>
  <c r="AP247" i="31"/>
  <c r="AO247" i="31"/>
  <c r="AN247" i="31"/>
  <c r="AM247" i="31"/>
  <c r="AL247" i="31"/>
  <c r="AJ247" i="31"/>
  <c r="AI247" i="31"/>
  <c r="AH247" i="31"/>
  <c r="AG247" i="31"/>
  <c r="AA247" i="31"/>
  <c r="X247" i="31"/>
  <c r="W247" i="31"/>
  <c r="AQ246" i="31"/>
  <c r="AR246" i="31" s="1"/>
  <c r="AP246" i="31"/>
  <c r="AO246" i="31"/>
  <c r="AN246" i="31"/>
  <c r="AM246" i="31"/>
  <c r="AL246" i="31"/>
  <c r="AJ246" i="31"/>
  <c r="AI246" i="31"/>
  <c r="AH246" i="31"/>
  <c r="AG246" i="31"/>
  <c r="AA246" i="31"/>
  <c r="X246" i="31"/>
  <c r="W246" i="31"/>
  <c r="AQ245" i="31"/>
  <c r="AS245" i="31" s="1"/>
  <c r="AP245" i="31"/>
  <c r="AO245" i="31"/>
  <c r="AN245" i="31"/>
  <c r="AM245" i="31"/>
  <c r="AL245" i="31"/>
  <c r="AJ245" i="31"/>
  <c r="AI245" i="31"/>
  <c r="AH245" i="31"/>
  <c r="AG245" i="31"/>
  <c r="AA245" i="31"/>
  <c r="X245" i="31"/>
  <c r="W245" i="31"/>
  <c r="AQ244" i="31"/>
  <c r="AS244" i="31" s="1"/>
  <c r="AP244" i="31"/>
  <c r="AO244" i="31"/>
  <c r="AN244" i="31"/>
  <c r="AM244" i="31"/>
  <c r="AL244" i="31"/>
  <c r="AJ244" i="31"/>
  <c r="AI244" i="31"/>
  <c r="AH244" i="31"/>
  <c r="AG244" i="31"/>
  <c r="AA244" i="31"/>
  <c r="X244" i="31"/>
  <c r="Z244" i="31" s="1"/>
  <c r="W244" i="31"/>
  <c r="AQ243" i="31"/>
  <c r="AP243" i="31"/>
  <c r="AO243" i="31"/>
  <c r="AN243" i="31"/>
  <c r="AM243" i="31"/>
  <c r="AL243" i="31"/>
  <c r="AJ243" i="31"/>
  <c r="AI243" i="31"/>
  <c r="AH243" i="31"/>
  <c r="AG243" i="31"/>
  <c r="AA243" i="31"/>
  <c r="X243" i="31"/>
  <c r="Y243" i="31" s="1"/>
  <c r="W243" i="31"/>
  <c r="AQ242" i="31"/>
  <c r="AR242" i="31" s="1"/>
  <c r="AP242" i="31"/>
  <c r="AO242" i="31"/>
  <c r="AN242" i="31"/>
  <c r="AM242" i="31"/>
  <c r="AL242" i="31"/>
  <c r="AJ242" i="31"/>
  <c r="AI242" i="31"/>
  <c r="AH242" i="31"/>
  <c r="AG242" i="31"/>
  <c r="AA242" i="31"/>
  <c r="X242" i="31"/>
  <c r="Z242" i="31" s="1"/>
  <c r="W242" i="31"/>
  <c r="AQ241" i="31"/>
  <c r="AR241" i="31" s="1"/>
  <c r="AP241" i="31"/>
  <c r="AO241" i="31"/>
  <c r="AN241" i="31"/>
  <c r="AM241" i="31"/>
  <c r="AL241" i="31"/>
  <c r="AJ241" i="31"/>
  <c r="AI241" i="31"/>
  <c r="AH241" i="31"/>
  <c r="AG241" i="31"/>
  <c r="AA241" i="31"/>
  <c r="X241" i="31"/>
  <c r="Y241" i="31" s="1"/>
  <c r="W241" i="31"/>
  <c r="AQ240" i="31"/>
  <c r="AR240" i="31" s="1"/>
  <c r="AP240" i="31"/>
  <c r="AO240" i="31"/>
  <c r="AN240" i="31"/>
  <c r="AM240" i="31"/>
  <c r="AL240" i="31"/>
  <c r="AJ240" i="31"/>
  <c r="AI240" i="31"/>
  <c r="AH240" i="31"/>
  <c r="AG240" i="31"/>
  <c r="AA240" i="31"/>
  <c r="X240" i="31"/>
  <c r="W240" i="31"/>
  <c r="AQ239" i="31"/>
  <c r="AT239" i="31" s="1"/>
  <c r="AP239" i="31"/>
  <c r="AO239" i="31"/>
  <c r="AN239" i="31"/>
  <c r="AM239" i="31"/>
  <c r="AL239" i="31"/>
  <c r="AJ239" i="31"/>
  <c r="AI239" i="31"/>
  <c r="AH239" i="31"/>
  <c r="AG239" i="31"/>
  <c r="AA239" i="31"/>
  <c r="X239" i="31"/>
  <c r="W239" i="31"/>
  <c r="AQ238" i="31"/>
  <c r="AP238" i="31"/>
  <c r="AO238" i="31"/>
  <c r="AN238" i="31"/>
  <c r="AM238" i="31"/>
  <c r="AL238" i="31"/>
  <c r="AJ238" i="31"/>
  <c r="AI238" i="31"/>
  <c r="AH238" i="31"/>
  <c r="AG238" i="31"/>
  <c r="AA238" i="31"/>
  <c r="X238" i="31"/>
  <c r="W238" i="31"/>
  <c r="AQ237" i="31"/>
  <c r="AT237" i="31" s="1"/>
  <c r="AP237" i="31"/>
  <c r="AO237" i="31"/>
  <c r="AN237" i="31"/>
  <c r="AM237" i="31"/>
  <c r="AL237" i="31"/>
  <c r="AJ237" i="31"/>
  <c r="AI237" i="31"/>
  <c r="AH237" i="31"/>
  <c r="AG237" i="31"/>
  <c r="AA237" i="31"/>
  <c r="X237" i="31"/>
  <c r="Z237" i="31" s="1"/>
  <c r="W237" i="31"/>
  <c r="AQ236" i="31"/>
  <c r="AT236" i="31" s="1"/>
  <c r="AP236" i="31"/>
  <c r="AO236" i="31"/>
  <c r="AN236" i="31"/>
  <c r="AM236" i="31"/>
  <c r="AL236" i="31"/>
  <c r="AJ236" i="31"/>
  <c r="AI236" i="31"/>
  <c r="AH236" i="31"/>
  <c r="AG236" i="31"/>
  <c r="AA236" i="31"/>
  <c r="X236" i="31"/>
  <c r="W236" i="31"/>
  <c r="AQ235" i="31"/>
  <c r="AS235" i="31" s="1"/>
  <c r="AP235" i="31"/>
  <c r="AO235" i="31"/>
  <c r="AN235" i="31"/>
  <c r="AM235" i="31"/>
  <c r="AL235" i="31"/>
  <c r="AJ235" i="31"/>
  <c r="AI235" i="31"/>
  <c r="AH235" i="31"/>
  <c r="AG235" i="31"/>
  <c r="AA235" i="31"/>
  <c r="X235" i="31"/>
  <c r="Y235" i="31" s="1"/>
  <c r="W235" i="31"/>
  <c r="AQ234" i="31"/>
  <c r="AT234" i="31" s="1"/>
  <c r="AP234" i="31"/>
  <c r="AO234" i="31"/>
  <c r="AN234" i="31"/>
  <c r="AM234" i="31"/>
  <c r="AL234" i="31"/>
  <c r="AJ234" i="31"/>
  <c r="AI234" i="31"/>
  <c r="AH234" i="31"/>
  <c r="AG234" i="31"/>
  <c r="AA234" i="31"/>
  <c r="X234" i="31"/>
  <c r="Y234" i="31" s="1"/>
  <c r="W234" i="31"/>
  <c r="AQ233" i="31"/>
  <c r="AP233" i="31"/>
  <c r="AO233" i="31"/>
  <c r="AN233" i="31"/>
  <c r="AM233" i="31"/>
  <c r="AL233" i="31"/>
  <c r="AJ233" i="31"/>
  <c r="AI233" i="31"/>
  <c r="AH233" i="31"/>
  <c r="AG233" i="31"/>
  <c r="AA233" i="31"/>
  <c r="X233" i="31"/>
  <c r="Z233" i="31" s="1"/>
  <c r="W233" i="31"/>
  <c r="AQ232" i="31"/>
  <c r="AU232" i="31" s="1"/>
  <c r="AP232" i="31"/>
  <c r="AO232" i="31"/>
  <c r="AN232" i="31"/>
  <c r="AM232" i="31"/>
  <c r="AL232" i="31"/>
  <c r="AJ232" i="31"/>
  <c r="AI232" i="31"/>
  <c r="AH232" i="31"/>
  <c r="AG232" i="31"/>
  <c r="AA232" i="31"/>
  <c r="X232" i="31"/>
  <c r="Z232" i="31" s="1"/>
  <c r="W232" i="31"/>
  <c r="AQ231" i="31"/>
  <c r="AR231" i="31" s="1"/>
  <c r="AP231" i="31"/>
  <c r="AO231" i="31"/>
  <c r="AN231" i="31"/>
  <c r="AM231" i="31"/>
  <c r="AL231" i="31"/>
  <c r="AJ231" i="31"/>
  <c r="AI231" i="31"/>
  <c r="AH231" i="31"/>
  <c r="AG231" i="31"/>
  <c r="AA231" i="31"/>
  <c r="X231" i="31"/>
  <c r="Z231" i="31" s="1"/>
  <c r="W231" i="31"/>
  <c r="AQ230" i="31"/>
  <c r="AP230" i="31"/>
  <c r="AO230" i="31"/>
  <c r="AN230" i="31"/>
  <c r="AM230" i="31"/>
  <c r="AL230" i="31"/>
  <c r="AJ230" i="31"/>
  <c r="AI230" i="31"/>
  <c r="AH230" i="31"/>
  <c r="AG230" i="31"/>
  <c r="AA230" i="31"/>
  <c r="X230" i="31"/>
  <c r="W230" i="31"/>
  <c r="AQ229" i="31"/>
  <c r="AP229" i="31"/>
  <c r="AO229" i="31"/>
  <c r="AN229" i="31"/>
  <c r="AM229" i="31"/>
  <c r="AL229" i="31"/>
  <c r="AJ229" i="31"/>
  <c r="AI229" i="31"/>
  <c r="AH229" i="31"/>
  <c r="AG229" i="31"/>
  <c r="AA229" i="31"/>
  <c r="X229" i="31"/>
  <c r="Y229" i="31" s="1"/>
  <c r="W229" i="31"/>
  <c r="AQ228" i="31"/>
  <c r="AU228" i="31" s="1"/>
  <c r="AP228" i="31"/>
  <c r="AO228" i="31"/>
  <c r="AN228" i="31"/>
  <c r="AM228" i="31"/>
  <c r="AL228" i="31"/>
  <c r="AJ228" i="31"/>
  <c r="AI228" i="31"/>
  <c r="AH228" i="31"/>
  <c r="AG228" i="31"/>
  <c r="AA228" i="31"/>
  <c r="X228" i="31"/>
  <c r="Y228" i="31" s="1"/>
  <c r="W228" i="31"/>
  <c r="AQ227" i="31"/>
  <c r="AR227" i="31" s="1"/>
  <c r="AP227" i="31"/>
  <c r="AO227" i="31"/>
  <c r="AN227" i="31"/>
  <c r="AM227" i="31"/>
  <c r="AL227" i="31"/>
  <c r="AJ227" i="31"/>
  <c r="AI227" i="31"/>
  <c r="AH227" i="31"/>
  <c r="AG227" i="31"/>
  <c r="AA227" i="31"/>
  <c r="X227" i="31"/>
  <c r="Z227" i="31" s="1"/>
  <c r="W227" i="31"/>
  <c r="AQ226" i="31"/>
  <c r="AT226" i="31" s="1"/>
  <c r="AP226" i="31"/>
  <c r="AO226" i="31"/>
  <c r="AN226" i="31"/>
  <c r="AM226" i="31"/>
  <c r="AL226" i="31"/>
  <c r="AJ226" i="31"/>
  <c r="AI226" i="31"/>
  <c r="AH226" i="31"/>
  <c r="AG226" i="31"/>
  <c r="AA226" i="31"/>
  <c r="X226" i="31"/>
  <c r="Y226" i="31" s="1"/>
  <c r="W226" i="31"/>
  <c r="AQ225" i="31"/>
  <c r="AT225" i="31" s="1"/>
  <c r="AP225" i="31"/>
  <c r="AO225" i="31"/>
  <c r="AN225" i="31"/>
  <c r="AM225" i="31"/>
  <c r="AL225" i="31"/>
  <c r="AJ225" i="31"/>
  <c r="AI225" i="31"/>
  <c r="AH225" i="31"/>
  <c r="AG225" i="31"/>
  <c r="AA225" i="31"/>
  <c r="X225" i="31"/>
  <c r="Z225" i="31" s="1"/>
  <c r="W225" i="31"/>
  <c r="AQ224" i="31"/>
  <c r="AT224" i="31" s="1"/>
  <c r="AP224" i="31"/>
  <c r="AO224" i="31"/>
  <c r="AN224" i="31"/>
  <c r="AM224" i="31"/>
  <c r="AL224" i="31"/>
  <c r="AJ224" i="31"/>
  <c r="AI224" i="31"/>
  <c r="AH224" i="31"/>
  <c r="AG224" i="31"/>
  <c r="AA224" i="31"/>
  <c r="X224" i="31"/>
  <c r="Z224" i="31" s="1"/>
  <c r="W224" i="31"/>
  <c r="AQ223" i="31"/>
  <c r="AS223" i="31" s="1"/>
  <c r="AP223" i="31"/>
  <c r="AO223" i="31"/>
  <c r="AN223" i="31"/>
  <c r="AM223" i="31"/>
  <c r="AL223" i="31"/>
  <c r="AJ223" i="31"/>
  <c r="AI223" i="31"/>
  <c r="AH223" i="31"/>
  <c r="AG223" i="31"/>
  <c r="AA223" i="31"/>
  <c r="X223" i="31"/>
  <c r="Y223" i="31" s="1"/>
  <c r="W223" i="31"/>
  <c r="AQ222" i="31"/>
  <c r="AP222" i="31"/>
  <c r="AO222" i="31"/>
  <c r="AN222" i="31"/>
  <c r="AM222" i="31"/>
  <c r="AL222" i="31"/>
  <c r="AJ222" i="31"/>
  <c r="AI222" i="31"/>
  <c r="AH222" i="31"/>
  <c r="AG222" i="31"/>
  <c r="AA222" i="31"/>
  <c r="X222" i="31"/>
  <c r="Z222" i="31" s="1"/>
  <c r="W222" i="31"/>
  <c r="AQ221" i="31"/>
  <c r="AU221" i="31" s="1"/>
  <c r="AP221" i="31"/>
  <c r="AO221" i="31"/>
  <c r="AN221" i="31"/>
  <c r="AM221" i="31"/>
  <c r="AL221" i="31"/>
  <c r="AJ221" i="31"/>
  <c r="AI221" i="31"/>
  <c r="AH221" i="31"/>
  <c r="AG221" i="31"/>
  <c r="AA221" i="31"/>
  <c r="X221" i="31"/>
  <c r="Z221" i="31" s="1"/>
  <c r="W221" i="31"/>
  <c r="AQ220" i="31"/>
  <c r="AP220" i="31"/>
  <c r="AO220" i="31"/>
  <c r="AN220" i="31"/>
  <c r="AM220" i="31"/>
  <c r="AL220" i="31"/>
  <c r="AJ220" i="31"/>
  <c r="AI220" i="31"/>
  <c r="AH220" i="31"/>
  <c r="AG220" i="31"/>
  <c r="AA220" i="31"/>
  <c r="X220" i="31"/>
  <c r="W220" i="31"/>
  <c r="AQ219" i="31"/>
  <c r="AU219" i="31" s="1"/>
  <c r="AP219" i="31"/>
  <c r="AO219" i="31"/>
  <c r="AN219" i="31"/>
  <c r="AM219" i="31"/>
  <c r="AL219" i="31"/>
  <c r="AJ219" i="31"/>
  <c r="AI219" i="31"/>
  <c r="AH219" i="31"/>
  <c r="AG219" i="31"/>
  <c r="AA219" i="31"/>
  <c r="X219" i="31"/>
  <c r="Y219" i="31" s="1"/>
  <c r="W219" i="31"/>
  <c r="AQ218" i="31"/>
  <c r="AT218" i="31" s="1"/>
  <c r="AP218" i="31"/>
  <c r="AO218" i="31"/>
  <c r="AN218" i="31"/>
  <c r="AM218" i="31"/>
  <c r="AL218" i="31"/>
  <c r="AJ218" i="31"/>
  <c r="AI218" i="31"/>
  <c r="AH218" i="31"/>
  <c r="AG218" i="31"/>
  <c r="AA218" i="31"/>
  <c r="X218" i="31"/>
  <c r="Y218" i="31" s="1"/>
  <c r="W218" i="31"/>
  <c r="AQ217" i="31"/>
  <c r="AT217" i="31" s="1"/>
  <c r="AP217" i="31"/>
  <c r="AO217" i="31"/>
  <c r="AN217" i="31"/>
  <c r="AM217" i="31"/>
  <c r="AL217" i="31"/>
  <c r="AJ217" i="31"/>
  <c r="AI217" i="31"/>
  <c r="AH217" i="31"/>
  <c r="AG217" i="31"/>
  <c r="AA217" i="31"/>
  <c r="X217" i="31"/>
  <c r="Z217" i="31" s="1"/>
  <c r="W217" i="31"/>
  <c r="V217" i="31"/>
  <c r="AQ216" i="31"/>
  <c r="AP216" i="31"/>
  <c r="AH216" i="31" s="1"/>
  <c r="AI216" i="31" s="1"/>
  <c r="AO216" i="31"/>
  <c r="AN216" i="31"/>
  <c r="AG216" i="31" s="1"/>
  <c r="AA216" i="31"/>
  <c r="AQ214" i="31"/>
  <c r="AT214" i="31" s="1"/>
  <c r="AP214" i="31"/>
  <c r="AO214" i="31"/>
  <c r="AN214" i="31"/>
  <c r="AG214" i="31" s="1"/>
  <c r="AH214" i="31"/>
  <c r="AA214" i="31"/>
  <c r="X214" i="31"/>
  <c r="Y214" i="31" s="1"/>
  <c r="W214" i="31"/>
  <c r="AQ213" i="31"/>
  <c r="AP213" i="31"/>
  <c r="AO213" i="31"/>
  <c r="AN213" i="31"/>
  <c r="AG213" i="31" s="1"/>
  <c r="AH213" i="31"/>
  <c r="AA213" i="31"/>
  <c r="X213" i="31"/>
  <c r="Z213" i="31" s="1"/>
  <c r="W213" i="31"/>
  <c r="AQ212" i="31"/>
  <c r="AP212" i="31"/>
  <c r="AO212" i="31"/>
  <c r="AN212" i="31"/>
  <c r="AM212" i="31"/>
  <c r="AL212" i="31"/>
  <c r="AJ212" i="31"/>
  <c r="AI212" i="31"/>
  <c r="AH212" i="31"/>
  <c r="AG212" i="31"/>
  <c r="AA212" i="31"/>
  <c r="X212" i="31"/>
  <c r="Z212" i="31" s="1"/>
  <c r="W212" i="31"/>
  <c r="AQ211" i="31"/>
  <c r="AP211" i="31"/>
  <c r="AO211" i="31"/>
  <c r="AN211" i="31"/>
  <c r="AM211" i="31"/>
  <c r="AL211" i="31"/>
  <c r="AJ211" i="31"/>
  <c r="AI211" i="31"/>
  <c r="AH211" i="31"/>
  <c r="AG211" i="31"/>
  <c r="AA211" i="31"/>
  <c r="X211" i="31"/>
  <c r="Y211" i="31" s="1"/>
  <c r="W211" i="31"/>
  <c r="AQ210" i="31"/>
  <c r="AS210" i="31" s="1"/>
  <c r="AP210" i="31"/>
  <c r="AO210" i="31"/>
  <c r="AN210" i="31"/>
  <c r="AM210" i="31"/>
  <c r="AL210" i="31"/>
  <c r="AJ210" i="31"/>
  <c r="AI210" i="31"/>
  <c r="AH210" i="31"/>
  <c r="AG210" i="31"/>
  <c r="AA210" i="31"/>
  <c r="X210" i="31"/>
  <c r="Z210" i="31" s="1"/>
  <c r="W210" i="31"/>
  <c r="AQ209" i="31"/>
  <c r="AU209" i="31" s="1"/>
  <c r="AP209" i="31"/>
  <c r="AO209" i="31"/>
  <c r="AN209" i="31"/>
  <c r="AM209" i="31"/>
  <c r="AL209" i="31"/>
  <c r="AJ209" i="31"/>
  <c r="AI209" i="31"/>
  <c r="AH209" i="31"/>
  <c r="AG209" i="31"/>
  <c r="AA209" i="31"/>
  <c r="X209" i="31"/>
  <c r="Z209" i="31" s="1"/>
  <c r="W209" i="31"/>
  <c r="AQ208" i="31"/>
  <c r="AS208" i="31" s="1"/>
  <c r="AP208" i="31"/>
  <c r="AO208" i="31"/>
  <c r="AN208" i="31"/>
  <c r="AM208" i="31"/>
  <c r="AL208" i="31"/>
  <c r="AJ208" i="31"/>
  <c r="AI208" i="31"/>
  <c r="AH208" i="31"/>
  <c r="AG208" i="31"/>
  <c r="AA208" i="31"/>
  <c r="X208" i="31"/>
  <c r="W208" i="31"/>
  <c r="AQ207" i="31"/>
  <c r="AT207" i="31" s="1"/>
  <c r="AP207" i="31"/>
  <c r="AO207" i="31"/>
  <c r="AN207" i="31"/>
  <c r="AM207" i="31"/>
  <c r="AL207" i="31"/>
  <c r="AJ207" i="31"/>
  <c r="AI207" i="31"/>
  <c r="AH207" i="31"/>
  <c r="AG207" i="31"/>
  <c r="AA207" i="31"/>
  <c r="X207" i="31"/>
  <c r="W207" i="31"/>
  <c r="AQ206" i="31"/>
  <c r="AP206" i="31"/>
  <c r="AO206" i="31"/>
  <c r="AN206" i="31"/>
  <c r="AM206" i="31"/>
  <c r="AL206" i="31"/>
  <c r="AJ206" i="31"/>
  <c r="AI206" i="31"/>
  <c r="AH206" i="31"/>
  <c r="AG206" i="31"/>
  <c r="AA206" i="31"/>
  <c r="X206" i="31"/>
  <c r="Z206" i="31" s="1"/>
  <c r="W206" i="31"/>
  <c r="AQ205" i="31"/>
  <c r="AS205" i="31" s="1"/>
  <c r="AP205" i="31"/>
  <c r="AO205" i="31"/>
  <c r="AN205" i="31"/>
  <c r="AM205" i="31"/>
  <c r="AL205" i="31"/>
  <c r="AJ205" i="31"/>
  <c r="AI205" i="31"/>
  <c r="AH205" i="31"/>
  <c r="AG205" i="31"/>
  <c r="AA205" i="31"/>
  <c r="X205" i="31"/>
  <c r="Z205" i="31" s="1"/>
  <c r="W205" i="31"/>
  <c r="AQ204" i="31"/>
  <c r="AP204" i="31"/>
  <c r="AO204" i="31"/>
  <c r="AN204" i="31"/>
  <c r="AM204" i="31"/>
  <c r="AL204" i="31"/>
  <c r="AJ204" i="31"/>
  <c r="AI204" i="31"/>
  <c r="AH204" i="31"/>
  <c r="AG204" i="31"/>
  <c r="AA204" i="31"/>
  <c r="X204" i="31"/>
  <c r="Z204" i="31" s="1"/>
  <c r="W204" i="31"/>
  <c r="AQ203" i="31"/>
  <c r="AU203" i="31" s="1"/>
  <c r="AP203" i="31"/>
  <c r="AO203" i="31"/>
  <c r="AN203" i="31"/>
  <c r="AM203" i="31"/>
  <c r="AL203" i="31"/>
  <c r="AJ203" i="31"/>
  <c r="AI203" i="31"/>
  <c r="AH203" i="31"/>
  <c r="AG203" i="31"/>
  <c r="AA203" i="31"/>
  <c r="X203" i="31"/>
  <c r="W203" i="31"/>
  <c r="AQ202" i="31"/>
  <c r="AT202" i="31" s="1"/>
  <c r="AP202" i="31"/>
  <c r="AO202" i="31"/>
  <c r="AN202" i="31"/>
  <c r="AM202" i="31"/>
  <c r="AL202" i="31"/>
  <c r="AJ202" i="31"/>
  <c r="AI202" i="31"/>
  <c r="AH202" i="31"/>
  <c r="AG202" i="31"/>
  <c r="AA202" i="31"/>
  <c r="X202" i="31"/>
  <c r="Y202" i="31" s="1"/>
  <c r="W202" i="31"/>
  <c r="AQ201" i="31"/>
  <c r="AP201" i="31"/>
  <c r="AO201" i="31"/>
  <c r="AN201" i="31"/>
  <c r="AM201" i="31"/>
  <c r="AL201" i="31"/>
  <c r="AJ201" i="31"/>
  <c r="AI201" i="31"/>
  <c r="AH201" i="31"/>
  <c r="AG201" i="31"/>
  <c r="AA201" i="31"/>
  <c r="X201" i="31"/>
  <c r="Z201" i="31" s="1"/>
  <c r="W201" i="31"/>
  <c r="AQ200" i="31"/>
  <c r="AT200" i="31" s="1"/>
  <c r="AP200" i="31"/>
  <c r="AO200" i="31"/>
  <c r="AN200" i="31"/>
  <c r="AM200" i="31"/>
  <c r="AL200" i="31"/>
  <c r="AJ200" i="31"/>
  <c r="AI200" i="31"/>
  <c r="AH200" i="31"/>
  <c r="AG200" i="31"/>
  <c r="AA200" i="31"/>
  <c r="X200" i="31"/>
  <c r="W200" i="31"/>
  <c r="AQ199" i="31"/>
  <c r="AP199" i="31"/>
  <c r="AO199" i="31"/>
  <c r="AN199" i="31"/>
  <c r="AM199" i="31"/>
  <c r="AL199" i="31"/>
  <c r="AJ199" i="31"/>
  <c r="AI199" i="31"/>
  <c r="AH199" i="31"/>
  <c r="AG199" i="31"/>
  <c r="AA199" i="31"/>
  <c r="X199" i="31"/>
  <c r="Y199" i="31" s="1"/>
  <c r="W199" i="31"/>
  <c r="AQ198" i="31"/>
  <c r="AU198" i="31" s="1"/>
  <c r="AP198" i="31"/>
  <c r="AO198" i="31"/>
  <c r="AN198" i="31"/>
  <c r="AM198" i="31"/>
  <c r="AL198" i="31"/>
  <c r="AJ198" i="31"/>
  <c r="AI198" i="31"/>
  <c r="AH198" i="31"/>
  <c r="AG198" i="31"/>
  <c r="AA198" i="31"/>
  <c r="X198" i="31"/>
  <c r="Y198" i="31" s="1"/>
  <c r="W198" i="31"/>
  <c r="AQ197" i="31"/>
  <c r="AP197" i="31"/>
  <c r="AO197" i="31"/>
  <c r="AN197" i="31"/>
  <c r="AG197" i="31" s="1"/>
  <c r="AH197" i="31"/>
  <c r="AA197" i="31"/>
  <c r="X197" i="31"/>
  <c r="Z197" i="31" s="1"/>
  <c r="W197" i="31"/>
  <c r="AQ196" i="31"/>
  <c r="AU196" i="31" s="1"/>
  <c r="AP196" i="31"/>
  <c r="AO196" i="31"/>
  <c r="AN196" i="31"/>
  <c r="AG196" i="31" s="1"/>
  <c r="AH196" i="31"/>
  <c r="AI196" i="31" s="1"/>
  <c r="AA196" i="31"/>
  <c r="X196" i="31"/>
  <c r="Z196" i="31" s="1"/>
  <c r="W196" i="31"/>
  <c r="AQ195" i="31"/>
  <c r="AT195" i="31" s="1"/>
  <c r="AP195" i="31"/>
  <c r="AO195" i="31"/>
  <c r="AN195" i="31"/>
  <c r="AG195" i="31" s="1"/>
  <c r="AH195" i="31"/>
  <c r="AL195" i="31" s="1"/>
  <c r="AA195" i="31"/>
  <c r="X195" i="31"/>
  <c r="Z195" i="31" s="1"/>
  <c r="W195" i="31"/>
  <c r="AQ194" i="31"/>
  <c r="AR194" i="31" s="1"/>
  <c r="AP194" i="31"/>
  <c r="AO194" i="31"/>
  <c r="AN194" i="31"/>
  <c r="AG194" i="31" s="1"/>
  <c r="AH194" i="31"/>
  <c r="AL194" i="31" s="1"/>
  <c r="AA194" i="31"/>
  <c r="X194" i="31"/>
  <c r="W194" i="31"/>
  <c r="AQ193" i="31"/>
  <c r="AS193" i="31" s="1"/>
  <c r="AP193" i="31"/>
  <c r="AO193" i="31"/>
  <c r="AN193" i="31"/>
  <c r="AG193" i="31" s="1"/>
  <c r="AH193" i="31"/>
  <c r="AJ193" i="31" s="1"/>
  <c r="AA193" i="31"/>
  <c r="X193" i="31"/>
  <c r="Z193" i="31" s="1"/>
  <c r="W193" i="31"/>
  <c r="AQ192" i="31"/>
  <c r="AR192" i="31" s="1"/>
  <c r="AP192" i="31"/>
  <c r="AO192" i="31"/>
  <c r="AN192" i="31"/>
  <c r="AG192" i="31" s="1"/>
  <c r="AH192" i="31"/>
  <c r="AA192" i="31"/>
  <c r="X192" i="31"/>
  <c r="Z192" i="31" s="1"/>
  <c r="W192" i="31"/>
  <c r="AQ191" i="31"/>
  <c r="AR191" i="31" s="1"/>
  <c r="AP191" i="31"/>
  <c r="AO191" i="31"/>
  <c r="AN191" i="31"/>
  <c r="AG191" i="31" s="1"/>
  <c r="AH191" i="31"/>
  <c r="AA191" i="31"/>
  <c r="X191" i="31"/>
  <c r="Z191" i="31" s="1"/>
  <c r="W191" i="31"/>
  <c r="AQ190" i="31"/>
  <c r="AR190" i="31" s="1"/>
  <c r="AP190" i="31"/>
  <c r="AO190" i="31"/>
  <c r="AN190" i="31"/>
  <c r="AG190" i="31" s="1"/>
  <c r="AH190" i="31"/>
  <c r="AA190" i="31"/>
  <c r="X190" i="31"/>
  <c r="Z190" i="31" s="1"/>
  <c r="W190" i="31"/>
  <c r="AQ189" i="31"/>
  <c r="AP189" i="31"/>
  <c r="AO189" i="31"/>
  <c r="AN189" i="31"/>
  <c r="AG189" i="31" s="1"/>
  <c r="AH189" i="31"/>
  <c r="AA189" i="31"/>
  <c r="X189" i="31"/>
  <c r="Z189" i="31" s="1"/>
  <c r="W189" i="31"/>
  <c r="AQ188" i="31"/>
  <c r="AT188" i="31" s="1"/>
  <c r="AP188" i="31"/>
  <c r="AO188" i="31"/>
  <c r="AN188" i="31"/>
  <c r="AM188" i="31"/>
  <c r="AL188" i="31"/>
  <c r="AJ188" i="31"/>
  <c r="AI188" i="31"/>
  <c r="AH188" i="31"/>
  <c r="AG188" i="31"/>
  <c r="AA188" i="31"/>
  <c r="X188" i="31"/>
  <c r="Z188" i="31" s="1"/>
  <c r="W188" i="31"/>
  <c r="AQ187" i="31"/>
  <c r="AR187" i="31" s="1"/>
  <c r="AP187" i="31"/>
  <c r="AO187" i="31"/>
  <c r="AN187" i="31"/>
  <c r="AG187" i="31" s="1"/>
  <c r="AH187" i="31"/>
  <c r="AA187" i="31"/>
  <c r="X187" i="31"/>
  <c r="Z187" i="31" s="1"/>
  <c r="W187" i="31"/>
  <c r="AQ186" i="31"/>
  <c r="AU186" i="31" s="1"/>
  <c r="AP186" i="31"/>
  <c r="AO186" i="31"/>
  <c r="AN186" i="31"/>
  <c r="AG186" i="31" s="1"/>
  <c r="AH186" i="31"/>
  <c r="AA186" i="31"/>
  <c r="X186" i="31"/>
  <c r="Z186" i="31" s="1"/>
  <c r="W186" i="31"/>
  <c r="AQ185" i="31"/>
  <c r="AP185" i="31"/>
  <c r="AO185" i="31"/>
  <c r="AN185" i="31"/>
  <c r="AG185" i="31" s="1"/>
  <c r="AH185" i="31"/>
  <c r="AA185" i="31"/>
  <c r="X185" i="31"/>
  <c r="W185" i="31"/>
  <c r="AQ184" i="31"/>
  <c r="AS184" i="31" s="1"/>
  <c r="AP184" i="31"/>
  <c r="AO184" i="31"/>
  <c r="AN184" i="31"/>
  <c r="AG184" i="31" s="1"/>
  <c r="AH184" i="31"/>
  <c r="AA184" i="31"/>
  <c r="X184" i="31"/>
  <c r="W184" i="31"/>
  <c r="AQ183" i="31"/>
  <c r="AR183" i="31" s="1"/>
  <c r="AP183" i="31"/>
  <c r="AO183" i="31"/>
  <c r="AN183" i="31"/>
  <c r="AG183" i="31" s="1"/>
  <c r="AH183" i="31"/>
  <c r="AA183" i="31"/>
  <c r="X183" i="31"/>
  <c r="Z183" i="31" s="1"/>
  <c r="W183" i="31"/>
  <c r="AQ182" i="31"/>
  <c r="AP182" i="31"/>
  <c r="AO182" i="31"/>
  <c r="AN182" i="31"/>
  <c r="AG182" i="31" s="1"/>
  <c r="AH182" i="31"/>
  <c r="AA182" i="31"/>
  <c r="X182" i="31"/>
  <c r="Z182" i="31" s="1"/>
  <c r="W182" i="31"/>
  <c r="AQ181" i="31"/>
  <c r="AP181" i="31"/>
  <c r="AO181" i="31"/>
  <c r="AN181" i="31"/>
  <c r="AG181" i="31" s="1"/>
  <c r="AH181" i="31"/>
  <c r="AA181" i="31"/>
  <c r="X181" i="31"/>
  <c r="Z181" i="31" s="1"/>
  <c r="W181" i="31"/>
  <c r="V181" i="31"/>
  <c r="AQ180" i="31"/>
  <c r="AP180" i="31"/>
  <c r="AH180" i="31" s="1"/>
  <c r="AL180" i="31" s="1"/>
  <c r="O9" i="31" s="1"/>
  <c r="AO180" i="31"/>
  <c r="AN180" i="31"/>
  <c r="AG180" i="31" s="1"/>
  <c r="AA180" i="31"/>
  <c r="AQ178" i="31"/>
  <c r="AR178" i="31" s="1"/>
  <c r="AP178" i="31"/>
  <c r="AO178" i="31"/>
  <c r="AN178" i="31"/>
  <c r="AG178" i="31" s="1"/>
  <c r="AH178" i="31"/>
  <c r="AI178" i="31" s="1"/>
  <c r="AA178" i="31"/>
  <c r="X178" i="31"/>
  <c r="Z178" i="31" s="1"/>
  <c r="W178" i="31"/>
  <c r="AQ177" i="31"/>
  <c r="AT177" i="31" s="1"/>
  <c r="AP177" i="31"/>
  <c r="AO177" i="31"/>
  <c r="AN177" i="31"/>
  <c r="AG177" i="31" s="1"/>
  <c r="AH177" i="31"/>
  <c r="AA177" i="31"/>
  <c r="X177" i="31"/>
  <c r="Y177" i="31" s="1"/>
  <c r="W177" i="31"/>
  <c r="AQ176" i="31"/>
  <c r="AP176" i="31"/>
  <c r="AO176" i="31"/>
  <c r="AN176" i="31"/>
  <c r="AM176" i="31"/>
  <c r="AL176" i="31"/>
  <c r="AJ176" i="31"/>
  <c r="AI176" i="31"/>
  <c r="AH176" i="31"/>
  <c r="AG176" i="31"/>
  <c r="AA176" i="31"/>
  <c r="X176" i="31"/>
  <c r="Y176" i="31" s="1"/>
  <c r="W176" i="31"/>
  <c r="AQ175" i="31"/>
  <c r="AT175" i="31" s="1"/>
  <c r="AP175" i="31"/>
  <c r="AO175" i="31"/>
  <c r="AN175" i="31"/>
  <c r="AM175" i="31"/>
  <c r="AL175" i="31"/>
  <c r="AJ175" i="31"/>
  <c r="AI175" i="31"/>
  <c r="AH175" i="31"/>
  <c r="AG175" i="31"/>
  <c r="AA175" i="31"/>
  <c r="X175" i="31"/>
  <c r="Y175" i="31" s="1"/>
  <c r="W175" i="31"/>
  <c r="AQ174" i="31"/>
  <c r="AS174" i="31" s="1"/>
  <c r="AP174" i="31"/>
  <c r="AO174" i="31"/>
  <c r="AN174" i="31"/>
  <c r="AM174" i="31"/>
  <c r="AL174" i="31"/>
  <c r="AJ174" i="31"/>
  <c r="AI174" i="31"/>
  <c r="AH174" i="31"/>
  <c r="AG174" i="31"/>
  <c r="AA174" i="31"/>
  <c r="X174" i="31"/>
  <c r="W174" i="31"/>
  <c r="AQ173" i="31"/>
  <c r="AU173" i="31" s="1"/>
  <c r="AP173" i="31"/>
  <c r="AO173" i="31"/>
  <c r="AN173" i="31"/>
  <c r="AM173" i="31"/>
  <c r="AL173" i="31"/>
  <c r="AJ173" i="31"/>
  <c r="AI173" i="31"/>
  <c r="AH173" i="31"/>
  <c r="AG173" i="31"/>
  <c r="AA173" i="31"/>
  <c r="X173" i="31"/>
  <c r="Z173" i="31" s="1"/>
  <c r="W173" i="31"/>
  <c r="AQ172" i="31"/>
  <c r="AU172" i="31" s="1"/>
  <c r="AP172" i="31"/>
  <c r="AO172" i="31"/>
  <c r="AN172" i="31"/>
  <c r="AM172" i="31"/>
  <c r="AL172" i="31"/>
  <c r="AJ172" i="31"/>
  <c r="AI172" i="31"/>
  <c r="AH172" i="31"/>
  <c r="AG172" i="31"/>
  <c r="AA172" i="31"/>
  <c r="X172" i="31"/>
  <c r="Y172" i="31" s="1"/>
  <c r="W172" i="31"/>
  <c r="AQ171" i="31"/>
  <c r="AT171" i="31" s="1"/>
  <c r="AP171" i="31"/>
  <c r="AO171" i="31"/>
  <c r="AN171" i="31"/>
  <c r="AM171" i="31"/>
  <c r="AL171" i="31"/>
  <c r="AJ171" i="31"/>
  <c r="AI171" i="31"/>
  <c r="AH171" i="31"/>
  <c r="AG171" i="31"/>
  <c r="AA171" i="31"/>
  <c r="X171" i="31"/>
  <c r="Z171" i="31" s="1"/>
  <c r="W171" i="31"/>
  <c r="AQ170" i="31"/>
  <c r="AP170" i="31"/>
  <c r="AO170" i="31"/>
  <c r="AN170" i="31"/>
  <c r="AM170" i="31"/>
  <c r="AL170" i="31"/>
  <c r="AJ170" i="31"/>
  <c r="AI170" i="31"/>
  <c r="AH170" i="31"/>
  <c r="AG170" i="31"/>
  <c r="AA170" i="31"/>
  <c r="X170" i="31"/>
  <c r="Y170" i="31" s="1"/>
  <c r="W170" i="31"/>
  <c r="AQ169" i="31"/>
  <c r="AT169" i="31" s="1"/>
  <c r="AP169" i="31"/>
  <c r="AO169" i="31"/>
  <c r="AN169" i="31"/>
  <c r="AM169" i="31"/>
  <c r="AL169" i="31"/>
  <c r="AJ169" i="31"/>
  <c r="AI169" i="31"/>
  <c r="AH169" i="31"/>
  <c r="AG169" i="31"/>
  <c r="AA169" i="31"/>
  <c r="X169" i="31"/>
  <c r="Y169" i="31" s="1"/>
  <c r="W169" i="31"/>
  <c r="AQ168" i="31"/>
  <c r="AT168" i="31" s="1"/>
  <c r="AP168" i="31"/>
  <c r="AO168" i="31"/>
  <c r="AN168" i="31"/>
  <c r="AM168" i="31"/>
  <c r="AL168" i="31"/>
  <c r="AJ168" i="31"/>
  <c r="AI168" i="31"/>
  <c r="AH168" i="31"/>
  <c r="AG168" i="31"/>
  <c r="AA168" i="31"/>
  <c r="X168" i="31"/>
  <c r="Z168" i="31" s="1"/>
  <c r="W168" i="31"/>
  <c r="AQ167" i="31"/>
  <c r="AP167" i="31"/>
  <c r="AO167" i="31"/>
  <c r="AN167" i="31"/>
  <c r="AM167" i="31"/>
  <c r="AL167" i="31"/>
  <c r="AJ167" i="31"/>
  <c r="AI167" i="31"/>
  <c r="AH167" i="31"/>
  <c r="AG167" i="31"/>
  <c r="AA167" i="31"/>
  <c r="X167" i="31"/>
  <c r="Z167" i="31" s="1"/>
  <c r="W167" i="31"/>
  <c r="AQ166" i="31"/>
  <c r="AT166" i="31" s="1"/>
  <c r="AP166" i="31"/>
  <c r="AO166" i="31"/>
  <c r="AN166" i="31"/>
  <c r="AM166" i="31"/>
  <c r="AL166" i="31"/>
  <c r="AJ166" i="31"/>
  <c r="AI166" i="31"/>
  <c r="AH166" i="31"/>
  <c r="AG166" i="31"/>
  <c r="AA166" i="31"/>
  <c r="X166" i="31"/>
  <c r="Z166" i="31" s="1"/>
  <c r="W166" i="31"/>
  <c r="AQ165" i="31"/>
  <c r="AP165" i="31"/>
  <c r="AO165" i="31"/>
  <c r="AN165" i="31"/>
  <c r="AM165" i="31"/>
  <c r="AL165" i="31"/>
  <c r="AJ165" i="31"/>
  <c r="AI165" i="31"/>
  <c r="AH165" i="31"/>
  <c r="AG165" i="31"/>
  <c r="AA165" i="31"/>
  <c r="X165" i="31"/>
  <c r="Z165" i="31" s="1"/>
  <c r="W165" i="31"/>
  <c r="AQ164" i="31"/>
  <c r="AR164" i="31" s="1"/>
  <c r="AP164" i="31"/>
  <c r="AO164" i="31"/>
  <c r="AN164" i="31"/>
  <c r="AM164" i="31"/>
  <c r="AL164" i="31"/>
  <c r="AJ164" i="31"/>
  <c r="AI164" i="31"/>
  <c r="AH164" i="31"/>
  <c r="AG164" i="31"/>
  <c r="AA164" i="31"/>
  <c r="X164" i="31"/>
  <c r="W164" i="31"/>
  <c r="AQ163" i="31"/>
  <c r="AU163" i="31" s="1"/>
  <c r="AP163" i="31"/>
  <c r="AH163" i="31" s="1"/>
  <c r="AO163" i="31"/>
  <c r="AN163" i="31"/>
  <c r="AG163" i="31" s="1"/>
  <c r="AA163" i="31"/>
  <c r="X163" i="31"/>
  <c r="Z163" i="31" s="1"/>
  <c r="W163" i="31"/>
  <c r="AQ162" i="31"/>
  <c r="AS162" i="31" s="1"/>
  <c r="AP162" i="31"/>
  <c r="AH162" i="31" s="1"/>
  <c r="AJ162" i="31" s="1"/>
  <c r="AO162" i="31"/>
  <c r="AN162" i="31"/>
  <c r="AG162" i="31" s="1"/>
  <c r="AA162" i="31"/>
  <c r="X162" i="31"/>
  <c r="Z162" i="31" s="1"/>
  <c r="W162" i="31"/>
  <c r="AQ161" i="31"/>
  <c r="AP161" i="31"/>
  <c r="AO161" i="31"/>
  <c r="AN161" i="31"/>
  <c r="AG161" i="31" s="1"/>
  <c r="AH161" i="31"/>
  <c r="AJ161" i="31" s="1"/>
  <c r="AA161" i="31"/>
  <c r="X161" i="31"/>
  <c r="Z161" i="31" s="1"/>
  <c r="W161" i="31"/>
  <c r="AQ160" i="31"/>
  <c r="AT160" i="31" s="1"/>
  <c r="AP160" i="31"/>
  <c r="AO160" i="31"/>
  <c r="AN160" i="31"/>
  <c r="AM160" i="31"/>
  <c r="AL160" i="31"/>
  <c r="AJ160" i="31"/>
  <c r="AI160" i="31"/>
  <c r="AH160" i="31"/>
  <c r="AG160" i="31"/>
  <c r="AA160" i="31"/>
  <c r="X160" i="31"/>
  <c r="Z160" i="31" s="1"/>
  <c r="W160" i="31"/>
  <c r="AQ159" i="31"/>
  <c r="AS159" i="31" s="1"/>
  <c r="AP159" i="31"/>
  <c r="AH159" i="31" s="1"/>
  <c r="AJ159" i="31" s="1"/>
  <c r="AO159" i="31"/>
  <c r="AN159" i="31"/>
  <c r="AG159" i="31" s="1"/>
  <c r="AA159" i="31"/>
  <c r="X159" i="31"/>
  <c r="W159" i="31"/>
  <c r="AQ158" i="31"/>
  <c r="AU158" i="31" s="1"/>
  <c r="AP158" i="31"/>
  <c r="AH158" i="31" s="1"/>
  <c r="AO158" i="31"/>
  <c r="AN158" i="31"/>
  <c r="AG158" i="31" s="1"/>
  <c r="AA158" i="31"/>
  <c r="X158" i="31"/>
  <c r="Y158" i="31" s="1"/>
  <c r="W158" i="31"/>
  <c r="AQ157" i="31"/>
  <c r="AU157" i="31" s="1"/>
  <c r="AP157" i="31"/>
  <c r="AO157" i="31"/>
  <c r="AN157" i="31"/>
  <c r="AG157" i="31" s="1"/>
  <c r="AH157" i="31"/>
  <c r="AJ157" i="31" s="1"/>
  <c r="AA157" i="31"/>
  <c r="X157" i="31"/>
  <c r="Y157" i="31" s="1"/>
  <c r="W157" i="31"/>
  <c r="AQ156" i="31"/>
  <c r="AT156" i="31" s="1"/>
  <c r="AP156" i="31"/>
  <c r="AO156" i="31"/>
  <c r="AN156" i="31"/>
  <c r="AG156" i="31" s="1"/>
  <c r="AH156" i="31"/>
  <c r="AA156" i="31"/>
  <c r="X156" i="31"/>
  <c r="Y156" i="31" s="1"/>
  <c r="W156" i="31"/>
  <c r="AQ155" i="31"/>
  <c r="AP155" i="31"/>
  <c r="AO155" i="31"/>
  <c r="AN155" i="31"/>
  <c r="AG155" i="31" s="1"/>
  <c r="AH155" i="31"/>
  <c r="AL155" i="31" s="1"/>
  <c r="AA155" i="31"/>
  <c r="X155" i="31"/>
  <c r="Z155" i="31" s="1"/>
  <c r="W155" i="31"/>
  <c r="AQ154" i="31"/>
  <c r="AU154" i="31" s="1"/>
  <c r="AP154" i="31"/>
  <c r="AO154" i="31"/>
  <c r="AN154" i="31"/>
  <c r="AG154" i="31" s="1"/>
  <c r="AH154" i="31"/>
  <c r="AA154" i="31"/>
  <c r="X154" i="31"/>
  <c r="Z154" i="31" s="1"/>
  <c r="W154" i="31"/>
  <c r="AQ153" i="31"/>
  <c r="AT153" i="31" s="1"/>
  <c r="AP153" i="31"/>
  <c r="AO153" i="31"/>
  <c r="AN153" i="31"/>
  <c r="AG153" i="31" s="1"/>
  <c r="AH153" i="31"/>
  <c r="AA153" i="31"/>
  <c r="X153" i="31"/>
  <c r="Z153" i="31" s="1"/>
  <c r="W153" i="31"/>
  <c r="AQ152" i="31"/>
  <c r="AP152" i="31"/>
  <c r="AO152" i="31"/>
  <c r="AN152" i="31"/>
  <c r="AG152" i="31" s="1"/>
  <c r="AH152" i="31"/>
  <c r="AA152" i="31"/>
  <c r="X152" i="31"/>
  <c r="Z152" i="31" s="1"/>
  <c r="W152" i="31"/>
  <c r="AQ151" i="31"/>
  <c r="AR151" i="31" s="1"/>
  <c r="AP151" i="31"/>
  <c r="AO151" i="31"/>
  <c r="AN151" i="31"/>
  <c r="AG151" i="31" s="1"/>
  <c r="AH151" i="31"/>
  <c r="AL151" i="31" s="1"/>
  <c r="AA151" i="31"/>
  <c r="X151" i="31"/>
  <c r="Y151" i="31" s="1"/>
  <c r="W151" i="31"/>
  <c r="AQ150" i="31"/>
  <c r="AP150" i="31"/>
  <c r="AO150" i="31"/>
  <c r="AN150" i="31"/>
  <c r="AG150" i="31" s="1"/>
  <c r="AH150" i="31"/>
  <c r="AI150" i="31" s="1"/>
  <c r="AA150" i="31"/>
  <c r="X150" i="31"/>
  <c r="Z150" i="31" s="1"/>
  <c r="W150" i="31"/>
  <c r="AQ149" i="31"/>
  <c r="AU149" i="31" s="1"/>
  <c r="AP149" i="31"/>
  <c r="AO149" i="31"/>
  <c r="AN149" i="31"/>
  <c r="AG149" i="31" s="1"/>
  <c r="AH149" i="31"/>
  <c r="AJ149" i="31" s="1"/>
  <c r="AA149" i="31"/>
  <c r="X149" i="31"/>
  <c r="Z149" i="31" s="1"/>
  <c r="W149" i="31"/>
  <c r="AQ148" i="31"/>
  <c r="AU148" i="31" s="1"/>
  <c r="AP148" i="31"/>
  <c r="AO148" i="31"/>
  <c r="AN148" i="31"/>
  <c r="AM148" i="31"/>
  <c r="AL148" i="31"/>
  <c r="AJ148" i="31"/>
  <c r="AI148" i="31"/>
  <c r="AH148" i="31"/>
  <c r="AG148" i="31"/>
  <c r="AA148" i="31"/>
  <c r="X148" i="31"/>
  <c r="Z148" i="31" s="1"/>
  <c r="W148" i="31"/>
  <c r="AQ147" i="31"/>
  <c r="AP147" i="31"/>
  <c r="AH147" i="31" s="1"/>
  <c r="AO147" i="31"/>
  <c r="AN147" i="31"/>
  <c r="AG147" i="31" s="1"/>
  <c r="AA147" i="31"/>
  <c r="X147" i="31"/>
  <c r="Z147" i="31" s="1"/>
  <c r="W147" i="31"/>
  <c r="AQ146" i="31"/>
  <c r="AS146" i="31" s="1"/>
  <c r="AP146" i="31"/>
  <c r="AO146" i="31"/>
  <c r="AN146" i="31"/>
  <c r="AG146" i="31" s="1"/>
  <c r="AH146" i="31"/>
  <c r="AA146" i="31"/>
  <c r="X146" i="31"/>
  <c r="Z146" i="31" s="1"/>
  <c r="W146" i="31"/>
  <c r="AQ145" i="31"/>
  <c r="AP145" i="31"/>
  <c r="AO145" i="31"/>
  <c r="AN145" i="31"/>
  <c r="AG145" i="31" s="1"/>
  <c r="AH145" i="31"/>
  <c r="AA145" i="31"/>
  <c r="X145" i="31"/>
  <c r="Y145" i="31" s="1"/>
  <c r="W145" i="31"/>
  <c r="V145" i="31"/>
  <c r="AQ144" i="31"/>
  <c r="AT144" i="31" s="1"/>
  <c r="AP144" i="31"/>
  <c r="AH144" i="31" s="1"/>
  <c r="AI144" i="31" s="1"/>
  <c r="AO144" i="31"/>
  <c r="AN144" i="31"/>
  <c r="AG144" i="31" s="1"/>
  <c r="AA144" i="31"/>
  <c r="AQ142" i="31"/>
  <c r="AR142" i="31" s="1"/>
  <c r="AP142" i="31"/>
  <c r="AO142" i="31"/>
  <c r="AN142" i="31"/>
  <c r="AM142" i="31"/>
  <c r="AL142" i="31"/>
  <c r="AJ142" i="31"/>
  <c r="AI142" i="31"/>
  <c r="AH142" i="31"/>
  <c r="AG142" i="31"/>
  <c r="AA142" i="31"/>
  <c r="X142" i="31"/>
  <c r="W142" i="31"/>
  <c r="AQ141" i="31"/>
  <c r="AU141" i="31" s="1"/>
  <c r="AP141" i="31"/>
  <c r="AO141" i="31"/>
  <c r="AN141" i="31"/>
  <c r="AG141" i="31" s="1"/>
  <c r="AH141" i="31"/>
  <c r="AL141" i="31" s="1"/>
  <c r="AA141" i="31"/>
  <c r="X141" i="31"/>
  <c r="Z141" i="31" s="1"/>
  <c r="W141" i="31"/>
  <c r="AQ140" i="31"/>
  <c r="AP140" i="31"/>
  <c r="AO140" i="31"/>
  <c r="AN140" i="31"/>
  <c r="AG140" i="31" s="1"/>
  <c r="AH140" i="31"/>
  <c r="AJ140" i="31" s="1"/>
  <c r="AA140" i="31"/>
  <c r="X140" i="31"/>
  <c r="Z140" i="31" s="1"/>
  <c r="W140" i="31"/>
  <c r="AQ139" i="31"/>
  <c r="AP139" i="31"/>
  <c r="AO139" i="31"/>
  <c r="AN139" i="31"/>
  <c r="AG139" i="31" s="1"/>
  <c r="AH139" i="31"/>
  <c r="AA139" i="31"/>
  <c r="X139" i="31"/>
  <c r="Z139" i="31" s="1"/>
  <c r="W139" i="31"/>
  <c r="AQ138" i="31"/>
  <c r="AT138" i="31" s="1"/>
  <c r="AP138" i="31"/>
  <c r="AO138" i="31"/>
  <c r="AN138" i="31"/>
  <c r="AG138" i="31" s="1"/>
  <c r="AH138" i="31"/>
  <c r="AA138" i="31"/>
  <c r="X138" i="31"/>
  <c r="Z138" i="31" s="1"/>
  <c r="W138" i="31"/>
  <c r="AQ137" i="31"/>
  <c r="AP137" i="31"/>
  <c r="AO137" i="31"/>
  <c r="AN137" i="31"/>
  <c r="AM137" i="31"/>
  <c r="AL137" i="31"/>
  <c r="AJ137" i="31"/>
  <c r="AI137" i="31"/>
  <c r="AH137" i="31"/>
  <c r="AG137" i="31"/>
  <c r="AA137" i="31"/>
  <c r="X137" i="31"/>
  <c r="W137" i="31"/>
  <c r="AQ136" i="31"/>
  <c r="AU136" i="31" s="1"/>
  <c r="AP136" i="31"/>
  <c r="AO136" i="31"/>
  <c r="AN136" i="31"/>
  <c r="AM136" i="31"/>
  <c r="AL136" i="31"/>
  <c r="AJ136" i="31"/>
  <c r="AI136" i="31"/>
  <c r="AH136" i="31"/>
  <c r="AG136" i="31"/>
  <c r="AA136" i="31"/>
  <c r="X136" i="31"/>
  <c r="W136" i="31"/>
  <c r="AQ135" i="31"/>
  <c r="AU135" i="31" s="1"/>
  <c r="AP135" i="31"/>
  <c r="AO135" i="31"/>
  <c r="AN135" i="31"/>
  <c r="AM135" i="31"/>
  <c r="AL135" i="31"/>
  <c r="AJ135" i="31"/>
  <c r="AI135" i="31"/>
  <c r="AH135" i="31"/>
  <c r="AG135" i="31"/>
  <c r="AA135" i="31"/>
  <c r="X135" i="31"/>
  <c r="Z135" i="31" s="1"/>
  <c r="W135" i="31"/>
  <c r="AQ134" i="31"/>
  <c r="AS134" i="31" s="1"/>
  <c r="AP134" i="31"/>
  <c r="AO134" i="31"/>
  <c r="AN134" i="31"/>
  <c r="AM134" i="31"/>
  <c r="AL134" i="31"/>
  <c r="AJ134" i="31"/>
  <c r="AI134" i="31"/>
  <c r="AH134" i="31"/>
  <c r="AG134" i="31"/>
  <c r="AA134" i="31"/>
  <c r="X134" i="31"/>
  <c r="Y134" i="31" s="1"/>
  <c r="W134" i="31"/>
  <c r="AQ133" i="31"/>
  <c r="AP133" i="31"/>
  <c r="AO133" i="31"/>
  <c r="AN133" i="31"/>
  <c r="AM133" i="31"/>
  <c r="AL133" i="31"/>
  <c r="AJ133" i="31"/>
  <c r="AI133" i="31"/>
  <c r="AH133" i="31"/>
  <c r="AG133" i="31"/>
  <c r="AA133" i="31"/>
  <c r="X133" i="31"/>
  <c r="Y133" i="31" s="1"/>
  <c r="W133" i="31"/>
  <c r="AQ132" i="31"/>
  <c r="AS132" i="31" s="1"/>
  <c r="AP132" i="31"/>
  <c r="AO132" i="31"/>
  <c r="AN132" i="31"/>
  <c r="AM132" i="31"/>
  <c r="AL132" i="31"/>
  <c r="AJ132" i="31"/>
  <c r="AI132" i="31"/>
  <c r="AH132" i="31"/>
  <c r="AG132" i="31"/>
  <c r="AA132" i="31"/>
  <c r="X132" i="31"/>
  <c r="Z132" i="31" s="1"/>
  <c r="W132" i="31"/>
  <c r="AQ131" i="31"/>
  <c r="AR131" i="31" s="1"/>
  <c r="AP131" i="31"/>
  <c r="AO131" i="31"/>
  <c r="AN131" i="31"/>
  <c r="AM131" i="31"/>
  <c r="AL131" i="31"/>
  <c r="AJ131" i="31"/>
  <c r="AI131" i="31"/>
  <c r="AH131" i="31"/>
  <c r="AG131" i="31"/>
  <c r="AA131" i="31"/>
  <c r="X131" i="31"/>
  <c r="Z131" i="31" s="1"/>
  <c r="W131" i="31"/>
  <c r="AQ130" i="31"/>
  <c r="AU130" i="31" s="1"/>
  <c r="AP130" i="31"/>
  <c r="AO130" i="31"/>
  <c r="AN130" i="31"/>
  <c r="AM130" i="31"/>
  <c r="AL130" i="31"/>
  <c r="AJ130" i="31"/>
  <c r="AI130" i="31"/>
  <c r="AH130" i="31"/>
  <c r="AG130" i="31"/>
  <c r="AA130" i="31"/>
  <c r="X130" i="31"/>
  <c r="Y130" i="31" s="1"/>
  <c r="W130" i="31"/>
  <c r="AQ129" i="31"/>
  <c r="AU129" i="31" s="1"/>
  <c r="AP129" i="31"/>
  <c r="AO129" i="31"/>
  <c r="AN129" i="31"/>
  <c r="AM129" i="31"/>
  <c r="AL129" i="31"/>
  <c r="AJ129" i="31"/>
  <c r="AI129" i="31"/>
  <c r="AH129" i="31"/>
  <c r="AG129" i="31"/>
  <c r="AA129" i="31"/>
  <c r="X129" i="31"/>
  <c r="Z129" i="31" s="1"/>
  <c r="W129" i="31"/>
  <c r="AQ128" i="31"/>
  <c r="AP128" i="31"/>
  <c r="AO128" i="31"/>
  <c r="AN128" i="31"/>
  <c r="AM128" i="31"/>
  <c r="AL128" i="31"/>
  <c r="AJ128" i="31"/>
  <c r="AI128" i="31"/>
  <c r="AH128" i="31"/>
  <c r="AG128" i="31"/>
  <c r="AA128" i="31"/>
  <c r="X128" i="31"/>
  <c r="Z128" i="31" s="1"/>
  <c r="W128" i="31"/>
  <c r="AQ127" i="31"/>
  <c r="AR127" i="31" s="1"/>
  <c r="AP127" i="31"/>
  <c r="AO127" i="31"/>
  <c r="AN127" i="31"/>
  <c r="AM127" i="31"/>
  <c r="AL127" i="31"/>
  <c r="AJ127" i="31"/>
  <c r="AI127" i="31"/>
  <c r="AH127" i="31"/>
  <c r="AG127" i="31"/>
  <c r="AA127" i="31"/>
  <c r="X127" i="31"/>
  <c r="Y127" i="31" s="1"/>
  <c r="W127" i="31"/>
  <c r="AQ126" i="31"/>
  <c r="AR126" i="31" s="1"/>
  <c r="AP126" i="31"/>
  <c r="AO126" i="31"/>
  <c r="AN126" i="31"/>
  <c r="AM126" i="31"/>
  <c r="AL126" i="31"/>
  <c r="AJ126" i="31"/>
  <c r="AI126" i="31"/>
  <c r="AH126" i="31"/>
  <c r="AG126" i="31"/>
  <c r="AA126" i="31"/>
  <c r="X126" i="31"/>
  <c r="Y126" i="31" s="1"/>
  <c r="W126" i="31"/>
  <c r="AQ125" i="31"/>
  <c r="AR125" i="31" s="1"/>
  <c r="AP125" i="31"/>
  <c r="AO125" i="31"/>
  <c r="AN125" i="31"/>
  <c r="AM125" i="31"/>
  <c r="AL125" i="31"/>
  <c r="AJ125" i="31"/>
  <c r="AI125" i="31"/>
  <c r="AH125" i="31"/>
  <c r="AG125" i="31"/>
  <c r="AA125" i="31"/>
  <c r="X125" i="31"/>
  <c r="Z125" i="31" s="1"/>
  <c r="W125" i="31"/>
  <c r="AQ124" i="31"/>
  <c r="AS124" i="31" s="1"/>
  <c r="AP124" i="31"/>
  <c r="AO124" i="31"/>
  <c r="AN124" i="31"/>
  <c r="AM124" i="31"/>
  <c r="AL124" i="31"/>
  <c r="AJ124" i="31"/>
  <c r="AI124" i="31"/>
  <c r="AH124" i="31"/>
  <c r="AG124" i="31"/>
  <c r="AA124" i="31"/>
  <c r="X124" i="31"/>
  <c r="Y124" i="31" s="1"/>
  <c r="W124" i="31"/>
  <c r="AQ123" i="31"/>
  <c r="AP123" i="31"/>
  <c r="AO123" i="31"/>
  <c r="AN123" i="31"/>
  <c r="AM123" i="31"/>
  <c r="AL123" i="31"/>
  <c r="AJ123" i="31"/>
  <c r="AI123" i="31"/>
  <c r="AH123" i="31"/>
  <c r="AG123" i="31"/>
  <c r="AA123" i="31"/>
  <c r="X123" i="31"/>
  <c r="Z123" i="31" s="1"/>
  <c r="W123" i="31"/>
  <c r="AQ122" i="31"/>
  <c r="AU122" i="31" s="1"/>
  <c r="AP122" i="31"/>
  <c r="AO122" i="31"/>
  <c r="AN122" i="31"/>
  <c r="AM122" i="31"/>
  <c r="AL122" i="31"/>
  <c r="AJ122" i="31"/>
  <c r="AI122" i="31"/>
  <c r="AH122" i="31"/>
  <c r="AG122" i="31"/>
  <c r="AA122" i="31"/>
  <c r="X122" i="31"/>
  <c r="Z122" i="31" s="1"/>
  <c r="W122" i="31"/>
  <c r="AQ121" i="31"/>
  <c r="AT121" i="31" s="1"/>
  <c r="AP121" i="31"/>
  <c r="AO121" i="31"/>
  <c r="AN121" i="31"/>
  <c r="AM121" i="31"/>
  <c r="AL121" i="31"/>
  <c r="AJ121" i="31"/>
  <c r="AI121" i="31"/>
  <c r="AH121" i="31"/>
  <c r="AG121" i="31"/>
  <c r="AA121" i="31"/>
  <c r="X121" i="31"/>
  <c r="Z121" i="31" s="1"/>
  <c r="W121" i="31"/>
  <c r="BB120" i="31"/>
  <c r="AQ120" i="31"/>
  <c r="AT120" i="31" s="1"/>
  <c r="AP120" i="31"/>
  <c r="AO120" i="31"/>
  <c r="AN120" i="31"/>
  <c r="AM120" i="31"/>
  <c r="AL120" i="31"/>
  <c r="AJ120" i="31"/>
  <c r="AI120" i="31"/>
  <c r="AH120" i="31"/>
  <c r="AG120" i="31"/>
  <c r="AA120" i="31"/>
  <c r="X120" i="31"/>
  <c r="Y120" i="31" s="1"/>
  <c r="W120" i="31"/>
  <c r="AQ119" i="31"/>
  <c r="AS119" i="31" s="1"/>
  <c r="AP119" i="31"/>
  <c r="AO119" i="31"/>
  <c r="AN119" i="31"/>
  <c r="AM119" i="31"/>
  <c r="AL119" i="31"/>
  <c r="AJ119" i="31"/>
  <c r="AI119" i="31"/>
  <c r="AH119" i="31"/>
  <c r="AG119" i="31"/>
  <c r="AA119" i="31"/>
  <c r="X119" i="31"/>
  <c r="W119" i="31"/>
  <c r="AQ118" i="31"/>
  <c r="AT118" i="31" s="1"/>
  <c r="AP118" i="31"/>
  <c r="AO118" i="31"/>
  <c r="AN118" i="31"/>
  <c r="AM118" i="31"/>
  <c r="AL118" i="31"/>
  <c r="AJ118" i="31"/>
  <c r="AI118" i="31"/>
  <c r="AH118" i="31"/>
  <c r="AG118" i="31"/>
  <c r="AA118" i="31"/>
  <c r="X118" i="31"/>
  <c r="Z118" i="31" s="1"/>
  <c r="W118" i="31"/>
  <c r="AQ117" i="31"/>
  <c r="AP117" i="31"/>
  <c r="AO117" i="31"/>
  <c r="AN117" i="31"/>
  <c r="AM117" i="31"/>
  <c r="AL117" i="31"/>
  <c r="AJ117" i="31"/>
  <c r="AI117" i="31"/>
  <c r="AH117" i="31"/>
  <c r="AG117" i="31"/>
  <c r="AA117" i="31"/>
  <c r="X117" i="31"/>
  <c r="Z117" i="31" s="1"/>
  <c r="W117" i="31"/>
  <c r="AQ116" i="31"/>
  <c r="AU116" i="31" s="1"/>
  <c r="AP116" i="31"/>
  <c r="AO116" i="31"/>
  <c r="AN116" i="31"/>
  <c r="AM116" i="31"/>
  <c r="AL116" i="31"/>
  <c r="AJ116" i="31"/>
  <c r="AI116" i="31"/>
  <c r="AH116" i="31"/>
  <c r="AG116" i="31"/>
  <c r="AA116" i="31"/>
  <c r="X116" i="31"/>
  <c r="W116" i="31"/>
  <c r="AQ115" i="31"/>
  <c r="AP115" i="31"/>
  <c r="AO115" i="31"/>
  <c r="AN115" i="31"/>
  <c r="AM115" i="31"/>
  <c r="AL115" i="31"/>
  <c r="AJ115" i="31"/>
  <c r="AI115" i="31"/>
  <c r="AH115" i="31"/>
  <c r="AG115" i="31"/>
  <c r="AA115" i="31"/>
  <c r="X115" i="31"/>
  <c r="W115" i="31"/>
  <c r="AQ114" i="31"/>
  <c r="AR114" i="31" s="1"/>
  <c r="AP114" i="31"/>
  <c r="AO114" i="31"/>
  <c r="AN114" i="31"/>
  <c r="AG114" i="31" s="1"/>
  <c r="AH114" i="31"/>
  <c r="AA114" i="31"/>
  <c r="X114" i="31"/>
  <c r="Z114" i="31" s="1"/>
  <c r="W114" i="31"/>
  <c r="AQ113" i="31"/>
  <c r="AT113" i="31" s="1"/>
  <c r="AP113" i="31"/>
  <c r="AH113" i="31" s="1"/>
  <c r="AJ113" i="31" s="1"/>
  <c r="AO113" i="31"/>
  <c r="AN113" i="31"/>
  <c r="AG113" i="31" s="1"/>
  <c r="AA113" i="31"/>
  <c r="X113" i="31"/>
  <c r="Y113" i="31" s="1"/>
  <c r="W113" i="31"/>
  <c r="AQ112" i="31"/>
  <c r="AT112" i="31" s="1"/>
  <c r="AP112" i="31"/>
  <c r="AH112" i="31" s="1"/>
  <c r="AL112" i="31" s="1"/>
  <c r="AO112" i="31"/>
  <c r="AN112" i="31"/>
  <c r="AG112" i="31" s="1"/>
  <c r="AA112" i="31"/>
  <c r="X112" i="31"/>
  <c r="Z112" i="31" s="1"/>
  <c r="W112" i="31"/>
  <c r="AQ111" i="31"/>
  <c r="AS111" i="31" s="1"/>
  <c r="AP111" i="31"/>
  <c r="AO111" i="31"/>
  <c r="AN111" i="31"/>
  <c r="AG111" i="31" s="1"/>
  <c r="AH111" i="31"/>
  <c r="AL111" i="31" s="1"/>
  <c r="AA111" i="31"/>
  <c r="X111" i="31"/>
  <c r="W111" i="31"/>
  <c r="AQ110" i="31"/>
  <c r="AS110" i="31" s="1"/>
  <c r="AP110" i="31"/>
  <c r="AO110" i="31"/>
  <c r="AN110" i="31"/>
  <c r="AG110" i="31" s="1"/>
  <c r="AH110" i="31"/>
  <c r="AL110" i="31" s="1"/>
  <c r="AA110" i="31"/>
  <c r="X110" i="31"/>
  <c r="Z110" i="31" s="1"/>
  <c r="W110" i="31"/>
  <c r="AQ109" i="31"/>
  <c r="AR109" i="31" s="1"/>
  <c r="AP109" i="31"/>
  <c r="AO109" i="31"/>
  <c r="AN109" i="31"/>
  <c r="AG109" i="31" s="1"/>
  <c r="AH109" i="31"/>
  <c r="AL109" i="31" s="1"/>
  <c r="AA109" i="31"/>
  <c r="X109" i="31"/>
  <c r="Z109" i="31" s="1"/>
  <c r="W109" i="31"/>
  <c r="V109" i="31"/>
  <c r="AQ108" i="31"/>
  <c r="AS108" i="31" s="1"/>
  <c r="AP108" i="31"/>
  <c r="AH108" i="31" s="1"/>
  <c r="AL108" i="31" s="1"/>
  <c r="O7" i="31" s="1"/>
  <c r="AO108" i="31"/>
  <c r="AN108" i="31"/>
  <c r="AG108" i="31" s="1"/>
  <c r="AQ106" i="31"/>
  <c r="AT106" i="31" s="1"/>
  <c r="AP106" i="31"/>
  <c r="AO106" i="31"/>
  <c r="AN106" i="31"/>
  <c r="AM106" i="31"/>
  <c r="AL106" i="31"/>
  <c r="AJ106" i="31"/>
  <c r="AI106" i="31"/>
  <c r="AH106" i="31"/>
  <c r="AG106" i="31"/>
  <c r="AA106" i="31"/>
  <c r="X106" i="31"/>
  <c r="Z106" i="31" s="1"/>
  <c r="W106" i="31"/>
  <c r="AQ105" i="31"/>
  <c r="AR105" i="31" s="1"/>
  <c r="AP105" i="31"/>
  <c r="AO105" i="31"/>
  <c r="AN105" i="31"/>
  <c r="AG105" i="31" s="1"/>
  <c r="AH105" i="31"/>
  <c r="AA105" i="31"/>
  <c r="X105" i="31"/>
  <c r="W105" i="31"/>
  <c r="AQ104" i="31"/>
  <c r="AP104" i="31"/>
  <c r="AO104" i="31"/>
  <c r="AN104" i="31"/>
  <c r="AG104" i="31" s="1"/>
  <c r="AH104" i="31"/>
  <c r="AA104" i="31"/>
  <c r="X104" i="31"/>
  <c r="Z104" i="31" s="1"/>
  <c r="W104" i="31"/>
  <c r="AQ103" i="31"/>
  <c r="AU103" i="31" s="1"/>
  <c r="AP103" i="31"/>
  <c r="AO103" i="31"/>
  <c r="AN103" i="31"/>
  <c r="AG103" i="31" s="1"/>
  <c r="AH103" i="31"/>
  <c r="AA103" i="31"/>
  <c r="X103" i="31"/>
  <c r="W103" i="31"/>
  <c r="AQ102" i="31"/>
  <c r="AU102" i="31" s="1"/>
  <c r="AP102" i="31"/>
  <c r="AH102" i="31" s="1"/>
  <c r="AO102" i="31"/>
  <c r="AN102" i="31"/>
  <c r="AG102" i="31" s="1"/>
  <c r="AA102" i="31"/>
  <c r="X102" i="31"/>
  <c r="Z102" i="31" s="1"/>
  <c r="W102" i="31"/>
  <c r="AQ101" i="31"/>
  <c r="AR101" i="31" s="1"/>
  <c r="AP101" i="31"/>
  <c r="AO101" i="31"/>
  <c r="AN101" i="31"/>
  <c r="AM101" i="31"/>
  <c r="AL101" i="31"/>
  <c r="AJ101" i="31"/>
  <c r="AI101" i="31"/>
  <c r="AH101" i="31"/>
  <c r="AG101" i="31"/>
  <c r="AA101" i="31"/>
  <c r="X101" i="31"/>
  <c r="W101" i="31"/>
  <c r="AQ100" i="31"/>
  <c r="AT100" i="31" s="1"/>
  <c r="AP100" i="31"/>
  <c r="AO100" i="31"/>
  <c r="AN100" i="31"/>
  <c r="AM100" i="31"/>
  <c r="AL100" i="31"/>
  <c r="AJ100" i="31"/>
  <c r="AI100" i="31"/>
  <c r="AH100" i="31"/>
  <c r="AG100" i="31"/>
  <c r="AA100" i="31"/>
  <c r="X100" i="31"/>
  <c r="Z100" i="31" s="1"/>
  <c r="W100" i="31"/>
  <c r="AQ99" i="31"/>
  <c r="AP99" i="31"/>
  <c r="AO99" i="31"/>
  <c r="AN99" i="31"/>
  <c r="AM99" i="31"/>
  <c r="AL99" i="31"/>
  <c r="AJ99" i="31"/>
  <c r="AI99" i="31"/>
  <c r="AH99" i="31"/>
  <c r="AG99" i="31"/>
  <c r="AA99" i="31"/>
  <c r="X99" i="31"/>
  <c r="Z99" i="31" s="1"/>
  <c r="W99" i="31"/>
  <c r="AQ98" i="31"/>
  <c r="AR98" i="31" s="1"/>
  <c r="AP98" i="31"/>
  <c r="AO98" i="31"/>
  <c r="AN98" i="31"/>
  <c r="AM98" i="31"/>
  <c r="AL98" i="31"/>
  <c r="AJ98" i="31"/>
  <c r="AI98" i="31"/>
  <c r="AH98" i="31"/>
  <c r="AG98" i="31"/>
  <c r="AA98" i="31"/>
  <c r="X98" i="31"/>
  <c r="W98" i="31"/>
  <c r="AQ97" i="31"/>
  <c r="AP97" i="31"/>
  <c r="AO97" i="31"/>
  <c r="AN97" i="31"/>
  <c r="AM97" i="31"/>
  <c r="AL97" i="31"/>
  <c r="AJ97" i="31"/>
  <c r="AI97" i="31"/>
  <c r="AH97" i="31"/>
  <c r="AG97" i="31"/>
  <c r="AA97" i="31"/>
  <c r="X97" i="31"/>
  <c r="W97" i="31"/>
  <c r="AQ96" i="31"/>
  <c r="AU96" i="31" s="1"/>
  <c r="AP96" i="31"/>
  <c r="AO96" i="31"/>
  <c r="AN96" i="31"/>
  <c r="AM96" i="31"/>
  <c r="AL96" i="31"/>
  <c r="AJ96" i="31"/>
  <c r="AI96" i="31"/>
  <c r="AH96" i="31"/>
  <c r="AG96" i="31"/>
  <c r="AA96" i="31"/>
  <c r="X96" i="31"/>
  <c r="Z96" i="31" s="1"/>
  <c r="W96" i="31"/>
  <c r="AQ95" i="31"/>
  <c r="AT95" i="31" s="1"/>
  <c r="AP95" i="31"/>
  <c r="AO95" i="31"/>
  <c r="AN95" i="31"/>
  <c r="AM95" i="31"/>
  <c r="AL95" i="31"/>
  <c r="AJ95" i="31"/>
  <c r="AI95" i="31"/>
  <c r="AH95" i="31"/>
  <c r="AG95" i="31"/>
  <c r="AA95" i="31"/>
  <c r="X95" i="31"/>
  <c r="Y95" i="31" s="1"/>
  <c r="W95" i="31"/>
  <c r="AQ94" i="31"/>
  <c r="AU94" i="31" s="1"/>
  <c r="AP94" i="31"/>
  <c r="AO94" i="31"/>
  <c r="AN94" i="31"/>
  <c r="AM94" i="31"/>
  <c r="AL94" i="31"/>
  <c r="AJ94" i="31"/>
  <c r="AI94" i="31"/>
  <c r="AH94" i="31"/>
  <c r="AG94" i="31"/>
  <c r="AA94" i="31"/>
  <c r="X94" i="31"/>
  <c r="Z94" i="31" s="1"/>
  <c r="W94" i="31"/>
  <c r="AQ93" i="31"/>
  <c r="AR93" i="31" s="1"/>
  <c r="AP93" i="31"/>
  <c r="AO93" i="31"/>
  <c r="AN93" i="31"/>
  <c r="AM93" i="31"/>
  <c r="AL93" i="31"/>
  <c r="AJ93" i="31"/>
  <c r="AI93" i="31"/>
  <c r="AH93" i="31"/>
  <c r="AG93" i="31"/>
  <c r="AA93" i="31"/>
  <c r="X93" i="31"/>
  <c r="W93" i="31"/>
  <c r="AQ92" i="31"/>
  <c r="AU92" i="31" s="1"/>
  <c r="AP92" i="31"/>
  <c r="AO92" i="31"/>
  <c r="AN92" i="31"/>
  <c r="AM92" i="31"/>
  <c r="AL92" i="31"/>
  <c r="AJ92" i="31"/>
  <c r="AI92" i="31"/>
  <c r="AH92" i="31"/>
  <c r="AG92" i="31"/>
  <c r="AA92" i="31"/>
  <c r="X92" i="31"/>
  <c r="W92" i="31"/>
  <c r="AQ91" i="31"/>
  <c r="AR91" i="31" s="1"/>
  <c r="AP91" i="31"/>
  <c r="AO91" i="31"/>
  <c r="AN91" i="31"/>
  <c r="AM91" i="31"/>
  <c r="AL91" i="31"/>
  <c r="AJ91" i="31"/>
  <c r="AI91" i="31"/>
  <c r="AH91" i="31"/>
  <c r="AG91" i="31"/>
  <c r="AA91" i="31"/>
  <c r="X91" i="31"/>
  <c r="Z91" i="31" s="1"/>
  <c r="W91" i="31"/>
  <c r="AQ90" i="31"/>
  <c r="AU90" i="31" s="1"/>
  <c r="AP90" i="31"/>
  <c r="AO90" i="31"/>
  <c r="AN90" i="31"/>
  <c r="AM90" i="31"/>
  <c r="AL90" i="31"/>
  <c r="AJ90" i="31"/>
  <c r="AI90" i="31"/>
  <c r="AH90" i="31"/>
  <c r="AG90" i="31"/>
  <c r="AA90" i="31"/>
  <c r="X90" i="31"/>
  <c r="Z90" i="31" s="1"/>
  <c r="W90" i="31"/>
  <c r="AQ89" i="31"/>
  <c r="AR89" i="31" s="1"/>
  <c r="AP89" i="31"/>
  <c r="AO89" i="31"/>
  <c r="AN89" i="31"/>
  <c r="AM89" i="31"/>
  <c r="AL89" i="31"/>
  <c r="AJ89" i="31"/>
  <c r="AI89" i="31"/>
  <c r="AH89" i="31"/>
  <c r="AG89" i="31"/>
  <c r="AA89" i="31"/>
  <c r="X89" i="31"/>
  <c r="W89" i="31"/>
  <c r="AQ88" i="31"/>
  <c r="AU88" i="31" s="1"/>
  <c r="AP88" i="31"/>
  <c r="AO88" i="31"/>
  <c r="AN88" i="31"/>
  <c r="AM88" i="31"/>
  <c r="AL88" i="31"/>
  <c r="AJ88" i="31"/>
  <c r="AI88" i="31"/>
  <c r="AH88" i="31"/>
  <c r="AG88" i="31"/>
  <c r="AA88" i="31"/>
  <c r="X88" i="31"/>
  <c r="Z88" i="31" s="1"/>
  <c r="W88" i="31"/>
  <c r="AQ87" i="31"/>
  <c r="AT87" i="31" s="1"/>
  <c r="AP87" i="31"/>
  <c r="AO87" i="31"/>
  <c r="AN87" i="31"/>
  <c r="AM87" i="31"/>
  <c r="AL87" i="31"/>
  <c r="AJ87" i="31"/>
  <c r="AI87" i="31"/>
  <c r="AH87" i="31"/>
  <c r="AG87" i="31"/>
  <c r="AA87" i="31"/>
  <c r="X87" i="31"/>
  <c r="Y87" i="31" s="1"/>
  <c r="W87" i="31"/>
  <c r="AQ86" i="31"/>
  <c r="AU86" i="31" s="1"/>
  <c r="AP86" i="31"/>
  <c r="AO86" i="31"/>
  <c r="AN86" i="31"/>
  <c r="AM86" i="31"/>
  <c r="AL86" i="31"/>
  <c r="AJ86" i="31"/>
  <c r="AI86" i="31"/>
  <c r="AH86" i="31"/>
  <c r="AG86" i="31"/>
  <c r="AA86" i="31"/>
  <c r="X86" i="31"/>
  <c r="Z86" i="31" s="1"/>
  <c r="W86" i="31"/>
  <c r="AQ85" i="31"/>
  <c r="AS85" i="31" s="1"/>
  <c r="AP85" i="31"/>
  <c r="AO85" i="31"/>
  <c r="AN85" i="31"/>
  <c r="AM85" i="31"/>
  <c r="AL85" i="31"/>
  <c r="AJ85" i="31"/>
  <c r="AI85" i="31"/>
  <c r="AH85" i="31"/>
  <c r="AG85" i="31"/>
  <c r="AA85" i="31"/>
  <c r="X85" i="31"/>
  <c r="W85" i="31"/>
  <c r="AQ84" i="31"/>
  <c r="AT84" i="31" s="1"/>
  <c r="AP84" i="31"/>
  <c r="AO84" i="31"/>
  <c r="AN84" i="31"/>
  <c r="AM84" i="31"/>
  <c r="AL84" i="31"/>
  <c r="AJ84" i="31"/>
  <c r="AI84" i="31"/>
  <c r="AH84" i="31"/>
  <c r="AG84" i="31"/>
  <c r="AA84" i="31"/>
  <c r="X84" i="31"/>
  <c r="Z84" i="31" s="1"/>
  <c r="W84" i="31"/>
  <c r="AQ83" i="31"/>
  <c r="AP83" i="31"/>
  <c r="AO83" i="31"/>
  <c r="AN83" i="31"/>
  <c r="AM83" i="31"/>
  <c r="AL83" i="31"/>
  <c r="AJ83" i="31"/>
  <c r="AI83" i="31"/>
  <c r="AH83" i="31"/>
  <c r="AG83" i="31"/>
  <c r="AA83" i="31"/>
  <c r="X83" i="31"/>
  <c r="Z83" i="31" s="1"/>
  <c r="W83" i="31"/>
  <c r="AQ82" i="31"/>
  <c r="AU82" i="31" s="1"/>
  <c r="AP82" i="31"/>
  <c r="AO82" i="31"/>
  <c r="AN82" i="31"/>
  <c r="AM82" i="31"/>
  <c r="AL82" i="31"/>
  <c r="AJ82" i="31"/>
  <c r="AI82" i="31"/>
  <c r="AH82" i="31"/>
  <c r="AG82" i="31"/>
  <c r="AA82" i="31"/>
  <c r="X82" i="31"/>
  <c r="Y82" i="31" s="1"/>
  <c r="W82" i="31"/>
  <c r="AQ81" i="31"/>
  <c r="AR81" i="31" s="1"/>
  <c r="AP81" i="31"/>
  <c r="AO81" i="31"/>
  <c r="AN81" i="31"/>
  <c r="AM81" i="31"/>
  <c r="AL81" i="31"/>
  <c r="AJ81" i="31"/>
  <c r="AI81" i="31"/>
  <c r="AH81" i="31"/>
  <c r="AG81" i="31"/>
  <c r="AA81" i="31"/>
  <c r="X81" i="31"/>
  <c r="W81" i="31"/>
  <c r="AQ80" i="31"/>
  <c r="AR80" i="31" s="1"/>
  <c r="AP80" i="31"/>
  <c r="AO80" i="31"/>
  <c r="AN80" i="31"/>
  <c r="AM80" i="31"/>
  <c r="AL80" i="31"/>
  <c r="AJ80" i="31"/>
  <c r="AI80" i="31"/>
  <c r="AH80" i="31"/>
  <c r="AG80" i="31"/>
  <c r="AA80" i="31"/>
  <c r="X80" i="31"/>
  <c r="Y80" i="31" s="1"/>
  <c r="W80" i="31"/>
  <c r="AQ79" i="31"/>
  <c r="AP79" i="31"/>
  <c r="AO79" i="31"/>
  <c r="AN79" i="31"/>
  <c r="AM79" i="31"/>
  <c r="AL79" i="31"/>
  <c r="AJ79" i="31"/>
  <c r="AI79" i="31"/>
  <c r="AH79" i="31"/>
  <c r="AG79" i="31"/>
  <c r="AA79" i="31"/>
  <c r="X79" i="31"/>
  <c r="Y79" i="31" s="1"/>
  <c r="W79" i="31"/>
  <c r="AQ78" i="31"/>
  <c r="AU78" i="31" s="1"/>
  <c r="AP78" i="31"/>
  <c r="AO78" i="31"/>
  <c r="AN78" i="31"/>
  <c r="AM78" i="31"/>
  <c r="AL78" i="31"/>
  <c r="AJ78" i="31"/>
  <c r="AI78" i="31"/>
  <c r="AH78" i="31"/>
  <c r="AG78" i="31"/>
  <c r="AA78" i="31"/>
  <c r="X78" i="31"/>
  <c r="Y78" i="31" s="1"/>
  <c r="W78" i="31"/>
  <c r="AQ77" i="31"/>
  <c r="AS77" i="31" s="1"/>
  <c r="AP77" i="31"/>
  <c r="AO77" i="31"/>
  <c r="AN77" i="31"/>
  <c r="AG77" i="31" s="1"/>
  <c r="AH77" i="31"/>
  <c r="AA77" i="31"/>
  <c r="X77" i="31"/>
  <c r="W77" i="31"/>
  <c r="AQ76" i="31"/>
  <c r="AU76" i="31" s="1"/>
  <c r="AP76" i="31"/>
  <c r="AO76" i="31"/>
  <c r="AN76" i="31"/>
  <c r="AG76" i="31" s="1"/>
  <c r="AH76" i="31"/>
  <c r="AL76" i="31" s="1"/>
  <c r="AA76" i="31"/>
  <c r="X76" i="31"/>
  <c r="Z76" i="31" s="1"/>
  <c r="W76" i="31"/>
  <c r="AQ75" i="31"/>
  <c r="AS75" i="31" s="1"/>
  <c r="AP75" i="31"/>
  <c r="AO75" i="31"/>
  <c r="AN75" i="31"/>
  <c r="AG75" i="31" s="1"/>
  <c r="AH75" i="31"/>
  <c r="AL75" i="31" s="1"/>
  <c r="AA75" i="31"/>
  <c r="X75" i="31"/>
  <c r="Z75" i="31" s="1"/>
  <c r="W75" i="31"/>
  <c r="AQ74" i="31"/>
  <c r="AU74" i="31" s="1"/>
  <c r="AP74" i="31"/>
  <c r="AO74" i="31"/>
  <c r="AN74" i="31"/>
  <c r="AG74" i="31" s="1"/>
  <c r="AH74" i="31"/>
  <c r="AA74" i="31"/>
  <c r="X74" i="31"/>
  <c r="Z74" i="31" s="1"/>
  <c r="W74" i="31"/>
  <c r="AQ73" i="31"/>
  <c r="AP73" i="31"/>
  <c r="AO73" i="31"/>
  <c r="AN73" i="31"/>
  <c r="AG73" i="31" s="1"/>
  <c r="AH73" i="31"/>
  <c r="AA73" i="31"/>
  <c r="X73" i="31"/>
  <c r="W73" i="31"/>
  <c r="V73" i="31"/>
  <c r="AQ72" i="31"/>
  <c r="AR72" i="31" s="1"/>
  <c r="AP72" i="31"/>
  <c r="AH72" i="31" s="1"/>
  <c r="AO72" i="31"/>
  <c r="AN72" i="31"/>
  <c r="AG72" i="31" s="1"/>
  <c r="AA72" i="31"/>
  <c r="AY70" i="31"/>
  <c r="AU69" i="31"/>
  <c r="AT69" i="31"/>
  <c r="AS69" i="31"/>
  <c r="AR69" i="31"/>
  <c r="AQ69" i="31"/>
  <c r="AP69" i="31"/>
  <c r="AO69" i="31"/>
  <c r="AN69" i="31"/>
  <c r="AM69" i="31"/>
  <c r="AF69" i="31"/>
  <c r="AE69" i="31"/>
  <c r="AD69" i="31"/>
  <c r="AC69" i="31"/>
  <c r="AB69" i="31"/>
  <c r="AA69" i="31"/>
  <c r="Z69" i="31"/>
  <c r="Y69" i="31"/>
  <c r="X69" i="31"/>
  <c r="W69" i="31"/>
  <c r="V69" i="31"/>
  <c r="T69" i="31"/>
  <c r="R69" i="31"/>
  <c r="AB67" i="31"/>
  <c r="B64" i="31" a="1"/>
  <c r="B64" i="31" s="1"/>
  <c r="B56" i="31" a="1"/>
  <c r="B56" i="31" s="1"/>
  <c r="B55" i="31" a="1"/>
  <c r="B55" i="31" s="1"/>
  <c r="B54" i="31" a="1"/>
  <c r="B54" i="31" s="1"/>
  <c r="B53" i="31" a="1"/>
  <c r="B53" i="31" s="1"/>
  <c r="B52" i="31" a="1"/>
  <c r="B52" i="31" s="1"/>
  <c r="B51" i="31" a="1"/>
  <c r="B51" i="31" s="1"/>
  <c r="B50" i="31" a="1"/>
  <c r="B50" i="31" s="1"/>
  <c r="B49" i="31" a="1"/>
  <c r="B49" i="31" s="1"/>
  <c r="B48" i="31" a="1"/>
  <c r="B48" i="31" s="1"/>
  <c r="B47" i="31" a="1"/>
  <c r="B47" i="31" s="1"/>
  <c r="B46" i="31" a="1"/>
  <c r="B46" i="31" s="1"/>
  <c r="B45" i="31" a="1"/>
  <c r="B45" i="31" s="1"/>
  <c r="B44" i="31" a="1"/>
  <c r="B44" i="31" s="1"/>
  <c r="B43" i="31" a="1"/>
  <c r="B43" i="31" s="1"/>
  <c r="B42" i="31" a="1"/>
  <c r="B42" i="31" s="1"/>
  <c r="B41" i="31" a="1"/>
  <c r="B41" i="31" s="1"/>
  <c r="B40" i="31" a="1"/>
  <c r="B40" i="31" s="1"/>
  <c r="B39" i="31" a="1"/>
  <c r="B39" i="31" s="1"/>
  <c r="B38" i="31" a="1"/>
  <c r="B38" i="31" s="1"/>
  <c r="B37" i="31" a="1"/>
  <c r="B37" i="31" s="1"/>
  <c r="B36" i="31" a="1"/>
  <c r="B36" i="31" s="1"/>
  <c r="B35" i="31" a="1"/>
  <c r="B35" i="31" s="1"/>
  <c r="B34" i="31" a="1"/>
  <c r="B34" i="31" s="1"/>
  <c r="B33" i="31" a="1"/>
  <c r="B33" i="31" s="1"/>
  <c r="B32" i="31" a="1"/>
  <c r="B32" i="31" s="1"/>
  <c r="B31" i="31" a="1"/>
  <c r="B31" i="31" s="1"/>
  <c r="B30" i="31" a="1"/>
  <c r="B30" i="31" s="1"/>
  <c r="B29" i="31" a="1"/>
  <c r="B29" i="31" s="1"/>
  <c r="B28" i="31" a="1"/>
  <c r="B28" i="31" s="1"/>
  <c r="B27" i="31" a="1"/>
  <c r="B27" i="31" s="1"/>
  <c r="B26" i="31" a="1"/>
  <c r="B26" i="31" s="1"/>
  <c r="B25" i="31" a="1"/>
  <c r="B25" i="31" s="1"/>
  <c r="B24" i="31" a="1"/>
  <c r="B24" i="31" s="1"/>
  <c r="B23" i="31" a="1"/>
  <c r="B23" i="31" s="1"/>
  <c r="B22" i="31" a="1"/>
  <c r="B22" i="31" s="1"/>
  <c r="G20" i="31"/>
  <c r="B16" i="31"/>
  <c r="Q15" i="31"/>
  <c r="P15" i="31"/>
  <c r="M15" i="31"/>
  <c r="L15" i="31"/>
  <c r="K15" i="31"/>
  <c r="Q14" i="31"/>
  <c r="P14" i="31"/>
  <c r="M14" i="31"/>
  <c r="L14" i="31"/>
  <c r="K14" i="31"/>
  <c r="Q13" i="31"/>
  <c r="P13" i="31"/>
  <c r="M13" i="31"/>
  <c r="L13" i="31"/>
  <c r="K13" i="31"/>
  <c r="Q12" i="31"/>
  <c r="P12" i="31"/>
  <c r="M12" i="31"/>
  <c r="L12" i="31"/>
  <c r="K12" i="31"/>
  <c r="Q11" i="31"/>
  <c r="P11" i="31"/>
  <c r="M11" i="31"/>
  <c r="L11" i="31"/>
  <c r="K11" i="31"/>
  <c r="G11" i="31" a="1"/>
  <c r="G11" i="31" s="1"/>
  <c r="B11" i="31" a="1"/>
  <c r="B11" i="31" s="1"/>
  <c r="Q10" i="31"/>
  <c r="P10" i="31"/>
  <c r="M10" i="31"/>
  <c r="L10" i="31"/>
  <c r="K10" i="31"/>
  <c r="Q9" i="31"/>
  <c r="P9" i="31"/>
  <c r="M9" i="31"/>
  <c r="L9" i="31"/>
  <c r="K9" i="31"/>
  <c r="Q8" i="31"/>
  <c r="P8" i="31"/>
  <c r="C20" i="31" s="1" a="1"/>
  <c r="C20" i="31" s="1"/>
  <c r="M8" i="31"/>
  <c r="B6" i="31" s="1" a="1"/>
  <c r="B6" i="31" s="1"/>
  <c r="A1" i="31" s="1"/>
  <c r="L8" i="31"/>
  <c r="K8" i="31"/>
  <c r="Q7" i="31"/>
  <c r="P7" i="31"/>
  <c r="M7" i="31"/>
  <c r="L7" i="31"/>
  <c r="K7" i="31"/>
  <c r="H7" i="31" a="1"/>
  <c r="H7" i="31" s="1"/>
  <c r="Q6" i="31"/>
  <c r="P6" i="31"/>
  <c r="M6" i="31"/>
  <c r="L6" i="31"/>
  <c r="K6" i="31"/>
  <c r="M24" i="36" l="1" a="1"/>
  <c r="M24" i="36" s="1"/>
  <c r="M26" i="36" a="1"/>
  <c r="M26" i="36" s="1"/>
  <c r="M29" i="36" a="1"/>
  <c r="M29" i="36" s="1"/>
  <c r="M32" i="36" a="1"/>
  <c r="M32" i="36" s="1"/>
  <c r="M23" i="36" a="1"/>
  <c r="M23" i="36" s="1"/>
  <c r="M31" i="36" a="1"/>
  <c r="M31" i="36" s="1"/>
  <c r="M33" i="36" a="1"/>
  <c r="M33" i="36" s="1"/>
  <c r="M22" i="35" a="1"/>
  <c r="M22" i="35" s="1"/>
  <c r="M29" i="35" a="1"/>
  <c r="M29" i="35" s="1"/>
  <c r="O22" i="35" a="1"/>
  <c r="O22" i="35" s="1"/>
  <c r="G22" i="35" s="1"/>
  <c r="M27" i="35" a="1"/>
  <c r="M27" i="35" s="1"/>
  <c r="M24" i="35" a="1"/>
  <c r="M24" i="35" s="1"/>
  <c r="M25" i="35" a="1"/>
  <c r="M25" i="35" s="1"/>
  <c r="M55" i="35" a="1"/>
  <c r="M55" i="35" s="1"/>
  <c r="M26" i="35" a="1"/>
  <c r="M26" i="35" s="1"/>
  <c r="M56" i="35" a="1"/>
  <c r="M56" i="35" s="1"/>
  <c r="M28" i="35" a="1"/>
  <c r="M28" i="35" s="1"/>
  <c r="M25" i="34" a="1"/>
  <c r="M25" i="34" s="1"/>
  <c r="M26" i="34" a="1"/>
  <c r="M26" i="34" s="1"/>
  <c r="M54" i="33" a="1"/>
  <c r="M54" i="33" s="1"/>
  <c r="M23" i="34" a="1"/>
  <c r="M23" i="34" s="1"/>
  <c r="M27" i="34" a="1"/>
  <c r="M27" i="34" s="1"/>
  <c r="M24" i="34" a="1"/>
  <c r="M24" i="34" s="1"/>
  <c r="M28" i="34" a="1"/>
  <c r="M28" i="34" s="1"/>
  <c r="M29" i="33" a="1"/>
  <c r="M29" i="33" s="1"/>
  <c r="M30" i="33" a="1"/>
  <c r="M30" i="33" s="1"/>
  <c r="M24" i="33" a="1"/>
  <c r="M24" i="33" s="1"/>
  <c r="M56" i="33" a="1"/>
  <c r="M56" i="33" s="1"/>
  <c r="M23" i="33" a="1"/>
  <c r="M23" i="33" s="1"/>
  <c r="M25" i="33" a="1"/>
  <c r="M25" i="33" s="1"/>
  <c r="O22" i="33" a="1"/>
  <c r="O22" i="33" s="1"/>
  <c r="M28" i="33" a="1"/>
  <c r="M28" i="33" s="1"/>
  <c r="L46" i="32" a="1"/>
  <c r="L46" i="32" s="1"/>
  <c r="M46" i="32" a="1"/>
  <c r="M46" i="32" s="1"/>
  <c r="O46" i="32" a="1"/>
  <c r="O46" i="32" s="1"/>
  <c r="L32" i="32" a="1"/>
  <c r="L32" i="32" s="1"/>
  <c r="O48" i="32" a="1"/>
  <c r="O48" i="32" s="1"/>
  <c r="L48" i="32" a="1"/>
  <c r="L48" i="32" s="1"/>
  <c r="M48" i="32" a="1"/>
  <c r="M48" i="32" s="1"/>
  <c r="O47" i="32" a="1"/>
  <c r="O47" i="32" s="1"/>
  <c r="L47" i="32" a="1"/>
  <c r="L47" i="32" s="1"/>
  <c r="M47" i="32" a="1"/>
  <c r="M47" i="32" s="1"/>
  <c r="O49" i="32" a="1"/>
  <c r="O49" i="32" s="1"/>
  <c r="M49" i="32" a="1"/>
  <c r="M49" i="32" s="1"/>
  <c r="L49" i="32" a="1"/>
  <c r="L49" i="32" s="1"/>
  <c r="M51" i="32" a="1"/>
  <c r="M51" i="32" s="1"/>
  <c r="L51" i="32" a="1"/>
  <c r="L51" i="32" s="1"/>
  <c r="O51" i="32" a="1"/>
  <c r="O51" i="32" s="1"/>
  <c r="M52" i="32" a="1"/>
  <c r="M52" i="32" s="1"/>
  <c r="O52" i="32" a="1"/>
  <c r="O52" i="32" s="1"/>
  <c r="L52" i="32" a="1"/>
  <c r="L52" i="32" s="1"/>
  <c r="M53" i="32" a="1"/>
  <c r="M53" i="32" s="1"/>
  <c r="L53" i="32" a="1"/>
  <c r="L53" i="32" s="1"/>
  <c r="O53" i="32" a="1"/>
  <c r="O53" i="32" s="1"/>
  <c r="L38" i="32" a="1"/>
  <c r="L38" i="32" s="1"/>
  <c r="O38" i="32" a="1"/>
  <c r="O38" i="32" s="1"/>
  <c r="M38" i="32" a="1"/>
  <c r="M38" i="32" s="1"/>
  <c r="L54" i="32" a="1"/>
  <c r="L54" i="32" s="1"/>
  <c r="L39" i="32" a="1"/>
  <c r="L39" i="32" s="1"/>
  <c r="M39" i="32" a="1"/>
  <c r="M39" i="32" s="1"/>
  <c r="O39" i="32" a="1"/>
  <c r="O39" i="32" s="1"/>
  <c r="O50" i="32" a="1"/>
  <c r="O50" i="32" s="1"/>
  <c r="M50" i="32" a="1"/>
  <c r="M50" i="32" s="1"/>
  <c r="L50" i="32" a="1"/>
  <c r="L50" i="32" s="1"/>
  <c r="M24" i="32" a="1"/>
  <c r="M24" i="32" s="1"/>
  <c r="O40" i="32" a="1"/>
  <c r="O40" i="32" s="1"/>
  <c r="L40" i="32" a="1"/>
  <c r="L40" i="32" s="1"/>
  <c r="M40" i="32" a="1"/>
  <c r="M40" i="32" s="1"/>
  <c r="M25" i="32" a="1"/>
  <c r="M25" i="32" s="1"/>
  <c r="L41" i="32" a="1"/>
  <c r="L41" i="32" s="1"/>
  <c r="O41" i="32" a="1"/>
  <c r="O41" i="32" s="1"/>
  <c r="M41" i="32" a="1"/>
  <c r="M41" i="32" s="1"/>
  <c r="M26" i="32" a="1"/>
  <c r="M26" i="32" s="1"/>
  <c r="M42" i="32" a="1"/>
  <c r="M42" i="32" s="1"/>
  <c r="L42" i="32" a="1"/>
  <c r="L42" i="32" s="1"/>
  <c r="O42" i="32" a="1"/>
  <c r="O42" i="32" s="1"/>
  <c r="L27" i="32" a="1"/>
  <c r="L27" i="32" s="1"/>
  <c r="O43" i="32" a="1"/>
  <c r="O43" i="32" s="1"/>
  <c r="M43" i="32" a="1"/>
  <c r="M43" i="32" s="1"/>
  <c r="L43" i="32" a="1"/>
  <c r="L43" i="32" s="1"/>
  <c r="L28" i="32" a="1"/>
  <c r="L28" i="32" s="1"/>
  <c r="M44" i="32" a="1"/>
  <c r="M44" i="32" s="1"/>
  <c r="L44" i="32" a="1"/>
  <c r="L44" i="32" s="1"/>
  <c r="O44" i="32" a="1"/>
  <c r="O44" i="32" s="1"/>
  <c r="M29" i="32" a="1"/>
  <c r="M29" i="32" s="1"/>
  <c r="M45" i="32" a="1"/>
  <c r="M45" i="32" s="1"/>
  <c r="O45" i="32" a="1"/>
  <c r="O45" i="32" s="1"/>
  <c r="L45" i="32" a="1"/>
  <c r="L45" i="32" s="1"/>
  <c r="M35" i="31" a="1"/>
  <c r="M35" i="31" s="1"/>
  <c r="M51" i="31" a="1"/>
  <c r="M51" i="31" s="1"/>
  <c r="L51" i="31" a="1"/>
  <c r="L51" i="31" s="1"/>
  <c r="O51" i="31" a="1"/>
  <c r="O51" i="31" s="1"/>
  <c r="M37" i="31" a="1"/>
  <c r="M37" i="31" s="1"/>
  <c r="M53" i="31" a="1"/>
  <c r="M53" i="31" s="1"/>
  <c r="O53" i="31" a="1"/>
  <c r="O53" i="31" s="1"/>
  <c r="L53" i="31" a="1"/>
  <c r="L53" i="31" s="1"/>
  <c r="L52" i="31" a="1"/>
  <c r="L52" i="31" s="1"/>
  <c r="O52" i="31" a="1"/>
  <c r="O52" i="31" s="1"/>
  <c r="M52" i="31" a="1"/>
  <c r="M52" i="31" s="1"/>
  <c r="M38" i="31" a="1"/>
  <c r="M38" i="31" s="1"/>
  <c r="O38" i="31" a="1"/>
  <c r="O38" i="31" s="1"/>
  <c r="L38" i="31" a="1"/>
  <c r="L38" i="31" s="1"/>
  <c r="L22" i="31" a="1"/>
  <c r="L22" i="31" s="1"/>
  <c r="M39" i="31" a="1"/>
  <c r="M39" i="31" s="1"/>
  <c r="M45" i="31" a="1"/>
  <c r="M45" i="31" s="1"/>
  <c r="O45" i="31" a="1"/>
  <c r="O45" i="31" s="1"/>
  <c r="L45" i="31" a="1"/>
  <c r="L45" i="31" s="1"/>
  <c r="O47" i="31" a="1"/>
  <c r="O47" i="31" s="1"/>
  <c r="L47" i="31" a="1"/>
  <c r="L47" i="31" s="1"/>
  <c r="M47" i="31" a="1"/>
  <c r="M47" i="31" s="1"/>
  <c r="M54" i="31" a="1"/>
  <c r="M54" i="31" s="1"/>
  <c r="O54" i="31" a="1"/>
  <c r="O54" i="31" s="1"/>
  <c r="L54" i="31" a="1"/>
  <c r="L54" i="31" s="1"/>
  <c r="M40" i="31" a="1"/>
  <c r="M40" i="31" s="1"/>
  <c r="L56" i="31" a="1"/>
  <c r="L56" i="31" s="1"/>
  <c r="M26" i="31" a="1"/>
  <c r="M26" i="31" s="1"/>
  <c r="L26" i="31" a="1"/>
  <c r="L26" i="31" s="1"/>
  <c r="O26" i="31" a="1"/>
  <c r="O26" i="31" s="1"/>
  <c r="M42" i="31" a="1"/>
  <c r="M42" i="31" s="1"/>
  <c r="L42" i="31" a="1"/>
  <c r="L42" i="31" s="1"/>
  <c r="O42" i="31" a="1"/>
  <c r="O42" i="31" s="1"/>
  <c r="M27" i="31" a="1"/>
  <c r="M27" i="31" s="1"/>
  <c r="L43" i="31" a="1"/>
  <c r="L43" i="31" s="1"/>
  <c r="O43" i="31" a="1"/>
  <c r="O43" i="31" s="1"/>
  <c r="M43" i="31" a="1"/>
  <c r="M43" i="31" s="1"/>
  <c r="L28" i="31" a="1"/>
  <c r="L28" i="31" s="1"/>
  <c r="M44" i="31" a="1"/>
  <c r="M44" i="31" s="1"/>
  <c r="O44" i="31" a="1"/>
  <c r="O44" i="31" s="1"/>
  <c r="L44" i="31" a="1"/>
  <c r="L44" i="31" s="1"/>
  <c r="L46" i="31" a="1"/>
  <c r="L46" i="31" s="1"/>
  <c r="O46" i="31" a="1"/>
  <c r="O46" i="31" s="1"/>
  <c r="M46" i="31" a="1"/>
  <c r="M46" i="31" s="1"/>
  <c r="L48" i="31" a="1"/>
  <c r="L48" i="31" s="1"/>
  <c r="M48" i="31" a="1"/>
  <c r="M48" i="31" s="1"/>
  <c r="O48" i="31" a="1"/>
  <c r="O48" i="31" s="1"/>
  <c r="O49" i="31" a="1"/>
  <c r="O49" i="31" s="1"/>
  <c r="L49" i="31" a="1"/>
  <c r="L49" i="31" s="1"/>
  <c r="M49" i="31" a="1"/>
  <c r="M49" i="31" s="1"/>
  <c r="M50" i="31" a="1"/>
  <c r="M50" i="31" s="1"/>
  <c r="O50" i="31" a="1"/>
  <c r="O50" i="31" s="1"/>
  <c r="L50" i="31" a="1"/>
  <c r="L50" i="31" s="1"/>
  <c r="A26" i="32"/>
  <c r="A22" i="32"/>
  <c r="A55" i="32"/>
  <c r="F52" i="32" a="1"/>
  <c r="F52" i="32" s="1"/>
  <c r="A27" i="32"/>
  <c r="A45" i="32"/>
  <c r="F47" i="32" a="1"/>
  <c r="F47" i="32" s="1"/>
  <c r="A42" i="32"/>
  <c r="A48" i="32"/>
  <c r="A36" i="31"/>
  <c r="A25" i="31"/>
  <c r="A52" i="31"/>
  <c r="A22" i="31"/>
  <c r="H38" i="31" a="1"/>
  <c r="H38" i="31" s="1"/>
  <c r="A42" i="31"/>
  <c r="A26" i="31"/>
  <c r="H43" i="31" a="1"/>
  <c r="H43" i="31" s="1"/>
  <c r="C46" i="31" a="1"/>
  <c r="C46" i="31" s="1"/>
  <c r="D49" i="31" a="1"/>
  <c r="D49" i="31" s="1"/>
  <c r="I24" i="33" a="1"/>
  <c r="I24" i="33" s="1"/>
  <c r="AT385" i="32"/>
  <c r="AK78" i="36"/>
  <c r="O28" i="36" s="1" a="1"/>
  <c r="O28" i="36" s="1"/>
  <c r="AU156" i="31"/>
  <c r="AK401" i="31"/>
  <c r="AK344" i="31"/>
  <c r="AS248" i="32"/>
  <c r="AK387" i="32"/>
  <c r="AK391" i="32"/>
  <c r="AU187" i="32"/>
  <c r="AT137" i="32"/>
  <c r="AS280" i="31"/>
  <c r="AU331" i="31"/>
  <c r="AS183" i="31"/>
  <c r="AU137" i="32"/>
  <c r="AK317" i="31"/>
  <c r="Y390" i="32"/>
  <c r="AT228" i="32"/>
  <c r="Z393" i="31"/>
  <c r="AR315" i="32"/>
  <c r="AL92" i="32"/>
  <c r="G24" i="35"/>
  <c r="AK389" i="32"/>
  <c r="AK236" i="31"/>
  <c r="AT423" i="32"/>
  <c r="I30" i="33" a="1"/>
  <c r="I30" i="33" s="1"/>
  <c r="AK361" i="31"/>
  <c r="AK260" i="31"/>
  <c r="AR156" i="32"/>
  <c r="AS298" i="32"/>
  <c r="AS309" i="32"/>
  <c r="AK417" i="32"/>
  <c r="AK429" i="32"/>
  <c r="AU403" i="32"/>
  <c r="AR368" i="31"/>
  <c r="AR387" i="32"/>
  <c r="AR419" i="32"/>
  <c r="AU425" i="32"/>
  <c r="Z427" i="32"/>
  <c r="AK138" i="32"/>
  <c r="AK429" i="31"/>
  <c r="AT246" i="31"/>
  <c r="AK285" i="31"/>
  <c r="Y343" i="31"/>
  <c r="AK377" i="32"/>
  <c r="AT303" i="31"/>
  <c r="AT314" i="31"/>
  <c r="Y337" i="31"/>
  <c r="AT378" i="31"/>
  <c r="AU399" i="31"/>
  <c r="AR187" i="32"/>
  <c r="AR258" i="32"/>
  <c r="AR425" i="31"/>
  <c r="AS214" i="32"/>
  <c r="AT286" i="32"/>
  <c r="AS296" i="31"/>
  <c r="AS398" i="31"/>
  <c r="AU371" i="31"/>
  <c r="AR349" i="32"/>
  <c r="AT333" i="31"/>
  <c r="AT242" i="32"/>
  <c r="AT108" i="31"/>
  <c r="Z335" i="31"/>
  <c r="AR81" i="32"/>
  <c r="AU108" i="31"/>
  <c r="AT224" i="32"/>
  <c r="AR286" i="32"/>
  <c r="AS381" i="32"/>
  <c r="AS286" i="32"/>
  <c r="AU381" i="32"/>
  <c r="AR346" i="31"/>
  <c r="AS297" i="32"/>
  <c r="AS144" i="31"/>
  <c r="AT146" i="31"/>
  <c r="AT87" i="32"/>
  <c r="AM250" i="32"/>
  <c r="AU369" i="32"/>
  <c r="AR364" i="31"/>
  <c r="Z176" i="31"/>
  <c r="AS163" i="31"/>
  <c r="AS247" i="31"/>
  <c r="AT346" i="31"/>
  <c r="AS417" i="31"/>
  <c r="AS246" i="31"/>
  <c r="AU247" i="31"/>
  <c r="AS288" i="31"/>
  <c r="AR333" i="31"/>
  <c r="AU74" i="32"/>
  <c r="AT229" i="32"/>
  <c r="AR248" i="32"/>
  <c r="AT403" i="32"/>
  <c r="AT149" i="31"/>
  <c r="AU376" i="31"/>
  <c r="AS115" i="32"/>
  <c r="AT98" i="31"/>
  <c r="AK221" i="31"/>
  <c r="AU300" i="31"/>
  <c r="AK358" i="31"/>
  <c r="AU378" i="31"/>
  <c r="AT149" i="32"/>
  <c r="AT187" i="32"/>
  <c r="AU228" i="32"/>
  <c r="AU248" i="32"/>
  <c r="AK381" i="32"/>
  <c r="AK399" i="32"/>
  <c r="AT402" i="32"/>
  <c r="AU298" i="31"/>
  <c r="Y414" i="32"/>
  <c r="AU144" i="31"/>
  <c r="AR119" i="31"/>
  <c r="AU364" i="31"/>
  <c r="AR382" i="31"/>
  <c r="AR111" i="32"/>
  <c r="AK374" i="32"/>
  <c r="AK98" i="31"/>
  <c r="AK241" i="31"/>
  <c r="AT187" i="31"/>
  <c r="Z299" i="31"/>
  <c r="AT408" i="31"/>
  <c r="AS252" i="32"/>
  <c r="AT399" i="32"/>
  <c r="Z401" i="32"/>
  <c r="AT116" i="31"/>
  <c r="AK406" i="31"/>
  <c r="AT221" i="31"/>
  <c r="AK294" i="31"/>
  <c r="Z427" i="31"/>
  <c r="AR108" i="31"/>
  <c r="AM191" i="31"/>
  <c r="AS303" i="31"/>
  <c r="AR104" i="32"/>
  <c r="AU125" i="32"/>
  <c r="AS136" i="32"/>
  <c r="AR242" i="32"/>
  <c r="Z384" i="32"/>
  <c r="AR158" i="32"/>
  <c r="AR416" i="31"/>
  <c r="AU417" i="31"/>
  <c r="AS425" i="31"/>
  <c r="AR91" i="32"/>
  <c r="AU156" i="32"/>
  <c r="AR272" i="32"/>
  <c r="Y393" i="32"/>
  <c r="AR410" i="32"/>
  <c r="AU184" i="31"/>
  <c r="AU195" i="31"/>
  <c r="AK229" i="31"/>
  <c r="Y233" i="31"/>
  <c r="Y273" i="31"/>
  <c r="AR367" i="31"/>
  <c r="AR374" i="31"/>
  <c r="AT416" i="31"/>
  <c r="AU424" i="31"/>
  <c r="AT425" i="31"/>
  <c r="AT91" i="32"/>
  <c r="AR110" i="32"/>
  <c r="AS135" i="32"/>
  <c r="AT167" i="32"/>
  <c r="AT272" i="32"/>
  <c r="Z274" i="31"/>
  <c r="AR195" i="31"/>
  <c r="Z370" i="31"/>
  <c r="AT374" i="31"/>
  <c r="AU167" i="32"/>
  <c r="AT403" i="31"/>
  <c r="Y418" i="31"/>
  <c r="AR77" i="32"/>
  <c r="AT236" i="32"/>
  <c r="AR249" i="32"/>
  <c r="AT288" i="32"/>
  <c r="AT351" i="32"/>
  <c r="AU322" i="31"/>
  <c r="Y391" i="31"/>
  <c r="AJ91" i="32"/>
  <c r="AK91" i="32" s="1"/>
  <c r="AU368" i="31"/>
  <c r="AK346" i="31"/>
  <c r="AJ151" i="31"/>
  <c r="M29" i="31" s="1" a="1"/>
  <c r="M29" i="31" s="1"/>
  <c r="AK304" i="31"/>
  <c r="AU319" i="31"/>
  <c r="AS336" i="31"/>
  <c r="AT342" i="31"/>
  <c r="AU374" i="31"/>
  <c r="AR264" i="31"/>
  <c r="AT318" i="31"/>
  <c r="AU409" i="31"/>
  <c r="AS256" i="32"/>
  <c r="AU288" i="32"/>
  <c r="AU299" i="32"/>
  <c r="AU351" i="32"/>
  <c r="AU365" i="32"/>
  <c r="AU371" i="32"/>
  <c r="AR407" i="32"/>
  <c r="AR98" i="32"/>
  <c r="Y357" i="31"/>
  <c r="AT94" i="31"/>
  <c r="AK362" i="31"/>
  <c r="AU207" i="31"/>
  <c r="AU242" i="31"/>
  <c r="AR270" i="31"/>
  <c r="AS298" i="31"/>
  <c r="AK314" i="31"/>
  <c r="D37" i="31" a="1"/>
  <c r="D37" i="31" s="1"/>
  <c r="AK244" i="31"/>
  <c r="AT298" i="31"/>
  <c r="AU318" i="31"/>
  <c r="AT365" i="31"/>
  <c r="AR422" i="31"/>
  <c r="AK136" i="32"/>
  <c r="AR228" i="32"/>
  <c r="AS235" i="32"/>
  <c r="Y335" i="32"/>
  <c r="AS407" i="32"/>
  <c r="AR408" i="32"/>
  <c r="AS427" i="32"/>
  <c r="AT407" i="32"/>
  <c r="AU171" i="31"/>
  <c r="AK320" i="31"/>
  <c r="AK404" i="31"/>
  <c r="AK379" i="32"/>
  <c r="AT92" i="31"/>
  <c r="AS98" i="31"/>
  <c r="AK231" i="31"/>
  <c r="AR310" i="31"/>
  <c r="AT363" i="31"/>
  <c r="Y366" i="31"/>
  <c r="AT74" i="31"/>
  <c r="Y139" i="31"/>
  <c r="AS239" i="31"/>
  <c r="AR245" i="31"/>
  <c r="AU303" i="31"/>
  <c r="AK342" i="31"/>
  <c r="AR351" i="31"/>
  <c r="Y363" i="31"/>
  <c r="AK364" i="31"/>
  <c r="AT419" i="31"/>
  <c r="AL110" i="32"/>
  <c r="AR207" i="32"/>
  <c r="AT331" i="32"/>
  <c r="AK376" i="32"/>
  <c r="Z419" i="32"/>
  <c r="AK421" i="32"/>
  <c r="G26" i="34"/>
  <c r="AT208" i="32"/>
  <c r="AR331" i="32"/>
  <c r="AU337" i="32"/>
  <c r="AU106" i="31"/>
  <c r="AR163" i="31"/>
  <c r="AS399" i="31"/>
  <c r="AU419" i="31"/>
  <c r="AU97" i="32"/>
  <c r="AT125" i="32"/>
  <c r="AR137" i="32"/>
  <c r="AI144" i="32"/>
  <c r="AS201" i="32"/>
  <c r="AU207" i="32"/>
  <c r="AT225" i="32"/>
  <c r="AR403" i="32"/>
  <c r="AR423" i="32"/>
  <c r="AK380" i="31"/>
  <c r="AK386" i="31"/>
  <c r="AM154" i="31"/>
  <c r="I32" i="31" s="1" a="1"/>
  <c r="I32" i="31" s="1"/>
  <c r="AK211" i="31"/>
  <c r="AK276" i="31"/>
  <c r="AK392" i="31"/>
  <c r="AK397" i="31"/>
  <c r="AK134" i="31"/>
  <c r="AK217" i="31"/>
  <c r="AK292" i="31"/>
  <c r="AK341" i="31"/>
  <c r="AK354" i="31"/>
  <c r="AK369" i="31"/>
  <c r="AK412" i="31"/>
  <c r="AL332" i="32"/>
  <c r="AK361" i="32"/>
  <c r="AK383" i="32"/>
  <c r="AR76" i="31"/>
  <c r="AK167" i="31"/>
  <c r="AU183" i="31"/>
  <c r="AR318" i="31"/>
  <c r="AT364" i="31"/>
  <c r="Z367" i="31"/>
  <c r="Z403" i="31"/>
  <c r="AS409" i="31"/>
  <c r="AS416" i="31"/>
  <c r="AT417" i="31"/>
  <c r="AT72" i="32"/>
  <c r="AR75" i="32"/>
  <c r="AS94" i="32"/>
  <c r="AU172" i="32"/>
  <c r="AT207" i="32"/>
  <c r="AU208" i="32"/>
  <c r="AM248" i="32"/>
  <c r="AU309" i="32"/>
  <c r="AS371" i="32"/>
  <c r="AS372" i="32"/>
  <c r="AT387" i="32"/>
  <c r="Z389" i="32"/>
  <c r="AT94" i="32"/>
  <c r="AT371" i="32"/>
  <c r="AU372" i="32"/>
  <c r="AK261" i="35"/>
  <c r="O31" i="35" s="1" a="1"/>
  <c r="O31" i="35" s="1"/>
  <c r="AT76" i="31"/>
  <c r="AU91" i="31"/>
  <c r="AU98" i="31"/>
  <c r="AT163" i="31"/>
  <c r="AK171" i="31"/>
  <c r="Y224" i="31"/>
  <c r="AK225" i="31"/>
  <c r="AK226" i="31"/>
  <c r="AK237" i="31"/>
  <c r="AT248" i="31"/>
  <c r="AS264" i="31"/>
  <c r="AS271" i="31"/>
  <c r="AU288" i="31"/>
  <c r="Z339" i="31"/>
  <c r="AU344" i="31"/>
  <c r="AU372" i="31"/>
  <c r="Y389" i="31"/>
  <c r="AT407" i="31"/>
  <c r="AS427" i="31"/>
  <c r="AS77" i="32"/>
  <c r="AT104" i="32"/>
  <c r="AT111" i="32"/>
  <c r="AR128" i="32"/>
  <c r="AT135" i="32"/>
  <c r="AT158" i="32"/>
  <c r="AS182" i="32"/>
  <c r="AT226" i="32"/>
  <c r="AT240" i="32"/>
  <c r="AT256" i="32"/>
  <c r="AU271" i="32"/>
  <c r="AR320" i="32"/>
  <c r="AR335" i="32"/>
  <c r="AK367" i="32"/>
  <c r="AR409" i="32"/>
  <c r="AK425" i="32"/>
  <c r="AR430" i="32"/>
  <c r="AK254" i="31"/>
  <c r="AT264" i="31"/>
  <c r="AT271" i="31"/>
  <c r="AT427" i="31"/>
  <c r="AU77" i="32"/>
  <c r="AK90" i="32"/>
  <c r="AU111" i="32"/>
  <c r="AS128" i="32"/>
  <c r="AT320" i="32"/>
  <c r="AT335" i="32"/>
  <c r="AM75" i="31"/>
  <c r="AU118" i="31"/>
  <c r="AR218" i="31"/>
  <c r="AR219" i="31"/>
  <c r="Z229" i="31"/>
  <c r="AU302" i="31"/>
  <c r="Z373" i="31"/>
  <c r="Y408" i="31"/>
  <c r="AR413" i="31"/>
  <c r="AS423" i="31"/>
  <c r="AU128" i="32"/>
  <c r="AS144" i="32"/>
  <c r="AR169" i="32"/>
  <c r="AR218" i="32"/>
  <c r="AT260" i="32"/>
  <c r="AS313" i="32"/>
  <c r="AR346" i="32"/>
  <c r="Z379" i="32"/>
  <c r="Z416" i="32"/>
  <c r="I56" i="33" a="1"/>
  <c r="I56" i="33" s="1"/>
  <c r="AS218" i="31"/>
  <c r="AS219" i="31"/>
  <c r="AT413" i="31"/>
  <c r="AU423" i="31"/>
  <c r="AT169" i="32"/>
  <c r="AT362" i="32"/>
  <c r="AR376" i="32"/>
  <c r="AK396" i="32"/>
  <c r="N15" i="32" s="1"/>
  <c r="Y422" i="32"/>
  <c r="AK135" i="32"/>
  <c r="AK158" i="32"/>
  <c r="AU169" i="32"/>
  <c r="AK235" i="32"/>
  <c r="AR299" i="32"/>
  <c r="AS345" i="32"/>
  <c r="AU353" i="32"/>
  <c r="AK364" i="32"/>
  <c r="AR391" i="32"/>
  <c r="AS392" i="32"/>
  <c r="AS397" i="32"/>
  <c r="AU146" i="31"/>
  <c r="AU218" i="31"/>
  <c r="AT219" i="31"/>
  <c r="AK230" i="31"/>
  <c r="AK242" i="31"/>
  <c r="AK258" i="31"/>
  <c r="AK278" i="31"/>
  <c r="Z294" i="31"/>
  <c r="AK295" i="31"/>
  <c r="Z310" i="31"/>
  <c r="AK339" i="31"/>
  <c r="AK352" i="31"/>
  <c r="Y361" i="31"/>
  <c r="AK373" i="31"/>
  <c r="Z394" i="31"/>
  <c r="AS397" i="31"/>
  <c r="AS422" i="31"/>
  <c r="H49" i="31" a="1"/>
  <c r="H49" i="31" s="1"/>
  <c r="AT78" i="31"/>
  <c r="AU160" i="31"/>
  <c r="AR184" i="31"/>
  <c r="AS198" i="31"/>
  <c r="AR210" i="31"/>
  <c r="Y221" i="31"/>
  <c r="AR261" i="31"/>
  <c r="Y263" i="31"/>
  <c r="AS300" i="31"/>
  <c r="AR322" i="31"/>
  <c r="AT341" i="31"/>
  <c r="AR354" i="31"/>
  <c r="Z371" i="31"/>
  <c r="AR378" i="31"/>
  <c r="AS396" i="31"/>
  <c r="AT397" i="31"/>
  <c r="Y406" i="31"/>
  <c r="AK427" i="31"/>
  <c r="AJ78" i="32"/>
  <c r="AK78" i="32" s="1"/>
  <c r="Y157" i="32"/>
  <c r="AK172" i="32"/>
  <c r="AS299" i="32"/>
  <c r="AR351" i="32"/>
  <c r="AR361" i="32"/>
  <c r="Z369" i="32"/>
  <c r="AK372" i="32"/>
  <c r="AS391" i="32"/>
  <c r="AT396" i="32"/>
  <c r="AK401" i="32"/>
  <c r="AU427" i="31"/>
  <c r="AT184" i="31"/>
  <c r="AT210" i="31"/>
  <c r="AT300" i="31"/>
  <c r="AS322" i="31"/>
  <c r="AK330" i="31"/>
  <c r="AK337" i="31"/>
  <c r="AT354" i="31"/>
  <c r="AK341" i="32"/>
  <c r="AK378" i="32"/>
  <c r="AT391" i="32"/>
  <c r="AK423" i="32"/>
  <c r="G28" i="34"/>
  <c r="C12" i="35" a="1"/>
  <c r="C12" i="35" s="1"/>
  <c r="AK240" i="31"/>
  <c r="AK263" i="31"/>
  <c r="AK124" i="31"/>
  <c r="AR171" i="31"/>
  <c r="AR208" i="31"/>
  <c r="Y217" i="31"/>
  <c r="AK227" i="31"/>
  <c r="AK262" i="31"/>
  <c r="AK282" i="31"/>
  <c r="Y300" i="31"/>
  <c r="AS376" i="31"/>
  <c r="AK398" i="31"/>
  <c r="AR419" i="31"/>
  <c r="AU87" i="32"/>
  <c r="AT89" i="32"/>
  <c r="AR118" i="32"/>
  <c r="AT202" i="32"/>
  <c r="AU230" i="32"/>
  <c r="AR236" i="32"/>
  <c r="AS296" i="32"/>
  <c r="AU333" i="32"/>
  <c r="AT381" i="32"/>
  <c r="AK406" i="32"/>
  <c r="AR425" i="32"/>
  <c r="AJ334" i="32"/>
  <c r="AK334" i="32" s="1"/>
  <c r="AL334" i="32"/>
  <c r="AI334" i="32"/>
  <c r="H54" i="33" a="1"/>
  <c r="H54" i="33" s="1"/>
  <c r="AS260" i="31"/>
  <c r="AT237" i="32"/>
  <c r="AT386" i="32"/>
  <c r="AT194" i="31"/>
  <c r="AS329" i="31"/>
  <c r="AS165" i="32"/>
  <c r="AS76" i="31"/>
  <c r="AU100" i="31"/>
  <c r="AU109" i="31"/>
  <c r="AU134" i="31"/>
  <c r="AU210" i="31"/>
  <c r="AL216" i="31"/>
  <c r="O10" i="31" s="1"/>
  <c r="Y225" i="31"/>
  <c r="AT260" i="31"/>
  <c r="AR290" i="31"/>
  <c r="AK293" i="31"/>
  <c r="AR302" i="31"/>
  <c r="AR312" i="31"/>
  <c r="AT329" i="31"/>
  <c r="Y332" i="31"/>
  <c r="Y347" i="31"/>
  <c r="AK348" i="31"/>
  <c r="AK357" i="31"/>
  <c r="AK387" i="31"/>
  <c r="AK388" i="31"/>
  <c r="AU411" i="31"/>
  <c r="AR74" i="32"/>
  <c r="AR97" i="32"/>
  <c r="AU99" i="32"/>
  <c r="AT108" i="32"/>
  <c r="AM110" i="32"/>
  <c r="AR155" i="32"/>
  <c r="AT156" i="32"/>
  <c r="AU158" i="32"/>
  <c r="Z160" i="32"/>
  <c r="AT165" i="32"/>
  <c r="AU236" i="32"/>
  <c r="AU237" i="32"/>
  <c r="AT296" i="32"/>
  <c r="AT298" i="32"/>
  <c r="AU320" i="32"/>
  <c r="AU331" i="32"/>
  <c r="AU335" i="32"/>
  <c r="AR343" i="32"/>
  <c r="Y361" i="32"/>
  <c r="Y370" i="32"/>
  <c r="AS384" i="32"/>
  <c r="AU385" i="32"/>
  <c r="AK392" i="32"/>
  <c r="AK393" i="32"/>
  <c r="AK394" i="32"/>
  <c r="Y400" i="32"/>
  <c r="AK402" i="32"/>
  <c r="AK403" i="32"/>
  <c r="AT134" i="31"/>
  <c r="AJ216" i="31"/>
  <c r="AK216" i="31" s="1"/>
  <c r="N10" i="31" s="1"/>
  <c r="Z334" i="31"/>
  <c r="AT411" i="31"/>
  <c r="Z415" i="31"/>
  <c r="AM216" i="31"/>
  <c r="AK255" i="31"/>
  <c r="AU260" i="31"/>
  <c r="AK265" i="31"/>
  <c r="AS290" i="31"/>
  <c r="AS302" i="31"/>
  <c r="AT312" i="31"/>
  <c r="AK315" i="31"/>
  <c r="AU329" i="31"/>
  <c r="AK356" i="31"/>
  <c r="AK379" i="31"/>
  <c r="AK415" i="31"/>
  <c r="B7" i="32" a="1"/>
  <c r="B7" i="32" s="1"/>
  <c r="AS74" i="32"/>
  <c r="AS97" i="32"/>
  <c r="AK101" i="32"/>
  <c r="AU108" i="32"/>
  <c r="AS155" i="32"/>
  <c r="AU296" i="32"/>
  <c r="AU298" i="32"/>
  <c r="AS343" i="32"/>
  <c r="AK362" i="32"/>
  <c r="AU384" i="32"/>
  <c r="AK413" i="32"/>
  <c r="AU120" i="31"/>
  <c r="AR146" i="31"/>
  <c r="AK148" i="31"/>
  <c r="AK166" i="31"/>
  <c r="AR207" i="31"/>
  <c r="AK233" i="31"/>
  <c r="AR247" i="31"/>
  <c r="AK286" i="31"/>
  <c r="AR288" i="31"/>
  <c r="AU290" i="31"/>
  <c r="AK307" i="31"/>
  <c r="Z329" i="31"/>
  <c r="AK335" i="31"/>
  <c r="AS341" i="31"/>
  <c r="AR342" i="31"/>
  <c r="Y355" i="31"/>
  <c r="AR397" i="31"/>
  <c r="AR407" i="31"/>
  <c r="AR423" i="31"/>
  <c r="AR135" i="32"/>
  <c r="AK151" i="32"/>
  <c r="AK160" i="32"/>
  <c r="AK195" i="32"/>
  <c r="AM258" i="32"/>
  <c r="I28" i="32" s="1" a="1"/>
  <c r="I28" i="32" s="1"/>
  <c r="AS282" i="32"/>
  <c r="AR288" i="32"/>
  <c r="AS333" i="32"/>
  <c r="AT342" i="32"/>
  <c r="AT343" i="32"/>
  <c r="AT353" i="32"/>
  <c r="AK373" i="32"/>
  <c r="Z388" i="32"/>
  <c r="AK398" i="32"/>
  <c r="C12" i="33" a="1"/>
  <c r="C12" i="33" s="1"/>
  <c r="AR102" i="31"/>
  <c r="AR124" i="31"/>
  <c r="AU175" i="31"/>
  <c r="AS178" i="31"/>
  <c r="AT191" i="31"/>
  <c r="AS200" i="31"/>
  <c r="AK209" i="31"/>
  <c r="AK223" i="31"/>
  <c r="AT244" i="31"/>
  <c r="AK261" i="31"/>
  <c r="AR267" i="31"/>
  <c r="AR268" i="31"/>
  <c r="AK274" i="31"/>
  <c r="AR279" i="31"/>
  <c r="AR281" i="31"/>
  <c r="AT310" i="31"/>
  <c r="AR324" i="31"/>
  <c r="Y327" i="31"/>
  <c r="AR338" i="31"/>
  <c r="Y341" i="31"/>
  <c r="Z344" i="31"/>
  <c r="Y400" i="31"/>
  <c r="Y410" i="31"/>
  <c r="AR73" i="32"/>
  <c r="AS110" i="32"/>
  <c r="AT115" i="32"/>
  <c r="AR180" i="32"/>
  <c r="AJ247" i="32"/>
  <c r="AK247" i="32" s="1"/>
  <c r="AS314" i="32"/>
  <c r="AS315" i="32"/>
  <c r="AR316" i="32"/>
  <c r="AR327" i="32"/>
  <c r="Y344" i="32"/>
  <c r="AI355" i="32"/>
  <c r="AU356" i="32"/>
  <c r="Y381" i="32"/>
  <c r="Y383" i="32"/>
  <c r="AS408" i="32"/>
  <c r="AS419" i="32"/>
  <c r="AR420" i="32"/>
  <c r="Z426" i="32"/>
  <c r="G23" i="33"/>
  <c r="AR200" i="31"/>
  <c r="AU244" i="31"/>
  <c r="AS268" i="31"/>
  <c r="AT338" i="31"/>
  <c r="AT315" i="32"/>
  <c r="AJ355" i="32"/>
  <c r="AK355" i="32" s="1"/>
  <c r="H25" i="33" a="1"/>
  <c r="H25" i="33" s="1"/>
  <c r="AU124" i="31"/>
  <c r="AK133" i="31"/>
  <c r="AS151" i="31"/>
  <c r="AU178" i="31"/>
  <c r="AT183" i="31"/>
  <c r="Z218" i="31"/>
  <c r="AR235" i="31"/>
  <c r="Z248" i="31"/>
  <c r="AK249" i="31"/>
  <c r="AK253" i="31"/>
  <c r="AT267" i="31"/>
  <c r="AT268" i="31"/>
  <c r="AK273" i="31"/>
  <c r="AU281" i="31"/>
  <c r="AR295" i="31"/>
  <c r="AU324" i="31"/>
  <c r="AT336" i="31"/>
  <c r="Y351" i="31"/>
  <c r="AS368" i="31"/>
  <c r="Y383" i="31"/>
  <c r="AK399" i="31"/>
  <c r="AK409" i="31"/>
  <c r="AK410" i="31"/>
  <c r="AK411" i="31"/>
  <c r="Z424" i="31"/>
  <c r="Y425" i="31"/>
  <c r="AS76" i="32"/>
  <c r="AR86" i="32"/>
  <c r="AK98" i="32"/>
  <c r="AR103" i="32"/>
  <c r="AK159" i="32"/>
  <c r="AT180" i="32"/>
  <c r="AS212" i="32"/>
  <c r="AR220" i="32"/>
  <c r="AS242" i="32"/>
  <c r="AR243" i="32"/>
  <c r="AK246" i="32"/>
  <c r="AS258" i="32"/>
  <c r="AS265" i="32"/>
  <c r="AU313" i="32"/>
  <c r="AT316" i="32"/>
  <c r="AT327" i="32"/>
  <c r="AS349" i="32"/>
  <c r="AR374" i="32"/>
  <c r="AU376" i="32"/>
  <c r="AU378" i="32"/>
  <c r="AK386" i="32"/>
  <c r="AK388" i="32"/>
  <c r="AS394" i="32"/>
  <c r="Z410" i="32"/>
  <c r="AK411" i="32"/>
  <c r="AR415" i="32"/>
  <c r="AU419" i="32"/>
  <c r="AT420" i="32"/>
  <c r="Y423" i="32"/>
  <c r="Z424" i="32"/>
  <c r="AK426" i="32"/>
  <c r="AS86" i="32"/>
  <c r="AS103" i="32"/>
  <c r="AU212" i="32"/>
  <c r="AS220" i="32"/>
  <c r="AT243" i="32"/>
  <c r="AT258" i="32"/>
  <c r="AT265" i="32"/>
  <c r="AU316" i="32"/>
  <c r="AU327" i="32"/>
  <c r="AT349" i="32"/>
  <c r="AS374" i="32"/>
  <c r="AS415" i="32"/>
  <c r="AU420" i="32"/>
  <c r="AK232" i="31"/>
  <c r="AS279" i="31"/>
  <c r="AK376" i="31"/>
  <c r="AT314" i="32"/>
  <c r="AK369" i="32"/>
  <c r="AU151" i="31"/>
  <c r="AU112" i="31"/>
  <c r="AR129" i="31"/>
  <c r="Z175" i="31"/>
  <c r="AS195" i="31"/>
  <c r="Y237" i="31"/>
  <c r="AR276" i="31"/>
  <c r="Y280" i="31"/>
  <c r="AK289" i="31"/>
  <c r="AK311" i="31"/>
  <c r="AK326" i="31"/>
  <c r="Y338" i="31"/>
  <c r="Z350" i="31"/>
  <c r="AU363" i="31"/>
  <c r="AR403" i="31"/>
  <c r="AK422" i="31"/>
  <c r="AK424" i="31"/>
  <c r="AK425" i="31"/>
  <c r="AK426" i="31"/>
  <c r="AM78" i="32"/>
  <c r="AT86" i="32"/>
  <c r="AR92" i="32"/>
  <c r="AT103" i="32"/>
  <c r="AS104" i="32"/>
  <c r="AR144" i="32"/>
  <c r="AK155" i="32"/>
  <c r="AT220" i="32"/>
  <c r="AR240" i="32"/>
  <c r="AU265" i="32"/>
  <c r="AR303" i="32"/>
  <c r="AR304" i="32"/>
  <c r="AT305" i="32"/>
  <c r="AR339" i="32"/>
  <c r="AT374" i="32"/>
  <c r="Y378" i="32"/>
  <c r="AK407" i="32"/>
  <c r="AK410" i="32"/>
  <c r="AT415" i="32"/>
  <c r="Y418" i="32"/>
  <c r="AK424" i="32"/>
  <c r="AT281" i="31"/>
  <c r="AS180" i="32"/>
  <c r="AS276" i="31"/>
  <c r="AS303" i="32"/>
  <c r="AT304" i="32"/>
  <c r="AU305" i="32"/>
  <c r="AM334" i="32"/>
  <c r="AK366" i="32"/>
  <c r="AK409" i="32"/>
  <c r="AK419" i="32"/>
  <c r="AK79" i="34"/>
  <c r="AS324" i="31"/>
  <c r="AS129" i="31"/>
  <c r="AK220" i="31"/>
  <c r="AK245" i="31"/>
  <c r="AK390" i="31"/>
  <c r="AT129" i="31"/>
  <c r="AR214" i="31"/>
  <c r="Z228" i="31"/>
  <c r="AU276" i="31"/>
  <c r="Y278" i="31"/>
  <c r="Y295" i="31"/>
  <c r="AK298" i="31"/>
  <c r="Y308" i="31"/>
  <c r="Z369" i="31"/>
  <c r="AT379" i="31"/>
  <c r="AR386" i="31"/>
  <c r="AU403" i="31"/>
  <c r="AS415" i="31"/>
  <c r="AJ74" i="32"/>
  <c r="AK74" i="32" s="1"/>
  <c r="AR101" i="32"/>
  <c r="AS106" i="32"/>
  <c r="AR168" i="32"/>
  <c r="AK173" i="32"/>
  <c r="AR224" i="32"/>
  <c r="AR226" i="32"/>
  <c r="AR229" i="32"/>
  <c r="AR230" i="32"/>
  <c r="AU240" i="32"/>
  <c r="Z244" i="32"/>
  <c r="AR260" i="32"/>
  <c r="AT303" i="32"/>
  <c r="AU304" i="32"/>
  <c r="AR329" i="32"/>
  <c r="AR337" i="32"/>
  <c r="AR347" i="32"/>
  <c r="AR362" i="32"/>
  <c r="AR399" i="32"/>
  <c r="AR401" i="32"/>
  <c r="AT124" i="31"/>
  <c r="AT178" i="31"/>
  <c r="D56" i="32" a="1"/>
  <c r="D56" i="32" s="1"/>
  <c r="AK270" i="31"/>
  <c r="AK299" i="31"/>
  <c r="AK351" i="31"/>
  <c r="AK371" i="31"/>
  <c r="AS94" i="31"/>
  <c r="AS106" i="31"/>
  <c r="Z113" i="31"/>
  <c r="AK168" i="31"/>
  <c r="AS187" i="31"/>
  <c r="AK269" i="31"/>
  <c r="AK280" i="31"/>
  <c r="AK309" i="31"/>
  <c r="AK325" i="31"/>
  <c r="AK370" i="31"/>
  <c r="AU379" i="31"/>
  <c r="AK405" i="31"/>
  <c r="AU415" i="31"/>
  <c r="AK421" i="31"/>
  <c r="AK162" i="32"/>
  <c r="AK197" i="32"/>
  <c r="AK210" i="32"/>
  <c r="AS224" i="32"/>
  <c r="AS226" i="32"/>
  <c r="AS227" i="32"/>
  <c r="AS229" i="32"/>
  <c r="AT230" i="32"/>
  <c r="AS260" i="32"/>
  <c r="AS337" i="32"/>
  <c r="AR355" i="32"/>
  <c r="AT360" i="32"/>
  <c r="AS362" i="32"/>
  <c r="AK365" i="32"/>
  <c r="AT370" i="32"/>
  <c r="AS399" i="32"/>
  <c r="AU200" i="31"/>
  <c r="AS267" i="31"/>
  <c r="AU408" i="32"/>
  <c r="G28" i="33"/>
  <c r="AS102" i="31"/>
  <c r="AK377" i="31"/>
  <c r="AT110" i="32"/>
  <c r="AK397" i="32"/>
  <c r="AU87" i="31"/>
  <c r="AK96" i="31"/>
  <c r="AS120" i="31"/>
  <c r="AK123" i="31"/>
  <c r="AR134" i="31"/>
  <c r="AS171" i="31"/>
  <c r="AU187" i="31"/>
  <c r="Z234" i="31"/>
  <c r="Y242" i="31"/>
  <c r="AK256" i="31"/>
  <c r="AK266" i="31"/>
  <c r="AK267" i="31"/>
  <c r="AK268" i="31"/>
  <c r="AK308" i="31"/>
  <c r="AK316" i="31"/>
  <c r="AK350" i="31"/>
  <c r="AS354" i="31"/>
  <c r="Z365" i="31"/>
  <c r="AK367" i="31"/>
  <c r="AT376" i="31"/>
  <c r="AR411" i="31"/>
  <c r="AU413" i="31"/>
  <c r="AK419" i="31"/>
  <c r="AS91" i="32"/>
  <c r="Z141" i="32"/>
  <c r="AR165" i="32"/>
  <c r="AR166" i="32"/>
  <c r="AL181" i="32"/>
  <c r="AT182" i="32"/>
  <c r="AR237" i="32"/>
  <c r="AT271" i="32"/>
  <c r="AS272" i="32"/>
  <c r="AS386" i="32"/>
  <c r="AS387" i="32"/>
  <c r="AR388" i="32"/>
  <c r="AU396" i="32"/>
  <c r="AU397" i="32"/>
  <c r="Y399" i="32"/>
  <c r="Z402" i="32"/>
  <c r="Z403" i="32"/>
  <c r="AK405" i="32"/>
  <c r="AK422" i="32"/>
  <c r="AK77" i="33"/>
  <c r="H27" i="33" s="1" a="1"/>
  <c r="H27" i="33" s="1"/>
  <c r="AR205" i="31"/>
  <c r="AS231" i="31"/>
  <c r="AR232" i="31"/>
  <c r="AU234" i="31"/>
  <c r="AR253" i="31"/>
  <c r="AU272" i="31"/>
  <c r="AR272" i="31"/>
  <c r="Y382" i="31"/>
  <c r="Z382" i="31"/>
  <c r="AT405" i="31"/>
  <c r="AU405" i="31"/>
  <c r="AS405" i="31"/>
  <c r="AR405" i="31"/>
  <c r="AT290" i="32"/>
  <c r="AS290" i="32"/>
  <c r="AR290" i="32"/>
  <c r="AU290" i="32"/>
  <c r="AU358" i="32"/>
  <c r="AT358" i="32"/>
  <c r="AS358" i="32"/>
  <c r="AR358" i="32"/>
  <c r="AU356" i="31"/>
  <c r="AR356" i="31"/>
  <c r="AR82" i="31"/>
  <c r="B7" i="31" a="1"/>
  <c r="B7" i="31" s="1"/>
  <c r="AS82" i="31"/>
  <c r="AK86" i="31"/>
  <c r="AK101" i="31"/>
  <c r="AR106" i="31"/>
  <c r="AR144" i="31"/>
  <c r="AS164" i="31"/>
  <c r="AU194" i="31"/>
  <c r="AS194" i="31"/>
  <c r="AT231" i="31"/>
  <c r="AS232" i="31"/>
  <c r="AK238" i="31"/>
  <c r="Y257" i="31"/>
  <c r="AS272" i="31"/>
  <c r="AU296" i="31"/>
  <c r="AR296" i="31"/>
  <c r="AS311" i="31"/>
  <c r="AT356" i="31"/>
  <c r="AT366" i="31"/>
  <c r="AU366" i="31"/>
  <c r="AS275" i="32"/>
  <c r="AU275" i="32"/>
  <c r="AT275" i="32"/>
  <c r="AR275" i="32"/>
  <c r="AK117" i="31"/>
  <c r="AU231" i="31"/>
  <c r="AT232" i="31"/>
  <c r="AT272" i="31"/>
  <c r="AT294" i="31"/>
  <c r="AR294" i="31"/>
  <c r="AR319" i="31"/>
  <c r="AS319" i="31"/>
  <c r="AT133" i="32"/>
  <c r="AU133" i="32"/>
  <c r="AS133" i="32"/>
  <c r="AU253" i="31"/>
  <c r="AS253" i="31"/>
  <c r="AT82" i="31"/>
  <c r="AR120" i="31"/>
  <c r="AM139" i="31"/>
  <c r="AU191" i="31"/>
  <c r="AS191" i="31"/>
  <c r="Z235" i="31"/>
  <c r="AS269" i="31"/>
  <c r="AR269" i="31"/>
  <c r="Y275" i="31"/>
  <c r="AU284" i="31"/>
  <c r="AR284" i="31"/>
  <c r="AU285" i="31"/>
  <c r="AS285" i="31"/>
  <c r="AS293" i="31"/>
  <c r="AS294" i="31"/>
  <c r="AK303" i="31"/>
  <c r="AK338" i="31"/>
  <c r="AS345" i="31"/>
  <c r="AR345" i="31"/>
  <c r="AK391" i="31"/>
  <c r="AU185" i="32"/>
  <c r="AT185" i="32"/>
  <c r="AS185" i="32"/>
  <c r="AR185" i="32"/>
  <c r="AS274" i="31"/>
  <c r="AT274" i="31"/>
  <c r="AT170" i="31"/>
  <c r="AU170" i="31"/>
  <c r="AR292" i="31"/>
  <c r="AU292" i="31"/>
  <c r="AS292" i="31"/>
  <c r="AK313" i="31"/>
  <c r="AR326" i="31"/>
  <c r="AU326" i="31"/>
  <c r="AS326" i="31"/>
  <c r="AM177" i="31"/>
  <c r="AU75" i="31"/>
  <c r="AR94" i="31"/>
  <c r="AU113" i="31"/>
  <c r="AK126" i="31"/>
  <c r="AK174" i="31"/>
  <c r="AU214" i="31"/>
  <c r="AS214" i="31"/>
  <c r="AK224" i="31"/>
  <c r="AS228" i="31"/>
  <c r="AT228" i="31"/>
  <c r="AK235" i="31"/>
  <c r="AK246" i="31"/>
  <c r="AU269" i="31"/>
  <c r="AK277" i="31"/>
  <c r="AT284" i="31"/>
  <c r="AT285" i="31"/>
  <c r="AT292" i="31"/>
  <c r="AR308" i="31"/>
  <c r="AU308" i="31"/>
  <c r="AS308" i="31"/>
  <c r="AK312" i="31"/>
  <c r="AT326" i="31"/>
  <c r="Z331" i="31"/>
  <c r="AK333" i="31"/>
  <c r="AU402" i="31"/>
  <c r="AT402" i="31"/>
  <c r="AS402" i="31"/>
  <c r="AR402" i="31"/>
  <c r="AU217" i="32"/>
  <c r="AT217" i="32"/>
  <c r="AS217" i="32"/>
  <c r="AR217" i="32"/>
  <c r="AM190" i="31"/>
  <c r="AJ190" i="31"/>
  <c r="AK190" i="31" s="1"/>
  <c r="Z271" i="31"/>
  <c r="Y271" i="31"/>
  <c r="Z354" i="31"/>
  <c r="Y354" i="31"/>
  <c r="AU95" i="31"/>
  <c r="AU182" i="31"/>
  <c r="AT182" i="31"/>
  <c r="AR196" i="31"/>
  <c r="AU241" i="31"/>
  <c r="AT306" i="31"/>
  <c r="AR306" i="31"/>
  <c r="Z318" i="31"/>
  <c r="Y318" i="31"/>
  <c r="Z328" i="31"/>
  <c r="AM156" i="31"/>
  <c r="I34" i="31" s="1" a="1"/>
  <c r="I34" i="31" s="1"/>
  <c r="AU162" i="31"/>
  <c r="E49" i="31"/>
  <c r="AR74" i="31"/>
  <c r="AR78" i="31"/>
  <c r="AS90" i="31"/>
  <c r="AS91" i="31"/>
  <c r="AR92" i="31"/>
  <c r="AT102" i="31"/>
  <c r="AM108" i="31"/>
  <c r="AS109" i="31"/>
  <c r="AS112" i="31"/>
  <c r="AR116" i="31"/>
  <c r="AS141" i="31"/>
  <c r="AR141" i="31"/>
  <c r="AS142" i="31"/>
  <c r="AR182" i="31"/>
  <c r="AT193" i="31"/>
  <c r="AS196" i="31"/>
  <c r="AT209" i="31"/>
  <c r="AR209" i="31"/>
  <c r="AU226" i="31"/>
  <c r="AS226" i="31"/>
  <c r="AU262" i="31"/>
  <c r="AR262" i="31"/>
  <c r="AS306" i="31"/>
  <c r="AK310" i="31"/>
  <c r="AK332" i="31"/>
  <c r="AK347" i="31"/>
  <c r="AK365" i="31"/>
  <c r="Z387" i="31"/>
  <c r="AT211" i="32"/>
  <c r="AS211" i="32"/>
  <c r="AR211" i="32"/>
  <c r="AU211" i="32"/>
  <c r="AR90" i="31"/>
  <c r="AR112" i="31"/>
  <c r="F49" i="31" a="1"/>
  <c r="F49" i="31" s="1"/>
  <c r="AS74" i="31"/>
  <c r="AS78" i="31"/>
  <c r="AT90" i="31"/>
  <c r="AT91" i="31"/>
  <c r="AS92" i="31"/>
  <c r="AT109" i="31"/>
  <c r="AS116" i="31"/>
  <c r="AK120" i="31"/>
  <c r="AU127" i="31"/>
  <c r="AT141" i="31"/>
  <c r="AT154" i="31"/>
  <c r="AS182" i="31"/>
  <c r="AU193" i="31"/>
  <c r="AT196" i="31"/>
  <c r="AK204" i="31"/>
  <c r="AS209" i="31"/>
  <c r="AR226" i="31"/>
  <c r="AK234" i="31"/>
  <c r="AS262" i="31"/>
  <c r="Z266" i="31"/>
  <c r="AT280" i="31"/>
  <c r="AR280" i="31"/>
  <c r="Z292" i="31"/>
  <c r="AU306" i="31"/>
  <c r="Z326" i="31"/>
  <c r="AK334" i="31"/>
  <c r="Z377" i="31"/>
  <c r="Y377" i="31"/>
  <c r="AJ144" i="31"/>
  <c r="AK144" i="31" s="1"/>
  <c r="N8" i="31" s="1"/>
  <c r="B12" i="31" s="1" a="1"/>
  <c r="B12" i="31" s="1"/>
  <c r="N43" i="31" s="1" a="1"/>
  <c r="N43" i="31" s="1"/>
  <c r="AS201" i="31"/>
  <c r="AU201" i="31"/>
  <c r="AT201" i="31"/>
  <c r="AT223" i="31"/>
  <c r="Z241" i="31"/>
  <c r="Y260" i="31"/>
  <c r="AT278" i="31"/>
  <c r="Y283" i="31"/>
  <c r="AT337" i="31"/>
  <c r="AU337" i="31"/>
  <c r="Z385" i="31"/>
  <c r="AT164" i="32"/>
  <c r="AR164" i="32"/>
  <c r="AS167" i="31"/>
  <c r="AU167" i="31"/>
  <c r="AK80" i="31"/>
  <c r="AR85" i="31"/>
  <c r="AS86" i="31"/>
  <c r="AR87" i="31"/>
  <c r="AS101" i="31"/>
  <c r="AR111" i="31"/>
  <c r="AK118" i="31"/>
  <c r="AS125" i="31"/>
  <c r="AK136" i="31"/>
  <c r="AU138" i="31"/>
  <c r="AM144" i="31"/>
  <c r="AM153" i="31"/>
  <c r="I31" i="31" s="1" a="1"/>
  <c r="I31" i="31" s="1"/>
  <c r="AR156" i="31"/>
  <c r="AR166" i="31"/>
  <c r="AT167" i="31"/>
  <c r="AK203" i="31"/>
  <c r="AU223" i="31"/>
  <c r="AK228" i="31"/>
  <c r="AR255" i="31"/>
  <c r="AR256" i="31"/>
  <c r="AS87" i="31"/>
  <c r="AK95" i="31"/>
  <c r="AS156" i="31"/>
  <c r="AS166" i="31"/>
  <c r="AU236" i="31"/>
  <c r="AS236" i="31"/>
  <c r="AU249" i="31"/>
  <c r="AT249" i="31"/>
  <c r="AR249" i="31"/>
  <c r="AS255" i="31"/>
  <c r="AS256" i="31"/>
  <c r="AK290" i="31"/>
  <c r="AK291" i="31"/>
  <c r="Z401" i="31"/>
  <c r="Y401" i="31"/>
  <c r="AR86" i="31"/>
  <c r="Z95" i="31"/>
  <c r="AL144" i="31"/>
  <c r="O8" i="31" s="1"/>
  <c r="C12" i="31" s="1" a="1"/>
  <c r="C12" i="31" s="1"/>
  <c r="AT86" i="31"/>
  <c r="AT125" i="31"/>
  <c r="AU84" i="31"/>
  <c r="AK116" i="31"/>
  <c r="AU125" i="31"/>
  <c r="AT151" i="31"/>
  <c r="AU166" i="31"/>
  <c r="AT198" i="31"/>
  <c r="AR198" i="31"/>
  <c r="AK210" i="31"/>
  <c r="AR236" i="31"/>
  <c r="AS249" i="31"/>
  <c r="AT255" i="31"/>
  <c r="AU256" i="31"/>
  <c r="AK306" i="31"/>
  <c r="AK327" i="31"/>
  <c r="AK340" i="31"/>
  <c r="AK343" i="31"/>
  <c r="AS72" i="32"/>
  <c r="AS89" i="32"/>
  <c r="AR112" i="32"/>
  <c r="AU112" i="32"/>
  <c r="AT112" i="32"/>
  <c r="AU175" i="32"/>
  <c r="AT175" i="32"/>
  <c r="Z362" i="32"/>
  <c r="AK321" i="31"/>
  <c r="AK385" i="31"/>
  <c r="AU72" i="32"/>
  <c r="AS73" i="32"/>
  <c r="AT81" i="32"/>
  <c r="AU89" i="32"/>
  <c r="AU105" i="32"/>
  <c r="AT105" i="32"/>
  <c r="AU119" i="32"/>
  <c r="AT119" i="32"/>
  <c r="AS175" i="32"/>
  <c r="AT188" i="32"/>
  <c r="AU188" i="32"/>
  <c r="AS188" i="32"/>
  <c r="AS280" i="32"/>
  <c r="AU280" i="32"/>
  <c r="AR280" i="32"/>
  <c r="AU307" i="32"/>
  <c r="AT307" i="32"/>
  <c r="AS307" i="32"/>
  <c r="AR307" i="32"/>
  <c r="AU326" i="32"/>
  <c r="AT326" i="32"/>
  <c r="AS326" i="32"/>
  <c r="AR326" i="32"/>
  <c r="AU411" i="32"/>
  <c r="AT411" i="32"/>
  <c r="AS411" i="32"/>
  <c r="AK272" i="31"/>
  <c r="AK296" i="31"/>
  <c r="AK297" i="31"/>
  <c r="AK301" i="31"/>
  <c r="AR314" i="31"/>
  <c r="AR350" i="31"/>
  <c r="Y381" i="31"/>
  <c r="AT392" i="31"/>
  <c r="AK400" i="31"/>
  <c r="AT73" i="32"/>
  <c r="AU81" i="32"/>
  <c r="AR105" i="32"/>
  <c r="AR119" i="32"/>
  <c r="AR149" i="32"/>
  <c r="Y159" i="32"/>
  <c r="AM181" i="32"/>
  <c r="AR188" i="32"/>
  <c r="AU205" i="32"/>
  <c r="AR205" i="32"/>
  <c r="AU232" i="32"/>
  <c r="AT232" i="32"/>
  <c r="AS232" i="32"/>
  <c r="AR232" i="32"/>
  <c r="AT280" i="32"/>
  <c r="AR294" i="32"/>
  <c r="AU294" i="32"/>
  <c r="AT294" i="32"/>
  <c r="AR411" i="32"/>
  <c r="AK257" i="31"/>
  <c r="AK271" i="31"/>
  <c r="AK279" i="31"/>
  <c r="AK281" i="31"/>
  <c r="AS314" i="31"/>
  <c r="AK318" i="31"/>
  <c r="AK382" i="31"/>
  <c r="AK383" i="31"/>
  <c r="AJ396" i="31"/>
  <c r="AK396" i="31" s="1"/>
  <c r="N15" i="31" s="1"/>
  <c r="AU85" i="32"/>
  <c r="AT85" i="32"/>
  <c r="AS85" i="32"/>
  <c r="AS105" i="32"/>
  <c r="AS119" i="32"/>
  <c r="AS149" i="32"/>
  <c r="AK177" i="32"/>
  <c r="AR274" i="32"/>
  <c r="AU274" i="32"/>
  <c r="AT274" i="32"/>
  <c r="AS274" i="32"/>
  <c r="AK342" i="32"/>
  <c r="AT197" i="32"/>
  <c r="AU197" i="32"/>
  <c r="AS197" i="32"/>
  <c r="AU213" i="32"/>
  <c r="AT213" i="32"/>
  <c r="AS213" i="32"/>
  <c r="AU383" i="32"/>
  <c r="AT383" i="32"/>
  <c r="AS383" i="32"/>
  <c r="AR383" i="32"/>
  <c r="AK121" i="31"/>
  <c r="AK131" i="31"/>
  <c r="AM138" i="31"/>
  <c r="AK218" i="31"/>
  <c r="AK219" i="31"/>
  <c r="AK222" i="31"/>
  <c r="AU246" i="31"/>
  <c r="AK283" i="31"/>
  <c r="AS310" i="31"/>
  <c r="AS312" i="31"/>
  <c r="AS333" i="31"/>
  <c r="AU336" i="31"/>
  <c r="AS338" i="31"/>
  <c r="AU341" i="31"/>
  <c r="AS342" i="31"/>
  <c r="AS346" i="31"/>
  <c r="AK353" i="31"/>
  <c r="AK381" i="31"/>
  <c r="AK384" i="31"/>
  <c r="AU388" i="31"/>
  <c r="AT388" i="31"/>
  <c r="Z392" i="31"/>
  <c r="Y392" i="31"/>
  <c r="AS407" i="31"/>
  <c r="AT422" i="31"/>
  <c r="AK97" i="32"/>
  <c r="AK121" i="32"/>
  <c r="AK127" i="32"/>
  <c r="AU144" i="32"/>
  <c r="AT162" i="32"/>
  <c r="AS162" i="32"/>
  <c r="AR162" i="32"/>
  <c r="AK176" i="32"/>
  <c r="AU182" i="32"/>
  <c r="AM212" i="32"/>
  <c r="AR213" i="32"/>
  <c r="AJ216" i="32"/>
  <c r="AK216" i="32" s="1"/>
  <c r="N10" i="32" s="1"/>
  <c r="AM216" i="32"/>
  <c r="AL216" i="32"/>
  <c r="O10" i="32" s="1"/>
  <c r="AT245" i="32"/>
  <c r="AU245" i="32"/>
  <c r="AS245" i="32"/>
  <c r="AR245" i="32"/>
  <c r="AR262" i="32"/>
  <c r="AU328" i="32"/>
  <c r="AT328" i="32"/>
  <c r="AS328" i="32"/>
  <c r="AS355" i="32"/>
  <c r="AK390" i="32"/>
  <c r="Y406" i="32"/>
  <c r="Y407" i="32"/>
  <c r="AU409" i="32"/>
  <c r="AK213" i="33"/>
  <c r="O55" i="33" s="1" a="1"/>
  <c r="O55" i="33" s="1"/>
  <c r="AU196" i="32"/>
  <c r="AT196" i="32"/>
  <c r="AS196" i="32"/>
  <c r="AT262" i="32"/>
  <c r="AI333" i="32"/>
  <c r="AL333" i="32"/>
  <c r="AT355" i="32"/>
  <c r="AK129" i="31"/>
  <c r="AS207" i="31"/>
  <c r="AU248" i="31"/>
  <c r="AK319" i="31"/>
  <c r="Y349" i="31"/>
  <c r="AK355" i="31"/>
  <c r="AK363" i="31"/>
  <c r="Z372" i="31"/>
  <c r="AK374" i="31"/>
  <c r="AU386" i="31"/>
  <c r="AT386" i="31"/>
  <c r="AS388" i="31"/>
  <c r="AK394" i="31"/>
  <c r="AR399" i="31"/>
  <c r="AU404" i="31"/>
  <c r="AS408" i="31"/>
  <c r="AR409" i="31"/>
  <c r="AR415" i="31"/>
  <c r="Y422" i="31"/>
  <c r="B6" i="32" a="1"/>
  <c r="B6" i="32" s="1"/>
  <c r="A1" i="32" s="1"/>
  <c r="AM74" i="32"/>
  <c r="AR76" i="32"/>
  <c r="AR172" i="32"/>
  <c r="AM189" i="32"/>
  <c r="AR196" i="32"/>
  <c r="AI247" i="32"/>
  <c r="AL250" i="32"/>
  <c r="AR256" i="32"/>
  <c r="AU262" i="32"/>
  <c r="AT264" i="32"/>
  <c r="AR264" i="32"/>
  <c r="Y337" i="32"/>
  <c r="Z405" i="32"/>
  <c r="Z408" i="32"/>
  <c r="Y408" i="32"/>
  <c r="AR427" i="32"/>
  <c r="Y430" i="32"/>
  <c r="AK375" i="31"/>
  <c r="AK430" i="31"/>
  <c r="AU79" i="32"/>
  <c r="AS79" i="32"/>
  <c r="AR79" i="32"/>
  <c r="AK119" i="32"/>
  <c r="AT161" i="32"/>
  <c r="AU161" i="32"/>
  <c r="AS161" i="32"/>
  <c r="AR161" i="32"/>
  <c r="Y429" i="32"/>
  <c r="Z429" i="32"/>
  <c r="AK184" i="33"/>
  <c r="O26" i="33" s="1" a="1"/>
  <c r="O26" i="33" s="1"/>
  <c r="Z345" i="31"/>
  <c r="Z348" i="31"/>
  <c r="Y390" i="31"/>
  <c r="AU408" i="31"/>
  <c r="Z421" i="31"/>
  <c r="Y429" i="31"/>
  <c r="AJ72" i="32"/>
  <c r="AK72" i="32" s="1"/>
  <c r="N6" i="32" s="1"/>
  <c r="AI74" i="32"/>
  <c r="AT76" i="32"/>
  <c r="AT79" i="32"/>
  <c r="AM86" i="32"/>
  <c r="AR87" i="32"/>
  <c r="AR94" i="32"/>
  <c r="AU101" i="32"/>
  <c r="AT101" i="32"/>
  <c r="AR115" i="32"/>
  <c r="AK186" i="32"/>
  <c r="AR201" i="32"/>
  <c r="AS202" i="32"/>
  <c r="AU330" i="32"/>
  <c r="AT330" i="32"/>
  <c r="AS330" i="32"/>
  <c r="AR330" i="32"/>
  <c r="AJ332" i="32"/>
  <c r="AK332" i="32" s="1"/>
  <c r="AT333" i="32"/>
  <c r="AS344" i="32"/>
  <c r="AU344" i="32"/>
  <c r="AT344" i="32"/>
  <c r="AS423" i="32"/>
  <c r="AS425" i="32"/>
  <c r="AT427" i="32"/>
  <c r="AT266" i="32"/>
  <c r="AU266" i="32"/>
  <c r="AR266" i="32"/>
  <c r="AT201" i="32"/>
  <c r="AU202" i="32"/>
  <c r="AS218" i="32"/>
  <c r="AS221" i="32"/>
  <c r="AU221" i="32"/>
  <c r="AT221" i="32"/>
  <c r="AR221" i="32"/>
  <c r="AR238" i="32"/>
  <c r="AS266" i="32"/>
  <c r="AR310" i="32"/>
  <c r="AT311" i="32"/>
  <c r="Y315" i="32"/>
  <c r="Y326" i="32"/>
  <c r="AM332" i="32"/>
  <c r="AK243" i="31"/>
  <c r="AK247" i="31"/>
  <c r="AK248" i="31"/>
  <c r="AT279" i="31"/>
  <c r="AK302" i="31"/>
  <c r="AK305" i="31"/>
  <c r="AK331" i="31"/>
  <c r="AK336" i="31"/>
  <c r="AK368" i="31"/>
  <c r="AK372" i="31"/>
  <c r="AS383" i="31"/>
  <c r="AR383" i="31"/>
  <c r="AK393" i="31"/>
  <c r="AK403" i="31"/>
  <c r="Z412" i="31"/>
  <c r="AK413" i="31"/>
  <c r="Y414" i="31"/>
  <c r="AK423" i="31"/>
  <c r="AU100" i="32"/>
  <c r="AT100" i="32"/>
  <c r="AR106" i="32"/>
  <c r="AJ185" i="32"/>
  <c r="AK185" i="32" s="1"/>
  <c r="AT194" i="32"/>
  <c r="AT218" i="32"/>
  <c r="AU223" i="32"/>
  <c r="AT223" i="32"/>
  <c r="AS223" i="32"/>
  <c r="AR223" i="32"/>
  <c r="AS238" i="32"/>
  <c r="AS310" i="32"/>
  <c r="AK407" i="31"/>
  <c r="AK428" i="31"/>
  <c r="AK104" i="32"/>
  <c r="AK196" i="32"/>
  <c r="AT238" i="32"/>
  <c r="AU310" i="32"/>
  <c r="AU413" i="32"/>
  <c r="AK253" i="35"/>
  <c r="O23" i="35" s="1" a="1"/>
  <c r="O23" i="35" s="1"/>
  <c r="AM182" i="31"/>
  <c r="AK188" i="31"/>
  <c r="AK250" i="31"/>
  <c r="AK264" i="31"/>
  <c r="AK300" i="31"/>
  <c r="AK322" i="31"/>
  <c r="AK366" i="31"/>
  <c r="AU383" i="31"/>
  <c r="AK402" i="31"/>
  <c r="AK416" i="31"/>
  <c r="AK417" i="31"/>
  <c r="AM83" i="32"/>
  <c r="AU93" i="32"/>
  <c r="AT93" i="32"/>
  <c r="AS93" i="32"/>
  <c r="AT106" i="32"/>
  <c r="AS176" i="32"/>
  <c r="AU176" i="32"/>
  <c r="Y222" i="32"/>
  <c r="AK271" i="32"/>
  <c r="AT340" i="32"/>
  <c r="AS340" i="32"/>
  <c r="AR340" i="32"/>
  <c r="Z364" i="32"/>
  <c r="H27" i="35" a="1"/>
  <c r="H27" i="35" s="1"/>
  <c r="I22" i="35" a="1"/>
  <c r="I22" i="35" s="1"/>
  <c r="AK260" i="35"/>
  <c r="O30" i="35" s="1" a="1"/>
  <c r="O30" i="35" s="1"/>
  <c r="AK106" i="36"/>
  <c r="O56" i="36" s="1" a="1"/>
  <c r="O56" i="36" s="1"/>
  <c r="AK340" i="32"/>
  <c r="AK404" i="32"/>
  <c r="AK418" i="32"/>
  <c r="C12" i="34" a="1"/>
  <c r="C12" i="34" s="1"/>
  <c r="I23" i="34" a="1"/>
  <c r="I23" i="34" s="1"/>
  <c r="I26" i="35" a="1"/>
  <c r="I26" i="35" s="1"/>
  <c r="AK126" i="32"/>
  <c r="AK194" i="32"/>
  <c r="AK363" i="32"/>
  <c r="AK214" i="34"/>
  <c r="O56" i="34" s="1" a="1"/>
  <c r="O56" i="34" s="1"/>
  <c r="AK141" i="32"/>
  <c r="AK241" i="32"/>
  <c r="AK312" i="32"/>
  <c r="AK314" i="32"/>
  <c r="AK317" i="32"/>
  <c r="AT369" i="32"/>
  <c r="AR372" i="32"/>
  <c r="AT378" i="32"/>
  <c r="AR384" i="32"/>
  <c r="AS385" i="32"/>
  <c r="AR386" i="32"/>
  <c r="AR397" i="32"/>
  <c r="AK408" i="32"/>
  <c r="AK430" i="32"/>
  <c r="I32" i="33" a="1"/>
  <c r="I32" i="33" s="1"/>
  <c r="AK114" i="32"/>
  <c r="AK131" i="32"/>
  <c r="AK236" i="32"/>
  <c r="AK239" i="32"/>
  <c r="AK311" i="32"/>
  <c r="AK427" i="32"/>
  <c r="I28" i="33" a="1"/>
  <c r="I28" i="33" s="1"/>
  <c r="G25" i="35"/>
  <c r="AK72" i="36"/>
  <c r="O22" i="36" s="1" a="1"/>
  <c r="O22" i="36" s="1"/>
  <c r="AM333" i="32"/>
  <c r="I23" i="33" a="1"/>
  <c r="I23" i="33" s="1"/>
  <c r="AK180" i="34"/>
  <c r="O22" i="34" s="1" a="1"/>
  <c r="O22" i="34" s="1"/>
  <c r="AS342" i="32"/>
  <c r="Z380" i="32"/>
  <c r="AR392" i="32"/>
  <c r="AR394" i="32"/>
  <c r="I27" i="34" a="1"/>
  <c r="I27" i="34" s="1"/>
  <c r="AK408" i="31"/>
  <c r="AK418" i="31"/>
  <c r="AM92" i="32"/>
  <c r="AK139" i="32"/>
  <c r="AK192" i="32"/>
  <c r="AS249" i="32"/>
  <c r="AS339" i="32"/>
  <c r="AT345" i="32"/>
  <c r="AS346" i="32"/>
  <c r="AS347" i="32"/>
  <c r="AM355" i="32"/>
  <c r="AR356" i="32"/>
  <c r="AS361" i="32"/>
  <c r="AR364" i="32"/>
  <c r="AR365" i="32"/>
  <c r="AK371" i="32"/>
  <c r="Y375" i="32"/>
  <c r="AK380" i="32"/>
  <c r="Y387" i="32"/>
  <c r="AS388" i="32"/>
  <c r="AU392" i="32"/>
  <c r="AT394" i="32"/>
  <c r="Y398" i="32"/>
  <c r="AS401" i="32"/>
  <c r="AK414" i="32"/>
  <c r="I22" i="33" a="1"/>
  <c r="I22" i="33" s="1"/>
  <c r="G56" i="35"/>
  <c r="AS363" i="31"/>
  <c r="AK420" i="31"/>
  <c r="AI78" i="32"/>
  <c r="AS125" i="32"/>
  <c r="AK169" i="32"/>
  <c r="AK209" i="32"/>
  <c r="AU249" i="32"/>
  <c r="AM325" i="32"/>
  <c r="AT339" i="32"/>
  <c r="AU345" i="32"/>
  <c r="AT346" i="32"/>
  <c r="AT347" i="32"/>
  <c r="AS356" i="32"/>
  <c r="AT361" i="32"/>
  <c r="AS364" i="32"/>
  <c r="AS365" i="32"/>
  <c r="AK370" i="32"/>
  <c r="AK384" i="32"/>
  <c r="AK385" i="32"/>
  <c r="AU388" i="32"/>
  <c r="AU401" i="32"/>
  <c r="G24" i="33"/>
  <c r="I56" i="35" a="1"/>
  <c r="I56" i="35" s="1"/>
  <c r="AK137" i="32"/>
  <c r="AK168" i="32"/>
  <c r="AK230" i="32"/>
  <c r="AK231" i="32"/>
  <c r="AK306" i="32"/>
  <c r="AK320" i="32"/>
  <c r="AK354" i="32"/>
  <c r="AU364" i="32"/>
  <c r="AK368" i="32"/>
  <c r="AK375" i="32"/>
  <c r="AK80" i="36"/>
  <c r="O30" i="36" s="1" a="1"/>
  <c r="O30" i="36" s="1"/>
  <c r="H25" i="36" a="1"/>
  <c r="H25" i="36" s="1"/>
  <c r="AK105" i="36"/>
  <c r="O55" i="36" s="1" a="1"/>
  <c r="O55" i="36" s="1"/>
  <c r="H26" i="36" a="1"/>
  <c r="H26" i="36" s="1"/>
  <c r="G23" i="36"/>
  <c r="H27" i="36" a="1"/>
  <c r="H27" i="36" s="1"/>
  <c r="G33" i="36"/>
  <c r="H24" i="36" a="1"/>
  <c r="H24" i="36" s="1"/>
  <c r="H31" i="36" a="1"/>
  <c r="H31" i="36" s="1"/>
  <c r="H29" i="36" a="1"/>
  <c r="H29" i="36" s="1"/>
  <c r="G29" i="36"/>
  <c r="G27" i="36"/>
  <c r="H33" i="36" a="1"/>
  <c r="H33" i="36" s="1"/>
  <c r="G25" i="36"/>
  <c r="G31" i="36"/>
  <c r="H32" i="36" a="1"/>
  <c r="H32" i="36" s="1"/>
  <c r="H23" i="36" a="1"/>
  <c r="H23" i="36" s="1"/>
  <c r="AK84" i="36"/>
  <c r="O34" i="36" s="1" a="1"/>
  <c r="O34" i="36" s="1"/>
  <c r="G26" i="36"/>
  <c r="G24" i="36"/>
  <c r="G32" i="36"/>
  <c r="G29" i="35"/>
  <c r="H29" i="35" a="1"/>
  <c r="H29" i="35" s="1"/>
  <c r="AK104" i="35"/>
  <c r="H26" i="35" a="1"/>
  <c r="H26" i="35" s="1"/>
  <c r="H54" i="35" a="1"/>
  <c r="H54" i="35" s="1"/>
  <c r="G54" i="35"/>
  <c r="G26" i="35"/>
  <c r="N6" i="35"/>
  <c r="B12" i="35" s="1" a="1"/>
  <c r="B12" i="35" s="1"/>
  <c r="H24" i="34" a="1"/>
  <c r="H24" i="34" s="1"/>
  <c r="H23" i="34" a="1"/>
  <c r="H23" i="34" s="1"/>
  <c r="G29" i="34"/>
  <c r="G24" i="34"/>
  <c r="H29" i="34" a="1"/>
  <c r="H29" i="34" s="1"/>
  <c r="G23" i="34"/>
  <c r="AK77" i="34"/>
  <c r="G54" i="33"/>
  <c r="G29" i="33"/>
  <c r="AK72" i="33"/>
  <c r="N6" i="33" s="1"/>
  <c r="B12" i="33" s="1" a="1"/>
  <c r="B12" i="33" s="1"/>
  <c r="H31" i="33" a="1"/>
  <c r="H31" i="33" s="1"/>
  <c r="G30" i="33"/>
  <c r="G31" i="33"/>
  <c r="H29" i="33" a="1"/>
  <c r="H29" i="33" s="1"/>
  <c r="G56" i="33"/>
  <c r="H56" i="33" a="1"/>
  <c r="H56" i="33" s="1"/>
  <c r="H30" i="33" a="1"/>
  <c r="H30" i="33" s="1"/>
  <c r="AM330" i="32"/>
  <c r="AK350" i="32"/>
  <c r="AM331" i="32"/>
  <c r="AK345" i="32"/>
  <c r="AK346" i="32"/>
  <c r="AK352" i="32"/>
  <c r="AK343" i="32"/>
  <c r="AK344" i="32"/>
  <c r="AK348" i="32"/>
  <c r="AK338" i="32"/>
  <c r="AM357" i="32"/>
  <c r="AM329" i="32"/>
  <c r="AM328" i="32"/>
  <c r="AK333" i="32"/>
  <c r="AK336" i="32"/>
  <c r="AJ357" i="32"/>
  <c r="AK357" i="32" s="1"/>
  <c r="AJ325" i="32"/>
  <c r="AK325" i="32" s="1"/>
  <c r="AL357" i="32"/>
  <c r="AL325" i="32"/>
  <c r="AK307" i="32"/>
  <c r="AK296" i="32"/>
  <c r="AK298" i="32"/>
  <c r="AK299" i="32"/>
  <c r="AK279" i="32"/>
  <c r="AK268" i="32"/>
  <c r="AM286" i="32"/>
  <c r="I56" i="32" s="1" a="1"/>
  <c r="I56" i="32" s="1"/>
  <c r="AK270" i="32"/>
  <c r="AM255" i="32"/>
  <c r="I25" i="32" s="1" a="1"/>
  <c r="I25" i="32" s="1"/>
  <c r="AK275" i="32"/>
  <c r="AK283" i="32"/>
  <c r="AK259" i="32"/>
  <c r="O29" i="32" s="1" a="1"/>
  <c r="O29" i="32" s="1"/>
  <c r="AJ286" i="32"/>
  <c r="AK286" i="32" s="1"/>
  <c r="O56" i="32" s="1" a="1"/>
  <c r="O56" i="32" s="1"/>
  <c r="AL286" i="32"/>
  <c r="AK310" i="32"/>
  <c r="AM294" i="32"/>
  <c r="AK309" i="32"/>
  <c r="AK303" i="32"/>
  <c r="AM290" i="32"/>
  <c r="AI290" i="32"/>
  <c r="AM293" i="32"/>
  <c r="AM295" i="32"/>
  <c r="AM289" i="32"/>
  <c r="AM292" i="32"/>
  <c r="AK301" i="32"/>
  <c r="AK318" i="32"/>
  <c r="AK319" i="32"/>
  <c r="AM291" i="32"/>
  <c r="AK313" i="32"/>
  <c r="AK315" i="32"/>
  <c r="AM322" i="32"/>
  <c r="AK316" i="32"/>
  <c r="AM253" i="32"/>
  <c r="I23" i="32" s="1" a="1"/>
  <c r="I23" i="32" s="1"/>
  <c r="AI253" i="32"/>
  <c r="L23" i="32" s="1" a="1"/>
  <c r="L23" i="32" s="1"/>
  <c r="AJ253" i="32"/>
  <c r="AK253" i="32" s="1"/>
  <c r="O23" i="32" s="1" a="1"/>
  <c r="O23" i="32" s="1"/>
  <c r="AL253" i="32"/>
  <c r="AM261" i="32"/>
  <c r="I31" i="32" s="1" a="1"/>
  <c r="I31" i="32" s="1"/>
  <c r="Y336" i="32"/>
  <c r="Z341" i="32"/>
  <c r="Z345" i="32"/>
  <c r="Y331" i="32"/>
  <c r="Z356" i="32"/>
  <c r="Y353" i="32"/>
  <c r="Y342" i="32"/>
  <c r="Y312" i="32"/>
  <c r="Z290" i="32"/>
  <c r="Z298" i="32"/>
  <c r="Y318" i="32"/>
  <c r="Z311" i="32"/>
  <c r="Z275" i="32"/>
  <c r="Z260" i="32"/>
  <c r="Y267" i="32"/>
  <c r="Y283" i="32"/>
  <c r="Y284" i="32"/>
  <c r="Z253" i="32"/>
  <c r="Y262" i="32"/>
  <c r="Z224" i="32"/>
  <c r="Y217" i="32"/>
  <c r="Y183" i="32"/>
  <c r="Y146" i="32"/>
  <c r="Z176" i="32"/>
  <c r="Y113" i="32"/>
  <c r="Y73" i="32"/>
  <c r="Y85" i="32"/>
  <c r="Z103" i="32"/>
  <c r="AK254" i="32"/>
  <c r="O24" i="32" s="1" a="1"/>
  <c r="O24" i="32" s="1"/>
  <c r="AM263" i="32"/>
  <c r="I33" i="32" s="1" a="1"/>
  <c r="I33" i="32" s="1"/>
  <c r="AM267" i="32"/>
  <c r="AL254" i="32"/>
  <c r="AM266" i="32"/>
  <c r="I36" i="32" s="1" a="1"/>
  <c r="I36" i="32" s="1"/>
  <c r="AK272" i="32"/>
  <c r="AM254" i="32"/>
  <c r="I24" i="32" s="1" a="1"/>
  <c r="I24" i="32" s="1"/>
  <c r="AJ258" i="32"/>
  <c r="AK258" i="32" s="1"/>
  <c r="O28" i="32" s="1" a="1"/>
  <c r="O28" i="32" s="1"/>
  <c r="AL258" i="32"/>
  <c r="AI286" i="32"/>
  <c r="L56" i="32" s="1" a="1"/>
  <c r="L56" i="32" s="1"/>
  <c r="AM257" i="32"/>
  <c r="I27" i="32" s="1" a="1"/>
  <c r="I27" i="32" s="1"/>
  <c r="AJ257" i="32"/>
  <c r="AK257" i="32" s="1"/>
  <c r="O27" i="32" s="1" a="1"/>
  <c r="O27" i="32" s="1"/>
  <c r="AM265" i="32"/>
  <c r="AM285" i="32"/>
  <c r="I55" i="32" s="1" a="1"/>
  <c r="I55" i="32" s="1"/>
  <c r="AL257" i="32"/>
  <c r="AM264" i="32"/>
  <c r="I34" i="32" s="1" a="1"/>
  <c r="I34" i="32" s="1"/>
  <c r="AK278" i="32"/>
  <c r="AK255" i="32"/>
  <c r="O25" i="32" s="1" a="1"/>
  <c r="O25" i="32" s="1"/>
  <c r="AM256" i="32"/>
  <c r="I26" i="32" s="1" a="1"/>
  <c r="I26" i="32" s="1"/>
  <c r="AL255" i="32"/>
  <c r="AM260" i="32"/>
  <c r="AM249" i="32"/>
  <c r="AM222" i="32"/>
  <c r="AK240" i="32"/>
  <c r="AL249" i="32"/>
  <c r="AM221" i="32"/>
  <c r="AK234" i="32"/>
  <c r="AM220" i="32"/>
  <c r="AL220" i="32"/>
  <c r="AK229" i="32"/>
  <c r="AM219" i="32"/>
  <c r="AM224" i="32"/>
  <c r="AI219" i="32"/>
  <c r="AM223" i="32"/>
  <c r="AM218" i="32"/>
  <c r="AJ219" i="32"/>
  <c r="AK219" i="32" s="1"/>
  <c r="AK242" i="32"/>
  <c r="AK250" i="32"/>
  <c r="AM187" i="32"/>
  <c r="AJ183" i="32"/>
  <c r="AK183" i="32" s="1"/>
  <c r="AL183" i="32"/>
  <c r="AM183" i="32"/>
  <c r="AM214" i="32"/>
  <c r="AJ213" i="32"/>
  <c r="AK213" i="32" s="1"/>
  <c r="AI214" i="32"/>
  <c r="AK181" i="32"/>
  <c r="AM185" i="32"/>
  <c r="AL186" i="32"/>
  <c r="AK205" i="32"/>
  <c r="AL213" i="32"/>
  <c r="AJ214" i="32"/>
  <c r="AK214" i="32" s="1"/>
  <c r="AM188" i="32"/>
  <c r="AM182" i="32"/>
  <c r="AM213" i="32"/>
  <c r="AM180" i="32"/>
  <c r="AK201" i="32"/>
  <c r="AK202" i="32"/>
  <c r="AK204" i="32"/>
  <c r="AL212" i="32"/>
  <c r="AM184" i="32"/>
  <c r="AM186" i="32"/>
  <c r="AL214" i="32"/>
  <c r="AK212" i="32"/>
  <c r="AM211" i="32"/>
  <c r="AJ146" i="32"/>
  <c r="AK146" i="32" s="1"/>
  <c r="AM147" i="32"/>
  <c r="AM150" i="32"/>
  <c r="AM178" i="32"/>
  <c r="AM145" i="32"/>
  <c r="AM148" i="32"/>
  <c r="AK175" i="32"/>
  <c r="AM149" i="32"/>
  <c r="AL146" i="32"/>
  <c r="AI145" i="32"/>
  <c r="AM146" i="32"/>
  <c r="AJ145" i="32"/>
  <c r="AK145" i="32" s="1"/>
  <c r="AK167" i="32"/>
  <c r="AL112" i="32"/>
  <c r="AK129" i="32"/>
  <c r="AM112" i="32"/>
  <c r="AK122" i="32"/>
  <c r="AM111" i="32"/>
  <c r="AK118" i="32"/>
  <c r="AK117" i="32"/>
  <c r="AM142" i="32"/>
  <c r="AM109" i="32"/>
  <c r="AK124" i="32"/>
  <c r="AK132" i="32"/>
  <c r="AK123" i="32"/>
  <c r="AK112" i="32"/>
  <c r="AK140" i="32"/>
  <c r="AI110" i="32"/>
  <c r="AK133" i="32"/>
  <c r="AM82" i="32"/>
  <c r="AL86" i="32"/>
  <c r="AM105" i="32"/>
  <c r="AM106" i="32"/>
  <c r="AM76" i="32"/>
  <c r="AM80" i="32"/>
  <c r="AI72" i="32"/>
  <c r="AM72" i="32"/>
  <c r="AM79" i="32"/>
  <c r="AI83" i="32"/>
  <c r="AL93" i="32"/>
  <c r="AL94" i="32"/>
  <c r="AJ95" i="32"/>
  <c r="AK95" i="32" s="1"/>
  <c r="AM88" i="32"/>
  <c r="I38" i="32" s="1" a="1"/>
  <c r="I38" i="32" s="1"/>
  <c r="AM75" i="32"/>
  <c r="AJ83" i="32"/>
  <c r="AK83" i="32" s="1"/>
  <c r="AM93" i="32"/>
  <c r="AM94" i="32"/>
  <c r="I44" i="32" s="1" a="1"/>
  <c r="I44" i="32" s="1"/>
  <c r="AL95" i="32"/>
  <c r="AM91" i="32"/>
  <c r="AM95" i="32"/>
  <c r="AK103" i="32"/>
  <c r="AM87" i="32"/>
  <c r="AM77" i="32"/>
  <c r="AM89" i="32"/>
  <c r="AJ94" i="32"/>
  <c r="AK94" i="32" s="1"/>
  <c r="AI86" i="32"/>
  <c r="AJ106" i="32"/>
  <c r="AK106" i="32" s="1"/>
  <c r="AL91" i="32"/>
  <c r="AK100" i="32"/>
  <c r="AL105" i="32"/>
  <c r="AL106" i="32"/>
  <c r="AJ326" i="32"/>
  <c r="AK326" i="32" s="1"/>
  <c r="AI327" i="32"/>
  <c r="Y330" i="32"/>
  <c r="AJ356" i="32"/>
  <c r="AK356" i="32" s="1"/>
  <c r="AL358" i="32"/>
  <c r="AI326" i="32"/>
  <c r="Z328" i="32"/>
  <c r="AK353" i="32"/>
  <c r="AI356" i="32"/>
  <c r="AJ358" i="32"/>
  <c r="AK358" i="32" s="1"/>
  <c r="AI325" i="32"/>
  <c r="AJ327" i="32"/>
  <c r="AK327" i="32" s="1"/>
  <c r="AK347" i="32"/>
  <c r="AI357" i="32"/>
  <c r="AM358" i="32"/>
  <c r="AM326" i="32"/>
  <c r="AM327" i="32"/>
  <c r="AI328" i="32"/>
  <c r="AJ328" i="32"/>
  <c r="AK328" i="32" s="1"/>
  <c r="AI329" i="32"/>
  <c r="AI330" i="32"/>
  <c r="Y332" i="32"/>
  <c r="Y333" i="32"/>
  <c r="AL328" i="32"/>
  <c r="AJ329" i="32"/>
  <c r="AK329" i="32" s="1"/>
  <c r="AJ330" i="32"/>
  <c r="AK330" i="32" s="1"/>
  <c r="AL329" i="32"/>
  <c r="AI331" i="32"/>
  <c r="AM356" i="32"/>
  <c r="AL330" i="32"/>
  <c r="AJ331" i="32"/>
  <c r="AK331" i="32" s="1"/>
  <c r="Y355" i="32"/>
  <c r="AL331" i="32"/>
  <c r="AK339" i="32"/>
  <c r="AK337" i="32"/>
  <c r="AK351" i="32"/>
  <c r="AI322" i="32"/>
  <c r="AJ322" i="32"/>
  <c r="AK322" i="32" s="1"/>
  <c r="Y293" i="32"/>
  <c r="Y296" i="32"/>
  <c r="AL322" i="32"/>
  <c r="Z294" i="32"/>
  <c r="Z289" i="32"/>
  <c r="Y304" i="32"/>
  <c r="AI292" i="32"/>
  <c r="AI293" i="32"/>
  <c r="AI294" i="32"/>
  <c r="AI295" i="32"/>
  <c r="Y299" i="32"/>
  <c r="Y306" i="32"/>
  <c r="Y307" i="32"/>
  <c r="AJ292" i="32"/>
  <c r="AK292" i="32" s="1"/>
  <c r="AJ293" i="32"/>
  <c r="AK293" i="32" s="1"/>
  <c r="AJ294" i="32"/>
  <c r="AK294" i="32" s="1"/>
  <c r="AJ295" i="32"/>
  <c r="AK295" i="32" s="1"/>
  <c r="Y301" i="32"/>
  <c r="Y309" i="32"/>
  <c r="Z320" i="32"/>
  <c r="AL292" i="32"/>
  <c r="AL294" i="32"/>
  <c r="AL295" i="32"/>
  <c r="AK297" i="32"/>
  <c r="AK304" i="32"/>
  <c r="AK305" i="32"/>
  <c r="AI289" i="32"/>
  <c r="AJ290" i="32"/>
  <c r="AK290" i="32" s="1"/>
  <c r="AI291" i="32"/>
  <c r="AL293" i="32"/>
  <c r="Z308" i="32"/>
  <c r="Z310" i="32"/>
  <c r="Y322" i="32"/>
  <c r="AJ289" i="32"/>
  <c r="AK289" i="32" s="1"/>
  <c r="AL290" i="32"/>
  <c r="AJ291" i="32"/>
  <c r="AK291" i="32" s="1"/>
  <c r="AK302" i="32"/>
  <c r="Z321" i="32"/>
  <c r="AL289" i="32"/>
  <c r="AL291" i="32"/>
  <c r="AK308" i="32"/>
  <c r="AK321" i="32"/>
  <c r="AL259" i="32"/>
  <c r="AL260" i="32"/>
  <c r="AI261" i="32"/>
  <c r="L31" i="32" s="1" a="1"/>
  <c r="L31" i="32" s="1"/>
  <c r="AJ262" i="32"/>
  <c r="AK262" i="32" s="1"/>
  <c r="O32" i="32" s="1" a="1"/>
  <c r="O32" i="32" s="1"/>
  <c r="Z269" i="32"/>
  <c r="Y273" i="32"/>
  <c r="Z274" i="32"/>
  <c r="AK282" i="32"/>
  <c r="AJ284" i="32"/>
  <c r="AK284" i="32" s="1"/>
  <c r="O54" i="32" s="1" a="1"/>
  <c r="O54" i="32" s="1"/>
  <c r="AM259" i="32"/>
  <c r="I29" i="32" s="1" a="1"/>
  <c r="I29" i="32" s="1"/>
  <c r="AJ261" i="32"/>
  <c r="AK261" i="32" s="1"/>
  <c r="O31" i="32" s="1" a="1"/>
  <c r="O31" i="32" s="1"/>
  <c r="AL284" i="32"/>
  <c r="AL261" i="32"/>
  <c r="AL262" i="32"/>
  <c r="AI263" i="32"/>
  <c r="L33" i="32" s="1" a="1"/>
  <c r="L33" i="32" s="1"/>
  <c r="AI264" i="32"/>
  <c r="L34" i="32" s="1" a="1"/>
  <c r="L34" i="32" s="1"/>
  <c r="AM284" i="32"/>
  <c r="I54" i="32" s="1" a="1"/>
  <c r="I54" i="32" s="1"/>
  <c r="Y255" i="32"/>
  <c r="AM262" i="32"/>
  <c r="I32" i="32" s="1" a="1"/>
  <c r="I32" i="32" s="1"/>
  <c r="AJ263" i="32"/>
  <c r="M33" i="32" s="1" a="1"/>
  <c r="M33" i="32" s="1"/>
  <c r="AJ264" i="32"/>
  <c r="AK264" i="32" s="1"/>
  <c r="O34" i="32" s="1" a="1"/>
  <c r="O34" i="32" s="1"/>
  <c r="AI265" i="32"/>
  <c r="L35" i="32" s="1" a="1"/>
  <c r="L35" i="32" s="1"/>
  <c r="Y276" i="32"/>
  <c r="Z254" i="32"/>
  <c r="Y257" i="32"/>
  <c r="Y258" i="32"/>
  <c r="AL263" i="32"/>
  <c r="AL264" i="32"/>
  <c r="AJ265" i="32"/>
  <c r="AK265" i="32" s="1"/>
  <c r="O35" i="32" s="1" a="1"/>
  <c r="O35" i="32" s="1"/>
  <c r="AJ266" i="32"/>
  <c r="AK266" i="32" s="1"/>
  <c r="O36" i="32" s="1" a="1"/>
  <c r="O36" i="32" s="1"/>
  <c r="Y279" i="32"/>
  <c r="AI259" i="32"/>
  <c r="L29" i="32" s="1" a="1"/>
  <c r="L29" i="32" s="1"/>
  <c r="Y263" i="32"/>
  <c r="Z271" i="32"/>
  <c r="Y281" i="32"/>
  <c r="AL265" i="32"/>
  <c r="AK274" i="32"/>
  <c r="AI260" i="32"/>
  <c r="L30" i="32" s="1" a="1"/>
  <c r="L30" i="32" s="1"/>
  <c r="Y265" i="32"/>
  <c r="Y272" i="32"/>
  <c r="AL285" i="32"/>
  <c r="AI256" i="32"/>
  <c r="L26" i="32" s="1" a="1"/>
  <c r="L26" i="32" s="1"/>
  <c r="AL266" i="32"/>
  <c r="AI267" i="32"/>
  <c r="L37" i="32" s="1" a="1"/>
  <c r="L37" i="32" s="1"/>
  <c r="Z286" i="32"/>
  <c r="Y270" i="32"/>
  <c r="AI266" i="32"/>
  <c r="L36" i="32" s="1" a="1"/>
  <c r="L36" i="32" s="1"/>
  <c r="AK256" i="32"/>
  <c r="O26" i="32" s="1" a="1"/>
  <c r="O26" i="32" s="1"/>
  <c r="AJ267" i="32"/>
  <c r="AK267" i="32" s="1"/>
  <c r="O37" i="32" s="1" a="1"/>
  <c r="O37" i="32" s="1"/>
  <c r="Z282" i="32"/>
  <c r="Z264" i="32"/>
  <c r="AI254" i="32"/>
  <c r="L24" i="32" s="1" a="1"/>
  <c r="L24" i="32" s="1"/>
  <c r="AI255" i="32"/>
  <c r="L25" i="32" s="1" a="1"/>
  <c r="L25" i="32" s="1"/>
  <c r="AL256" i="32"/>
  <c r="Y259" i="32"/>
  <c r="Z261" i="32"/>
  <c r="AI285" i="32"/>
  <c r="L55" i="32" s="1" a="1"/>
  <c r="L55" i="32" s="1"/>
  <c r="AJ285" i="32"/>
  <c r="AK285" i="32" s="1"/>
  <c r="O55" i="32" s="1" a="1"/>
  <c r="O55" i="32" s="1"/>
  <c r="AJ260" i="32"/>
  <c r="AK260" i="32" s="1"/>
  <c r="O30" i="32" s="1" a="1"/>
  <c r="O30" i="32" s="1"/>
  <c r="Y256" i="32"/>
  <c r="Y238" i="32"/>
  <c r="Z248" i="32"/>
  <c r="Y240" i="32"/>
  <c r="AK233" i="32"/>
  <c r="AI248" i="32"/>
  <c r="AI249" i="32"/>
  <c r="AJ217" i="32"/>
  <c r="AK217" i="32" s="1"/>
  <c r="AI218" i="32"/>
  <c r="AI220" i="32"/>
  <c r="Z221" i="32"/>
  <c r="Y241" i="32"/>
  <c r="Y242" i="32"/>
  <c r="AJ248" i="32"/>
  <c r="AK248" i="32" s="1"/>
  <c r="AJ249" i="32"/>
  <c r="AK249" i="32" s="1"/>
  <c r="AI250" i="32"/>
  <c r="AI217" i="32"/>
  <c r="Z246" i="32"/>
  <c r="AJ218" i="32"/>
  <c r="AK218" i="32" s="1"/>
  <c r="AJ220" i="32"/>
  <c r="AK220" i="32" s="1"/>
  <c r="AI223" i="32"/>
  <c r="AL219" i="32"/>
  <c r="AJ221" i="32"/>
  <c r="AK221" i="32" s="1"/>
  <c r="AJ223" i="32"/>
  <c r="AK223" i="32" s="1"/>
  <c r="Y225" i="32"/>
  <c r="Z226" i="32"/>
  <c r="Y228" i="32"/>
  <c r="Z236" i="32"/>
  <c r="AM247" i="32"/>
  <c r="AL221" i="32"/>
  <c r="AI222" i="32"/>
  <c r="AL223" i="32"/>
  <c r="AI224" i="32"/>
  <c r="Y234" i="32"/>
  <c r="AK243" i="32"/>
  <c r="AI221" i="32"/>
  <c r="AJ222" i="32"/>
  <c r="AK222" i="32" s="1"/>
  <c r="AJ224" i="32"/>
  <c r="AK224" i="32" s="1"/>
  <c r="AK225" i="32"/>
  <c r="AK226" i="32"/>
  <c r="AM217" i="32"/>
  <c r="AL222" i="32"/>
  <c r="AK227" i="32"/>
  <c r="AK228" i="32"/>
  <c r="Y230" i="32"/>
  <c r="Y233" i="32"/>
  <c r="Y237" i="32"/>
  <c r="Z191" i="32"/>
  <c r="Y205" i="32"/>
  <c r="Z207" i="32"/>
  <c r="Z213" i="32"/>
  <c r="AK191" i="32"/>
  <c r="AK207" i="32"/>
  <c r="AK208" i="32"/>
  <c r="AJ211" i="32"/>
  <c r="AK211" i="32" s="1"/>
  <c r="Y186" i="32"/>
  <c r="Y187" i="32"/>
  <c r="AK190" i="32"/>
  <c r="AK206" i="32"/>
  <c r="AL211" i="32"/>
  <c r="AI212" i="32"/>
  <c r="Z193" i="32"/>
  <c r="AK199" i="32"/>
  <c r="Y210" i="32"/>
  <c r="Z212" i="32"/>
  <c r="Y206" i="32"/>
  <c r="AI211" i="32"/>
  <c r="Y182" i="32"/>
  <c r="AI185" i="32"/>
  <c r="Y201" i="32"/>
  <c r="AI180" i="32"/>
  <c r="AI182" i="32"/>
  <c r="AJ184" i="32"/>
  <c r="AK184" i="32" s="1"/>
  <c r="AI186" i="32"/>
  <c r="AJ187" i="32"/>
  <c r="AK187" i="32" s="1"/>
  <c r="AI188" i="32"/>
  <c r="AI189" i="32"/>
  <c r="AK200" i="32"/>
  <c r="AI187" i="32"/>
  <c r="AJ180" i="32"/>
  <c r="AK180" i="32" s="1"/>
  <c r="N9" i="32" s="1"/>
  <c r="AI181" i="32"/>
  <c r="AJ182" i="32"/>
  <c r="AK182" i="32" s="1"/>
  <c r="AL184" i="32"/>
  <c r="AL187" i="32"/>
  <c r="AJ188" i="32"/>
  <c r="AK188" i="32" s="1"/>
  <c r="AJ189" i="32"/>
  <c r="AK189" i="32" s="1"/>
  <c r="Y196" i="32"/>
  <c r="AI184" i="32"/>
  <c r="Y195" i="32"/>
  <c r="Y148" i="32"/>
  <c r="I40" i="32" a="1"/>
  <c r="I40" i="32" s="1"/>
  <c r="Y147" i="32"/>
  <c r="AK171" i="32"/>
  <c r="AI178" i="32"/>
  <c r="AK152" i="32"/>
  <c r="AJ178" i="32"/>
  <c r="AK178" i="32" s="1"/>
  <c r="AI149" i="32"/>
  <c r="AL178" i="32"/>
  <c r="AJ149" i="32"/>
  <c r="AK149" i="32" s="1"/>
  <c r="AI150" i="32"/>
  <c r="AI147" i="32"/>
  <c r="AI148" i="32"/>
  <c r="AL149" i="32"/>
  <c r="AJ150" i="32"/>
  <c r="AK150" i="32" s="1"/>
  <c r="Z155" i="32"/>
  <c r="Y164" i="32"/>
  <c r="AJ147" i="32"/>
  <c r="AK147" i="32" s="1"/>
  <c r="AJ148" i="32"/>
  <c r="AK148" i="32" s="1"/>
  <c r="AL150" i="32"/>
  <c r="Y156" i="32"/>
  <c r="Y162" i="32"/>
  <c r="Y165" i="32"/>
  <c r="AL147" i="32"/>
  <c r="AL148" i="32"/>
  <c r="AK161" i="32"/>
  <c r="Y166" i="32"/>
  <c r="Y167" i="32"/>
  <c r="Y175" i="32"/>
  <c r="Y172" i="32"/>
  <c r="Y174" i="32"/>
  <c r="AK157" i="32"/>
  <c r="AK166" i="32"/>
  <c r="Y168" i="32"/>
  <c r="Y171" i="32"/>
  <c r="Y152" i="32"/>
  <c r="AK156" i="32"/>
  <c r="AK163" i="32"/>
  <c r="AK165" i="32"/>
  <c r="Y169" i="32"/>
  <c r="Y178" i="32"/>
  <c r="AK174" i="32"/>
  <c r="Y123" i="32"/>
  <c r="Y124" i="32"/>
  <c r="Z126" i="32"/>
  <c r="AI142" i="32"/>
  <c r="Y109" i="32"/>
  <c r="AK125" i="32"/>
  <c r="AJ142" i="32"/>
  <c r="AK142" i="32" s="1"/>
  <c r="Y111" i="32"/>
  <c r="Y137" i="32"/>
  <c r="Y139" i="32"/>
  <c r="AL142" i="32"/>
  <c r="Y115" i="32"/>
  <c r="AJ109" i="32"/>
  <c r="AK109" i="32" s="1"/>
  <c r="AI111" i="32"/>
  <c r="Z112" i="32"/>
  <c r="Y114" i="32"/>
  <c r="Z117" i="32"/>
  <c r="AK120" i="32"/>
  <c r="Z131" i="32"/>
  <c r="Z132" i="32"/>
  <c r="AK110" i="32"/>
  <c r="AJ111" i="32"/>
  <c r="AK111" i="32" s="1"/>
  <c r="Y118" i="32"/>
  <c r="AL109" i="32"/>
  <c r="AK115" i="32"/>
  <c r="AI109" i="32"/>
  <c r="AL111" i="32"/>
  <c r="AK130" i="32"/>
  <c r="AI112" i="32"/>
  <c r="AK113" i="32"/>
  <c r="H40" i="32" a="1"/>
  <c r="H40" i="32" s="1"/>
  <c r="AK128" i="32"/>
  <c r="Z142" i="32"/>
  <c r="D28" i="32" a="1"/>
  <c r="D28" i="32" s="1"/>
  <c r="C48" i="32" a="1"/>
  <c r="C48" i="32" s="1"/>
  <c r="D48" i="32" a="1"/>
  <c r="D48" i="32" s="1"/>
  <c r="F48" i="32" a="1"/>
  <c r="F48" i="32" s="1"/>
  <c r="AI85" i="32"/>
  <c r="Y87" i="32"/>
  <c r="Z75" i="32"/>
  <c r="Y76" i="32"/>
  <c r="Y79" i="32"/>
  <c r="Z82" i="32"/>
  <c r="AJ84" i="32"/>
  <c r="AK84" i="32" s="1"/>
  <c r="AL85" i="32"/>
  <c r="Z89" i="32"/>
  <c r="Z97" i="32"/>
  <c r="Z86" i="32"/>
  <c r="H48" i="32" a="1"/>
  <c r="H48" i="32" s="1"/>
  <c r="Y90" i="32"/>
  <c r="H46" i="32" a="1"/>
  <c r="H46" i="32" s="1"/>
  <c r="AI75" i="32"/>
  <c r="AI76" i="32"/>
  <c r="AI77" i="32"/>
  <c r="AI79" i="32"/>
  <c r="AI80" i="32"/>
  <c r="AI82" i="32"/>
  <c r="AI87" i="32"/>
  <c r="AI88" i="32"/>
  <c r="AI89" i="32"/>
  <c r="AK96" i="32"/>
  <c r="Z98" i="32"/>
  <c r="Y99" i="32"/>
  <c r="Y104" i="32"/>
  <c r="Y74" i="32"/>
  <c r="C45" i="32" a="1"/>
  <c r="C45" i="32" s="1"/>
  <c r="AM85" i="32"/>
  <c r="AK81" i="32"/>
  <c r="D44" i="32" a="1"/>
  <c r="D44" i="32" s="1"/>
  <c r="I46" i="32" a="1"/>
  <c r="I46" i="32" s="1"/>
  <c r="AJ75" i="32"/>
  <c r="AK75" i="32" s="1"/>
  <c r="AJ76" i="32"/>
  <c r="AJ77" i="32"/>
  <c r="AJ79" i="32"/>
  <c r="AK79" i="32" s="1"/>
  <c r="AJ80" i="32"/>
  <c r="AJ82" i="32"/>
  <c r="AJ87" i="32"/>
  <c r="AJ88" i="32"/>
  <c r="AJ89" i="32"/>
  <c r="AK89" i="32" s="1"/>
  <c r="AK93" i="32"/>
  <c r="Y84" i="32"/>
  <c r="C55" i="32" a="1"/>
  <c r="C55" i="32" s="1"/>
  <c r="AK86" i="32"/>
  <c r="AL75" i="32"/>
  <c r="AL76" i="32"/>
  <c r="AL77" i="32"/>
  <c r="AL79" i="32"/>
  <c r="AL80" i="32"/>
  <c r="AL82" i="32"/>
  <c r="AL87" i="32"/>
  <c r="AK105" i="32"/>
  <c r="E48" i="32"/>
  <c r="D45" i="32" a="1"/>
  <c r="D45" i="32" s="1"/>
  <c r="G48" i="32"/>
  <c r="Y92" i="32"/>
  <c r="AL88" i="32"/>
  <c r="AL89" i="32"/>
  <c r="AI92" i="32"/>
  <c r="AI93" i="32"/>
  <c r="AK99" i="32"/>
  <c r="D55" i="32" a="1"/>
  <c r="D55" i="32" s="1"/>
  <c r="AM84" i="32"/>
  <c r="D30" i="32" a="1"/>
  <c r="D30" i="32" s="1"/>
  <c r="AK102" i="32"/>
  <c r="AI105" i="32"/>
  <c r="AI84" i="32"/>
  <c r="I48" i="32" a="1"/>
  <c r="I48" i="32" s="1"/>
  <c r="Y93" i="32"/>
  <c r="G40" i="32"/>
  <c r="D24" i="32" a="1"/>
  <c r="D24" i="32" s="1"/>
  <c r="C24" i="32" a="1"/>
  <c r="C24" i="32" s="1"/>
  <c r="A24" i="32"/>
  <c r="B17" i="32"/>
  <c r="G53" i="32"/>
  <c r="I53" i="32" a="1"/>
  <c r="I53" i="32" s="1"/>
  <c r="H53" i="32" a="1"/>
  <c r="H53" i="32" s="1"/>
  <c r="F53" i="32" a="1"/>
  <c r="F53" i="32" s="1"/>
  <c r="A53" i="32"/>
  <c r="D53" i="32" a="1"/>
  <c r="D53" i="32" s="1"/>
  <c r="E53" i="32"/>
  <c r="C53" i="32" a="1"/>
  <c r="C53" i="32" s="1"/>
  <c r="Y249" i="32"/>
  <c r="Z249" i="32"/>
  <c r="AU88" i="32"/>
  <c r="AT88" i="32"/>
  <c r="AS88" i="32"/>
  <c r="AR88" i="32"/>
  <c r="AT368" i="32"/>
  <c r="AU368" i="32"/>
  <c r="AS368" i="32"/>
  <c r="AR368" i="32"/>
  <c r="AU373" i="32"/>
  <c r="AT373" i="32"/>
  <c r="AS373" i="32"/>
  <c r="AR373" i="32"/>
  <c r="AU184" i="32"/>
  <c r="AT184" i="32"/>
  <c r="AS184" i="32"/>
  <c r="AR184" i="32"/>
  <c r="AT241" i="32"/>
  <c r="AS241" i="32"/>
  <c r="AR241" i="32"/>
  <c r="AU241" i="32"/>
  <c r="A36" i="32"/>
  <c r="D36" i="32" a="1"/>
  <c r="D36" i="32" s="1"/>
  <c r="C36" i="32" a="1"/>
  <c r="C36" i="32" s="1"/>
  <c r="D29" i="32" a="1"/>
  <c r="D29" i="32" s="1"/>
  <c r="C29" i="32" a="1"/>
  <c r="C29" i="32" s="1"/>
  <c r="A29" i="32"/>
  <c r="D43" i="32" a="1"/>
  <c r="D43" i="32" s="1"/>
  <c r="C43" i="32" a="1"/>
  <c r="C43" i="32" s="1"/>
  <c r="I43" i="32" a="1"/>
  <c r="I43" i="32" s="1"/>
  <c r="A43" i="32"/>
  <c r="Z119" i="32"/>
  <c r="Y119" i="32"/>
  <c r="G49" i="32"/>
  <c r="F49" i="32" a="1"/>
  <c r="F49" i="32" s="1"/>
  <c r="I49" i="32" a="1"/>
  <c r="I49" i="32" s="1"/>
  <c r="H49" i="32" a="1"/>
  <c r="H49" i="32" s="1"/>
  <c r="E49" i="32"/>
  <c r="C49" i="32" a="1"/>
  <c r="C49" i="32" s="1"/>
  <c r="D49" i="32" a="1"/>
  <c r="D49" i="32" s="1"/>
  <c r="A49" i="32"/>
  <c r="C38" i="32" a="1"/>
  <c r="C38" i="32" s="1"/>
  <c r="A38" i="32"/>
  <c r="D38" i="32" a="1"/>
  <c r="D38" i="32" s="1"/>
  <c r="AT170" i="32"/>
  <c r="AU170" i="32"/>
  <c r="AS170" i="32"/>
  <c r="AR170" i="32"/>
  <c r="I39" i="32" a="1"/>
  <c r="I39" i="32" s="1"/>
  <c r="D39" i="32" a="1"/>
  <c r="D39" i="32" s="1"/>
  <c r="A39" i="32"/>
  <c r="C39" i="32" a="1"/>
  <c r="C39" i="32" s="1"/>
  <c r="C50" i="32" a="1"/>
  <c r="C50" i="32" s="1"/>
  <c r="G50" i="32"/>
  <c r="F50" i="32" a="1"/>
  <c r="F50" i="32" s="1"/>
  <c r="E50" i="32"/>
  <c r="D50" i="32" a="1"/>
  <c r="D50" i="32" s="1"/>
  <c r="I50" i="32" a="1"/>
  <c r="I50" i="32" s="1"/>
  <c r="H50" i="32" a="1"/>
  <c r="H50" i="32" s="1"/>
  <c r="A50" i="32"/>
  <c r="Z106" i="32"/>
  <c r="Y106" i="32"/>
  <c r="D34" i="32" a="1"/>
  <c r="D34" i="32" s="1"/>
  <c r="C34" i="32" a="1"/>
  <c r="C34" i="32" s="1"/>
  <c r="A34" i="32"/>
  <c r="AT130" i="32"/>
  <c r="AU130" i="32"/>
  <c r="AS130" i="32"/>
  <c r="AU291" i="32"/>
  <c r="AT291" i="32"/>
  <c r="AU324" i="32"/>
  <c r="AS324" i="32"/>
  <c r="AT324" i="32"/>
  <c r="Z365" i="32"/>
  <c r="D22" i="32" a="1"/>
  <c r="D22" i="32" s="1"/>
  <c r="C22" i="32" a="1"/>
  <c r="C22" i="32" s="1"/>
  <c r="D27" i="32" a="1"/>
  <c r="D27" i="32" s="1"/>
  <c r="C27" i="32" a="1"/>
  <c r="C27" i="32" s="1"/>
  <c r="I42" i="32" a="1"/>
  <c r="I42" i="32" s="1"/>
  <c r="D42" i="32" a="1"/>
  <c r="D42" i="32" s="1"/>
  <c r="C42" i="32" a="1"/>
  <c r="C42" i="32" s="1"/>
  <c r="G47" i="32"/>
  <c r="D47" i="32" a="1"/>
  <c r="D47" i="32" s="1"/>
  <c r="C47" i="32" a="1"/>
  <c r="C47" i="32" s="1"/>
  <c r="A47" i="32"/>
  <c r="I47" i="32" a="1"/>
  <c r="I47" i="32" s="1"/>
  <c r="H47" i="32" a="1"/>
  <c r="H47" i="32" s="1"/>
  <c r="AT138" i="32"/>
  <c r="AU138" i="32"/>
  <c r="AS138" i="32"/>
  <c r="AR138" i="32"/>
  <c r="AU145" i="32"/>
  <c r="AT145" i="32"/>
  <c r="AS145" i="32"/>
  <c r="AR145" i="32"/>
  <c r="AU203" i="32"/>
  <c r="AT203" i="32"/>
  <c r="AS203" i="32"/>
  <c r="AR203" i="32"/>
  <c r="AR317" i="32"/>
  <c r="AT317" i="32"/>
  <c r="AS317" i="32"/>
  <c r="AU317" i="32"/>
  <c r="AR120" i="32"/>
  <c r="AR183" i="32"/>
  <c r="AU183" i="32"/>
  <c r="AT183" i="32"/>
  <c r="Z247" i="32"/>
  <c r="Y247" i="32"/>
  <c r="Z250" i="32"/>
  <c r="AL252" i="32"/>
  <c r="O11" i="32" s="1"/>
  <c r="C12" i="32" s="1" a="1"/>
  <c r="C12" i="32" s="1"/>
  <c r="AJ252" i="32"/>
  <c r="AK252" i="32" s="1"/>
  <c r="N11" i="32" s="1"/>
  <c r="B12" i="32" s="1" a="1"/>
  <c r="B12" i="32" s="1"/>
  <c r="N53" i="32" s="1" a="1"/>
  <c r="N53" i="32" s="1"/>
  <c r="AI252" i="32"/>
  <c r="L22" i="32" s="1" a="1"/>
  <c r="L22" i="32" s="1"/>
  <c r="AM252" i="32"/>
  <c r="I22" i="32" s="1" a="1"/>
  <c r="I22" i="32" s="1"/>
  <c r="AU350" i="32"/>
  <c r="AS350" i="32"/>
  <c r="AR350" i="32"/>
  <c r="AT350" i="32"/>
  <c r="AR366" i="32"/>
  <c r="AU367" i="32"/>
  <c r="AT367" i="32"/>
  <c r="AS367" i="32"/>
  <c r="Z313" i="32"/>
  <c r="AJ324" i="32"/>
  <c r="AK324" i="32" s="1"/>
  <c r="N13" i="32" s="1"/>
  <c r="AI324" i="32"/>
  <c r="AM324" i="32"/>
  <c r="AL324" i="32"/>
  <c r="O13" i="32" s="1"/>
  <c r="AU325" i="32"/>
  <c r="AT325" i="32"/>
  <c r="AS325" i="32"/>
  <c r="AR325" i="32"/>
  <c r="Z338" i="32"/>
  <c r="Y338" i="32"/>
  <c r="AU348" i="32"/>
  <c r="AT348" i="32"/>
  <c r="AS348" i="32"/>
  <c r="AR348" i="32"/>
  <c r="AT366" i="32"/>
  <c r="C40" i="32" a="1"/>
  <c r="C40" i="32" s="1"/>
  <c r="F40" i="32" a="1"/>
  <c r="F40" i="32" s="1"/>
  <c r="E40" i="32"/>
  <c r="D40" i="32" a="1"/>
  <c r="D40" i="32" s="1"/>
  <c r="G51" i="32"/>
  <c r="I51" i="32" a="1"/>
  <c r="I51" i="32" s="1"/>
  <c r="D51" i="32" a="1"/>
  <c r="D51" i="32" s="1"/>
  <c r="A51" i="32"/>
  <c r="C51" i="32" a="1"/>
  <c r="C51" i="32" s="1"/>
  <c r="H51" i="32" a="1"/>
  <c r="H51" i="32" s="1"/>
  <c r="F51" i="32" a="1"/>
  <c r="F51" i="32" s="1"/>
  <c r="E51" i="32"/>
  <c r="Y120" i="32"/>
  <c r="AR121" i="32"/>
  <c r="AR126" i="32"/>
  <c r="AS129" i="32"/>
  <c r="Z149" i="32"/>
  <c r="AT150" i="32"/>
  <c r="AU153" i="32"/>
  <c r="AT153" i="32"/>
  <c r="AS153" i="32"/>
  <c r="Y170" i="32"/>
  <c r="AR209" i="32"/>
  <c r="Z227" i="32"/>
  <c r="Y227" i="32"/>
  <c r="AR289" i="32"/>
  <c r="AU289" i="32"/>
  <c r="AS289" i="32"/>
  <c r="AT289" i="32"/>
  <c r="AT109" i="32"/>
  <c r="AS109" i="32"/>
  <c r="AT129" i="32"/>
  <c r="Y133" i="32"/>
  <c r="Z133" i="32"/>
  <c r="AU150" i="32"/>
  <c r="AS151" i="32"/>
  <c r="AR153" i="32"/>
  <c r="AS159" i="32"/>
  <c r="AR159" i="32"/>
  <c r="AU177" i="32"/>
  <c r="AT177" i="32"/>
  <c r="AS177" i="32"/>
  <c r="AR177" i="32"/>
  <c r="AS189" i="32"/>
  <c r="Y208" i="32"/>
  <c r="AS209" i="32"/>
  <c r="AR291" i="32"/>
  <c r="AR324" i="32"/>
  <c r="AL360" i="32"/>
  <c r="O14" i="32" s="1"/>
  <c r="AJ360" i="32"/>
  <c r="AK360" i="32" s="1"/>
  <c r="N14" i="32" s="1"/>
  <c r="AM360" i="32"/>
  <c r="Y81" i="32"/>
  <c r="AR82" i="32"/>
  <c r="AR83" i="32"/>
  <c r="Z128" i="32"/>
  <c r="Y150" i="32"/>
  <c r="AT151" i="32"/>
  <c r="AT159" i="32"/>
  <c r="AS160" i="32"/>
  <c r="AR160" i="32"/>
  <c r="AU160" i="32"/>
  <c r="AU163" i="32"/>
  <c r="AT163" i="32"/>
  <c r="AS163" i="32"/>
  <c r="AT189" i="32"/>
  <c r="AS190" i="32"/>
  <c r="Y209" i="32"/>
  <c r="AT209" i="32"/>
  <c r="AS291" i="32"/>
  <c r="AI360" i="32"/>
  <c r="C30" i="32" a="1"/>
  <c r="C30" i="32" s="1"/>
  <c r="A30" i="32"/>
  <c r="Z189" i="32"/>
  <c r="AU191" i="32"/>
  <c r="AS192" i="32"/>
  <c r="AS193" i="32"/>
  <c r="AU193" i="32"/>
  <c r="AT193" i="32"/>
  <c r="AR193" i="32"/>
  <c r="AU239" i="32"/>
  <c r="AS239" i="32"/>
  <c r="AS276" i="32"/>
  <c r="AR277" i="32"/>
  <c r="AS284" i="32"/>
  <c r="AR285" i="32"/>
  <c r="Y297" i="32"/>
  <c r="Z297" i="32"/>
  <c r="AT417" i="32"/>
  <c r="AU417" i="32"/>
  <c r="AS417" i="32"/>
  <c r="AR417" i="32"/>
  <c r="C31" i="32" a="1"/>
  <c r="C31" i="32" s="1"/>
  <c r="E52" i="32"/>
  <c r="Y190" i="32"/>
  <c r="AT192" i="32"/>
  <c r="AR239" i="32"/>
  <c r="AK273" i="32"/>
  <c r="AT276" i="32"/>
  <c r="AS277" i="32"/>
  <c r="AT284" i="32"/>
  <c r="AS120" i="32"/>
  <c r="AU127" i="32"/>
  <c r="AT127" i="32"/>
  <c r="AS127" i="32"/>
  <c r="AR150" i="32"/>
  <c r="AS366" i="32"/>
  <c r="AS83" i="32"/>
  <c r="AS152" i="32"/>
  <c r="AU152" i="32"/>
  <c r="AT152" i="32"/>
  <c r="AR152" i="32"/>
  <c r="Y158" i="32"/>
  <c r="AU159" i="32"/>
  <c r="AR163" i="32"/>
  <c r="AU189" i="32"/>
  <c r="D25" i="32" a="1"/>
  <c r="D25" i="32" s="1"/>
  <c r="C25" i="32" a="1"/>
  <c r="C25" i="32" s="1"/>
  <c r="A25" i="32"/>
  <c r="D37" i="32" a="1"/>
  <c r="D37" i="32" s="1"/>
  <c r="C37" i="32" a="1"/>
  <c r="C37" i="32" s="1"/>
  <c r="A37" i="32"/>
  <c r="C52" i="32" a="1"/>
  <c r="C52" i="32" s="1"/>
  <c r="AU82" i="32"/>
  <c r="AR276" i="32"/>
  <c r="AT278" i="32"/>
  <c r="AR278" i="32"/>
  <c r="AU278" i="32"/>
  <c r="AU285" i="32"/>
  <c r="AS285" i="32"/>
  <c r="Y394" i="32"/>
  <c r="D26" i="32" a="1"/>
  <c r="D26" i="32" s="1"/>
  <c r="C26" i="32" a="1"/>
  <c r="C26" i="32" s="1"/>
  <c r="Z100" i="32"/>
  <c r="Y100" i="32"/>
  <c r="Z192" i="32"/>
  <c r="Y192" i="32"/>
  <c r="AS259" i="32"/>
  <c r="AU259" i="32"/>
  <c r="AT259" i="32"/>
  <c r="AT277" i="32"/>
  <c r="AU284" i="32"/>
  <c r="AU416" i="32"/>
  <c r="AT416" i="32"/>
  <c r="AS416" i="32"/>
  <c r="AR416" i="32"/>
  <c r="C56" i="32" a="1"/>
  <c r="C56" i="32" s="1"/>
  <c r="A56" i="32"/>
  <c r="AU171" i="32"/>
  <c r="AT171" i="32"/>
  <c r="AS171" i="32"/>
  <c r="AS183" i="32"/>
  <c r="AU200" i="32"/>
  <c r="AT200" i="32"/>
  <c r="AS200" i="32"/>
  <c r="AR200" i="32"/>
  <c r="AU231" i="32"/>
  <c r="AT231" i="32"/>
  <c r="AS231" i="32"/>
  <c r="Z314" i="32"/>
  <c r="Y314" i="32"/>
  <c r="AR367" i="32"/>
  <c r="AT121" i="32"/>
  <c r="AU121" i="32"/>
  <c r="AT122" i="32"/>
  <c r="AR122" i="32"/>
  <c r="AU122" i="32"/>
  <c r="AT126" i="32"/>
  <c r="AU126" i="32"/>
  <c r="AR127" i="32"/>
  <c r="AR130" i="32"/>
  <c r="AU120" i="32"/>
  <c r="Y77" i="32"/>
  <c r="AS82" i="32"/>
  <c r="AU84" i="32"/>
  <c r="AT84" i="32"/>
  <c r="AS84" i="32"/>
  <c r="AR84" i="32"/>
  <c r="AU109" i="32"/>
  <c r="Y125" i="32"/>
  <c r="AU151" i="32"/>
  <c r="AT160" i="32"/>
  <c r="AT190" i="32"/>
  <c r="AT191" i="32"/>
  <c r="AS191" i="32"/>
  <c r="AR210" i="32"/>
  <c r="AT210" i="32"/>
  <c r="AU210" i="32"/>
  <c r="AS210" i="32"/>
  <c r="D32" i="32" a="1"/>
  <c r="D32" i="32" s="1"/>
  <c r="C32" i="32" a="1"/>
  <c r="C32" i="32" s="1"/>
  <c r="A32" i="32"/>
  <c r="G46" i="32"/>
  <c r="F46" i="32" a="1"/>
  <c r="F46" i="32" s="1"/>
  <c r="E46" i="32"/>
  <c r="D46" i="32" a="1"/>
  <c r="D46" i="32" s="1"/>
  <c r="C46" i="32" a="1"/>
  <c r="C46" i="32" s="1"/>
  <c r="A46" i="32"/>
  <c r="D54" i="32" a="1"/>
  <c r="D54" i="32" s="1"/>
  <c r="C54" i="32" a="1"/>
  <c r="C54" i="32" s="1"/>
  <c r="A54" i="32"/>
  <c r="Y80" i="32"/>
  <c r="AT83" i="32"/>
  <c r="Z91" i="32"/>
  <c r="Y91" i="32"/>
  <c r="Y151" i="32"/>
  <c r="AU190" i="32"/>
  <c r="AR192" i="32"/>
  <c r="AU281" i="32"/>
  <c r="AT281" i="32"/>
  <c r="AS281" i="32"/>
  <c r="D23" i="32" a="1"/>
  <c r="D23" i="32" s="1"/>
  <c r="A23" i="32"/>
  <c r="A28" i="32"/>
  <c r="D33" i="32" a="1"/>
  <c r="D33" i="32" s="1"/>
  <c r="A33" i="32"/>
  <c r="I41" i="32" a="1"/>
  <c r="I41" i="32" s="1"/>
  <c r="C41" i="32" a="1"/>
  <c r="C41" i="32" s="1"/>
  <c r="A41" i="32"/>
  <c r="D41" i="32" a="1"/>
  <c r="D41" i="32" s="1"/>
  <c r="AK237" i="32"/>
  <c r="Z280" i="32"/>
  <c r="Y280" i="32"/>
  <c r="AU414" i="32"/>
  <c r="AS414" i="32"/>
  <c r="AT414" i="32"/>
  <c r="AR414" i="32"/>
  <c r="C23" i="32" a="1"/>
  <c r="C23" i="32" s="1"/>
  <c r="C28" i="32" a="1"/>
  <c r="C28" i="32" s="1"/>
  <c r="C33" i="32" a="1"/>
  <c r="C33" i="32" s="1"/>
  <c r="Y105" i="32"/>
  <c r="AS168" i="32"/>
  <c r="AU168" i="32"/>
  <c r="Z239" i="32"/>
  <c r="Y239" i="32"/>
  <c r="AS154" i="32"/>
  <c r="AR154" i="32"/>
  <c r="AU154" i="32"/>
  <c r="AT154" i="32"/>
  <c r="Y88" i="32"/>
  <c r="AR129" i="32"/>
  <c r="Z135" i="32"/>
  <c r="Y135" i="32"/>
  <c r="AR109" i="32"/>
  <c r="D52" i="32" a="1"/>
  <c r="D52" i="32" s="1"/>
  <c r="A52" i="32"/>
  <c r="I52" i="32" a="1"/>
  <c r="I52" i="32" s="1"/>
  <c r="H52" i="32" a="1"/>
  <c r="H52" i="32" s="1"/>
  <c r="G52" i="32"/>
  <c r="Z188" i="32"/>
  <c r="D31" i="32" a="1"/>
  <c r="D31" i="32" s="1"/>
  <c r="A31" i="32"/>
  <c r="A40" i="32"/>
  <c r="E47" i="32"/>
  <c r="AU136" i="32"/>
  <c r="AT136" i="32"/>
  <c r="AS311" i="32"/>
  <c r="AR311" i="32"/>
  <c r="AU312" i="32"/>
  <c r="AT312" i="32"/>
  <c r="AS312" i="32"/>
  <c r="AU412" i="32"/>
  <c r="AT412" i="32"/>
  <c r="AS412" i="32"/>
  <c r="AR412" i="32"/>
  <c r="Z127" i="32"/>
  <c r="Y127" i="32"/>
  <c r="AT139" i="32"/>
  <c r="AS139" i="32"/>
  <c r="AR140" i="32"/>
  <c r="AU140" i="32"/>
  <c r="AT140" i="32"/>
  <c r="AU199" i="32"/>
  <c r="AT199" i="32"/>
  <c r="AU219" i="32"/>
  <c r="AT219" i="32"/>
  <c r="Z346" i="32"/>
  <c r="Y346" i="32"/>
  <c r="Z371" i="32"/>
  <c r="Y371" i="32"/>
  <c r="AT421" i="32"/>
  <c r="AU421" i="32"/>
  <c r="AS421" i="32"/>
  <c r="D35" i="32" a="1"/>
  <c r="D35" i="32" s="1"/>
  <c r="C35" i="32" a="1"/>
  <c r="C35" i="32" s="1"/>
  <c r="A35" i="32"/>
  <c r="Y83" i="32"/>
  <c r="AT98" i="32"/>
  <c r="AS98" i="32"/>
  <c r="AR113" i="32"/>
  <c r="AU114" i="32"/>
  <c r="AS114" i="32"/>
  <c r="AR114" i="32"/>
  <c r="Y129" i="32"/>
  <c r="Z134" i="32"/>
  <c r="AR139" i="32"/>
  <c r="AS140" i="32"/>
  <c r="Z161" i="32"/>
  <c r="AT178" i="32"/>
  <c r="AS178" i="32"/>
  <c r="AR178" i="32"/>
  <c r="AS198" i="32"/>
  <c r="AR199" i="32"/>
  <c r="Y218" i="32"/>
  <c r="AR219" i="32"/>
  <c r="Y229" i="32"/>
  <c r="AR300" i="32"/>
  <c r="AR301" i="32"/>
  <c r="AU301" i="32"/>
  <c r="AT301" i="32"/>
  <c r="Y366" i="32"/>
  <c r="Z409" i="32"/>
  <c r="Y415" i="32"/>
  <c r="AR421" i="32"/>
  <c r="C44" i="32" a="1"/>
  <c r="C44" i="32" s="1"/>
  <c r="A44" i="32"/>
  <c r="AU95" i="32"/>
  <c r="AT95" i="32"/>
  <c r="AS95" i="32"/>
  <c r="AR95" i="32"/>
  <c r="AI108" i="32"/>
  <c r="AL108" i="32"/>
  <c r="O7" i="32" s="1"/>
  <c r="AM108" i="32"/>
  <c r="AJ108" i="32"/>
  <c r="AK108" i="32" s="1"/>
  <c r="N7" i="32" s="1"/>
  <c r="AS113" i="32"/>
  <c r="AU116" i="32"/>
  <c r="AT116" i="32"/>
  <c r="Z136" i="32"/>
  <c r="Y136" i="32"/>
  <c r="AU139" i="32"/>
  <c r="AK144" i="32"/>
  <c r="N8" i="32" s="1"/>
  <c r="AT198" i="32"/>
  <c r="AS199" i="32"/>
  <c r="AS219" i="32"/>
  <c r="AS300" i="32"/>
  <c r="Z411" i="32"/>
  <c r="Y411" i="32"/>
  <c r="AR99" i="32"/>
  <c r="AT113" i="32"/>
  <c r="AR116" i="32"/>
  <c r="AK134" i="32"/>
  <c r="Y177" i="32"/>
  <c r="Z197" i="32"/>
  <c r="AU198" i="32"/>
  <c r="Y202" i="32"/>
  <c r="Y214" i="32"/>
  <c r="Z214" i="32"/>
  <c r="AU268" i="32"/>
  <c r="AR268" i="32"/>
  <c r="AT268" i="32"/>
  <c r="AT269" i="32"/>
  <c r="AR269" i="32"/>
  <c r="AU269" i="32"/>
  <c r="AS269" i="32"/>
  <c r="AT300" i="32"/>
  <c r="AK382" i="32"/>
  <c r="Y385" i="32"/>
  <c r="AK85" i="32"/>
  <c r="AK92" i="32"/>
  <c r="Y94" i="32"/>
  <c r="AS99" i="32"/>
  <c r="AR100" i="32"/>
  <c r="AR108" i="32"/>
  <c r="AS116" i="32"/>
  <c r="Y138" i="32"/>
  <c r="Z138" i="32"/>
  <c r="AM144" i="32"/>
  <c r="AL144" i="32"/>
  <c r="O8" i="32" s="1"/>
  <c r="Y184" i="32"/>
  <c r="Z185" i="32"/>
  <c r="Y185" i="32"/>
  <c r="Y198" i="32"/>
  <c r="Z203" i="32"/>
  <c r="Y203" i="32"/>
  <c r="AR208" i="32"/>
  <c r="Z220" i="32"/>
  <c r="Y220" i="32"/>
  <c r="AK244" i="32"/>
  <c r="AT257" i="32"/>
  <c r="AR257" i="32"/>
  <c r="AU257" i="32"/>
  <c r="Y266" i="32"/>
  <c r="AS268" i="32"/>
  <c r="Z386" i="32"/>
  <c r="Y386" i="32"/>
  <c r="AR389" i="32"/>
  <c r="AU389" i="32"/>
  <c r="AT389" i="32"/>
  <c r="AS389" i="32"/>
  <c r="Y397" i="32"/>
  <c r="Z397" i="32"/>
  <c r="I45" i="32" a="1"/>
  <c r="I45" i="32" s="1"/>
  <c r="AK73" i="32"/>
  <c r="AT75" i="32"/>
  <c r="AS75" i="32"/>
  <c r="AS100" i="32"/>
  <c r="Z199" i="32"/>
  <c r="Y199" i="32"/>
  <c r="AT222" i="32"/>
  <c r="AS222" i="32"/>
  <c r="AU222" i="32"/>
  <c r="AS267" i="32"/>
  <c r="AU267" i="32"/>
  <c r="AR267" i="32"/>
  <c r="AT267" i="32"/>
  <c r="AU292" i="32"/>
  <c r="AT292" i="32"/>
  <c r="AS292" i="32"/>
  <c r="AU334" i="32"/>
  <c r="AT334" i="32"/>
  <c r="AS334" i="32"/>
  <c r="AU400" i="32"/>
  <c r="AT400" i="32"/>
  <c r="AS400" i="32"/>
  <c r="AR400" i="32"/>
  <c r="Z340" i="32"/>
  <c r="AR341" i="32"/>
  <c r="Z347" i="32"/>
  <c r="Z349" i="32"/>
  <c r="AU352" i="32"/>
  <c r="AT352" i="32"/>
  <c r="AS352" i="32"/>
  <c r="Z374" i="32"/>
  <c r="AT379" i="32"/>
  <c r="AR379" i="32"/>
  <c r="AU379" i="32"/>
  <c r="AL396" i="32"/>
  <c r="O15" i="32" s="1"/>
  <c r="AI396" i="32"/>
  <c r="AU424" i="32"/>
  <c r="AT424" i="32"/>
  <c r="AS424" i="32"/>
  <c r="AR424" i="32"/>
  <c r="AU270" i="32"/>
  <c r="AT270" i="32"/>
  <c r="AS270" i="32"/>
  <c r="AU318" i="32"/>
  <c r="AT318" i="32"/>
  <c r="AS318" i="32"/>
  <c r="AU375" i="32"/>
  <c r="AT375" i="32"/>
  <c r="AS375" i="32"/>
  <c r="AS123" i="32"/>
  <c r="AR123" i="32"/>
  <c r="AS141" i="32"/>
  <c r="AR141" i="32"/>
  <c r="AU173" i="32"/>
  <c r="AR173" i="32"/>
  <c r="AU195" i="32"/>
  <c r="AR195" i="32"/>
  <c r="AR216" i="32"/>
  <c r="AS216" i="32"/>
  <c r="AT244" i="32"/>
  <c r="AR244" i="32"/>
  <c r="AS244" i="32"/>
  <c r="AU244" i="32"/>
  <c r="AU261" i="32"/>
  <c r="AT261" i="32"/>
  <c r="AR270" i="32"/>
  <c r="Y291" i="32"/>
  <c r="AU306" i="32"/>
  <c r="AS306" i="32"/>
  <c r="AR318" i="32"/>
  <c r="AR322" i="32"/>
  <c r="AU322" i="32"/>
  <c r="AT322" i="32"/>
  <c r="AU354" i="32"/>
  <c r="AR354" i="32"/>
  <c r="Z367" i="32"/>
  <c r="Y367" i="32"/>
  <c r="Y372" i="32"/>
  <c r="Z372" i="32"/>
  <c r="AR375" i="32"/>
  <c r="AT380" i="32"/>
  <c r="AR380" i="32"/>
  <c r="AU380" i="32"/>
  <c r="Y420" i="32"/>
  <c r="AR78" i="32"/>
  <c r="Y101" i="32"/>
  <c r="AR102" i="32"/>
  <c r="Z121" i="32"/>
  <c r="AT123" i="32"/>
  <c r="Y140" i="32"/>
  <c r="AT141" i="32"/>
  <c r="AR142" i="32"/>
  <c r="AS173" i="32"/>
  <c r="AR174" i="32"/>
  <c r="AU174" i="32"/>
  <c r="AT174" i="32"/>
  <c r="AR186" i="32"/>
  <c r="AU186" i="32"/>
  <c r="AT186" i="32"/>
  <c r="AS195" i="32"/>
  <c r="AR204" i="32"/>
  <c r="AT216" i="32"/>
  <c r="AU233" i="32"/>
  <c r="AT233" i="32"/>
  <c r="AS233" i="32"/>
  <c r="AR261" i="32"/>
  <c r="Z268" i="32"/>
  <c r="Y268" i="32"/>
  <c r="AI288" i="32"/>
  <c r="AM288" i="32"/>
  <c r="AR306" i="32"/>
  <c r="AR90" i="32"/>
  <c r="Y95" i="32"/>
  <c r="AR96" i="32"/>
  <c r="AS102" i="32"/>
  <c r="Y110" i="32"/>
  <c r="Y116" i="32"/>
  <c r="Y122" i="32"/>
  <c r="Z122" i="32"/>
  <c r="AU123" i="32"/>
  <c r="AR131" i="32"/>
  <c r="AU141" i="32"/>
  <c r="AS142" i="32"/>
  <c r="AR157" i="32"/>
  <c r="Y163" i="32"/>
  <c r="AT173" i="32"/>
  <c r="AS174" i="32"/>
  <c r="AS186" i="32"/>
  <c r="AT195" i="32"/>
  <c r="AS204" i="32"/>
  <c r="Y211" i="32"/>
  <c r="AU216" i="32"/>
  <c r="Y231" i="32"/>
  <c r="AR233" i="32"/>
  <c r="AR246" i="32"/>
  <c r="AU247" i="32"/>
  <c r="AT247" i="32"/>
  <c r="AS261" i="32"/>
  <c r="AJ288" i="32"/>
  <c r="AK288" i="32" s="1"/>
  <c r="N12" i="32" s="1"/>
  <c r="Y305" i="32"/>
  <c r="AT306" i="32"/>
  <c r="Z316" i="32"/>
  <c r="AS341" i="32"/>
  <c r="AT354" i="32"/>
  <c r="AU426" i="32"/>
  <c r="AS426" i="32"/>
  <c r="Y78" i="32"/>
  <c r="AT78" i="32"/>
  <c r="AS90" i="32"/>
  <c r="AS96" i="32"/>
  <c r="AT102" i="32"/>
  <c r="AT117" i="32"/>
  <c r="AU118" i="32"/>
  <c r="AT118" i="32"/>
  <c r="AR124" i="32"/>
  <c r="Z130" i="32"/>
  <c r="AS131" i="32"/>
  <c r="AU142" i="32"/>
  <c r="Y145" i="32"/>
  <c r="AR146" i="32"/>
  <c r="Z153" i="32"/>
  <c r="Y153" i="32"/>
  <c r="Z154" i="32"/>
  <c r="AS157" i="32"/>
  <c r="AT166" i="32"/>
  <c r="AS166" i="32"/>
  <c r="AK203" i="32"/>
  <c r="Y204" i="32"/>
  <c r="AT204" i="32"/>
  <c r="Y223" i="32"/>
  <c r="AU225" i="32"/>
  <c r="AS225" i="32"/>
  <c r="Y232" i="32"/>
  <c r="Z235" i="32"/>
  <c r="Y235" i="32"/>
  <c r="Z245" i="32"/>
  <c r="AS246" i="32"/>
  <c r="AR247" i="32"/>
  <c r="AR253" i="32"/>
  <c r="AT273" i="32"/>
  <c r="AU273" i="32"/>
  <c r="AR273" i="32"/>
  <c r="AU308" i="32"/>
  <c r="AT308" i="32"/>
  <c r="AS308" i="32"/>
  <c r="Z317" i="32"/>
  <c r="Y317" i="32"/>
  <c r="Z329" i="32"/>
  <c r="Y329" i="32"/>
  <c r="AT332" i="32"/>
  <c r="AR332" i="32"/>
  <c r="AT341" i="32"/>
  <c r="AK349" i="32"/>
  <c r="Y350" i="32"/>
  <c r="Z376" i="32"/>
  <c r="Z377" i="32"/>
  <c r="Y377" i="32"/>
  <c r="AU404" i="32"/>
  <c r="AT404" i="32"/>
  <c r="AS404" i="32"/>
  <c r="AR404" i="32"/>
  <c r="AR426" i="32"/>
  <c r="AU428" i="32"/>
  <c r="AT428" i="32"/>
  <c r="AS428" i="32"/>
  <c r="AS78" i="32"/>
  <c r="AS117" i="32"/>
  <c r="AT90" i="32"/>
  <c r="AT96" i="32"/>
  <c r="Z102" i="32"/>
  <c r="Y102" i="32"/>
  <c r="AK116" i="32"/>
  <c r="AU117" i="32"/>
  <c r="AS124" i="32"/>
  <c r="AT131" i="32"/>
  <c r="AS146" i="32"/>
  <c r="AU147" i="32"/>
  <c r="AS147" i="32"/>
  <c r="AR147" i="32"/>
  <c r="AT157" i="32"/>
  <c r="Z173" i="32"/>
  <c r="Y173" i="32"/>
  <c r="Z194" i="32"/>
  <c r="AT205" i="32"/>
  <c r="AS205" i="32"/>
  <c r="AR214" i="32"/>
  <c r="AU214" i="32"/>
  <c r="Y243" i="32"/>
  <c r="AT246" i="32"/>
  <c r="AS247" i="32"/>
  <c r="AS253" i="32"/>
  <c r="AS273" i="32"/>
  <c r="AL288" i="32"/>
  <c r="O12" i="32" s="1"/>
  <c r="AR297" i="32"/>
  <c r="AU297" i="32"/>
  <c r="AR308" i="32"/>
  <c r="AS332" i="32"/>
  <c r="AR342" i="32"/>
  <c r="Z351" i="32"/>
  <c r="AM396" i="32"/>
  <c r="Z425" i="32"/>
  <c r="AT426" i="32"/>
  <c r="AR428" i="32"/>
  <c r="AU80" i="32"/>
  <c r="AS80" i="32"/>
  <c r="AR80" i="32"/>
  <c r="AT124" i="32"/>
  <c r="AS132" i="32"/>
  <c r="AR132" i="32"/>
  <c r="AU132" i="32"/>
  <c r="AT134" i="32"/>
  <c r="AR134" i="32"/>
  <c r="AU146" i="32"/>
  <c r="AK153" i="32"/>
  <c r="AU181" i="32"/>
  <c r="AT181" i="32"/>
  <c r="AR206" i="32"/>
  <c r="AS206" i="32"/>
  <c r="AU206" i="32"/>
  <c r="AT206" i="32"/>
  <c r="AK232" i="32"/>
  <c r="AK245" i="32"/>
  <c r="AT250" i="32"/>
  <c r="AR250" i="32"/>
  <c r="AT253" i="32"/>
  <c r="AU254" i="32"/>
  <c r="AT254" i="32"/>
  <c r="AS254" i="32"/>
  <c r="Z295" i="32"/>
  <c r="Y295" i="32"/>
  <c r="Z354" i="32"/>
  <c r="Y354" i="32"/>
  <c r="AT80" i="32"/>
  <c r="AU92" i="32"/>
  <c r="AS92" i="32"/>
  <c r="Y96" i="32"/>
  <c r="AT132" i="32"/>
  <c r="AS134" i="32"/>
  <c r="AK164" i="32"/>
  <c r="AS167" i="32"/>
  <c r="AR176" i="32"/>
  <c r="AR181" i="32"/>
  <c r="AK193" i="32"/>
  <c r="AR197" i="32"/>
  <c r="AS250" i="32"/>
  <c r="AR254" i="32"/>
  <c r="AU234" i="32"/>
  <c r="AS234" i="32"/>
  <c r="AT234" i="32"/>
  <c r="AR234" i="32"/>
  <c r="AU319" i="32"/>
  <c r="AT319" i="32"/>
  <c r="AS319" i="32"/>
  <c r="AR319" i="32"/>
  <c r="AU390" i="32"/>
  <c r="AT390" i="32"/>
  <c r="AS390" i="32"/>
  <c r="AR390" i="32"/>
  <c r="Z404" i="32"/>
  <c r="Y404" i="32"/>
  <c r="AT429" i="32"/>
  <c r="AU429" i="32"/>
  <c r="AS429" i="32"/>
  <c r="AR429" i="32"/>
  <c r="AR133" i="32"/>
  <c r="AK170" i="32"/>
  <c r="Z181" i="32"/>
  <c r="Y181" i="32"/>
  <c r="AS194" i="32"/>
  <c r="AK198" i="32"/>
  <c r="AR212" i="32"/>
  <c r="Y219" i="32"/>
  <c r="AR227" i="32"/>
  <c r="AR282" i="32"/>
  <c r="Y292" i="32"/>
  <c r="AU295" i="32"/>
  <c r="AT295" i="32"/>
  <c r="Z300" i="32"/>
  <c r="Y300" i="32"/>
  <c r="Z302" i="32"/>
  <c r="Y303" i="32"/>
  <c r="AU336" i="32"/>
  <c r="AT336" i="32"/>
  <c r="AS336" i="32"/>
  <c r="AR336" i="32"/>
  <c r="AS255" i="32"/>
  <c r="AU255" i="32"/>
  <c r="AR255" i="32"/>
  <c r="AS283" i="32"/>
  <c r="AR283" i="32"/>
  <c r="AR321" i="32"/>
  <c r="AT321" i="32"/>
  <c r="AU377" i="32"/>
  <c r="AT377" i="32"/>
  <c r="Z391" i="32"/>
  <c r="Y391" i="32"/>
  <c r="AU398" i="32"/>
  <c r="AS398" i="32"/>
  <c r="AT398" i="32"/>
  <c r="AS148" i="32"/>
  <c r="AU148" i="32"/>
  <c r="AT148" i="32"/>
  <c r="AU155" i="32"/>
  <c r="AT172" i="32"/>
  <c r="AU194" i="32"/>
  <c r="Z200" i="32"/>
  <c r="Y200" i="32"/>
  <c r="AT227" i="32"/>
  <c r="AS243" i="32"/>
  <c r="AT255" i="32"/>
  <c r="AS263" i="32"/>
  <c r="AU263" i="32"/>
  <c r="AT263" i="32"/>
  <c r="AK280" i="32"/>
  <c r="AU282" i="32"/>
  <c r="AT283" i="32"/>
  <c r="AS295" i="32"/>
  <c r="AK300" i="32"/>
  <c r="AS305" i="32"/>
  <c r="AT313" i="32"/>
  <c r="AR314" i="32"/>
  <c r="AS321" i="32"/>
  <c r="Z327" i="32"/>
  <c r="Y327" i="32"/>
  <c r="Y358" i="32"/>
  <c r="AS376" i="32"/>
  <c r="AR377" i="32"/>
  <c r="AR398" i="32"/>
  <c r="AS409" i="32"/>
  <c r="AU410" i="32"/>
  <c r="AS410" i="32"/>
  <c r="AS164" i="32"/>
  <c r="AU164" i="32"/>
  <c r="AU235" i="32"/>
  <c r="AR235" i="32"/>
  <c r="AS279" i="32"/>
  <c r="AT279" i="32"/>
  <c r="AT302" i="32"/>
  <c r="AR302" i="32"/>
  <c r="Z343" i="32"/>
  <c r="Y343" i="32"/>
  <c r="AK400" i="32"/>
  <c r="AT252" i="32"/>
  <c r="AR252" i="32"/>
  <c r="AU264" i="32"/>
  <c r="AS264" i="32"/>
  <c r="AK269" i="32"/>
  <c r="AR271" i="32"/>
  <c r="AK276" i="32"/>
  <c r="Y277" i="32"/>
  <c r="AR279" i="32"/>
  <c r="Z285" i="32"/>
  <c r="AS302" i="32"/>
  <c r="AU329" i="32"/>
  <c r="AT329" i="32"/>
  <c r="AU370" i="32"/>
  <c r="AS370" i="32"/>
  <c r="AU382" i="32"/>
  <c r="AT382" i="32"/>
  <c r="AS382" i="32"/>
  <c r="AR382" i="32"/>
  <c r="AT405" i="32"/>
  <c r="AU405" i="32"/>
  <c r="AS405" i="32"/>
  <c r="AR405" i="32"/>
  <c r="AK415" i="32"/>
  <c r="AU418" i="32"/>
  <c r="AS418" i="32"/>
  <c r="AT418" i="32"/>
  <c r="AR418" i="32"/>
  <c r="Y428" i="32"/>
  <c r="Y278" i="32"/>
  <c r="Z278" i="32"/>
  <c r="AK335" i="32"/>
  <c r="AU338" i="32"/>
  <c r="AT338" i="32"/>
  <c r="AR338" i="32"/>
  <c r="AK412" i="32"/>
  <c r="AU357" i="32"/>
  <c r="AT357" i="32"/>
  <c r="AS357" i="32"/>
  <c r="AR357" i="32"/>
  <c r="AU363" i="32"/>
  <c r="AT363" i="32"/>
  <c r="AS363" i="32"/>
  <c r="Y417" i="32"/>
  <c r="Z417" i="32"/>
  <c r="AR293" i="32"/>
  <c r="AT293" i="32"/>
  <c r="AU422" i="32"/>
  <c r="AS422" i="32"/>
  <c r="AK154" i="32"/>
  <c r="AK238" i="32"/>
  <c r="AU293" i="32"/>
  <c r="AT309" i="32"/>
  <c r="Z352" i="32"/>
  <c r="Y352" i="32"/>
  <c r="Z363" i="32"/>
  <c r="Y363" i="32"/>
  <c r="AU406" i="32"/>
  <c r="AS406" i="32"/>
  <c r="AT406" i="32"/>
  <c r="Z413" i="32"/>
  <c r="AK420" i="32"/>
  <c r="Z421" i="32"/>
  <c r="AR422" i="32"/>
  <c r="AK281" i="32"/>
  <c r="AK416" i="32"/>
  <c r="AU430" i="32"/>
  <c r="AS430" i="32"/>
  <c r="AS393" i="32"/>
  <c r="AR393" i="32"/>
  <c r="AK428" i="32"/>
  <c r="AK277" i="32"/>
  <c r="Y319" i="32"/>
  <c r="Y334" i="32"/>
  <c r="Y339" i="32"/>
  <c r="AR344" i="32"/>
  <c r="Y348" i="32"/>
  <c r="AR353" i="32"/>
  <c r="Y357" i="32"/>
  <c r="AR360" i="32"/>
  <c r="Z368" i="32"/>
  <c r="AR369" i="32"/>
  <c r="Y373" i="32"/>
  <c r="AR378" i="32"/>
  <c r="Y382" i="32"/>
  <c r="Z392" i="32"/>
  <c r="AT393" i="32"/>
  <c r="AR396" i="32"/>
  <c r="Y412" i="32"/>
  <c r="AR413" i="32"/>
  <c r="AS360" i="32"/>
  <c r="AU393" i="32"/>
  <c r="AU402" i="32"/>
  <c r="AS402" i="32"/>
  <c r="AS413" i="32"/>
  <c r="Z145" i="31"/>
  <c r="Z158" i="31"/>
  <c r="Z170" i="31"/>
  <c r="Z169" i="31"/>
  <c r="Z177" i="31"/>
  <c r="Y110" i="31"/>
  <c r="Y138" i="31"/>
  <c r="Y117" i="31"/>
  <c r="Y106" i="31"/>
  <c r="Z78" i="31"/>
  <c r="AI191" i="31"/>
  <c r="AM194" i="31"/>
  <c r="AK212" i="31"/>
  <c r="AM193" i="31"/>
  <c r="AK198" i="31"/>
  <c r="AM185" i="31"/>
  <c r="AK206" i="31"/>
  <c r="AM181" i="31"/>
  <c r="AM187" i="31"/>
  <c r="AM214" i="31"/>
  <c r="AJ191" i="31"/>
  <c r="AK191" i="31" s="1"/>
  <c r="AJ196" i="31"/>
  <c r="AK196" i="31" s="1"/>
  <c r="AM183" i="31"/>
  <c r="AI190" i="31"/>
  <c r="AL191" i="31"/>
  <c r="AL196" i="31"/>
  <c r="AM196" i="31"/>
  <c r="AM189" i="31"/>
  <c r="AL193" i="31"/>
  <c r="AM184" i="31"/>
  <c r="AM192" i="31"/>
  <c r="AM197" i="31"/>
  <c r="AL190" i="31"/>
  <c r="AM195" i="31"/>
  <c r="AM186" i="31"/>
  <c r="AM213" i="31"/>
  <c r="AI192" i="31"/>
  <c r="Y182" i="31"/>
  <c r="Y186" i="31"/>
  <c r="AJ192" i="31"/>
  <c r="AK192" i="31" s="1"/>
  <c r="AI197" i="31"/>
  <c r="Y213" i="31"/>
  <c r="AI187" i="31"/>
  <c r="AI189" i="31"/>
  <c r="AL192" i="31"/>
  <c r="AJ197" i="31"/>
  <c r="AK197" i="31" s="1"/>
  <c r="AJ187" i="31"/>
  <c r="AK187" i="31" s="1"/>
  <c r="AJ189" i="31"/>
  <c r="AK189" i="31" s="1"/>
  <c r="AL197" i="31"/>
  <c r="AI214" i="31"/>
  <c r="AL187" i="31"/>
  <c r="AL189" i="31"/>
  <c r="AJ214" i="31"/>
  <c r="AK214" i="31" s="1"/>
  <c r="AI182" i="31"/>
  <c r="AI183" i="31"/>
  <c r="AI186" i="31"/>
  <c r="AL214" i="31"/>
  <c r="AJ182" i="31"/>
  <c r="AK182" i="31" s="1"/>
  <c r="AJ183" i="31"/>
  <c r="AK183" i="31" s="1"/>
  <c r="AI184" i="31"/>
  <c r="AJ186" i="31"/>
  <c r="AK186" i="31" s="1"/>
  <c r="Y205" i="31"/>
  <c r="Y206" i="31"/>
  <c r="Z211" i="31"/>
  <c r="AI213" i="31"/>
  <c r="AI181" i="31"/>
  <c r="AL182" i="31"/>
  <c r="AL183" i="31"/>
  <c r="AJ184" i="31"/>
  <c r="AK184" i="31" s="1"/>
  <c r="AI185" i="31"/>
  <c r="AL186" i="31"/>
  <c r="Y204" i="31"/>
  <c r="AJ213" i="31"/>
  <c r="AK213" i="31" s="1"/>
  <c r="AJ181" i="31"/>
  <c r="AK181" i="31" s="1"/>
  <c r="AL184" i="31"/>
  <c r="AJ185" i="31"/>
  <c r="AK185" i="31" s="1"/>
  <c r="AL213" i="31"/>
  <c r="AL181" i="31"/>
  <c r="AL185" i="31"/>
  <c r="Y196" i="31"/>
  <c r="AK207" i="31"/>
  <c r="AK208" i="31"/>
  <c r="Y191" i="31"/>
  <c r="Y201" i="31"/>
  <c r="AK205" i="31"/>
  <c r="AI194" i="31"/>
  <c r="AI195" i="31"/>
  <c r="Y197" i="31"/>
  <c r="Z199" i="31"/>
  <c r="Z202" i="31"/>
  <c r="AM180" i="31"/>
  <c r="Y189" i="31"/>
  <c r="AI193" i="31"/>
  <c r="AJ194" i="31"/>
  <c r="AK194" i="31" s="1"/>
  <c r="AJ195" i="31"/>
  <c r="AK195" i="31" s="1"/>
  <c r="AK200" i="31"/>
  <c r="AK201" i="31"/>
  <c r="AK202" i="31"/>
  <c r="AM163" i="31"/>
  <c r="I41" i="31" s="1" a="1"/>
  <c r="I41" i="31" s="1"/>
  <c r="AJ155" i="31"/>
  <c r="M33" i="31" s="1" a="1"/>
  <c r="M33" i="31" s="1"/>
  <c r="AK193" i="31"/>
  <c r="AM152" i="31"/>
  <c r="I30" i="31" s="1" a="1"/>
  <c r="I30" i="31" s="1"/>
  <c r="AL162" i="31"/>
  <c r="AK170" i="31"/>
  <c r="AM145" i="31"/>
  <c r="AM151" i="31"/>
  <c r="I29" i="31" s="1" a="1"/>
  <c r="I29" i="31" s="1"/>
  <c r="AM162" i="31"/>
  <c r="I40" i="31" s="1" a="1"/>
  <c r="I40" i="31" s="1"/>
  <c r="AK169" i="31"/>
  <c r="AK149" i="31"/>
  <c r="O27" i="31" s="1" a="1"/>
  <c r="O27" i="31" s="1"/>
  <c r="AJ154" i="31"/>
  <c r="M32" i="31" s="1" a="1"/>
  <c r="M32" i="31" s="1"/>
  <c r="AL161" i="31"/>
  <c r="AM158" i="31"/>
  <c r="I36" i="31" s="1" a="1"/>
  <c r="I36" i="31" s="1"/>
  <c r="AM157" i="31"/>
  <c r="I35" i="31" s="1" a="1"/>
  <c r="I35" i="31" s="1"/>
  <c r="AK160" i="31"/>
  <c r="AM161" i="31"/>
  <c r="I39" i="31" s="1" a="1"/>
  <c r="I39" i="31" s="1"/>
  <c r="AM155" i="31"/>
  <c r="I33" i="31" s="1" a="1"/>
  <c r="I33" i="31" s="1"/>
  <c r="AI161" i="31"/>
  <c r="L39" i="31" s="1" a="1"/>
  <c r="L39" i="31" s="1"/>
  <c r="AL154" i="31"/>
  <c r="AM147" i="31"/>
  <c r="I25" i="31" s="1" a="1"/>
  <c r="I25" i="31" s="1"/>
  <c r="AK199" i="31"/>
  <c r="AL157" i="31"/>
  <c r="AK175" i="31"/>
  <c r="AM146" i="31"/>
  <c r="Y155" i="31"/>
  <c r="Z157" i="31"/>
  <c r="Y149" i="31"/>
  <c r="Y153" i="31"/>
  <c r="AI156" i="31"/>
  <c r="L34" i="31" s="1" a="1"/>
  <c r="L34" i="31" s="1"/>
  <c r="AL159" i="31"/>
  <c r="AJ178" i="31"/>
  <c r="M56" i="31" s="1" a="1"/>
  <c r="M56" i="31" s="1"/>
  <c r="Y152" i="31"/>
  <c r="AJ156" i="31"/>
  <c r="AK156" i="31" s="1"/>
  <c r="O34" i="31" s="1" a="1"/>
  <c r="O34" i="31" s="1"/>
  <c r="AK157" i="31"/>
  <c r="O35" i="31" s="1" a="1"/>
  <c r="O35" i="31" s="1"/>
  <c r="AI158" i="31"/>
  <c r="L36" i="31" s="1" a="1"/>
  <c r="L36" i="31" s="1"/>
  <c r="AM159" i="31"/>
  <c r="I37" i="31" s="1" a="1"/>
  <c r="I37" i="31" s="1"/>
  <c r="Y173" i="31"/>
  <c r="AI177" i="31"/>
  <c r="L55" i="31" s="1" a="1"/>
  <c r="L55" i="31" s="1"/>
  <c r="Y146" i="31"/>
  <c r="AL156" i="31"/>
  <c r="AJ158" i="31"/>
  <c r="M36" i="31" s="1" a="1"/>
  <c r="M36" i="31" s="1"/>
  <c r="AJ177" i="31"/>
  <c r="AK177" i="31" s="1"/>
  <c r="O55" i="31" s="1" a="1"/>
  <c r="O55" i="31" s="1"/>
  <c r="AL178" i="31"/>
  <c r="AI151" i="31"/>
  <c r="L29" i="31" s="1" a="1"/>
  <c r="L29" i="31" s="1"/>
  <c r="AI154" i="31"/>
  <c r="L32" i="31" s="1" a="1"/>
  <c r="L32" i="31" s="1"/>
  <c r="AI155" i="31"/>
  <c r="L33" i="31" s="1" a="1"/>
  <c r="L33" i="31" s="1"/>
  <c r="AI157" i="31"/>
  <c r="L35" i="31" s="1" a="1"/>
  <c r="L35" i="31" s="1"/>
  <c r="AL158" i="31"/>
  <c r="AK176" i="31"/>
  <c r="AL177" i="31"/>
  <c r="AM178" i="31"/>
  <c r="I56" i="31" s="1" a="1"/>
  <c r="I56" i="31" s="1"/>
  <c r="Y165" i="31"/>
  <c r="AI146" i="31"/>
  <c r="L24" i="31" s="1" a="1"/>
  <c r="L24" i="31" s="1"/>
  <c r="AJ152" i="31"/>
  <c r="AK152" i="31" s="1"/>
  <c r="O30" i="31" s="1" a="1"/>
  <c r="O30" i="31" s="1"/>
  <c r="Y162" i="31"/>
  <c r="AK173" i="31"/>
  <c r="AJ150" i="31"/>
  <c r="AK150" i="31" s="1"/>
  <c r="O28" i="31" s="1" a="1"/>
  <c r="O28" i="31" s="1"/>
  <c r="AJ153" i="31"/>
  <c r="AK153" i="31" s="1"/>
  <c r="O31" i="31" s="1" a="1"/>
  <c r="O31" i="31" s="1"/>
  <c r="AI145" i="31"/>
  <c r="L23" i="31" s="1" a="1"/>
  <c r="L23" i="31" s="1"/>
  <c r="AJ146" i="31"/>
  <c r="AK146" i="31" s="1"/>
  <c r="O24" i="31" s="1" a="1"/>
  <c r="O24" i="31" s="1"/>
  <c r="AI147" i="31"/>
  <c r="L25" i="31" s="1" a="1"/>
  <c r="L25" i="31" s="1"/>
  <c r="AL149" i="31"/>
  <c r="AL150" i="31"/>
  <c r="AL152" i="31"/>
  <c r="AL153" i="31"/>
  <c r="Y160" i="31"/>
  <c r="Y161" i="31"/>
  <c r="AK172" i="31"/>
  <c r="AI153" i="31"/>
  <c r="L31" i="31" s="1" a="1"/>
  <c r="L31" i="31" s="1"/>
  <c r="AI152" i="31"/>
  <c r="L30" i="31" s="1" a="1"/>
  <c r="L30" i="31" s="1"/>
  <c r="AJ145" i="31"/>
  <c r="AK145" i="31" s="1"/>
  <c r="O23" i="31" s="1" a="1"/>
  <c r="O23" i="31" s="1"/>
  <c r="AL146" i="31"/>
  <c r="AJ147" i="31"/>
  <c r="AK147" i="31" s="1"/>
  <c r="O25" i="31" s="1" a="1"/>
  <c r="O25" i="31" s="1"/>
  <c r="AM149" i="31"/>
  <c r="AM150" i="31"/>
  <c r="I28" i="31" s="1" a="1"/>
  <c r="I28" i="31" s="1"/>
  <c r="AI163" i="31"/>
  <c r="L41" i="31" s="1" a="1"/>
  <c r="L41" i="31" s="1"/>
  <c r="AK165" i="31"/>
  <c r="AI149" i="31"/>
  <c r="L27" i="31" s="1" a="1"/>
  <c r="L27" i="31" s="1"/>
  <c r="AL145" i="31"/>
  <c r="AL147" i="31"/>
  <c r="AJ163" i="31"/>
  <c r="AK163" i="31" s="1"/>
  <c r="O41" i="31" s="1" a="1"/>
  <c r="O41" i="31" s="1"/>
  <c r="AK161" i="31"/>
  <c r="O39" i="31" s="1" a="1"/>
  <c r="O39" i="31" s="1"/>
  <c r="AI162" i="31"/>
  <c r="L40" i="31" s="1" a="1"/>
  <c r="L40" i="31" s="1"/>
  <c r="AL163" i="31"/>
  <c r="AK164" i="31"/>
  <c r="AI159" i="31"/>
  <c r="L37" i="31" s="1" a="1"/>
  <c r="L37" i="31" s="1"/>
  <c r="AK159" i="31"/>
  <c r="O37" i="31" s="1" a="1"/>
  <c r="O37" i="31" s="1"/>
  <c r="AM140" i="31"/>
  <c r="AM114" i="31"/>
  <c r="AK132" i="31"/>
  <c r="AM141" i="31"/>
  <c r="AI138" i="31"/>
  <c r="AI139" i="31"/>
  <c r="AJ138" i="31"/>
  <c r="AK138" i="31" s="1"/>
  <c r="AJ139" i="31"/>
  <c r="AK139" i="31" s="1"/>
  <c r="AL140" i="31"/>
  <c r="AK113" i="31"/>
  <c r="AL138" i="31"/>
  <c r="AL139" i="31"/>
  <c r="AK135" i="31"/>
  <c r="AK127" i="31"/>
  <c r="AI141" i="31"/>
  <c r="AJ141" i="31"/>
  <c r="AK141" i="31" s="1"/>
  <c r="E47" i="31"/>
  <c r="A47" i="31"/>
  <c r="AI112" i="31"/>
  <c r="AI109" i="31"/>
  <c r="AJ112" i="31"/>
  <c r="AK112" i="31" s="1"/>
  <c r="AM109" i="31"/>
  <c r="AM110" i="31"/>
  <c r="AM113" i="31"/>
  <c r="Z126" i="31"/>
  <c r="Z127" i="31"/>
  <c r="Y141" i="31"/>
  <c r="Y118" i="31"/>
  <c r="AK128" i="31"/>
  <c r="C27" i="31" a="1"/>
  <c r="C27" i="31" s="1"/>
  <c r="Z133" i="31"/>
  <c r="Y135" i="31"/>
  <c r="AJ109" i="31"/>
  <c r="AK109" i="31" s="1"/>
  <c r="AJ114" i="31"/>
  <c r="AK114" i="31" s="1"/>
  <c r="Y122" i="31"/>
  <c r="AK119" i="31"/>
  <c r="AK130" i="31"/>
  <c r="Y140" i="31"/>
  <c r="AI110" i="31"/>
  <c r="AM112" i="31"/>
  <c r="AJ110" i="31"/>
  <c r="AK110" i="31" s="1"/>
  <c r="AL113" i="31"/>
  <c r="AK122" i="31"/>
  <c r="AK140" i="31"/>
  <c r="AJ111" i="31"/>
  <c r="AK111" i="31" s="1"/>
  <c r="AI114" i="31"/>
  <c r="AI113" i="31"/>
  <c r="Z124" i="31"/>
  <c r="AL114" i="31"/>
  <c r="AM111" i="31"/>
  <c r="G43" i="31"/>
  <c r="A49" i="31"/>
  <c r="AI140" i="31"/>
  <c r="AK142" i="31"/>
  <c r="AI111" i="31"/>
  <c r="Y131" i="31"/>
  <c r="Y123" i="31"/>
  <c r="AI76" i="31"/>
  <c r="AJ76" i="31"/>
  <c r="AK76" i="31" s="1"/>
  <c r="AK92" i="31"/>
  <c r="AK93" i="31"/>
  <c r="AK87" i="31"/>
  <c r="AK100" i="31"/>
  <c r="AK83" i="31"/>
  <c r="AK106" i="31"/>
  <c r="AM104" i="31"/>
  <c r="I54" i="31" s="1" a="1"/>
  <c r="I54" i="31" s="1"/>
  <c r="AM74" i="31"/>
  <c r="AK94" i="31"/>
  <c r="AM103" i="31"/>
  <c r="I53" i="31" s="1" a="1"/>
  <c r="I53" i="31" s="1"/>
  <c r="AM77" i="31"/>
  <c r="AM73" i="31"/>
  <c r="AM105" i="31"/>
  <c r="AM102" i="31"/>
  <c r="I52" i="31" s="1" a="1"/>
  <c r="I52" i="31" s="1"/>
  <c r="C53" i="31" a="1"/>
  <c r="C53" i="31" s="1"/>
  <c r="D53" i="31" a="1"/>
  <c r="D53" i="31" s="1"/>
  <c r="A53" i="31"/>
  <c r="AK91" i="31"/>
  <c r="Y74" i="31"/>
  <c r="AK82" i="31"/>
  <c r="AK84" i="31"/>
  <c r="AK85" i="31"/>
  <c r="AK88" i="31"/>
  <c r="Y104" i="31"/>
  <c r="AK89" i="31"/>
  <c r="Y75" i="31"/>
  <c r="Y100" i="31"/>
  <c r="AI105" i="31"/>
  <c r="AJ105" i="31"/>
  <c r="AK105" i="31" s="1"/>
  <c r="A41" i="31"/>
  <c r="AI73" i="31"/>
  <c r="AJ74" i="31"/>
  <c r="AK74" i="31" s="1"/>
  <c r="Z79" i="31"/>
  <c r="AI102" i="31"/>
  <c r="AI104" i="31"/>
  <c r="AL105" i="31"/>
  <c r="AJ73" i="31"/>
  <c r="AK73" i="31" s="1"/>
  <c r="AJ102" i="31"/>
  <c r="AK102" i="31" s="1"/>
  <c r="AJ104" i="31"/>
  <c r="Y84" i="31"/>
  <c r="AI74" i="31"/>
  <c r="C47" i="31" a="1"/>
  <c r="C47" i="31" s="1"/>
  <c r="AL73" i="31"/>
  <c r="AL74" i="31"/>
  <c r="AI77" i="31"/>
  <c r="AK78" i="31"/>
  <c r="AK79" i="31"/>
  <c r="Y90" i="31"/>
  <c r="AI103" i="31"/>
  <c r="D47" i="31" a="1"/>
  <c r="D47" i="31" s="1"/>
  <c r="AI75" i="31"/>
  <c r="AJ77" i="31"/>
  <c r="AK77" i="31" s="1"/>
  <c r="Y94" i="31"/>
  <c r="AL102" i="31"/>
  <c r="AJ103" i="31"/>
  <c r="AK103" i="31" s="1"/>
  <c r="AL104" i="31"/>
  <c r="AJ75" i="31"/>
  <c r="AM76" i="31"/>
  <c r="I26" i="31" s="1" a="1"/>
  <c r="I26" i="31" s="1"/>
  <c r="AL77" i="31"/>
  <c r="AL103" i="31"/>
  <c r="AK90" i="31"/>
  <c r="AK99" i="31"/>
  <c r="D28" i="31" a="1"/>
  <c r="D28" i="31" s="1"/>
  <c r="A28" i="31"/>
  <c r="C28" i="31" a="1"/>
  <c r="C28" i="31" s="1"/>
  <c r="A24" i="31"/>
  <c r="D24" i="31" a="1"/>
  <c r="D24" i="31" s="1"/>
  <c r="C24" i="31" a="1"/>
  <c r="C24" i="31" s="1"/>
  <c r="C29" i="31" a="1"/>
  <c r="C29" i="31" s="1"/>
  <c r="D29" i="31" a="1"/>
  <c r="D29" i="31" s="1"/>
  <c r="A29" i="31"/>
  <c r="A31" i="31"/>
  <c r="D31" i="31" a="1"/>
  <c r="D31" i="31" s="1"/>
  <c r="C31" i="31" a="1"/>
  <c r="C31" i="31" s="1"/>
  <c r="D34" i="31" a="1"/>
  <c r="D34" i="31" s="1"/>
  <c r="C34" i="31" a="1"/>
  <c r="C34" i="31" s="1"/>
  <c r="A34" i="31"/>
  <c r="D54" i="31" a="1"/>
  <c r="D54" i="31" s="1"/>
  <c r="A54" i="31"/>
  <c r="C54" i="31" a="1"/>
  <c r="C54" i="31" s="1"/>
  <c r="D30" i="31" a="1"/>
  <c r="D30" i="31" s="1"/>
  <c r="A30" i="31"/>
  <c r="D39" i="31" a="1"/>
  <c r="D39" i="31" s="1"/>
  <c r="C39" i="31" a="1"/>
  <c r="C39" i="31" s="1"/>
  <c r="A39" i="31"/>
  <c r="D40" i="31" a="1"/>
  <c r="D40" i="31" s="1"/>
  <c r="A40" i="31"/>
  <c r="C40" i="31" a="1"/>
  <c r="C40" i="31" s="1"/>
  <c r="AU147" i="31"/>
  <c r="AS147" i="31"/>
  <c r="AT147" i="31"/>
  <c r="AT243" i="31"/>
  <c r="AS243" i="31"/>
  <c r="AU243" i="31"/>
  <c r="D25" i="31" a="1"/>
  <c r="D25" i="31" s="1"/>
  <c r="C25" i="31" a="1"/>
  <c r="C25" i="31" s="1"/>
  <c r="D32" i="31" a="1"/>
  <c r="D32" i="31" s="1"/>
  <c r="C32" i="31" a="1"/>
  <c r="C32" i="31" s="1"/>
  <c r="A32" i="31"/>
  <c r="D50" i="31" a="1"/>
  <c r="D50" i="31" s="1"/>
  <c r="I50" i="31" a="1"/>
  <c r="I50" i="31" s="1"/>
  <c r="G50" i="31"/>
  <c r="H50" i="31" a="1"/>
  <c r="H50" i="31" s="1"/>
  <c r="F50" i="31" a="1"/>
  <c r="F50" i="31" s="1"/>
  <c r="E50" i="31"/>
  <c r="A50" i="31"/>
  <c r="C50" i="31" a="1"/>
  <c r="C50" i="31" s="1"/>
  <c r="D56" i="31" a="1"/>
  <c r="D56" i="31" s="1"/>
  <c r="C56" i="31" a="1"/>
  <c r="C56" i="31" s="1"/>
  <c r="A56" i="31"/>
  <c r="AJ72" i="31"/>
  <c r="AI72" i="31"/>
  <c r="AL72" i="31"/>
  <c r="O6" i="31" s="1"/>
  <c r="AM72" i="31"/>
  <c r="AU115" i="31"/>
  <c r="AT115" i="31"/>
  <c r="AS115" i="31"/>
  <c r="I45" i="31" a="1"/>
  <c r="I45" i="31" s="1"/>
  <c r="E45" i="31"/>
  <c r="D45" i="31" a="1"/>
  <c r="D45" i="31" s="1"/>
  <c r="G45" i="31"/>
  <c r="H45" i="31" a="1"/>
  <c r="H45" i="31" s="1"/>
  <c r="F45" i="31" a="1"/>
  <c r="F45" i="31" s="1"/>
  <c r="C45" i="31" a="1"/>
  <c r="C45" i="31" s="1"/>
  <c r="A45" i="31"/>
  <c r="D48" i="31" a="1"/>
  <c r="D48" i="31" s="1"/>
  <c r="E48" i="31"/>
  <c r="F48" i="31" a="1"/>
  <c r="F48" i="31" s="1"/>
  <c r="I48" i="31" a="1"/>
  <c r="I48" i="31" s="1"/>
  <c r="H48" i="31" a="1"/>
  <c r="H48" i="31" s="1"/>
  <c r="C48" i="31" a="1"/>
  <c r="C48" i="31" s="1"/>
  <c r="A48" i="31"/>
  <c r="Y193" i="31"/>
  <c r="Y207" i="31"/>
  <c r="Z207" i="31"/>
  <c r="AR238" i="31"/>
  <c r="AS238" i="31"/>
  <c r="AU238" i="31"/>
  <c r="AT360" i="31"/>
  <c r="AR360" i="31"/>
  <c r="AU360" i="31"/>
  <c r="AS360" i="31"/>
  <c r="AU380" i="31"/>
  <c r="AR380" i="31"/>
  <c r="AT380" i="31"/>
  <c r="AS380" i="31"/>
  <c r="D22" i="31" a="1"/>
  <c r="D22" i="31" s="1"/>
  <c r="C22" i="31" a="1"/>
  <c r="C22" i="31" s="1"/>
  <c r="B17" i="31"/>
  <c r="AT79" i="31"/>
  <c r="AS79" i="31"/>
  <c r="AR79" i="31"/>
  <c r="Z111" i="31"/>
  <c r="Y111" i="31"/>
  <c r="AU79" i="31"/>
  <c r="Y112" i="31"/>
  <c r="Z142" i="31"/>
  <c r="Y142" i="31"/>
  <c r="AU254" i="31"/>
  <c r="AT254" i="31"/>
  <c r="AR254" i="31"/>
  <c r="AU304" i="31"/>
  <c r="AT304" i="31"/>
  <c r="AS304" i="31"/>
  <c r="Y376" i="31"/>
  <c r="Y184" i="31"/>
  <c r="Z184" i="31"/>
  <c r="Y203" i="31"/>
  <c r="Z203" i="31"/>
  <c r="Y236" i="31"/>
  <c r="Z236" i="31"/>
  <c r="AS254" i="31"/>
  <c r="AR304" i="31"/>
  <c r="Y333" i="31"/>
  <c r="Z333" i="31"/>
  <c r="C30" i="31" a="1"/>
  <c r="C30" i="31" s="1"/>
  <c r="D38" i="31" a="1"/>
  <c r="D38" i="31" s="1"/>
  <c r="I38" i="31" a="1"/>
  <c r="I38" i="31" s="1"/>
  <c r="G38" i="31"/>
  <c r="A38" i="31"/>
  <c r="E38" i="31"/>
  <c r="C38" i="31" a="1"/>
  <c r="C38" i="31" s="1"/>
  <c r="Z159" i="31"/>
  <c r="Y159" i="31"/>
  <c r="AU428" i="31"/>
  <c r="AT428" i="31"/>
  <c r="AR428" i="31"/>
  <c r="AS428" i="31"/>
  <c r="Y276" i="31"/>
  <c r="I43" i="31" a="1"/>
  <c r="I43" i="31" s="1"/>
  <c r="A43" i="31"/>
  <c r="E43" i="31"/>
  <c r="F43" i="31" a="1"/>
  <c r="F43" i="31" s="1"/>
  <c r="D43" i="31" a="1"/>
  <c r="D43" i="31" s="1"/>
  <c r="C43" i="31" a="1"/>
  <c r="C43" i="31" s="1"/>
  <c r="D55" i="31" a="1"/>
  <c r="D55" i="31" s="1"/>
  <c r="C55" i="31" a="1"/>
  <c r="C55" i="31" s="1"/>
  <c r="A55" i="31"/>
  <c r="Y178" i="31"/>
  <c r="D44" i="31" a="1"/>
  <c r="D44" i="31" s="1"/>
  <c r="I44" i="31" a="1"/>
  <c r="I44" i="31" s="1"/>
  <c r="H44" i="31" a="1"/>
  <c r="H44" i="31" s="1"/>
  <c r="G44" i="31"/>
  <c r="F44" i="31" a="1"/>
  <c r="F44" i="31" s="1"/>
  <c r="C44" i="31" a="1"/>
  <c r="C44" i="31" s="1"/>
  <c r="A44" i="31"/>
  <c r="E44" i="31"/>
  <c r="AU93" i="31"/>
  <c r="AT93" i="31"/>
  <c r="AS93" i="31"/>
  <c r="AJ108" i="31"/>
  <c r="AK108" i="31" s="1"/>
  <c r="N7" i="31" s="1"/>
  <c r="AI108" i="31"/>
  <c r="Y404" i="31"/>
  <c r="AT126" i="31"/>
  <c r="AS126" i="31"/>
  <c r="AU126" i="31"/>
  <c r="AR147" i="31"/>
  <c r="AR243" i="31"/>
  <c r="AU72" i="31"/>
  <c r="AT72" i="31"/>
  <c r="AS72" i="31"/>
  <c r="AU81" i="31"/>
  <c r="AT81" i="31"/>
  <c r="AS81" i="31"/>
  <c r="Y91" i="31"/>
  <c r="AT114" i="31"/>
  <c r="AU114" i="31"/>
  <c r="AR115" i="31"/>
  <c r="Y125" i="31"/>
  <c r="AU289" i="31"/>
  <c r="AT289" i="31"/>
  <c r="AR289" i="31"/>
  <c r="AS289" i="31"/>
  <c r="Z353" i="31"/>
  <c r="Y353" i="31"/>
  <c r="Y356" i="31"/>
  <c r="Z356" i="31"/>
  <c r="AL360" i="31"/>
  <c r="O14" i="31" s="1"/>
  <c r="AI360" i="31"/>
  <c r="AM360" i="31"/>
  <c r="AJ360" i="31"/>
  <c r="AK360" i="31" s="1"/>
  <c r="N14" i="31" s="1"/>
  <c r="AT80" i="31"/>
  <c r="AS80" i="31"/>
  <c r="AU80" i="31"/>
  <c r="AS114" i="31"/>
  <c r="AT185" i="31"/>
  <c r="AU185" i="31"/>
  <c r="AS185" i="31"/>
  <c r="AT238" i="31"/>
  <c r="D26" i="31" a="1"/>
  <c r="D26" i="31" s="1"/>
  <c r="C26" i="31" a="1"/>
  <c r="C26" i="31" s="1"/>
  <c r="D33" i="31" a="1"/>
  <c r="D33" i="31" s="1"/>
  <c r="C33" i="31" a="1"/>
  <c r="C33" i="31" s="1"/>
  <c r="A33" i="31"/>
  <c r="C37" i="31" a="1"/>
  <c r="C37" i="31" s="1"/>
  <c r="A37" i="31"/>
  <c r="G48" i="31"/>
  <c r="AR185" i="31"/>
  <c r="D46" i="31" a="1"/>
  <c r="D46" i="31" s="1"/>
  <c r="A46" i="31"/>
  <c r="I46" i="31" a="1"/>
  <c r="I46" i="31" s="1"/>
  <c r="H46" i="31" a="1"/>
  <c r="H46" i="31" s="1"/>
  <c r="G46" i="31"/>
  <c r="F46" i="31" a="1"/>
  <c r="F46" i="31" s="1"/>
  <c r="E46" i="31"/>
  <c r="I51" i="31" a="1"/>
  <c r="I51" i="31" s="1"/>
  <c r="E51" i="31"/>
  <c r="F51" i="31" a="1"/>
  <c r="F51" i="31" s="1"/>
  <c r="D51" i="31" a="1"/>
  <c r="D51" i="31" s="1"/>
  <c r="G51" i="31"/>
  <c r="H51" i="31" a="1"/>
  <c r="H51" i="31" s="1"/>
  <c r="A51" i="31"/>
  <c r="C51" i="31" a="1"/>
  <c r="C51" i="31" s="1"/>
  <c r="D23" i="31" a="1"/>
  <c r="D23" i="31" s="1"/>
  <c r="A23" i="31"/>
  <c r="C23" i="31" a="1"/>
  <c r="C23" i="31" s="1"/>
  <c r="F38" i="31" a="1"/>
  <c r="F38" i="31" s="1"/>
  <c r="D42" i="31" a="1"/>
  <c r="D42" i="31" s="1"/>
  <c r="E42" i="31"/>
  <c r="C42" i="31" a="1"/>
  <c r="C42" i="31" s="1"/>
  <c r="G42" i="31"/>
  <c r="F42" i="31" a="1"/>
  <c r="F42" i="31" s="1"/>
  <c r="I42" i="31" a="1"/>
  <c r="I42" i="31" s="1"/>
  <c r="H42" i="31" a="1"/>
  <c r="H42" i="31" s="1"/>
  <c r="Z77" i="31"/>
  <c r="Y77" i="31"/>
  <c r="Z302" i="31"/>
  <c r="Y302" i="31"/>
  <c r="Z375" i="31"/>
  <c r="Y375" i="31"/>
  <c r="AU83" i="31"/>
  <c r="AR83" i="31"/>
  <c r="AU117" i="31"/>
  <c r="AR117" i="31"/>
  <c r="AT117" i="31"/>
  <c r="Y163" i="31"/>
  <c r="AR168" i="31"/>
  <c r="Y187" i="31"/>
  <c r="AR188" i="31"/>
  <c r="Z194" i="31"/>
  <c r="Y194" i="31"/>
  <c r="AU220" i="31"/>
  <c r="AT220" i="31"/>
  <c r="AU222" i="31"/>
  <c r="AT222" i="31"/>
  <c r="AS222" i="31"/>
  <c r="Z253" i="31"/>
  <c r="AU259" i="31"/>
  <c r="AT259" i="31"/>
  <c r="AS259" i="31"/>
  <c r="AR259" i="31"/>
  <c r="AU291" i="31"/>
  <c r="AT291" i="31"/>
  <c r="AS291" i="31"/>
  <c r="AR291" i="31"/>
  <c r="Z303" i="31"/>
  <c r="Y303" i="31"/>
  <c r="Z309" i="31"/>
  <c r="Y309" i="31"/>
  <c r="AR334" i="31"/>
  <c r="Y386" i="31"/>
  <c r="Y405" i="31"/>
  <c r="AU410" i="31"/>
  <c r="AR410" i="31"/>
  <c r="AT410" i="31"/>
  <c r="AS410" i="31"/>
  <c r="D36" i="31" a="1"/>
  <c r="D36" i="31" s="1"/>
  <c r="AU73" i="31"/>
  <c r="AT73" i="31"/>
  <c r="Y92" i="31"/>
  <c r="Z92" i="31"/>
  <c r="Y129" i="31"/>
  <c r="AR130" i="31"/>
  <c r="Y147" i="31"/>
  <c r="AR148" i="31"/>
  <c r="Z185" i="31"/>
  <c r="Y185" i="31"/>
  <c r="AS188" i="31"/>
  <c r="Y210" i="31"/>
  <c r="AT211" i="31"/>
  <c r="AS211" i="31"/>
  <c r="AU212" i="31"/>
  <c r="AT212" i="31"/>
  <c r="AS212" i="31"/>
  <c r="AR220" i="31"/>
  <c r="AR222" i="31"/>
  <c r="Y244" i="31"/>
  <c r="Z245" i="31"/>
  <c r="Y245" i="31"/>
  <c r="Z246" i="31"/>
  <c r="Y246" i="31"/>
  <c r="Y255" i="31"/>
  <c r="Z311" i="31"/>
  <c r="Y311" i="31"/>
  <c r="AU340" i="31"/>
  <c r="AT340" i="31"/>
  <c r="AS340" i="31"/>
  <c r="AR340" i="31"/>
  <c r="Y426" i="31"/>
  <c r="AR73" i="31"/>
  <c r="Z82" i="31"/>
  <c r="AT83" i="31"/>
  <c r="Y116" i="31"/>
  <c r="Z116" i="31"/>
  <c r="AS257" i="31"/>
  <c r="AR257" i="31"/>
  <c r="AS325" i="31"/>
  <c r="AS389" i="31"/>
  <c r="AR389" i="31"/>
  <c r="AT412" i="31"/>
  <c r="AS412" i="31"/>
  <c r="AU412" i="31"/>
  <c r="A35" i="31"/>
  <c r="D35" i="31" a="1"/>
  <c r="D35" i="31" s="1"/>
  <c r="C41" i="31" a="1"/>
  <c r="C41" i="31" s="1"/>
  <c r="AS73" i="31"/>
  <c r="AR96" i="31"/>
  <c r="AU97" i="31"/>
  <c r="AT97" i="31"/>
  <c r="AT130" i="31"/>
  <c r="AT148" i="31"/>
  <c r="Y167" i="31"/>
  <c r="Y168" i="31"/>
  <c r="Y188" i="31"/>
  <c r="AU188" i="31"/>
  <c r="AS189" i="31"/>
  <c r="AU189" i="31"/>
  <c r="AT189" i="31"/>
  <c r="AR197" i="31"/>
  <c r="AU197" i="31"/>
  <c r="AS197" i="31"/>
  <c r="AT197" i="31"/>
  <c r="AU211" i="31"/>
  <c r="Z219" i="31"/>
  <c r="AU224" i="31"/>
  <c r="Z256" i="31"/>
  <c r="AT257" i="31"/>
  <c r="AU263" i="31"/>
  <c r="AS263" i="31"/>
  <c r="AR263" i="31"/>
  <c r="AT263" i="31"/>
  <c r="AR282" i="31"/>
  <c r="Z313" i="31"/>
  <c r="Y313" i="31"/>
  <c r="Y314" i="31"/>
  <c r="AR315" i="31"/>
  <c r="AT325" i="31"/>
  <c r="Y388" i="31"/>
  <c r="AT389" i="31"/>
  <c r="AU390" i="31"/>
  <c r="AT390" i="31"/>
  <c r="AU391" i="31"/>
  <c r="AT391" i="31"/>
  <c r="AS391" i="31"/>
  <c r="Y411" i="31"/>
  <c r="AR412" i="31"/>
  <c r="AU414" i="31"/>
  <c r="AT414" i="31"/>
  <c r="AS414" i="31"/>
  <c r="AR414" i="31"/>
  <c r="AS282" i="31"/>
  <c r="Y96" i="31"/>
  <c r="AT96" i="31"/>
  <c r="AS97" i="31"/>
  <c r="Z120" i="31"/>
  <c r="Z130" i="31"/>
  <c r="AU133" i="31"/>
  <c r="AT133" i="31"/>
  <c r="AS133" i="31"/>
  <c r="AR133" i="31"/>
  <c r="AT152" i="31"/>
  <c r="AU152" i="31"/>
  <c r="Y171" i="31"/>
  <c r="AR172" i="31"/>
  <c r="AT199" i="31"/>
  <c r="AU199" i="31"/>
  <c r="AS199" i="31"/>
  <c r="AU230" i="31"/>
  <c r="AT230" i="31"/>
  <c r="AR230" i="31"/>
  <c r="Z259" i="31"/>
  <c r="Y259" i="31"/>
  <c r="Y281" i="31"/>
  <c r="AT282" i="31"/>
  <c r="AT315" i="31"/>
  <c r="AU320" i="31"/>
  <c r="AT320" i="31"/>
  <c r="AS390" i="31"/>
  <c r="Z413" i="31"/>
  <c r="Y413" i="31"/>
  <c r="Y364" i="31"/>
  <c r="Z364" i="31"/>
  <c r="Y98" i="31"/>
  <c r="Z98" i="31"/>
  <c r="Z101" i="31"/>
  <c r="Y101" i="31"/>
  <c r="Y102" i="31"/>
  <c r="AS103" i="31"/>
  <c r="AU104" i="31"/>
  <c r="AT104" i="31"/>
  <c r="AR104" i="31"/>
  <c r="AS104" i="31"/>
  <c r="AS121" i="31"/>
  <c r="AU137" i="31"/>
  <c r="AT137" i="31"/>
  <c r="Z151" i="31"/>
  <c r="AS152" i="31"/>
  <c r="AT172" i="31"/>
  <c r="AU180" i="31"/>
  <c r="AT180" i="31"/>
  <c r="AR180" i="31"/>
  <c r="AS180" i="31"/>
  <c r="Z198" i="31"/>
  <c r="Z226" i="31"/>
  <c r="AS229" i="31"/>
  <c r="AR229" i="31"/>
  <c r="AT229" i="31"/>
  <c r="AU229" i="31"/>
  <c r="Y250" i="31"/>
  <c r="AJ252" i="31"/>
  <c r="AK252" i="31" s="1"/>
  <c r="N11" i="31" s="1"/>
  <c r="AM252" i="31"/>
  <c r="AL252" i="31"/>
  <c r="O11" i="31" s="1"/>
  <c r="Z282" i="31"/>
  <c r="Y282" i="31"/>
  <c r="Z315" i="31"/>
  <c r="AS320" i="31"/>
  <c r="Z342" i="31"/>
  <c r="AS348" i="31"/>
  <c r="AR348" i="31"/>
  <c r="AS373" i="31"/>
  <c r="AR373" i="31"/>
  <c r="AT373" i="31"/>
  <c r="AS394" i="31"/>
  <c r="AR394" i="31"/>
  <c r="AU400" i="31"/>
  <c r="AR400" i="31"/>
  <c r="AT400" i="31"/>
  <c r="AS400" i="31"/>
  <c r="Z87" i="31"/>
  <c r="AS88" i="31"/>
  <c r="Y99" i="31"/>
  <c r="AR110" i="31"/>
  <c r="Y121" i="31"/>
  <c r="AU121" i="31"/>
  <c r="AS122" i="31"/>
  <c r="Z134" i="31"/>
  <c r="AR135" i="31"/>
  <c r="AS136" i="31"/>
  <c r="AS137" i="31"/>
  <c r="AU140" i="31"/>
  <c r="AS140" i="31"/>
  <c r="AT140" i="31"/>
  <c r="Z156" i="31"/>
  <c r="AT157" i="31"/>
  <c r="AR158" i="31"/>
  <c r="AR159" i="31"/>
  <c r="AS161" i="31"/>
  <c r="AR161" i="31"/>
  <c r="Z172" i="31"/>
  <c r="AT173" i="31"/>
  <c r="AR174" i="31"/>
  <c r="AS192" i="31"/>
  <c r="AR202" i="31"/>
  <c r="AR203" i="31"/>
  <c r="Y319" i="31"/>
  <c r="AR332" i="31"/>
  <c r="Y346" i="31"/>
  <c r="AU348" i="31"/>
  <c r="AR349" i="31"/>
  <c r="AR375" i="31"/>
  <c r="AU394" i="31"/>
  <c r="Y397" i="31"/>
  <c r="Y399" i="31"/>
  <c r="Z399" i="31"/>
  <c r="Y416" i="31"/>
  <c r="AS420" i="31"/>
  <c r="AT88" i="31"/>
  <c r="AK97" i="31"/>
  <c r="Y103" i="31"/>
  <c r="Z103" i="31"/>
  <c r="Y109" i="31"/>
  <c r="AT110" i="31"/>
  <c r="AT122" i="31"/>
  <c r="AT136" i="31"/>
  <c r="AT139" i="31"/>
  <c r="AS139" i="31"/>
  <c r="AU139" i="31"/>
  <c r="AR140" i="31"/>
  <c r="Y154" i="31"/>
  <c r="AS158" i="31"/>
  <c r="AT161" i="31"/>
  <c r="AT176" i="31"/>
  <c r="AR176" i="31"/>
  <c r="AS176" i="31"/>
  <c r="Y192" i="31"/>
  <c r="AT192" i="31"/>
  <c r="AS202" i="31"/>
  <c r="AS204" i="31"/>
  <c r="AR204" i="31"/>
  <c r="Y232" i="31"/>
  <c r="AS233" i="31"/>
  <c r="AR233" i="31"/>
  <c r="AU233" i="31"/>
  <c r="AS273" i="31"/>
  <c r="AR273" i="31"/>
  <c r="AU273" i="31"/>
  <c r="AT273" i="31"/>
  <c r="AT277" i="31"/>
  <c r="AS277" i="31"/>
  <c r="AU277" i="31"/>
  <c r="AU301" i="31"/>
  <c r="AT301" i="31"/>
  <c r="AS332" i="31"/>
  <c r="AS349" i="31"/>
  <c r="Y368" i="31"/>
  <c r="AS375" i="31"/>
  <c r="Y402" i="31"/>
  <c r="AR404" i="31"/>
  <c r="AK414" i="31"/>
  <c r="Y417" i="31"/>
  <c r="Y419" i="31"/>
  <c r="AT420" i="31"/>
  <c r="Y76" i="31"/>
  <c r="Y88" i="31"/>
  <c r="AU110" i="31"/>
  <c r="AR139" i="31"/>
  <c r="AT158" i="31"/>
  <c r="AU161" i="31"/>
  <c r="AR162" i="31"/>
  <c r="AU176" i="31"/>
  <c r="Y183" i="31"/>
  <c r="AU192" i="31"/>
  <c r="AR193" i="31"/>
  <c r="AU202" i="31"/>
  <c r="AT204" i="31"/>
  <c r="AU205" i="31"/>
  <c r="AT205" i="31"/>
  <c r="AT233" i="31"/>
  <c r="Y269" i="31"/>
  <c r="AR277" i="31"/>
  <c r="Y296" i="31"/>
  <c r="Z298" i="31"/>
  <c r="Y298" i="31"/>
  <c r="AR301" i="31"/>
  <c r="AU305" i="31"/>
  <c r="AT305" i="31"/>
  <c r="AS305" i="31"/>
  <c r="Z330" i="31"/>
  <c r="Y330" i="31"/>
  <c r="AT332" i="31"/>
  <c r="AK345" i="31"/>
  <c r="AU349" i="31"/>
  <c r="AT351" i="31"/>
  <c r="AS351" i="31"/>
  <c r="AU352" i="31"/>
  <c r="AT352" i="31"/>
  <c r="AS352" i="31"/>
  <c r="AR352" i="31"/>
  <c r="AT355" i="31"/>
  <c r="AS355" i="31"/>
  <c r="AU355" i="31"/>
  <c r="AR355" i="31"/>
  <c r="AT357" i="31"/>
  <c r="AU357" i="31"/>
  <c r="AS357" i="31"/>
  <c r="AR357" i="31"/>
  <c r="Y374" i="31"/>
  <c r="AT375" i="31"/>
  <c r="AS404" i="31"/>
  <c r="AU168" i="31"/>
  <c r="AS168" i="31"/>
  <c r="AS237" i="31"/>
  <c r="AR237" i="31"/>
  <c r="AU237" i="31"/>
  <c r="Z301" i="31"/>
  <c r="Y301" i="31"/>
  <c r="AT334" i="31"/>
  <c r="AS334" i="31"/>
  <c r="AS377" i="31"/>
  <c r="AR377" i="31"/>
  <c r="AU377" i="31"/>
  <c r="AT377" i="31"/>
  <c r="AT387" i="31"/>
  <c r="AS387" i="31"/>
  <c r="AU387" i="31"/>
  <c r="AS83" i="31"/>
  <c r="Y114" i="31"/>
  <c r="AS117" i="31"/>
  <c r="AR224" i="31"/>
  <c r="AR325" i="31"/>
  <c r="AT335" i="31"/>
  <c r="AS335" i="31"/>
  <c r="AU335" i="31"/>
  <c r="AU362" i="31"/>
  <c r="AT362" i="31"/>
  <c r="AS362" i="31"/>
  <c r="Z384" i="31"/>
  <c r="Y384" i="31"/>
  <c r="C36" i="31" a="1"/>
  <c r="C36" i="31" s="1"/>
  <c r="D41" i="31" a="1"/>
  <c r="D41" i="31" s="1"/>
  <c r="Z80" i="31"/>
  <c r="AS130" i="31"/>
  <c r="AS148" i="31"/>
  <c r="AR211" i="31"/>
  <c r="AR212" i="31"/>
  <c r="AS220" i="31"/>
  <c r="AS224" i="31"/>
  <c r="Z238" i="31"/>
  <c r="Y238" i="31"/>
  <c r="Z247" i="31"/>
  <c r="Y247" i="31"/>
  <c r="Z254" i="31"/>
  <c r="Y254" i="31"/>
  <c r="AU258" i="31"/>
  <c r="AT258" i="31"/>
  <c r="AS258" i="31"/>
  <c r="Z290" i="31"/>
  <c r="Y290" i="31"/>
  <c r="Y312" i="31"/>
  <c r="AR335" i="31"/>
  <c r="AS361" i="31"/>
  <c r="AR361" i="31"/>
  <c r="AU361" i="31"/>
  <c r="C35" i="31" a="1"/>
  <c r="C35" i="31" s="1"/>
  <c r="Y83" i="31"/>
  <c r="AS96" i="31"/>
  <c r="AR97" i="31"/>
  <c r="AU99" i="31"/>
  <c r="AR99" i="31"/>
  <c r="AT99" i="31"/>
  <c r="Z119" i="31"/>
  <c r="Y119" i="31"/>
  <c r="AT131" i="31"/>
  <c r="AS131" i="31"/>
  <c r="AU131" i="31"/>
  <c r="AU132" i="31"/>
  <c r="AR132" i="31"/>
  <c r="Y148" i="31"/>
  <c r="AR189" i="31"/>
  <c r="Z214" i="31"/>
  <c r="Z220" i="31"/>
  <c r="Y220" i="31"/>
  <c r="Z223" i="31"/>
  <c r="AU227" i="31"/>
  <c r="AT227" i="31"/>
  <c r="AU257" i="31"/>
  <c r="AU283" i="31"/>
  <c r="AT283" i="31"/>
  <c r="AS283" i="31"/>
  <c r="AS315" i="31"/>
  <c r="AU316" i="31"/>
  <c r="AT316" i="31"/>
  <c r="AU317" i="31"/>
  <c r="AT317" i="31"/>
  <c r="AS317" i="31"/>
  <c r="AR317" i="31"/>
  <c r="AU321" i="31"/>
  <c r="AT321" i="31"/>
  <c r="AU389" i="31"/>
  <c r="AR390" i="31"/>
  <c r="AR391" i="31"/>
  <c r="AS99" i="31"/>
  <c r="D52" i="31" a="1"/>
  <c r="D52" i="31" s="1"/>
  <c r="C52" i="31" a="1"/>
  <c r="C52" i="31" s="1"/>
  <c r="AR103" i="31"/>
  <c r="AR121" i="31"/>
  <c r="AT132" i="31"/>
  <c r="AR152" i="31"/>
  <c r="AS172" i="31"/>
  <c r="AJ180" i="31"/>
  <c r="AK180" i="31" s="1"/>
  <c r="N9" i="31" s="1"/>
  <c r="AI180" i="31"/>
  <c r="AR199" i="31"/>
  <c r="AS227" i="31"/>
  <c r="AS230" i="31"/>
  <c r="Y249" i="31"/>
  <c r="Y264" i="31"/>
  <c r="Y267" i="31"/>
  <c r="AS316" i="31"/>
  <c r="AR320" i="31"/>
  <c r="AS321" i="31"/>
  <c r="AT343" i="31"/>
  <c r="AS343" i="31"/>
  <c r="AU343" i="31"/>
  <c r="AR343" i="31"/>
  <c r="AS393" i="31"/>
  <c r="AR393" i="31"/>
  <c r="AU418" i="31"/>
  <c r="AT418" i="31"/>
  <c r="AS418" i="31"/>
  <c r="AU77" i="31"/>
  <c r="AT77" i="31"/>
  <c r="AR88" i="31"/>
  <c r="AU89" i="31"/>
  <c r="AT89" i="31"/>
  <c r="AS89" i="31"/>
  <c r="AT103" i="31"/>
  <c r="AR122" i="31"/>
  <c r="Y132" i="31"/>
  <c r="AT135" i="31"/>
  <c r="AS135" i="31"/>
  <c r="AR136" i="31"/>
  <c r="AR137" i="31"/>
  <c r="AS157" i="31"/>
  <c r="AR157" i="31"/>
  <c r="AU159" i="31"/>
  <c r="AT159" i="31"/>
  <c r="AS173" i="31"/>
  <c r="AR173" i="31"/>
  <c r="AT174" i="31"/>
  <c r="AU174" i="31"/>
  <c r="Z200" i="31"/>
  <c r="Y200" i="31"/>
  <c r="AT203" i="31"/>
  <c r="AS203" i="31"/>
  <c r="AI252" i="31"/>
  <c r="Z268" i="31"/>
  <c r="AJ288" i="31"/>
  <c r="AK288" i="31" s="1"/>
  <c r="N12" i="31" s="1"/>
  <c r="AI288" i="31"/>
  <c r="AM288" i="31"/>
  <c r="AL288" i="31"/>
  <c r="O12" i="31" s="1"/>
  <c r="AU297" i="31"/>
  <c r="AT297" i="31"/>
  <c r="AS297" i="31"/>
  <c r="Z316" i="31"/>
  <c r="Y316" i="31"/>
  <c r="AT347" i="31"/>
  <c r="AS347" i="31"/>
  <c r="AU347" i="31"/>
  <c r="AT348" i="31"/>
  <c r="AS370" i="31"/>
  <c r="AR370" i="31"/>
  <c r="AU370" i="31"/>
  <c r="AT370" i="31"/>
  <c r="AU373" i="31"/>
  <c r="AU393" i="31"/>
  <c r="AT394" i="31"/>
  <c r="AR420" i="31"/>
  <c r="AT421" i="31"/>
  <c r="AS421" i="31"/>
  <c r="AU421" i="31"/>
  <c r="D27" i="31" a="1"/>
  <c r="D27" i="31" s="1"/>
  <c r="A27" i="31"/>
  <c r="AR77" i="31"/>
  <c r="I47" i="31" a="1"/>
  <c r="I47" i="31" s="1"/>
  <c r="H47" i="31" a="1"/>
  <c r="H47" i="31" s="1"/>
  <c r="G47" i="31"/>
  <c r="F47" i="31" a="1"/>
  <c r="F47" i="31" s="1"/>
  <c r="Y136" i="31"/>
  <c r="Z136" i="31"/>
  <c r="AT162" i="31"/>
  <c r="AT164" i="31"/>
  <c r="AU164" i="31"/>
  <c r="AU204" i="31"/>
  <c r="AU206" i="31"/>
  <c r="AT206" i="31"/>
  <c r="AS206" i="31"/>
  <c r="AR206" i="31"/>
  <c r="AU239" i="31"/>
  <c r="AR239" i="31"/>
  <c r="Z270" i="31"/>
  <c r="Y270" i="31"/>
  <c r="Z272" i="31"/>
  <c r="Y272" i="31"/>
  <c r="AS301" i="31"/>
  <c r="AK328" i="31"/>
  <c r="AR366" i="31"/>
  <c r="AK378" i="31"/>
  <c r="Y379" i="31"/>
  <c r="Y409" i="31"/>
  <c r="Y420" i="31"/>
  <c r="AR75" i="31"/>
  <c r="Y86" i="31"/>
  <c r="AT127" i="31"/>
  <c r="AS127" i="31"/>
  <c r="AU128" i="31"/>
  <c r="AT128" i="31"/>
  <c r="AS128" i="31"/>
  <c r="AR128" i="31"/>
  <c r="AR154" i="31"/>
  <c r="Z164" i="31"/>
  <c r="Y164" i="31"/>
  <c r="Y166" i="31"/>
  <c r="AR167" i="31"/>
  <c r="Y174" i="31"/>
  <c r="Z174" i="31"/>
  <c r="AU181" i="31"/>
  <c r="AR181" i="31"/>
  <c r="AT181" i="31"/>
  <c r="AS181" i="31"/>
  <c r="Y209" i="31"/>
  <c r="Z230" i="31"/>
  <c r="Y230" i="31"/>
  <c r="Y231" i="31"/>
  <c r="Z243" i="31"/>
  <c r="AR244" i="31"/>
  <c r="Z262" i="31"/>
  <c r="AU265" i="31"/>
  <c r="AT265" i="31"/>
  <c r="AS265" i="31"/>
  <c r="AR265" i="31"/>
  <c r="AK275" i="31"/>
  <c r="Y277" i="31"/>
  <c r="AS278" i="31"/>
  <c r="AR278" i="31"/>
  <c r="AK284" i="31"/>
  <c r="Y285" i="31"/>
  <c r="Z293" i="31"/>
  <c r="Y293" i="31"/>
  <c r="Z304" i="31"/>
  <c r="Y304" i="31"/>
  <c r="Z305" i="31"/>
  <c r="Y305" i="31"/>
  <c r="Z306" i="31"/>
  <c r="Z320" i="31"/>
  <c r="Z321" i="31"/>
  <c r="Y321" i="31"/>
  <c r="Y322" i="31"/>
  <c r="AT328" i="31"/>
  <c r="AS328" i="31"/>
  <c r="AU328" i="31"/>
  <c r="AS366" i="31"/>
  <c r="AU367" i="31"/>
  <c r="AT367" i="31"/>
  <c r="Y380" i="31"/>
  <c r="AS381" i="31"/>
  <c r="AR381" i="31"/>
  <c r="AU381" i="31"/>
  <c r="AT381" i="31"/>
  <c r="AM396" i="31"/>
  <c r="AL396" i="31"/>
  <c r="O15" i="31" s="1"/>
  <c r="Y423" i="31"/>
  <c r="AS424" i="31"/>
  <c r="AR424" i="31"/>
  <c r="Z239" i="31"/>
  <c r="Y239" i="31"/>
  <c r="Z261" i="31"/>
  <c r="Y261" i="31"/>
  <c r="Z284" i="31"/>
  <c r="Y284" i="31"/>
  <c r="AU286" i="31"/>
  <c r="AT286" i="31"/>
  <c r="AU307" i="31"/>
  <c r="AT307" i="31"/>
  <c r="AU358" i="31"/>
  <c r="AT358" i="31"/>
  <c r="AS358" i="31"/>
  <c r="AR358" i="31"/>
  <c r="AK81" i="31"/>
  <c r="Z85" i="31"/>
  <c r="Y85" i="31"/>
  <c r="AU105" i="31"/>
  <c r="AT105" i="31"/>
  <c r="AS105" i="31"/>
  <c r="Z137" i="31"/>
  <c r="Y137" i="31"/>
  <c r="AS153" i="31"/>
  <c r="AR153" i="31"/>
  <c r="AK162" i="31"/>
  <c r="O40" i="31" s="1" a="1"/>
  <c r="O40" i="31" s="1"/>
  <c r="Z208" i="31"/>
  <c r="Y208" i="31"/>
  <c r="AS217" i="31"/>
  <c r="AR217" i="31"/>
  <c r="AK259" i="31"/>
  <c r="AR286" i="31"/>
  <c r="AR307" i="31"/>
  <c r="AU309" i="31"/>
  <c r="AT309" i="31"/>
  <c r="AS309" i="31"/>
  <c r="AR309" i="31"/>
  <c r="AT327" i="31"/>
  <c r="AS327" i="31"/>
  <c r="AT339" i="31"/>
  <c r="AS339" i="31"/>
  <c r="AU339" i="31"/>
  <c r="AT75" i="31"/>
  <c r="Z93" i="31"/>
  <c r="Y93" i="31"/>
  <c r="AK115" i="31"/>
  <c r="AU153" i="31"/>
  <c r="AS154" i="31"/>
  <c r="AU155" i="31"/>
  <c r="AT155" i="31"/>
  <c r="AS155" i="31"/>
  <c r="AR155" i="31"/>
  <c r="AS177" i="31"/>
  <c r="AR177" i="31"/>
  <c r="AU177" i="31"/>
  <c r="AU217" i="31"/>
  <c r="AU245" i="31"/>
  <c r="AT245" i="31"/>
  <c r="AT295" i="31"/>
  <c r="AS295" i="31"/>
  <c r="AU327" i="31"/>
  <c r="AU384" i="31"/>
  <c r="AT384" i="31"/>
  <c r="AR384" i="31"/>
  <c r="AU426" i="31"/>
  <c r="AS426" i="31"/>
  <c r="AR426" i="31"/>
  <c r="I49" i="31" a="1"/>
  <c r="I49" i="31" s="1"/>
  <c r="C49" i="31" a="1"/>
  <c r="C49" i="31" s="1"/>
  <c r="G49" i="31"/>
  <c r="AU111" i="31"/>
  <c r="AT111" i="31"/>
  <c r="AK125" i="31"/>
  <c r="AS149" i="31"/>
  <c r="AR149" i="31"/>
  <c r="AU150" i="31"/>
  <c r="AT150" i="31"/>
  <c r="AS150" i="31"/>
  <c r="AR150" i="31"/>
  <c r="AS225" i="31"/>
  <c r="AR225" i="31"/>
  <c r="AU225" i="31"/>
  <c r="Z279" i="31"/>
  <c r="Y279" i="31"/>
  <c r="AS365" i="31"/>
  <c r="AR365" i="31"/>
  <c r="AU398" i="31"/>
  <c r="AT398" i="31"/>
  <c r="AU406" i="31"/>
  <c r="AT406" i="31"/>
  <c r="AS406" i="31"/>
  <c r="Z81" i="31"/>
  <c r="Y81" i="31"/>
  <c r="Z97" i="31"/>
  <c r="Y97" i="31"/>
  <c r="Z115" i="31"/>
  <c r="Y115" i="31"/>
  <c r="AU142" i="31"/>
  <c r="AT142" i="31"/>
  <c r="AS169" i="31"/>
  <c r="AR169" i="31"/>
  <c r="AU169" i="31"/>
  <c r="AU190" i="31"/>
  <c r="AT190" i="31"/>
  <c r="AS190" i="31"/>
  <c r="AU240" i="31"/>
  <c r="AT240" i="31"/>
  <c r="AS240" i="31"/>
  <c r="AU270" i="31"/>
  <c r="AT270" i="31"/>
  <c r="Z325" i="31"/>
  <c r="Y325" i="31"/>
  <c r="AT350" i="31"/>
  <c r="AS350" i="31"/>
  <c r="AS369" i="31"/>
  <c r="AR369" i="31"/>
  <c r="AU369" i="31"/>
  <c r="AT369" i="31"/>
  <c r="AT123" i="31"/>
  <c r="AS123" i="31"/>
  <c r="AS145" i="31"/>
  <c r="AR145" i="31"/>
  <c r="Z289" i="31"/>
  <c r="Y289" i="31"/>
  <c r="Z297" i="31"/>
  <c r="Y297" i="31"/>
  <c r="AJ324" i="31"/>
  <c r="AK324" i="31" s="1"/>
  <c r="N13" i="31" s="1"/>
  <c r="AI324" i="31"/>
  <c r="AM324" i="31"/>
  <c r="AL324" i="31"/>
  <c r="O13" i="31" s="1"/>
  <c r="AT401" i="31"/>
  <c r="AS401" i="31"/>
  <c r="AR95" i="31"/>
  <c r="AR113" i="31"/>
  <c r="AR118" i="31"/>
  <c r="AR123" i="31"/>
  <c r="AR138" i="31"/>
  <c r="AT145" i="31"/>
  <c r="AR160" i="31"/>
  <c r="AS165" i="31"/>
  <c r="AR165" i="31"/>
  <c r="AR170" i="31"/>
  <c r="AR175" i="31"/>
  <c r="AR186" i="31"/>
  <c r="Y212" i="31"/>
  <c r="AU213" i="31"/>
  <c r="AT213" i="31"/>
  <c r="AS216" i="31"/>
  <c r="AR216" i="31"/>
  <c r="Y222" i="31"/>
  <c r="Y227" i="31"/>
  <c r="AR234" i="31"/>
  <c r="AS252" i="31"/>
  <c r="AR252" i="31"/>
  <c r="AU252" i="31"/>
  <c r="Y258" i="31"/>
  <c r="Y286" i="31"/>
  <c r="AS299" i="31"/>
  <c r="AR299" i="31"/>
  <c r="Y307" i="31"/>
  <c r="AU330" i="31"/>
  <c r="AT330" i="31"/>
  <c r="Y336" i="31"/>
  <c r="AR337" i="31"/>
  <c r="AR344" i="31"/>
  <c r="AR353" i="31"/>
  <c r="Y358" i="31"/>
  <c r="AR371" i="31"/>
  <c r="Y378" i="31"/>
  <c r="AS385" i="31"/>
  <c r="AR385" i="31"/>
  <c r="AK389" i="31"/>
  <c r="AR401" i="31"/>
  <c r="Y407" i="31"/>
  <c r="Y428" i="31"/>
  <c r="AR429" i="31"/>
  <c r="AU430" i="31"/>
  <c r="AT430" i="31"/>
  <c r="AS430" i="31"/>
  <c r="Z73" i="31"/>
  <c r="Y73" i="31"/>
  <c r="AS84" i="31"/>
  <c r="AU85" i="31"/>
  <c r="AT85" i="31"/>
  <c r="Z89" i="31"/>
  <c r="Y89" i="31"/>
  <c r="AS95" i="31"/>
  <c r="AS100" i="31"/>
  <c r="AU101" i="31"/>
  <c r="AT101" i="31"/>
  <c r="Z105" i="31"/>
  <c r="Y105" i="31"/>
  <c r="AS113" i="31"/>
  <c r="AS118" i="31"/>
  <c r="AU119" i="31"/>
  <c r="AT119" i="31"/>
  <c r="AU123" i="31"/>
  <c r="Y128" i="31"/>
  <c r="AS138" i="31"/>
  <c r="AU145" i="31"/>
  <c r="Y150" i="31"/>
  <c r="AS160" i="31"/>
  <c r="AT165" i="31"/>
  <c r="AS170" i="31"/>
  <c r="AS175" i="31"/>
  <c r="Y181" i="31"/>
  <c r="AS186" i="31"/>
  <c r="Y190" i="31"/>
  <c r="Y195" i="31"/>
  <c r="AR201" i="31"/>
  <c r="AR213" i="31"/>
  <c r="AT216" i="31"/>
  <c r="AR223" i="31"/>
  <c r="AR228" i="31"/>
  <c r="AS234" i="31"/>
  <c r="Z240" i="31"/>
  <c r="Y240" i="31"/>
  <c r="AS242" i="31"/>
  <c r="AR248" i="31"/>
  <c r="AT252" i="31"/>
  <c r="Y265" i="31"/>
  <c r="AR274" i="31"/>
  <c r="AT299" i="31"/>
  <c r="AR330" i="31"/>
  <c r="AS337" i="31"/>
  <c r="AS344" i="31"/>
  <c r="AU345" i="31"/>
  <c r="AT345" i="31"/>
  <c r="Y352" i="31"/>
  <c r="AS353" i="31"/>
  <c r="AS371" i="31"/>
  <c r="AR379" i="31"/>
  <c r="AT385" i="31"/>
  <c r="AS392" i="31"/>
  <c r="AR392" i="31"/>
  <c r="AU396" i="31"/>
  <c r="AT396" i="31"/>
  <c r="AU401" i="31"/>
  <c r="AS429" i="31"/>
  <c r="AR430" i="31"/>
  <c r="AR84" i="31"/>
  <c r="AR100" i="31"/>
  <c r="AK137" i="31"/>
  <c r="AU165" i="31"/>
  <c r="AT186" i="31"/>
  <c r="AU208" i="31"/>
  <c r="AT208" i="31"/>
  <c r="AS213" i="31"/>
  <c r="AU216" i="31"/>
  <c r="AU235" i="31"/>
  <c r="AT235" i="31"/>
  <c r="AT242" i="31"/>
  <c r="AS266" i="31"/>
  <c r="AR266" i="31"/>
  <c r="AU266" i="31"/>
  <c r="AT266" i="31"/>
  <c r="AU275" i="31"/>
  <c r="AT275" i="31"/>
  <c r="AS275" i="31"/>
  <c r="Z291" i="31"/>
  <c r="Y291" i="31"/>
  <c r="AU299" i="31"/>
  <c r="AU311" i="31"/>
  <c r="AT311" i="31"/>
  <c r="AS330" i="31"/>
  <c r="AT353" i="31"/>
  <c r="AT372" i="31"/>
  <c r="AS372" i="31"/>
  <c r="AU385" i="31"/>
  <c r="AT429" i="31"/>
  <c r="AK239" i="31"/>
  <c r="AT241" i="31"/>
  <c r="AS241" i="31"/>
  <c r="AU261" i="31"/>
  <c r="AT261" i="31"/>
  <c r="AU293" i="31"/>
  <c r="AT293" i="31"/>
  <c r="Z317" i="31"/>
  <c r="Y317" i="31"/>
  <c r="Z340" i="31"/>
  <c r="Y340" i="31"/>
  <c r="Z362" i="31"/>
  <c r="Y362" i="31"/>
  <c r="AT382" i="31"/>
  <c r="AS382" i="31"/>
  <c r="AS221" i="31"/>
  <c r="AR221" i="31"/>
  <c r="AU313" i="31"/>
  <c r="AT313" i="31"/>
  <c r="AS313" i="31"/>
  <c r="AS250" i="31"/>
  <c r="AR250" i="31"/>
  <c r="AK329" i="31"/>
  <c r="AT250" i="31"/>
  <c r="AR271" i="31"/>
  <c r="AT331" i="31"/>
  <c r="AS331" i="31"/>
  <c r="AK349" i="31"/>
  <c r="Y398" i="31"/>
  <c r="Y430" i="31"/>
  <c r="BD432" i="30"/>
  <c r="T4" i="30" s="1"/>
  <c r="AQ430" i="30"/>
  <c r="AP430" i="30"/>
  <c r="AO430" i="30"/>
  <c r="AN430" i="30"/>
  <c r="AG430" i="30" s="1"/>
  <c r="AH430" i="30"/>
  <c r="AA430" i="30"/>
  <c r="X430" i="30"/>
  <c r="W430" i="30"/>
  <c r="AQ429" i="30"/>
  <c r="AP429" i="30"/>
  <c r="AO429" i="30"/>
  <c r="AN429" i="30"/>
  <c r="AG429" i="30" s="1"/>
  <c r="AH429" i="30"/>
  <c r="AA429" i="30"/>
  <c r="X429" i="30"/>
  <c r="Z429" i="30" s="1"/>
  <c r="W429" i="30"/>
  <c r="AQ428" i="30"/>
  <c r="AS428" i="30" s="1"/>
  <c r="AP428" i="30"/>
  <c r="AO428" i="30"/>
  <c r="AN428" i="30"/>
  <c r="AM428" i="30"/>
  <c r="AL428" i="30"/>
  <c r="AJ428" i="30"/>
  <c r="AI428" i="30"/>
  <c r="AH428" i="30"/>
  <c r="AG428" i="30"/>
  <c r="AA428" i="30"/>
  <c r="X428" i="30"/>
  <c r="Y428" i="30" s="1"/>
  <c r="W428" i="30"/>
  <c r="AQ427" i="30"/>
  <c r="AU427" i="30" s="1"/>
  <c r="AP427" i="30"/>
  <c r="AO427" i="30"/>
  <c r="AN427" i="30"/>
  <c r="AM427" i="30"/>
  <c r="AL427" i="30"/>
  <c r="AJ427" i="30"/>
  <c r="AI427" i="30"/>
  <c r="AH427" i="30"/>
  <c r="AG427" i="30"/>
  <c r="AA427" i="30"/>
  <c r="X427" i="30"/>
  <c r="W427" i="30"/>
  <c r="AQ426" i="30"/>
  <c r="AP426" i="30"/>
  <c r="AO426" i="30"/>
  <c r="AN426" i="30"/>
  <c r="AM426" i="30"/>
  <c r="AL426" i="30"/>
  <c r="AJ426" i="30"/>
  <c r="AI426" i="30"/>
  <c r="AH426" i="30"/>
  <c r="AG426" i="30"/>
  <c r="AA426" i="30"/>
  <c r="X426" i="30"/>
  <c r="W426" i="30"/>
  <c r="AQ425" i="30"/>
  <c r="AR425" i="30" s="1"/>
  <c r="AP425" i="30"/>
  <c r="AO425" i="30"/>
  <c r="AN425" i="30"/>
  <c r="AM425" i="30"/>
  <c r="AL425" i="30"/>
  <c r="AJ425" i="30"/>
  <c r="AI425" i="30"/>
  <c r="AH425" i="30"/>
  <c r="AG425" i="30"/>
  <c r="AA425" i="30"/>
  <c r="X425" i="30"/>
  <c r="Z425" i="30" s="1"/>
  <c r="W425" i="30"/>
  <c r="AQ424" i="30"/>
  <c r="AP424" i="30"/>
  <c r="AO424" i="30"/>
  <c r="AN424" i="30"/>
  <c r="AM424" i="30"/>
  <c r="AL424" i="30"/>
  <c r="AJ424" i="30"/>
  <c r="AI424" i="30"/>
  <c r="AH424" i="30"/>
  <c r="AG424" i="30"/>
  <c r="AA424" i="30"/>
  <c r="X424" i="30"/>
  <c r="Z424" i="30" s="1"/>
  <c r="W424" i="30"/>
  <c r="AQ423" i="30"/>
  <c r="AU423" i="30" s="1"/>
  <c r="AP423" i="30"/>
  <c r="AO423" i="30"/>
  <c r="AN423" i="30"/>
  <c r="AM423" i="30"/>
  <c r="AL423" i="30"/>
  <c r="AJ423" i="30"/>
  <c r="AI423" i="30"/>
  <c r="AH423" i="30"/>
  <c r="AG423" i="30"/>
  <c r="AA423" i="30"/>
  <c r="X423" i="30"/>
  <c r="Z423" i="30" s="1"/>
  <c r="W423" i="30"/>
  <c r="AQ422" i="30"/>
  <c r="AS422" i="30" s="1"/>
  <c r="AP422" i="30"/>
  <c r="AO422" i="30"/>
  <c r="AN422" i="30"/>
  <c r="AM422" i="30"/>
  <c r="AL422" i="30"/>
  <c r="AJ422" i="30"/>
  <c r="AI422" i="30"/>
  <c r="AH422" i="30"/>
  <c r="AG422" i="30"/>
  <c r="AA422" i="30"/>
  <c r="X422" i="30"/>
  <c r="W422" i="30"/>
  <c r="AQ421" i="30"/>
  <c r="AU421" i="30" s="1"/>
  <c r="AP421" i="30"/>
  <c r="AO421" i="30"/>
  <c r="AN421" i="30"/>
  <c r="AM421" i="30"/>
  <c r="AL421" i="30"/>
  <c r="AJ421" i="30"/>
  <c r="AI421" i="30"/>
  <c r="AH421" i="30"/>
  <c r="AG421" i="30"/>
  <c r="AA421" i="30"/>
  <c r="X421" i="30"/>
  <c r="W421" i="30"/>
  <c r="AQ420" i="30"/>
  <c r="AU420" i="30" s="1"/>
  <c r="AP420" i="30"/>
  <c r="AO420" i="30"/>
  <c r="AN420" i="30"/>
  <c r="AM420" i="30"/>
  <c r="AL420" i="30"/>
  <c r="AJ420" i="30"/>
  <c r="AI420" i="30"/>
  <c r="AH420" i="30"/>
  <c r="AG420" i="30"/>
  <c r="AA420" i="30"/>
  <c r="X420" i="30"/>
  <c r="Z420" i="30" s="1"/>
  <c r="W420" i="30"/>
  <c r="AQ419" i="30"/>
  <c r="AR419" i="30" s="1"/>
  <c r="AP419" i="30"/>
  <c r="AO419" i="30"/>
  <c r="AN419" i="30"/>
  <c r="AL419" i="30"/>
  <c r="AJ419" i="30"/>
  <c r="AI419" i="30"/>
  <c r="AH419" i="30"/>
  <c r="AG419" i="30"/>
  <c r="AM419" i="30" s="1"/>
  <c r="AA419" i="30"/>
  <c r="X419" i="30"/>
  <c r="Z419" i="30" s="1"/>
  <c r="W419" i="30"/>
  <c r="AQ418" i="30"/>
  <c r="AP418" i="30"/>
  <c r="AO418" i="30"/>
  <c r="AN418" i="30"/>
  <c r="AH418" i="30"/>
  <c r="AL418" i="30" s="1"/>
  <c r="AG418" i="30"/>
  <c r="AA418" i="30"/>
  <c r="X418" i="30"/>
  <c r="W418" i="30"/>
  <c r="AQ417" i="30"/>
  <c r="AP417" i="30"/>
  <c r="AO417" i="30"/>
  <c r="AN417" i="30"/>
  <c r="AM417" i="30"/>
  <c r="AL417" i="30"/>
  <c r="AJ417" i="30"/>
  <c r="AI417" i="30"/>
  <c r="AH417" i="30"/>
  <c r="AG417" i="30"/>
  <c r="AA417" i="30"/>
  <c r="X417" i="30"/>
  <c r="Y417" i="30" s="1"/>
  <c r="W417" i="30"/>
  <c r="AQ416" i="30"/>
  <c r="AU416" i="30" s="1"/>
  <c r="AP416" i="30"/>
  <c r="AO416" i="30"/>
  <c r="AN416" i="30"/>
  <c r="AL416" i="30"/>
  <c r="AJ416" i="30"/>
  <c r="AH416" i="30"/>
  <c r="AI416" i="30" s="1"/>
  <c r="AG416" i="30"/>
  <c r="AA416" i="30"/>
  <c r="X416" i="30"/>
  <c r="W416" i="30"/>
  <c r="AQ415" i="30"/>
  <c r="AU415" i="30" s="1"/>
  <c r="AP415" i="30"/>
  <c r="AO415" i="30"/>
  <c r="AN415" i="30"/>
  <c r="AH415" i="30"/>
  <c r="AG415" i="30"/>
  <c r="AA415" i="30"/>
  <c r="X415" i="30"/>
  <c r="Z415" i="30" s="1"/>
  <c r="W415" i="30"/>
  <c r="AQ414" i="30"/>
  <c r="AP414" i="30"/>
  <c r="AO414" i="30"/>
  <c r="AN414" i="30"/>
  <c r="AL414" i="30"/>
  <c r="AJ414" i="30"/>
  <c r="AH414" i="30"/>
  <c r="AI414" i="30" s="1"/>
  <c r="AG414" i="30"/>
  <c r="AA414" i="30"/>
  <c r="X414" i="30"/>
  <c r="W414" i="30"/>
  <c r="AQ413" i="30"/>
  <c r="AR413" i="30" s="1"/>
  <c r="AP413" i="30"/>
  <c r="AO413" i="30"/>
  <c r="AN413" i="30"/>
  <c r="AM413" i="30"/>
  <c r="AL413" i="30"/>
  <c r="AJ413" i="30"/>
  <c r="AI413" i="30"/>
  <c r="AH413" i="30"/>
  <c r="AG413" i="30"/>
  <c r="AA413" i="30"/>
  <c r="X413" i="30"/>
  <c r="Z413" i="30" s="1"/>
  <c r="W413" i="30"/>
  <c r="AQ412" i="30"/>
  <c r="AT412" i="30" s="1"/>
  <c r="AP412" i="30"/>
  <c r="AO412" i="30"/>
  <c r="AN412" i="30"/>
  <c r="AM412" i="30"/>
  <c r="AL412" i="30"/>
  <c r="AJ412" i="30"/>
  <c r="AH412" i="30"/>
  <c r="AI412" i="30" s="1"/>
  <c r="AG412" i="30"/>
  <c r="AA412" i="30"/>
  <c r="X412" i="30"/>
  <c r="Y412" i="30" s="1"/>
  <c r="W412" i="30"/>
  <c r="AQ411" i="30"/>
  <c r="AT411" i="30" s="1"/>
  <c r="AP411" i="30"/>
  <c r="AO411" i="30"/>
  <c r="AN411" i="30"/>
  <c r="AH411" i="30"/>
  <c r="AG411" i="30"/>
  <c r="AA411" i="30"/>
  <c r="X411" i="30"/>
  <c r="Y411" i="30" s="1"/>
  <c r="W411" i="30"/>
  <c r="AQ410" i="30"/>
  <c r="AS410" i="30" s="1"/>
  <c r="AP410" i="30"/>
  <c r="AH410" i="30" s="1"/>
  <c r="AO410" i="30"/>
  <c r="AN410" i="30"/>
  <c r="AG410" i="30" s="1"/>
  <c r="AA410" i="30"/>
  <c r="X410" i="30"/>
  <c r="W410" i="30"/>
  <c r="AQ409" i="30"/>
  <c r="AU409" i="30" s="1"/>
  <c r="AP409" i="30"/>
  <c r="AH409" i="30" s="1"/>
  <c r="AO409" i="30"/>
  <c r="AN409" i="30"/>
  <c r="AG409" i="30" s="1"/>
  <c r="AA409" i="30"/>
  <c r="X409" i="30"/>
  <c r="Y409" i="30" s="1"/>
  <c r="W409" i="30"/>
  <c r="AQ408" i="30"/>
  <c r="AP408" i="30"/>
  <c r="AO408" i="30"/>
  <c r="AN408" i="30"/>
  <c r="AG408" i="30" s="1"/>
  <c r="AH408" i="30"/>
  <c r="AJ408" i="30" s="1"/>
  <c r="AA408" i="30"/>
  <c r="X408" i="30"/>
  <c r="Z408" i="30" s="1"/>
  <c r="W408" i="30"/>
  <c r="AQ407" i="30"/>
  <c r="AU407" i="30" s="1"/>
  <c r="AP407" i="30"/>
  <c r="AO407" i="30"/>
  <c r="AN407" i="30"/>
  <c r="AG407" i="30" s="1"/>
  <c r="AH407" i="30"/>
  <c r="AA407" i="30"/>
  <c r="X407" i="30"/>
  <c r="W407" i="30"/>
  <c r="AQ406" i="30"/>
  <c r="AP406" i="30"/>
  <c r="AO406" i="30"/>
  <c r="AN406" i="30"/>
  <c r="AG406" i="30" s="1"/>
  <c r="AH406" i="30"/>
  <c r="AL406" i="30" s="1"/>
  <c r="AA406" i="30"/>
  <c r="X406" i="30"/>
  <c r="W406" i="30"/>
  <c r="AQ405" i="30"/>
  <c r="AP405" i="30"/>
  <c r="AO405" i="30"/>
  <c r="AN405" i="30"/>
  <c r="AG405" i="30" s="1"/>
  <c r="AH405" i="30"/>
  <c r="AA405" i="30"/>
  <c r="X405" i="30"/>
  <c r="Z405" i="30" s="1"/>
  <c r="W405" i="30"/>
  <c r="AQ404" i="30"/>
  <c r="AR404" i="30" s="1"/>
  <c r="AP404" i="30"/>
  <c r="AO404" i="30"/>
  <c r="AN404" i="30"/>
  <c r="AH404" i="30"/>
  <c r="AG404" i="30"/>
  <c r="AA404" i="30"/>
  <c r="X404" i="30"/>
  <c r="Z404" i="30" s="1"/>
  <c r="W404" i="30"/>
  <c r="AQ403" i="30"/>
  <c r="AU403" i="30" s="1"/>
  <c r="AP403" i="30"/>
  <c r="AH403" i="30" s="1"/>
  <c r="AO403" i="30"/>
  <c r="AN403" i="30" s="1"/>
  <c r="AG403" i="30" s="1"/>
  <c r="AA403" i="30"/>
  <c r="X403" i="30"/>
  <c r="Z403" i="30" s="1"/>
  <c r="W403" i="30"/>
  <c r="AQ402" i="30"/>
  <c r="AP402" i="30"/>
  <c r="AH402" i="30" s="1"/>
  <c r="AL402" i="30" s="1"/>
  <c r="AO402" i="30"/>
  <c r="AN402" i="30"/>
  <c r="AG402" i="30" s="1"/>
  <c r="AA402" i="30"/>
  <c r="X402" i="30"/>
  <c r="W402" i="30"/>
  <c r="AQ401" i="30"/>
  <c r="AP401" i="30" s="1"/>
  <c r="AH401" i="30" s="1"/>
  <c r="AA401" i="30"/>
  <c r="X401" i="30"/>
  <c r="W401" i="30"/>
  <c r="AQ400" i="30"/>
  <c r="AU400" i="30" s="1"/>
  <c r="AP400" i="30"/>
  <c r="AO400" i="30"/>
  <c r="AN400" i="30"/>
  <c r="AG400" i="30" s="1"/>
  <c r="AH400" i="30"/>
  <c r="AA400" i="30"/>
  <c r="X400" i="30"/>
  <c r="Z400" i="30" s="1"/>
  <c r="W400" i="30"/>
  <c r="AQ399" i="30"/>
  <c r="AS399" i="30" s="1"/>
  <c r="AP399" i="30"/>
  <c r="AO399" i="30"/>
  <c r="AN399" i="30"/>
  <c r="AG399" i="30" s="1"/>
  <c r="AH399" i="30"/>
  <c r="AI399" i="30" s="1"/>
  <c r="AA399" i="30"/>
  <c r="X399" i="30"/>
  <c r="W399" i="30"/>
  <c r="AQ398" i="30"/>
  <c r="AP398" i="30"/>
  <c r="AH398" i="30" s="1"/>
  <c r="AO398" i="30"/>
  <c r="AN398" i="30"/>
  <c r="AG398" i="30" s="1"/>
  <c r="AA398" i="30"/>
  <c r="X398" i="30"/>
  <c r="W398" i="30"/>
  <c r="AQ397" i="30"/>
  <c r="AP397" i="30"/>
  <c r="AH397" i="30" s="1"/>
  <c r="AO397" i="30"/>
  <c r="AN397" i="30"/>
  <c r="AG397" i="30" s="1"/>
  <c r="AA397" i="30"/>
  <c r="X397" i="30"/>
  <c r="Z397" i="30" s="1"/>
  <c r="W397" i="30"/>
  <c r="V397" i="30"/>
  <c r="AQ396" i="30"/>
  <c r="AT396" i="30" s="1"/>
  <c r="AP396" i="30"/>
  <c r="AH396" i="30" s="1"/>
  <c r="AL396" i="30" s="1"/>
  <c r="O15" i="30" s="1"/>
  <c r="AO396" i="30"/>
  <c r="AN396" i="30"/>
  <c r="AG396" i="30" s="1"/>
  <c r="AA396" i="30"/>
  <c r="AQ394" i="30"/>
  <c r="AP394" i="30"/>
  <c r="AO394" i="30"/>
  <c r="AN394" i="30"/>
  <c r="AG394" i="30" s="1"/>
  <c r="AH394" i="30"/>
  <c r="AI394" i="30" s="1"/>
  <c r="AA394" i="30"/>
  <c r="X394" i="30"/>
  <c r="W394" i="30"/>
  <c r="AQ393" i="30"/>
  <c r="AR393" i="30" s="1"/>
  <c r="AP393" i="30"/>
  <c r="AO393" i="30"/>
  <c r="AN393" i="30"/>
  <c r="AG393" i="30" s="1"/>
  <c r="AH393" i="30"/>
  <c r="AI393" i="30" s="1"/>
  <c r="AA393" i="30"/>
  <c r="X393" i="30"/>
  <c r="Z393" i="30" s="1"/>
  <c r="W393" i="30"/>
  <c r="AQ392" i="30"/>
  <c r="AU392" i="30" s="1"/>
  <c r="AP392" i="30"/>
  <c r="AO392" i="30"/>
  <c r="AN392" i="30"/>
  <c r="AM392" i="30"/>
  <c r="AL392" i="30"/>
  <c r="AJ392" i="30"/>
  <c r="AI392" i="30"/>
  <c r="AH392" i="30"/>
  <c r="AG392" i="30"/>
  <c r="AA392" i="30"/>
  <c r="X392" i="30"/>
  <c r="Z392" i="30" s="1"/>
  <c r="W392" i="30"/>
  <c r="AQ391" i="30"/>
  <c r="AR391" i="30" s="1"/>
  <c r="AP391" i="30"/>
  <c r="AO391" i="30"/>
  <c r="AN391" i="30"/>
  <c r="AM391" i="30"/>
  <c r="AL391" i="30"/>
  <c r="AJ391" i="30"/>
  <c r="AI391" i="30"/>
  <c r="AH391" i="30"/>
  <c r="AG391" i="30"/>
  <c r="AA391" i="30"/>
  <c r="X391" i="30"/>
  <c r="Y391" i="30" s="1"/>
  <c r="W391" i="30"/>
  <c r="AQ390" i="30"/>
  <c r="AP390" i="30"/>
  <c r="AO390" i="30"/>
  <c r="AN390" i="30"/>
  <c r="AM390" i="30"/>
  <c r="AL390" i="30"/>
  <c r="AJ390" i="30"/>
  <c r="AI390" i="30"/>
  <c r="AH390" i="30"/>
  <c r="AG390" i="30"/>
  <c r="AA390" i="30"/>
  <c r="X390" i="30"/>
  <c r="W390" i="30"/>
  <c r="AQ389" i="30"/>
  <c r="AR389" i="30" s="1"/>
  <c r="AP389" i="30"/>
  <c r="AO389" i="30"/>
  <c r="AN389" i="30"/>
  <c r="AM389" i="30"/>
  <c r="AL389" i="30"/>
  <c r="AJ389" i="30"/>
  <c r="AI389" i="30"/>
  <c r="AH389" i="30"/>
  <c r="AG389" i="30"/>
  <c r="AA389" i="30"/>
  <c r="X389" i="30"/>
  <c r="Z389" i="30" s="1"/>
  <c r="W389" i="30"/>
  <c r="AQ388" i="30"/>
  <c r="AU388" i="30" s="1"/>
  <c r="AP388" i="30"/>
  <c r="AO388" i="30"/>
  <c r="AN388" i="30"/>
  <c r="AM388" i="30"/>
  <c r="AL388" i="30"/>
  <c r="AJ388" i="30"/>
  <c r="AI388" i="30"/>
  <c r="AH388" i="30"/>
  <c r="AG388" i="30"/>
  <c r="AA388" i="30"/>
  <c r="X388" i="30"/>
  <c r="Z388" i="30" s="1"/>
  <c r="W388" i="30"/>
  <c r="AQ387" i="30"/>
  <c r="AT387" i="30" s="1"/>
  <c r="AP387" i="30"/>
  <c r="AO387" i="30"/>
  <c r="AN387" i="30"/>
  <c r="AM387" i="30"/>
  <c r="AL387" i="30"/>
  <c r="AJ387" i="30"/>
  <c r="AI387" i="30"/>
  <c r="AH387" i="30"/>
  <c r="AG387" i="30"/>
  <c r="AA387" i="30"/>
  <c r="X387" i="30"/>
  <c r="W387" i="30"/>
  <c r="AQ386" i="30"/>
  <c r="AS386" i="30" s="1"/>
  <c r="AP386" i="30"/>
  <c r="AO386" i="30"/>
  <c r="AN386" i="30"/>
  <c r="AH386" i="30"/>
  <c r="AJ386" i="30" s="1"/>
  <c r="AG386" i="30"/>
  <c r="AA386" i="30"/>
  <c r="X386" i="30"/>
  <c r="W386" i="30"/>
  <c r="AQ385" i="30"/>
  <c r="AR385" i="30" s="1"/>
  <c r="AP385" i="30"/>
  <c r="AO385" i="30"/>
  <c r="AN385" i="30"/>
  <c r="AH385" i="30"/>
  <c r="AG385" i="30"/>
  <c r="AA385" i="30"/>
  <c r="X385" i="30"/>
  <c r="W385" i="30"/>
  <c r="AQ384" i="30"/>
  <c r="AU384" i="30" s="1"/>
  <c r="AP384" i="30"/>
  <c r="AO384" i="30"/>
  <c r="AN384" i="30"/>
  <c r="AJ384" i="30"/>
  <c r="AH384" i="30"/>
  <c r="AG384" i="30"/>
  <c r="AA384" i="30"/>
  <c r="X384" i="30"/>
  <c r="Z384" i="30" s="1"/>
  <c r="W384" i="30"/>
  <c r="AQ383" i="30"/>
  <c r="AP383" i="30"/>
  <c r="AO383" i="30"/>
  <c r="AN383" i="30"/>
  <c r="AL383" i="30"/>
  <c r="AH383" i="30"/>
  <c r="AI383" i="30" s="1"/>
  <c r="AG383" i="30"/>
  <c r="AA383" i="30"/>
  <c r="X383" i="30"/>
  <c r="Y383" i="30" s="1"/>
  <c r="W383" i="30"/>
  <c r="AQ382" i="30"/>
  <c r="AR382" i="30" s="1"/>
  <c r="AP382" i="30"/>
  <c r="AO382" i="30"/>
  <c r="AN382" i="30"/>
  <c r="AM382" i="30"/>
  <c r="AH382" i="30"/>
  <c r="AG382" i="30"/>
  <c r="AA382" i="30"/>
  <c r="X382" i="30"/>
  <c r="Z382" i="30" s="1"/>
  <c r="W382" i="30"/>
  <c r="AQ381" i="30"/>
  <c r="AR381" i="30" s="1"/>
  <c r="AP381" i="30"/>
  <c r="AO381" i="30"/>
  <c r="AN381" i="30"/>
  <c r="AM381" i="30"/>
  <c r="AL381" i="30"/>
  <c r="AJ381" i="30"/>
  <c r="AI381" i="30"/>
  <c r="AH381" i="30"/>
  <c r="AG381" i="30"/>
  <c r="AA381" i="30"/>
  <c r="X381" i="30"/>
  <c r="Y381" i="30" s="1"/>
  <c r="W381" i="30"/>
  <c r="AQ380" i="30"/>
  <c r="AP380" i="30"/>
  <c r="AO380" i="30"/>
  <c r="AN380" i="30"/>
  <c r="AM380" i="30"/>
  <c r="AL380" i="30"/>
  <c r="AI380" i="30"/>
  <c r="AH380" i="30"/>
  <c r="AJ380" i="30" s="1"/>
  <c r="AG380" i="30"/>
  <c r="AA380" i="30"/>
  <c r="X380" i="30"/>
  <c r="Z380" i="30" s="1"/>
  <c r="W380" i="30"/>
  <c r="AQ379" i="30"/>
  <c r="AP379" i="30"/>
  <c r="AO379" i="30"/>
  <c r="AN379" i="30"/>
  <c r="AL379" i="30"/>
  <c r="AJ379" i="30"/>
  <c r="AI379" i="30"/>
  <c r="AH379" i="30"/>
  <c r="AG379" i="30"/>
  <c r="AA379" i="30"/>
  <c r="X379" i="30"/>
  <c r="Z379" i="30" s="1"/>
  <c r="W379" i="30"/>
  <c r="AQ378" i="30"/>
  <c r="AS378" i="30" s="1"/>
  <c r="AP378" i="30"/>
  <c r="AH378" i="30" s="1"/>
  <c r="AO378" i="30"/>
  <c r="AN378" i="30"/>
  <c r="AG378" i="30" s="1"/>
  <c r="AA378" i="30"/>
  <c r="X378" i="30"/>
  <c r="W378" i="30"/>
  <c r="AQ377" i="30"/>
  <c r="AS377" i="30" s="1"/>
  <c r="AP377" i="30"/>
  <c r="AO377" i="30"/>
  <c r="AN377" i="30"/>
  <c r="AG377" i="30" s="1"/>
  <c r="AH377" i="30"/>
  <c r="AA377" i="30"/>
  <c r="X377" i="30"/>
  <c r="Z377" i="30" s="1"/>
  <c r="W377" i="30"/>
  <c r="AQ376" i="30"/>
  <c r="AU376" i="30" s="1"/>
  <c r="AP376" i="30"/>
  <c r="AO376" i="30"/>
  <c r="AN376" i="30"/>
  <c r="AG376" i="30" s="1"/>
  <c r="AH376" i="30"/>
  <c r="AL376" i="30" s="1"/>
  <c r="AA376" i="30"/>
  <c r="X376" i="30"/>
  <c r="Z376" i="30" s="1"/>
  <c r="W376" i="30"/>
  <c r="AQ375" i="30"/>
  <c r="AP375" i="30"/>
  <c r="AO375" i="30"/>
  <c r="AN375" i="30"/>
  <c r="AG375" i="30" s="1"/>
  <c r="AH375" i="30"/>
  <c r="AL375" i="30" s="1"/>
  <c r="AA375" i="30"/>
  <c r="X375" i="30"/>
  <c r="W375" i="30"/>
  <c r="AQ374" i="30"/>
  <c r="AP374" i="30"/>
  <c r="AO374" i="30"/>
  <c r="AN374" i="30"/>
  <c r="AG374" i="30" s="1"/>
  <c r="AH374" i="30"/>
  <c r="AJ374" i="30" s="1"/>
  <c r="AA374" i="30"/>
  <c r="X374" i="30"/>
  <c r="Z374" i="30" s="1"/>
  <c r="W374" i="30"/>
  <c r="AQ373" i="30"/>
  <c r="AR373" i="30" s="1"/>
  <c r="AP373" i="30"/>
  <c r="AO373" i="30"/>
  <c r="AN373" i="30"/>
  <c r="AH373" i="30"/>
  <c r="AG373" i="30"/>
  <c r="AA373" i="30"/>
  <c r="X373" i="30"/>
  <c r="Z373" i="30" s="1"/>
  <c r="W373" i="30"/>
  <c r="AQ372" i="30"/>
  <c r="AU372" i="30" s="1"/>
  <c r="AP372" i="30"/>
  <c r="AO372" i="30"/>
  <c r="AN372" i="30"/>
  <c r="AG372" i="30" s="1"/>
  <c r="AH372" i="30"/>
  <c r="AA372" i="30"/>
  <c r="X372" i="30"/>
  <c r="Z372" i="30" s="1"/>
  <c r="W372" i="30"/>
  <c r="AQ371" i="30"/>
  <c r="AS371" i="30" s="1"/>
  <c r="AP371" i="30"/>
  <c r="AO371" i="30"/>
  <c r="AN371" i="30"/>
  <c r="AG371" i="30" s="1"/>
  <c r="AH371" i="30"/>
  <c r="AA371" i="30"/>
  <c r="X371" i="30"/>
  <c r="Z371" i="30" s="1"/>
  <c r="W371" i="30"/>
  <c r="AQ370" i="30"/>
  <c r="AU370" i="30" s="1"/>
  <c r="AP370" i="30"/>
  <c r="AH370" i="30" s="1"/>
  <c r="AO370" i="30"/>
  <c r="AN370" i="30"/>
  <c r="AG370" i="30" s="1"/>
  <c r="AA370" i="30"/>
  <c r="X370" i="30"/>
  <c r="Z370" i="30" s="1"/>
  <c r="W370" i="30"/>
  <c r="AQ369" i="30"/>
  <c r="AP369" i="30"/>
  <c r="AH369" i="30" s="1"/>
  <c r="AO369" i="30"/>
  <c r="AN369" i="30"/>
  <c r="AG369" i="30" s="1"/>
  <c r="AA369" i="30"/>
  <c r="X369" i="30"/>
  <c r="W369" i="30"/>
  <c r="AQ368" i="30"/>
  <c r="AU368" i="30" s="1"/>
  <c r="AP368" i="30"/>
  <c r="AH368" i="30" s="1"/>
  <c r="AO368" i="30"/>
  <c r="AN368" i="30"/>
  <c r="AG368" i="30" s="1"/>
  <c r="AA368" i="30"/>
  <c r="X368" i="30"/>
  <c r="W368" i="30"/>
  <c r="AQ367" i="30"/>
  <c r="AU367" i="30" s="1"/>
  <c r="AP367" i="30"/>
  <c r="AO367" i="30"/>
  <c r="AN367" i="30"/>
  <c r="AG367" i="30" s="1"/>
  <c r="AH367" i="30"/>
  <c r="AL367" i="30" s="1"/>
  <c r="AA367" i="30"/>
  <c r="X367" i="30"/>
  <c r="W367" i="30"/>
  <c r="AQ366" i="30"/>
  <c r="AP366" i="30"/>
  <c r="AO366" i="30"/>
  <c r="AN366" i="30"/>
  <c r="AG366" i="30" s="1"/>
  <c r="AH366" i="30"/>
  <c r="AL366" i="30" s="1"/>
  <c r="AA366" i="30"/>
  <c r="X366" i="30"/>
  <c r="Y366" i="30" s="1"/>
  <c r="W366" i="30"/>
  <c r="AQ365" i="30"/>
  <c r="AP365" i="30"/>
  <c r="AO365" i="30"/>
  <c r="AN365" i="30"/>
  <c r="AG365" i="30" s="1"/>
  <c r="AH365" i="30"/>
  <c r="AI365" i="30" s="1"/>
  <c r="AA365" i="30"/>
  <c r="X365" i="30"/>
  <c r="W365" i="30"/>
  <c r="AQ364" i="30"/>
  <c r="AU364" i="30" s="1"/>
  <c r="AP364" i="30"/>
  <c r="AH364" i="30" s="1"/>
  <c r="AO364" i="30"/>
  <c r="AN364" i="30"/>
  <c r="AG364" i="30" s="1"/>
  <c r="AA364" i="30"/>
  <c r="X364" i="30"/>
  <c r="Z364" i="30" s="1"/>
  <c r="W364" i="30"/>
  <c r="AQ363" i="30"/>
  <c r="AU363" i="30" s="1"/>
  <c r="AP363" i="30"/>
  <c r="AH363" i="30" s="1"/>
  <c r="AO363" i="30"/>
  <c r="AN363" i="30"/>
  <c r="AG363" i="30" s="1"/>
  <c r="AA363" i="30"/>
  <c r="X363" i="30"/>
  <c r="Z363" i="30" s="1"/>
  <c r="W363" i="30"/>
  <c r="AQ362" i="30"/>
  <c r="AT362" i="30" s="1"/>
  <c r="AP362" i="30"/>
  <c r="AO362" i="30"/>
  <c r="AN362" i="30"/>
  <c r="AM362" i="30"/>
  <c r="AL362" i="30"/>
  <c r="AJ362" i="30"/>
  <c r="AI362" i="30"/>
  <c r="AH362" i="30"/>
  <c r="AG362" i="30"/>
  <c r="AA362" i="30"/>
  <c r="X362" i="30"/>
  <c r="Y362" i="30" s="1"/>
  <c r="W362" i="30"/>
  <c r="AQ361" i="30"/>
  <c r="AP361" i="30"/>
  <c r="AH361" i="30" s="1"/>
  <c r="AO361" i="30"/>
  <c r="AN361" i="30"/>
  <c r="AG361" i="30" s="1"/>
  <c r="AA361" i="30"/>
  <c r="X361" i="30"/>
  <c r="Y361" i="30" s="1"/>
  <c r="W361" i="30"/>
  <c r="V361" i="30"/>
  <c r="AQ360" i="30"/>
  <c r="AP360" i="30"/>
  <c r="AH360" i="30" s="1"/>
  <c r="AO360" i="30"/>
  <c r="AN360" i="30"/>
  <c r="AG360" i="30" s="1"/>
  <c r="AA360" i="30"/>
  <c r="AQ358" i="30"/>
  <c r="AU358" i="30" s="1"/>
  <c r="AP358" i="30"/>
  <c r="AO358" i="30"/>
  <c r="AN358" i="30"/>
  <c r="AG358" i="30" s="1"/>
  <c r="AH358" i="30"/>
  <c r="AA358" i="30"/>
  <c r="X358" i="30"/>
  <c r="W358" i="30"/>
  <c r="AQ357" i="30"/>
  <c r="AU357" i="30" s="1"/>
  <c r="AP357" i="30"/>
  <c r="AH357" i="30" s="1"/>
  <c r="AO357" i="30"/>
  <c r="AN357" i="30"/>
  <c r="AG357" i="30" s="1"/>
  <c r="AA357" i="30"/>
  <c r="X357" i="30"/>
  <c r="Z357" i="30" s="1"/>
  <c r="W357" i="30"/>
  <c r="AQ356" i="30"/>
  <c r="AT356" i="30" s="1"/>
  <c r="AP356" i="30"/>
  <c r="AH356" i="30" s="1"/>
  <c r="AO356" i="30"/>
  <c r="AN356" i="30"/>
  <c r="AG356" i="30" s="1"/>
  <c r="AA356" i="30"/>
  <c r="X356" i="30"/>
  <c r="W356" i="30"/>
  <c r="AQ355" i="30"/>
  <c r="AU355" i="30" s="1"/>
  <c r="AP355" i="30"/>
  <c r="AO355" i="30"/>
  <c r="AN355" i="30"/>
  <c r="AM355" i="30"/>
  <c r="AL355" i="30"/>
  <c r="AJ355" i="30"/>
  <c r="AI355" i="30"/>
  <c r="AH355" i="30"/>
  <c r="AG355" i="30"/>
  <c r="AA355" i="30"/>
  <c r="X355" i="30"/>
  <c r="Z355" i="30" s="1"/>
  <c r="W355" i="30"/>
  <c r="AQ354" i="30"/>
  <c r="AP354" i="30"/>
  <c r="AO354" i="30"/>
  <c r="AN354" i="30"/>
  <c r="AM354" i="30"/>
  <c r="AL354" i="30"/>
  <c r="AJ354" i="30"/>
  <c r="AI354" i="30"/>
  <c r="AH354" i="30"/>
  <c r="AG354" i="30"/>
  <c r="AA354" i="30"/>
  <c r="X354" i="30"/>
  <c r="Z354" i="30" s="1"/>
  <c r="W354" i="30"/>
  <c r="AQ353" i="30"/>
  <c r="AU353" i="30" s="1"/>
  <c r="AP353" i="30"/>
  <c r="AO353" i="30"/>
  <c r="AN353" i="30"/>
  <c r="AM353" i="30"/>
  <c r="AL353" i="30"/>
  <c r="AJ353" i="30"/>
  <c r="AI353" i="30"/>
  <c r="AH353" i="30"/>
  <c r="AG353" i="30"/>
  <c r="AA353" i="30"/>
  <c r="X353" i="30"/>
  <c r="Z353" i="30" s="1"/>
  <c r="W353" i="30"/>
  <c r="AQ352" i="30"/>
  <c r="AU352" i="30" s="1"/>
  <c r="AP352" i="30"/>
  <c r="AO352" i="30"/>
  <c r="AN352" i="30"/>
  <c r="AM352" i="30"/>
  <c r="AL352" i="30"/>
  <c r="AJ352" i="30"/>
  <c r="AI352" i="30"/>
  <c r="AH352" i="30"/>
  <c r="AG352" i="30"/>
  <c r="AA352" i="30"/>
  <c r="X352" i="30"/>
  <c r="W352" i="30"/>
  <c r="AQ351" i="30"/>
  <c r="AP351" i="30"/>
  <c r="AO351" i="30"/>
  <c r="AN351" i="30"/>
  <c r="AM351" i="30"/>
  <c r="AL351" i="30"/>
  <c r="AJ351" i="30"/>
  <c r="AI351" i="30"/>
  <c r="AH351" i="30"/>
  <c r="AG351" i="30"/>
  <c r="AA351" i="30"/>
  <c r="X351" i="30"/>
  <c r="Z351" i="30" s="1"/>
  <c r="W351" i="30"/>
  <c r="AQ350" i="30"/>
  <c r="AR350" i="30" s="1"/>
  <c r="AP350" i="30"/>
  <c r="AO350" i="30"/>
  <c r="AN350" i="30"/>
  <c r="AM350" i="30"/>
  <c r="AL350" i="30"/>
  <c r="AJ350" i="30"/>
  <c r="AI350" i="30"/>
  <c r="AH350" i="30"/>
  <c r="AG350" i="30"/>
  <c r="AA350" i="30"/>
  <c r="X350" i="30"/>
  <c r="Z350" i="30" s="1"/>
  <c r="W350" i="30"/>
  <c r="AQ349" i="30"/>
  <c r="AS349" i="30" s="1"/>
  <c r="AP349" i="30"/>
  <c r="AO349" i="30"/>
  <c r="AN349" i="30"/>
  <c r="AM349" i="30"/>
  <c r="AL349" i="30"/>
  <c r="AJ349" i="30"/>
  <c r="AI349" i="30"/>
  <c r="AH349" i="30"/>
  <c r="AG349" i="30"/>
  <c r="AA349" i="30"/>
  <c r="X349" i="30"/>
  <c r="Z349" i="30" s="1"/>
  <c r="W349" i="30"/>
  <c r="AQ348" i="30"/>
  <c r="AR348" i="30" s="1"/>
  <c r="AP348" i="30"/>
  <c r="AO348" i="30"/>
  <c r="AN348" i="30"/>
  <c r="AM348" i="30"/>
  <c r="AL348" i="30"/>
  <c r="AJ348" i="30"/>
  <c r="AI348" i="30"/>
  <c r="AH348" i="30"/>
  <c r="AG348" i="30"/>
  <c r="AA348" i="30"/>
  <c r="X348" i="30"/>
  <c r="Z348" i="30" s="1"/>
  <c r="W348" i="30"/>
  <c r="AQ347" i="30"/>
  <c r="AU347" i="30" s="1"/>
  <c r="AP347" i="30"/>
  <c r="AO347" i="30"/>
  <c r="AN347" i="30"/>
  <c r="AM347" i="30"/>
  <c r="AL347" i="30"/>
  <c r="AJ347" i="30"/>
  <c r="AI347" i="30"/>
  <c r="AH347" i="30"/>
  <c r="AG347" i="30"/>
  <c r="AA347" i="30"/>
  <c r="X347" i="30"/>
  <c r="W347" i="30"/>
  <c r="AQ346" i="30"/>
  <c r="AS346" i="30" s="1"/>
  <c r="AP346" i="30"/>
  <c r="AO346" i="30"/>
  <c r="AN346" i="30"/>
  <c r="AM346" i="30"/>
  <c r="AL346" i="30"/>
  <c r="AJ346" i="30"/>
  <c r="AI346" i="30"/>
  <c r="AH346" i="30"/>
  <c r="AG346" i="30"/>
  <c r="AA346" i="30"/>
  <c r="X346" i="30"/>
  <c r="Y346" i="30" s="1"/>
  <c r="W346" i="30"/>
  <c r="AQ345" i="30"/>
  <c r="AS345" i="30" s="1"/>
  <c r="AP345" i="30"/>
  <c r="AO345" i="30"/>
  <c r="AN345" i="30"/>
  <c r="AM345" i="30"/>
  <c r="AL345" i="30"/>
  <c r="AJ345" i="30"/>
  <c r="AI345" i="30"/>
  <c r="AH345" i="30"/>
  <c r="AG345" i="30"/>
  <c r="AA345" i="30"/>
  <c r="X345" i="30"/>
  <c r="Y345" i="30" s="1"/>
  <c r="W345" i="30"/>
  <c r="AQ344" i="30"/>
  <c r="AR344" i="30" s="1"/>
  <c r="AP344" i="30"/>
  <c r="AO344" i="30"/>
  <c r="AN344" i="30"/>
  <c r="AM344" i="30"/>
  <c r="AL344" i="30"/>
  <c r="AJ344" i="30"/>
  <c r="AI344" i="30"/>
  <c r="AH344" i="30"/>
  <c r="AG344" i="30"/>
  <c r="AA344" i="30"/>
  <c r="X344" i="30"/>
  <c r="W344" i="30"/>
  <c r="AQ343" i="30"/>
  <c r="AT343" i="30" s="1"/>
  <c r="AP343" i="30"/>
  <c r="AO343" i="30"/>
  <c r="AN343" i="30"/>
  <c r="AM343" i="30"/>
  <c r="AL343" i="30"/>
  <c r="AJ343" i="30"/>
  <c r="AI343" i="30"/>
  <c r="AH343" i="30"/>
  <c r="AG343" i="30"/>
  <c r="AA343" i="30"/>
  <c r="X343" i="30"/>
  <c r="Y343" i="30" s="1"/>
  <c r="W343" i="30"/>
  <c r="AQ342" i="30"/>
  <c r="AP342" i="30"/>
  <c r="AO342" i="30"/>
  <c r="AN342" i="30"/>
  <c r="AM342" i="30"/>
  <c r="AL342" i="30"/>
  <c r="AJ342" i="30"/>
  <c r="AI342" i="30"/>
  <c r="AH342" i="30"/>
  <c r="AG342" i="30"/>
  <c r="AA342" i="30"/>
  <c r="X342" i="30"/>
  <c r="Y342" i="30" s="1"/>
  <c r="W342" i="30"/>
  <c r="AQ341" i="30"/>
  <c r="AU341" i="30" s="1"/>
  <c r="AP341" i="30"/>
  <c r="AO341" i="30"/>
  <c r="AN341" i="30"/>
  <c r="AM341" i="30"/>
  <c r="AJ341" i="30"/>
  <c r="AH341" i="30"/>
  <c r="AL341" i="30" s="1"/>
  <c r="AG341" i="30"/>
  <c r="AA341" i="30"/>
  <c r="X341" i="30"/>
  <c r="W341" i="30"/>
  <c r="AQ340" i="30"/>
  <c r="AS340" i="30" s="1"/>
  <c r="AP340" i="30"/>
  <c r="AO340" i="30"/>
  <c r="AN340" i="30"/>
  <c r="AH340" i="30"/>
  <c r="AG340" i="30"/>
  <c r="AA340" i="30"/>
  <c r="X340" i="30"/>
  <c r="Y340" i="30" s="1"/>
  <c r="W340" i="30"/>
  <c r="AQ339" i="30"/>
  <c r="AP339" i="30"/>
  <c r="AO339" i="30"/>
  <c r="AN339" i="30"/>
  <c r="AM339" i="30"/>
  <c r="AJ339" i="30"/>
  <c r="AI339" i="30"/>
  <c r="AH339" i="30"/>
  <c r="AL339" i="30" s="1"/>
  <c r="AG339" i="30"/>
  <c r="AA339" i="30"/>
  <c r="X339" i="30"/>
  <c r="Z339" i="30" s="1"/>
  <c r="W339" i="30"/>
  <c r="AQ338" i="30"/>
  <c r="AS338" i="30" s="1"/>
  <c r="AP338" i="30"/>
  <c r="AO338" i="30"/>
  <c r="AN338" i="30"/>
  <c r="AL338" i="30"/>
  <c r="AH338" i="30"/>
  <c r="AJ338" i="30" s="1"/>
  <c r="AG338" i="30"/>
  <c r="AA338" i="30"/>
  <c r="X338" i="30"/>
  <c r="Y338" i="30" s="1"/>
  <c r="W338" i="30"/>
  <c r="AQ337" i="30"/>
  <c r="AP337" i="30"/>
  <c r="AO337" i="30"/>
  <c r="AN337" i="30"/>
  <c r="AM337" i="30"/>
  <c r="AL337" i="30"/>
  <c r="AJ337" i="30"/>
  <c r="AH337" i="30"/>
  <c r="AI337" i="30" s="1"/>
  <c r="AG337" i="30"/>
  <c r="AA337" i="30"/>
  <c r="X337" i="30"/>
  <c r="W337" i="30"/>
  <c r="AQ336" i="30"/>
  <c r="AU336" i="30" s="1"/>
  <c r="AP336" i="30"/>
  <c r="AO336" i="30"/>
  <c r="AN336" i="30"/>
  <c r="AM336" i="30"/>
  <c r="AH336" i="30"/>
  <c r="AL336" i="30" s="1"/>
  <c r="AG336" i="30"/>
  <c r="AA336" i="30"/>
  <c r="X336" i="30"/>
  <c r="Z336" i="30" s="1"/>
  <c r="W336" i="30"/>
  <c r="AQ335" i="30"/>
  <c r="AU335" i="30" s="1"/>
  <c r="AP335" i="30"/>
  <c r="AO335" i="30"/>
  <c r="AN335" i="30"/>
  <c r="AM335" i="30"/>
  <c r="AJ335" i="30"/>
  <c r="AH335" i="30"/>
  <c r="AL335" i="30" s="1"/>
  <c r="AG335" i="30"/>
  <c r="AA335" i="30"/>
  <c r="X335" i="30"/>
  <c r="Z335" i="30" s="1"/>
  <c r="W335" i="30"/>
  <c r="AQ334" i="30"/>
  <c r="AP334" i="30"/>
  <c r="AO334" i="30"/>
  <c r="AN334" i="30"/>
  <c r="AG334" i="30" s="1"/>
  <c r="AH334" i="30"/>
  <c r="AJ334" i="30" s="1"/>
  <c r="AA334" i="30"/>
  <c r="X334" i="30"/>
  <c r="W334" i="30"/>
  <c r="AQ333" i="30"/>
  <c r="AT333" i="30" s="1"/>
  <c r="AP333" i="30"/>
  <c r="AH333" i="30" s="1"/>
  <c r="AI333" i="30" s="1"/>
  <c r="AO333" i="30"/>
  <c r="AN333" i="30"/>
  <c r="AG333" i="30" s="1"/>
  <c r="AA333" i="30"/>
  <c r="X333" i="30"/>
  <c r="Z333" i="30" s="1"/>
  <c r="W333" i="30"/>
  <c r="AQ332" i="30"/>
  <c r="AU332" i="30" s="1"/>
  <c r="AP332" i="30"/>
  <c r="AH332" i="30" s="1"/>
  <c r="AO332" i="30"/>
  <c r="AN332" i="30"/>
  <c r="AG332" i="30" s="1"/>
  <c r="AA332" i="30"/>
  <c r="X332" i="30"/>
  <c r="Z332" i="30" s="1"/>
  <c r="W332" i="30"/>
  <c r="AQ331" i="30"/>
  <c r="AP331" i="30"/>
  <c r="AH331" i="30" s="1"/>
  <c r="AO331" i="30"/>
  <c r="AN331" i="30"/>
  <c r="AG331" i="30" s="1"/>
  <c r="AA331" i="30"/>
  <c r="X331" i="30"/>
  <c r="Z331" i="30" s="1"/>
  <c r="W331" i="30"/>
  <c r="AQ330" i="30"/>
  <c r="AP330" i="30"/>
  <c r="AO330" i="30"/>
  <c r="AN330" i="30"/>
  <c r="AG330" i="30" s="1"/>
  <c r="AH330" i="30"/>
  <c r="AJ330" i="30" s="1"/>
  <c r="AA330" i="30"/>
  <c r="X330" i="30"/>
  <c r="W330" i="30"/>
  <c r="AQ329" i="30"/>
  <c r="AT329" i="30" s="1"/>
  <c r="AP329" i="30"/>
  <c r="AO329" i="30"/>
  <c r="AN329" i="30"/>
  <c r="AG329" i="30" s="1"/>
  <c r="AH329" i="30"/>
  <c r="AA329" i="30"/>
  <c r="X329" i="30"/>
  <c r="Z329" i="30" s="1"/>
  <c r="W329" i="30"/>
  <c r="AQ328" i="30"/>
  <c r="AU328" i="30" s="1"/>
  <c r="AP328" i="30"/>
  <c r="AO328" i="30"/>
  <c r="AN328" i="30"/>
  <c r="AG328" i="30" s="1"/>
  <c r="AH328" i="30"/>
  <c r="AA328" i="30"/>
  <c r="X328" i="30"/>
  <c r="Z328" i="30" s="1"/>
  <c r="W328" i="30"/>
  <c r="AQ327" i="30"/>
  <c r="AU327" i="30" s="1"/>
  <c r="AP327" i="30"/>
  <c r="AH327" i="30" s="1"/>
  <c r="AO327" i="30"/>
  <c r="AN327" i="30"/>
  <c r="AG327" i="30" s="1"/>
  <c r="AA327" i="30"/>
  <c r="X327" i="30"/>
  <c r="Y327" i="30" s="1"/>
  <c r="W327" i="30"/>
  <c r="AQ326" i="30"/>
  <c r="AS326" i="30" s="1"/>
  <c r="AP326" i="30"/>
  <c r="AO326" i="30"/>
  <c r="AN326" i="30"/>
  <c r="AG326" i="30" s="1"/>
  <c r="AH326" i="30"/>
  <c r="AA326" i="30"/>
  <c r="X326" i="30"/>
  <c r="W326" i="30"/>
  <c r="AQ325" i="30"/>
  <c r="AP325" i="30"/>
  <c r="AH325" i="30" s="1"/>
  <c r="AO325" i="30"/>
  <c r="AN325" i="30"/>
  <c r="AG325" i="30" s="1"/>
  <c r="AA325" i="30"/>
  <c r="X325" i="30"/>
  <c r="Z325" i="30" s="1"/>
  <c r="W325" i="30"/>
  <c r="V325" i="30"/>
  <c r="AQ324" i="30"/>
  <c r="AU324" i="30" s="1"/>
  <c r="AP324" i="30"/>
  <c r="AH324" i="30" s="1"/>
  <c r="AO324" i="30"/>
  <c r="AN324" i="30"/>
  <c r="AG324" i="30" s="1"/>
  <c r="AA324" i="30"/>
  <c r="AQ322" i="30"/>
  <c r="AP322" i="30"/>
  <c r="AO322" i="30"/>
  <c r="AN322" i="30"/>
  <c r="AG322" i="30" s="1"/>
  <c r="AH322" i="30"/>
  <c r="AI322" i="30" s="1"/>
  <c r="AA322" i="30"/>
  <c r="X322" i="30"/>
  <c r="W322" i="30"/>
  <c r="AQ321" i="30"/>
  <c r="AP321" i="30"/>
  <c r="AO321" i="30"/>
  <c r="AN321" i="30"/>
  <c r="AG321" i="30" s="1"/>
  <c r="AH321" i="30"/>
  <c r="AA321" i="30"/>
  <c r="X321" i="30"/>
  <c r="W321" i="30"/>
  <c r="AQ320" i="30"/>
  <c r="AT320" i="30" s="1"/>
  <c r="AP320" i="30"/>
  <c r="AO320" i="30"/>
  <c r="AN320" i="30"/>
  <c r="AM320" i="30"/>
  <c r="AL320" i="30"/>
  <c r="AJ320" i="30"/>
  <c r="AI320" i="30"/>
  <c r="AH320" i="30"/>
  <c r="AG320" i="30"/>
  <c r="AA320" i="30"/>
  <c r="X320" i="30"/>
  <c r="Z320" i="30" s="1"/>
  <c r="W320" i="30"/>
  <c r="AQ319" i="30"/>
  <c r="AR319" i="30" s="1"/>
  <c r="AP319" i="30"/>
  <c r="AO319" i="30"/>
  <c r="AN319" i="30"/>
  <c r="AM319" i="30"/>
  <c r="AL319" i="30"/>
  <c r="AJ319" i="30"/>
  <c r="AI319" i="30"/>
  <c r="AH319" i="30"/>
  <c r="AG319" i="30"/>
  <c r="AA319" i="30"/>
  <c r="X319" i="30"/>
  <c r="Z319" i="30" s="1"/>
  <c r="W319" i="30"/>
  <c r="AQ318" i="30"/>
  <c r="AP318" i="30"/>
  <c r="AO318" i="30"/>
  <c r="AN318" i="30"/>
  <c r="AM318" i="30"/>
  <c r="AL318" i="30"/>
  <c r="AJ318" i="30"/>
  <c r="AI318" i="30"/>
  <c r="AH318" i="30"/>
  <c r="AG318" i="30"/>
  <c r="AA318" i="30"/>
  <c r="X318" i="30"/>
  <c r="W318" i="30"/>
  <c r="AQ317" i="30"/>
  <c r="AU317" i="30" s="1"/>
  <c r="AP317" i="30"/>
  <c r="AO317" i="30"/>
  <c r="AN317" i="30"/>
  <c r="AM317" i="30"/>
  <c r="AL317" i="30"/>
  <c r="AJ317" i="30"/>
  <c r="AI317" i="30"/>
  <c r="AH317" i="30"/>
  <c r="AG317" i="30"/>
  <c r="AA317" i="30"/>
  <c r="X317" i="30"/>
  <c r="W317" i="30"/>
  <c r="AQ316" i="30"/>
  <c r="AU316" i="30" s="1"/>
  <c r="AP316" i="30"/>
  <c r="AO316" i="30"/>
  <c r="AN316" i="30"/>
  <c r="AM316" i="30"/>
  <c r="AL316" i="30"/>
  <c r="AJ316" i="30"/>
  <c r="AI316" i="30"/>
  <c r="AH316" i="30"/>
  <c r="AG316" i="30"/>
  <c r="AA316" i="30"/>
  <c r="X316" i="30"/>
  <c r="Y316" i="30" s="1"/>
  <c r="W316" i="30"/>
  <c r="AQ315" i="30"/>
  <c r="AU315" i="30" s="1"/>
  <c r="AP315" i="30"/>
  <c r="AO315" i="30"/>
  <c r="AN315" i="30"/>
  <c r="AM315" i="30"/>
  <c r="AL315" i="30"/>
  <c r="AJ315" i="30"/>
  <c r="AI315" i="30"/>
  <c r="AH315" i="30"/>
  <c r="AG315" i="30"/>
  <c r="AA315" i="30"/>
  <c r="X315" i="30"/>
  <c r="Z315" i="30" s="1"/>
  <c r="W315" i="30"/>
  <c r="AQ314" i="30"/>
  <c r="AS314" i="30" s="1"/>
  <c r="AP314" i="30"/>
  <c r="AO314" i="30"/>
  <c r="AN314" i="30"/>
  <c r="AM314" i="30"/>
  <c r="AL314" i="30"/>
  <c r="AJ314" i="30"/>
  <c r="AI314" i="30"/>
  <c r="AH314" i="30"/>
  <c r="AG314" i="30"/>
  <c r="AA314" i="30"/>
  <c r="X314" i="30"/>
  <c r="Y314" i="30" s="1"/>
  <c r="W314" i="30"/>
  <c r="AQ313" i="30"/>
  <c r="AU313" i="30" s="1"/>
  <c r="AP313" i="30"/>
  <c r="AO313" i="30"/>
  <c r="AN313" i="30"/>
  <c r="AM313" i="30"/>
  <c r="AL313" i="30"/>
  <c r="AJ313" i="30"/>
  <c r="AI313" i="30"/>
  <c r="AH313" i="30"/>
  <c r="AG313" i="30"/>
  <c r="AA313" i="30"/>
  <c r="X313" i="30"/>
  <c r="Y313" i="30" s="1"/>
  <c r="W313" i="30"/>
  <c r="AQ312" i="30"/>
  <c r="AR312" i="30" s="1"/>
  <c r="AP312" i="30"/>
  <c r="AO312" i="30"/>
  <c r="AN312" i="30"/>
  <c r="AM312" i="30"/>
  <c r="AL312" i="30"/>
  <c r="AJ312" i="30"/>
  <c r="AI312" i="30"/>
  <c r="AH312" i="30"/>
  <c r="AG312" i="30"/>
  <c r="AA312" i="30"/>
  <c r="X312" i="30"/>
  <c r="W312" i="30"/>
  <c r="AQ311" i="30"/>
  <c r="AT311" i="30" s="1"/>
  <c r="AP311" i="30"/>
  <c r="AO311" i="30"/>
  <c r="AN311" i="30"/>
  <c r="AM311" i="30"/>
  <c r="AL311" i="30"/>
  <c r="AJ311" i="30"/>
  <c r="AI311" i="30"/>
  <c r="AH311" i="30"/>
  <c r="AG311" i="30"/>
  <c r="AA311" i="30"/>
  <c r="X311" i="30"/>
  <c r="W311" i="30"/>
  <c r="AQ310" i="30"/>
  <c r="AR310" i="30" s="1"/>
  <c r="AP310" i="30"/>
  <c r="AO310" i="30"/>
  <c r="AN310" i="30"/>
  <c r="AM310" i="30"/>
  <c r="AL310" i="30"/>
  <c r="AJ310" i="30"/>
  <c r="AI310" i="30"/>
  <c r="AH310" i="30"/>
  <c r="AG310" i="30"/>
  <c r="AA310" i="30"/>
  <c r="X310" i="30"/>
  <c r="Z310" i="30" s="1"/>
  <c r="W310" i="30"/>
  <c r="AQ309" i="30"/>
  <c r="AR309" i="30" s="1"/>
  <c r="AP309" i="30"/>
  <c r="AO309" i="30"/>
  <c r="AN309" i="30"/>
  <c r="AM309" i="30"/>
  <c r="AL309" i="30"/>
  <c r="AJ309" i="30"/>
  <c r="AI309" i="30"/>
  <c r="AH309" i="30"/>
  <c r="AG309" i="30"/>
  <c r="AA309" i="30"/>
  <c r="X309" i="30"/>
  <c r="Y309" i="30" s="1"/>
  <c r="W309" i="30"/>
  <c r="AQ308" i="30"/>
  <c r="AU308" i="30" s="1"/>
  <c r="AP308" i="30"/>
  <c r="AO308" i="30"/>
  <c r="AN308" i="30"/>
  <c r="AM308" i="30"/>
  <c r="AL308" i="30"/>
  <c r="AJ308" i="30"/>
  <c r="AI308" i="30"/>
  <c r="AH308" i="30"/>
  <c r="AG308" i="30"/>
  <c r="AA308" i="30"/>
  <c r="X308" i="30"/>
  <c r="Y308" i="30" s="1"/>
  <c r="W308" i="30"/>
  <c r="AQ307" i="30"/>
  <c r="AS307" i="30" s="1"/>
  <c r="AP307" i="30"/>
  <c r="AO307" i="30"/>
  <c r="AN307" i="30"/>
  <c r="AM307" i="30"/>
  <c r="AL307" i="30"/>
  <c r="AJ307" i="30"/>
  <c r="AI307" i="30"/>
  <c r="AH307" i="30"/>
  <c r="AG307" i="30"/>
  <c r="AA307" i="30"/>
  <c r="X307" i="30"/>
  <c r="Y307" i="30" s="1"/>
  <c r="W307" i="30"/>
  <c r="AQ306" i="30"/>
  <c r="AT306" i="30" s="1"/>
  <c r="AP306" i="30"/>
  <c r="AO306" i="30"/>
  <c r="AN306" i="30"/>
  <c r="AM306" i="30"/>
  <c r="AL306" i="30"/>
  <c r="AJ306" i="30"/>
  <c r="AI306" i="30"/>
  <c r="AH306" i="30"/>
  <c r="AG306" i="30"/>
  <c r="AA306" i="30"/>
  <c r="X306" i="30"/>
  <c r="Y306" i="30" s="1"/>
  <c r="W306" i="30"/>
  <c r="AQ305" i="30"/>
  <c r="AU305" i="30" s="1"/>
  <c r="AP305" i="30"/>
  <c r="AO305" i="30"/>
  <c r="AN305" i="30"/>
  <c r="AM305" i="30"/>
  <c r="AL305" i="30"/>
  <c r="AJ305" i="30"/>
  <c r="AI305" i="30"/>
  <c r="AH305" i="30"/>
  <c r="AG305" i="30"/>
  <c r="AA305" i="30"/>
  <c r="X305" i="30"/>
  <c r="Y305" i="30" s="1"/>
  <c r="W305" i="30"/>
  <c r="AQ304" i="30"/>
  <c r="AU304" i="30" s="1"/>
  <c r="AP304" i="30"/>
  <c r="AO304" i="30"/>
  <c r="AN304" i="30"/>
  <c r="AM304" i="30"/>
  <c r="AL304" i="30"/>
  <c r="AJ304" i="30"/>
  <c r="AI304" i="30"/>
  <c r="AH304" i="30"/>
  <c r="AG304" i="30"/>
  <c r="AA304" i="30"/>
  <c r="X304" i="30"/>
  <c r="Y304" i="30" s="1"/>
  <c r="W304" i="30"/>
  <c r="AQ303" i="30"/>
  <c r="AR303" i="30" s="1"/>
  <c r="AP303" i="30"/>
  <c r="AO303" i="30"/>
  <c r="AN303" i="30"/>
  <c r="AL303" i="30"/>
  <c r="AH303" i="30"/>
  <c r="AM303" i="30" s="1"/>
  <c r="AG303" i="30"/>
  <c r="AA303" i="30"/>
  <c r="X303" i="30"/>
  <c r="Y303" i="30" s="1"/>
  <c r="W303" i="30"/>
  <c r="AQ302" i="30"/>
  <c r="AP302" i="30"/>
  <c r="AO302" i="30"/>
  <c r="AN302" i="30"/>
  <c r="AL302" i="30"/>
  <c r="AI302" i="30"/>
  <c r="AH302" i="30"/>
  <c r="AJ302" i="30" s="1"/>
  <c r="AG302" i="30"/>
  <c r="AM302" i="30" s="1"/>
  <c r="AA302" i="30"/>
  <c r="X302" i="30"/>
  <c r="Y302" i="30" s="1"/>
  <c r="W302" i="30"/>
  <c r="AQ301" i="30"/>
  <c r="AP301" i="30"/>
  <c r="AO301" i="30"/>
  <c r="AN301" i="30"/>
  <c r="AH301" i="30"/>
  <c r="AG301" i="30"/>
  <c r="AA301" i="30"/>
  <c r="X301" i="30"/>
  <c r="Y301" i="30" s="1"/>
  <c r="W301" i="30"/>
  <c r="AQ300" i="30"/>
  <c r="AP300" i="30"/>
  <c r="AO300" i="30"/>
  <c r="AN300" i="30"/>
  <c r="AL300" i="30"/>
  <c r="AJ300" i="30"/>
  <c r="AI300" i="30"/>
  <c r="AH300" i="30"/>
  <c r="AG300" i="30"/>
  <c r="AA300" i="30"/>
  <c r="X300" i="30"/>
  <c r="Z300" i="30" s="1"/>
  <c r="W300" i="30"/>
  <c r="AQ299" i="30"/>
  <c r="AP299" i="30"/>
  <c r="AO299" i="30"/>
  <c r="AN299" i="30"/>
  <c r="AH299" i="30"/>
  <c r="AG299" i="30"/>
  <c r="AA299" i="30"/>
  <c r="X299" i="30"/>
  <c r="Z299" i="30" s="1"/>
  <c r="W299" i="30"/>
  <c r="AQ298" i="30"/>
  <c r="AU298" i="30" s="1"/>
  <c r="AP298" i="30"/>
  <c r="AO298" i="30"/>
  <c r="AN298" i="30"/>
  <c r="AH298" i="30"/>
  <c r="AG298" i="30"/>
  <c r="AA298" i="30"/>
  <c r="X298" i="30"/>
  <c r="Z298" i="30" s="1"/>
  <c r="W298" i="30"/>
  <c r="AQ297" i="30"/>
  <c r="AU297" i="30" s="1"/>
  <c r="AA297" i="30"/>
  <c r="X297" i="30"/>
  <c r="Y297" i="30" s="1"/>
  <c r="W297" i="30"/>
  <c r="AQ296" i="30"/>
  <c r="AS296" i="30" s="1"/>
  <c r="AP296" i="30"/>
  <c r="AH296" i="30" s="1"/>
  <c r="AO296" i="30"/>
  <c r="AN296" i="30"/>
  <c r="AG296" i="30" s="1"/>
  <c r="AA296" i="30"/>
  <c r="X296" i="30"/>
  <c r="W296" i="30"/>
  <c r="AQ295" i="30"/>
  <c r="AS295" i="30" s="1"/>
  <c r="AP295" i="30"/>
  <c r="AO295" i="30"/>
  <c r="AN295" i="30"/>
  <c r="AG295" i="30" s="1"/>
  <c r="AH295" i="30"/>
  <c r="AA295" i="30"/>
  <c r="X295" i="30"/>
  <c r="Z295" i="30" s="1"/>
  <c r="W295" i="30"/>
  <c r="AQ294" i="30"/>
  <c r="AP294" i="30"/>
  <c r="AO294" i="30"/>
  <c r="AN294" i="30"/>
  <c r="AG294" i="30" s="1"/>
  <c r="AH294" i="30"/>
  <c r="AL294" i="30" s="1"/>
  <c r="AA294" i="30"/>
  <c r="X294" i="30"/>
  <c r="Z294" i="30" s="1"/>
  <c r="W294" i="30"/>
  <c r="AQ293" i="30"/>
  <c r="AP293" i="30"/>
  <c r="AO293" i="30"/>
  <c r="AN293" i="30"/>
  <c r="AG293" i="30" s="1"/>
  <c r="AH293" i="30"/>
  <c r="AA293" i="30"/>
  <c r="X293" i="30"/>
  <c r="W293" i="30"/>
  <c r="AQ292" i="30"/>
  <c r="AU292" i="30" s="1"/>
  <c r="AP292" i="30"/>
  <c r="AH292" i="30" s="1"/>
  <c r="AO292" i="30"/>
  <c r="AN292" i="30"/>
  <c r="AG292" i="30" s="1"/>
  <c r="AA292" i="30"/>
  <c r="X292" i="30"/>
  <c r="W292" i="30"/>
  <c r="AQ291" i="30"/>
  <c r="AS291" i="30" s="1"/>
  <c r="AP291" i="30"/>
  <c r="AO291" i="30"/>
  <c r="AN291" i="30"/>
  <c r="AG291" i="30" s="1"/>
  <c r="AH291" i="30"/>
  <c r="AA291" i="30"/>
  <c r="X291" i="30"/>
  <c r="W291" i="30"/>
  <c r="AQ290" i="30"/>
  <c r="AT290" i="30" s="1"/>
  <c r="AP290" i="30"/>
  <c r="AO290" i="30"/>
  <c r="AN290" i="30"/>
  <c r="AG290" i="30" s="1"/>
  <c r="AH290" i="30"/>
  <c r="AL290" i="30" s="1"/>
  <c r="AA290" i="30"/>
  <c r="X290" i="30"/>
  <c r="Z290" i="30" s="1"/>
  <c r="W290" i="30"/>
  <c r="AQ289" i="30"/>
  <c r="AU289" i="30" s="1"/>
  <c r="AP289" i="30"/>
  <c r="AO289" i="30"/>
  <c r="AN289" i="30"/>
  <c r="AG289" i="30" s="1"/>
  <c r="AH289" i="30"/>
  <c r="AL289" i="30" s="1"/>
  <c r="AA289" i="30"/>
  <c r="X289" i="30"/>
  <c r="Y289" i="30" s="1"/>
  <c r="W289" i="30"/>
  <c r="V289" i="30"/>
  <c r="AQ288" i="30"/>
  <c r="AS288" i="30" s="1"/>
  <c r="AP288" i="30"/>
  <c r="AH288" i="30" s="1"/>
  <c r="AL288" i="30" s="1"/>
  <c r="O12" i="30" s="1"/>
  <c r="AO288" i="30"/>
  <c r="AN288" i="30"/>
  <c r="AG288" i="30" s="1"/>
  <c r="AA288" i="30"/>
  <c r="AQ286" i="30"/>
  <c r="AR286" i="30" s="1"/>
  <c r="AP286" i="30"/>
  <c r="AO286" i="30"/>
  <c r="AN286" i="30"/>
  <c r="AG286" i="30" s="1"/>
  <c r="AH286" i="30"/>
  <c r="AA286" i="30"/>
  <c r="X286" i="30"/>
  <c r="Z286" i="30" s="1"/>
  <c r="W286" i="30"/>
  <c r="AQ285" i="30"/>
  <c r="AU285" i="30" s="1"/>
  <c r="AP285" i="30"/>
  <c r="AH285" i="30" s="1"/>
  <c r="AO285" i="30"/>
  <c r="AN285" i="30"/>
  <c r="AG285" i="30" s="1"/>
  <c r="AA285" i="30"/>
  <c r="X285" i="30"/>
  <c r="Y285" i="30" s="1"/>
  <c r="W285" i="30"/>
  <c r="AQ284" i="30"/>
  <c r="AR284" i="30" s="1"/>
  <c r="AP284" i="30"/>
  <c r="AO284" i="30"/>
  <c r="AN284" i="30"/>
  <c r="AM284" i="30"/>
  <c r="AL284" i="30"/>
  <c r="AJ284" i="30"/>
  <c r="AI284" i="30"/>
  <c r="AH284" i="30"/>
  <c r="AG284" i="30"/>
  <c r="AA284" i="30"/>
  <c r="X284" i="30"/>
  <c r="Y284" i="30" s="1"/>
  <c r="W284" i="30"/>
  <c r="AQ283" i="30"/>
  <c r="AR283" i="30" s="1"/>
  <c r="AP283" i="30"/>
  <c r="AO283" i="30"/>
  <c r="AN283" i="30"/>
  <c r="AM283" i="30"/>
  <c r="AL283" i="30"/>
  <c r="AJ283" i="30"/>
  <c r="AI283" i="30"/>
  <c r="AH283" i="30"/>
  <c r="AG283" i="30"/>
  <c r="AA283" i="30"/>
  <c r="X283" i="30"/>
  <c r="W283" i="30"/>
  <c r="AQ282" i="30"/>
  <c r="AT282" i="30" s="1"/>
  <c r="AP282" i="30"/>
  <c r="AO282" i="30"/>
  <c r="AN282" i="30"/>
  <c r="AM282" i="30"/>
  <c r="AL282" i="30"/>
  <c r="AJ282" i="30"/>
  <c r="AI282" i="30"/>
  <c r="AH282" i="30"/>
  <c r="AG282" i="30"/>
  <c r="AA282" i="30"/>
  <c r="X282" i="30"/>
  <c r="W282" i="30"/>
  <c r="AQ281" i="30"/>
  <c r="AS281" i="30" s="1"/>
  <c r="AP281" i="30"/>
  <c r="AO281" i="30"/>
  <c r="AN281" i="30"/>
  <c r="AM281" i="30"/>
  <c r="AL281" i="30"/>
  <c r="AJ281" i="30"/>
  <c r="AI281" i="30"/>
  <c r="AH281" i="30"/>
  <c r="AG281" i="30"/>
  <c r="AA281" i="30"/>
  <c r="X281" i="30"/>
  <c r="Z281" i="30" s="1"/>
  <c r="W281" i="30"/>
  <c r="AQ280" i="30"/>
  <c r="AT280" i="30" s="1"/>
  <c r="AP280" i="30"/>
  <c r="AO280" i="30"/>
  <c r="AN280" i="30"/>
  <c r="AM280" i="30"/>
  <c r="AL280" i="30"/>
  <c r="AJ280" i="30"/>
  <c r="AI280" i="30"/>
  <c r="AH280" i="30"/>
  <c r="AG280" i="30"/>
  <c r="AA280" i="30"/>
  <c r="X280" i="30"/>
  <c r="Y280" i="30" s="1"/>
  <c r="W280" i="30"/>
  <c r="AQ279" i="30"/>
  <c r="AS279" i="30" s="1"/>
  <c r="AP279" i="30"/>
  <c r="AO279" i="30"/>
  <c r="AN279" i="30"/>
  <c r="AM279" i="30"/>
  <c r="AL279" i="30"/>
  <c r="AJ279" i="30"/>
  <c r="AI279" i="30"/>
  <c r="AH279" i="30"/>
  <c r="AG279" i="30"/>
  <c r="AA279" i="30"/>
  <c r="X279" i="30"/>
  <c r="W279" i="30"/>
  <c r="AQ278" i="30"/>
  <c r="AR278" i="30" s="1"/>
  <c r="AP278" i="30"/>
  <c r="AO278" i="30"/>
  <c r="AN278" i="30"/>
  <c r="AM278" i="30"/>
  <c r="AL278" i="30"/>
  <c r="AJ278" i="30"/>
  <c r="AI278" i="30"/>
  <c r="AH278" i="30"/>
  <c r="AG278" i="30"/>
  <c r="AA278" i="30"/>
  <c r="X278" i="30"/>
  <c r="Y278" i="30" s="1"/>
  <c r="W278" i="30"/>
  <c r="AQ277" i="30"/>
  <c r="AT277" i="30" s="1"/>
  <c r="AP277" i="30"/>
  <c r="AO277" i="30"/>
  <c r="AN277" i="30"/>
  <c r="AM277" i="30"/>
  <c r="AL277" i="30"/>
  <c r="AJ277" i="30"/>
  <c r="AI277" i="30"/>
  <c r="AH277" i="30"/>
  <c r="AG277" i="30"/>
  <c r="AA277" i="30"/>
  <c r="X277" i="30"/>
  <c r="Y277" i="30" s="1"/>
  <c r="W277" i="30"/>
  <c r="AQ276" i="30"/>
  <c r="AT276" i="30" s="1"/>
  <c r="AP276" i="30"/>
  <c r="AO276" i="30"/>
  <c r="AN276" i="30"/>
  <c r="AM276" i="30"/>
  <c r="AL276" i="30"/>
  <c r="AJ276" i="30"/>
  <c r="AI276" i="30"/>
  <c r="AH276" i="30"/>
  <c r="AG276" i="30"/>
  <c r="AA276" i="30"/>
  <c r="X276" i="30"/>
  <c r="Z276" i="30" s="1"/>
  <c r="W276" i="30"/>
  <c r="AQ275" i="30"/>
  <c r="AS275" i="30" s="1"/>
  <c r="AP275" i="30"/>
  <c r="AO275" i="30"/>
  <c r="AN275" i="30"/>
  <c r="AM275" i="30"/>
  <c r="AL275" i="30"/>
  <c r="AJ275" i="30"/>
  <c r="AI275" i="30"/>
  <c r="AH275" i="30"/>
  <c r="AG275" i="30"/>
  <c r="AA275" i="30"/>
  <c r="X275" i="30"/>
  <c r="W275" i="30"/>
  <c r="AQ274" i="30"/>
  <c r="AP274" i="30"/>
  <c r="AO274" i="30"/>
  <c r="AN274" i="30"/>
  <c r="AM274" i="30"/>
  <c r="AL274" i="30"/>
  <c r="AJ274" i="30"/>
  <c r="AI274" i="30"/>
  <c r="AH274" i="30"/>
  <c r="AG274" i="30"/>
  <c r="AA274" i="30"/>
  <c r="X274" i="30"/>
  <c r="Y274" i="30" s="1"/>
  <c r="W274" i="30"/>
  <c r="AQ273" i="30"/>
  <c r="AR273" i="30" s="1"/>
  <c r="AP273" i="30"/>
  <c r="AO273" i="30"/>
  <c r="AN273" i="30"/>
  <c r="AM273" i="30"/>
  <c r="AL273" i="30"/>
  <c r="AJ273" i="30"/>
  <c r="AI273" i="30"/>
  <c r="AH273" i="30"/>
  <c r="AG273" i="30"/>
  <c r="AA273" i="30"/>
  <c r="X273" i="30"/>
  <c r="Y273" i="30" s="1"/>
  <c r="W273" i="30"/>
  <c r="AQ272" i="30"/>
  <c r="AU272" i="30" s="1"/>
  <c r="AP272" i="30"/>
  <c r="AO272" i="30"/>
  <c r="AN272" i="30"/>
  <c r="AM272" i="30"/>
  <c r="AL272" i="30"/>
  <c r="AJ272" i="30"/>
  <c r="AI272" i="30"/>
  <c r="AH272" i="30"/>
  <c r="AG272" i="30"/>
  <c r="AA272" i="30"/>
  <c r="X272" i="30"/>
  <c r="Y272" i="30" s="1"/>
  <c r="W272" i="30"/>
  <c r="AQ271" i="30"/>
  <c r="AS271" i="30" s="1"/>
  <c r="AP271" i="30"/>
  <c r="AO271" i="30"/>
  <c r="AN271" i="30"/>
  <c r="AM271" i="30"/>
  <c r="AL271" i="30"/>
  <c r="AJ271" i="30"/>
  <c r="AI271" i="30"/>
  <c r="AH271" i="30"/>
  <c r="AG271" i="30"/>
  <c r="AA271" i="30"/>
  <c r="X271" i="30"/>
  <c r="W271" i="30"/>
  <c r="AQ270" i="30"/>
  <c r="AT270" i="30" s="1"/>
  <c r="AP270" i="30"/>
  <c r="AO270" i="30"/>
  <c r="AN270" i="30"/>
  <c r="AM270" i="30"/>
  <c r="AL270" i="30"/>
  <c r="AJ270" i="30"/>
  <c r="AI270" i="30"/>
  <c r="AH270" i="30"/>
  <c r="AG270" i="30"/>
  <c r="AA270" i="30"/>
  <c r="X270" i="30"/>
  <c r="Z270" i="30" s="1"/>
  <c r="W270" i="30"/>
  <c r="AQ269" i="30"/>
  <c r="AU269" i="30" s="1"/>
  <c r="AP269" i="30"/>
  <c r="AO269" i="30"/>
  <c r="AN269" i="30"/>
  <c r="AM269" i="30"/>
  <c r="AL269" i="30"/>
  <c r="AJ269" i="30"/>
  <c r="AI269" i="30"/>
  <c r="AH269" i="30"/>
  <c r="AG269" i="30"/>
  <c r="AA269" i="30"/>
  <c r="X269" i="30"/>
  <c r="Z269" i="30" s="1"/>
  <c r="W269" i="30"/>
  <c r="AQ268" i="30"/>
  <c r="AU268" i="30" s="1"/>
  <c r="AP268" i="30"/>
  <c r="AO268" i="30"/>
  <c r="AN268" i="30"/>
  <c r="AM268" i="30"/>
  <c r="AL268" i="30"/>
  <c r="AJ268" i="30"/>
  <c r="AI268" i="30"/>
  <c r="AH268" i="30"/>
  <c r="AG268" i="30"/>
  <c r="AA268" i="30"/>
  <c r="X268" i="30"/>
  <c r="Y268" i="30" s="1"/>
  <c r="W268" i="30"/>
  <c r="AQ267" i="30"/>
  <c r="AU267" i="30" s="1"/>
  <c r="AP267" i="30"/>
  <c r="AO267" i="30"/>
  <c r="AN267" i="30"/>
  <c r="AM267" i="30"/>
  <c r="AL267" i="30"/>
  <c r="AJ267" i="30"/>
  <c r="AI267" i="30"/>
  <c r="AH267" i="30"/>
  <c r="AG267" i="30"/>
  <c r="AA267" i="30"/>
  <c r="X267" i="30"/>
  <c r="Z267" i="30" s="1"/>
  <c r="W267" i="30"/>
  <c r="AQ266" i="30"/>
  <c r="AR266" i="30" s="1"/>
  <c r="AP266" i="30"/>
  <c r="AO266" i="30"/>
  <c r="AN266" i="30"/>
  <c r="AM266" i="30"/>
  <c r="AL266" i="30"/>
  <c r="AJ266" i="30"/>
  <c r="AI266" i="30"/>
  <c r="AH266" i="30"/>
  <c r="AG266" i="30"/>
  <c r="AA266" i="30"/>
  <c r="X266" i="30"/>
  <c r="Y266" i="30" s="1"/>
  <c r="W266" i="30"/>
  <c r="AQ265" i="30"/>
  <c r="AS265" i="30" s="1"/>
  <c r="AP265" i="30"/>
  <c r="AO265" i="30"/>
  <c r="AN265" i="30"/>
  <c r="AM265" i="30"/>
  <c r="AL265" i="30"/>
  <c r="AJ265" i="30"/>
  <c r="AI265" i="30"/>
  <c r="AH265" i="30"/>
  <c r="AG265" i="30"/>
  <c r="AA265" i="30"/>
  <c r="X265" i="30"/>
  <c r="Y265" i="30" s="1"/>
  <c r="W265" i="30"/>
  <c r="AQ264" i="30"/>
  <c r="AU264" i="30" s="1"/>
  <c r="AP264" i="30"/>
  <c r="AO264" i="30"/>
  <c r="AN264" i="30"/>
  <c r="AH264" i="30"/>
  <c r="AG264" i="30"/>
  <c r="AA264" i="30"/>
  <c r="X264" i="30"/>
  <c r="Z264" i="30" s="1"/>
  <c r="W264" i="30"/>
  <c r="AQ263" i="30"/>
  <c r="AR263" i="30" s="1"/>
  <c r="AP263" i="30"/>
  <c r="AO263" i="30"/>
  <c r="AN263" i="30"/>
  <c r="AL263" i="30"/>
  <c r="AJ263" i="30"/>
  <c r="AI263" i="30"/>
  <c r="AH263" i="30"/>
  <c r="AG263" i="30"/>
  <c r="AA263" i="30"/>
  <c r="X263" i="30"/>
  <c r="Z263" i="30" s="1"/>
  <c r="W263" i="30"/>
  <c r="AQ262" i="30"/>
  <c r="AS262" i="30" s="1"/>
  <c r="AP262" i="30"/>
  <c r="AO262" i="30"/>
  <c r="AN262" i="30"/>
  <c r="AJ262" i="30"/>
  <c r="AI262" i="30"/>
  <c r="AH262" i="30"/>
  <c r="AG262" i="30"/>
  <c r="AA262" i="30"/>
  <c r="X262" i="30"/>
  <c r="Z262" i="30" s="1"/>
  <c r="W262" i="30"/>
  <c r="AQ261" i="30"/>
  <c r="AR261" i="30" s="1"/>
  <c r="AP261" i="30"/>
  <c r="AO261" i="30"/>
  <c r="AN261" i="30"/>
  <c r="AH261" i="30"/>
  <c r="AG261" i="30"/>
  <c r="AA261" i="30"/>
  <c r="X261" i="30"/>
  <c r="Z261" i="30" s="1"/>
  <c r="W261" i="30"/>
  <c r="AQ260" i="30"/>
  <c r="AU260" i="30" s="1"/>
  <c r="AP260" i="30"/>
  <c r="AO260" i="30"/>
  <c r="AN260" i="30"/>
  <c r="AH260" i="30"/>
  <c r="AG260" i="30"/>
  <c r="AA260" i="30"/>
  <c r="X260" i="30"/>
  <c r="W260" i="30"/>
  <c r="AQ259" i="30"/>
  <c r="AT259" i="30" s="1"/>
  <c r="AP259" i="30"/>
  <c r="AH259" i="30" s="1"/>
  <c r="AO259" i="30"/>
  <c r="AN259" i="30"/>
  <c r="AG259" i="30" s="1"/>
  <c r="AA259" i="30"/>
  <c r="X259" i="30"/>
  <c r="Z259" i="30" s="1"/>
  <c r="W259" i="30"/>
  <c r="AQ258" i="30"/>
  <c r="AU258" i="30" s="1"/>
  <c r="AP258" i="30"/>
  <c r="AH258" i="30" s="1"/>
  <c r="AJ258" i="30" s="1"/>
  <c r="AO258" i="30"/>
  <c r="AN258" i="30"/>
  <c r="AG258" i="30" s="1"/>
  <c r="AA258" i="30"/>
  <c r="X258" i="30"/>
  <c r="Z258" i="30" s="1"/>
  <c r="W258" i="30"/>
  <c r="AQ257" i="30"/>
  <c r="AT257" i="30" s="1"/>
  <c r="AP257" i="30"/>
  <c r="AO257" i="30"/>
  <c r="AN257" i="30"/>
  <c r="AG257" i="30" s="1"/>
  <c r="AH257" i="30"/>
  <c r="AL257" i="30" s="1"/>
  <c r="AA257" i="30"/>
  <c r="X257" i="30"/>
  <c r="Z257" i="30" s="1"/>
  <c r="W257" i="30"/>
  <c r="AQ256" i="30"/>
  <c r="AR256" i="30" s="1"/>
  <c r="AP256" i="30"/>
  <c r="AO256" i="30"/>
  <c r="AN256" i="30"/>
  <c r="AG256" i="30" s="1"/>
  <c r="AH256" i="30"/>
  <c r="AJ256" i="30" s="1"/>
  <c r="AA256" i="30"/>
  <c r="X256" i="30"/>
  <c r="Z256" i="30" s="1"/>
  <c r="W256" i="30"/>
  <c r="AQ255" i="30"/>
  <c r="AU255" i="30" s="1"/>
  <c r="AP255" i="30"/>
  <c r="AO255" i="30"/>
  <c r="AN255" i="30"/>
  <c r="AG255" i="30" s="1"/>
  <c r="AH255" i="30"/>
  <c r="AJ255" i="30" s="1"/>
  <c r="AA255" i="30"/>
  <c r="X255" i="30"/>
  <c r="Z255" i="30" s="1"/>
  <c r="W255" i="30"/>
  <c r="AQ254" i="30"/>
  <c r="AP254" i="30"/>
  <c r="AO254" i="30"/>
  <c r="AN254" i="30"/>
  <c r="AG254" i="30" s="1"/>
  <c r="AH254" i="30"/>
  <c r="AI254" i="30" s="1"/>
  <c r="AA254" i="30"/>
  <c r="X254" i="30"/>
  <c r="Y254" i="30" s="1"/>
  <c r="W254" i="30"/>
  <c r="AQ253" i="30"/>
  <c r="AT253" i="30" s="1"/>
  <c r="AP253" i="30"/>
  <c r="AH253" i="30" s="1"/>
  <c r="AL253" i="30" s="1"/>
  <c r="AO253" i="30"/>
  <c r="AN253" i="30"/>
  <c r="AG253" i="30" s="1"/>
  <c r="AA253" i="30"/>
  <c r="X253" i="30"/>
  <c r="Y253" i="30" s="1"/>
  <c r="W253" i="30"/>
  <c r="V253" i="30"/>
  <c r="AQ252" i="30"/>
  <c r="AP252" i="30"/>
  <c r="AH252" i="30" s="1"/>
  <c r="AL252" i="30" s="1"/>
  <c r="O11" i="30" s="1"/>
  <c r="AO252" i="30"/>
  <c r="AN252" i="30"/>
  <c r="AG252" i="30" s="1"/>
  <c r="AA252" i="30"/>
  <c r="AQ250" i="30"/>
  <c r="AS250" i="30" s="1"/>
  <c r="AP250" i="30"/>
  <c r="AO250" i="30"/>
  <c r="AN250" i="30"/>
  <c r="AG250" i="30" s="1"/>
  <c r="AH250" i="30"/>
  <c r="AA250" i="30"/>
  <c r="X250" i="30"/>
  <c r="Y250" i="30" s="1"/>
  <c r="W250" i="30"/>
  <c r="AQ249" i="30"/>
  <c r="AU249" i="30" s="1"/>
  <c r="AP249" i="30"/>
  <c r="AO249" i="30"/>
  <c r="AN249" i="30"/>
  <c r="AG249" i="30" s="1"/>
  <c r="AH249" i="30"/>
  <c r="AJ249" i="30" s="1"/>
  <c r="AA249" i="30"/>
  <c r="X249" i="30"/>
  <c r="Z249" i="30" s="1"/>
  <c r="W249" i="30"/>
  <c r="AQ248" i="30"/>
  <c r="AU248" i="30" s="1"/>
  <c r="AP248" i="30"/>
  <c r="AO248" i="30"/>
  <c r="AN248" i="30"/>
  <c r="AM248" i="30"/>
  <c r="AL248" i="30"/>
  <c r="AJ248" i="30"/>
  <c r="AI248" i="30"/>
  <c r="AH248" i="30"/>
  <c r="AG248" i="30"/>
  <c r="AA248" i="30"/>
  <c r="X248" i="30"/>
  <c r="Y248" i="30" s="1"/>
  <c r="W248" i="30"/>
  <c r="AQ247" i="30"/>
  <c r="AP247" i="30"/>
  <c r="AO247" i="30"/>
  <c r="AN247" i="30"/>
  <c r="AM247" i="30"/>
  <c r="AL247" i="30"/>
  <c r="AJ247" i="30"/>
  <c r="AI247" i="30"/>
  <c r="AH247" i="30"/>
  <c r="AG247" i="30"/>
  <c r="AA247" i="30"/>
  <c r="X247" i="30"/>
  <c r="Z247" i="30" s="1"/>
  <c r="W247" i="30"/>
  <c r="AQ246" i="30"/>
  <c r="AR246" i="30" s="1"/>
  <c r="AP246" i="30"/>
  <c r="AO246" i="30"/>
  <c r="AN246" i="30"/>
  <c r="AM246" i="30"/>
  <c r="AL246" i="30"/>
  <c r="AJ246" i="30"/>
  <c r="AI246" i="30"/>
  <c r="AH246" i="30"/>
  <c r="AG246" i="30"/>
  <c r="AA246" i="30"/>
  <c r="X246" i="30"/>
  <c r="Z246" i="30" s="1"/>
  <c r="W246" i="30"/>
  <c r="AQ245" i="30"/>
  <c r="AP245" i="30"/>
  <c r="AO245" i="30"/>
  <c r="AN245" i="30"/>
  <c r="AM245" i="30"/>
  <c r="AL245" i="30"/>
  <c r="AJ245" i="30"/>
  <c r="AI245" i="30"/>
  <c r="AH245" i="30"/>
  <c r="AG245" i="30"/>
  <c r="AA245" i="30"/>
  <c r="X245" i="30"/>
  <c r="Z245" i="30" s="1"/>
  <c r="W245" i="30"/>
  <c r="AQ244" i="30"/>
  <c r="AR244" i="30" s="1"/>
  <c r="AP244" i="30"/>
  <c r="AO244" i="30"/>
  <c r="AN244" i="30"/>
  <c r="AM244" i="30"/>
  <c r="AL244" i="30"/>
  <c r="AJ244" i="30"/>
  <c r="AI244" i="30"/>
  <c r="AH244" i="30"/>
  <c r="AG244" i="30"/>
  <c r="AA244" i="30"/>
  <c r="X244" i="30"/>
  <c r="W244" i="30"/>
  <c r="AQ243" i="30"/>
  <c r="AU243" i="30" s="1"/>
  <c r="AP243" i="30"/>
  <c r="AO243" i="30"/>
  <c r="AN243" i="30"/>
  <c r="AM243" i="30"/>
  <c r="AL243" i="30"/>
  <c r="AJ243" i="30"/>
  <c r="AI243" i="30"/>
  <c r="AH243" i="30"/>
  <c r="AG243" i="30"/>
  <c r="AA243" i="30"/>
  <c r="X243" i="30"/>
  <c r="Z243" i="30" s="1"/>
  <c r="W243" i="30"/>
  <c r="AQ242" i="30"/>
  <c r="AR242" i="30" s="1"/>
  <c r="AP242" i="30"/>
  <c r="AO242" i="30"/>
  <c r="AN242" i="30"/>
  <c r="AM242" i="30"/>
  <c r="AL242" i="30"/>
  <c r="AJ242" i="30"/>
  <c r="AI242" i="30"/>
  <c r="AH242" i="30"/>
  <c r="AG242" i="30"/>
  <c r="AA242" i="30"/>
  <c r="X242" i="30"/>
  <c r="Z242" i="30" s="1"/>
  <c r="W242" i="30"/>
  <c r="AQ241" i="30"/>
  <c r="AS241" i="30" s="1"/>
  <c r="AP241" i="30"/>
  <c r="AO241" i="30"/>
  <c r="AN241" i="30"/>
  <c r="AM241" i="30"/>
  <c r="AL241" i="30"/>
  <c r="AJ241" i="30"/>
  <c r="AI241" i="30"/>
  <c r="AH241" i="30"/>
  <c r="AG241" i="30"/>
  <c r="AA241" i="30"/>
  <c r="X241" i="30"/>
  <c r="Z241" i="30" s="1"/>
  <c r="W241" i="30"/>
  <c r="AQ240" i="30"/>
  <c r="AT240" i="30" s="1"/>
  <c r="AP240" i="30"/>
  <c r="AO240" i="30"/>
  <c r="AN240" i="30"/>
  <c r="AM240" i="30"/>
  <c r="AL240" i="30"/>
  <c r="AJ240" i="30"/>
  <c r="AI240" i="30"/>
  <c r="AH240" i="30"/>
  <c r="AG240" i="30"/>
  <c r="AA240" i="30"/>
  <c r="X240" i="30"/>
  <c r="W240" i="30"/>
  <c r="AQ239" i="30"/>
  <c r="AS239" i="30" s="1"/>
  <c r="AP239" i="30"/>
  <c r="AO239" i="30"/>
  <c r="AN239" i="30"/>
  <c r="AM239" i="30"/>
  <c r="AL239" i="30"/>
  <c r="AJ239" i="30"/>
  <c r="AI239" i="30"/>
  <c r="AH239" i="30"/>
  <c r="AG239" i="30"/>
  <c r="AA239" i="30"/>
  <c r="X239" i="30"/>
  <c r="W239" i="30"/>
  <c r="AQ238" i="30"/>
  <c r="AR238" i="30" s="1"/>
  <c r="AP238" i="30"/>
  <c r="AO238" i="30"/>
  <c r="AN238" i="30"/>
  <c r="AM238" i="30"/>
  <c r="AL238" i="30"/>
  <c r="AJ238" i="30"/>
  <c r="AI238" i="30"/>
  <c r="AH238" i="30"/>
  <c r="AG238" i="30"/>
  <c r="AA238" i="30"/>
  <c r="X238" i="30"/>
  <c r="Z238" i="30" s="1"/>
  <c r="W238" i="30"/>
  <c r="AQ237" i="30"/>
  <c r="AU237" i="30" s="1"/>
  <c r="AP237" i="30"/>
  <c r="AO237" i="30"/>
  <c r="AN237" i="30"/>
  <c r="AM237" i="30"/>
  <c r="AL237" i="30"/>
  <c r="AJ237" i="30"/>
  <c r="AI237" i="30"/>
  <c r="AH237" i="30"/>
  <c r="AG237" i="30"/>
  <c r="AA237" i="30"/>
  <c r="X237" i="30"/>
  <c r="Z237" i="30" s="1"/>
  <c r="W237" i="30"/>
  <c r="AQ236" i="30"/>
  <c r="AS236" i="30" s="1"/>
  <c r="AP236" i="30"/>
  <c r="AO236" i="30"/>
  <c r="AN236" i="30"/>
  <c r="AM236" i="30"/>
  <c r="AL236" i="30"/>
  <c r="AJ236" i="30"/>
  <c r="AI236" i="30"/>
  <c r="AH236" i="30"/>
  <c r="AG236" i="30"/>
  <c r="AA236" i="30"/>
  <c r="X236" i="30"/>
  <c r="W236" i="30"/>
  <c r="AQ235" i="30"/>
  <c r="AR235" i="30" s="1"/>
  <c r="AP235" i="30"/>
  <c r="AO235" i="30"/>
  <c r="AN235" i="30"/>
  <c r="AM235" i="30"/>
  <c r="AL235" i="30"/>
  <c r="AJ235" i="30"/>
  <c r="AI235" i="30"/>
  <c r="AH235" i="30"/>
  <c r="AG235" i="30"/>
  <c r="AA235" i="30"/>
  <c r="X235" i="30"/>
  <c r="Y235" i="30" s="1"/>
  <c r="W235" i="30"/>
  <c r="AQ234" i="30"/>
  <c r="AT234" i="30" s="1"/>
  <c r="AP234" i="30"/>
  <c r="AO234" i="30"/>
  <c r="AN234" i="30"/>
  <c r="AM234" i="30"/>
  <c r="AL234" i="30"/>
  <c r="AJ234" i="30"/>
  <c r="AI234" i="30"/>
  <c r="AH234" i="30"/>
  <c r="AG234" i="30"/>
  <c r="AA234" i="30"/>
  <c r="X234" i="30"/>
  <c r="Y234" i="30" s="1"/>
  <c r="W234" i="30"/>
  <c r="AQ233" i="30"/>
  <c r="AP233" i="30"/>
  <c r="AO233" i="30"/>
  <c r="AN233" i="30"/>
  <c r="AM233" i="30"/>
  <c r="AL233" i="30"/>
  <c r="AJ233" i="30"/>
  <c r="AI233" i="30"/>
  <c r="AH233" i="30"/>
  <c r="AG233" i="30"/>
  <c r="AA233" i="30"/>
  <c r="X233" i="30"/>
  <c r="Z233" i="30" s="1"/>
  <c r="W233" i="30"/>
  <c r="AQ232" i="30"/>
  <c r="AP232" i="30"/>
  <c r="AO232" i="30"/>
  <c r="AN232" i="30"/>
  <c r="AH232" i="30"/>
  <c r="AJ232" i="30" s="1"/>
  <c r="AG232" i="30"/>
  <c r="AA232" i="30"/>
  <c r="X232" i="30"/>
  <c r="Z232" i="30" s="1"/>
  <c r="W232" i="30"/>
  <c r="AQ231" i="30"/>
  <c r="AP231" i="30"/>
  <c r="AO231" i="30"/>
  <c r="AN231" i="30"/>
  <c r="AL231" i="30"/>
  <c r="AH231" i="30"/>
  <c r="AJ231" i="30" s="1"/>
  <c r="AG231" i="30"/>
  <c r="AA231" i="30"/>
  <c r="X231" i="30"/>
  <c r="Y231" i="30" s="1"/>
  <c r="W231" i="30"/>
  <c r="AQ230" i="30"/>
  <c r="AR230" i="30" s="1"/>
  <c r="AP230" i="30"/>
  <c r="AO230" i="30"/>
  <c r="AN230" i="30"/>
  <c r="AH230" i="30"/>
  <c r="AG230" i="30"/>
  <c r="AA230" i="30"/>
  <c r="X230" i="30"/>
  <c r="Z230" i="30" s="1"/>
  <c r="W230" i="30"/>
  <c r="AQ229" i="30"/>
  <c r="AT229" i="30" s="1"/>
  <c r="AP229" i="30"/>
  <c r="AO229" i="30"/>
  <c r="AN229" i="30"/>
  <c r="AG229" i="30" s="1"/>
  <c r="AH229" i="30"/>
  <c r="AA229" i="30"/>
  <c r="X229" i="30"/>
  <c r="Z229" i="30" s="1"/>
  <c r="W229" i="30"/>
  <c r="AQ228" i="30"/>
  <c r="AT228" i="30" s="1"/>
  <c r="AP228" i="30"/>
  <c r="AH228" i="30" s="1"/>
  <c r="AO228" i="30"/>
  <c r="AN228" i="30"/>
  <c r="AG228" i="30" s="1"/>
  <c r="AA228" i="30"/>
  <c r="X228" i="30"/>
  <c r="Z228" i="30" s="1"/>
  <c r="W228" i="30"/>
  <c r="AQ227" i="30"/>
  <c r="AS227" i="30" s="1"/>
  <c r="AP227" i="30"/>
  <c r="AO227" i="30"/>
  <c r="AN227" i="30"/>
  <c r="AG227" i="30" s="1"/>
  <c r="AH227" i="30"/>
  <c r="AL227" i="30" s="1"/>
  <c r="AA227" i="30"/>
  <c r="X227" i="30"/>
  <c r="Y227" i="30" s="1"/>
  <c r="W227" i="30"/>
  <c r="AQ226" i="30"/>
  <c r="AU226" i="30" s="1"/>
  <c r="AP226" i="30"/>
  <c r="AO226" i="30"/>
  <c r="AN226" i="30"/>
  <c r="AG226" i="30" s="1"/>
  <c r="AH226" i="30"/>
  <c r="AL226" i="30" s="1"/>
  <c r="AA226" i="30"/>
  <c r="X226" i="30"/>
  <c r="Z226" i="30" s="1"/>
  <c r="W226" i="30"/>
  <c r="AQ225" i="30"/>
  <c r="AS225" i="30" s="1"/>
  <c r="AP225" i="30"/>
  <c r="AO225" i="30"/>
  <c r="AN225" i="30"/>
  <c r="AG225" i="30" s="1"/>
  <c r="AH225" i="30"/>
  <c r="AL225" i="30" s="1"/>
  <c r="AA225" i="30"/>
  <c r="X225" i="30"/>
  <c r="Z225" i="30" s="1"/>
  <c r="W225" i="30"/>
  <c r="AQ224" i="30"/>
  <c r="AP224" i="30"/>
  <c r="AO224" i="30"/>
  <c r="AN224" i="30"/>
  <c r="AG224" i="30" s="1"/>
  <c r="AH224" i="30"/>
  <c r="AL224" i="30" s="1"/>
  <c r="AA224" i="30"/>
  <c r="X224" i="30"/>
  <c r="Z224" i="30" s="1"/>
  <c r="W224" i="30"/>
  <c r="AQ223" i="30"/>
  <c r="AT223" i="30" s="1"/>
  <c r="AP223" i="30"/>
  <c r="AH223" i="30" s="1"/>
  <c r="AO223" i="30"/>
  <c r="AN223" i="30"/>
  <c r="AG223" i="30" s="1"/>
  <c r="AA223" i="30"/>
  <c r="X223" i="30"/>
  <c r="Y223" i="30" s="1"/>
  <c r="W223" i="30"/>
  <c r="AQ222" i="30"/>
  <c r="AU222" i="30" s="1"/>
  <c r="AP222" i="30"/>
  <c r="AO222" i="30"/>
  <c r="AN222" i="30"/>
  <c r="AG222" i="30" s="1"/>
  <c r="AH222" i="30"/>
  <c r="AL222" i="30" s="1"/>
  <c r="AA222" i="30"/>
  <c r="X222" i="30"/>
  <c r="Z222" i="30" s="1"/>
  <c r="W222" i="30"/>
  <c r="AQ221" i="30"/>
  <c r="AU221" i="30" s="1"/>
  <c r="AP221" i="30"/>
  <c r="AH221" i="30" s="1"/>
  <c r="AO221" i="30"/>
  <c r="AN221" i="30"/>
  <c r="AG221" i="30" s="1"/>
  <c r="AA221" i="30"/>
  <c r="X221" i="30"/>
  <c r="Z221" i="30" s="1"/>
  <c r="W221" i="30"/>
  <c r="AQ220" i="30"/>
  <c r="AP220" i="30"/>
  <c r="AO220" i="30"/>
  <c r="AN220" i="30"/>
  <c r="AG220" i="30" s="1"/>
  <c r="AH220" i="30"/>
  <c r="AA220" i="30"/>
  <c r="X220" i="30"/>
  <c r="Z220" i="30" s="1"/>
  <c r="W220" i="30"/>
  <c r="AQ219" i="30"/>
  <c r="AP219" i="30"/>
  <c r="AO219" i="30"/>
  <c r="AN219" i="30"/>
  <c r="AG219" i="30" s="1"/>
  <c r="AH219" i="30"/>
  <c r="AJ219" i="30" s="1"/>
  <c r="AA219" i="30"/>
  <c r="X219" i="30"/>
  <c r="Y219" i="30" s="1"/>
  <c r="W219" i="30"/>
  <c r="AQ218" i="30"/>
  <c r="AP218" i="30"/>
  <c r="AO218" i="30"/>
  <c r="AN218" i="30"/>
  <c r="AG218" i="30" s="1"/>
  <c r="AH218" i="30"/>
  <c r="AA218" i="30"/>
  <c r="X218" i="30"/>
  <c r="Z218" i="30" s="1"/>
  <c r="W218" i="30"/>
  <c r="AQ217" i="30"/>
  <c r="AS217" i="30" s="1"/>
  <c r="AP217" i="30"/>
  <c r="AO217" i="30"/>
  <c r="AN217" i="30"/>
  <c r="AG217" i="30" s="1"/>
  <c r="AH217" i="30"/>
  <c r="AA217" i="30"/>
  <c r="X217" i="30"/>
  <c r="W217" i="30"/>
  <c r="V217" i="30"/>
  <c r="AQ216" i="30"/>
  <c r="AS216" i="30" s="1"/>
  <c r="AP216" i="30"/>
  <c r="AH216" i="30" s="1"/>
  <c r="AL216" i="30" s="1"/>
  <c r="O10" i="30" s="1"/>
  <c r="AO216" i="30"/>
  <c r="AN216" i="30"/>
  <c r="AG216" i="30" s="1"/>
  <c r="AA216" i="30"/>
  <c r="AQ214" i="30"/>
  <c r="AU214" i="30" s="1"/>
  <c r="AP214" i="30"/>
  <c r="AO214" i="30"/>
  <c r="AN214" i="30"/>
  <c r="AM214" i="30"/>
  <c r="AL214" i="30"/>
  <c r="AJ214" i="30"/>
  <c r="AI214" i="30"/>
  <c r="AH214" i="30"/>
  <c r="AG214" i="30"/>
  <c r="AA214" i="30"/>
  <c r="X214" i="30"/>
  <c r="W214" i="30"/>
  <c r="AQ213" i="30"/>
  <c r="AR213" i="30" s="1"/>
  <c r="AP213" i="30"/>
  <c r="AO213" i="30"/>
  <c r="AN213" i="30"/>
  <c r="AM213" i="30"/>
  <c r="AL213" i="30"/>
  <c r="AJ213" i="30"/>
  <c r="AI213" i="30"/>
  <c r="AH213" i="30"/>
  <c r="AG213" i="30"/>
  <c r="AA213" i="30"/>
  <c r="X213" i="30"/>
  <c r="Z213" i="30" s="1"/>
  <c r="W213" i="30"/>
  <c r="AQ212" i="30"/>
  <c r="AU212" i="30" s="1"/>
  <c r="AP212" i="30"/>
  <c r="AO212" i="30"/>
  <c r="AN212" i="30"/>
  <c r="AM212" i="30"/>
  <c r="AL212" i="30"/>
  <c r="AJ212" i="30"/>
  <c r="AI212" i="30"/>
  <c r="AH212" i="30"/>
  <c r="AG212" i="30"/>
  <c r="AA212" i="30"/>
  <c r="X212" i="30"/>
  <c r="Z212" i="30" s="1"/>
  <c r="W212" i="30"/>
  <c r="AQ211" i="30"/>
  <c r="AU211" i="30" s="1"/>
  <c r="AP211" i="30"/>
  <c r="AO211" i="30"/>
  <c r="AN211" i="30"/>
  <c r="AM211" i="30"/>
  <c r="AL211" i="30"/>
  <c r="AJ211" i="30"/>
  <c r="AI211" i="30"/>
  <c r="AH211" i="30"/>
  <c r="AG211" i="30"/>
  <c r="AA211" i="30"/>
  <c r="X211" i="30"/>
  <c r="Z211" i="30" s="1"/>
  <c r="W211" i="30"/>
  <c r="AQ210" i="30"/>
  <c r="AS210" i="30" s="1"/>
  <c r="AP210" i="30"/>
  <c r="AO210" i="30"/>
  <c r="AN210" i="30"/>
  <c r="AM210" i="30"/>
  <c r="AL210" i="30"/>
  <c r="AJ210" i="30"/>
  <c r="AI210" i="30"/>
  <c r="AH210" i="30"/>
  <c r="AG210" i="30"/>
  <c r="AA210" i="30"/>
  <c r="X210" i="30"/>
  <c r="W210" i="30"/>
  <c r="AQ209" i="30"/>
  <c r="AS209" i="30" s="1"/>
  <c r="AP209" i="30"/>
  <c r="AO209" i="30"/>
  <c r="AN209" i="30"/>
  <c r="AM209" i="30"/>
  <c r="AL209" i="30"/>
  <c r="AJ209" i="30"/>
  <c r="AI209" i="30"/>
  <c r="AH209" i="30"/>
  <c r="AG209" i="30"/>
  <c r="AA209" i="30"/>
  <c r="X209" i="30"/>
  <c r="W209" i="30"/>
  <c r="AQ208" i="30"/>
  <c r="AT208" i="30" s="1"/>
  <c r="AP208" i="30"/>
  <c r="AO208" i="30"/>
  <c r="AN208" i="30"/>
  <c r="AM208" i="30"/>
  <c r="AL208" i="30"/>
  <c r="AJ208" i="30"/>
  <c r="AI208" i="30"/>
  <c r="AH208" i="30"/>
  <c r="AG208" i="30"/>
  <c r="AA208" i="30"/>
  <c r="X208" i="30"/>
  <c r="Y208" i="30" s="1"/>
  <c r="W208" i="30"/>
  <c r="AQ207" i="30"/>
  <c r="AP207" i="30"/>
  <c r="AO207" i="30"/>
  <c r="AN207" i="30"/>
  <c r="AM207" i="30"/>
  <c r="AL207" i="30"/>
  <c r="AJ207" i="30"/>
  <c r="AI207" i="30"/>
  <c r="AH207" i="30"/>
  <c r="AG207" i="30"/>
  <c r="AA207" i="30"/>
  <c r="X207" i="30"/>
  <c r="Z207" i="30" s="1"/>
  <c r="W207" i="30"/>
  <c r="AQ206" i="30"/>
  <c r="AU206" i="30" s="1"/>
  <c r="AP206" i="30"/>
  <c r="AO206" i="30"/>
  <c r="AN206" i="30"/>
  <c r="AM206" i="30"/>
  <c r="AL206" i="30"/>
  <c r="AJ206" i="30"/>
  <c r="AI206" i="30"/>
  <c r="AH206" i="30"/>
  <c r="AG206" i="30"/>
  <c r="AA206" i="30"/>
  <c r="X206" i="30"/>
  <c r="Z206" i="30" s="1"/>
  <c r="W206" i="30"/>
  <c r="AQ205" i="30"/>
  <c r="AT205" i="30" s="1"/>
  <c r="AP205" i="30"/>
  <c r="AO205" i="30"/>
  <c r="AN205" i="30"/>
  <c r="AM205" i="30"/>
  <c r="AL205" i="30"/>
  <c r="AJ205" i="30"/>
  <c r="AI205" i="30"/>
  <c r="AH205" i="30"/>
  <c r="AG205" i="30"/>
  <c r="AA205" i="30"/>
  <c r="X205" i="30"/>
  <c r="Z205" i="30" s="1"/>
  <c r="W205" i="30"/>
  <c r="AQ204" i="30"/>
  <c r="AU204" i="30" s="1"/>
  <c r="AP204" i="30"/>
  <c r="AO204" i="30"/>
  <c r="AN204" i="30"/>
  <c r="AM204" i="30"/>
  <c r="AL204" i="30"/>
  <c r="AJ204" i="30"/>
  <c r="AI204" i="30"/>
  <c r="AH204" i="30"/>
  <c r="AG204" i="30"/>
  <c r="AA204" i="30"/>
  <c r="X204" i="30"/>
  <c r="Z204" i="30" s="1"/>
  <c r="W204" i="30"/>
  <c r="AQ203" i="30"/>
  <c r="AU203" i="30" s="1"/>
  <c r="AP203" i="30"/>
  <c r="AO203" i="30"/>
  <c r="AN203" i="30"/>
  <c r="AM203" i="30"/>
  <c r="AL203" i="30"/>
  <c r="AJ203" i="30"/>
  <c r="AI203" i="30"/>
  <c r="AH203" i="30"/>
  <c r="AG203" i="30"/>
  <c r="AA203" i="30"/>
  <c r="X203" i="30"/>
  <c r="W203" i="30"/>
  <c r="AQ202" i="30"/>
  <c r="AU202" i="30" s="1"/>
  <c r="AP202" i="30"/>
  <c r="AO202" i="30"/>
  <c r="AN202" i="30"/>
  <c r="AM202" i="30"/>
  <c r="AL202" i="30"/>
  <c r="AJ202" i="30"/>
  <c r="AI202" i="30"/>
  <c r="AH202" i="30"/>
  <c r="AG202" i="30"/>
  <c r="AA202" i="30"/>
  <c r="X202" i="30"/>
  <c r="Z202" i="30" s="1"/>
  <c r="W202" i="30"/>
  <c r="AQ201" i="30"/>
  <c r="AU201" i="30" s="1"/>
  <c r="AP201" i="30"/>
  <c r="AO201" i="30"/>
  <c r="AN201" i="30"/>
  <c r="AM201" i="30"/>
  <c r="AL201" i="30"/>
  <c r="AJ201" i="30"/>
  <c r="AI201" i="30"/>
  <c r="AH201" i="30"/>
  <c r="AG201" i="30"/>
  <c r="AA201" i="30"/>
  <c r="X201" i="30"/>
  <c r="Z201" i="30" s="1"/>
  <c r="W201" i="30"/>
  <c r="AQ200" i="30"/>
  <c r="AT200" i="30" s="1"/>
  <c r="AP200" i="30"/>
  <c r="AO200" i="30"/>
  <c r="AN200" i="30"/>
  <c r="AM200" i="30"/>
  <c r="AL200" i="30"/>
  <c r="AJ200" i="30"/>
  <c r="AI200" i="30"/>
  <c r="AH200" i="30"/>
  <c r="AG200" i="30"/>
  <c r="AA200" i="30"/>
  <c r="X200" i="30"/>
  <c r="W200" i="30"/>
  <c r="AQ199" i="30"/>
  <c r="AU199" i="30" s="1"/>
  <c r="AP199" i="30"/>
  <c r="AO199" i="30"/>
  <c r="AN199" i="30"/>
  <c r="AM199" i="30"/>
  <c r="AL199" i="30"/>
  <c r="AJ199" i="30"/>
  <c r="AI199" i="30"/>
  <c r="AH199" i="30"/>
  <c r="AG199" i="30"/>
  <c r="AA199" i="30"/>
  <c r="X199" i="30"/>
  <c r="Y199" i="30" s="1"/>
  <c r="W199" i="30"/>
  <c r="AQ198" i="30"/>
  <c r="AU198" i="30" s="1"/>
  <c r="AP198" i="30"/>
  <c r="AO198" i="30"/>
  <c r="AN198" i="30"/>
  <c r="AM198" i="30"/>
  <c r="AL198" i="30"/>
  <c r="AJ198" i="30"/>
  <c r="AI198" i="30"/>
  <c r="AH198" i="30"/>
  <c r="AG198" i="30"/>
  <c r="AA198" i="30"/>
  <c r="X198" i="30"/>
  <c r="W198" i="30"/>
  <c r="AQ197" i="30"/>
  <c r="AU197" i="30" s="1"/>
  <c r="AP197" i="30"/>
  <c r="AO197" i="30"/>
  <c r="AN197" i="30"/>
  <c r="AM197" i="30"/>
  <c r="AL197" i="30"/>
  <c r="AJ197" i="30"/>
  <c r="AI197" i="30"/>
  <c r="AH197" i="30"/>
  <c r="AG197" i="30"/>
  <c r="AA197" i="30"/>
  <c r="X197" i="30"/>
  <c r="W197" i="30"/>
  <c r="AQ196" i="30"/>
  <c r="AP196" i="30"/>
  <c r="AO196" i="30"/>
  <c r="AN196" i="30"/>
  <c r="AM196" i="30"/>
  <c r="AL196" i="30"/>
  <c r="AJ196" i="30"/>
  <c r="AI196" i="30"/>
  <c r="AH196" i="30"/>
  <c r="AG196" i="30"/>
  <c r="AA196" i="30"/>
  <c r="X196" i="30"/>
  <c r="Z196" i="30" s="1"/>
  <c r="W196" i="30"/>
  <c r="AQ195" i="30"/>
  <c r="AR195" i="30" s="1"/>
  <c r="AP195" i="30"/>
  <c r="AO195" i="30"/>
  <c r="AN195" i="30"/>
  <c r="AM195" i="30"/>
  <c r="AL195" i="30"/>
  <c r="AJ195" i="30"/>
  <c r="AI195" i="30"/>
  <c r="AH195" i="30"/>
  <c r="AG195" i="30"/>
  <c r="AA195" i="30"/>
  <c r="X195" i="30"/>
  <c r="Z195" i="30" s="1"/>
  <c r="W195" i="30"/>
  <c r="AQ194" i="30"/>
  <c r="AS194" i="30" s="1"/>
  <c r="AP194" i="30"/>
  <c r="AO194" i="30"/>
  <c r="AN194" i="30"/>
  <c r="AM194" i="30"/>
  <c r="AL194" i="30"/>
  <c r="AJ194" i="30"/>
  <c r="AI194" i="30"/>
  <c r="AH194" i="30"/>
  <c r="AG194" i="30"/>
  <c r="AA194" i="30"/>
  <c r="X194" i="30"/>
  <c r="W194" i="30"/>
  <c r="AQ193" i="30"/>
  <c r="AU193" i="30" s="1"/>
  <c r="AP193" i="30"/>
  <c r="AO193" i="30"/>
  <c r="AN193" i="30"/>
  <c r="AM193" i="30"/>
  <c r="AL193" i="30"/>
  <c r="AJ193" i="30"/>
  <c r="AI193" i="30"/>
  <c r="AH193" i="30"/>
  <c r="AG193" i="30"/>
  <c r="AA193" i="30"/>
  <c r="X193" i="30"/>
  <c r="W193" i="30"/>
  <c r="AQ192" i="30"/>
  <c r="AP192" i="30"/>
  <c r="AO192" i="30"/>
  <c r="AN192" i="30"/>
  <c r="AM192" i="30"/>
  <c r="AL192" i="30"/>
  <c r="AJ192" i="30"/>
  <c r="AI192" i="30"/>
  <c r="AH192" i="30"/>
  <c r="AG192" i="30"/>
  <c r="AA192" i="30"/>
  <c r="X192" i="30"/>
  <c r="W192" i="30"/>
  <c r="AQ191" i="30"/>
  <c r="AR191" i="30" s="1"/>
  <c r="AP191" i="30"/>
  <c r="AO191" i="30"/>
  <c r="AN191" i="30"/>
  <c r="AJ191" i="30"/>
  <c r="AI191" i="30"/>
  <c r="AH191" i="30"/>
  <c r="AL191" i="30" s="1"/>
  <c r="AG191" i="30"/>
  <c r="AM191" i="30" s="1"/>
  <c r="AA191" i="30"/>
  <c r="X191" i="30"/>
  <c r="Y191" i="30" s="1"/>
  <c r="W191" i="30"/>
  <c r="AQ190" i="30"/>
  <c r="AS190" i="30" s="1"/>
  <c r="AP190" i="30"/>
  <c r="AO190" i="30"/>
  <c r="AN190" i="30"/>
  <c r="AL190" i="30"/>
  <c r="AJ190" i="30"/>
  <c r="AI190" i="30"/>
  <c r="AH190" i="30"/>
  <c r="AG190" i="30"/>
  <c r="AA190" i="30"/>
  <c r="X190" i="30"/>
  <c r="Z190" i="30" s="1"/>
  <c r="W190" i="30"/>
  <c r="AQ189" i="30"/>
  <c r="AS189" i="30" s="1"/>
  <c r="AP189" i="30"/>
  <c r="AO189" i="30"/>
  <c r="AN189" i="30"/>
  <c r="AH189" i="30"/>
  <c r="AJ189" i="30" s="1"/>
  <c r="AG189" i="30"/>
  <c r="AA189" i="30"/>
  <c r="X189" i="30"/>
  <c r="W189" i="30"/>
  <c r="AQ188" i="30"/>
  <c r="AT188" i="30" s="1"/>
  <c r="AP188" i="30"/>
  <c r="AH188" i="30" s="1"/>
  <c r="AL188" i="30" s="1"/>
  <c r="AO188" i="30"/>
  <c r="AN188" i="30"/>
  <c r="AG188" i="30" s="1"/>
  <c r="AA188" i="30"/>
  <c r="X188" i="30"/>
  <c r="W188" i="30"/>
  <c r="AQ187" i="30"/>
  <c r="AT187" i="30" s="1"/>
  <c r="AP187" i="30"/>
  <c r="AH187" i="30" s="1"/>
  <c r="AJ187" i="30" s="1"/>
  <c r="AA187" i="30"/>
  <c r="X187" i="30"/>
  <c r="W187" i="30"/>
  <c r="AQ186" i="30"/>
  <c r="AT186" i="30" s="1"/>
  <c r="AP186" i="30"/>
  <c r="AO186" i="30"/>
  <c r="AN186" i="30"/>
  <c r="AG186" i="30" s="1"/>
  <c r="AH186" i="30"/>
  <c r="AI186" i="30" s="1"/>
  <c r="AA186" i="30"/>
  <c r="X186" i="30"/>
  <c r="Y186" i="30" s="1"/>
  <c r="W186" i="30"/>
  <c r="AQ185" i="30"/>
  <c r="AU185" i="30" s="1"/>
  <c r="AP185" i="30"/>
  <c r="AH185" i="30" s="1"/>
  <c r="AO185" i="30"/>
  <c r="AN185" i="30"/>
  <c r="AG185" i="30" s="1"/>
  <c r="AA185" i="30"/>
  <c r="X185" i="30"/>
  <c r="Z185" i="30" s="1"/>
  <c r="W185" i="30"/>
  <c r="AQ184" i="30"/>
  <c r="AP184" i="30"/>
  <c r="AH184" i="30" s="1"/>
  <c r="AL184" i="30" s="1"/>
  <c r="AO184" i="30"/>
  <c r="AN184" i="30"/>
  <c r="AG184" i="30" s="1"/>
  <c r="AA184" i="30"/>
  <c r="X184" i="30"/>
  <c r="Y184" i="30" s="1"/>
  <c r="W184" i="30"/>
  <c r="AQ183" i="30"/>
  <c r="AT183" i="30" s="1"/>
  <c r="AP183" i="30"/>
  <c r="AO183" i="30"/>
  <c r="AN183" i="30"/>
  <c r="AG183" i="30" s="1"/>
  <c r="AH183" i="30"/>
  <c r="AL183" i="30" s="1"/>
  <c r="AA183" i="30"/>
  <c r="X183" i="30"/>
  <c r="Y183" i="30" s="1"/>
  <c r="W183" i="30"/>
  <c r="AQ182" i="30"/>
  <c r="AU182" i="30" s="1"/>
  <c r="AP182" i="30"/>
  <c r="AO182" i="30"/>
  <c r="AN182" i="30"/>
  <c r="AG182" i="30" s="1"/>
  <c r="AH182" i="30"/>
  <c r="AA182" i="30"/>
  <c r="X182" i="30"/>
  <c r="Z182" i="30" s="1"/>
  <c r="W182" i="30"/>
  <c r="AQ181" i="30"/>
  <c r="AU181" i="30" s="1"/>
  <c r="AP181" i="30"/>
  <c r="AO181" i="30"/>
  <c r="AN181" i="30"/>
  <c r="AG181" i="30" s="1"/>
  <c r="AH181" i="30"/>
  <c r="AI181" i="30" s="1"/>
  <c r="AA181" i="30"/>
  <c r="X181" i="30"/>
  <c r="Z181" i="30" s="1"/>
  <c r="W181" i="30"/>
  <c r="V181" i="30"/>
  <c r="AQ180" i="30"/>
  <c r="AP180" i="30"/>
  <c r="AO180" i="30"/>
  <c r="AN180" i="30"/>
  <c r="AG180" i="30" s="1"/>
  <c r="AH180" i="30"/>
  <c r="AJ180" i="30" s="1"/>
  <c r="AA180" i="30"/>
  <c r="AQ178" i="30"/>
  <c r="AS178" i="30" s="1"/>
  <c r="AP178" i="30"/>
  <c r="AO178" i="30"/>
  <c r="AN178" i="30"/>
  <c r="AG178" i="30" s="1"/>
  <c r="AH178" i="30"/>
  <c r="AI178" i="30" s="1"/>
  <c r="AA178" i="30"/>
  <c r="X178" i="30"/>
  <c r="Z178" i="30" s="1"/>
  <c r="W178" i="30"/>
  <c r="AQ177" i="30"/>
  <c r="AU177" i="30" s="1"/>
  <c r="AP177" i="30"/>
  <c r="AO177" i="30"/>
  <c r="AN177" i="30"/>
  <c r="AM177" i="30"/>
  <c r="AL177" i="30"/>
  <c r="AJ177" i="30"/>
  <c r="AI177" i="30"/>
  <c r="AH177" i="30"/>
  <c r="AG177" i="30"/>
  <c r="AA177" i="30"/>
  <c r="X177" i="30"/>
  <c r="Z177" i="30" s="1"/>
  <c r="W177" i="30"/>
  <c r="AQ176" i="30"/>
  <c r="AP176" i="30"/>
  <c r="AO176" i="30"/>
  <c r="AN176" i="30"/>
  <c r="AM176" i="30"/>
  <c r="AL176" i="30"/>
  <c r="AJ176" i="30"/>
  <c r="AI176" i="30"/>
  <c r="AH176" i="30"/>
  <c r="AG176" i="30"/>
  <c r="AA176" i="30"/>
  <c r="X176" i="30"/>
  <c r="Z176" i="30" s="1"/>
  <c r="W176" i="30"/>
  <c r="AQ175" i="30"/>
  <c r="AS175" i="30" s="1"/>
  <c r="AP175" i="30"/>
  <c r="AO175" i="30"/>
  <c r="AN175" i="30"/>
  <c r="AM175" i="30"/>
  <c r="AL175" i="30"/>
  <c r="AJ175" i="30"/>
  <c r="AI175" i="30"/>
  <c r="AH175" i="30"/>
  <c r="AG175" i="30"/>
  <c r="AA175" i="30"/>
  <c r="X175" i="30"/>
  <c r="Z175" i="30" s="1"/>
  <c r="W175" i="30"/>
  <c r="AQ174" i="30"/>
  <c r="AU174" i="30" s="1"/>
  <c r="AP174" i="30"/>
  <c r="AO174" i="30"/>
  <c r="AN174" i="30"/>
  <c r="AM174" i="30"/>
  <c r="AL174" i="30"/>
  <c r="AJ174" i="30"/>
  <c r="AI174" i="30"/>
  <c r="AH174" i="30"/>
  <c r="AG174" i="30"/>
  <c r="AA174" i="30"/>
  <c r="X174" i="30"/>
  <c r="Z174" i="30" s="1"/>
  <c r="W174" i="30"/>
  <c r="AQ173" i="30"/>
  <c r="AS173" i="30" s="1"/>
  <c r="AP173" i="30"/>
  <c r="AO173" i="30"/>
  <c r="AN173" i="30"/>
  <c r="AM173" i="30"/>
  <c r="AL173" i="30"/>
  <c r="AJ173" i="30"/>
  <c r="AI173" i="30"/>
  <c r="AH173" i="30"/>
  <c r="AG173" i="30"/>
  <c r="AA173" i="30"/>
  <c r="X173" i="30"/>
  <c r="Z173" i="30" s="1"/>
  <c r="W173" i="30"/>
  <c r="AQ172" i="30"/>
  <c r="AU172" i="30" s="1"/>
  <c r="AP172" i="30"/>
  <c r="AO172" i="30"/>
  <c r="AN172" i="30"/>
  <c r="AM172" i="30"/>
  <c r="AL172" i="30"/>
  <c r="AJ172" i="30"/>
  <c r="AI172" i="30"/>
  <c r="AH172" i="30"/>
  <c r="AG172" i="30"/>
  <c r="AA172" i="30"/>
  <c r="X172" i="30"/>
  <c r="Y172" i="30" s="1"/>
  <c r="W172" i="30"/>
  <c r="AQ171" i="30"/>
  <c r="AP171" i="30"/>
  <c r="AO171" i="30"/>
  <c r="AN171" i="30"/>
  <c r="AM171" i="30"/>
  <c r="AL171" i="30"/>
  <c r="AJ171" i="30"/>
  <c r="AI171" i="30"/>
  <c r="AH171" i="30"/>
  <c r="AG171" i="30"/>
  <c r="AA171" i="30"/>
  <c r="X171" i="30"/>
  <c r="Z171" i="30" s="1"/>
  <c r="W171" i="30"/>
  <c r="AQ170" i="30"/>
  <c r="AT170" i="30" s="1"/>
  <c r="AP170" i="30"/>
  <c r="AO170" i="30"/>
  <c r="AN170" i="30"/>
  <c r="AM170" i="30"/>
  <c r="AL170" i="30"/>
  <c r="AJ170" i="30"/>
  <c r="AI170" i="30"/>
  <c r="AH170" i="30"/>
  <c r="AG170" i="30"/>
  <c r="AA170" i="30"/>
  <c r="X170" i="30"/>
  <c r="Y170" i="30" s="1"/>
  <c r="W170" i="30"/>
  <c r="AQ169" i="30"/>
  <c r="AP169" i="30"/>
  <c r="AO169" i="30"/>
  <c r="AN169" i="30"/>
  <c r="AM169" i="30"/>
  <c r="AL169" i="30"/>
  <c r="AJ169" i="30"/>
  <c r="AI169" i="30"/>
  <c r="AH169" i="30"/>
  <c r="AG169" i="30"/>
  <c r="AA169" i="30"/>
  <c r="X169" i="30"/>
  <c r="Z169" i="30" s="1"/>
  <c r="W169" i="30"/>
  <c r="AQ168" i="30"/>
  <c r="AU168" i="30" s="1"/>
  <c r="AP168" i="30"/>
  <c r="AO168" i="30"/>
  <c r="AN168" i="30"/>
  <c r="AM168" i="30"/>
  <c r="AL168" i="30"/>
  <c r="AJ168" i="30"/>
  <c r="AI168" i="30"/>
  <c r="AH168" i="30"/>
  <c r="AG168" i="30"/>
  <c r="AA168" i="30"/>
  <c r="X168" i="30"/>
  <c r="Z168" i="30" s="1"/>
  <c r="W168" i="30"/>
  <c r="AQ167" i="30"/>
  <c r="AU167" i="30" s="1"/>
  <c r="AP167" i="30"/>
  <c r="AO167" i="30"/>
  <c r="AN167" i="30"/>
  <c r="AM167" i="30"/>
  <c r="AL167" i="30"/>
  <c r="AJ167" i="30"/>
  <c r="AI167" i="30"/>
  <c r="AH167" i="30"/>
  <c r="AG167" i="30"/>
  <c r="AA167" i="30"/>
  <c r="X167" i="30"/>
  <c r="Z167" i="30" s="1"/>
  <c r="W167" i="30"/>
  <c r="AQ166" i="30"/>
  <c r="AU166" i="30" s="1"/>
  <c r="AP166" i="30"/>
  <c r="AO166" i="30"/>
  <c r="AN166" i="30"/>
  <c r="AM166" i="30"/>
  <c r="AL166" i="30"/>
  <c r="AJ166" i="30"/>
  <c r="AI166" i="30"/>
  <c r="AH166" i="30"/>
  <c r="AG166" i="30"/>
  <c r="AA166" i="30"/>
  <c r="X166" i="30"/>
  <c r="Y166" i="30" s="1"/>
  <c r="W166" i="30"/>
  <c r="AQ165" i="30"/>
  <c r="AP165" i="30"/>
  <c r="AO165" i="30"/>
  <c r="AN165" i="30"/>
  <c r="AM165" i="30"/>
  <c r="AL165" i="30"/>
  <c r="AJ165" i="30"/>
  <c r="AI165" i="30"/>
  <c r="AH165" i="30"/>
  <c r="AG165" i="30"/>
  <c r="AA165" i="30"/>
  <c r="X165" i="30"/>
  <c r="Z165" i="30" s="1"/>
  <c r="W165" i="30"/>
  <c r="AQ164" i="30"/>
  <c r="AR164" i="30" s="1"/>
  <c r="AP164" i="30"/>
  <c r="AO164" i="30"/>
  <c r="AN164" i="30"/>
  <c r="AM164" i="30"/>
  <c r="AL164" i="30"/>
  <c r="AJ164" i="30"/>
  <c r="AI164" i="30"/>
  <c r="AH164" i="30"/>
  <c r="AG164" i="30"/>
  <c r="AA164" i="30"/>
  <c r="X164" i="30"/>
  <c r="W164" i="30"/>
  <c r="AQ163" i="30"/>
  <c r="AR163" i="30" s="1"/>
  <c r="AP163" i="30"/>
  <c r="AO163" i="30"/>
  <c r="AN163" i="30"/>
  <c r="AM163" i="30"/>
  <c r="AL163" i="30"/>
  <c r="AJ163" i="30"/>
  <c r="AI163" i="30"/>
  <c r="AH163" i="30"/>
  <c r="AG163" i="30"/>
  <c r="AA163" i="30"/>
  <c r="X163" i="30"/>
  <c r="Z163" i="30" s="1"/>
  <c r="W163" i="30"/>
  <c r="AQ162" i="30"/>
  <c r="AT162" i="30" s="1"/>
  <c r="AP162" i="30"/>
  <c r="AO162" i="30"/>
  <c r="AN162" i="30"/>
  <c r="AM162" i="30"/>
  <c r="AL162" i="30"/>
  <c r="AJ162" i="30"/>
  <c r="AI162" i="30"/>
  <c r="AH162" i="30"/>
  <c r="AG162" i="30"/>
  <c r="AA162" i="30"/>
  <c r="X162" i="30"/>
  <c r="Z162" i="30" s="1"/>
  <c r="W162" i="30"/>
  <c r="AQ161" i="30"/>
  <c r="AU161" i="30" s="1"/>
  <c r="AP161" i="30"/>
  <c r="AO161" i="30"/>
  <c r="AN161" i="30"/>
  <c r="AM161" i="30"/>
  <c r="AL161" i="30"/>
  <c r="AJ161" i="30"/>
  <c r="AI161" i="30"/>
  <c r="AH161" i="30"/>
  <c r="AG161" i="30"/>
  <c r="AA161" i="30"/>
  <c r="X161" i="30"/>
  <c r="Z161" i="30" s="1"/>
  <c r="W161" i="30"/>
  <c r="AQ160" i="30"/>
  <c r="AU160" i="30" s="1"/>
  <c r="AP160" i="30"/>
  <c r="AO160" i="30"/>
  <c r="AN160" i="30"/>
  <c r="AM160" i="30"/>
  <c r="AL160" i="30"/>
  <c r="AJ160" i="30"/>
  <c r="AI160" i="30"/>
  <c r="AH160" i="30"/>
  <c r="AG160" i="30"/>
  <c r="AA160" i="30"/>
  <c r="X160" i="30"/>
  <c r="Z160" i="30" s="1"/>
  <c r="W160" i="30"/>
  <c r="AQ159" i="30"/>
  <c r="AP159" i="30"/>
  <c r="AO159" i="30"/>
  <c r="AN159" i="30"/>
  <c r="AM159" i="30"/>
  <c r="AL159" i="30"/>
  <c r="AJ159" i="30"/>
  <c r="AI159" i="30"/>
  <c r="AH159" i="30"/>
  <c r="AG159" i="30"/>
  <c r="AA159" i="30"/>
  <c r="X159" i="30"/>
  <c r="W159" i="30"/>
  <c r="AQ158" i="30"/>
  <c r="AT158" i="30" s="1"/>
  <c r="AP158" i="30"/>
  <c r="AO158" i="30"/>
  <c r="AN158" i="30"/>
  <c r="AM158" i="30"/>
  <c r="AL158" i="30"/>
  <c r="AJ158" i="30"/>
  <c r="AI158" i="30"/>
  <c r="AH158" i="30"/>
  <c r="AG158" i="30"/>
  <c r="AA158" i="30"/>
  <c r="X158" i="30"/>
  <c r="Z158" i="30" s="1"/>
  <c r="W158" i="30"/>
  <c r="AQ157" i="30"/>
  <c r="AU157" i="30" s="1"/>
  <c r="AP157" i="30"/>
  <c r="AO157" i="30"/>
  <c r="AN157" i="30"/>
  <c r="AM157" i="30"/>
  <c r="AL157" i="30"/>
  <c r="AJ157" i="30"/>
  <c r="AI157" i="30"/>
  <c r="AH157" i="30"/>
  <c r="AG157" i="30"/>
  <c r="AA157" i="30"/>
  <c r="X157" i="30"/>
  <c r="Z157" i="30" s="1"/>
  <c r="W157" i="30"/>
  <c r="AQ156" i="30"/>
  <c r="AS156" i="30" s="1"/>
  <c r="AP156" i="30"/>
  <c r="AO156" i="30"/>
  <c r="AN156" i="30"/>
  <c r="AM156" i="30"/>
  <c r="AL156" i="30"/>
  <c r="AJ156" i="30"/>
  <c r="AI156" i="30"/>
  <c r="AH156" i="30"/>
  <c r="AG156" i="30"/>
  <c r="AA156" i="30"/>
  <c r="X156" i="30"/>
  <c r="Z156" i="30" s="1"/>
  <c r="W156" i="30"/>
  <c r="AQ155" i="30"/>
  <c r="AR155" i="30" s="1"/>
  <c r="AP155" i="30"/>
  <c r="AO155" i="30"/>
  <c r="AN155" i="30"/>
  <c r="AH155" i="30"/>
  <c r="AG155" i="30"/>
  <c r="AA155" i="30"/>
  <c r="X155" i="30"/>
  <c r="Z155" i="30" s="1"/>
  <c r="W155" i="30"/>
  <c r="AQ154" i="30"/>
  <c r="AU154" i="30" s="1"/>
  <c r="AP154" i="30"/>
  <c r="AO154" i="30"/>
  <c r="AN154" i="30"/>
  <c r="AH154" i="30"/>
  <c r="AG154" i="30"/>
  <c r="AA154" i="30"/>
  <c r="X154" i="30"/>
  <c r="Z154" i="30" s="1"/>
  <c r="W154" i="30"/>
  <c r="AQ153" i="30"/>
  <c r="AP153" i="30"/>
  <c r="AH153" i="30" s="1"/>
  <c r="AO153" i="30"/>
  <c r="AN153" i="30"/>
  <c r="AG153" i="30" s="1"/>
  <c r="AA153" i="30"/>
  <c r="X153" i="30"/>
  <c r="Z153" i="30" s="1"/>
  <c r="W153" i="30"/>
  <c r="AQ152" i="30"/>
  <c r="AS152" i="30" s="1"/>
  <c r="AP152" i="30"/>
  <c r="AH152" i="30" s="1"/>
  <c r="AO152" i="30"/>
  <c r="AN152" i="30" s="1"/>
  <c r="AG152" i="30" s="1"/>
  <c r="AA152" i="30"/>
  <c r="X152" i="30"/>
  <c r="Z152" i="30" s="1"/>
  <c r="W152" i="30"/>
  <c r="AQ151" i="30"/>
  <c r="AU151" i="30" s="1"/>
  <c r="AP151" i="30"/>
  <c r="AO151" i="30"/>
  <c r="AN151" i="30"/>
  <c r="AG151" i="30" s="1"/>
  <c r="AH151" i="30"/>
  <c r="AA151" i="30"/>
  <c r="X151" i="30"/>
  <c r="Y151" i="30" s="1"/>
  <c r="W151" i="30"/>
  <c r="AQ150" i="30"/>
  <c r="AU150" i="30" s="1"/>
  <c r="AP150" i="30"/>
  <c r="AO150" i="30"/>
  <c r="AN150" i="30"/>
  <c r="AG150" i="30" s="1"/>
  <c r="AH150" i="30"/>
  <c r="AJ150" i="30" s="1"/>
  <c r="AA150" i="30"/>
  <c r="X150" i="30"/>
  <c r="Z150" i="30" s="1"/>
  <c r="W150" i="30"/>
  <c r="AQ149" i="30"/>
  <c r="AS149" i="30" s="1"/>
  <c r="AP149" i="30"/>
  <c r="AO149" i="30"/>
  <c r="AN149" i="30"/>
  <c r="AG149" i="30" s="1"/>
  <c r="AH149" i="30"/>
  <c r="AL149" i="30" s="1"/>
  <c r="AA149" i="30"/>
  <c r="X149" i="30"/>
  <c r="Z149" i="30" s="1"/>
  <c r="W149" i="30"/>
  <c r="AQ148" i="30"/>
  <c r="AU148" i="30" s="1"/>
  <c r="AP148" i="30"/>
  <c r="AO148" i="30"/>
  <c r="AN148" i="30"/>
  <c r="AG148" i="30" s="1"/>
  <c r="AH148" i="30"/>
  <c r="AA148" i="30"/>
  <c r="X148" i="30"/>
  <c r="W148" i="30"/>
  <c r="AQ147" i="30"/>
  <c r="AP147" i="30"/>
  <c r="AO147" i="30"/>
  <c r="AN147" i="30"/>
  <c r="AG147" i="30" s="1"/>
  <c r="AH147" i="30"/>
  <c r="AL147" i="30" s="1"/>
  <c r="AA147" i="30"/>
  <c r="X147" i="30"/>
  <c r="Z147" i="30" s="1"/>
  <c r="W147" i="30"/>
  <c r="AQ146" i="30"/>
  <c r="AT146" i="30" s="1"/>
  <c r="AP146" i="30"/>
  <c r="AO146" i="30"/>
  <c r="AN146" i="30"/>
  <c r="AG146" i="30" s="1"/>
  <c r="AH146" i="30"/>
  <c r="AA146" i="30"/>
  <c r="X146" i="30"/>
  <c r="Y146" i="30" s="1"/>
  <c r="W146" i="30"/>
  <c r="AQ145" i="30"/>
  <c r="AS145" i="30" s="1"/>
  <c r="AP145" i="30"/>
  <c r="AO145" i="30"/>
  <c r="AN145" i="30"/>
  <c r="AG145" i="30" s="1"/>
  <c r="AH145" i="30"/>
  <c r="AA145" i="30"/>
  <c r="X145" i="30"/>
  <c r="Z145" i="30" s="1"/>
  <c r="W145" i="30"/>
  <c r="V145" i="30"/>
  <c r="AQ144" i="30"/>
  <c r="AT144" i="30" s="1"/>
  <c r="AP144" i="30"/>
  <c r="AO144" i="30"/>
  <c r="AN144" i="30"/>
  <c r="AG144" i="30" s="1"/>
  <c r="AH144" i="30"/>
  <c r="AA144" i="30"/>
  <c r="AQ142" i="30"/>
  <c r="AU142" i="30" s="1"/>
  <c r="AP142" i="30"/>
  <c r="AH142" i="30" s="1"/>
  <c r="AL142" i="30" s="1"/>
  <c r="AO142" i="30"/>
  <c r="AN142" i="30"/>
  <c r="AG142" i="30" s="1"/>
  <c r="AA142" i="30"/>
  <c r="X142" i="30"/>
  <c r="Z142" i="30" s="1"/>
  <c r="W142" i="30"/>
  <c r="AQ141" i="30"/>
  <c r="AU141" i="30" s="1"/>
  <c r="AP141" i="30"/>
  <c r="AO141" i="30"/>
  <c r="AN141" i="30"/>
  <c r="AG141" i="30" s="1"/>
  <c r="AH141" i="30"/>
  <c r="AJ141" i="30" s="1"/>
  <c r="AA141" i="30"/>
  <c r="X141" i="30"/>
  <c r="Z141" i="30" s="1"/>
  <c r="W141" i="30"/>
  <c r="AQ140" i="30"/>
  <c r="AU140" i="30" s="1"/>
  <c r="AP140" i="30"/>
  <c r="AO140" i="30"/>
  <c r="AN140" i="30"/>
  <c r="AM140" i="30"/>
  <c r="AL140" i="30"/>
  <c r="AJ140" i="30"/>
  <c r="AI140" i="30"/>
  <c r="AH140" i="30"/>
  <c r="AG140" i="30"/>
  <c r="AA140" i="30"/>
  <c r="X140" i="30"/>
  <c r="W140" i="30"/>
  <c r="AQ139" i="30"/>
  <c r="AT139" i="30" s="1"/>
  <c r="AP139" i="30"/>
  <c r="AO139" i="30"/>
  <c r="AN139" i="30"/>
  <c r="AM139" i="30"/>
  <c r="AL139" i="30"/>
  <c r="AJ139" i="30"/>
  <c r="AI139" i="30"/>
  <c r="AH139" i="30"/>
  <c r="AG139" i="30"/>
  <c r="AA139" i="30"/>
  <c r="X139" i="30"/>
  <c r="Z139" i="30" s="1"/>
  <c r="W139" i="30"/>
  <c r="AQ138" i="30"/>
  <c r="AR138" i="30" s="1"/>
  <c r="AP138" i="30"/>
  <c r="AO138" i="30"/>
  <c r="AN138" i="30"/>
  <c r="AM138" i="30"/>
  <c r="AL138" i="30"/>
  <c r="AJ138" i="30"/>
  <c r="AI138" i="30"/>
  <c r="AH138" i="30"/>
  <c r="AG138" i="30"/>
  <c r="AA138" i="30"/>
  <c r="X138" i="30"/>
  <c r="Z138" i="30" s="1"/>
  <c r="W138" i="30"/>
  <c r="AQ137" i="30"/>
  <c r="AU137" i="30" s="1"/>
  <c r="AP137" i="30"/>
  <c r="AO137" i="30"/>
  <c r="AN137" i="30"/>
  <c r="AM137" i="30"/>
  <c r="AL137" i="30"/>
  <c r="AJ137" i="30"/>
  <c r="AI137" i="30"/>
  <c r="AH137" i="30"/>
  <c r="AG137" i="30"/>
  <c r="AA137" i="30"/>
  <c r="X137" i="30"/>
  <c r="W137" i="30"/>
  <c r="AQ136" i="30"/>
  <c r="AU136" i="30" s="1"/>
  <c r="AP136" i="30"/>
  <c r="AO136" i="30"/>
  <c r="AN136" i="30"/>
  <c r="AM136" i="30"/>
  <c r="AL136" i="30"/>
  <c r="AJ136" i="30"/>
  <c r="AI136" i="30"/>
  <c r="AH136" i="30"/>
  <c r="AG136" i="30"/>
  <c r="AA136" i="30"/>
  <c r="X136" i="30"/>
  <c r="Z136" i="30" s="1"/>
  <c r="W136" i="30"/>
  <c r="AQ135" i="30"/>
  <c r="AP135" i="30"/>
  <c r="AO135" i="30"/>
  <c r="AN135" i="30"/>
  <c r="AM135" i="30"/>
  <c r="AL135" i="30"/>
  <c r="AJ135" i="30"/>
  <c r="AI135" i="30"/>
  <c r="AH135" i="30"/>
  <c r="AG135" i="30"/>
  <c r="AA135" i="30"/>
  <c r="X135" i="30"/>
  <c r="Z135" i="30" s="1"/>
  <c r="W135" i="30"/>
  <c r="AQ134" i="30"/>
  <c r="AS134" i="30" s="1"/>
  <c r="AP134" i="30"/>
  <c r="AO134" i="30"/>
  <c r="AN134" i="30"/>
  <c r="AM134" i="30"/>
  <c r="AL134" i="30"/>
  <c r="AJ134" i="30"/>
  <c r="AI134" i="30"/>
  <c r="AH134" i="30"/>
  <c r="AG134" i="30"/>
  <c r="AA134" i="30"/>
  <c r="X134" i="30"/>
  <c r="Z134" i="30" s="1"/>
  <c r="W134" i="30"/>
  <c r="AQ133" i="30"/>
  <c r="AU133" i="30" s="1"/>
  <c r="AP133" i="30"/>
  <c r="AO133" i="30"/>
  <c r="AN133" i="30"/>
  <c r="AM133" i="30"/>
  <c r="AL133" i="30"/>
  <c r="AJ133" i="30"/>
  <c r="AI133" i="30"/>
  <c r="AH133" i="30"/>
  <c r="AG133" i="30"/>
  <c r="AA133" i="30"/>
  <c r="X133" i="30"/>
  <c r="Z133" i="30" s="1"/>
  <c r="W133" i="30"/>
  <c r="AQ132" i="30"/>
  <c r="AP132" i="30"/>
  <c r="AO132" i="30"/>
  <c r="AN132" i="30"/>
  <c r="AM132" i="30"/>
  <c r="AL132" i="30"/>
  <c r="AJ132" i="30"/>
  <c r="AI132" i="30"/>
  <c r="AH132" i="30"/>
  <c r="AG132" i="30"/>
  <c r="AA132" i="30"/>
  <c r="X132" i="30"/>
  <c r="Z132" i="30" s="1"/>
  <c r="W132" i="30"/>
  <c r="AQ131" i="30"/>
  <c r="AU131" i="30" s="1"/>
  <c r="AP131" i="30"/>
  <c r="AO131" i="30"/>
  <c r="AN131" i="30"/>
  <c r="AM131" i="30"/>
  <c r="AL131" i="30"/>
  <c r="AJ131" i="30"/>
  <c r="AI131" i="30"/>
  <c r="AH131" i="30"/>
  <c r="AG131" i="30"/>
  <c r="AA131" i="30"/>
  <c r="X131" i="30"/>
  <c r="Z131" i="30" s="1"/>
  <c r="W131" i="30"/>
  <c r="AQ130" i="30"/>
  <c r="AU130" i="30" s="1"/>
  <c r="AP130" i="30"/>
  <c r="AO130" i="30"/>
  <c r="AN130" i="30"/>
  <c r="AM130" i="30"/>
  <c r="AL130" i="30"/>
  <c r="AJ130" i="30"/>
  <c r="AI130" i="30"/>
  <c r="AH130" i="30"/>
  <c r="AG130" i="30"/>
  <c r="AA130" i="30"/>
  <c r="X130" i="30"/>
  <c r="Y130" i="30" s="1"/>
  <c r="W130" i="30"/>
  <c r="AQ129" i="30"/>
  <c r="AU129" i="30" s="1"/>
  <c r="AP129" i="30"/>
  <c r="AO129" i="30"/>
  <c r="AN129" i="30"/>
  <c r="AM129" i="30"/>
  <c r="AL129" i="30"/>
  <c r="AJ129" i="30"/>
  <c r="AI129" i="30"/>
  <c r="AH129" i="30"/>
  <c r="AG129" i="30"/>
  <c r="AA129" i="30"/>
  <c r="X129" i="30"/>
  <c r="Y129" i="30" s="1"/>
  <c r="W129" i="30"/>
  <c r="AQ128" i="30"/>
  <c r="AP128" i="30"/>
  <c r="AO128" i="30"/>
  <c r="AN128" i="30"/>
  <c r="AM128" i="30"/>
  <c r="AL128" i="30"/>
  <c r="AJ128" i="30"/>
  <c r="AI128" i="30"/>
  <c r="AH128" i="30"/>
  <c r="AG128" i="30"/>
  <c r="AA128" i="30"/>
  <c r="X128" i="30"/>
  <c r="Z128" i="30" s="1"/>
  <c r="W128" i="30"/>
  <c r="AQ127" i="30"/>
  <c r="AS127" i="30" s="1"/>
  <c r="AP127" i="30"/>
  <c r="AO127" i="30"/>
  <c r="AN127" i="30"/>
  <c r="AM127" i="30"/>
  <c r="AL127" i="30"/>
  <c r="AJ127" i="30"/>
  <c r="AI127" i="30"/>
  <c r="AH127" i="30"/>
  <c r="AG127" i="30"/>
  <c r="AA127" i="30"/>
  <c r="X127" i="30"/>
  <c r="Z127" i="30" s="1"/>
  <c r="W127" i="30"/>
  <c r="AQ126" i="30"/>
  <c r="AT126" i="30" s="1"/>
  <c r="AP126" i="30"/>
  <c r="AO126" i="30"/>
  <c r="AN126" i="30"/>
  <c r="AM126" i="30"/>
  <c r="AL126" i="30"/>
  <c r="AJ126" i="30"/>
  <c r="AI126" i="30"/>
  <c r="AH126" i="30"/>
  <c r="AG126" i="30"/>
  <c r="AA126" i="30"/>
  <c r="X126" i="30"/>
  <c r="Z126" i="30" s="1"/>
  <c r="W126" i="30"/>
  <c r="AQ125" i="30"/>
  <c r="AU125" i="30" s="1"/>
  <c r="AP125" i="30"/>
  <c r="AO125" i="30"/>
  <c r="AN125" i="30"/>
  <c r="AM125" i="30"/>
  <c r="AL125" i="30"/>
  <c r="AJ125" i="30"/>
  <c r="AI125" i="30"/>
  <c r="AH125" i="30"/>
  <c r="AG125" i="30"/>
  <c r="AA125" i="30"/>
  <c r="X125" i="30"/>
  <c r="Y125" i="30" s="1"/>
  <c r="W125" i="30"/>
  <c r="AQ124" i="30"/>
  <c r="AU124" i="30" s="1"/>
  <c r="AP124" i="30"/>
  <c r="AO124" i="30"/>
  <c r="AN124" i="30"/>
  <c r="AM124" i="30"/>
  <c r="AL124" i="30"/>
  <c r="AJ124" i="30"/>
  <c r="AI124" i="30"/>
  <c r="AH124" i="30"/>
  <c r="AG124" i="30"/>
  <c r="AA124" i="30"/>
  <c r="X124" i="30"/>
  <c r="W124" i="30"/>
  <c r="AQ123" i="30"/>
  <c r="AU123" i="30" s="1"/>
  <c r="AP123" i="30"/>
  <c r="AO123" i="30"/>
  <c r="AN123" i="30"/>
  <c r="AM123" i="30"/>
  <c r="AL123" i="30"/>
  <c r="AJ123" i="30"/>
  <c r="AI123" i="30"/>
  <c r="AH123" i="30"/>
  <c r="AG123" i="30"/>
  <c r="AA123" i="30"/>
  <c r="X123" i="30"/>
  <c r="Y123" i="30" s="1"/>
  <c r="W123" i="30"/>
  <c r="AQ122" i="30"/>
  <c r="AT122" i="30" s="1"/>
  <c r="AP122" i="30"/>
  <c r="AO122" i="30"/>
  <c r="AN122" i="30"/>
  <c r="AM122" i="30"/>
  <c r="AL122" i="30"/>
  <c r="AJ122" i="30"/>
  <c r="AI122" i="30"/>
  <c r="AH122" i="30"/>
  <c r="AG122" i="30"/>
  <c r="AA122" i="30"/>
  <c r="X122" i="30"/>
  <c r="Z122" i="30" s="1"/>
  <c r="W122" i="30"/>
  <c r="AQ121" i="30"/>
  <c r="AU121" i="30" s="1"/>
  <c r="AP121" i="30"/>
  <c r="AO121" i="30"/>
  <c r="AN121" i="30"/>
  <c r="AM121" i="30"/>
  <c r="AJ121" i="30"/>
  <c r="AH121" i="30"/>
  <c r="AL121" i="30" s="1"/>
  <c r="AG121" i="30"/>
  <c r="AA121" i="30"/>
  <c r="X121" i="30"/>
  <c r="Y121" i="30" s="1"/>
  <c r="W121" i="30"/>
  <c r="BB120" i="30"/>
  <c r="AQ120" i="30"/>
  <c r="AT120" i="30" s="1"/>
  <c r="AP120" i="30"/>
  <c r="AH120" i="30" s="1"/>
  <c r="AL120" i="30" s="1"/>
  <c r="AO120" i="30"/>
  <c r="AN120" i="30"/>
  <c r="AG120" i="30" s="1"/>
  <c r="AA120" i="30"/>
  <c r="X120" i="30"/>
  <c r="Z120" i="30" s="1"/>
  <c r="W120" i="30"/>
  <c r="AQ119" i="30"/>
  <c r="AT119" i="30" s="1"/>
  <c r="AP119" i="30"/>
  <c r="AO119" i="30"/>
  <c r="AN119" i="30"/>
  <c r="AG119" i="30" s="1"/>
  <c r="AH119" i="30"/>
  <c r="AA119" i="30"/>
  <c r="X119" i="30"/>
  <c r="Y119" i="30" s="1"/>
  <c r="W119" i="30"/>
  <c r="AQ118" i="30"/>
  <c r="AP118" i="30"/>
  <c r="AH118" i="30" s="1"/>
  <c r="AO118" i="30"/>
  <c r="AN118" i="30"/>
  <c r="AG118" i="30" s="1"/>
  <c r="AA118" i="30"/>
  <c r="X118" i="30"/>
  <c r="Z118" i="30" s="1"/>
  <c r="W118" i="30"/>
  <c r="AQ117" i="30"/>
  <c r="AP117" i="30"/>
  <c r="AH117" i="30" s="1"/>
  <c r="AO117" i="30"/>
  <c r="AN117" i="30"/>
  <c r="AG117" i="30" s="1"/>
  <c r="AA117" i="30"/>
  <c r="X117" i="30"/>
  <c r="W117" i="30"/>
  <c r="AQ116" i="30"/>
  <c r="AP116" i="30"/>
  <c r="AO116" i="30"/>
  <c r="AN116" i="30"/>
  <c r="AG116" i="30" s="1"/>
  <c r="AH116" i="30"/>
  <c r="AI116" i="30" s="1"/>
  <c r="AA116" i="30"/>
  <c r="X116" i="30"/>
  <c r="W116" i="30"/>
  <c r="AQ115" i="30"/>
  <c r="AT115" i="30" s="1"/>
  <c r="AP115" i="30"/>
  <c r="AH115" i="30" s="1"/>
  <c r="AJ115" i="30" s="1"/>
  <c r="AO115" i="30"/>
  <c r="AN115" i="30"/>
  <c r="AG115" i="30" s="1"/>
  <c r="AA115" i="30"/>
  <c r="X115" i="30"/>
  <c r="Z115" i="30" s="1"/>
  <c r="W115" i="30"/>
  <c r="AQ114" i="30"/>
  <c r="AR114" i="30" s="1"/>
  <c r="AP114" i="30"/>
  <c r="AO114" i="30"/>
  <c r="AN114" i="30"/>
  <c r="AG114" i="30" s="1"/>
  <c r="AH114" i="30"/>
  <c r="AI114" i="30" s="1"/>
  <c r="AA114" i="30"/>
  <c r="X114" i="30"/>
  <c r="Z114" i="30" s="1"/>
  <c r="W114" i="30"/>
  <c r="AQ113" i="30"/>
  <c r="AP113" i="30"/>
  <c r="AO113" i="30"/>
  <c r="AN113" i="30"/>
  <c r="AG113" i="30" s="1"/>
  <c r="AH113" i="30"/>
  <c r="AI113" i="30" s="1"/>
  <c r="AA113" i="30"/>
  <c r="X113" i="30"/>
  <c r="W113" i="30"/>
  <c r="AQ112" i="30"/>
  <c r="AU112" i="30" s="1"/>
  <c r="AP112" i="30"/>
  <c r="AO112" i="30"/>
  <c r="AN112" i="30"/>
  <c r="AL112" i="30"/>
  <c r="AI112" i="30"/>
  <c r="AH112" i="30"/>
  <c r="AJ112" i="30" s="1"/>
  <c r="AG112" i="30"/>
  <c r="AA112" i="30"/>
  <c r="X112" i="30"/>
  <c r="Z112" i="30" s="1"/>
  <c r="W112" i="30"/>
  <c r="AQ111" i="30"/>
  <c r="AP111" i="30"/>
  <c r="AO111" i="30"/>
  <c r="AN111" i="30"/>
  <c r="AG111" i="30" s="1"/>
  <c r="AH111" i="30"/>
  <c r="AA111" i="30"/>
  <c r="X111" i="30"/>
  <c r="W111" i="30"/>
  <c r="AQ110" i="30"/>
  <c r="AT110" i="30" s="1"/>
  <c r="AP110" i="30"/>
  <c r="AO110" i="30"/>
  <c r="AN110" i="30"/>
  <c r="AG110" i="30" s="1"/>
  <c r="AH110" i="30"/>
  <c r="AA110" i="30"/>
  <c r="X110" i="30"/>
  <c r="Z110" i="30" s="1"/>
  <c r="W110" i="30"/>
  <c r="AQ109" i="30"/>
  <c r="AP109" i="30"/>
  <c r="AH109" i="30" s="1"/>
  <c r="AO109" i="30"/>
  <c r="AN109" i="30"/>
  <c r="AG109" i="30" s="1"/>
  <c r="AA109" i="30"/>
  <c r="X109" i="30"/>
  <c r="W109" i="30"/>
  <c r="V109" i="30"/>
  <c r="AQ108" i="30"/>
  <c r="AU108" i="30" s="1"/>
  <c r="AP108" i="30"/>
  <c r="AO108" i="30"/>
  <c r="AN108" i="30"/>
  <c r="AG108" i="30" s="1"/>
  <c r="AH108" i="30"/>
  <c r="AL108" i="30" s="1"/>
  <c r="O7" i="30" s="1"/>
  <c r="AQ106" i="30"/>
  <c r="AU106" i="30" s="1"/>
  <c r="AP106" i="30"/>
  <c r="AO106" i="30"/>
  <c r="AN106" i="30"/>
  <c r="AG106" i="30" s="1"/>
  <c r="AH106" i="30"/>
  <c r="AL106" i="30" s="1"/>
  <c r="AA106" i="30"/>
  <c r="X106" i="30"/>
  <c r="Y106" i="30" s="1"/>
  <c r="W106" i="30"/>
  <c r="AQ105" i="30"/>
  <c r="AP105" i="30"/>
  <c r="AH105" i="30" s="1"/>
  <c r="AO105" i="30"/>
  <c r="AN105" i="30"/>
  <c r="AG105" i="30" s="1"/>
  <c r="AA105" i="30"/>
  <c r="X105" i="30"/>
  <c r="Z105" i="30" s="1"/>
  <c r="W105" i="30"/>
  <c r="AQ104" i="30"/>
  <c r="AR104" i="30" s="1"/>
  <c r="AP104" i="30"/>
  <c r="AO104" i="30"/>
  <c r="AN104" i="30"/>
  <c r="AM104" i="30"/>
  <c r="AL104" i="30"/>
  <c r="AJ104" i="30"/>
  <c r="AI104" i="30"/>
  <c r="AH104" i="30"/>
  <c r="AG104" i="30"/>
  <c r="AA104" i="30"/>
  <c r="X104" i="30"/>
  <c r="Z104" i="30" s="1"/>
  <c r="W104" i="30"/>
  <c r="AQ103" i="30"/>
  <c r="AP103" i="30"/>
  <c r="AO103" i="30"/>
  <c r="AN103" i="30"/>
  <c r="AM103" i="30"/>
  <c r="AL103" i="30"/>
  <c r="AJ103" i="30"/>
  <c r="AI103" i="30"/>
  <c r="AH103" i="30"/>
  <c r="AG103" i="30"/>
  <c r="AA103" i="30"/>
  <c r="X103" i="30"/>
  <c r="W103" i="30"/>
  <c r="AQ102" i="30"/>
  <c r="AU102" i="30" s="1"/>
  <c r="AP102" i="30"/>
  <c r="AO102" i="30"/>
  <c r="AN102" i="30"/>
  <c r="AM102" i="30"/>
  <c r="AL102" i="30"/>
  <c r="AJ102" i="30"/>
  <c r="AI102" i="30"/>
  <c r="AH102" i="30"/>
  <c r="AG102" i="30"/>
  <c r="AA102" i="30"/>
  <c r="X102" i="30"/>
  <c r="Z102" i="30" s="1"/>
  <c r="W102" i="30"/>
  <c r="AQ101" i="30"/>
  <c r="AU101" i="30" s="1"/>
  <c r="AP101" i="30"/>
  <c r="AO101" i="30"/>
  <c r="AN101" i="30"/>
  <c r="AM101" i="30"/>
  <c r="AL101" i="30"/>
  <c r="AJ101" i="30"/>
  <c r="AI101" i="30"/>
  <c r="AH101" i="30"/>
  <c r="AG101" i="30"/>
  <c r="AA101" i="30"/>
  <c r="X101" i="30"/>
  <c r="Z101" i="30" s="1"/>
  <c r="W101" i="30"/>
  <c r="AQ100" i="30"/>
  <c r="AU100" i="30" s="1"/>
  <c r="AP100" i="30"/>
  <c r="AO100" i="30"/>
  <c r="AN100" i="30"/>
  <c r="AM100" i="30"/>
  <c r="AL100" i="30"/>
  <c r="AJ100" i="30"/>
  <c r="AI100" i="30"/>
  <c r="AH100" i="30"/>
  <c r="AG100" i="30"/>
  <c r="AA100" i="30"/>
  <c r="X100" i="30"/>
  <c r="Z100" i="30" s="1"/>
  <c r="W100" i="30"/>
  <c r="AQ99" i="30"/>
  <c r="AP99" i="30"/>
  <c r="AO99" i="30"/>
  <c r="AN99" i="30"/>
  <c r="AM99" i="30"/>
  <c r="AL99" i="30"/>
  <c r="AJ99" i="30"/>
  <c r="AI99" i="30"/>
  <c r="AH99" i="30"/>
  <c r="AG99" i="30"/>
  <c r="AA99" i="30"/>
  <c r="X99" i="30"/>
  <c r="W99" i="30"/>
  <c r="AQ98" i="30"/>
  <c r="AU98" i="30" s="1"/>
  <c r="AP98" i="30"/>
  <c r="AO98" i="30"/>
  <c r="AN98" i="30"/>
  <c r="AM98" i="30"/>
  <c r="AL98" i="30"/>
  <c r="AJ98" i="30"/>
  <c r="AI98" i="30"/>
  <c r="AH98" i="30"/>
  <c r="AG98" i="30"/>
  <c r="AA98" i="30"/>
  <c r="X98" i="30"/>
  <c r="Z98" i="30" s="1"/>
  <c r="W98" i="30"/>
  <c r="AQ97" i="30"/>
  <c r="AU97" i="30" s="1"/>
  <c r="AP97" i="30"/>
  <c r="AO97" i="30"/>
  <c r="AN97" i="30"/>
  <c r="AM97" i="30"/>
  <c r="AL97" i="30"/>
  <c r="AJ97" i="30"/>
  <c r="AI97" i="30"/>
  <c r="AH97" i="30"/>
  <c r="AG97" i="30"/>
  <c r="AA97" i="30"/>
  <c r="X97" i="30"/>
  <c r="Z97" i="30" s="1"/>
  <c r="W97" i="30"/>
  <c r="AQ96" i="30"/>
  <c r="AR96" i="30" s="1"/>
  <c r="AP96" i="30"/>
  <c r="AO96" i="30"/>
  <c r="AN96" i="30"/>
  <c r="AM96" i="30"/>
  <c r="AL96" i="30"/>
  <c r="AJ96" i="30"/>
  <c r="AI96" i="30"/>
  <c r="AH96" i="30"/>
  <c r="AG96" i="30"/>
  <c r="AA96" i="30"/>
  <c r="X96" i="30"/>
  <c r="Z96" i="30" s="1"/>
  <c r="W96" i="30"/>
  <c r="AQ95" i="30"/>
  <c r="AP95" i="30"/>
  <c r="AO95" i="30"/>
  <c r="AN95" i="30"/>
  <c r="AM95" i="30"/>
  <c r="AL95" i="30"/>
  <c r="AJ95" i="30"/>
  <c r="AI95" i="30"/>
  <c r="AH95" i="30"/>
  <c r="AG95" i="30"/>
  <c r="AA95" i="30"/>
  <c r="X95" i="30"/>
  <c r="W95" i="30"/>
  <c r="AQ94" i="30"/>
  <c r="AR94" i="30" s="1"/>
  <c r="AP94" i="30"/>
  <c r="AO94" i="30"/>
  <c r="AN94" i="30"/>
  <c r="AM94" i="30"/>
  <c r="AL94" i="30"/>
  <c r="AJ94" i="30"/>
  <c r="AI94" i="30"/>
  <c r="AH94" i="30"/>
  <c r="AG94" i="30"/>
  <c r="AA94" i="30"/>
  <c r="X94" i="30"/>
  <c r="W94" i="30"/>
  <c r="AQ93" i="30"/>
  <c r="AS93" i="30" s="1"/>
  <c r="AP93" i="30"/>
  <c r="AO93" i="30"/>
  <c r="AN93" i="30"/>
  <c r="AM93" i="30"/>
  <c r="AL93" i="30"/>
  <c r="AJ93" i="30"/>
  <c r="AI93" i="30"/>
  <c r="AH93" i="30"/>
  <c r="AG93" i="30"/>
  <c r="AA93" i="30"/>
  <c r="X93" i="30"/>
  <c r="Z93" i="30" s="1"/>
  <c r="W93" i="30"/>
  <c r="AQ92" i="30"/>
  <c r="AU92" i="30" s="1"/>
  <c r="AP92" i="30"/>
  <c r="AO92" i="30"/>
  <c r="AN92" i="30"/>
  <c r="AM92" i="30"/>
  <c r="AL92" i="30"/>
  <c r="AJ92" i="30"/>
  <c r="AI92" i="30"/>
  <c r="AH92" i="30"/>
  <c r="AG92" i="30"/>
  <c r="AA92" i="30"/>
  <c r="X92" i="30"/>
  <c r="Z92" i="30" s="1"/>
  <c r="W92" i="30"/>
  <c r="AQ91" i="30"/>
  <c r="AP91" i="30"/>
  <c r="AO91" i="30"/>
  <c r="AN91" i="30"/>
  <c r="AM91" i="30"/>
  <c r="AL91" i="30"/>
  <c r="AJ91" i="30"/>
  <c r="AI91" i="30"/>
  <c r="AH91" i="30"/>
  <c r="AG91" i="30"/>
  <c r="AA91" i="30"/>
  <c r="X91" i="30"/>
  <c r="W91" i="30"/>
  <c r="AQ90" i="30"/>
  <c r="AP90" i="30"/>
  <c r="AO90" i="30"/>
  <c r="AN90" i="30"/>
  <c r="AM90" i="30"/>
  <c r="AL90" i="30"/>
  <c r="AJ90" i="30"/>
  <c r="AI90" i="30"/>
  <c r="AH90" i="30"/>
  <c r="AG90" i="30"/>
  <c r="AA90" i="30"/>
  <c r="X90" i="30"/>
  <c r="Z90" i="30" s="1"/>
  <c r="W90" i="30"/>
  <c r="AQ89" i="30"/>
  <c r="AR89" i="30" s="1"/>
  <c r="AP89" i="30"/>
  <c r="AO89" i="30"/>
  <c r="AN89" i="30"/>
  <c r="AM89" i="30"/>
  <c r="AL89" i="30"/>
  <c r="AJ89" i="30"/>
  <c r="AI89" i="30"/>
  <c r="AH89" i="30"/>
  <c r="AG89" i="30"/>
  <c r="AA89" i="30"/>
  <c r="X89" i="30"/>
  <c r="Z89" i="30" s="1"/>
  <c r="W89" i="30"/>
  <c r="AQ88" i="30"/>
  <c r="AU88" i="30" s="1"/>
  <c r="AP88" i="30"/>
  <c r="AO88" i="30"/>
  <c r="AN88" i="30"/>
  <c r="AM88" i="30"/>
  <c r="AL88" i="30"/>
  <c r="AJ88" i="30"/>
  <c r="AI88" i="30"/>
  <c r="AH88" i="30"/>
  <c r="AG88" i="30"/>
  <c r="AA88" i="30"/>
  <c r="X88" i="30"/>
  <c r="Z88" i="30" s="1"/>
  <c r="W88" i="30"/>
  <c r="AQ87" i="30"/>
  <c r="AP87" i="30"/>
  <c r="AO87" i="30"/>
  <c r="AN87" i="30"/>
  <c r="AM87" i="30"/>
  <c r="AL87" i="30"/>
  <c r="AJ87" i="30"/>
  <c r="AI87" i="30"/>
  <c r="AH87" i="30"/>
  <c r="AG87" i="30"/>
  <c r="AA87" i="30"/>
  <c r="X87" i="30"/>
  <c r="W87" i="30"/>
  <c r="AQ86" i="30"/>
  <c r="AP86" i="30"/>
  <c r="AO86" i="30"/>
  <c r="AN86" i="30"/>
  <c r="AM86" i="30"/>
  <c r="AL86" i="30"/>
  <c r="AJ86" i="30"/>
  <c r="AI86" i="30"/>
  <c r="AH86" i="30"/>
  <c r="AG86" i="30"/>
  <c r="AA86" i="30"/>
  <c r="X86" i="30"/>
  <c r="Z86" i="30" s="1"/>
  <c r="W86" i="30"/>
  <c r="AQ85" i="30"/>
  <c r="AT85" i="30" s="1"/>
  <c r="AP85" i="30"/>
  <c r="AO85" i="30"/>
  <c r="AN85" i="30"/>
  <c r="AM85" i="30"/>
  <c r="AL85" i="30"/>
  <c r="AJ85" i="30"/>
  <c r="AI85" i="30"/>
  <c r="AH85" i="30"/>
  <c r="AG85" i="30"/>
  <c r="AA85" i="30"/>
  <c r="X85" i="30"/>
  <c r="W85" i="30"/>
  <c r="AQ84" i="30"/>
  <c r="AU84" i="30" s="1"/>
  <c r="AP84" i="30"/>
  <c r="AO84" i="30"/>
  <c r="AN84" i="30"/>
  <c r="AM84" i="30"/>
  <c r="AL84" i="30"/>
  <c r="AJ84" i="30"/>
  <c r="AI84" i="30"/>
  <c r="AH84" i="30"/>
  <c r="AG84" i="30"/>
  <c r="AA84" i="30"/>
  <c r="X84" i="30"/>
  <c r="Y84" i="30" s="1"/>
  <c r="W84" i="30"/>
  <c r="AQ83" i="30"/>
  <c r="AP83" i="30"/>
  <c r="AO83" i="30"/>
  <c r="AN83" i="30"/>
  <c r="AG83" i="30" s="1"/>
  <c r="AH83" i="30"/>
  <c r="AA83" i="30"/>
  <c r="X83" i="30"/>
  <c r="W83" i="30"/>
  <c r="AQ82" i="30"/>
  <c r="AS82" i="30" s="1"/>
  <c r="AP82" i="30"/>
  <c r="AO82" i="30"/>
  <c r="AN82" i="30"/>
  <c r="AG82" i="30" s="1"/>
  <c r="AH82" i="30"/>
  <c r="AI82" i="30" s="1"/>
  <c r="AA82" i="30"/>
  <c r="X82" i="30"/>
  <c r="Z82" i="30" s="1"/>
  <c r="W82" i="30"/>
  <c r="AQ81" i="30"/>
  <c r="AU81" i="30" s="1"/>
  <c r="AP81" i="30"/>
  <c r="AO81" i="30"/>
  <c r="AN81" i="30"/>
  <c r="AG81" i="30" s="1"/>
  <c r="AH81" i="30"/>
  <c r="AJ81" i="30" s="1"/>
  <c r="AA81" i="30"/>
  <c r="X81" i="30"/>
  <c r="Z81" i="30" s="1"/>
  <c r="W81" i="30"/>
  <c r="AQ80" i="30"/>
  <c r="AU80" i="30" s="1"/>
  <c r="AP80" i="30"/>
  <c r="AO80" i="30"/>
  <c r="AN80" i="30"/>
  <c r="AG80" i="30" s="1"/>
  <c r="AH80" i="30"/>
  <c r="AA80" i="30"/>
  <c r="X80" i="30"/>
  <c r="Z80" i="30" s="1"/>
  <c r="W80" i="30"/>
  <c r="AQ79" i="30"/>
  <c r="AP79" i="30"/>
  <c r="AH79" i="30" s="1"/>
  <c r="AO79" i="30"/>
  <c r="AN79" i="30"/>
  <c r="AG79" i="30" s="1"/>
  <c r="AA79" i="30"/>
  <c r="X79" i="30"/>
  <c r="W79" i="30"/>
  <c r="AQ78" i="30"/>
  <c r="AT78" i="30" s="1"/>
  <c r="AP78" i="30"/>
  <c r="AH78" i="30" s="1"/>
  <c r="AO78" i="30"/>
  <c r="AN78" i="30"/>
  <c r="AG78" i="30" s="1"/>
  <c r="AA78" i="30"/>
  <c r="X78" i="30"/>
  <c r="Z78" i="30" s="1"/>
  <c r="W78" i="30"/>
  <c r="AQ77" i="30"/>
  <c r="AU77" i="30" s="1"/>
  <c r="AP77" i="30"/>
  <c r="AO77" i="30"/>
  <c r="AN77" i="30"/>
  <c r="AG77" i="30" s="1"/>
  <c r="AH77" i="30"/>
  <c r="AA77" i="30"/>
  <c r="X77" i="30"/>
  <c r="Z77" i="30" s="1"/>
  <c r="W77" i="30"/>
  <c r="AQ76" i="30"/>
  <c r="AU76" i="30" s="1"/>
  <c r="AP76" i="30"/>
  <c r="AH76" i="30" s="1"/>
  <c r="AO76" i="30"/>
  <c r="AN76" i="30"/>
  <c r="AG76" i="30" s="1"/>
  <c r="AA76" i="30"/>
  <c r="X76" i="30"/>
  <c r="W76" i="30"/>
  <c r="AQ75" i="30"/>
  <c r="AR75" i="30" s="1"/>
  <c r="AP75" i="30"/>
  <c r="AO75" i="30"/>
  <c r="AN75" i="30"/>
  <c r="AM75" i="30"/>
  <c r="AL75" i="30"/>
  <c r="AJ75" i="30"/>
  <c r="AI75" i="30"/>
  <c r="AH75" i="30"/>
  <c r="AG75" i="30"/>
  <c r="AA75" i="30"/>
  <c r="X75" i="30"/>
  <c r="W75" i="30"/>
  <c r="AQ74" i="30"/>
  <c r="AU74" i="30" s="1"/>
  <c r="AP74" i="30"/>
  <c r="AH74" i="30" s="1"/>
  <c r="AO74" i="30"/>
  <c r="AN74" i="30"/>
  <c r="AG74" i="30" s="1"/>
  <c r="AA74" i="30"/>
  <c r="X74" i="30"/>
  <c r="Y74" i="30" s="1"/>
  <c r="W74" i="30"/>
  <c r="AQ73" i="30"/>
  <c r="AT73" i="30" s="1"/>
  <c r="AP73" i="30"/>
  <c r="AH73" i="30" s="1"/>
  <c r="AO73" i="30"/>
  <c r="AN73" i="30"/>
  <c r="AG73" i="30" s="1"/>
  <c r="AA73" i="30"/>
  <c r="X73" i="30"/>
  <c r="Z73" i="30" s="1"/>
  <c r="W73" i="30"/>
  <c r="V73" i="30"/>
  <c r="AQ72" i="30"/>
  <c r="AP72" i="30"/>
  <c r="AH72" i="30" s="1"/>
  <c r="AO72" i="30"/>
  <c r="AN72" i="30"/>
  <c r="AG72" i="30" s="1"/>
  <c r="AA72" i="30"/>
  <c r="AY70" i="30"/>
  <c r="AU69" i="30"/>
  <c r="AT69" i="30"/>
  <c r="AS69" i="30"/>
  <c r="AR69" i="30"/>
  <c r="AQ69" i="30"/>
  <c r="AP69" i="30"/>
  <c r="AO69" i="30"/>
  <c r="AN69" i="30"/>
  <c r="AM69" i="30"/>
  <c r="AF69" i="30"/>
  <c r="AE69" i="30"/>
  <c r="AD69" i="30"/>
  <c r="AC69" i="30"/>
  <c r="AB69" i="30"/>
  <c r="AA69" i="30"/>
  <c r="Z69" i="30"/>
  <c r="Y69" i="30"/>
  <c r="X69" i="30"/>
  <c r="W69" i="30"/>
  <c r="V69" i="30"/>
  <c r="T69" i="30"/>
  <c r="R69" i="30"/>
  <c r="AB67" i="30"/>
  <c r="B64" i="30" a="1"/>
  <c r="B64" i="30" s="1"/>
  <c r="B56" i="30" a="1"/>
  <c r="B56" i="30" s="1"/>
  <c r="B55" i="30" a="1"/>
  <c r="B55" i="30" s="1"/>
  <c r="B54" i="30" a="1"/>
  <c r="B54" i="30" s="1"/>
  <c r="B53" i="30" a="1"/>
  <c r="B53" i="30" s="1"/>
  <c r="B52" i="30" a="1"/>
  <c r="B52" i="30" s="1"/>
  <c r="B51" i="30" a="1"/>
  <c r="B51" i="30" s="1"/>
  <c r="B50" i="30" a="1"/>
  <c r="B50" i="30" s="1"/>
  <c r="B49" i="30" a="1"/>
  <c r="B49" i="30" s="1"/>
  <c r="B48" i="30" a="1"/>
  <c r="B48" i="30" s="1"/>
  <c r="B47" i="30" a="1"/>
  <c r="B47" i="30" s="1"/>
  <c r="B46" i="30" a="1"/>
  <c r="B46" i="30" s="1"/>
  <c r="B45" i="30" a="1"/>
  <c r="B45" i="30" s="1"/>
  <c r="B44" i="30" a="1"/>
  <c r="B44" i="30" s="1"/>
  <c r="B43" i="30" a="1"/>
  <c r="B43" i="30" s="1"/>
  <c r="B42" i="30" a="1"/>
  <c r="B42" i="30" s="1"/>
  <c r="B41" i="30" a="1"/>
  <c r="B41" i="30" s="1"/>
  <c r="B40" i="30" a="1"/>
  <c r="B40" i="30" s="1"/>
  <c r="B39" i="30" a="1"/>
  <c r="B39" i="30" s="1"/>
  <c r="B38" i="30" a="1"/>
  <c r="B38" i="30" s="1"/>
  <c r="B37" i="30" a="1"/>
  <c r="B37" i="30" s="1"/>
  <c r="B36" i="30" a="1"/>
  <c r="B36" i="30" s="1"/>
  <c r="B35" i="30" a="1"/>
  <c r="B35" i="30" s="1"/>
  <c r="B34" i="30" a="1"/>
  <c r="B34" i="30" s="1"/>
  <c r="B33" i="30" a="1"/>
  <c r="B33" i="30" s="1"/>
  <c r="B32" i="30" a="1"/>
  <c r="B32" i="30" s="1"/>
  <c r="B31" i="30" a="1"/>
  <c r="B31" i="30" s="1"/>
  <c r="B30" i="30" a="1"/>
  <c r="B30" i="30" s="1"/>
  <c r="B29" i="30" a="1"/>
  <c r="B29" i="30" s="1"/>
  <c r="B28" i="30" a="1"/>
  <c r="B28" i="30" s="1"/>
  <c r="B27" i="30" a="1"/>
  <c r="B27" i="30" s="1"/>
  <c r="B26" i="30" a="1"/>
  <c r="B26" i="30" s="1"/>
  <c r="B25" i="30" a="1"/>
  <c r="B25" i="30" s="1"/>
  <c r="B24" i="30" a="1"/>
  <c r="B24" i="30" s="1"/>
  <c r="B23" i="30" a="1"/>
  <c r="B23" i="30" s="1"/>
  <c r="B22" i="30" a="1"/>
  <c r="B22" i="30" s="1"/>
  <c r="G20" i="30"/>
  <c r="E20" i="30"/>
  <c r="B16" i="30"/>
  <c r="Q15" i="30"/>
  <c r="P15" i="30"/>
  <c r="M15" i="30"/>
  <c r="L15" i="30"/>
  <c r="K15" i="30"/>
  <c r="Q14" i="30"/>
  <c r="P14" i="30"/>
  <c r="M14" i="30"/>
  <c r="L14" i="30"/>
  <c r="K14" i="30"/>
  <c r="Q13" i="30"/>
  <c r="P13" i="30"/>
  <c r="M13" i="30"/>
  <c r="L13" i="30"/>
  <c r="K13" i="30"/>
  <c r="Q12" i="30"/>
  <c r="P12" i="30"/>
  <c r="M12" i="30"/>
  <c r="L12" i="30"/>
  <c r="K12" i="30"/>
  <c r="Q11" i="30"/>
  <c r="P11" i="30"/>
  <c r="M11" i="30"/>
  <c r="L11" i="30"/>
  <c r="K11" i="30"/>
  <c r="G11" i="30" a="1"/>
  <c r="G11" i="30" s="1"/>
  <c r="B11" i="30" a="1"/>
  <c r="B11" i="30" s="1"/>
  <c r="Q10" i="30"/>
  <c r="P10" i="30"/>
  <c r="M10" i="30"/>
  <c r="L10" i="30"/>
  <c r="K10" i="30"/>
  <c r="Q9" i="30"/>
  <c r="P9" i="30"/>
  <c r="M9" i="30"/>
  <c r="L9" i="30"/>
  <c r="K9" i="30"/>
  <c r="Q8" i="30"/>
  <c r="P8" i="30"/>
  <c r="M8" i="30"/>
  <c r="L8" i="30"/>
  <c r="K8" i="30"/>
  <c r="Q7" i="30"/>
  <c r="P7" i="30"/>
  <c r="M7" i="30"/>
  <c r="L7" i="30"/>
  <c r="K7" i="30"/>
  <c r="H7" i="30" a="1"/>
  <c r="H7" i="30" s="1"/>
  <c r="Q6" i="30"/>
  <c r="P6" i="30"/>
  <c r="C20" i="30" s="1" a="1"/>
  <c r="C20" i="30" s="1"/>
  <c r="M6" i="30"/>
  <c r="B6" i="30" s="1" a="1"/>
  <c r="B6" i="30" s="1"/>
  <c r="A1" i="30" s="1"/>
  <c r="L6" i="30"/>
  <c r="B7" i="30" s="1" a="1"/>
  <c r="B7" i="30" s="1"/>
  <c r="K6" i="30"/>
  <c r="BD432" i="29"/>
  <c r="T4" i="29" s="1"/>
  <c r="AQ430" i="29"/>
  <c r="AP430" i="29"/>
  <c r="AO430" i="29"/>
  <c r="AN430" i="29"/>
  <c r="AM430" i="29"/>
  <c r="AL430" i="29"/>
  <c r="AJ430" i="29"/>
  <c r="AI430" i="29"/>
  <c r="AH430" i="29"/>
  <c r="AG430" i="29"/>
  <c r="AA430" i="29"/>
  <c r="X430" i="29"/>
  <c r="Z430" i="29" s="1"/>
  <c r="W430" i="29"/>
  <c r="AQ429" i="29"/>
  <c r="AP429" i="29"/>
  <c r="AO429" i="29"/>
  <c r="AN429" i="29"/>
  <c r="AM429" i="29"/>
  <c r="AL429" i="29"/>
  <c r="AJ429" i="29"/>
  <c r="AI429" i="29"/>
  <c r="AH429" i="29"/>
  <c r="AG429" i="29"/>
  <c r="AA429" i="29"/>
  <c r="X429" i="29"/>
  <c r="W429" i="29"/>
  <c r="AQ428" i="29"/>
  <c r="AP428" i="29"/>
  <c r="AO428" i="29"/>
  <c r="AN428" i="29"/>
  <c r="AM428" i="29"/>
  <c r="AL428" i="29"/>
  <c r="AJ428" i="29"/>
  <c r="AI428" i="29"/>
  <c r="AH428" i="29"/>
  <c r="AG428" i="29"/>
  <c r="AA428" i="29"/>
  <c r="X428" i="29"/>
  <c r="Z428" i="29" s="1"/>
  <c r="W428" i="29"/>
  <c r="AQ427" i="29"/>
  <c r="AU427" i="29" s="1"/>
  <c r="AP427" i="29"/>
  <c r="AO427" i="29"/>
  <c r="AN427" i="29"/>
  <c r="AM427" i="29"/>
  <c r="AL427" i="29"/>
  <c r="AJ427" i="29"/>
  <c r="AI427" i="29"/>
  <c r="AH427" i="29"/>
  <c r="AG427" i="29"/>
  <c r="AA427" i="29"/>
  <c r="X427" i="29"/>
  <c r="W427" i="29"/>
  <c r="AQ426" i="29"/>
  <c r="AT426" i="29" s="1"/>
  <c r="AP426" i="29"/>
  <c r="AO426" i="29"/>
  <c r="AN426" i="29"/>
  <c r="AM426" i="29"/>
  <c r="AL426" i="29"/>
  <c r="AJ426" i="29"/>
  <c r="AI426" i="29"/>
  <c r="AH426" i="29"/>
  <c r="AG426" i="29"/>
  <c r="AA426" i="29"/>
  <c r="X426" i="29"/>
  <c r="W426" i="29"/>
  <c r="AQ425" i="29"/>
  <c r="AR425" i="29" s="1"/>
  <c r="AP425" i="29"/>
  <c r="AO425" i="29"/>
  <c r="AN425" i="29"/>
  <c r="AM425" i="29"/>
  <c r="AL425" i="29"/>
  <c r="AJ425" i="29"/>
  <c r="AI425" i="29"/>
  <c r="AH425" i="29"/>
  <c r="AG425" i="29"/>
  <c r="AA425" i="29"/>
  <c r="X425" i="29"/>
  <c r="Z425" i="29" s="1"/>
  <c r="W425" i="29"/>
  <c r="AQ424" i="29"/>
  <c r="AU424" i="29" s="1"/>
  <c r="AP424" i="29"/>
  <c r="AO424" i="29"/>
  <c r="AN424" i="29"/>
  <c r="AM424" i="29"/>
  <c r="AL424" i="29"/>
  <c r="AJ424" i="29"/>
  <c r="AI424" i="29"/>
  <c r="AH424" i="29"/>
  <c r="AG424" i="29"/>
  <c r="AA424" i="29"/>
  <c r="X424" i="29"/>
  <c r="Y424" i="29" s="1"/>
  <c r="W424" i="29"/>
  <c r="AQ423" i="29"/>
  <c r="AU423" i="29" s="1"/>
  <c r="AP423" i="29"/>
  <c r="AO423" i="29"/>
  <c r="AN423" i="29"/>
  <c r="AM423" i="29"/>
  <c r="AL423" i="29"/>
  <c r="AJ423" i="29"/>
  <c r="AI423" i="29"/>
  <c r="AH423" i="29"/>
  <c r="AG423" i="29"/>
  <c r="AA423" i="29"/>
  <c r="X423" i="29"/>
  <c r="Y423" i="29" s="1"/>
  <c r="W423" i="29"/>
  <c r="AQ422" i="29"/>
  <c r="AP422" i="29"/>
  <c r="AO422" i="29"/>
  <c r="AN422" i="29"/>
  <c r="AM422" i="29"/>
  <c r="AL422" i="29"/>
  <c r="AJ422" i="29"/>
  <c r="AI422" i="29"/>
  <c r="AH422" i="29"/>
  <c r="AG422" i="29"/>
  <c r="AA422" i="29"/>
  <c r="X422" i="29"/>
  <c r="Z422" i="29" s="1"/>
  <c r="W422" i="29"/>
  <c r="AQ421" i="29"/>
  <c r="AU421" i="29" s="1"/>
  <c r="AP421" i="29"/>
  <c r="AO421" i="29"/>
  <c r="AN421" i="29"/>
  <c r="AM421" i="29"/>
  <c r="AL421" i="29"/>
  <c r="AJ421" i="29"/>
  <c r="AI421" i="29"/>
  <c r="AH421" i="29"/>
  <c r="AG421" i="29"/>
  <c r="AA421" i="29"/>
  <c r="X421" i="29"/>
  <c r="Y421" i="29" s="1"/>
  <c r="W421" i="29"/>
  <c r="AQ420" i="29"/>
  <c r="AU420" i="29" s="1"/>
  <c r="AP420" i="29"/>
  <c r="AO420" i="29"/>
  <c r="AN420" i="29"/>
  <c r="AM420" i="29"/>
  <c r="AL420" i="29"/>
  <c r="AJ420" i="29"/>
  <c r="AI420" i="29"/>
  <c r="AH420" i="29"/>
  <c r="AG420" i="29"/>
  <c r="AA420" i="29"/>
  <c r="X420" i="29"/>
  <c r="Y420" i="29" s="1"/>
  <c r="W420" i="29"/>
  <c r="AQ419" i="29"/>
  <c r="AT419" i="29" s="1"/>
  <c r="AP419" i="29"/>
  <c r="AO419" i="29"/>
  <c r="AN419" i="29"/>
  <c r="AM419" i="29"/>
  <c r="AL419" i="29"/>
  <c r="AJ419" i="29"/>
  <c r="AI419" i="29"/>
  <c r="AH419" i="29"/>
  <c r="AG419" i="29"/>
  <c r="AA419" i="29"/>
  <c r="X419" i="29"/>
  <c r="Y419" i="29" s="1"/>
  <c r="W419" i="29"/>
  <c r="AQ418" i="29"/>
  <c r="AP418" i="29"/>
  <c r="AO418" i="29"/>
  <c r="AN418" i="29"/>
  <c r="AM418" i="29"/>
  <c r="AL418" i="29"/>
  <c r="AJ418" i="29"/>
  <c r="AI418" i="29"/>
  <c r="AH418" i="29"/>
  <c r="AG418" i="29"/>
  <c r="AA418" i="29"/>
  <c r="X418" i="29"/>
  <c r="W418" i="29"/>
  <c r="AQ417" i="29"/>
  <c r="AR417" i="29" s="1"/>
  <c r="AP417" i="29"/>
  <c r="AO417" i="29"/>
  <c r="AN417" i="29"/>
  <c r="AM417" i="29"/>
  <c r="AL417" i="29"/>
  <c r="AJ417" i="29"/>
  <c r="AI417" i="29"/>
  <c r="AH417" i="29"/>
  <c r="AG417" i="29"/>
  <c r="AA417" i="29"/>
  <c r="X417" i="29"/>
  <c r="W417" i="29"/>
  <c r="AQ416" i="29"/>
  <c r="AP416" i="29"/>
  <c r="AO416" i="29"/>
  <c r="AN416" i="29"/>
  <c r="AM416" i="29"/>
  <c r="AL416" i="29"/>
  <c r="AJ416" i="29"/>
  <c r="AI416" i="29"/>
  <c r="AH416" i="29"/>
  <c r="AG416" i="29"/>
  <c r="AA416" i="29"/>
  <c r="X416" i="29"/>
  <c r="Z416" i="29" s="1"/>
  <c r="W416" i="29"/>
  <c r="AQ415" i="29"/>
  <c r="AS415" i="29" s="1"/>
  <c r="AP415" i="29"/>
  <c r="AO415" i="29"/>
  <c r="AN415" i="29"/>
  <c r="AM415" i="29"/>
  <c r="AL415" i="29"/>
  <c r="AJ415" i="29"/>
  <c r="AI415" i="29"/>
  <c r="AH415" i="29"/>
  <c r="AG415" i="29"/>
  <c r="AA415" i="29"/>
  <c r="X415" i="29"/>
  <c r="Z415" i="29" s="1"/>
  <c r="W415" i="29"/>
  <c r="AQ414" i="29"/>
  <c r="AU414" i="29" s="1"/>
  <c r="AP414" i="29"/>
  <c r="AO414" i="29"/>
  <c r="AN414" i="29"/>
  <c r="AM414" i="29"/>
  <c r="AL414" i="29"/>
  <c r="AJ414" i="29"/>
  <c r="AI414" i="29"/>
  <c r="AH414" i="29"/>
  <c r="AG414" i="29"/>
  <c r="AA414" i="29"/>
  <c r="X414" i="29"/>
  <c r="Z414" i="29" s="1"/>
  <c r="W414" i="29"/>
  <c r="AQ413" i="29"/>
  <c r="AP413" i="29"/>
  <c r="AO413" i="29"/>
  <c r="AN413" i="29"/>
  <c r="AM413" i="29"/>
  <c r="AL413" i="29"/>
  <c r="AJ413" i="29"/>
  <c r="AI413" i="29"/>
  <c r="AH413" i="29"/>
  <c r="AG413" i="29"/>
  <c r="AA413" i="29"/>
  <c r="X413" i="29"/>
  <c r="W413" i="29"/>
  <c r="AQ412" i="29"/>
  <c r="AP412" i="29"/>
  <c r="AO412" i="29"/>
  <c r="AN412" i="29"/>
  <c r="AM412" i="29"/>
  <c r="AL412" i="29"/>
  <c r="AJ412" i="29"/>
  <c r="AI412" i="29"/>
  <c r="AH412" i="29"/>
  <c r="AG412" i="29"/>
  <c r="AA412" i="29"/>
  <c r="X412" i="29"/>
  <c r="Y412" i="29" s="1"/>
  <c r="W412" i="29"/>
  <c r="AQ411" i="29"/>
  <c r="AT411" i="29" s="1"/>
  <c r="AP411" i="29"/>
  <c r="AO411" i="29"/>
  <c r="AN411" i="29"/>
  <c r="AM411" i="29"/>
  <c r="AL411" i="29"/>
  <c r="AJ411" i="29"/>
  <c r="AI411" i="29"/>
  <c r="AH411" i="29"/>
  <c r="AG411" i="29"/>
  <c r="AA411" i="29"/>
  <c r="X411" i="29"/>
  <c r="Z411" i="29" s="1"/>
  <c r="W411" i="29"/>
  <c r="AQ410" i="29"/>
  <c r="AP410" i="29"/>
  <c r="AO410" i="29"/>
  <c r="AN410" i="29"/>
  <c r="AM410" i="29"/>
  <c r="AL410" i="29"/>
  <c r="AJ410" i="29"/>
  <c r="AI410" i="29"/>
  <c r="AH410" i="29"/>
  <c r="AG410" i="29"/>
  <c r="AA410" i="29"/>
  <c r="X410" i="29"/>
  <c r="Z410" i="29" s="1"/>
  <c r="W410" i="29"/>
  <c r="AQ409" i="29"/>
  <c r="AT409" i="29" s="1"/>
  <c r="AP409" i="29"/>
  <c r="AO409" i="29"/>
  <c r="AN409" i="29"/>
  <c r="AM409" i="29"/>
  <c r="AL409" i="29"/>
  <c r="AJ409" i="29"/>
  <c r="AI409" i="29"/>
  <c r="AH409" i="29"/>
  <c r="AG409" i="29"/>
  <c r="AA409" i="29"/>
  <c r="X409" i="29"/>
  <c r="Z409" i="29" s="1"/>
  <c r="W409" i="29"/>
  <c r="AQ408" i="29"/>
  <c r="AT408" i="29" s="1"/>
  <c r="AP408" i="29"/>
  <c r="AO408" i="29"/>
  <c r="AN408" i="29"/>
  <c r="AM408" i="29"/>
  <c r="AL408" i="29"/>
  <c r="AJ408" i="29"/>
  <c r="AI408" i="29"/>
  <c r="AH408" i="29"/>
  <c r="AG408" i="29"/>
  <c r="AA408" i="29"/>
  <c r="X408" i="29"/>
  <c r="Y408" i="29" s="1"/>
  <c r="W408" i="29"/>
  <c r="AQ407" i="29"/>
  <c r="AT407" i="29" s="1"/>
  <c r="AP407" i="29"/>
  <c r="AO407" i="29"/>
  <c r="AN407" i="29"/>
  <c r="AM407" i="29"/>
  <c r="AL407" i="29"/>
  <c r="AJ407" i="29"/>
  <c r="AI407" i="29"/>
  <c r="AH407" i="29"/>
  <c r="AG407" i="29"/>
  <c r="AA407" i="29"/>
  <c r="X407" i="29"/>
  <c r="W407" i="29"/>
  <c r="AQ406" i="29"/>
  <c r="AS406" i="29" s="1"/>
  <c r="AP406" i="29"/>
  <c r="AO406" i="29"/>
  <c r="AN406" i="29"/>
  <c r="AM406" i="29"/>
  <c r="AL406" i="29"/>
  <c r="AJ406" i="29"/>
  <c r="AI406" i="29"/>
  <c r="AH406" i="29"/>
  <c r="AG406" i="29"/>
  <c r="AA406" i="29"/>
  <c r="X406" i="29"/>
  <c r="Z406" i="29" s="1"/>
  <c r="W406" i="29"/>
  <c r="AQ405" i="29"/>
  <c r="AR405" i="29" s="1"/>
  <c r="AP405" i="29"/>
  <c r="AO405" i="29"/>
  <c r="AN405" i="29"/>
  <c r="AM405" i="29"/>
  <c r="AL405" i="29"/>
  <c r="AJ405" i="29"/>
  <c r="AI405" i="29"/>
  <c r="AH405" i="29"/>
  <c r="AG405" i="29"/>
  <c r="AA405" i="29"/>
  <c r="X405" i="29"/>
  <c r="Z405" i="29" s="1"/>
  <c r="W405" i="29"/>
  <c r="AQ404" i="29"/>
  <c r="AS404" i="29" s="1"/>
  <c r="AP404" i="29"/>
  <c r="AO404" i="29"/>
  <c r="AN404" i="29"/>
  <c r="AM404" i="29"/>
  <c r="AL404" i="29"/>
  <c r="AJ404" i="29"/>
  <c r="AI404" i="29"/>
  <c r="AH404" i="29"/>
  <c r="AG404" i="29"/>
  <c r="AA404" i="29"/>
  <c r="X404" i="29"/>
  <c r="Z404" i="29" s="1"/>
  <c r="W404" i="29"/>
  <c r="AQ403" i="29"/>
  <c r="AP403" i="29"/>
  <c r="AO403" i="29"/>
  <c r="AN403" i="29"/>
  <c r="AM403" i="29"/>
  <c r="AL403" i="29"/>
  <c r="AJ403" i="29"/>
  <c r="AI403" i="29"/>
  <c r="AH403" i="29"/>
  <c r="AG403" i="29"/>
  <c r="AA403" i="29"/>
  <c r="X403" i="29"/>
  <c r="Z403" i="29" s="1"/>
  <c r="W403" i="29"/>
  <c r="AQ402" i="29"/>
  <c r="AP402" i="29"/>
  <c r="AO402" i="29"/>
  <c r="AN402" i="29"/>
  <c r="AM402" i="29"/>
  <c r="AL402" i="29"/>
  <c r="AJ402" i="29"/>
  <c r="AI402" i="29"/>
  <c r="AH402" i="29"/>
  <c r="AG402" i="29"/>
  <c r="AA402" i="29"/>
  <c r="X402" i="29"/>
  <c r="Z402" i="29" s="1"/>
  <c r="W402" i="29"/>
  <c r="AQ401" i="29"/>
  <c r="AU401" i="29" s="1"/>
  <c r="AP401" i="29"/>
  <c r="AO401" i="29"/>
  <c r="AN401" i="29"/>
  <c r="AM401" i="29"/>
  <c r="AL401" i="29"/>
  <c r="AJ401" i="29"/>
  <c r="AI401" i="29"/>
  <c r="AH401" i="29"/>
  <c r="AG401" i="29"/>
  <c r="AA401" i="29"/>
  <c r="X401" i="29"/>
  <c r="W401" i="29"/>
  <c r="AQ400" i="29"/>
  <c r="AP400" i="29"/>
  <c r="AO400" i="29"/>
  <c r="AN400" i="29"/>
  <c r="AM400" i="29"/>
  <c r="AL400" i="29"/>
  <c r="AJ400" i="29"/>
  <c r="AI400" i="29"/>
  <c r="AH400" i="29"/>
  <c r="AG400" i="29"/>
  <c r="AA400" i="29"/>
  <c r="X400" i="29"/>
  <c r="Z400" i="29" s="1"/>
  <c r="W400" i="29"/>
  <c r="AQ399" i="29"/>
  <c r="AR399" i="29" s="1"/>
  <c r="AP399" i="29"/>
  <c r="AO399" i="29"/>
  <c r="AN399" i="29"/>
  <c r="AM399" i="29"/>
  <c r="AL399" i="29"/>
  <c r="AJ399" i="29"/>
  <c r="AI399" i="29"/>
  <c r="AH399" i="29"/>
  <c r="AG399" i="29"/>
  <c r="AA399" i="29"/>
  <c r="X399" i="29"/>
  <c r="Z399" i="29" s="1"/>
  <c r="W399" i="29"/>
  <c r="AQ398" i="29"/>
  <c r="AP398" i="29"/>
  <c r="AO398" i="29"/>
  <c r="AN398" i="29"/>
  <c r="AM398" i="29"/>
  <c r="AL398" i="29"/>
  <c r="AJ398" i="29"/>
  <c r="AI398" i="29"/>
  <c r="AH398" i="29"/>
  <c r="AG398" i="29"/>
  <c r="AA398" i="29"/>
  <c r="X398" i="29"/>
  <c r="Z398" i="29" s="1"/>
  <c r="W398" i="29"/>
  <c r="AQ397" i="29"/>
  <c r="AS397" i="29" s="1"/>
  <c r="AP397" i="29"/>
  <c r="AO397" i="29"/>
  <c r="AN397" i="29"/>
  <c r="AM397" i="29"/>
  <c r="AL397" i="29"/>
  <c r="AJ397" i="29"/>
  <c r="AI397" i="29"/>
  <c r="AH397" i="29"/>
  <c r="AG397" i="29"/>
  <c r="AA397" i="29"/>
  <c r="X397" i="29"/>
  <c r="Z397" i="29" s="1"/>
  <c r="W397" i="29"/>
  <c r="V397" i="29"/>
  <c r="AQ396" i="29"/>
  <c r="AT396" i="29" s="1"/>
  <c r="AP396" i="29"/>
  <c r="AH396" i="29" s="1"/>
  <c r="AO396" i="29"/>
  <c r="AN396" i="29"/>
  <c r="AG396" i="29" s="1"/>
  <c r="AA396" i="29"/>
  <c r="AQ394" i="29"/>
  <c r="AP394" i="29"/>
  <c r="AO394" i="29"/>
  <c r="AN394" i="29"/>
  <c r="AM394" i="29"/>
  <c r="AL394" i="29"/>
  <c r="AJ394" i="29"/>
  <c r="AI394" i="29"/>
  <c r="AH394" i="29"/>
  <c r="AG394" i="29"/>
  <c r="AA394" i="29"/>
  <c r="X394" i="29"/>
  <c r="Z394" i="29" s="1"/>
  <c r="W394" i="29"/>
  <c r="AQ393" i="29"/>
  <c r="AU393" i="29" s="1"/>
  <c r="AP393" i="29"/>
  <c r="AO393" i="29"/>
  <c r="AN393" i="29"/>
  <c r="AM393" i="29"/>
  <c r="AL393" i="29"/>
  <c r="AJ393" i="29"/>
  <c r="AI393" i="29"/>
  <c r="AH393" i="29"/>
  <c r="AG393" i="29"/>
  <c r="AA393" i="29"/>
  <c r="X393" i="29"/>
  <c r="Z393" i="29" s="1"/>
  <c r="W393" i="29"/>
  <c r="AQ392" i="29"/>
  <c r="AP392" i="29"/>
  <c r="AO392" i="29"/>
  <c r="AN392" i="29"/>
  <c r="AM392" i="29"/>
  <c r="AL392" i="29"/>
  <c r="AJ392" i="29"/>
  <c r="AI392" i="29"/>
  <c r="AH392" i="29"/>
  <c r="AG392" i="29"/>
  <c r="AA392" i="29"/>
  <c r="X392" i="29"/>
  <c r="Z392" i="29" s="1"/>
  <c r="W392" i="29"/>
  <c r="AQ391" i="29"/>
  <c r="AR391" i="29" s="1"/>
  <c r="AP391" i="29"/>
  <c r="AO391" i="29"/>
  <c r="AN391" i="29"/>
  <c r="AM391" i="29"/>
  <c r="AL391" i="29"/>
  <c r="AJ391" i="29"/>
  <c r="AI391" i="29"/>
  <c r="AH391" i="29"/>
  <c r="AG391" i="29"/>
  <c r="AA391" i="29"/>
  <c r="X391" i="29"/>
  <c r="Z391" i="29" s="1"/>
  <c r="W391" i="29"/>
  <c r="AQ390" i="29"/>
  <c r="AU390" i="29" s="1"/>
  <c r="AP390" i="29"/>
  <c r="AO390" i="29"/>
  <c r="AN390" i="29"/>
  <c r="AM390" i="29"/>
  <c r="AL390" i="29"/>
  <c r="AJ390" i="29"/>
  <c r="AI390" i="29"/>
  <c r="AH390" i="29"/>
  <c r="AG390" i="29"/>
  <c r="AA390" i="29"/>
  <c r="X390" i="29"/>
  <c r="Y390" i="29" s="1"/>
  <c r="W390" i="29"/>
  <c r="AQ389" i="29"/>
  <c r="AU389" i="29" s="1"/>
  <c r="AP389" i="29"/>
  <c r="AO389" i="29"/>
  <c r="AN389" i="29"/>
  <c r="AM389" i="29"/>
  <c r="AL389" i="29"/>
  <c r="AJ389" i="29"/>
  <c r="AI389" i="29"/>
  <c r="AH389" i="29"/>
  <c r="AG389" i="29"/>
  <c r="AA389" i="29"/>
  <c r="X389" i="29"/>
  <c r="Z389" i="29" s="1"/>
  <c r="W389" i="29"/>
  <c r="AQ388" i="29"/>
  <c r="AR388" i="29" s="1"/>
  <c r="AP388" i="29"/>
  <c r="AO388" i="29"/>
  <c r="AN388" i="29"/>
  <c r="AM388" i="29"/>
  <c r="AL388" i="29"/>
  <c r="AJ388" i="29"/>
  <c r="AI388" i="29"/>
  <c r="AH388" i="29"/>
  <c r="AG388" i="29"/>
  <c r="AA388" i="29"/>
  <c r="X388" i="29"/>
  <c r="W388" i="29"/>
  <c r="AQ387" i="29"/>
  <c r="AP387" i="29"/>
  <c r="AO387" i="29"/>
  <c r="AN387" i="29"/>
  <c r="AM387" i="29"/>
  <c r="AL387" i="29"/>
  <c r="AJ387" i="29"/>
  <c r="AI387" i="29"/>
  <c r="AH387" i="29"/>
  <c r="AG387" i="29"/>
  <c r="AA387" i="29"/>
  <c r="X387" i="29"/>
  <c r="Z387" i="29" s="1"/>
  <c r="W387" i="29"/>
  <c r="AQ386" i="29"/>
  <c r="AU386" i="29" s="1"/>
  <c r="AP386" i="29"/>
  <c r="AO386" i="29"/>
  <c r="AN386" i="29"/>
  <c r="AM386" i="29"/>
  <c r="AL386" i="29"/>
  <c r="AJ386" i="29"/>
  <c r="AI386" i="29"/>
  <c r="AH386" i="29"/>
  <c r="AG386" i="29"/>
  <c r="AA386" i="29"/>
  <c r="X386" i="29"/>
  <c r="Z386" i="29" s="1"/>
  <c r="W386" i="29"/>
  <c r="AQ385" i="29"/>
  <c r="AT385" i="29" s="1"/>
  <c r="AP385" i="29"/>
  <c r="AO385" i="29"/>
  <c r="AN385" i="29"/>
  <c r="AM385" i="29"/>
  <c r="AL385" i="29"/>
  <c r="AJ385" i="29"/>
  <c r="AI385" i="29"/>
  <c r="AH385" i="29"/>
  <c r="AG385" i="29"/>
  <c r="AA385" i="29"/>
  <c r="X385" i="29"/>
  <c r="Y385" i="29" s="1"/>
  <c r="W385" i="29"/>
  <c r="AQ384" i="29"/>
  <c r="AP384" i="29"/>
  <c r="AO384" i="29"/>
  <c r="AN384" i="29"/>
  <c r="AM384" i="29"/>
  <c r="AL384" i="29"/>
  <c r="AJ384" i="29"/>
  <c r="AI384" i="29"/>
  <c r="AH384" i="29"/>
  <c r="AG384" i="29"/>
  <c r="AA384" i="29"/>
  <c r="X384" i="29"/>
  <c r="Y384" i="29" s="1"/>
  <c r="W384" i="29"/>
  <c r="AQ383" i="29"/>
  <c r="AT383" i="29" s="1"/>
  <c r="AP383" i="29"/>
  <c r="AO383" i="29"/>
  <c r="AN383" i="29"/>
  <c r="AM383" i="29"/>
  <c r="AL383" i="29"/>
  <c r="AJ383" i="29"/>
  <c r="AI383" i="29"/>
  <c r="AH383" i="29"/>
  <c r="AG383" i="29"/>
  <c r="AA383" i="29"/>
  <c r="X383" i="29"/>
  <c r="W383" i="29"/>
  <c r="AQ382" i="29"/>
  <c r="AP382" i="29"/>
  <c r="AO382" i="29"/>
  <c r="AN382" i="29"/>
  <c r="AM382" i="29"/>
  <c r="AL382" i="29"/>
  <c r="AJ382" i="29"/>
  <c r="AI382" i="29"/>
  <c r="AH382" i="29"/>
  <c r="AG382" i="29"/>
  <c r="AA382" i="29"/>
  <c r="X382" i="29"/>
  <c r="W382" i="29"/>
  <c r="AQ381" i="29"/>
  <c r="AU381" i="29" s="1"/>
  <c r="AP381" i="29"/>
  <c r="AO381" i="29"/>
  <c r="AN381" i="29"/>
  <c r="AM381" i="29"/>
  <c r="AL381" i="29"/>
  <c r="AJ381" i="29"/>
  <c r="AI381" i="29"/>
  <c r="AH381" i="29"/>
  <c r="AG381" i="29"/>
  <c r="AA381" i="29"/>
  <c r="X381" i="29"/>
  <c r="Z381" i="29" s="1"/>
  <c r="W381" i="29"/>
  <c r="AQ380" i="29"/>
  <c r="AP380" i="29"/>
  <c r="AO380" i="29"/>
  <c r="AN380" i="29"/>
  <c r="AM380" i="29"/>
  <c r="AL380" i="29"/>
  <c r="AJ380" i="29"/>
  <c r="AI380" i="29"/>
  <c r="AH380" i="29"/>
  <c r="AG380" i="29"/>
  <c r="AA380" i="29"/>
  <c r="X380" i="29"/>
  <c r="W380" i="29"/>
  <c r="AQ379" i="29"/>
  <c r="AP379" i="29"/>
  <c r="AO379" i="29"/>
  <c r="AN379" i="29"/>
  <c r="AM379" i="29"/>
  <c r="AL379" i="29"/>
  <c r="AJ379" i="29"/>
  <c r="AI379" i="29"/>
  <c r="AH379" i="29"/>
  <c r="AG379" i="29"/>
  <c r="AA379" i="29"/>
  <c r="X379" i="29"/>
  <c r="Z379" i="29" s="1"/>
  <c r="W379" i="29"/>
  <c r="AQ378" i="29"/>
  <c r="AT378" i="29" s="1"/>
  <c r="AP378" i="29"/>
  <c r="AO378" i="29"/>
  <c r="AN378" i="29"/>
  <c r="AM378" i="29"/>
  <c r="AL378" i="29"/>
  <c r="AJ378" i="29"/>
  <c r="AI378" i="29"/>
  <c r="AH378" i="29"/>
  <c r="AG378" i="29"/>
  <c r="AA378" i="29"/>
  <c r="X378" i="29"/>
  <c r="Z378" i="29" s="1"/>
  <c r="W378" i="29"/>
  <c r="AQ377" i="29"/>
  <c r="AP377" i="29"/>
  <c r="AO377" i="29"/>
  <c r="AN377" i="29"/>
  <c r="AM377" i="29"/>
  <c r="AL377" i="29"/>
  <c r="AJ377" i="29"/>
  <c r="AI377" i="29"/>
  <c r="AH377" i="29"/>
  <c r="AG377" i="29"/>
  <c r="AA377" i="29"/>
  <c r="X377" i="29"/>
  <c r="Z377" i="29" s="1"/>
  <c r="W377" i="29"/>
  <c r="AQ376" i="29"/>
  <c r="AU376" i="29" s="1"/>
  <c r="AP376" i="29"/>
  <c r="AO376" i="29"/>
  <c r="AN376" i="29"/>
  <c r="AM376" i="29"/>
  <c r="AL376" i="29"/>
  <c r="AJ376" i="29"/>
  <c r="AI376" i="29"/>
  <c r="AH376" i="29"/>
  <c r="AG376" i="29"/>
  <c r="AA376" i="29"/>
  <c r="X376" i="29"/>
  <c r="W376" i="29"/>
  <c r="AQ375" i="29"/>
  <c r="AR375" i="29" s="1"/>
  <c r="AP375" i="29"/>
  <c r="AO375" i="29"/>
  <c r="AN375" i="29"/>
  <c r="AM375" i="29"/>
  <c r="AL375" i="29"/>
  <c r="AJ375" i="29"/>
  <c r="AI375" i="29"/>
  <c r="AH375" i="29"/>
  <c r="AG375" i="29"/>
  <c r="AA375" i="29"/>
  <c r="X375" i="29"/>
  <c r="W375" i="29"/>
  <c r="AQ374" i="29"/>
  <c r="AR374" i="29" s="1"/>
  <c r="AP374" i="29"/>
  <c r="AO374" i="29"/>
  <c r="AN374" i="29"/>
  <c r="AM374" i="29"/>
  <c r="AL374" i="29"/>
  <c r="AJ374" i="29"/>
  <c r="AI374" i="29"/>
  <c r="AH374" i="29"/>
  <c r="AG374" i="29"/>
  <c r="AA374" i="29"/>
  <c r="X374" i="29"/>
  <c r="Z374" i="29" s="1"/>
  <c r="W374" i="29"/>
  <c r="AQ373" i="29"/>
  <c r="AR373" i="29" s="1"/>
  <c r="AP373" i="29"/>
  <c r="AO373" i="29"/>
  <c r="AN373" i="29"/>
  <c r="AM373" i="29"/>
  <c r="AL373" i="29"/>
  <c r="AJ373" i="29"/>
  <c r="AI373" i="29"/>
  <c r="AH373" i="29"/>
  <c r="AG373" i="29"/>
  <c r="AA373" i="29"/>
  <c r="X373" i="29"/>
  <c r="Y373" i="29" s="1"/>
  <c r="W373" i="29"/>
  <c r="AQ372" i="29"/>
  <c r="AT372" i="29" s="1"/>
  <c r="AP372" i="29"/>
  <c r="AO372" i="29"/>
  <c r="AN372" i="29"/>
  <c r="AM372" i="29"/>
  <c r="AL372" i="29"/>
  <c r="AJ372" i="29"/>
  <c r="AI372" i="29"/>
  <c r="AH372" i="29"/>
  <c r="AG372" i="29"/>
  <c r="AA372" i="29"/>
  <c r="X372" i="29"/>
  <c r="W372" i="29"/>
  <c r="AQ371" i="29"/>
  <c r="AS371" i="29" s="1"/>
  <c r="AP371" i="29"/>
  <c r="AO371" i="29"/>
  <c r="AN371" i="29"/>
  <c r="AM371" i="29"/>
  <c r="AL371" i="29"/>
  <c r="AJ371" i="29"/>
  <c r="AI371" i="29"/>
  <c r="AH371" i="29"/>
  <c r="AG371" i="29"/>
  <c r="AA371" i="29"/>
  <c r="X371" i="29"/>
  <c r="Z371" i="29" s="1"/>
  <c r="W371" i="29"/>
  <c r="AQ370" i="29"/>
  <c r="AS370" i="29" s="1"/>
  <c r="AP370" i="29"/>
  <c r="AO370" i="29"/>
  <c r="AN370" i="29"/>
  <c r="AM370" i="29"/>
  <c r="AL370" i="29"/>
  <c r="AJ370" i="29"/>
  <c r="AI370" i="29"/>
  <c r="AH370" i="29"/>
  <c r="AG370" i="29"/>
  <c r="AA370" i="29"/>
  <c r="X370" i="29"/>
  <c r="Y370" i="29" s="1"/>
  <c r="W370" i="29"/>
  <c r="AQ369" i="29"/>
  <c r="AP369" i="29"/>
  <c r="AO369" i="29"/>
  <c r="AN369" i="29"/>
  <c r="AM369" i="29"/>
  <c r="AL369" i="29"/>
  <c r="AJ369" i="29"/>
  <c r="AI369" i="29"/>
  <c r="AH369" i="29"/>
  <c r="AG369" i="29"/>
  <c r="AA369" i="29"/>
  <c r="X369" i="29"/>
  <c r="W369" i="29"/>
  <c r="AQ368" i="29"/>
  <c r="AP368" i="29"/>
  <c r="AO368" i="29"/>
  <c r="AN368" i="29"/>
  <c r="AM368" i="29"/>
  <c r="AL368" i="29"/>
  <c r="AJ368" i="29"/>
  <c r="AI368" i="29"/>
  <c r="AH368" i="29"/>
  <c r="AG368" i="29"/>
  <c r="AA368" i="29"/>
  <c r="X368" i="29"/>
  <c r="W368" i="29"/>
  <c r="AQ367" i="29"/>
  <c r="AS367" i="29" s="1"/>
  <c r="AP367" i="29"/>
  <c r="AO367" i="29"/>
  <c r="AN367" i="29"/>
  <c r="AM367" i="29"/>
  <c r="AL367" i="29"/>
  <c r="AJ367" i="29"/>
  <c r="AI367" i="29"/>
  <c r="AH367" i="29"/>
  <c r="AG367" i="29"/>
  <c r="AA367" i="29"/>
  <c r="X367" i="29"/>
  <c r="W367" i="29"/>
  <c r="AQ366" i="29"/>
  <c r="AP366" i="29"/>
  <c r="AO366" i="29"/>
  <c r="AN366" i="29"/>
  <c r="AM366" i="29"/>
  <c r="AL366" i="29"/>
  <c r="AJ366" i="29"/>
  <c r="AI366" i="29"/>
  <c r="AH366" i="29"/>
  <c r="AG366" i="29"/>
  <c r="AA366" i="29"/>
  <c r="X366" i="29"/>
  <c r="W366" i="29"/>
  <c r="AQ365" i="29"/>
  <c r="AR365" i="29" s="1"/>
  <c r="AP365" i="29"/>
  <c r="AO365" i="29"/>
  <c r="AN365" i="29"/>
  <c r="AM365" i="29"/>
  <c r="AL365" i="29"/>
  <c r="AJ365" i="29"/>
  <c r="AI365" i="29"/>
  <c r="AH365" i="29"/>
  <c r="AG365" i="29"/>
  <c r="AA365" i="29"/>
  <c r="X365" i="29"/>
  <c r="W365" i="29"/>
  <c r="AQ364" i="29"/>
  <c r="AU364" i="29" s="1"/>
  <c r="AP364" i="29"/>
  <c r="AO364" i="29"/>
  <c r="AN364" i="29"/>
  <c r="AM364" i="29"/>
  <c r="AL364" i="29"/>
  <c r="AJ364" i="29"/>
  <c r="AI364" i="29"/>
  <c r="AH364" i="29"/>
  <c r="AG364" i="29"/>
  <c r="AA364" i="29"/>
  <c r="X364" i="29"/>
  <c r="Z364" i="29" s="1"/>
  <c r="W364" i="29"/>
  <c r="AQ363" i="29"/>
  <c r="AR363" i="29" s="1"/>
  <c r="AP363" i="29"/>
  <c r="AO363" i="29"/>
  <c r="AN363" i="29"/>
  <c r="AM363" i="29"/>
  <c r="AL363" i="29"/>
  <c r="AJ363" i="29"/>
  <c r="AI363" i="29"/>
  <c r="AH363" i="29"/>
  <c r="AG363" i="29"/>
  <c r="AA363" i="29"/>
  <c r="X363" i="29"/>
  <c r="Z363" i="29" s="1"/>
  <c r="W363" i="29"/>
  <c r="AQ362" i="29"/>
  <c r="AP362" i="29"/>
  <c r="AO362" i="29"/>
  <c r="AN362" i="29"/>
  <c r="AM362" i="29"/>
  <c r="AL362" i="29"/>
  <c r="AJ362" i="29"/>
  <c r="AI362" i="29"/>
  <c r="AH362" i="29"/>
  <c r="AG362" i="29"/>
  <c r="AA362" i="29"/>
  <c r="X362" i="29"/>
  <c r="W362" i="29"/>
  <c r="AQ361" i="29"/>
  <c r="AP361" i="29"/>
  <c r="AO361" i="29"/>
  <c r="AN361" i="29"/>
  <c r="AM361" i="29"/>
  <c r="AL361" i="29"/>
  <c r="AJ361" i="29"/>
  <c r="AI361" i="29"/>
  <c r="AH361" i="29"/>
  <c r="AG361" i="29"/>
  <c r="AA361" i="29"/>
  <c r="X361" i="29"/>
  <c r="W361" i="29"/>
  <c r="V361" i="29"/>
  <c r="AQ360" i="29"/>
  <c r="AU360" i="29" s="1"/>
  <c r="AP360" i="29"/>
  <c r="AH360" i="29" s="1"/>
  <c r="AJ360" i="29" s="1"/>
  <c r="AO360" i="29"/>
  <c r="AN360" i="29"/>
  <c r="AG360" i="29" s="1"/>
  <c r="AA360" i="29"/>
  <c r="AQ358" i="29"/>
  <c r="AP358" i="29"/>
  <c r="AO358" i="29"/>
  <c r="AN358" i="29"/>
  <c r="AM358" i="29"/>
  <c r="AL358" i="29"/>
  <c r="AJ358" i="29"/>
  <c r="AI358" i="29"/>
  <c r="AH358" i="29"/>
  <c r="AG358" i="29"/>
  <c r="AA358" i="29"/>
  <c r="X358" i="29"/>
  <c r="Z358" i="29" s="1"/>
  <c r="W358" i="29"/>
  <c r="AQ357" i="29"/>
  <c r="AU357" i="29" s="1"/>
  <c r="AP357" i="29"/>
  <c r="AO357" i="29"/>
  <c r="AN357" i="29"/>
  <c r="AM357" i="29"/>
  <c r="AL357" i="29"/>
  <c r="AJ357" i="29"/>
  <c r="AI357" i="29"/>
  <c r="AH357" i="29"/>
  <c r="AG357" i="29"/>
  <c r="AA357" i="29"/>
  <c r="X357" i="29"/>
  <c r="Z357" i="29" s="1"/>
  <c r="W357" i="29"/>
  <c r="AQ356" i="29"/>
  <c r="AS356" i="29" s="1"/>
  <c r="AP356" i="29"/>
  <c r="AO356" i="29"/>
  <c r="AN356" i="29"/>
  <c r="AM356" i="29"/>
  <c r="AL356" i="29"/>
  <c r="AJ356" i="29"/>
  <c r="AI356" i="29"/>
  <c r="AH356" i="29"/>
  <c r="AG356" i="29"/>
  <c r="AA356" i="29"/>
  <c r="X356" i="29"/>
  <c r="Y356" i="29" s="1"/>
  <c r="W356" i="29"/>
  <c r="AQ355" i="29"/>
  <c r="AU355" i="29" s="1"/>
  <c r="AP355" i="29"/>
  <c r="AO355" i="29"/>
  <c r="AN355" i="29"/>
  <c r="AM355" i="29"/>
  <c r="AL355" i="29"/>
  <c r="AJ355" i="29"/>
  <c r="AI355" i="29"/>
  <c r="AH355" i="29"/>
  <c r="AG355" i="29"/>
  <c r="AA355" i="29"/>
  <c r="X355" i="29"/>
  <c r="Z355" i="29" s="1"/>
  <c r="W355" i="29"/>
  <c r="AQ354" i="29"/>
  <c r="AT354" i="29" s="1"/>
  <c r="AP354" i="29"/>
  <c r="AO354" i="29"/>
  <c r="AN354" i="29"/>
  <c r="AM354" i="29"/>
  <c r="AL354" i="29"/>
  <c r="AJ354" i="29"/>
  <c r="AI354" i="29"/>
  <c r="AH354" i="29"/>
  <c r="AG354" i="29"/>
  <c r="AA354" i="29"/>
  <c r="X354" i="29"/>
  <c r="W354" i="29"/>
  <c r="AQ353" i="29"/>
  <c r="AP353" i="29"/>
  <c r="AO353" i="29"/>
  <c r="AN353" i="29"/>
  <c r="AM353" i="29"/>
  <c r="AL353" i="29"/>
  <c r="AJ353" i="29"/>
  <c r="AI353" i="29"/>
  <c r="AH353" i="29"/>
  <c r="AG353" i="29"/>
  <c r="AA353" i="29"/>
  <c r="X353" i="29"/>
  <c r="Z353" i="29" s="1"/>
  <c r="W353" i="29"/>
  <c r="AQ352" i="29"/>
  <c r="AS352" i="29" s="1"/>
  <c r="AP352" i="29"/>
  <c r="AO352" i="29"/>
  <c r="AN352" i="29"/>
  <c r="AM352" i="29"/>
  <c r="AL352" i="29"/>
  <c r="AJ352" i="29"/>
  <c r="AI352" i="29"/>
  <c r="AH352" i="29"/>
  <c r="AG352" i="29"/>
  <c r="AA352" i="29"/>
  <c r="X352" i="29"/>
  <c r="Y352" i="29" s="1"/>
  <c r="W352" i="29"/>
  <c r="AQ351" i="29"/>
  <c r="AR351" i="29" s="1"/>
  <c r="AP351" i="29"/>
  <c r="AO351" i="29"/>
  <c r="AN351" i="29"/>
  <c r="AM351" i="29"/>
  <c r="AL351" i="29"/>
  <c r="AJ351" i="29"/>
  <c r="AI351" i="29"/>
  <c r="AH351" i="29"/>
  <c r="AG351" i="29"/>
  <c r="AA351" i="29"/>
  <c r="X351" i="29"/>
  <c r="Z351" i="29" s="1"/>
  <c r="W351" i="29"/>
  <c r="AQ350" i="29"/>
  <c r="AT350" i="29" s="1"/>
  <c r="AP350" i="29"/>
  <c r="AO350" i="29"/>
  <c r="AN350" i="29"/>
  <c r="AM350" i="29"/>
  <c r="AL350" i="29"/>
  <c r="AJ350" i="29"/>
  <c r="AI350" i="29"/>
  <c r="AH350" i="29"/>
  <c r="AG350" i="29"/>
  <c r="AA350" i="29"/>
  <c r="X350" i="29"/>
  <c r="Z350" i="29" s="1"/>
  <c r="W350" i="29"/>
  <c r="AQ349" i="29"/>
  <c r="AU349" i="29" s="1"/>
  <c r="AP349" i="29"/>
  <c r="AO349" i="29"/>
  <c r="AN349" i="29"/>
  <c r="AM349" i="29"/>
  <c r="AL349" i="29"/>
  <c r="AJ349" i="29"/>
  <c r="AI349" i="29"/>
  <c r="AH349" i="29"/>
  <c r="AG349" i="29"/>
  <c r="AA349" i="29"/>
  <c r="X349" i="29"/>
  <c r="Z349" i="29" s="1"/>
  <c r="W349" i="29"/>
  <c r="AQ348" i="29"/>
  <c r="AP348" i="29"/>
  <c r="AO348" i="29"/>
  <c r="AN348" i="29"/>
  <c r="AM348" i="29"/>
  <c r="AL348" i="29"/>
  <c r="AJ348" i="29"/>
  <c r="AI348" i="29"/>
  <c r="AH348" i="29"/>
  <c r="AG348" i="29"/>
  <c r="AA348" i="29"/>
  <c r="X348" i="29"/>
  <c r="Z348" i="29" s="1"/>
  <c r="W348" i="29"/>
  <c r="AQ347" i="29"/>
  <c r="AP347" i="29"/>
  <c r="AO347" i="29"/>
  <c r="AN347" i="29"/>
  <c r="AM347" i="29"/>
  <c r="AL347" i="29"/>
  <c r="AJ347" i="29"/>
  <c r="AI347" i="29"/>
  <c r="AH347" i="29"/>
  <c r="AG347" i="29"/>
  <c r="AA347" i="29"/>
  <c r="X347" i="29"/>
  <c r="Z347" i="29" s="1"/>
  <c r="W347" i="29"/>
  <c r="AQ346" i="29"/>
  <c r="AS346" i="29" s="1"/>
  <c r="AP346" i="29"/>
  <c r="AO346" i="29"/>
  <c r="AN346" i="29"/>
  <c r="AM346" i="29"/>
  <c r="AL346" i="29"/>
  <c r="AJ346" i="29"/>
  <c r="AI346" i="29"/>
  <c r="AH346" i="29"/>
  <c r="AG346" i="29"/>
  <c r="AA346" i="29"/>
  <c r="X346" i="29"/>
  <c r="W346" i="29"/>
  <c r="AQ345" i="29"/>
  <c r="AT345" i="29" s="1"/>
  <c r="AP345" i="29"/>
  <c r="AO345" i="29"/>
  <c r="AN345" i="29"/>
  <c r="AM345" i="29"/>
  <c r="AL345" i="29"/>
  <c r="AJ345" i="29"/>
  <c r="AI345" i="29"/>
  <c r="AH345" i="29"/>
  <c r="AG345" i="29"/>
  <c r="AA345" i="29"/>
  <c r="X345" i="29"/>
  <c r="Z345" i="29" s="1"/>
  <c r="W345" i="29"/>
  <c r="AQ344" i="29"/>
  <c r="AR344" i="29" s="1"/>
  <c r="AP344" i="29"/>
  <c r="AO344" i="29"/>
  <c r="AN344" i="29"/>
  <c r="AM344" i="29"/>
  <c r="AL344" i="29"/>
  <c r="AJ344" i="29"/>
  <c r="AI344" i="29"/>
  <c r="AH344" i="29"/>
  <c r="AG344" i="29"/>
  <c r="AA344" i="29"/>
  <c r="X344" i="29"/>
  <c r="Y344" i="29" s="1"/>
  <c r="W344" i="29"/>
  <c r="AQ343" i="29"/>
  <c r="AP343" i="29"/>
  <c r="AO343" i="29"/>
  <c r="AN343" i="29"/>
  <c r="AM343" i="29"/>
  <c r="AL343" i="29"/>
  <c r="AJ343" i="29"/>
  <c r="AI343" i="29"/>
  <c r="AH343" i="29"/>
  <c r="AG343" i="29"/>
  <c r="AA343" i="29"/>
  <c r="X343" i="29"/>
  <c r="Z343" i="29" s="1"/>
  <c r="W343" i="29"/>
  <c r="AQ342" i="29"/>
  <c r="AP342" i="29"/>
  <c r="AO342" i="29"/>
  <c r="AN342" i="29"/>
  <c r="AM342" i="29"/>
  <c r="AL342" i="29"/>
  <c r="AJ342" i="29"/>
  <c r="AI342" i="29"/>
  <c r="AH342" i="29"/>
  <c r="AG342" i="29"/>
  <c r="AA342" i="29"/>
  <c r="X342" i="29"/>
  <c r="Z342" i="29" s="1"/>
  <c r="W342" i="29"/>
  <c r="AQ341" i="29"/>
  <c r="AP341" i="29"/>
  <c r="AO341" i="29"/>
  <c r="AN341" i="29"/>
  <c r="AM341" i="29"/>
  <c r="AL341" i="29"/>
  <c r="AJ341" i="29"/>
  <c r="AI341" i="29"/>
  <c r="AH341" i="29"/>
  <c r="AG341" i="29"/>
  <c r="AA341" i="29"/>
  <c r="X341" i="29"/>
  <c r="Z341" i="29" s="1"/>
  <c r="W341" i="29"/>
  <c r="AQ340" i="29"/>
  <c r="AT340" i="29" s="1"/>
  <c r="AP340" i="29"/>
  <c r="AO340" i="29"/>
  <c r="AN340" i="29"/>
  <c r="AM340" i="29"/>
  <c r="AL340" i="29"/>
  <c r="AJ340" i="29"/>
  <c r="AI340" i="29"/>
  <c r="AH340" i="29"/>
  <c r="AG340" i="29"/>
  <c r="AA340" i="29"/>
  <c r="X340" i="29"/>
  <c r="Z340" i="29" s="1"/>
  <c r="W340" i="29"/>
  <c r="AQ339" i="29"/>
  <c r="AP339" i="29"/>
  <c r="AO339" i="29"/>
  <c r="AN339" i="29"/>
  <c r="AM339" i="29"/>
  <c r="AL339" i="29"/>
  <c r="AJ339" i="29"/>
  <c r="AI339" i="29"/>
  <c r="AH339" i="29"/>
  <c r="AG339" i="29"/>
  <c r="AA339" i="29"/>
  <c r="X339" i="29"/>
  <c r="Z339" i="29" s="1"/>
  <c r="W339" i="29"/>
  <c r="AQ338" i="29"/>
  <c r="AP338" i="29"/>
  <c r="AO338" i="29"/>
  <c r="AN338" i="29"/>
  <c r="AM338" i="29"/>
  <c r="AL338" i="29"/>
  <c r="AJ338" i="29"/>
  <c r="AI338" i="29"/>
  <c r="AH338" i="29"/>
  <c r="AG338" i="29"/>
  <c r="AA338" i="29"/>
  <c r="X338" i="29"/>
  <c r="W338" i="29"/>
  <c r="AQ337" i="29"/>
  <c r="AR337" i="29" s="1"/>
  <c r="AP337" i="29"/>
  <c r="AO337" i="29"/>
  <c r="AN337" i="29"/>
  <c r="AM337" i="29"/>
  <c r="AL337" i="29"/>
  <c r="AJ337" i="29"/>
  <c r="AI337" i="29"/>
  <c r="AH337" i="29"/>
  <c r="AG337" i="29"/>
  <c r="AA337" i="29"/>
  <c r="X337" i="29"/>
  <c r="Z337" i="29" s="1"/>
  <c r="W337" i="29"/>
  <c r="AQ336" i="29"/>
  <c r="AS336" i="29" s="1"/>
  <c r="AP336" i="29"/>
  <c r="AO336" i="29"/>
  <c r="AN336" i="29"/>
  <c r="AM336" i="29"/>
  <c r="AL336" i="29"/>
  <c r="AJ336" i="29"/>
  <c r="AI336" i="29"/>
  <c r="AH336" i="29"/>
  <c r="AG336" i="29"/>
  <c r="AA336" i="29"/>
  <c r="X336" i="29"/>
  <c r="Z336" i="29" s="1"/>
  <c r="W336" i="29"/>
  <c r="AQ335" i="29"/>
  <c r="AP335" i="29"/>
  <c r="AO335" i="29"/>
  <c r="AN335" i="29"/>
  <c r="AM335" i="29"/>
  <c r="AL335" i="29"/>
  <c r="AJ335" i="29"/>
  <c r="AI335" i="29"/>
  <c r="AH335" i="29"/>
  <c r="AG335" i="29"/>
  <c r="AA335" i="29"/>
  <c r="X335" i="29"/>
  <c r="Z335" i="29" s="1"/>
  <c r="W335" i="29"/>
  <c r="AQ334" i="29"/>
  <c r="AT334" i="29" s="1"/>
  <c r="AP334" i="29"/>
  <c r="AO334" i="29"/>
  <c r="AN334" i="29"/>
  <c r="AM334" i="29"/>
  <c r="AL334" i="29"/>
  <c r="AJ334" i="29"/>
  <c r="AI334" i="29"/>
  <c r="AH334" i="29"/>
  <c r="AG334" i="29"/>
  <c r="AA334" i="29"/>
  <c r="X334" i="29"/>
  <c r="W334" i="29"/>
  <c r="AQ333" i="29"/>
  <c r="AU333" i="29" s="1"/>
  <c r="AP333" i="29"/>
  <c r="AO333" i="29"/>
  <c r="AN333" i="29"/>
  <c r="AM333" i="29"/>
  <c r="AL333" i="29"/>
  <c r="AJ333" i="29"/>
  <c r="AI333" i="29"/>
  <c r="AH333" i="29"/>
  <c r="AG333" i="29"/>
  <c r="AA333" i="29"/>
  <c r="X333" i="29"/>
  <c r="Z333" i="29" s="1"/>
  <c r="W333" i="29"/>
  <c r="AQ332" i="29"/>
  <c r="AS332" i="29" s="1"/>
  <c r="AP332" i="29"/>
  <c r="AO332" i="29"/>
  <c r="AN332" i="29"/>
  <c r="AM332" i="29"/>
  <c r="AL332" i="29"/>
  <c r="AJ332" i="29"/>
  <c r="AI332" i="29"/>
  <c r="AH332" i="29"/>
  <c r="AG332" i="29"/>
  <c r="AA332" i="29"/>
  <c r="X332" i="29"/>
  <c r="Z332" i="29" s="1"/>
  <c r="W332" i="29"/>
  <c r="AQ331" i="29"/>
  <c r="AP331" i="29"/>
  <c r="AO331" i="29"/>
  <c r="AN331" i="29"/>
  <c r="AM331" i="29"/>
  <c r="AL331" i="29"/>
  <c r="AJ331" i="29"/>
  <c r="AI331" i="29"/>
  <c r="AH331" i="29"/>
  <c r="AG331" i="29"/>
  <c r="AA331" i="29"/>
  <c r="X331" i="29"/>
  <c r="W331" i="29"/>
  <c r="AQ330" i="29"/>
  <c r="AP330" i="29"/>
  <c r="AO330" i="29"/>
  <c r="AN330" i="29"/>
  <c r="AM330" i="29"/>
  <c r="AL330" i="29"/>
  <c r="AJ330" i="29"/>
  <c r="AI330" i="29"/>
  <c r="AH330" i="29"/>
  <c r="AG330" i="29"/>
  <c r="AA330" i="29"/>
  <c r="X330" i="29"/>
  <c r="W330" i="29"/>
  <c r="AQ329" i="29"/>
  <c r="AP329" i="29"/>
  <c r="AO329" i="29"/>
  <c r="AN329" i="29"/>
  <c r="AM329" i="29"/>
  <c r="AL329" i="29"/>
  <c r="AJ329" i="29"/>
  <c r="AI329" i="29"/>
  <c r="AH329" i="29"/>
  <c r="AG329" i="29"/>
  <c r="AA329" i="29"/>
  <c r="X329" i="29"/>
  <c r="Z329" i="29" s="1"/>
  <c r="W329" i="29"/>
  <c r="AQ328" i="29"/>
  <c r="AT328" i="29" s="1"/>
  <c r="AP328" i="29"/>
  <c r="AO328" i="29"/>
  <c r="AN328" i="29"/>
  <c r="AM328" i="29"/>
  <c r="AL328" i="29"/>
  <c r="AJ328" i="29"/>
  <c r="AI328" i="29"/>
  <c r="AH328" i="29"/>
  <c r="AG328" i="29"/>
  <c r="AA328" i="29"/>
  <c r="X328" i="29"/>
  <c r="Y328" i="29" s="1"/>
  <c r="W328" i="29"/>
  <c r="AQ327" i="29"/>
  <c r="AS327" i="29" s="1"/>
  <c r="AP327" i="29"/>
  <c r="AO327" i="29"/>
  <c r="AN327" i="29"/>
  <c r="AM327" i="29"/>
  <c r="AL327" i="29"/>
  <c r="AJ327" i="29"/>
  <c r="AI327" i="29"/>
  <c r="AH327" i="29"/>
  <c r="AG327" i="29"/>
  <c r="AA327" i="29"/>
  <c r="X327" i="29"/>
  <c r="Y327" i="29" s="1"/>
  <c r="W327" i="29"/>
  <c r="AQ326" i="29"/>
  <c r="AP326" i="29"/>
  <c r="AO326" i="29"/>
  <c r="AN326" i="29"/>
  <c r="AM326" i="29"/>
  <c r="AL326" i="29"/>
  <c r="AJ326" i="29"/>
  <c r="AI326" i="29"/>
  <c r="AH326" i="29"/>
  <c r="AG326" i="29"/>
  <c r="AA326" i="29"/>
  <c r="X326" i="29"/>
  <c r="Z326" i="29" s="1"/>
  <c r="W326" i="29"/>
  <c r="AQ325" i="29"/>
  <c r="AS325" i="29" s="1"/>
  <c r="AP325" i="29"/>
  <c r="AO325" i="29"/>
  <c r="AN325" i="29"/>
  <c r="AM325" i="29"/>
  <c r="AL325" i="29"/>
  <c r="AJ325" i="29"/>
  <c r="AI325" i="29"/>
  <c r="AH325" i="29"/>
  <c r="AG325" i="29"/>
  <c r="AA325" i="29"/>
  <c r="X325" i="29"/>
  <c r="W325" i="29"/>
  <c r="V325" i="29"/>
  <c r="AQ324" i="29"/>
  <c r="AS324" i="29" s="1"/>
  <c r="AP324" i="29"/>
  <c r="AH324" i="29" s="1"/>
  <c r="AJ324" i="29" s="1"/>
  <c r="AO324" i="29"/>
  <c r="AN324" i="29"/>
  <c r="AG324" i="29" s="1"/>
  <c r="AA324" i="29"/>
  <c r="AQ322" i="29"/>
  <c r="AT322" i="29" s="1"/>
  <c r="AP322" i="29"/>
  <c r="AO322" i="29"/>
  <c r="AN322" i="29"/>
  <c r="AM322" i="29"/>
  <c r="AL322" i="29"/>
  <c r="AJ322" i="29"/>
  <c r="AI322" i="29"/>
  <c r="AH322" i="29"/>
  <c r="AG322" i="29"/>
  <c r="AA322" i="29"/>
  <c r="X322" i="29"/>
  <c r="Z322" i="29" s="1"/>
  <c r="W322" i="29"/>
  <c r="AQ321" i="29"/>
  <c r="AP321" i="29"/>
  <c r="AO321" i="29"/>
  <c r="AN321" i="29"/>
  <c r="AM321" i="29"/>
  <c r="AL321" i="29"/>
  <c r="AJ321" i="29"/>
  <c r="AI321" i="29"/>
  <c r="AH321" i="29"/>
  <c r="AG321" i="29"/>
  <c r="AA321" i="29"/>
  <c r="X321" i="29"/>
  <c r="Y321" i="29" s="1"/>
  <c r="W321" i="29"/>
  <c r="AQ320" i="29"/>
  <c r="AT320" i="29" s="1"/>
  <c r="AP320" i="29"/>
  <c r="AO320" i="29"/>
  <c r="AN320" i="29"/>
  <c r="AM320" i="29"/>
  <c r="AL320" i="29"/>
  <c r="AJ320" i="29"/>
  <c r="AI320" i="29"/>
  <c r="AH320" i="29"/>
  <c r="AG320" i="29"/>
  <c r="AA320" i="29"/>
  <c r="X320" i="29"/>
  <c r="W320" i="29"/>
  <c r="AQ319" i="29"/>
  <c r="AP319" i="29"/>
  <c r="AO319" i="29"/>
  <c r="AN319" i="29"/>
  <c r="AM319" i="29"/>
  <c r="AL319" i="29"/>
  <c r="AJ319" i="29"/>
  <c r="AI319" i="29"/>
  <c r="AH319" i="29"/>
  <c r="AG319" i="29"/>
  <c r="AA319" i="29"/>
  <c r="X319" i="29"/>
  <c r="W319" i="29"/>
  <c r="AQ318" i="29"/>
  <c r="AT318" i="29" s="1"/>
  <c r="AP318" i="29"/>
  <c r="AO318" i="29"/>
  <c r="AN318" i="29"/>
  <c r="AM318" i="29"/>
  <c r="AL318" i="29"/>
  <c r="AJ318" i="29"/>
  <c r="AI318" i="29"/>
  <c r="AH318" i="29"/>
  <c r="AG318" i="29"/>
  <c r="AA318" i="29"/>
  <c r="X318" i="29"/>
  <c r="Y318" i="29" s="1"/>
  <c r="W318" i="29"/>
  <c r="AQ317" i="29"/>
  <c r="AS317" i="29" s="1"/>
  <c r="AP317" i="29"/>
  <c r="AO317" i="29"/>
  <c r="AN317" i="29"/>
  <c r="AM317" i="29"/>
  <c r="AL317" i="29"/>
  <c r="AJ317" i="29"/>
  <c r="AI317" i="29"/>
  <c r="AH317" i="29"/>
  <c r="AG317" i="29"/>
  <c r="AA317" i="29"/>
  <c r="X317" i="29"/>
  <c r="Y317" i="29" s="1"/>
  <c r="W317" i="29"/>
  <c r="AQ316" i="29"/>
  <c r="AP316" i="29"/>
  <c r="AO316" i="29"/>
  <c r="AN316" i="29"/>
  <c r="AM316" i="29"/>
  <c r="AL316" i="29"/>
  <c r="AJ316" i="29"/>
  <c r="AI316" i="29"/>
  <c r="AH316" i="29"/>
  <c r="AG316" i="29"/>
  <c r="AA316" i="29"/>
  <c r="X316" i="29"/>
  <c r="Y316" i="29" s="1"/>
  <c r="W316" i="29"/>
  <c r="AQ315" i="29"/>
  <c r="AU315" i="29" s="1"/>
  <c r="AP315" i="29"/>
  <c r="AO315" i="29"/>
  <c r="AN315" i="29"/>
  <c r="AM315" i="29"/>
  <c r="AL315" i="29"/>
  <c r="AJ315" i="29"/>
  <c r="AI315" i="29"/>
  <c r="AH315" i="29"/>
  <c r="AG315" i="29"/>
  <c r="AA315" i="29"/>
  <c r="X315" i="29"/>
  <c r="Y315" i="29" s="1"/>
  <c r="W315" i="29"/>
  <c r="AQ314" i="29"/>
  <c r="AP314" i="29"/>
  <c r="AO314" i="29"/>
  <c r="AN314" i="29"/>
  <c r="AM314" i="29"/>
  <c r="AL314" i="29"/>
  <c r="AJ314" i="29"/>
  <c r="AI314" i="29"/>
  <c r="AH314" i="29"/>
  <c r="AG314" i="29"/>
  <c r="AA314" i="29"/>
  <c r="X314" i="29"/>
  <c r="Z314" i="29" s="1"/>
  <c r="W314" i="29"/>
  <c r="AQ313" i="29"/>
  <c r="AR313" i="29" s="1"/>
  <c r="AP313" i="29"/>
  <c r="AO313" i="29"/>
  <c r="AN313" i="29"/>
  <c r="AM313" i="29"/>
  <c r="AL313" i="29"/>
  <c r="AJ313" i="29"/>
  <c r="AI313" i="29"/>
  <c r="AH313" i="29"/>
  <c r="AG313" i="29"/>
  <c r="AA313" i="29"/>
  <c r="X313" i="29"/>
  <c r="Y313" i="29" s="1"/>
  <c r="W313" i="29"/>
  <c r="AQ312" i="29"/>
  <c r="AP312" i="29"/>
  <c r="AO312" i="29"/>
  <c r="AN312" i="29"/>
  <c r="AM312" i="29"/>
  <c r="AL312" i="29"/>
  <c r="AJ312" i="29"/>
  <c r="AI312" i="29"/>
  <c r="AH312" i="29"/>
  <c r="AG312" i="29"/>
  <c r="AA312" i="29"/>
  <c r="X312" i="29"/>
  <c r="Y312" i="29" s="1"/>
  <c r="W312" i="29"/>
  <c r="AQ311" i="29"/>
  <c r="AS311" i="29" s="1"/>
  <c r="AP311" i="29"/>
  <c r="AO311" i="29"/>
  <c r="AN311" i="29"/>
  <c r="AM311" i="29"/>
  <c r="AL311" i="29"/>
  <c r="AJ311" i="29"/>
  <c r="AI311" i="29"/>
  <c r="AH311" i="29"/>
  <c r="AG311" i="29"/>
  <c r="AA311" i="29"/>
  <c r="X311" i="29"/>
  <c r="W311" i="29"/>
  <c r="AQ310" i="29"/>
  <c r="AP310" i="29"/>
  <c r="AO310" i="29"/>
  <c r="AN310" i="29"/>
  <c r="AM310" i="29"/>
  <c r="AL310" i="29"/>
  <c r="AJ310" i="29"/>
  <c r="AI310" i="29"/>
  <c r="AH310" i="29"/>
  <c r="AG310" i="29"/>
  <c r="AA310" i="29"/>
  <c r="X310" i="29"/>
  <c r="W310" i="29"/>
  <c r="AQ309" i="29"/>
  <c r="AR309" i="29" s="1"/>
  <c r="AP309" i="29"/>
  <c r="AO309" i="29"/>
  <c r="AN309" i="29"/>
  <c r="AM309" i="29"/>
  <c r="AL309" i="29"/>
  <c r="AJ309" i="29"/>
  <c r="AI309" i="29"/>
  <c r="AH309" i="29"/>
  <c r="AG309" i="29"/>
  <c r="AA309" i="29"/>
  <c r="X309" i="29"/>
  <c r="Y309" i="29" s="1"/>
  <c r="W309" i="29"/>
  <c r="AQ308" i="29"/>
  <c r="AU308" i="29" s="1"/>
  <c r="AP308" i="29"/>
  <c r="AO308" i="29"/>
  <c r="AN308" i="29"/>
  <c r="AM308" i="29"/>
  <c r="AL308" i="29"/>
  <c r="AJ308" i="29"/>
  <c r="AI308" i="29"/>
  <c r="AH308" i="29"/>
  <c r="AG308" i="29"/>
  <c r="AA308" i="29"/>
  <c r="X308" i="29"/>
  <c r="Z308" i="29" s="1"/>
  <c r="W308" i="29"/>
  <c r="AQ307" i="29"/>
  <c r="AU307" i="29" s="1"/>
  <c r="AP307" i="29"/>
  <c r="AO307" i="29"/>
  <c r="AN307" i="29"/>
  <c r="AM307" i="29"/>
  <c r="AL307" i="29"/>
  <c r="AJ307" i="29"/>
  <c r="AI307" i="29"/>
  <c r="AH307" i="29"/>
  <c r="AG307" i="29"/>
  <c r="AA307" i="29"/>
  <c r="X307" i="29"/>
  <c r="Z307" i="29" s="1"/>
  <c r="W307" i="29"/>
  <c r="AQ306" i="29"/>
  <c r="AU306" i="29" s="1"/>
  <c r="AP306" i="29"/>
  <c r="AO306" i="29"/>
  <c r="AN306" i="29"/>
  <c r="AM306" i="29"/>
  <c r="AL306" i="29"/>
  <c r="AJ306" i="29"/>
  <c r="AI306" i="29"/>
  <c r="AH306" i="29"/>
  <c r="AG306" i="29"/>
  <c r="AA306" i="29"/>
  <c r="X306" i="29"/>
  <c r="Z306" i="29" s="1"/>
  <c r="W306" i="29"/>
  <c r="AQ305" i="29"/>
  <c r="AS305" i="29" s="1"/>
  <c r="AP305" i="29"/>
  <c r="AO305" i="29"/>
  <c r="AN305" i="29"/>
  <c r="AM305" i="29"/>
  <c r="AL305" i="29"/>
  <c r="AJ305" i="29"/>
  <c r="AI305" i="29"/>
  <c r="AH305" i="29"/>
  <c r="AG305" i="29"/>
  <c r="AA305" i="29"/>
  <c r="X305" i="29"/>
  <c r="W305" i="29"/>
  <c r="AQ304" i="29"/>
  <c r="AU304" i="29" s="1"/>
  <c r="AP304" i="29"/>
  <c r="AO304" i="29"/>
  <c r="AN304" i="29"/>
  <c r="AM304" i="29"/>
  <c r="AL304" i="29"/>
  <c r="AJ304" i="29"/>
  <c r="AI304" i="29"/>
  <c r="AH304" i="29"/>
  <c r="AG304" i="29"/>
  <c r="AA304" i="29"/>
  <c r="X304" i="29"/>
  <c r="Z304" i="29" s="1"/>
  <c r="W304" i="29"/>
  <c r="AQ303" i="29"/>
  <c r="AP303" i="29"/>
  <c r="AO303" i="29"/>
  <c r="AN303" i="29"/>
  <c r="AM303" i="29"/>
  <c r="AL303" i="29"/>
  <c r="AJ303" i="29"/>
  <c r="AI303" i="29"/>
  <c r="AH303" i="29"/>
  <c r="AG303" i="29"/>
  <c r="AA303" i="29"/>
  <c r="X303" i="29"/>
  <c r="Z303" i="29" s="1"/>
  <c r="W303" i="29"/>
  <c r="AQ302" i="29"/>
  <c r="AU302" i="29" s="1"/>
  <c r="AP302" i="29"/>
  <c r="AO302" i="29"/>
  <c r="AN302" i="29"/>
  <c r="AM302" i="29"/>
  <c r="AL302" i="29"/>
  <c r="AJ302" i="29"/>
  <c r="AI302" i="29"/>
  <c r="AH302" i="29"/>
  <c r="AG302" i="29"/>
  <c r="AA302" i="29"/>
  <c r="X302" i="29"/>
  <c r="Z302" i="29" s="1"/>
  <c r="W302" i="29"/>
  <c r="AQ301" i="29"/>
  <c r="AP301" i="29"/>
  <c r="AO301" i="29"/>
  <c r="AN301" i="29"/>
  <c r="AM301" i="29"/>
  <c r="AL301" i="29"/>
  <c r="AJ301" i="29"/>
  <c r="AI301" i="29"/>
  <c r="AH301" i="29"/>
  <c r="AG301" i="29"/>
  <c r="AA301" i="29"/>
  <c r="X301" i="29"/>
  <c r="Y301" i="29" s="1"/>
  <c r="W301" i="29"/>
  <c r="AQ300" i="29"/>
  <c r="AP300" i="29"/>
  <c r="AO300" i="29"/>
  <c r="AN300" i="29"/>
  <c r="AM300" i="29"/>
  <c r="AL300" i="29"/>
  <c r="AJ300" i="29"/>
  <c r="AI300" i="29"/>
  <c r="AH300" i="29"/>
  <c r="AG300" i="29"/>
  <c r="AA300" i="29"/>
  <c r="X300" i="29"/>
  <c r="Z300" i="29" s="1"/>
  <c r="W300" i="29"/>
  <c r="AQ299" i="29"/>
  <c r="AT299" i="29" s="1"/>
  <c r="AP299" i="29"/>
  <c r="AO299" i="29"/>
  <c r="AN299" i="29"/>
  <c r="AM299" i="29"/>
  <c r="AL299" i="29"/>
  <c r="AJ299" i="29"/>
  <c r="AI299" i="29"/>
  <c r="AH299" i="29"/>
  <c r="AG299" i="29"/>
  <c r="AA299" i="29"/>
  <c r="X299" i="29"/>
  <c r="Z299" i="29" s="1"/>
  <c r="W299" i="29"/>
  <c r="AQ298" i="29"/>
  <c r="AR298" i="29" s="1"/>
  <c r="AP298" i="29"/>
  <c r="AO298" i="29"/>
  <c r="AN298" i="29"/>
  <c r="AM298" i="29"/>
  <c r="AL298" i="29"/>
  <c r="AJ298" i="29"/>
  <c r="AI298" i="29"/>
  <c r="AH298" i="29"/>
  <c r="AG298" i="29"/>
  <c r="AA298" i="29"/>
  <c r="X298" i="29"/>
  <c r="Z298" i="29" s="1"/>
  <c r="W298" i="29"/>
  <c r="AQ297" i="29"/>
  <c r="AT297" i="29" s="1"/>
  <c r="AP297" i="29"/>
  <c r="AO297" i="29"/>
  <c r="AN297" i="29"/>
  <c r="AM297" i="29"/>
  <c r="AL297" i="29"/>
  <c r="AJ297" i="29"/>
  <c r="AI297" i="29"/>
  <c r="AH297" i="29"/>
  <c r="AG297" i="29"/>
  <c r="AA297" i="29"/>
  <c r="X297" i="29"/>
  <c r="W297" i="29"/>
  <c r="AQ296" i="29"/>
  <c r="AP296" i="29"/>
  <c r="AO296" i="29"/>
  <c r="AN296" i="29"/>
  <c r="AM296" i="29"/>
  <c r="AL296" i="29"/>
  <c r="AJ296" i="29"/>
  <c r="AI296" i="29"/>
  <c r="AH296" i="29"/>
  <c r="AG296" i="29"/>
  <c r="AA296" i="29"/>
  <c r="X296" i="29"/>
  <c r="W296" i="29"/>
  <c r="AQ295" i="29"/>
  <c r="AP295" i="29"/>
  <c r="AO295" i="29"/>
  <c r="AN295" i="29"/>
  <c r="AM295" i="29"/>
  <c r="AL295" i="29"/>
  <c r="AJ295" i="29"/>
  <c r="AI295" i="29"/>
  <c r="AH295" i="29"/>
  <c r="AG295" i="29"/>
  <c r="AA295" i="29"/>
  <c r="X295" i="29"/>
  <c r="Z295" i="29" s="1"/>
  <c r="W295" i="29"/>
  <c r="AQ294" i="29"/>
  <c r="AP294" i="29"/>
  <c r="AO294" i="29"/>
  <c r="AN294" i="29"/>
  <c r="AM294" i="29"/>
  <c r="AL294" i="29"/>
  <c r="AJ294" i="29"/>
  <c r="AI294" i="29"/>
  <c r="AH294" i="29"/>
  <c r="AG294" i="29"/>
  <c r="AA294" i="29"/>
  <c r="X294" i="29"/>
  <c r="Y294" i="29" s="1"/>
  <c r="W294" i="29"/>
  <c r="AQ293" i="29"/>
  <c r="AP293" i="29"/>
  <c r="AO293" i="29"/>
  <c r="AN293" i="29"/>
  <c r="AM293" i="29"/>
  <c r="AL293" i="29"/>
  <c r="AJ293" i="29"/>
  <c r="AI293" i="29"/>
  <c r="AH293" i="29"/>
  <c r="AG293" i="29"/>
  <c r="AA293" i="29"/>
  <c r="X293" i="29"/>
  <c r="Y293" i="29" s="1"/>
  <c r="W293" i="29"/>
  <c r="AQ292" i="29"/>
  <c r="AP292" i="29"/>
  <c r="AO292" i="29"/>
  <c r="AN292" i="29"/>
  <c r="AM292" i="29"/>
  <c r="AL292" i="29"/>
  <c r="AJ292" i="29"/>
  <c r="AI292" i="29"/>
  <c r="AH292" i="29"/>
  <c r="AG292" i="29"/>
  <c r="AA292" i="29"/>
  <c r="X292" i="29"/>
  <c r="Y292" i="29" s="1"/>
  <c r="W292" i="29"/>
  <c r="AQ291" i="29"/>
  <c r="AP291" i="29"/>
  <c r="AO291" i="29"/>
  <c r="AN291" i="29"/>
  <c r="AM291" i="29"/>
  <c r="AL291" i="29"/>
  <c r="AJ291" i="29"/>
  <c r="AI291" i="29"/>
  <c r="AH291" i="29"/>
  <c r="AG291" i="29"/>
  <c r="AA291" i="29"/>
  <c r="X291" i="29"/>
  <c r="Z291" i="29" s="1"/>
  <c r="W291" i="29"/>
  <c r="AQ290" i="29"/>
  <c r="AT290" i="29" s="1"/>
  <c r="AP290" i="29"/>
  <c r="AO290" i="29"/>
  <c r="AN290" i="29"/>
  <c r="AM290" i="29"/>
  <c r="AL290" i="29"/>
  <c r="AJ290" i="29"/>
  <c r="AI290" i="29"/>
  <c r="AH290" i="29"/>
  <c r="AG290" i="29"/>
  <c r="AA290" i="29"/>
  <c r="X290" i="29"/>
  <c r="W290" i="29"/>
  <c r="AQ289" i="29"/>
  <c r="AT289" i="29" s="1"/>
  <c r="AP289" i="29"/>
  <c r="AO289" i="29"/>
  <c r="AN289" i="29"/>
  <c r="AM289" i="29"/>
  <c r="AL289" i="29"/>
  <c r="AJ289" i="29"/>
  <c r="AI289" i="29"/>
  <c r="AH289" i="29"/>
  <c r="AG289" i="29"/>
  <c r="AA289" i="29"/>
  <c r="X289" i="29"/>
  <c r="W289" i="29"/>
  <c r="V289" i="29"/>
  <c r="AQ288" i="29"/>
  <c r="AS288" i="29" s="1"/>
  <c r="AP288" i="29"/>
  <c r="AH288" i="29" s="1"/>
  <c r="AO288" i="29"/>
  <c r="AN288" i="29"/>
  <c r="AG288" i="29" s="1"/>
  <c r="AA288" i="29"/>
  <c r="AQ286" i="29"/>
  <c r="AR286" i="29" s="1"/>
  <c r="AP286" i="29"/>
  <c r="AO286" i="29"/>
  <c r="AN286" i="29"/>
  <c r="AM286" i="29"/>
  <c r="AL286" i="29"/>
  <c r="AJ286" i="29"/>
  <c r="AI286" i="29"/>
  <c r="AH286" i="29"/>
  <c r="AG286" i="29"/>
  <c r="AA286" i="29"/>
  <c r="X286" i="29"/>
  <c r="W286" i="29"/>
  <c r="AQ285" i="29"/>
  <c r="AP285" i="29"/>
  <c r="AO285" i="29"/>
  <c r="AN285" i="29"/>
  <c r="AM285" i="29"/>
  <c r="AL285" i="29"/>
  <c r="AJ285" i="29"/>
  <c r="AI285" i="29"/>
  <c r="AH285" i="29"/>
  <c r="AG285" i="29"/>
  <c r="AA285" i="29"/>
  <c r="X285" i="29"/>
  <c r="W285" i="29"/>
  <c r="AQ284" i="29"/>
  <c r="AU284" i="29" s="1"/>
  <c r="AP284" i="29"/>
  <c r="AO284" i="29"/>
  <c r="AN284" i="29"/>
  <c r="AM284" i="29"/>
  <c r="AL284" i="29"/>
  <c r="AJ284" i="29"/>
  <c r="AI284" i="29"/>
  <c r="AH284" i="29"/>
  <c r="AG284" i="29"/>
  <c r="AA284" i="29"/>
  <c r="X284" i="29"/>
  <c r="Z284" i="29" s="1"/>
  <c r="W284" i="29"/>
  <c r="AQ283" i="29"/>
  <c r="AU283" i="29" s="1"/>
  <c r="AP283" i="29"/>
  <c r="AO283" i="29"/>
  <c r="AN283" i="29"/>
  <c r="AM283" i="29"/>
  <c r="AL283" i="29"/>
  <c r="AJ283" i="29"/>
  <c r="AI283" i="29"/>
  <c r="AH283" i="29"/>
  <c r="AG283" i="29"/>
  <c r="AA283" i="29"/>
  <c r="X283" i="29"/>
  <c r="W283" i="29"/>
  <c r="AQ282" i="29"/>
  <c r="AU282" i="29" s="1"/>
  <c r="AP282" i="29"/>
  <c r="AO282" i="29"/>
  <c r="AN282" i="29"/>
  <c r="AM282" i="29"/>
  <c r="AL282" i="29"/>
  <c r="AJ282" i="29"/>
  <c r="AI282" i="29"/>
  <c r="AH282" i="29"/>
  <c r="AG282" i="29"/>
  <c r="AA282" i="29"/>
  <c r="X282" i="29"/>
  <c r="W282" i="29"/>
  <c r="AQ281" i="29"/>
  <c r="AU281" i="29" s="1"/>
  <c r="AP281" i="29"/>
  <c r="AO281" i="29"/>
  <c r="AN281" i="29"/>
  <c r="AM281" i="29"/>
  <c r="AL281" i="29"/>
  <c r="AJ281" i="29"/>
  <c r="AI281" i="29"/>
  <c r="AH281" i="29"/>
  <c r="AG281" i="29"/>
  <c r="AA281" i="29"/>
  <c r="X281" i="29"/>
  <c r="Z281" i="29" s="1"/>
  <c r="W281" i="29"/>
  <c r="AQ280" i="29"/>
  <c r="AR280" i="29" s="1"/>
  <c r="AP280" i="29"/>
  <c r="AO280" i="29"/>
  <c r="AN280" i="29"/>
  <c r="AM280" i="29"/>
  <c r="AL280" i="29"/>
  <c r="AJ280" i="29"/>
  <c r="AI280" i="29"/>
  <c r="AH280" i="29"/>
  <c r="AG280" i="29"/>
  <c r="AA280" i="29"/>
  <c r="X280" i="29"/>
  <c r="Y280" i="29" s="1"/>
  <c r="W280" i="29"/>
  <c r="AQ279" i="29"/>
  <c r="AP279" i="29"/>
  <c r="AO279" i="29"/>
  <c r="AN279" i="29"/>
  <c r="AM279" i="29"/>
  <c r="AL279" i="29"/>
  <c r="AJ279" i="29"/>
  <c r="AI279" i="29"/>
  <c r="AH279" i="29"/>
  <c r="AG279" i="29"/>
  <c r="AA279" i="29"/>
  <c r="X279" i="29"/>
  <c r="Z279" i="29" s="1"/>
  <c r="W279" i="29"/>
  <c r="AQ278" i="29"/>
  <c r="AP278" i="29"/>
  <c r="AO278" i="29"/>
  <c r="AN278" i="29"/>
  <c r="AM278" i="29"/>
  <c r="AL278" i="29"/>
  <c r="AJ278" i="29"/>
  <c r="AI278" i="29"/>
  <c r="AH278" i="29"/>
  <c r="AG278" i="29"/>
  <c r="AA278" i="29"/>
  <c r="X278" i="29"/>
  <c r="Z278" i="29" s="1"/>
  <c r="W278" i="29"/>
  <c r="AQ277" i="29"/>
  <c r="AR277" i="29" s="1"/>
  <c r="AP277" i="29"/>
  <c r="AO277" i="29"/>
  <c r="AN277" i="29"/>
  <c r="AM277" i="29"/>
  <c r="AL277" i="29"/>
  <c r="AJ277" i="29"/>
  <c r="AI277" i="29"/>
  <c r="AH277" i="29"/>
  <c r="AG277" i="29"/>
  <c r="AA277" i="29"/>
  <c r="X277" i="29"/>
  <c r="Y277" i="29" s="1"/>
  <c r="W277" i="29"/>
  <c r="AQ276" i="29"/>
  <c r="AU276" i="29" s="1"/>
  <c r="AP276" i="29"/>
  <c r="AO276" i="29"/>
  <c r="AN276" i="29"/>
  <c r="AM276" i="29"/>
  <c r="AL276" i="29"/>
  <c r="AJ276" i="29"/>
  <c r="AI276" i="29"/>
  <c r="AH276" i="29"/>
  <c r="AG276" i="29"/>
  <c r="AA276" i="29"/>
  <c r="X276" i="29"/>
  <c r="W276" i="29"/>
  <c r="AQ275" i="29"/>
  <c r="AP275" i="29"/>
  <c r="AO275" i="29"/>
  <c r="AN275" i="29"/>
  <c r="AM275" i="29"/>
  <c r="AL275" i="29"/>
  <c r="AJ275" i="29"/>
  <c r="AI275" i="29"/>
  <c r="AH275" i="29"/>
  <c r="AG275" i="29"/>
  <c r="AA275" i="29"/>
  <c r="X275" i="29"/>
  <c r="Z275" i="29" s="1"/>
  <c r="W275" i="29"/>
  <c r="AQ274" i="29"/>
  <c r="AU274" i="29" s="1"/>
  <c r="AP274" i="29"/>
  <c r="AO274" i="29"/>
  <c r="AN274" i="29"/>
  <c r="AM274" i="29"/>
  <c r="AL274" i="29"/>
  <c r="AJ274" i="29"/>
  <c r="AI274" i="29"/>
  <c r="AH274" i="29"/>
  <c r="AG274" i="29"/>
  <c r="AA274" i="29"/>
  <c r="X274" i="29"/>
  <c r="W274" i="29"/>
  <c r="AQ273" i="29"/>
  <c r="AT273" i="29" s="1"/>
  <c r="AP273" i="29"/>
  <c r="AO273" i="29"/>
  <c r="AN273" i="29"/>
  <c r="AM273" i="29"/>
  <c r="AL273" i="29"/>
  <c r="AJ273" i="29"/>
  <c r="AI273" i="29"/>
  <c r="AH273" i="29"/>
  <c r="AG273" i="29"/>
  <c r="AA273" i="29"/>
  <c r="X273" i="29"/>
  <c r="Z273" i="29" s="1"/>
  <c r="W273" i="29"/>
  <c r="AQ272" i="29"/>
  <c r="AU272" i="29" s="1"/>
  <c r="AP272" i="29"/>
  <c r="AO272" i="29"/>
  <c r="AN272" i="29"/>
  <c r="AM272" i="29"/>
  <c r="AL272" i="29"/>
  <c r="AJ272" i="29"/>
  <c r="AI272" i="29"/>
  <c r="AH272" i="29"/>
  <c r="AG272" i="29"/>
  <c r="AA272" i="29"/>
  <c r="X272" i="29"/>
  <c r="Y272" i="29" s="1"/>
  <c r="W272" i="29"/>
  <c r="AQ271" i="29"/>
  <c r="AP271" i="29"/>
  <c r="AO271" i="29"/>
  <c r="AN271" i="29"/>
  <c r="AM271" i="29"/>
  <c r="AL271" i="29"/>
  <c r="AJ271" i="29"/>
  <c r="AI271" i="29"/>
  <c r="AH271" i="29"/>
  <c r="AG271" i="29"/>
  <c r="AA271" i="29"/>
  <c r="X271" i="29"/>
  <c r="W271" i="29"/>
  <c r="AQ270" i="29"/>
  <c r="AR270" i="29" s="1"/>
  <c r="AP270" i="29"/>
  <c r="AO270" i="29"/>
  <c r="AN270" i="29"/>
  <c r="AM270" i="29"/>
  <c r="AL270" i="29"/>
  <c r="AJ270" i="29"/>
  <c r="AI270" i="29"/>
  <c r="AH270" i="29"/>
  <c r="AG270" i="29"/>
  <c r="AA270" i="29"/>
  <c r="X270" i="29"/>
  <c r="W270" i="29"/>
  <c r="AQ269" i="29"/>
  <c r="AU269" i="29" s="1"/>
  <c r="AP269" i="29"/>
  <c r="AO269" i="29"/>
  <c r="AN269" i="29"/>
  <c r="AM269" i="29"/>
  <c r="AL269" i="29"/>
  <c r="AJ269" i="29"/>
  <c r="AI269" i="29"/>
  <c r="AH269" i="29"/>
  <c r="AG269" i="29"/>
  <c r="AA269" i="29"/>
  <c r="X269" i="29"/>
  <c r="Z269" i="29" s="1"/>
  <c r="W269" i="29"/>
  <c r="AQ268" i="29"/>
  <c r="AU268" i="29" s="1"/>
  <c r="AP268" i="29"/>
  <c r="AO268" i="29"/>
  <c r="AN268" i="29"/>
  <c r="AM268" i="29"/>
  <c r="AL268" i="29"/>
  <c r="AJ268" i="29"/>
  <c r="AI268" i="29"/>
  <c r="AH268" i="29"/>
  <c r="AG268" i="29"/>
  <c r="AA268" i="29"/>
  <c r="X268" i="29"/>
  <c r="Y268" i="29" s="1"/>
  <c r="W268" i="29"/>
  <c r="AQ267" i="29"/>
  <c r="AR267" i="29" s="1"/>
  <c r="AP267" i="29"/>
  <c r="AO267" i="29"/>
  <c r="AN267" i="29"/>
  <c r="AM267" i="29"/>
  <c r="AL267" i="29"/>
  <c r="AJ267" i="29"/>
  <c r="AI267" i="29"/>
  <c r="AH267" i="29"/>
  <c r="AG267" i="29"/>
  <c r="AA267" i="29"/>
  <c r="X267" i="29"/>
  <c r="Z267" i="29" s="1"/>
  <c r="W267" i="29"/>
  <c r="AQ266" i="29"/>
  <c r="AR266" i="29" s="1"/>
  <c r="AP266" i="29"/>
  <c r="AO266" i="29"/>
  <c r="AN266" i="29"/>
  <c r="AM266" i="29"/>
  <c r="AL266" i="29"/>
  <c r="AJ266" i="29"/>
  <c r="AI266" i="29"/>
  <c r="AH266" i="29"/>
  <c r="AG266" i="29"/>
  <c r="AA266" i="29"/>
  <c r="X266" i="29"/>
  <c r="Y266" i="29" s="1"/>
  <c r="W266" i="29"/>
  <c r="AQ265" i="29"/>
  <c r="AR265" i="29" s="1"/>
  <c r="AP265" i="29"/>
  <c r="AO265" i="29"/>
  <c r="AN265" i="29"/>
  <c r="AM265" i="29"/>
  <c r="AL265" i="29"/>
  <c r="AJ265" i="29"/>
  <c r="AI265" i="29"/>
  <c r="AH265" i="29"/>
  <c r="AG265" i="29"/>
  <c r="AA265" i="29"/>
  <c r="X265" i="29"/>
  <c r="Z265" i="29" s="1"/>
  <c r="W265" i="29"/>
  <c r="AQ264" i="29"/>
  <c r="AU264" i="29" s="1"/>
  <c r="AP264" i="29"/>
  <c r="AO264" i="29"/>
  <c r="AN264" i="29"/>
  <c r="AM264" i="29"/>
  <c r="AL264" i="29"/>
  <c r="AJ264" i="29"/>
  <c r="AI264" i="29"/>
  <c r="AH264" i="29"/>
  <c r="AG264" i="29"/>
  <c r="AA264" i="29"/>
  <c r="X264" i="29"/>
  <c r="W264" i="29"/>
  <c r="AQ263" i="29"/>
  <c r="AU263" i="29" s="1"/>
  <c r="AP263" i="29"/>
  <c r="AO263" i="29"/>
  <c r="AN263" i="29"/>
  <c r="AM263" i="29"/>
  <c r="AL263" i="29"/>
  <c r="AJ263" i="29"/>
  <c r="AI263" i="29"/>
  <c r="AH263" i="29"/>
  <c r="AG263" i="29"/>
  <c r="AA263" i="29"/>
  <c r="X263" i="29"/>
  <c r="Z263" i="29" s="1"/>
  <c r="W263" i="29"/>
  <c r="AQ262" i="29"/>
  <c r="AS262" i="29" s="1"/>
  <c r="AP262" i="29"/>
  <c r="AO262" i="29"/>
  <c r="AN262" i="29"/>
  <c r="AM262" i="29"/>
  <c r="AL262" i="29"/>
  <c r="AJ262" i="29"/>
  <c r="AI262" i="29"/>
  <c r="AH262" i="29"/>
  <c r="AG262" i="29"/>
  <c r="AA262" i="29"/>
  <c r="X262" i="29"/>
  <c r="W262" i="29"/>
  <c r="AQ261" i="29"/>
  <c r="AP261" i="29"/>
  <c r="AO261" i="29"/>
  <c r="AN261" i="29"/>
  <c r="AM261" i="29"/>
  <c r="AL261" i="29"/>
  <c r="AJ261" i="29"/>
  <c r="AI261" i="29"/>
  <c r="AH261" i="29"/>
  <c r="AG261" i="29"/>
  <c r="AA261" i="29"/>
  <c r="X261" i="29"/>
  <c r="W261" i="29"/>
  <c r="AQ260" i="29"/>
  <c r="AP260" i="29"/>
  <c r="AO260" i="29"/>
  <c r="AN260" i="29"/>
  <c r="AM260" i="29"/>
  <c r="AL260" i="29"/>
  <c r="AJ260" i="29"/>
  <c r="AI260" i="29"/>
  <c r="AH260" i="29"/>
  <c r="AG260" i="29"/>
  <c r="AA260" i="29"/>
  <c r="X260" i="29"/>
  <c r="Z260" i="29" s="1"/>
  <c r="W260" i="29"/>
  <c r="AQ259" i="29"/>
  <c r="AU259" i="29" s="1"/>
  <c r="AP259" i="29"/>
  <c r="AO259" i="29"/>
  <c r="AN259" i="29"/>
  <c r="AM259" i="29"/>
  <c r="AL259" i="29"/>
  <c r="AJ259" i="29"/>
  <c r="AI259" i="29"/>
  <c r="AH259" i="29"/>
  <c r="AG259" i="29"/>
  <c r="AA259" i="29"/>
  <c r="X259" i="29"/>
  <c r="Z259" i="29" s="1"/>
  <c r="W259" i="29"/>
  <c r="AQ258" i="29"/>
  <c r="AP258" i="29"/>
  <c r="AO258" i="29"/>
  <c r="AN258" i="29"/>
  <c r="AM258" i="29"/>
  <c r="AL258" i="29"/>
  <c r="AJ258" i="29"/>
  <c r="AI258" i="29"/>
  <c r="AH258" i="29"/>
  <c r="AG258" i="29"/>
  <c r="AA258" i="29"/>
  <c r="X258" i="29"/>
  <c r="Y258" i="29" s="1"/>
  <c r="W258" i="29"/>
  <c r="AQ257" i="29"/>
  <c r="AP257" i="29"/>
  <c r="AO257" i="29"/>
  <c r="AN257" i="29"/>
  <c r="AM257" i="29"/>
  <c r="AL257" i="29"/>
  <c r="AJ257" i="29"/>
  <c r="AI257" i="29"/>
  <c r="AH257" i="29"/>
  <c r="AG257" i="29"/>
  <c r="AA257" i="29"/>
  <c r="X257" i="29"/>
  <c r="Y257" i="29" s="1"/>
  <c r="W257" i="29"/>
  <c r="AQ256" i="29"/>
  <c r="AU256" i="29" s="1"/>
  <c r="AP256" i="29"/>
  <c r="AO256" i="29"/>
  <c r="AN256" i="29"/>
  <c r="AM256" i="29"/>
  <c r="AL256" i="29"/>
  <c r="AJ256" i="29"/>
  <c r="AI256" i="29"/>
  <c r="AH256" i="29"/>
  <c r="AG256" i="29"/>
  <c r="AA256" i="29"/>
  <c r="X256" i="29"/>
  <c r="Z256" i="29" s="1"/>
  <c r="W256" i="29"/>
  <c r="AQ255" i="29"/>
  <c r="AP255" i="29"/>
  <c r="AO255" i="29"/>
  <c r="AN255" i="29"/>
  <c r="AM255" i="29"/>
  <c r="AL255" i="29"/>
  <c r="AJ255" i="29"/>
  <c r="AI255" i="29"/>
  <c r="AH255" i="29"/>
  <c r="AG255" i="29"/>
  <c r="AA255" i="29"/>
  <c r="X255" i="29"/>
  <c r="Z255" i="29" s="1"/>
  <c r="W255" i="29"/>
  <c r="AQ254" i="29"/>
  <c r="AU254" i="29" s="1"/>
  <c r="AP254" i="29"/>
  <c r="AO254" i="29"/>
  <c r="AN254" i="29"/>
  <c r="AM254" i="29"/>
  <c r="AL254" i="29"/>
  <c r="AJ254" i="29"/>
  <c r="AI254" i="29"/>
  <c r="AH254" i="29"/>
  <c r="AG254" i="29"/>
  <c r="AA254" i="29"/>
  <c r="X254" i="29"/>
  <c r="Z254" i="29" s="1"/>
  <c r="W254" i="29"/>
  <c r="AQ253" i="29"/>
  <c r="AS253" i="29" s="1"/>
  <c r="AP253" i="29"/>
  <c r="AO253" i="29"/>
  <c r="AN253" i="29"/>
  <c r="AM253" i="29"/>
  <c r="AL253" i="29"/>
  <c r="AJ253" i="29"/>
  <c r="AI253" i="29"/>
  <c r="AH253" i="29"/>
  <c r="AG253" i="29"/>
  <c r="AA253" i="29"/>
  <c r="X253" i="29"/>
  <c r="W253" i="29"/>
  <c r="V253" i="29"/>
  <c r="AQ252" i="29"/>
  <c r="AS252" i="29" s="1"/>
  <c r="AP252" i="29"/>
  <c r="AH252" i="29" s="1"/>
  <c r="AJ252" i="29" s="1"/>
  <c r="AO252" i="29"/>
  <c r="AN252" i="29"/>
  <c r="AG252" i="29" s="1"/>
  <c r="AA252" i="29"/>
  <c r="AQ250" i="29"/>
  <c r="AP250" i="29"/>
  <c r="AO250" i="29"/>
  <c r="AN250" i="29"/>
  <c r="AM250" i="29"/>
  <c r="AL250" i="29"/>
  <c r="AJ250" i="29"/>
  <c r="AI250" i="29"/>
  <c r="AH250" i="29"/>
  <c r="AG250" i="29"/>
  <c r="AA250" i="29"/>
  <c r="X250" i="29"/>
  <c r="Z250" i="29" s="1"/>
  <c r="W250" i="29"/>
  <c r="AQ249" i="29"/>
  <c r="AP249" i="29"/>
  <c r="AO249" i="29"/>
  <c r="AN249" i="29"/>
  <c r="AM249" i="29"/>
  <c r="AL249" i="29"/>
  <c r="AJ249" i="29"/>
  <c r="AI249" i="29"/>
  <c r="AH249" i="29"/>
  <c r="AG249" i="29"/>
  <c r="AA249" i="29"/>
  <c r="X249" i="29"/>
  <c r="Y249" i="29" s="1"/>
  <c r="W249" i="29"/>
  <c r="AQ248" i="29"/>
  <c r="AP248" i="29"/>
  <c r="AO248" i="29"/>
  <c r="AN248" i="29"/>
  <c r="AM248" i="29"/>
  <c r="AL248" i="29"/>
  <c r="AJ248" i="29"/>
  <c r="AI248" i="29"/>
  <c r="AH248" i="29"/>
  <c r="AG248" i="29"/>
  <c r="AA248" i="29"/>
  <c r="X248" i="29"/>
  <c r="Z248" i="29" s="1"/>
  <c r="W248" i="29"/>
  <c r="AQ247" i="29"/>
  <c r="AR247" i="29" s="1"/>
  <c r="AP247" i="29"/>
  <c r="AO247" i="29"/>
  <c r="AN247" i="29"/>
  <c r="AM247" i="29"/>
  <c r="AL247" i="29"/>
  <c r="AJ247" i="29"/>
  <c r="AI247" i="29"/>
  <c r="AH247" i="29"/>
  <c r="AG247" i="29"/>
  <c r="AA247" i="29"/>
  <c r="X247" i="29"/>
  <c r="Z247" i="29" s="1"/>
  <c r="W247" i="29"/>
  <c r="AQ246" i="29"/>
  <c r="AP246" i="29"/>
  <c r="AO246" i="29"/>
  <c r="AN246" i="29"/>
  <c r="AM246" i="29"/>
  <c r="AL246" i="29"/>
  <c r="AJ246" i="29"/>
  <c r="AI246" i="29"/>
  <c r="AH246" i="29"/>
  <c r="AG246" i="29"/>
  <c r="AA246" i="29"/>
  <c r="X246" i="29"/>
  <c r="Z246" i="29" s="1"/>
  <c r="W246" i="29"/>
  <c r="AQ245" i="29"/>
  <c r="AS245" i="29" s="1"/>
  <c r="AP245" i="29"/>
  <c r="AO245" i="29"/>
  <c r="AN245" i="29"/>
  <c r="AM245" i="29"/>
  <c r="AL245" i="29"/>
  <c r="AJ245" i="29"/>
  <c r="AI245" i="29"/>
  <c r="AH245" i="29"/>
  <c r="AG245" i="29"/>
  <c r="AA245" i="29"/>
  <c r="X245" i="29"/>
  <c r="Z245" i="29" s="1"/>
  <c r="W245" i="29"/>
  <c r="AQ244" i="29"/>
  <c r="AP244" i="29"/>
  <c r="AO244" i="29"/>
  <c r="AN244" i="29"/>
  <c r="AM244" i="29"/>
  <c r="AL244" i="29"/>
  <c r="AJ244" i="29"/>
  <c r="AI244" i="29"/>
  <c r="AH244" i="29"/>
  <c r="AG244" i="29"/>
  <c r="AA244" i="29"/>
  <c r="X244" i="29"/>
  <c r="Y244" i="29" s="1"/>
  <c r="W244" i="29"/>
  <c r="AQ243" i="29"/>
  <c r="AP243" i="29"/>
  <c r="AO243" i="29"/>
  <c r="AN243" i="29"/>
  <c r="AM243" i="29"/>
  <c r="AL243" i="29"/>
  <c r="AJ243" i="29"/>
  <c r="AI243" i="29"/>
  <c r="AH243" i="29"/>
  <c r="AG243" i="29"/>
  <c r="AA243" i="29"/>
  <c r="X243" i="29"/>
  <c r="Z243" i="29" s="1"/>
  <c r="W243" i="29"/>
  <c r="AQ242" i="29"/>
  <c r="AR242" i="29" s="1"/>
  <c r="AP242" i="29"/>
  <c r="AO242" i="29"/>
  <c r="AN242" i="29"/>
  <c r="AM242" i="29"/>
  <c r="AL242" i="29"/>
  <c r="AJ242" i="29"/>
  <c r="AI242" i="29"/>
  <c r="AH242" i="29"/>
  <c r="AG242" i="29"/>
  <c r="AA242" i="29"/>
  <c r="X242" i="29"/>
  <c r="Z242" i="29" s="1"/>
  <c r="W242" i="29"/>
  <c r="AQ241" i="29"/>
  <c r="AR241" i="29" s="1"/>
  <c r="AP241" i="29"/>
  <c r="AO241" i="29"/>
  <c r="AN241" i="29"/>
  <c r="AM241" i="29"/>
  <c r="AL241" i="29"/>
  <c r="AJ241" i="29"/>
  <c r="AI241" i="29"/>
  <c r="AH241" i="29"/>
  <c r="AG241" i="29"/>
  <c r="AA241" i="29"/>
  <c r="X241" i="29"/>
  <c r="Y241" i="29" s="1"/>
  <c r="W241" i="29"/>
  <c r="AQ240" i="29"/>
  <c r="AU240" i="29" s="1"/>
  <c r="AP240" i="29"/>
  <c r="AO240" i="29"/>
  <c r="AN240" i="29"/>
  <c r="AM240" i="29"/>
  <c r="AL240" i="29"/>
  <c r="AJ240" i="29"/>
  <c r="AI240" i="29"/>
  <c r="AH240" i="29"/>
  <c r="AG240" i="29"/>
  <c r="AA240" i="29"/>
  <c r="X240" i="29"/>
  <c r="Z240" i="29" s="1"/>
  <c r="W240" i="29"/>
  <c r="AQ239" i="29"/>
  <c r="AT239" i="29" s="1"/>
  <c r="AP239" i="29"/>
  <c r="AO239" i="29"/>
  <c r="AN239" i="29"/>
  <c r="AM239" i="29"/>
  <c r="AL239" i="29"/>
  <c r="AJ239" i="29"/>
  <c r="AI239" i="29"/>
  <c r="AH239" i="29"/>
  <c r="AG239" i="29"/>
  <c r="AA239" i="29"/>
  <c r="X239" i="29"/>
  <c r="Y239" i="29" s="1"/>
  <c r="W239" i="29"/>
  <c r="AQ238" i="29"/>
  <c r="AP238" i="29"/>
  <c r="AO238" i="29"/>
  <c r="AN238" i="29"/>
  <c r="AM238" i="29"/>
  <c r="AL238" i="29"/>
  <c r="AJ238" i="29"/>
  <c r="AI238" i="29"/>
  <c r="AH238" i="29"/>
  <c r="AG238" i="29"/>
  <c r="AA238" i="29"/>
  <c r="X238" i="29"/>
  <c r="W238" i="29"/>
  <c r="AQ237" i="29"/>
  <c r="AS237" i="29" s="1"/>
  <c r="AP237" i="29"/>
  <c r="AO237" i="29"/>
  <c r="AN237" i="29"/>
  <c r="AM237" i="29"/>
  <c r="AL237" i="29"/>
  <c r="AJ237" i="29"/>
  <c r="AI237" i="29"/>
  <c r="AH237" i="29"/>
  <c r="AG237" i="29"/>
  <c r="AA237" i="29"/>
  <c r="X237" i="29"/>
  <c r="Z237" i="29" s="1"/>
  <c r="W237" i="29"/>
  <c r="AQ236" i="29"/>
  <c r="AP236" i="29"/>
  <c r="AO236" i="29"/>
  <c r="AN236" i="29"/>
  <c r="AM236" i="29"/>
  <c r="AL236" i="29"/>
  <c r="AJ236" i="29"/>
  <c r="AI236" i="29"/>
  <c r="AH236" i="29"/>
  <c r="AG236" i="29"/>
  <c r="AA236" i="29"/>
  <c r="X236" i="29"/>
  <c r="Z236" i="29" s="1"/>
  <c r="W236" i="29"/>
  <c r="AQ235" i="29"/>
  <c r="AU235" i="29" s="1"/>
  <c r="AP235" i="29"/>
  <c r="AO235" i="29"/>
  <c r="AN235" i="29"/>
  <c r="AM235" i="29"/>
  <c r="AL235" i="29"/>
  <c r="AJ235" i="29"/>
  <c r="AI235" i="29"/>
  <c r="AH235" i="29"/>
  <c r="AG235" i="29"/>
  <c r="AA235" i="29"/>
  <c r="X235" i="29"/>
  <c r="Z235" i="29" s="1"/>
  <c r="W235" i="29"/>
  <c r="AQ234" i="29"/>
  <c r="AP234" i="29"/>
  <c r="AO234" i="29"/>
  <c r="AN234" i="29"/>
  <c r="AM234" i="29"/>
  <c r="AL234" i="29"/>
  <c r="AJ234" i="29"/>
  <c r="AI234" i="29"/>
  <c r="AH234" i="29"/>
  <c r="AG234" i="29"/>
  <c r="AA234" i="29"/>
  <c r="X234" i="29"/>
  <c r="W234" i="29"/>
  <c r="AQ233" i="29"/>
  <c r="AP233" i="29"/>
  <c r="AO233" i="29"/>
  <c r="AN233" i="29"/>
  <c r="AM233" i="29"/>
  <c r="AL233" i="29"/>
  <c r="AJ233" i="29"/>
  <c r="AI233" i="29"/>
  <c r="AH233" i="29"/>
  <c r="AG233" i="29"/>
  <c r="AA233" i="29"/>
  <c r="X233" i="29"/>
  <c r="Y233" i="29" s="1"/>
  <c r="W233" i="29"/>
  <c r="AQ232" i="29"/>
  <c r="AS232" i="29" s="1"/>
  <c r="AP232" i="29"/>
  <c r="AO232" i="29"/>
  <c r="AN232" i="29"/>
  <c r="AM232" i="29"/>
  <c r="AL232" i="29"/>
  <c r="AJ232" i="29"/>
  <c r="AI232" i="29"/>
  <c r="AH232" i="29"/>
  <c r="AG232" i="29"/>
  <c r="AA232" i="29"/>
  <c r="X232" i="29"/>
  <c r="Z232" i="29" s="1"/>
  <c r="W232" i="29"/>
  <c r="AQ231" i="29"/>
  <c r="AU231" i="29" s="1"/>
  <c r="AP231" i="29"/>
  <c r="AO231" i="29"/>
  <c r="AN231" i="29"/>
  <c r="AM231" i="29"/>
  <c r="AL231" i="29"/>
  <c r="AJ231" i="29"/>
  <c r="AI231" i="29"/>
  <c r="AH231" i="29"/>
  <c r="AG231" i="29"/>
  <c r="AA231" i="29"/>
  <c r="X231" i="29"/>
  <c r="Z231" i="29" s="1"/>
  <c r="W231" i="29"/>
  <c r="AQ230" i="29"/>
  <c r="AP230" i="29"/>
  <c r="AO230" i="29"/>
  <c r="AN230" i="29"/>
  <c r="AM230" i="29"/>
  <c r="AL230" i="29"/>
  <c r="AJ230" i="29"/>
  <c r="AI230" i="29"/>
  <c r="AH230" i="29"/>
  <c r="AG230" i="29"/>
  <c r="AA230" i="29"/>
  <c r="X230" i="29"/>
  <c r="W230" i="29"/>
  <c r="AQ229" i="29"/>
  <c r="AU229" i="29" s="1"/>
  <c r="AP229" i="29"/>
  <c r="AO229" i="29"/>
  <c r="AN229" i="29"/>
  <c r="AM229" i="29"/>
  <c r="AL229" i="29"/>
  <c r="AJ229" i="29"/>
  <c r="AI229" i="29"/>
  <c r="AH229" i="29"/>
  <c r="AG229" i="29"/>
  <c r="AA229" i="29"/>
  <c r="X229" i="29"/>
  <c r="Z229" i="29" s="1"/>
  <c r="W229" i="29"/>
  <c r="AQ228" i="29"/>
  <c r="AT228" i="29" s="1"/>
  <c r="AP228" i="29"/>
  <c r="AO228" i="29"/>
  <c r="AN228" i="29"/>
  <c r="AM228" i="29"/>
  <c r="AL228" i="29"/>
  <c r="AJ228" i="29"/>
  <c r="AI228" i="29"/>
  <c r="AH228" i="29"/>
  <c r="AG228" i="29"/>
  <c r="AA228" i="29"/>
  <c r="X228" i="29"/>
  <c r="Y228" i="29" s="1"/>
  <c r="W228" i="29"/>
  <c r="AQ227" i="29"/>
  <c r="AR227" i="29" s="1"/>
  <c r="AP227" i="29"/>
  <c r="AO227" i="29"/>
  <c r="AN227" i="29"/>
  <c r="AM227" i="29"/>
  <c r="AL227" i="29"/>
  <c r="AJ227" i="29"/>
  <c r="AI227" i="29"/>
  <c r="AH227" i="29"/>
  <c r="AG227" i="29"/>
  <c r="AA227" i="29"/>
  <c r="X227" i="29"/>
  <c r="W227" i="29"/>
  <c r="AQ226" i="29"/>
  <c r="AP226" i="29"/>
  <c r="AO226" i="29"/>
  <c r="AN226" i="29"/>
  <c r="AM226" i="29"/>
  <c r="AL226" i="29"/>
  <c r="AJ226" i="29"/>
  <c r="AI226" i="29"/>
  <c r="AH226" i="29"/>
  <c r="AG226" i="29"/>
  <c r="AA226" i="29"/>
  <c r="X226" i="29"/>
  <c r="W226" i="29"/>
  <c r="AQ225" i="29"/>
  <c r="AU225" i="29" s="1"/>
  <c r="AP225" i="29"/>
  <c r="AO225" i="29"/>
  <c r="AN225" i="29"/>
  <c r="AM225" i="29"/>
  <c r="AL225" i="29"/>
  <c r="AJ225" i="29"/>
  <c r="AI225" i="29"/>
  <c r="AH225" i="29"/>
  <c r="AG225" i="29"/>
  <c r="AA225" i="29"/>
  <c r="X225" i="29"/>
  <c r="Z225" i="29" s="1"/>
  <c r="W225" i="29"/>
  <c r="AQ224" i="29"/>
  <c r="AS224" i="29" s="1"/>
  <c r="AP224" i="29"/>
  <c r="AO224" i="29"/>
  <c r="AN224" i="29"/>
  <c r="AM224" i="29"/>
  <c r="AL224" i="29"/>
  <c r="AJ224" i="29"/>
  <c r="AI224" i="29"/>
  <c r="AH224" i="29"/>
  <c r="AG224" i="29"/>
  <c r="AA224" i="29"/>
  <c r="X224" i="29"/>
  <c r="Y224" i="29" s="1"/>
  <c r="W224" i="29"/>
  <c r="AQ223" i="29"/>
  <c r="AU223" i="29" s="1"/>
  <c r="AP223" i="29"/>
  <c r="AO223" i="29"/>
  <c r="AN223" i="29"/>
  <c r="AM223" i="29"/>
  <c r="AL223" i="29"/>
  <c r="AJ223" i="29"/>
  <c r="AI223" i="29"/>
  <c r="AH223" i="29"/>
  <c r="AG223" i="29"/>
  <c r="AA223" i="29"/>
  <c r="X223" i="29"/>
  <c r="Y223" i="29" s="1"/>
  <c r="W223" i="29"/>
  <c r="AQ222" i="29"/>
  <c r="AP222" i="29"/>
  <c r="AO222" i="29"/>
  <c r="AN222" i="29"/>
  <c r="AM222" i="29"/>
  <c r="AL222" i="29"/>
  <c r="AJ222" i="29"/>
  <c r="AI222" i="29"/>
  <c r="AH222" i="29"/>
  <c r="AG222" i="29"/>
  <c r="AA222" i="29"/>
  <c r="X222" i="29"/>
  <c r="W222" i="29"/>
  <c r="AQ221" i="29"/>
  <c r="AP221" i="29"/>
  <c r="AO221" i="29"/>
  <c r="AN221" i="29"/>
  <c r="AM221" i="29"/>
  <c r="AL221" i="29"/>
  <c r="AJ221" i="29"/>
  <c r="AI221" i="29"/>
  <c r="AH221" i="29"/>
  <c r="AG221" i="29"/>
  <c r="AA221" i="29"/>
  <c r="X221" i="29"/>
  <c r="Z221" i="29" s="1"/>
  <c r="W221" i="29"/>
  <c r="AQ220" i="29"/>
  <c r="AR220" i="29" s="1"/>
  <c r="AP220" i="29"/>
  <c r="AO220" i="29"/>
  <c r="AN220" i="29"/>
  <c r="AM220" i="29"/>
  <c r="AL220" i="29"/>
  <c r="AJ220" i="29"/>
  <c r="AI220" i="29"/>
  <c r="AH220" i="29"/>
  <c r="AG220" i="29"/>
  <c r="AA220" i="29"/>
  <c r="X220" i="29"/>
  <c r="W220" i="29"/>
  <c r="AQ219" i="29"/>
  <c r="AT219" i="29" s="1"/>
  <c r="AP219" i="29"/>
  <c r="AO219" i="29"/>
  <c r="AN219" i="29"/>
  <c r="AM219" i="29"/>
  <c r="AL219" i="29"/>
  <c r="AJ219" i="29"/>
  <c r="AI219" i="29"/>
  <c r="AH219" i="29"/>
  <c r="AG219" i="29"/>
  <c r="AA219" i="29"/>
  <c r="X219" i="29"/>
  <c r="Y219" i="29" s="1"/>
  <c r="W219" i="29"/>
  <c r="AQ218" i="29"/>
  <c r="AS218" i="29" s="1"/>
  <c r="AP218" i="29"/>
  <c r="AO218" i="29"/>
  <c r="AN218" i="29"/>
  <c r="AM218" i="29"/>
  <c r="AL218" i="29"/>
  <c r="AJ218" i="29"/>
  <c r="AI218" i="29"/>
  <c r="AH218" i="29"/>
  <c r="AG218" i="29"/>
  <c r="AA218" i="29"/>
  <c r="X218" i="29"/>
  <c r="Y218" i="29" s="1"/>
  <c r="W218" i="29"/>
  <c r="AQ217" i="29"/>
  <c r="AU217" i="29" s="1"/>
  <c r="AP217" i="29"/>
  <c r="AO217" i="29"/>
  <c r="AN217" i="29"/>
  <c r="AM217" i="29"/>
  <c r="AL217" i="29"/>
  <c r="AJ217" i="29"/>
  <c r="AI217" i="29"/>
  <c r="AH217" i="29"/>
  <c r="AG217" i="29"/>
  <c r="AA217" i="29"/>
  <c r="X217" i="29"/>
  <c r="Z217" i="29" s="1"/>
  <c r="W217" i="29"/>
  <c r="V217" i="29"/>
  <c r="AQ216" i="29"/>
  <c r="AU216" i="29" s="1"/>
  <c r="AP216" i="29"/>
  <c r="AH216" i="29" s="1"/>
  <c r="AO216" i="29"/>
  <c r="AN216" i="29"/>
  <c r="AG216" i="29" s="1"/>
  <c r="AA216" i="29"/>
  <c r="AQ214" i="29"/>
  <c r="AR214" i="29" s="1"/>
  <c r="AP214" i="29"/>
  <c r="AO214" i="29"/>
  <c r="AN214" i="29"/>
  <c r="AM214" i="29"/>
  <c r="AL214" i="29"/>
  <c r="AJ214" i="29"/>
  <c r="AI214" i="29"/>
  <c r="AH214" i="29"/>
  <c r="AG214" i="29"/>
  <c r="AA214" i="29"/>
  <c r="X214" i="29"/>
  <c r="W214" i="29"/>
  <c r="AQ213" i="29"/>
  <c r="AU213" i="29" s="1"/>
  <c r="AP213" i="29"/>
  <c r="AO213" i="29"/>
  <c r="AN213" i="29"/>
  <c r="AM213" i="29"/>
  <c r="AL213" i="29"/>
  <c r="AJ213" i="29"/>
  <c r="AI213" i="29"/>
  <c r="AH213" i="29"/>
  <c r="AG213" i="29"/>
  <c r="AA213" i="29"/>
  <c r="X213" i="29"/>
  <c r="W213" i="29"/>
  <c r="AQ212" i="29"/>
  <c r="AP212" i="29"/>
  <c r="AO212" i="29"/>
  <c r="AN212" i="29"/>
  <c r="AM212" i="29"/>
  <c r="AL212" i="29"/>
  <c r="AJ212" i="29"/>
  <c r="AI212" i="29"/>
  <c r="AH212" i="29"/>
  <c r="AG212" i="29"/>
  <c r="AA212" i="29"/>
  <c r="X212" i="29"/>
  <c r="Z212" i="29" s="1"/>
  <c r="W212" i="29"/>
  <c r="AQ211" i="29"/>
  <c r="AS211" i="29" s="1"/>
  <c r="AP211" i="29"/>
  <c r="AO211" i="29"/>
  <c r="AN211" i="29"/>
  <c r="AM211" i="29"/>
  <c r="AL211" i="29"/>
  <c r="AJ211" i="29"/>
  <c r="AI211" i="29"/>
  <c r="AH211" i="29"/>
  <c r="AG211" i="29"/>
  <c r="AA211" i="29"/>
  <c r="X211" i="29"/>
  <c r="Y211" i="29" s="1"/>
  <c r="W211" i="29"/>
  <c r="AQ210" i="29"/>
  <c r="AP210" i="29"/>
  <c r="AO210" i="29"/>
  <c r="AN210" i="29"/>
  <c r="AM210" i="29"/>
  <c r="AL210" i="29"/>
  <c r="AJ210" i="29"/>
  <c r="AI210" i="29"/>
  <c r="AH210" i="29"/>
  <c r="AG210" i="29"/>
  <c r="AA210" i="29"/>
  <c r="X210" i="29"/>
  <c r="Z210" i="29" s="1"/>
  <c r="W210" i="29"/>
  <c r="AQ209" i="29"/>
  <c r="AU209" i="29" s="1"/>
  <c r="AP209" i="29"/>
  <c r="AO209" i="29"/>
  <c r="AN209" i="29"/>
  <c r="AM209" i="29"/>
  <c r="AL209" i="29"/>
  <c r="AJ209" i="29"/>
  <c r="AI209" i="29"/>
  <c r="AH209" i="29"/>
  <c r="AG209" i="29"/>
  <c r="AA209" i="29"/>
  <c r="X209" i="29"/>
  <c r="Y209" i="29" s="1"/>
  <c r="W209" i="29"/>
  <c r="AQ208" i="29"/>
  <c r="AR208" i="29" s="1"/>
  <c r="AP208" i="29"/>
  <c r="AO208" i="29"/>
  <c r="AN208" i="29"/>
  <c r="AM208" i="29"/>
  <c r="AL208" i="29"/>
  <c r="AJ208" i="29"/>
  <c r="AI208" i="29"/>
  <c r="AH208" i="29"/>
  <c r="AG208" i="29"/>
  <c r="AA208" i="29"/>
  <c r="X208" i="29"/>
  <c r="Z208" i="29" s="1"/>
  <c r="W208" i="29"/>
  <c r="AQ207" i="29"/>
  <c r="AU207" i="29" s="1"/>
  <c r="AP207" i="29"/>
  <c r="AO207" i="29"/>
  <c r="AN207" i="29"/>
  <c r="AM207" i="29"/>
  <c r="AL207" i="29"/>
  <c r="AJ207" i="29"/>
  <c r="AI207" i="29"/>
  <c r="AH207" i="29"/>
  <c r="AG207" i="29"/>
  <c r="AA207" i="29"/>
  <c r="X207" i="29"/>
  <c r="Y207" i="29" s="1"/>
  <c r="W207" i="29"/>
  <c r="AQ206" i="29"/>
  <c r="AU206" i="29" s="1"/>
  <c r="AP206" i="29"/>
  <c r="AO206" i="29"/>
  <c r="AN206" i="29"/>
  <c r="AM206" i="29"/>
  <c r="AL206" i="29"/>
  <c r="AJ206" i="29"/>
  <c r="AI206" i="29"/>
  <c r="AH206" i="29"/>
  <c r="AG206" i="29"/>
  <c r="AA206" i="29"/>
  <c r="X206" i="29"/>
  <c r="Z206" i="29" s="1"/>
  <c r="W206" i="29"/>
  <c r="AQ205" i="29"/>
  <c r="AR205" i="29" s="1"/>
  <c r="AP205" i="29"/>
  <c r="AO205" i="29"/>
  <c r="AN205" i="29"/>
  <c r="AM205" i="29"/>
  <c r="AL205" i="29"/>
  <c r="AJ205" i="29"/>
  <c r="AI205" i="29"/>
  <c r="AH205" i="29"/>
  <c r="AG205" i="29"/>
  <c r="AA205" i="29"/>
  <c r="X205" i="29"/>
  <c r="Y205" i="29" s="1"/>
  <c r="W205" i="29"/>
  <c r="AQ204" i="29"/>
  <c r="AU204" i="29" s="1"/>
  <c r="AP204" i="29"/>
  <c r="AO204" i="29"/>
  <c r="AN204" i="29"/>
  <c r="AM204" i="29"/>
  <c r="AL204" i="29"/>
  <c r="AJ204" i="29"/>
  <c r="AI204" i="29"/>
  <c r="AH204" i="29"/>
  <c r="AG204" i="29"/>
  <c r="AA204" i="29"/>
  <c r="X204" i="29"/>
  <c r="W204" i="29"/>
  <c r="AQ203" i="29"/>
  <c r="AP203" i="29"/>
  <c r="AO203" i="29"/>
  <c r="AN203" i="29"/>
  <c r="AM203" i="29"/>
  <c r="AL203" i="29"/>
  <c r="AJ203" i="29"/>
  <c r="AI203" i="29"/>
  <c r="AH203" i="29"/>
  <c r="AG203" i="29"/>
  <c r="AA203" i="29"/>
  <c r="X203" i="29"/>
  <c r="W203" i="29"/>
  <c r="AQ202" i="29"/>
  <c r="AS202" i="29" s="1"/>
  <c r="AP202" i="29"/>
  <c r="AO202" i="29"/>
  <c r="AN202" i="29"/>
  <c r="AM202" i="29"/>
  <c r="AL202" i="29"/>
  <c r="AJ202" i="29"/>
  <c r="AI202" i="29"/>
  <c r="AH202" i="29"/>
  <c r="AG202" i="29"/>
  <c r="AA202" i="29"/>
  <c r="X202" i="29"/>
  <c r="Y202" i="29" s="1"/>
  <c r="W202" i="29"/>
  <c r="AQ201" i="29"/>
  <c r="AS201" i="29" s="1"/>
  <c r="AP201" i="29"/>
  <c r="AO201" i="29"/>
  <c r="AN201" i="29"/>
  <c r="AM201" i="29"/>
  <c r="AL201" i="29"/>
  <c r="AJ201" i="29"/>
  <c r="AI201" i="29"/>
  <c r="AH201" i="29"/>
  <c r="AG201" i="29"/>
  <c r="AA201" i="29"/>
  <c r="X201" i="29"/>
  <c r="Z201" i="29" s="1"/>
  <c r="W201" i="29"/>
  <c r="AQ200" i="29"/>
  <c r="AU200" i="29" s="1"/>
  <c r="AP200" i="29"/>
  <c r="AO200" i="29"/>
  <c r="AN200" i="29"/>
  <c r="AM200" i="29"/>
  <c r="AL200" i="29"/>
  <c r="AJ200" i="29"/>
  <c r="AI200" i="29"/>
  <c r="AH200" i="29"/>
  <c r="AG200" i="29"/>
  <c r="AA200" i="29"/>
  <c r="X200" i="29"/>
  <c r="Z200" i="29" s="1"/>
  <c r="W200" i="29"/>
  <c r="AQ199" i="29"/>
  <c r="AU199" i="29" s="1"/>
  <c r="AP199" i="29"/>
  <c r="AO199" i="29"/>
  <c r="AN199" i="29"/>
  <c r="AM199" i="29"/>
  <c r="AL199" i="29"/>
  <c r="AJ199" i="29"/>
  <c r="AI199" i="29"/>
  <c r="AH199" i="29"/>
  <c r="AG199" i="29"/>
  <c r="AA199" i="29"/>
  <c r="X199" i="29"/>
  <c r="Z199" i="29" s="1"/>
  <c r="W199" i="29"/>
  <c r="AQ198" i="29"/>
  <c r="AT198" i="29" s="1"/>
  <c r="AP198" i="29"/>
  <c r="AO198" i="29"/>
  <c r="AN198" i="29"/>
  <c r="AM198" i="29"/>
  <c r="AL198" i="29"/>
  <c r="AJ198" i="29"/>
  <c r="AI198" i="29"/>
  <c r="AH198" i="29"/>
  <c r="AG198" i="29"/>
  <c r="AA198" i="29"/>
  <c r="X198" i="29"/>
  <c r="Z198" i="29" s="1"/>
  <c r="W198" i="29"/>
  <c r="AQ197" i="29"/>
  <c r="AR197" i="29" s="1"/>
  <c r="AP197" i="29"/>
  <c r="AO197" i="29"/>
  <c r="AN197" i="29"/>
  <c r="AM197" i="29"/>
  <c r="AL197" i="29"/>
  <c r="AJ197" i="29"/>
  <c r="AI197" i="29"/>
  <c r="AH197" i="29"/>
  <c r="AG197" i="29"/>
  <c r="AA197" i="29"/>
  <c r="X197" i="29"/>
  <c r="W197" i="29"/>
  <c r="AQ196" i="29"/>
  <c r="AP196" i="29"/>
  <c r="AO196" i="29"/>
  <c r="AN196" i="29"/>
  <c r="AM196" i="29"/>
  <c r="AL196" i="29"/>
  <c r="AJ196" i="29"/>
  <c r="AI196" i="29"/>
  <c r="AH196" i="29"/>
  <c r="AG196" i="29"/>
  <c r="AA196" i="29"/>
  <c r="X196" i="29"/>
  <c r="Z196" i="29" s="1"/>
  <c r="W196" i="29"/>
  <c r="AQ195" i="29"/>
  <c r="AP195" i="29"/>
  <c r="AO195" i="29"/>
  <c r="AN195" i="29"/>
  <c r="AM195" i="29"/>
  <c r="AL195" i="29"/>
  <c r="AJ195" i="29"/>
  <c r="AI195" i="29"/>
  <c r="AH195" i="29"/>
  <c r="AG195" i="29"/>
  <c r="AA195" i="29"/>
  <c r="X195" i="29"/>
  <c r="Y195" i="29" s="1"/>
  <c r="W195" i="29"/>
  <c r="AQ194" i="29"/>
  <c r="AT194" i="29" s="1"/>
  <c r="AP194" i="29"/>
  <c r="AO194" i="29"/>
  <c r="AN194" i="29"/>
  <c r="AM194" i="29"/>
  <c r="AL194" i="29"/>
  <c r="AJ194" i="29"/>
  <c r="AI194" i="29"/>
  <c r="AH194" i="29"/>
  <c r="AG194" i="29"/>
  <c r="AA194" i="29"/>
  <c r="X194" i="29"/>
  <c r="W194" i="29"/>
  <c r="AQ193" i="29"/>
  <c r="AU193" i="29" s="1"/>
  <c r="AP193" i="29"/>
  <c r="AO193" i="29"/>
  <c r="AN193" i="29"/>
  <c r="AM193" i="29"/>
  <c r="AL193" i="29"/>
  <c r="AJ193" i="29"/>
  <c r="AI193" i="29"/>
  <c r="AH193" i="29"/>
  <c r="AG193" i="29"/>
  <c r="AA193" i="29"/>
  <c r="X193" i="29"/>
  <c r="Y193" i="29" s="1"/>
  <c r="W193" i="29"/>
  <c r="AQ192" i="29"/>
  <c r="AP192" i="29"/>
  <c r="AO192" i="29"/>
  <c r="AN192" i="29"/>
  <c r="AM192" i="29"/>
  <c r="AL192" i="29"/>
  <c r="AJ192" i="29"/>
  <c r="AI192" i="29"/>
  <c r="AH192" i="29"/>
  <c r="AG192" i="29"/>
  <c r="AA192" i="29"/>
  <c r="X192" i="29"/>
  <c r="Z192" i="29" s="1"/>
  <c r="W192" i="29"/>
  <c r="AQ191" i="29"/>
  <c r="AS191" i="29" s="1"/>
  <c r="AP191" i="29"/>
  <c r="AO191" i="29"/>
  <c r="AN191" i="29"/>
  <c r="AM191" i="29"/>
  <c r="AL191" i="29"/>
  <c r="AJ191" i="29"/>
  <c r="AI191" i="29"/>
  <c r="AH191" i="29"/>
  <c r="AG191" i="29"/>
  <c r="AA191" i="29"/>
  <c r="X191" i="29"/>
  <c r="Z191" i="29" s="1"/>
  <c r="W191" i="29"/>
  <c r="AQ190" i="29"/>
  <c r="AR190" i="29" s="1"/>
  <c r="AP190" i="29"/>
  <c r="AO190" i="29"/>
  <c r="AN190" i="29"/>
  <c r="AM190" i="29"/>
  <c r="AL190" i="29"/>
  <c r="AJ190" i="29"/>
  <c r="AI190" i="29"/>
  <c r="AH190" i="29"/>
  <c r="AG190" i="29"/>
  <c r="AA190" i="29"/>
  <c r="X190" i="29"/>
  <c r="W190" i="29"/>
  <c r="AQ189" i="29"/>
  <c r="AT189" i="29" s="1"/>
  <c r="AP189" i="29"/>
  <c r="AO189" i="29"/>
  <c r="AN189" i="29"/>
  <c r="AM189" i="29"/>
  <c r="AL189" i="29"/>
  <c r="AJ189" i="29"/>
  <c r="AI189" i="29"/>
  <c r="AH189" i="29"/>
  <c r="AG189" i="29"/>
  <c r="AA189" i="29"/>
  <c r="X189" i="29"/>
  <c r="Z189" i="29" s="1"/>
  <c r="W189" i="29"/>
  <c r="AQ188" i="29"/>
  <c r="AR188" i="29" s="1"/>
  <c r="AP188" i="29"/>
  <c r="AO188" i="29"/>
  <c r="AN188" i="29"/>
  <c r="AM188" i="29"/>
  <c r="AL188" i="29"/>
  <c r="AJ188" i="29"/>
  <c r="AI188" i="29"/>
  <c r="AH188" i="29"/>
  <c r="AG188" i="29"/>
  <c r="AA188" i="29"/>
  <c r="X188" i="29"/>
  <c r="W188" i="29"/>
  <c r="AQ187" i="29"/>
  <c r="AT187" i="29" s="1"/>
  <c r="AP187" i="29"/>
  <c r="AO187" i="29"/>
  <c r="AN187" i="29"/>
  <c r="AM187" i="29"/>
  <c r="AL187" i="29"/>
  <c r="AJ187" i="29"/>
  <c r="AI187" i="29"/>
  <c r="AH187" i="29"/>
  <c r="AG187" i="29"/>
  <c r="AA187" i="29"/>
  <c r="X187" i="29"/>
  <c r="Y187" i="29" s="1"/>
  <c r="W187" i="29"/>
  <c r="AQ186" i="29"/>
  <c r="AU186" i="29" s="1"/>
  <c r="AP186" i="29"/>
  <c r="AO186" i="29"/>
  <c r="AN186" i="29"/>
  <c r="AM186" i="29"/>
  <c r="AL186" i="29"/>
  <c r="AJ186" i="29"/>
  <c r="AI186" i="29"/>
  <c r="AH186" i="29"/>
  <c r="AG186" i="29"/>
  <c r="AA186" i="29"/>
  <c r="X186" i="29"/>
  <c r="W186" i="29"/>
  <c r="AQ185" i="29"/>
  <c r="AU185" i="29" s="1"/>
  <c r="AP185" i="29"/>
  <c r="AO185" i="29"/>
  <c r="AN185" i="29"/>
  <c r="AM185" i="29"/>
  <c r="AL185" i="29"/>
  <c r="AJ185" i="29"/>
  <c r="AI185" i="29"/>
  <c r="AH185" i="29"/>
  <c r="AG185" i="29"/>
  <c r="AA185" i="29"/>
  <c r="X185" i="29"/>
  <c r="Y185" i="29" s="1"/>
  <c r="W185" i="29"/>
  <c r="AQ184" i="29"/>
  <c r="AS184" i="29" s="1"/>
  <c r="AP184" i="29"/>
  <c r="AO184" i="29"/>
  <c r="AN184" i="29"/>
  <c r="AM184" i="29"/>
  <c r="AL184" i="29"/>
  <c r="AJ184" i="29"/>
  <c r="AI184" i="29"/>
  <c r="AH184" i="29"/>
  <c r="AG184" i="29"/>
  <c r="AA184" i="29"/>
  <c r="X184" i="29"/>
  <c r="Z184" i="29" s="1"/>
  <c r="W184" i="29"/>
  <c r="AQ183" i="29"/>
  <c r="AU183" i="29" s="1"/>
  <c r="AP183" i="29"/>
  <c r="AO183" i="29"/>
  <c r="AN183" i="29"/>
  <c r="AM183" i="29"/>
  <c r="AL183" i="29"/>
  <c r="AJ183" i="29"/>
  <c r="AI183" i="29"/>
  <c r="AH183" i="29"/>
  <c r="AG183" i="29"/>
  <c r="AA183" i="29"/>
  <c r="X183" i="29"/>
  <c r="Z183" i="29" s="1"/>
  <c r="W183" i="29"/>
  <c r="AQ182" i="29"/>
  <c r="AP182" i="29"/>
  <c r="AO182" i="29"/>
  <c r="AN182" i="29"/>
  <c r="AM182" i="29"/>
  <c r="AL182" i="29"/>
  <c r="AJ182" i="29"/>
  <c r="AI182" i="29"/>
  <c r="AH182" i="29"/>
  <c r="AG182" i="29"/>
  <c r="AA182" i="29"/>
  <c r="X182" i="29"/>
  <c r="W182" i="29"/>
  <c r="AQ181" i="29"/>
  <c r="AT181" i="29" s="1"/>
  <c r="AP181" i="29"/>
  <c r="AO181" i="29"/>
  <c r="AN181" i="29"/>
  <c r="AM181" i="29"/>
  <c r="AL181" i="29"/>
  <c r="AJ181" i="29"/>
  <c r="AI181" i="29"/>
  <c r="AH181" i="29"/>
  <c r="AG181" i="29"/>
  <c r="AA181" i="29"/>
  <c r="X181" i="29"/>
  <c r="Y181" i="29" s="1"/>
  <c r="W181" i="29"/>
  <c r="V181" i="29"/>
  <c r="AQ180" i="29"/>
  <c r="AR180" i="29" s="1"/>
  <c r="AP180" i="29"/>
  <c r="AH180" i="29" s="1"/>
  <c r="AJ180" i="29" s="1"/>
  <c r="AO180" i="29"/>
  <c r="AN180" i="29"/>
  <c r="AG180" i="29" s="1"/>
  <c r="AA180" i="29"/>
  <c r="AQ178" i="29"/>
  <c r="AR178" i="29" s="1"/>
  <c r="AP178" i="29"/>
  <c r="AO178" i="29"/>
  <c r="AN178" i="29"/>
  <c r="AM178" i="29"/>
  <c r="AL178" i="29"/>
  <c r="AJ178" i="29"/>
  <c r="AI178" i="29"/>
  <c r="AH178" i="29"/>
  <c r="AG178" i="29"/>
  <c r="AA178" i="29"/>
  <c r="X178" i="29"/>
  <c r="Z178" i="29" s="1"/>
  <c r="W178" i="29"/>
  <c r="AQ177" i="29"/>
  <c r="AR177" i="29" s="1"/>
  <c r="AP177" i="29"/>
  <c r="AO177" i="29"/>
  <c r="AN177" i="29"/>
  <c r="AM177" i="29"/>
  <c r="AL177" i="29"/>
  <c r="AJ177" i="29"/>
  <c r="AI177" i="29"/>
  <c r="AH177" i="29"/>
  <c r="AG177" i="29"/>
  <c r="AA177" i="29"/>
  <c r="X177" i="29"/>
  <c r="Z177" i="29" s="1"/>
  <c r="W177" i="29"/>
  <c r="AQ176" i="29"/>
  <c r="AP176" i="29"/>
  <c r="AO176" i="29"/>
  <c r="AN176" i="29"/>
  <c r="AM176" i="29"/>
  <c r="AL176" i="29"/>
  <c r="AJ176" i="29"/>
  <c r="AI176" i="29"/>
  <c r="AH176" i="29"/>
  <c r="AG176" i="29"/>
  <c r="AA176" i="29"/>
  <c r="X176" i="29"/>
  <c r="Z176" i="29" s="1"/>
  <c r="W176" i="29"/>
  <c r="AQ175" i="29"/>
  <c r="AS175" i="29" s="1"/>
  <c r="AP175" i="29"/>
  <c r="AO175" i="29"/>
  <c r="AN175" i="29"/>
  <c r="AM175" i="29"/>
  <c r="AL175" i="29"/>
  <c r="AJ175" i="29"/>
  <c r="AI175" i="29"/>
  <c r="AH175" i="29"/>
  <c r="AG175" i="29"/>
  <c r="AA175" i="29"/>
  <c r="X175" i="29"/>
  <c r="Z175" i="29" s="1"/>
  <c r="W175" i="29"/>
  <c r="AQ174" i="29"/>
  <c r="AS174" i="29" s="1"/>
  <c r="AP174" i="29"/>
  <c r="AO174" i="29"/>
  <c r="AN174" i="29"/>
  <c r="AM174" i="29"/>
  <c r="AL174" i="29"/>
  <c r="AJ174" i="29"/>
  <c r="AI174" i="29"/>
  <c r="AH174" i="29"/>
  <c r="AG174" i="29"/>
  <c r="AA174" i="29"/>
  <c r="X174" i="29"/>
  <c r="Z174" i="29" s="1"/>
  <c r="W174" i="29"/>
  <c r="AQ173" i="29"/>
  <c r="AS173" i="29" s="1"/>
  <c r="AP173" i="29"/>
  <c r="AO173" i="29"/>
  <c r="AN173" i="29"/>
  <c r="AM173" i="29"/>
  <c r="AL173" i="29"/>
  <c r="AJ173" i="29"/>
  <c r="AI173" i="29"/>
  <c r="AH173" i="29"/>
  <c r="AG173" i="29"/>
  <c r="AA173" i="29"/>
  <c r="X173" i="29"/>
  <c r="Z173" i="29" s="1"/>
  <c r="W173" i="29"/>
  <c r="AQ172" i="29"/>
  <c r="AP172" i="29"/>
  <c r="AO172" i="29"/>
  <c r="AN172" i="29"/>
  <c r="AM172" i="29"/>
  <c r="AL172" i="29"/>
  <c r="AJ172" i="29"/>
  <c r="AI172" i="29"/>
  <c r="AH172" i="29"/>
  <c r="AG172" i="29"/>
  <c r="AA172" i="29"/>
  <c r="X172" i="29"/>
  <c r="Y172" i="29" s="1"/>
  <c r="W172" i="29"/>
  <c r="AQ171" i="29"/>
  <c r="AR171" i="29" s="1"/>
  <c r="AP171" i="29"/>
  <c r="AO171" i="29"/>
  <c r="AN171" i="29"/>
  <c r="AM171" i="29"/>
  <c r="AL171" i="29"/>
  <c r="AJ171" i="29"/>
  <c r="AI171" i="29"/>
  <c r="AH171" i="29"/>
  <c r="AG171" i="29"/>
  <c r="AA171" i="29"/>
  <c r="X171" i="29"/>
  <c r="Z171" i="29" s="1"/>
  <c r="W171" i="29"/>
  <c r="AQ170" i="29"/>
  <c r="AT170" i="29" s="1"/>
  <c r="AP170" i="29"/>
  <c r="AO170" i="29"/>
  <c r="AN170" i="29"/>
  <c r="AM170" i="29"/>
  <c r="AL170" i="29"/>
  <c r="AJ170" i="29"/>
  <c r="AI170" i="29"/>
  <c r="AH170" i="29"/>
  <c r="AG170" i="29"/>
  <c r="AA170" i="29"/>
  <c r="X170" i="29"/>
  <c r="Z170" i="29" s="1"/>
  <c r="W170" i="29"/>
  <c r="AQ169" i="29"/>
  <c r="AS169" i="29" s="1"/>
  <c r="AP169" i="29"/>
  <c r="AO169" i="29"/>
  <c r="AN169" i="29"/>
  <c r="AM169" i="29"/>
  <c r="AL169" i="29"/>
  <c r="AJ169" i="29"/>
  <c r="AI169" i="29"/>
  <c r="AH169" i="29"/>
  <c r="AG169" i="29"/>
  <c r="AA169" i="29"/>
  <c r="X169" i="29"/>
  <c r="W169" i="29"/>
  <c r="AQ168" i="29"/>
  <c r="AS168" i="29" s="1"/>
  <c r="AP168" i="29"/>
  <c r="AO168" i="29"/>
  <c r="AN168" i="29"/>
  <c r="AM168" i="29"/>
  <c r="AL168" i="29"/>
  <c r="AJ168" i="29"/>
  <c r="AI168" i="29"/>
  <c r="AH168" i="29"/>
  <c r="AG168" i="29"/>
  <c r="AA168" i="29"/>
  <c r="X168" i="29"/>
  <c r="Z168" i="29" s="1"/>
  <c r="W168" i="29"/>
  <c r="AQ167" i="29"/>
  <c r="AP167" i="29"/>
  <c r="AO167" i="29"/>
  <c r="AN167" i="29"/>
  <c r="AM167" i="29"/>
  <c r="AL167" i="29"/>
  <c r="AJ167" i="29"/>
  <c r="AI167" i="29"/>
  <c r="AH167" i="29"/>
  <c r="AG167" i="29"/>
  <c r="AA167" i="29"/>
  <c r="X167" i="29"/>
  <c r="W167" i="29"/>
  <c r="AQ166" i="29"/>
  <c r="AT166" i="29" s="1"/>
  <c r="AP166" i="29"/>
  <c r="AO166" i="29"/>
  <c r="AN166" i="29"/>
  <c r="AM166" i="29"/>
  <c r="AL166" i="29"/>
  <c r="AJ166" i="29"/>
  <c r="AI166" i="29"/>
  <c r="AH166" i="29"/>
  <c r="AG166" i="29"/>
  <c r="AA166" i="29"/>
  <c r="X166" i="29"/>
  <c r="Z166" i="29" s="1"/>
  <c r="W166" i="29"/>
  <c r="AQ165" i="29"/>
  <c r="AU165" i="29" s="1"/>
  <c r="AP165" i="29"/>
  <c r="AO165" i="29"/>
  <c r="AN165" i="29"/>
  <c r="AM165" i="29"/>
  <c r="AL165" i="29"/>
  <c r="AJ165" i="29"/>
  <c r="AI165" i="29"/>
  <c r="AH165" i="29"/>
  <c r="AG165" i="29"/>
  <c r="AA165" i="29"/>
  <c r="X165" i="29"/>
  <c r="Y165" i="29" s="1"/>
  <c r="W165" i="29"/>
  <c r="AQ164" i="29"/>
  <c r="AU164" i="29" s="1"/>
  <c r="AP164" i="29"/>
  <c r="AO164" i="29"/>
  <c r="AN164" i="29"/>
  <c r="AM164" i="29"/>
  <c r="AL164" i="29"/>
  <c r="AJ164" i="29"/>
  <c r="AI164" i="29"/>
  <c r="AH164" i="29"/>
  <c r="AG164" i="29"/>
  <c r="AA164" i="29"/>
  <c r="X164" i="29"/>
  <c r="Z164" i="29" s="1"/>
  <c r="W164" i="29"/>
  <c r="AQ163" i="29"/>
  <c r="AP163" i="29"/>
  <c r="AO163" i="29"/>
  <c r="AN163" i="29"/>
  <c r="AM163" i="29"/>
  <c r="AL163" i="29"/>
  <c r="AJ163" i="29"/>
  <c r="AI163" i="29"/>
  <c r="AH163" i="29"/>
  <c r="AG163" i="29"/>
  <c r="AA163" i="29"/>
  <c r="X163" i="29"/>
  <c r="Z163" i="29" s="1"/>
  <c r="W163" i="29"/>
  <c r="AQ162" i="29"/>
  <c r="AU162" i="29" s="1"/>
  <c r="AP162" i="29"/>
  <c r="AO162" i="29"/>
  <c r="AN162" i="29"/>
  <c r="AM162" i="29"/>
  <c r="AL162" i="29"/>
  <c r="AJ162" i="29"/>
  <c r="AI162" i="29"/>
  <c r="AH162" i="29"/>
  <c r="AG162" i="29"/>
  <c r="AA162" i="29"/>
  <c r="X162" i="29"/>
  <c r="Z162" i="29" s="1"/>
  <c r="W162" i="29"/>
  <c r="AQ161" i="29"/>
  <c r="AP161" i="29"/>
  <c r="AO161" i="29"/>
  <c r="AN161" i="29"/>
  <c r="AM161" i="29"/>
  <c r="AL161" i="29"/>
  <c r="AJ161" i="29"/>
  <c r="AI161" i="29"/>
  <c r="AH161" i="29"/>
  <c r="AG161" i="29"/>
  <c r="AA161" i="29"/>
  <c r="X161" i="29"/>
  <c r="Z161" i="29" s="1"/>
  <c r="W161" i="29"/>
  <c r="AQ160" i="29"/>
  <c r="AU160" i="29" s="1"/>
  <c r="AP160" i="29"/>
  <c r="AO160" i="29"/>
  <c r="AN160" i="29"/>
  <c r="AM160" i="29"/>
  <c r="AL160" i="29"/>
  <c r="AJ160" i="29"/>
  <c r="AI160" i="29"/>
  <c r="AH160" i="29"/>
  <c r="AG160" i="29"/>
  <c r="AA160" i="29"/>
  <c r="X160" i="29"/>
  <c r="Y160" i="29" s="1"/>
  <c r="W160" i="29"/>
  <c r="AQ159" i="29"/>
  <c r="AP159" i="29"/>
  <c r="AO159" i="29"/>
  <c r="AN159" i="29"/>
  <c r="AM159" i="29"/>
  <c r="AL159" i="29"/>
  <c r="AJ159" i="29"/>
  <c r="AI159" i="29"/>
  <c r="AH159" i="29"/>
  <c r="AG159" i="29"/>
  <c r="AA159" i="29"/>
  <c r="X159" i="29"/>
  <c r="Y159" i="29" s="1"/>
  <c r="W159" i="29"/>
  <c r="AQ158" i="29"/>
  <c r="AS158" i="29" s="1"/>
  <c r="AP158" i="29"/>
  <c r="AO158" i="29"/>
  <c r="AN158" i="29"/>
  <c r="AM158" i="29"/>
  <c r="AL158" i="29"/>
  <c r="AJ158" i="29"/>
  <c r="AI158" i="29"/>
  <c r="AH158" i="29"/>
  <c r="AG158" i="29"/>
  <c r="AA158" i="29"/>
  <c r="X158" i="29"/>
  <c r="Z158" i="29" s="1"/>
  <c r="W158" i="29"/>
  <c r="AQ157" i="29"/>
  <c r="AR157" i="29" s="1"/>
  <c r="AP157" i="29"/>
  <c r="AO157" i="29"/>
  <c r="AN157" i="29"/>
  <c r="AM157" i="29"/>
  <c r="AL157" i="29"/>
  <c r="AJ157" i="29"/>
  <c r="AI157" i="29"/>
  <c r="AH157" i="29"/>
  <c r="AG157" i="29"/>
  <c r="AA157" i="29"/>
  <c r="X157" i="29"/>
  <c r="Z157" i="29" s="1"/>
  <c r="W157" i="29"/>
  <c r="AQ156" i="29"/>
  <c r="AU156" i="29" s="1"/>
  <c r="AP156" i="29"/>
  <c r="AO156" i="29"/>
  <c r="AN156" i="29"/>
  <c r="AM156" i="29"/>
  <c r="AL156" i="29"/>
  <c r="AJ156" i="29"/>
  <c r="AI156" i="29"/>
  <c r="AH156" i="29"/>
  <c r="AG156" i="29"/>
  <c r="AA156" i="29"/>
  <c r="X156" i="29"/>
  <c r="W156" i="29"/>
  <c r="AQ155" i="29"/>
  <c r="AR155" i="29" s="1"/>
  <c r="AP155" i="29"/>
  <c r="AO155" i="29"/>
  <c r="AN155" i="29"/>
  <c r="AM155" i="29"/>
  <c r="AL155" i="29"/>
  <c r="AJ155" i="29"/>
  <c r="AI155" i="29"/>
  <c r="AH155" i="29"/>
  <c r="AG155" i="29"/>
  <c r="AA155" i="29"/>
  <c r="X155" i="29"/>
  <c r="Y155" i="29" s="1"/>
  <c r="W155" i="29"/>
  <c r="AQ154" i="29"/>
  <c r="AU154" i="29" s="1"/>
  <c r="AP154" i="29"/>
  <c r="AO154" i="29"/>
  <c r="AN154" i="29"/>
  <c r="AM154" i="29"/>
  <c r="AL154" i="29"/>
  <c r="AJ154" i="29"/>
  <c r="AI154" i="29"/>
  <c r="AH154" i="29"/>
  <c r="AG154" i="29"/>
  <c r="AA154" i="29"/>
  <c r="X154" i="29"/>
  <c r="W154" i="29"/>
  <c r="AQ153" i="29"/>
  <c r="AT153" i="29" s="1"/>
  <c r="AP153" i="29"/>
  <c r="AO153" i="29"/>
  <c r="AN153" i="29"/>
  <c r="AM153" i="29"/>
  <c r="AL153" i="29"/>
  <c r="AJ153" i="29"/>
  <c r="AI153" i="29"/>
  <c r="AH153" i="29"/>
  <c r="AG153" i="29"/>
  <c r="AA153" i="29"/>
  <c r="X153" i="29"/>
  <c r="Z153" i="29" s="1"/>
  <c r="W153" i="29"/>
  <c r="AQ152" i="29"/>
  <c r="AT152" i="29" s="1"/>
  <c r="AP152" i="29"/>
  <c r="AO152" i="29"/>
  <c r="AN152" i="29"/>
  <c r="AM152" i="29"/>
  <c r="AL152" i="29"/>
  <c r="AJ152" i="29"/>
  <c r="AI152" i="29"/>
  <c r="AH152" i="29"/>
  <c r="AG152" i="29"/>
  <c r="AA152" i="29"/>
  <c r="X152" i="29"/>
  <c r="Z152" i="29" s="1"/>
  <c r="W152" i="29"/>
  <c r="AQ151" i="29"/>
  <c r="AR151" i="29" s="1"/>
  <c r="AP151" i="29"/>
  <c r="AO151" i="29"/>
  <c r="AN151" i="29"/>
  <c r="AM151" i="29"/>
  <c r="AL151" i="29"/>
  <c r="AJ151" i="29"/>
  <c r="AI151" i="29"/>
  <c r="AH151" i="29"/>
  <c r="AG151" i="29"/>
  <c r="AA151" i="29"/>
  <c r="X151" i="29"/>
  <c r="W151" i="29"/>
  <c r="AQ150" i="29"/>
  <c r="AP150" i="29"/>
  <c r="AO150" i="29"/>
  <c r="AN150" i="29"/>
  <c r="AM150" i="29"/>
  <c r="AL150" i="29"/>
  <c r="AJ150" i="29"/>
  <c r="AI150" i="29"/>
  <c r="AH150" i="29"/>
  <c r="AG150" i="29"/>
  <c r="AA150" i="29"/>
  <c r="X150" i="29"/>
  <c r="W150" i="29"/>
  <c r="AQ149" i="29"/>
  <c r="AT149" i="29" s="1"/>
  <c r="AP149" i="29"/>
  <c r="AO149" i="29"/>
  <c r="AN149" i="29"/>
  <c r="AM149" i="29"/>
  <c r="AL149" i="29"/>
  <c r="AJ149" i="29"/>
  <c r="AI149" i="29"/>
  <c r="AH149" i="29"/>
  <c r="AG149" i="29"/>
  <c r="AA149" i="29"/>
  <c r="X149" i="29"/>
  <c r="W149" i="29"/>
  <c r="AQ148" i="29"/>
  <c r="AR148" i="29" s="1"/>
  <c r="AP148" i="29"/>
  <c r="AO148" i="29"/>
  <c r="AN148" i="29"/>
  <c r="AM148" i="29"/>
  <c r="AL148" i="29"/>
  <c r="AJ148" i="29"/>
  <c r="AI148" i="29"/>
  <c r="AH148" i="29"/>
  <c r="AG148" i="29"/>
  <c r="AA148" i="29"/>
  <c r="X148" i="29"/>
  <c r="Y148" i="29" s="1"/>
  <c r="W148" i="29"/>
  <c r="AQ147" i="29"/>
  <c r="AR147" i="29" s="1"/>
  <c r="AP147" i="29"/>
  <c r="AO147" i="29"/>
  <c r="AN147" i="29"/>
  <c r="AM147" i="29"/>
  <c r="AL147" i="29"/>
  <c r="AJ147" i="29"/>
  <c r="AI147" i="29"/>
  <c r="AH147" i="29"/>
  <c r="AG147" i="29"/>
  <c r="AA147" i="29"/>
  <c r="X147" i="29"/>
  <c r="Z147" i="29" s="1"/>
  <c r="W147" i="29"/>
  <c r="AQ146" i="29"/>
  <c r="AP146" i="29"/>
  <c r="AO146" i="29"/>
  <c r="AN146" i="29"/>
  <c r="AM146" i="29"/>
  <c r="AL146" i="29"/>
  <c r="AJ146" i="29"/>
  <c r="AI146" i="29"/>
  <c r="AH146" i="29"/>
  <c r="AG146" i="29"/>
  <c r="AA146" i="29"/>
  <c r="X146" i="29"/>
  <c r="Z146" i="29" s="1"/>
  <c r="W146" i="29"/>
  <c r="AQ145" i="29"/>
  <c r="AP145" i="29"/>
  <c r="AO145" i="29"/>
  <c r="AN145" i="29"/>
  <c r="AM145" i="29"/>
  <c r="AL145" i="29"/>
  <c r="AJ145" i="29"/>
  <c r="AI145" i="29"/>
  <c r="AH145" i="29"/>
  <c r="AG145" i="29"/>
  <c r="AA145" i="29"/>
  <c r="X145" i="29"/>
  <c r="Z145" i="29" s="1"/>
  <c r="W145" i="29"/>
  <c r="V145" i="29"/>
  <c r="AQ144" i="29"/>
  <c r="AU144" i="29" s="1"/>
  <c r="AP144" i="29"/>
  <c r="AH144" i="29" s="1"/>
  <c r="AJ144" i="29" s="1"/>
  <c r="AO144" i="29"/>
  <c r="AN144" i="29"/>
  <c r="AG144" i="29" s="1"/>
  <c r="AA144" i="29"/>
  <c r="AQ142" i="29"/>
  <c r="AU142" i="29" s="1"/>
  <c r="AP142" i="29"/>
  <c r="AO142" i="29"/>
  <c r="AN142" i="29"/>
  <c r="AM142" i="29"/>
  <c r="AL142" i="29"/>
  <c r="AJ142" i="29"/>
  <c r="AI142" i="29"/>
  <c r="AH142" i="29"/>
  <c r="AG142" i="29"/>
  <c r="AA142" i="29"/>
  <c r="X142" i="29"/>
  <c r="Z142" i="29" s="1"/>
  <c r="W142" i="29"/>
  <c r="AQ141" i="29"/>
  <c r="AS141" i="29" s="1"/>
  <c r="AP141" i="29"/>
  <c r="AO141" i="29"/>
  <c r="AN141" i="29"/>
  <c r="AM141" i="29"/>
  <c r="AL141" i="29"/>
  <c r="AJ141" i="29"/>
  <c r="AI141" i="29"/>
  <c r="AH141" i="29"/>
  <c r="AG141" i="29"/>
  <c r="AA141" i="29"/>
  <c r="X141" i="29"/>
  <c r="Z141" i="29" s="1"/>
  <c r="W141" i="29"/>
  <c r="AQ140" i="29"/>
  <c r="AP140" i="29"/>
  <c r="AO140" i="29"/>
  <c r="AN140" i="29"/>
  <c r="AM140" i="29"/>
  <c r="AL140" i="29"/>
  <c r="AJ140" i="29"/>
  <c r="AI140" i="29"/>
  <c r="AH140" i="29"/>
  <c r="AG140" i="29"/>
  <c r="AA140" i="29"/>
  <c r="X140" i="29"/>
  <c r="Z140" i="29" s="1"/>
  <c r="W140" i="29"/>
  <c r="AQ139" i="29"/>
  <c r="AU139" i="29" s="1"/>
  <c r="AP139" i="29"/>
  <c r="AO139" i="29"/>
  <c r="AN139" i="29"/>
  <c r="AM139" i="29"/>
  <c r="AL139" i="29"/>
  <c r="AJ139" i="29"/>
  <c r="AI139" i="29"/>
  <c r="AH139" i="29"/>
  <c r="AG139" i="29"/>
  <c r="AA139" i="29"/>
  <c r="X139" i="29"/>
  <c r="Z139" i="29" s="1"/>
  <c r="W139" i="29"/>
  <c r="AQ138" i="29"/>
  <c r="AT138" i="29" s="1"/>
  <c r="AP138" i="29"/>
  <c r="AO138" i="29"/>
  <c r="AN138" i="29"/>
  <c r="AM138" i="29"/>
  <c r="AL138" i="29"/>
  <c r="AJ138" i="29"/>
  <c r="AI138" i="29"/>
  <c r="AH138" i="29"/>
  <c r="AG138" i="29"/>
  <c r="AA138" i="29"/>
  <c r="X138" i="29"/>
  <c r="Y138" i="29" s="1"/>
  <c r="W138" i="29"/>
  <c r="AQ137" i="29"/>
  <c r="AS137" i="29" s="1"/>
  <c r="AP137" i="29"/>
  <c r="AO137" i="29"/>
  <c r="AN137" i="29"/>
  <c r="AM137" i="29"/>
  <c r="AL137" i="29"/>
  <c r="AJ137" i="29"/>
  <c r="AI137" i="29"/>
  <c r="AH137" i="29"/>
  <c r="AG137" i="29"/>
  <c r="AA137" i="29"/>
  <c r="X137" i="29"/>
  <c r="Y137" i="29" s="1"/>
  <c r="W137" i="29"/>
  <c r="AQ136" i="29"/>
  <c r="AS136" i="29" s="1"/>
  <c r="AP136" i="29"/>
  <c r="AO136" i="29"/>
  <c r="AN136" i="29"/>
  <c r="AM136" i="29"/>
  <c r="AL136" i="29"/>
  <c r="AJ136" i="29"/>
  <c r="AI136" i="29"/>
  <c r="AH136" i="29"/>
  <c r="AG136" i="29"/>
  <c r="AA136" i="29"/>
  <c r="X136" i="29"/>
  <c r="Z136" i="29" s="1"/>
  <c r="W136" i="29"/>
  <c r="AQ135" i="29"/>
  <c r="AP135" i="29"/>
  <c r="AO135" i="29"/>
  <c r="AN135" i="29"/>
  <c r="AM135" i="29"/>
  <c r="AL135" i="29"/>
  <c r="AJ135" i="29"/>
  <c r="AI135" i="29"/>
  <c r="AH135" i="29"/>
  <c r="AG135" i="29"/>
  <c r="AA135" i="29"/>
  <c r="X135" i="29"/>
  <c r="W135" i="29"/>
  <c r="AQ134" i="29"/>
  <c r="AU134" i="29" s="1"/>
  <c r="AP134" i="29"/>
  <c r="AO134" i="29"/>
  <c r="AN134" i="29"/>
  <c r="AM134" i="29"/>
  <c r="AL134" i="29"/>
  <c r="AJ134" i="29"/>
  <c r="AI134" i="29"/>
  <c r="AH134" i="29"/>
  <c r="AG134" i="29"/>
  <c r="AA134" i="29"/>
  <c r="X134" i="29"/>
  <c r="Z134" i="29" s="1"/>
  <c r="W134" i="29"/>
  <c r="AQ133" i="29"/>
  <c r="AS133" i="29" s="1"/>
  <c r="AP133" i="29"/>
  <c r="AO133" i="29"/>
  <c r="AN133" i="29"/>
  <c r="AM133" i="29"/>
  <c r="AL133" i="29"/>
  <c r="AJ133" i="29"/>
  <c r="AI133" i="29"/>
  <c r="AH133" i="29"/>
  <c r="AG133" i="29"/>
  <c r="AA133" i="29"/>
  <c r="X133" i="29"/>
  <c r="Y133" i="29" s="1"/>
  <c r="W133" i="29"/>
  <c r="AQ132" i="29"/>
  <c r="AR132" i="29" s="1"/>
  <c r="AP132" i="29"/>
  <c r="AO132" i="29"/>
  <c r="AN132" i="29"/>
  <c r="AM132" i="29"/>
  <c r="AL132" i="29"/>
  <c r="AJ132" i="29"/>
  <c r="AI132" i="29"/>
  <c r="AH132" i="29"/>
  <c r="AG132" i="29"/>
  <c r="AA132" i="29"/>
  <c r="X132" i="29"/>
  <c r="Z132" i="29" s="1"/>
  <c r="W132" i="29"/>
  <c r="AQ131" i="29"/>
  <c r="AR131" i="29" s="1"/>
  <c r="AP131" i="29"/>
  <c r="AO131" i="29"/>
  <c r="AN131" i="29"/>
  <c r="AM131" i="29"/>
  <c r="AL131" i="29"/>
  <c r="AJ131" i="29"/>
  <c r="AI131" i="29"/>
  <c r="AH131" i="29"/>
  <c r="AG131" i="29"/>
  <c r="AA131" i="29"/>
  <c r="X131" i="29"/>
  <c r="Z131" i="29" s="1"/>
  <c r="W131" i="29"/>
  <c r="AQ130" i="29"/>
  <c r="AS130" i="29" s="1"/>
  <c r="AP130" i="29"/>
  <c r="AO130" i="29"/>
  <c r="AN130" i="29"/>
  <c r="AM130" i="29"/>
  <c r="AL130" i="29"/>
  <c r="AJ130" i="29"/>
  <c r="AI130" i="29"/>
  <c r="AH130" i="29"/>
  <c r="AG130" i="29"/>
  <c r="AA130" i="29"/>
  <c r="X130" i="29"/>
  <c r="Z130" i="29" s="1"/>
  <c r="W130" i="29"/>
  <c r="AQ129" i="29"/>
  <c r="AP129" i="29"/>
  <c r="AO129" i="29"/>
  <c r="AN129" i="29"/>
  <c r="AM129" i="29"/>
  <c r="AL129" i="29"/>
  <c r="AJ129" i="29"/>
  <c r="AI129" i="29"/>
  <c r="AH129" i="29"/>
  <c r="AG129" i="29"/>
  <c r="AA129" i="29"/>
  <c r="X129" i="29"/>
  <c r="Z129" i="29" s="1"/>
  <c r="W129" i="29"/>
  <c r="AQ128" i="29"/>
  <c r="AS128" i="29" s="1"/>
  <c r="AP128" i="29"/>
  <c r="AO128" i="29"/>
  <c r="AN128" i="29"/>
  <c r="AM128" i="29"/>
  <c r="AL128" i="29"/>
  <c r="AJ128" i="29"/>
  <c r="AI128" i="29"/>
  <c r="AH128" i="29"/>
  <c r="AG128" i="29"/>
  <c r="AA128" i="29"/>
  <c r="X128" i="29"/>
  <c r="Z128" i="29" s="1"/>
  <c r="W128" i="29"/>
  <c r="AQ127" i="29"/>
  <c r="AS127" i="29" s="1"/>
  <c r="AP127" i="29"/>
  <c r="AO127" i="29"/>
  <c r="AN127" i="29"/>
  <c r="AM127" i="29"/>
  <c r="AL127" i="29"/>
  <c r="AJ127" i="29"/>
  <c r="AI127" i="29"/>
  <c r="AH127" i="29"/>
  <c r="AG127" i="29"/>
  <c r="AA127" i="29"/>
  <c r="X127" i="29"/>
  <c r="Y127" i="29" s="1"/>
  <c r="W127" i="29"/>
  <c r="AQ126" i="29"/>
  <c r="AP126" i="29"/>
  <c r="AO126" i="29"/>
  <c r="AN126" i="29"/>
  <c r="AM126" i="29"/>
  <c r="AL126" i="29"/>
  <c r="AJ126" i="29"/>
  <c r="AI126" i="29"/>
  <c r="AH126" i="29"/>
  <c r="AG126" i="29"/>
  <c r="AA126" i="29"/>
  <c r="X126" i="29"/>
  <c r="W126" i="29"/>
  <c r="AQ125" i="29"/>
  <c r="AT125" i="29" s="1"/>
  <c r="AP125" i="29"/>
  <c r="AO125" i="29"/>
  <c r="AN125" i="29"/>
  <c r="AM125" i="29"/>
  <c r="AL125" i="29"/>
  <c r="AJ125" i="29"/>
  <c r="AI125" i="29"/>
  <c r="AH125" i="29"/>
  <c r="AG125" i="29"/>
  <c r="AA125" i="29"/>
  <c r="X125" i="29"/>
  <c r="Z125" i="29" s="1"/>
  <c r="W125" i="29"/>
  <c r="AQ124" i="29"/>
  <c r="AU124" i="29" s="1"/>
  <c r="AP124" i="29"/>
  <c r="AO124" i="29"/>
  <c r="AN124" i="29"/>
  <c r="AM124" i="29"/>
  <c r="AL124" i="29"/>
  <c r="AJ124" i="29"/>
  <c r="AI124" i="29"/>
  <c r="AH124" i="29"/>
  <c r="AG124" i="29"/>
  <c r="AA124" i="29"/>
  <c r="X124" i="29"/>
  <c r="Y124" i="29" s="1"/>
  <c r="W124" i="29"/>
  <c r="AQ123" i="29"/>
  <c r="AT123" i="29" s="1"/>
  <c r="AP123" i="29"/>
  <c r="AO123" i="29"/>
  <c r="AN123" i="29"/>
  <c r="AM123" i="29"/>
  <c r="AL123" i="29"/>
  <c r="AJ123" i="29"/>
  <c r="AI123" i="29"/>
  <c r="AH123" i="29"/>
  <c r="AG123" i="29"/>
  <c r="AA123" i="29"/>
  <c r="X123" i="29"/>
  <c r="Y123" i="29" s="1"/>
  <c r="W123" i="29"/>
  <c r="AQ122" i="29"/>
  <c r="AP122" i="29"/>
  <c r="AO122" i="29"/>
  <c r="AN122" i="29"/>
  <c r="AM122" i="29"/>
  <c r="AL122" i="29"/>
  <c r="AJ122" i="29"/>
  <c r="AI122" i="29"/>
  <c r="AH122" i="29"/>
  <c r="AG122" i="29"/>
  <c r="AA122" i="29"/>
  <c r="X122" i="29"/>
  <c r="Z122" i="29" s="1"/>
  <c r="W122" i="29"/>
  <c r="AQ121" i="29"/>
  <c r="AT121" i="29" s="1"/>
  <c r="AP121" i="29"/>
  <c r="AO121" i="29"/>
  <c r="AN121" i="29"/>
  <c r="AM121" i="29"/>
  <c r="AL121" i="29"/>
  <c r="AJ121" i="29"/>
  <c r="AI121" i="29"/>
  <c r="AH121" i="29"/>
  <c r="AG121" i="29"/>
  <c r="AA121" i="29"/>
  <c r="X121" i="29"/>
  <c r="Y121" i="29" s="1"/>
  <c r="W121" i="29"/>
  <c r="BB120" i="29"/>
  <c r="AQ120" i="29"/>
  <c r="AU120" i="29" s="1"/>
  <c r="AP120" i="29"/>
  <c r="AO120" i="29"/>
  <c r="AN120" i="29"/>
  <c r="AM120" i="29"/>
  <c r="AL120" i="29"/>
  <c r="AJ120" i="29"/>
  <c r="AI120" i="29"/>
  <c r="AH120" i="29"/>
  <c r="AG120" i="29"/>
  <c r="AA120" i="29"/>
  <c r="X120" i="29"/>
  <c r="Y120" i="29" s="1"/>
  <c r="W120" i="29"/>
  <c r="AQ119" i="29"/>
  <c r="AR119" i="29" s="1"/>
  <c r="AP119" i="29"/>
  <c r="AO119" i="29"/>
  <c r="AN119" i="29"/>
  <c r="AM119" i="29"/>
  <c r="AL119" i="29"/>
  <c r="AJ119" i="29"/>
  <c r="AI119" i="29"/>
  <c r="AH119" i="29"/>
  <c r="AG119" i="29"/>
  <c r="AA119" i="29"/>
  <c r="X119" i="29"/>
  <c r="Z119" i="29" s="1"/>
  <c r="W119" i="29"/>
  <c r="AQ118" i="29"/>
  <c r="AU118" i="29" s="1"/>
  <c r="AP118" i="29"/>
  <c r="AO118" i="29"/>
  <c r="AN118" i="29"/>
  <c r="AM118" i="29"/>
  <c r="AL118" i="29"/>
  <c r="AJ118" i="29"/>
  <c r="AI118" i="29"/>
  <c r="AH118" i="29"/>
  <c r="AG118" i="29"/>
  <c r="AA118" i="29"/>
  <c r="X118" i="29"/>
  <c r="Z118" i="29" s="1"/>
  <c r="W118" i="29"/>
  <c r="AQ117" i="29"/>
  <c r="AT117" i="29" s="1"/>
  <c r="AP117" i="29"/>
  <c r="AO117" i="29"/>
  <c r="AN117" i="29"/>
  <c r="AM117" i="29"/>
  <c r="AL117" i="29"/>
  <c r="AJ117" i="29"/>
  <c r="AI117" i="29"/>
  <c r="AH117" i="29"/>
  <c r="AG117" i="29"/>
  <c r="AA117" i="29"/>
  <c r="X117" i="29"/>
  <c r="W117" i="29"/>
  <c r="AQ116" i="29"/>
  <c r="AP116" i="29"/>
  <c r="AO116" i="29"/>
  <c r="AN116" i="29"/>
  <c r="AM116" i="29"/>
  <c r="AL116" i="29"/>
  <c r="AJ116" i="29"/>
  <c r="AI116" i="29"/>
  <c r="AH116" i="29"/>
  <c r="AG116" i="29"/>
  <c r="AA116" i="29"/>
  <c r="X116" i="29"/>
  <c r="Z116" i="29" s="1"/>
  <c r="W116" i="29"/>
  <c r="AQ115" i="29"/>
  <c r="AU115" i="29" s="1"/>
  <c r="AP115" i="29"/>
  <c r="AO115" i="29"/>
  <c r="AN115" i="29"/>
  <c r="AM115" i="29"/>
  <c r="AL115" i="29"/>
  <c r="AJ115" i="29"/>
  <c r="AI115" i="29"/>
  <c r="AH115" i="29"/>
  <c r="AG115" i="29"/>
  <c r="AA115" i="29"/>
  <c r="X115" i="29"/>
  <c r="W115" i="29"/>
  <c r="AQ114" i="29"/>
  <c r="AS114" i="29" s="1"/>
  <c r="AP114" i="29"/>
  <c r="AO114" i="29"/>
  <c r="AN114" i="29"/>
  <c r="AM114" i="29"/>
  <c r="AL114" i="29"/>
  <c r="AJ114" i="29"/>
  <c r="AI114" i="29"/>
  <c r="AH114" i="29"/>
  <c r="AG114" i="29"/>
  <c r="AA114" i="29"/>
  <c r="X114" i="29"/>
  <c r="Y114" i="29" s="1"/>
  <c r="W114" i="29"/>
  <c r="AQ113" i="29"/>
  <c r="AR113" i="29" s="1"/>
  <c r="AP113" i="29"/>
  <c r="AO113" i="29"/>
  <c r="AN113" i="29"/>
  <c r="AM113" i="29"/>
  <c r="AL113" i="29"/>
  <c r="AJ113" i="29"/>
  <c r="AI113" i="29"/>
  <c r="AH113" i="29"/>
  <c r="AG113" i="29"/>
  <c r="AA113" i="29"/>
  <c r="X113" i="29"/>
  <c r="Y113" i="29" s="1"/>
  <c r="W113" i="29"/>
  <c r="AQ112" i="29"/>
  <c r="AT112" i="29" s="1"/>
  <c r="AP112" i="29"/>
  <c r="AO112" i="29"/>
  <c r="AN112" i="29"/>
  <c r="AM112" i="29"/>
  <c r="AL112" i="29"/>
  <c r="AJ112" i="29"/>
  <c r="AI112" i="29"/>
  <c r="AH112" i="29"/>
  <c r="AG112" i="29"/>
  <c r="AA112" i="29"/>
  <c r="X112" i="29"/>
  <c r="Z112" i="29" s="1"/>
  <c r="W112" i="29"/>
  <c r="AQ111" i="29"/>
  <c r="AP111" i="29"/>
  <c r="AO111" i="29"/>
  <c r="AN111" i="29"/>
  <c r="AM111" i="29"/>
  <c r="AL111" i="29"/>
  <c r="AJ111" i="29"/>
  <c r="AI111" i="29"/>
  <c r="AH111" i="29"/>
  <c r="AG111" i="29"/>
  <c r="AA111" i="29"/>
  <c r="X111" i="29"/>
  <c r="Y111" i="29" s="1"/>
  <c r="W111" i="29"/>
  <c r="AQ110" i="29"/>
  <c r="AU110" i="29" s="1"/>
  <c r="AP110" i="29"/>
  <c r="AO110" i="29"/>
  <c r="AN110" i="29"/>
  <c r="AM110" i="29"/>
  <c r="AL110" i="29"/>
  <c r="AJ110" i="29"/>
  <c r="AI110" i="29"/>
  <c r="AH110" i="29"/>
  <c r="AG110" i="29"/>
  <c r="AA110" i="29"/>
  <c r="X110" i="29"/>
  <c r="Z110" i="29" s="1"/>
  <c r="W110" i="29"/>
  <c r="AQ109" i="29"/>
  <c r="AT109" i="29" s="1"/>
  <c r="AP109" i="29"/>
  <c r="AO109" i="29"/>
  <c r="AN109" i="29"/>
  <c r="AM109" i="29"/>
  <c r="AL109" i="29"/>
  <c r="AJ109" i="29"/>
  <c r="AI109" i="29"/>
  <c r="AH109" i="29"/>
  <c r="AG109" i="29"/>
  <c r="AA109" i="29"/>
  <c r="X109" i="29"/>
  <c r="Y109" i="29" s="1"/>
  <c r="W109" i="29"/>
  <c r="V109" i="29"/>
  <c r="AQ108" i="29"/>
  <c r="AU108" i="29" s="1"/>
  <c r="AP108" i="29"/>
  <c r="AH108" i="29" s="1"/>
  <c r="AO108" i="29"/>
  <c r="AN108" i="29"/>
  <c r="AG108" i="29" s="1"/>
  <c r="AQ106" i="29"/>
  <c r="AP106" i="29"/>
  <c r="AO106" i="29"/>
  <c r="AN106" i="29"/>
  <c r="AM106" i="29"/>
  <c r="AL106" i="29"/>
  <c r="AJ106" i="29"/>
  <c r="AI106" i="29"/>
  <c r="AH106" i="29"/>
  <c r="AG106" i="29"/>
  <c r="AA106" i="29"/>
  <c r="X106" i="29"/>
  <c r="Z106" i="29" s="1"/>
  <c r="W106" i="29"/>
  <c r="AQ105" i="29"/>
  <c r="AT105" i="29" s="1"/>
  <c r="AP105" i="29"/>
  <c r="AO105" i="29"/>
  <c r="AN105" i="29"/>
  <c r="AM105" i="29"/>
  <c r="AL105" i="29"/>
  <c r="AJ105" i="29"/>
  <c r="AI105" i="29"/>
  <c r="AH105" i="29"/>
  <c r="AG105" i="29"/>
  <c r="AA105" i="29"/>
  <c r="X105" i="29"/>
  <c r="W105" i="29"/>
  <c r="AQ104" i="29"/>
  <c r="AR104" i="29" s="1"/>
  <c r="AP104" i="29"/>
  <c r="AO104" i="29"/>
  <c r="AN104" i="29"/>
  <c r="AM104" i="29"/>
  <c r="AL104" i="29"/>
  <c r="AJ104" i="29"/>
  <c r="AI104" i="29"/>
  <c r="AH104" i="29"/>
  <c r="AG104" i="29"/>
  <c r="AA104" i="29"/>
  <c r="X104" i="29"/>
  <c r="Y104" i="29" s="1"/>
  <c r="W104" i="29"/>
  <c r="AQ103" i="29"/>
  <c r="AT103" i="29" s="1"/>
  <c r="AP103" i="29"/>
  <c r="AO103" i="29"/>
  <c r="AN103" i="29"/>
  <c r="AM103" i="29"/>
  <c r="AL103" i="29"/>
  <c r="AJ103" i="29"/>
  <c r="AI103" i="29"/>
  <c r="AH103" i="29"/>
  <c r="AG103" i="29"/>
  <c r="AA103" i="29"/>
  <c r="X103" i="29"/>
  <c r="Y103" i="29" s="1"/>
  <c r="W103" i="29"/>
  <c r="AQ102" i="29"/>
  <c r="AS102" i="29" s="1"/>
  <c r="AP102" i="29"/>
  <c r="AO102" i="29"/>
  <c r="AN102" i="29"/>
  <c r="AM102" i="29"/>
  <c r="AL102" i="29"/>
  <c r="AJ102" i="29"/>
  <c r="AI102" i="29"/>
  <c r="AH102" i="29"/>
  <c r="AG102" i="29"/>
  <c r="AA102" i="29"/>
  <c r="X102" i="29"/>
  <c r="Y102" i="29" s="1"/>
  <c r="W102" i="29"/>
  <c r="AQ101" i="29"/>
  <c r="AU101" i="29" s="1"/>
  <c r="AP101" i="29"/>
  <c r="AO101" i="29"/>
  <c r="AN101" i="29"/>
  <c r="AM101" i="29"/>
  <c r="AL101" i="29"/>
  <c r="AJ101" i="29"/>
  <c r="AI101" i="29"/>
  <c r="AH101" i="29"/>
  <c r="AG101" i="29"/>
  <c r="AA101" i="29"/>
  <c r="X101" i="29"/>
  <c r="Z101" i="29" s="1"/>
  <c r="W101" i="29"/>
  <c r="AQ100" i="29"/>
  <c r="AP100" i="29"/>
  <c r="AO100" i="29"/>
  <c r="AN100" i="29"/>
  <c r="AM100" i="29"/>
  <c r="AL100" i="29"/>
  <c r="AJ100" i="29"/>
  <c r="AI100" i="29"/>
  <c r="AH100" i="29"/>
  <c r="AG100" i="29"/>
  <c r="AA100" i="29"/>
  <c r="X100" i="29"/>
  <c r="Z100" i="29" s="1"/>
  <c r="W100" i="29"/>
  <c r="AQ99" i="29"/>
  <c r="AT99" i="29" s="1"/>
  <c r="AP99" i="29"/>
  <c r="AO99" i="29"/>
  <c r="AN99" i="29"/>
  <c r="AM99" i="29"/>
  <c r="AL99" i="29"/>
  <c r="AJ99" i="29"/>
  <c r="AI99" i="29"/>
  <c r="AH99" i="29"/>
  <c r="AG99" i="29"/>
  <c r="AA99" i="29"/>
  <c r="X99" i="29"/>
  <c r="W99" i="29"/>
  <c r="AQ98" i="29"/>
  <c r="AT98" i="29" s="1"/>
  <c r="AP98" i="29"/>
  <c r="AO98" i="29"/>
  <c r="AN98" i="29"/>
  <c r="AM98" i="29"/>
  <c r="AL98" i="29"/>
  <c r="AJ98" i="29"/>
  <c r="AI98" i="29"/>
  <c r="AH98" i="29"/>
  <c r="AG98" i="29"/>
  <c r="AA98" i="29"/>
  <c r="X98" i="29"/>
  <c r="Y98" i="29" s="1"/>
  <c r="W98" i="29"/>
  <c r="AQ97" i="29"/>
  <c r="AR97" i="29" s="1"/>
  <c r="AP97" i="29"/>
  <c r="AO97" i="29"/>
  <c r="AN97" i="29"/>
  <c r="AM97" i="29"/>
  <c r="AL97" i="29"/>
  <c r="AJ97" i="29"/>
  <c r="AI97" i="29"/>
  <c r="AH97" i="29"/>
  <c r="AG97" i="29"/>
  <c r="AA97" i="29"/>
  <c r="X97" i="29"/>
  <c r="Z97" i="29" s="1"/>
  <c r="W97" i="29"/>
  <c r="AQ96" i="29"/>
  <c r="AP96" i="29"/>
  <c r="AO96" i="29"/>
  <c r="AN96" i="29"/>
  <c r="AM96" i="29"/>
  <c r="AL96" i="29"/>
  <c r="AJ96" i="29"/>
  <c r="AI96" i="29"/>
  <c r="AH96" i="29"/>
  <c r="AG96" i="29"/>
  <c r="AA96" i="29"/>
  <c r="X96" i="29"/>
  <c r="Y96" i="29" s="1"/>
  <c r="W96" i="29"/>
  <c r="AQ95" i="29"/>
  <c r="AT95" i="29" s="1"/>
  <c r="AP95" i="29"/>
  <c r="AO95" i="29"/>
  <c r="AN95" i="29"/>
  <c r="AM95" i="29"/>
  <c r="AL95" i="29"/>
  <c r="AJ95" i="29"/>
  <c r="AI95" i="29"/>
  <c r="AH95" i="29"/>
  <c r="AG95" i="29"/>
  <c r="AA95" i="29"/>
  <c r="X95" i="29"/>
  <c r="W95" i="29"/>
  <c r="AQ94" i="29"/>
  <c r="AS94" i="29" s="1"/>
  <c r="AP94" i="29"/>
  <c r="AO94" i="29"/>
  <c r="AN94" i="29"/>
  <c r="AM94" i="29"/>
  <c r="AL94" i="29"/>
  <c r="AJ94" i="29"/>
  <c r="AI94" i="29"/>
  <c r="AH94" i="29"/>
  <c r="AG94" i="29"/>
  <c r="AA94" i="29"/>
  <c r="X94" i="29"/>
  <c r="Z94" i="29" s="1"/>
  <c r="W94" i="29"/>
  <c r="AQ93" i="29"/>
  <c r="AS93" i="29" s="1"/>
  <c r="AP93" i="29"/>
  <c r="AO93" i="29"/>
  <c r="AN93" i="29"/>
  <c r="AM93" i="29"/>
  <c r="AL93" i="29"/>
  <c r="AJ93" i="29"/>
  <c r="AI93" i="29"/>
  <c r="AH93" i="29"/>
  <c r="AG93" i="29"/>
  <c r="AA93" i="29"/>
  <c r="X93" i="29"/>
  <c r="Y93" i="29" s="1"/>
  <c r="W93" i="29"/>
  <c r="AQ92" i="29"/>
  <c r="AU92" i="29" s="1"/>
  <c r="AP92" i="29"/>
  <c r="AO92" i="29"/>
  <c r="AN92" i="29"/>
  <c r="AM92" i="29"/>
  <c r="AL92" i="29"/>
  <c r="AJ92" i="29"/>
  <c r="AI92" i="29"/>
  <c r="AH92" i="29"/>
  <c r="AG92" i="29"/>
  <c r="AA92" i="29"/>
  <c r="X92" i="29"/>
  <c r="W92" i="29"/>
  <c r="AQ91" i="29"/>
  <c r="AT91" i="29" s="1"/>
  <c r="AP91" i="29"/>
  <c r="AO91" i="29"/>
  <c r="AN91" i="29"/>
  <c r="AM91" i="29"/>
  <c r="AL91" i="29"/>
  <c r="AJ91" i="29"/>
  <c r="AI91" i="29"/>
  <c r="AH91" i="29"/>
  <c r="AG91" i="29"/>
  <c r="AA91" i="29"/>
  <c r="X91" i="29"/>
  <c r="Y91" i="29" s="1"/>
  <c r="W91" i="29"/>
  <c r="AQ90" i="29"/>
  <c r="AT90" i="29" s="1"/>
  <c r="AP90" i="29"/>
  <c r="AO90" i="29"/>
  <c r="AN90" i="29"/>
  <c r="AM90" i="29"/>
  <c r="AL90" i="29"/>
  <c r="AJ90" i="29"/>
  <c r="AI90" i="29"/>
  <c r="AH90" i="29"/>
  <c r="AG90" i="29"/>
  <c r="AA90" i="29"/>
  <c r="X90" i="29"/>
  <c r="Z90" i="29" s="1"/>
  <c r="W90" i="29"/>
  <c r="AQ89" i="29"/>
  <c r="AS89" i="29" s="1"/>
  <c r="AP89" i="29"/>
  <c r="AO89" i="29"/>
  <c r="AN89" i="29"/>
  <c r="AM89" i="29"/>
  <c r="AL89" i="29"/>
  <c r="AJ89" i="29"/>
  <c r="AI89" i="29"/>
  <c r="AH89" i="29"/>
  <c r="AG89" i="29"/>
  <c r="AA89" i="29"/>
  <c r="X89" i="29"/>
  <c r="Y89" i="29" s="1"/>
  <c r="W89" i="29"/>
  <c r="AQ88" i="29"/>
  <c r="AR88" i="29" s="1"/>
  <c r="AP88" i="29"/>
  <c r="AO88" i="29"/>
  <c r="AN88" i="29"/>
  <c r="AM88" i="29"/>
  <c r="AL88" i="29"/>
  <c r="AJ88" i="29"/>
  <c r="AI88" i="29"/>
  <c r="AH88" i="29"/>
  <c r="AG88" i="29"/>
  <c r="AA88" i="29"/>
  <c r="X88" i="29"/>
  <c r="Z88" i="29" s="1"/>
  <c r="W88" i="29"/>
  <c r="AQ87" i="29"/>
  <c r="AT87" i="29" s="1"/>
  <c r="AP87" i="29"/>
  <c r="AO87" i="29"/>
  <c r="AN87" i="29"/>
  <c r="AM87" i="29"/>
  <c r="AL87" i="29"/>
  <c r="AJ87" i="29"/>
  <c r="AI87" i="29"/>
  <c r="AH87" i="29"/>
  <c r="AG87" i="29"/>
  <c r="AA87" i="29"/>
  <c r="X87" i="29"/>
  <c r="Y87" i="29" s="1"/>
  <c r="W87" i="29"/>
  <c r="AQ86" i="29"/>
  <c r="AP86" i="29"/>
  <c r="AO86" i="29"/>
  <c r="AN86" i="29"/>
  <c r="AM86" i="29"/>
  <c r="AL86" i="29"/>
  <c r="AJ86" i="29"/>
  <c r="AI86" i="29"/>
  <c r="AH86" i="29"/>
  <c r="AG86" i="29"/>
  <c r="AA86" i="29"/>
  <c r="X86" i="29"/>
  <c r="Z86" i="29" s="1"/>
  <c r="W86" i="29"/>
  <c r="AQ85" i="29"/>
  <c r="AS85" i="29" s="1"/>
  <c r="AP85" i="29"/>
  <c r="AO85" i="29"/>
  <c r="AN85" i="29"/>
  <c r="AM85" i="29"/>
  <c r="AL85" i="29"/>
  <c r="AJ85" i="29"/>
  <c r="AI85" i="29"/>
  <c r="AH85" i="29"/>
  <c r="AG85" i="29"/>
  <c r="AA85" i="29"/>
  <c r="X85" i="29"/>
  <c r="W85" i="29"/>
  <c r="AQ84" i="29"/>
  <c r="AS84" i="29" s="1"/>
  <c r="AP84" i="29"/>
  <c r="AO84" i="29"/>
  <c r="AN84" i="29"/>
  <c r="AM84" i="29"/>
  <c r="AL84" i="29"/>
  <c r="AJ84" i="29"/>
  <c r="AI84" i="29"/>
  <c r="AH84" i="29"/>
  <c r="AG84" i="29"/>
  <c r="AA84" i="29"/>
  <c r="X84" i="29"/>
  <c r="Z84" i="29" s="1"/>
  <c r="W84" i="29"/>
  <c r="AQ83" i="29"/>
  <c r="AP83" i="29"/>
  <c r="AO83" i="29"/>
  <c r="AN83" i="29"/>
  <c r="AM83" i="29"/>
  <c r="AL83" i="29"/>
  <c r="AJ83" i="29"/>
  <c r="AI83" i="29"/>
  <c r="AH83" i="29"/>
  <c r="AG83" i="29"/>
  <c r="AA83" i="29"/>
  <c r="X83" i="29"/>
  <c r="Y83" i="29" s="1"/>
  <c r="W83" i="29"/>
  <c r="AQ82" i="29"/>
  <c r="AU82" i="29" s="1"/>
  <c r="AP82" i="29"/>
  <c r="AO82" i="29"/>
  <c r="AN82" i="29"/>
  <c r="AM82" i="29"/>
  <c r="AL82" i="29"/>
  <c r="AJ82" i="29"/>
  <c r="AI82" i="29"/>
  <c r="AH82" i="29"/>
  <c r="AG82" i="29"/>
  <c r="AA82" i="29"/>
  <c r="X82" i="29"/>
  <c r="Z82" i="29" s="1"/>
  <c r="W82" i="29"/>
  <c r="AQ81" i="29"/>
  <c r="AT81" i="29" s="1"/>
  <c r="AP81" i="29"/>
  <c r="AO81" i="29"/>
  <c r="AN81" i="29"/>
  <c r="AM81" i="29"/>
  <c r="AL81" i="29"/>
  <c r="AJ81" i="29"/>
  <c r="AI81" i="29"/>
  <c r="AH81" i="29"/>
  <c r="AG81" i="29"/>
  <c r="AA81" i="29"/>
  <c r="X81" i="29"/>
  <c r="Z81" i="29" s="1"/>
  <c r="W81" i="29"/>
  <c r="AQ80" i="29"/>
  <c r="AT80" i="29" s="1"/>
  <c r="AP80" i="29"/>
  <c r="AO80" i="29"/>
  <c r="AN80" i="29"/>
  <c r="AM80" i="29"/>
  <c r="AL80" i="29"/>
  <c r="AJ80" i="29"/>
  <c r="AI80" i="29"/>
  <c r="AH80" i="29"/>
  <c r="AG80" i="29"/>
  <c r="AA80" i="29"/>
  <c r="X80" i="29"/>
  <c r="Z80" i="29" s="1"/>
  <c r="W80" i="29"/>
  <c r="AQ79" i="29"/>
  <c r="AP79" i="29"/>
  <c r="AO79" i="29"/>
  <c r="AN79" i="29"/>
  <c r="AM79" i="29"/>
  <c r="AL79" i="29"/>
  <c r="AJ79" i="29"/>
  <c r="AI79" i="29"/>
  <c r="AH79" i="29"/>
  <c r="AG79" i="29"/>
  <c r="AA79" i="29"/>
  <c r="X79" i="29"/>
  <c r="Y79" i="29" s="1"/>
  <c r="W79" i="29"/>
  <c r="AQ78" i="29"/>
  <c r="AP78" i="29"/>
  <c r="AO78" i="29"/>
  <c r="AN78" i="29"/>
  <c r="AM78" i="29"/>
  <c r="AL78" i="29"/>
  <c r="AJ78" i="29"/>
  <c r="AI78" i="29"/>
  <c r="AH78" i="29"/>
  <c r="AG78" i="29"/>
  <c r="AA78" i="29"/>
  <c r="X78" i="29"/>
  <c r="Z78" i="29" s="1"/>
  <c r="W78" i="29"/>
  <c r="AQ77" i="29"/>
  <c r="AU77" i="29" s="1"/>
  <c r="AP77" i="29"/>
  <c r="AO77" i="29"/>
  <c r="AN77" i="29"/>
  <c r="AM77" i="29"/>
  <c r="AL77" i="29"/>
  <c r="AJ77" i="29"/>
  <c r="AI77" i="29"/>
  <c r="AH77" i="29"/>
  <c r="AG77" i="29"/>
  <c r="AA77" i="29"/>
  <c r="X77" i="29"/>
  <c r="Y77" i="29" s="1"/>
  <c r="W77" i="29"/>
  <c r="AQ76" i="29"/>
  <c r="AP76" i="29"/>
  <c r="AO76" i="29"/>
  <c r="AN76" i="29"/>
  <c r="AM76" i="29"/>
  <c r="AL76" i="29"/>
  <c r="AJ76" i="29"/>
  <c r="AI76" i="29"/>
  <c r="AH76" i="29"/>
  <c r="AG76" i="29"/>
  <c r="AA76" i="29"/>
  <c r="X76" i="29"/>
  <c r="Y76" i="29" s="1"/>
  <c r="W76" i="29"/>
  <c r="AQ75" i="29"/>
  <c r="AT75" i="29" s="1"/>
  <c r="AP75" i="29"/>
  <c r="AO75" i="29"/>
  <c r="AN75" i="29"/>
  <c r="AM75" i="29"/>
  <c r="AL75" i="29"/>
  <c r="AJ75" i="29"/>
  <c r="AI75" i="29"/>
  <c r="AH75" i="29"/>
  <c r="AG75" i="29"/>
  <c r="AA75" i="29"/>
  <c r="X75" i="29"/>
  <c r="W75" i="29"/>
  <c r="AQ74" i="29"/>
  <c r="AR74" i="29" s="1"/>
  <c r="AP74" i="29"/>
  <c r="AO74" i="29"/>
  <c r="AN74" i="29"/>
  <c r="AM74" i="29"/>
  <c r="AL74" i="29"/>
  <c r="AJ74" i="29"/>
  <c r="AI74" i="29"/>
  <c r="AH74" i="29"/>
  <c r="AG74" i="29"/>
  <c r="AA74" i="29"/>
  <c r="X74" i="29"/>
  <c r="Z74" i="29" s="1"/>
  <c r="W74" i="29"/>
  <c r="AQ73" i="29"/>
  <c r="AU73" i="29" s="1"/>
  <c r="AP73" i="29"/>
  <c r="AO73" i="29"/>
  <c r="AN73" i="29"/>
  <c r="AM73" i="29"/>
  <c r="AL73" i="29"/>
  <c r="AJ73" i="29"/>
  <c r="AI73" i="29"/>
  <c r="AH73" i="29"/>
  <c r="AG73" i="29"/>
  <c r="AA73" i="29"/>
  <c r="X73" i="29"/>
  <c r="Z73" i="29" s="1"/>
  <c r="W73" i="29"/>
  <c r="V73" i="29"/>
  <c r="AA72" i="29"/>
  <c r="AY70" i="29"/>
  <c r="AU69" i="29"/>
  <c r="AT69" i="29"/>
  <c r="AS69" i="29"/>
  <c r="AR69" i="29"/>
  <c r="AQ69" i="29"/>
  <c r="AP69" i="29"/>
  <c r="AO69" i="29"/>
  <c r="AN69" i="29"/>
  <c r="AM69" i="29"/>
  <c r="AF69" i="29"/>
  <c r="AE69" i="29"/>
  <c r="AD69" i="29"/>
  <c r="AC69" i="29"/>
  <c r="AB69" i="29"/>
  <c r="AA69" i="29"/>
  <c r="Z69" i="29"/>
  <c r="Y69" i="29"/>
  <c r="X69" i="29"/>
  <c r="W69" i="29"/>
  <c r="V69" i="29"/>
  <c r="T69" i="29"/>
  <c r="R69" i="29"/>
  <c r="AB67" i="29"/>
  <c r="B64" i="29" a="1"/>
  <c r="B64" i="29" s="1"/>
  <c r="B56" i="29" a="1"/>
  <c r="B56" i="29" s="1"/>
  <c r="B55" i="29" a="1"/>
  <c r="B55" i="29" s="1"/>
  <c r="B54" i="29" a="1"/>
  <c r="B54" i="29" s="1"/>
  <c r="B53" i="29" a="1"/>
  <c r="B53" i="29" s="1"/>
  <c r="B52" i="29" a="1"/>
  <c r="B52" i="29" s="1"/>
  <c r="B51" i="29" a="1"/>
  <c r="B51" i="29" s="1"/>
  <c r="B50" i="29" a="1"/>
  <c r="B50" i="29" s="1"/>
  <c r="B49" i="29" a="1"/>
  <c r="B49" i="29" s="1"/>
  <c r="B48" i="29" a="1"/>
  <c r="B48" i="29" s="1"/>
  <c r="B47" i="29" a="1"/>
  <c r="B47" i="29" s="1"/>
  <c r="B46" i="29" a="1"/>
  <c r="B46" i="29" s="1"/>
  <c r="B45" i="29" a="1"/>
  <c r="B45" i="29" s="1"/>
  <c r="B44" i="29" a="1"/>
  <c r="B44" i="29" s="1"/>
  <c r="B43" i="29" a="1"/>
  <c r="B43" i="29" s="1"/>
  <c r="B42" i="29" a="1"/>
  <c r="B42" i="29" s="1"/>
  <c r="B41" i="29" a="1"/>
  <c r="B41" i="29" s="1"/>
  <c r="B40" i="29" a="1"/>
  <c r="B40" i="29" s="1"/>
  <c r="B39" i="29" a="1"/>
  <c r="B39" i="29" s="1"/>
  <c r="B38" i="29" a="1"/>
  <c r="B38" i="29" s="1"/>
  <c r="B37" i="29" a="1"/>
  <c r="B37" i="29" s="1"/>
  <c r="B36" i="29" a="1"/>
  <c r="B36" i="29" s="1"/>
  <c r="B35" i="29" a="1"/>
  <c r="B35" i="29" s="1"/>
  <c r="B34" i="29" a="1"/>
  <c r="B34" i="29" s="1"/>
  <c r="B33" i="29" a="1"/>
  <c r="B33" i="29" s="1"/>
  <c r="B32" i="29" a="1"/>
  <c r="B32" i="29" s="1"/>
  <c r="B31" i="29" a="1"/>
  <c r="B31" i="29" s="1"/>
  <c r="B30" i="29" a="1"/>
  <c r="B30" i="29" s="1"/>
  <c r="B29" i="29" a="1"/>
  <c r="B29" i="29" s="1"/>
  <c r="B28" i="29" a="1"/>
  <c r="B28" i="29" s="1"/>
  <c r="B27" i="29" a="1"/>
  <c r="B27" i="29" s="1"/>
  <c r="B26" i="29" a="1"/>
  <c r="B26" i="29" s="1"/>
  <c r="B25" i="29" a="1"/>
  <c r="B25" i="29" s="1"/>
  <c r="B24" i="29" a="1"/>
  <c r="B24" i="29" s="1"/>
  <c r="B23" i="29" a="1"/>
  <c r="B23" i="29" s="1"/>
  <c r="B22" i="29" a="1"/>
  <c r="B22" i="29" s="1"/>
  <c r="G20" i="29"/>
  <c r="E20" i="29"/>
  <c r="B16" i="29"/>
  <c r="Q15" i="29"/>
  <c r="P15" i="29"/>
  <c r="M15" i="29"/>
  <c r="L15" i="29"/>
  <c r="K15" i="29"/>
  <c r="Q14" i="29"/>
  <c r="P14" i="29"/>
  <c r="M14" i="29"/>
  <c r="L14" i="29"/>
  <c r="K14" i="29"/>
  <c r="Q13" i="29"/>
  <c r="P13" i="29"/>
  <c r="M13" i="29"/>
  <c r="L13" i="29"/>
  <c r="K13" i="29"/>
  <c r="Q12" i="29"/>
  <c r="P12" i="29"/>
  <c r="M12" i="29"/>
  <c r="L12" i="29"/>
  <c r="K12" i="29"/>
  <c r="Q11" i="29"/>
  <c r="P11" i="29"/>
  <c r="M11" i="29"/>
  <c r="L11" i="29"/>
  <c r="K11" i="29"/>
  <c r="G11" i="29" a="1"/>
  <c r="G11" i="29" s="1"/>
  <c r="B11" i="29" a="1"/>
  <c r="B11" i="29" s="1"/>
  <c r="Q10" i="29"/>
  <c r="P10" i="29"/>
  <c r="M10" i="29"/>
  <c r="L10" i="29"/>
  <c r="K10" i="29"/>
  <c r="Q9" i="29"/>
  <c r="P9" i="29"/>
  <c r="M9" i="29"/>
  <c r="L9" i="29"/>
  <c r="K9" i="29"/>
  <c r="Q8" i="29"/>
  <c r="P8" i="29"/>
  <c r="M8" i="29"/>
  <c r="L8" i="29"/>
  <c r="K8" i="29"/>
  <c r="Q7" i="29"/>
  <c r="P7" i="29"/>
  <c r="M7" i="29"/>
  <c r="L7" i="29"/>
  <c r="K7" i="29"/>
  <c r="H7" i="29" a="1"/>
  <c r="H7" i="29" s="1"/>
  <c r="Q6" i="29"/>
  <c r="P6" i="29"/>
  <c r="C20" i="29" s="1" a="1"/>
  <c r="C20" i="29" s="1"/>
  <c r="M6" i="29"/>
  <c r="B6" i="29" s="1" a="1"/>
  <c r="B6" i="29" s="1"/>
  <c r="A1" i="29" s="1"/>
  <c r="L6" i="29"/>
  <c r="B7" i="29" s="1" a="1"/>
  <c r="B7" i="29" s="1"/>
  <c r="K6" i="29"/>
  <c r="M22" i="29" l="1" a="1"/>
  <c r="M22" i="29" s="1"/>
  <c r="L22" i="29" a="1"/>
  <c r="L22" i="29" s="1"/>
  <c r="O22" i="29" a="1"/>
  <c r="O22" i="29" s="1"/>
  <c r="L38" i="29" a="1"/>
  <c r="L38" i="29" s="1"/>
  <c r="M38" i="29" a="1"/>
  <c r="M38" i="29" s="1"/>
  <c r="O38" i="29" a="1"/>
  <c r="O38" i="29" s="1"/>
  <c r="L54" i="29" a="1"/>
  <c r="L54" i="29" s="1"/>
  <c r="O54" i="29" a="1"/>
  <c r="O54" i="29" s="1"/>
  <c r="M54" i="29" a="1"/>
  <c r="M54" i="29" s="1"/>
  <c r="L23" i="29" a="1"/>
  <c r="L23" i="29" s="1"/>
  <c r="O23" i="29" a="1"/>
  <c r="O23" i="29" s="1"/>
  <c r="M23" i="29" a="1"/>
  <c r="M23" i="29" s="1"/>
  <c r="O24" i="29" a="1"/>
  <c r="O24" i="29" s="1"/>
  <c r="L24" i="29" a="1"/>
  <c r="L24" i="29" s="1"/>
  <c r="M24" i="29" a="1"/>
  <c r="M24" i="29" s="1"/>
  <c r="L55" i="29" a="1"/>
  <c r="L55" i="29" s="1"/>
  <c r="M55" i="29" a="1"/>
  <c r="M55" i="29" s="1"/>
  <c r="O55" i="29" a="1"/>
  <c r="O55" i="29" s="1"/>
  <c r="O56" i="29" a="1"/>
  <c r="O56" i="29" s="1"/>
  <c r="L56" i="29" a="1"/>
  <c r="L56" i="29" s="1"/>
  <c r="M56" i="29" a="1"/>
  <c r="M56" i="29" s="1"/>
  <c r="M25" i="29" a="1"/>
  <c r="M25" i="29" s="1"/>
  <c r="L25" i="29" a="1"/>
  <c r="L25" i="29" s="1"/>
  <c r="O25" i="29" a="1"/>
  <c r="O25" i="29" s="1"/>
  <c r="L41" i="29" a="1"/>
  <c r="L41" i="29" s="1"/>
  <c r="M41" i="29" a="1"/>
  <c r="M41" i="29" s="1"/>
  <c r="O41" i="29" a="1"/>
  <c r="O41" i="29" s="1"/>
  <c r="L39" i="29" a="1"/>
  <c r="L39" i="29" s="1"/>
  <c r="M39" i="29" a="1"/>
  <c r="M39" i="29" s="1"/>
  <c r="O39" i="29" a="1"/>
  <c r="O39" i="29" s="1"/>
  <c r="O40" i="29" a="1"/>
  <c r="O40" i="29" s="1"/>
  <c r="L40" i="29" a="1"/>
  <c r="L40" i="29" s="1"/>
  <c r="M40" i="29" a="1"/>
  <c r="M40" i="29" s="1"/>
  <c r="M26" i="29" a="1"/>
  <c r="M26" i="29" s="1"/>
  <c r="O26" i="29" a="1"/>
  <c r="O26" i="29" s="1"/>
  <c r="L26" i="29" a="1"/>
  <c r="L26" i="29" s="1"/>
  <c r="M42" i="29" a="1"/>
  <c r="M42" i="29" s="1"/>
  <c r="L42" i="29" a="1"/>
  <c r="L42" i="29" s="1"/>
  <c r="O42" i="29" a="1"/>
  <c r="O42" i="29" s="1"/>
  <c r="M37" i="29" a="1"/>
  <c r="M37" i="29" s="1"/>
  <c r="L37" i="29" a="1"/>
  <c r="L37" i="29" s="1"/>
  <c r="O37" i="29" a="1"/>
  <c r="O37" i="29" s="1"/>
  <c r="L46" i="29" a="1"/>
  <c r="L46" i="29" s="1"/>
  <c r="O46" i="29" a="1"/>
  <c r="O46" i="29" s="1"/>
  <c r="M46" i="29" a="1"/>
  <c r="M46" i="29" s="1"/>
  <c r="L29" i="29" a="1"/>
  <c r="L29" i="29" s="1"/>
  <c r="O29" i="29" a="1"/>
  <c r="O29" i="29" s="1"/>
  <c r="M29" i="29" a="1"/>
  <c r="M29" i="29" s="1"/>
  <c r="O47" i="29" a="1"/>
  <c r="O47" i="29" s="1"/>
  <c r="M47" i="29" a="1"/>
  <c r="M47" i="29" s="1"/>
  <c r="L47" i="29" a="1"/>
  <c r="L47" i="29" s="1"/>
  <c r="M28" i="29" a="1"/>
  <c r="M28" i="29" s="1"/>
  <c r="O28" i="29" a="1"/>
  <c r="O28" i="29" s="1"/>
  <c r="L28" i="29" a="1"/>
  <c r="L28" i="29" s="1"/>
  <c r="L30" i="29" a="1"/>
  <c r="L30" i="29" s="1"/>
  <c r="O30" i="29" a="1"/>
  <c r="O30" i="29" s="1"/>
  <c r="M30" i="29" a="1"/>
  <c r="M30" i="29" s="1"/>
  <c r="O31" i="29" a="1"/>
  <c r="O31" i="29" s="1"/>
  <c r="M31" i="29" a="1"/>
  <c r="M31" i="29" s="1"/>
  <c r="L31" i="29" a="1"/>
  <c r="L31" i="29" s="1"/>
  <c r="O32" i="29" a="1"/>
  <c r="O32" i="29" s="1"/>
  <c r="M32" i="29" a="1"/>
  <c r="M32" i="29" s="1"/>
  <c r="L32" i="29" a="1"/>
  <c r="L32" i="29" s="1"/>
  <c r="M53" i="29" a="1"/>
  <c r="M53" i="29" s="1"/>
  <c r="L53" i="29" a="1"/>
  <c r="L53" i="29" s="1"/>
  <c r="O53" i="29" a="1"/>
  <c r="O53" i="29" s="1"/>
  <c r="M44" i="29" a="1"/>
  <c r="M44" i="29" s="1"/>
  <c r="L44" i="29" a="1"/>
  <c r="L44" i="29" s="1"/>
  <c r="O44" i="29" a="1"/>
  <c r="O44" i="29" s="1"/>
  <c r="O48" i="29" a="1"/>
  <c r="O48" i="29" s="1"/>
  <c r="M48" i="29" a="1"/>
  <c r="M48" i="29" s="1"/>
  <c r="L48" i="29" a="1"/>
  <c r="L48" i="29" s="1"/>
  <c r="O33" i="29" a="1"/>
  <c r="O33" i="29" s="1"/>
  <c r="M33" i="29" a="1"/>
  <c r="M33" i="29" s="1"/>
  <c r="L33" i="29" a="1"/>
  <c r="L33" i="29" s="1"/>
  <c r="O49" i="29" a="1"/>
  <c r="O49" i="29" s="1"/>
  <c r="M49" i="29" a="1"/>
  <c r="M49" i="29" s="1"/>
  <c r="L49" i="29" a="1"/>
  <c r="L49" i="29" s="1"/>
  <c r="M43" i="29" a="1"/>
  <c r="M43" i="29" s="1"/>
  <c r="O43" i="29" a="1"/>
  <c r="O43" i="29" s="1"/>
  <c r="L43" i="29" a="1"/>
  <c r="L43" i="29" s="1"/>
  <c r="L34" i="29" a="1"/>
  <c r="L34" i="29" s="1"/>
  <c r="O34" i="29" a="1"/>
  <c r="O34" i="29" s="1"/>
  <c r="M34" i="29" a="1"/>
  <c r="M34" i="29" s="1"/>
  <c r="O35" i="29" a="1"/>
  <c r="O35" i="29" s="1"/>
  <c r="M35" i="29" a="1"/>
  <c r="M35" i="29" s="1"/>
  <c r="L35" i="29" a="1"/>
  <c r="L35" i="29" s="1"/>
  <c r="M51" i="29" a="1"/>
  <c r="M51" i="29" s="1"/>
  <c r="O51" i="29" a="1"/>
  <c r="O51" i="29" s="1"/>
  <c r="L51" i="29" a="1"/>
  <c r="L51" i="29" s="1"/>
  <c r="L27" i="29" a="1"/>
  <c r="L27" i="29" s="1"/>
  <c r="M27" i="29" a="1"/>
  <c r="M27" i="29" s="1"/>
  <c r="O27" i="29" a="1"/>
  <c r="O27" i="29" s="1"/>
  <c r="L45" i="29" a="1"/>
  <c r="L45" i="29" s="1"/>
  <c r="O45" i="29" a="1"/>
  <c r="O45" i="29" s="1"/>
  <c r="M45" i="29" a="1"/>
  <c r="M45" i="29" s="1"/>
  <c r="M50" i="29" a="1"/>
  <c r="M50" i="29" s="1"/>
  <c r="O50" i="29" a="1"/>
  <c r="O50" i="29" s="1"/>
  <c r="L50" i="29" a="1"/>
  <c r="L50" i="29" s="1"/>
  <c r="L36" i="29" a="1"/>
  <c r="L36" i="29" s="1"/>
  <c r="M36" i="29" a="1"/>
  <c r="M36" i="29" s="1"/>
  <c r="O36" i="29" a="1"/>
  <c r="O36" i="29" s="1"/>
  <c r="L52" i="29" a="1"/>
  <c r="L52" i="29" s="1"/>
  <c r="O52" i="29" a="1"/>
  <c r="O52" i="29" s="1"/>
  <c r="M52" i="29" a="1"/>
  <c r="M52" i="29" s="1"/>
  <c r="N38" i="35" a="1"/>
  <c r="N38" i="35" s="1"/>
  <c r="N45" i="35" a="1"/>
  <c r="N45" i="35" s="1"/>
  <c r="N47" i="35" a="1"/>
  <c r="N47" i="35" s="1"/>
  <c r="N33" i="35" a="1"/>
  <c r="N33" i="35" s="1"/>
  <c r="N50" i="35" a="1"/>
  <c r="N50" i="35" s="1"/>
  <c r="N52" i="35" a="1"/>
  <c r="N52" i="35" s="1"/>
  <c r="N56" i="35" a="1"/>
  <c r="N56" i="35" s="1"/>
  <c r="N28" i="35" a="1"/>
  <c r="N28" i="35" s="1"/>
  <c r="N39" i="35" a="1"/>
  <c r="N39" i="35" s="1"/>
  <c r="N26" i="35" a="1"/>
  <c r="N26" i="35" s="1"/>
  <c r="N35" i="35" a="1"/>
  <c r="N35" i="35" s="1"/>
  <c r="N54" i="35" a="1"/>
  <c r="N54" i="35" s="1"/>
  <c r="N49" i="35" a="1"/>
  <c r="N49" i="35" s="1"/>
  <c r="N30" i="35" a="1"/>
  <c r="N30" i="35" s="1"/>
  <c r="N25" i="35" a="1"/>
  <c r="N25" i="35" s="1"/>
  <c r="N44" i="35" a="1"/>
  <c r="N44" i="35" s="1"/>
  <c r="N37" i="35" a="1"/>
  <c r="N37" i="35" s="1"/>
  <c r="N55" i="35" a="1"/>
  <c r="N55" i="35" s="1"/>
  <c r="N51" i="35" a="1"/>
  <c r="N51" i="35" s="1"/>
  <c r="N42" i="35" a="1"/>
  <c r="N42" i="35" s="1"/>
  <c r="N27" i="35" a="1"/>
  <c r="N27" i="35" s="1"/>
  <c r="N32" i="35" a="1"/>
  <c r="N32" i="35" s="1"/>
  <c r="N43" i="35" a="1"/>
  <c r="N43" i="35" s="1"/>
  <c r="N41" i="35" a="1"/>
  <c r="N41" i="35" s="1"/>
  <c r="N46" i="35" a="1"/>
  <c r="N46" i="35" s="1"/>
  <c r="N53" i="35" a="1"/>
  <c r="N53" i="35" s="1"/>
  <c r="N24" i="35" a="1"/>
  <c r="N24" i="35" s="1"/>
  <c r="N22" i="35" a="1"/>
  <c r="N22" i="35" s="1"/>
  <c r="N29" i="35" a="1"/>
  <c r="N29" i="35" s="1"/>
  <c r="N31" i="35" a="1"/>
  <c r="N31" i="35" s="1"/>
  <c r="N48" i="35" a="1"/>
  <c r="N48" i="35" s="1"/>
  <c r="N34" i="35" a="1"/>
  <c r="N34" i="35" s="1"/>
  <c r="N36" i="35" a="1"/>
  <c r="N36" i="35" s="1"/>
  <c r="N23" i="35" a="1"/>
  <c r="N23" i="35" s="1"/>
  <c r="N40" i="35" a="1"/>
  <c r="N40" i="35" s="1"/>
  <c r="N50" i="31" a="1"/>
  <c r="N50" i="31" s="1"/>
  <c r="M32" i="32" a="1"/>
  <c r="M32" i="32" s="1"/>
  <c r="M34" i="32" a="1"/>
  <c r="M34" i="32" s="1"/>
  <c r="N45" i="32" a="1"/>
  <c r="N45" i="32" s="1"/>
  <c r="N41" i="32" a="1"/>
  <c r="N41" i="32" s="1"/>
  <c r="M23" i="32" a="1"/>
  <c r="M23" i="32" s="1"/>
  <c r="N56" i="33" a="1"/>
  <c r="N56" i="33" s="1"/>
  <c r="F56" i="33" s="1" a="1"/>
  <c r="F56" i="33" s="1"/>
  <c r="N51" i="33" a="1"/>
  <c r="N51" i="33" s="1"/>
  <c r="N30" i="33" a="1"/>
  <c r="N30" i="33" s="1"/>
  <c r="F30" i="33" s="1" a="1"/>
  <c r="F30" i="33" s="1"/>
  <c r="N48" i="33" a="1"/>
  <c r="N48" i="33" s="1"/>
  <c r="N40" i="33" a="1"/>
  <c r="N40" i="33" s="1"/>
  <c r="N22" i="33" a="1"/>
  <c r="N22" i="33" s="1"/>
  <c r="F22" i="33" s="1" a="1"/>
  <c r="F22" i="33" s="1"/>
  <c r="N25" i="33" a="1"/>
  <c r="N25" i="33" s="1"/>
  <c r="F25" i="33" s="1" a="1"/>
  <c r="F25" i="33" s="1"/>
  <c r="N49" i="33" a="1"/>
  <c r="N49" i="33" s="1"/>
  <c r="N28" i="33" a="1"/>
  <c r="N28" i="33" s="1"/>
  <c r="F28" i="33" s="1" a="1"/>
  <c r="F28" i="33" s="1"/>
  <c r="N29" i="33" a="1"/>
  <c r="N29" i="33" s="1"/>
  <c r="F29" i="33" s="1" a="1"/>
  <c r="F29" i="33" s="1"/>
  <c r="N34" i="33" a="1"/>
  <c r="N34" i="33" s="1"/>
  <c r="N23" i="33" a="1"/>
  <c r="N23" i="33" s="1"/>
  <c r="E23" i="33" s="1"/>
  <c r="N46" i="33" a="1"/>
  <c r="N46" i="33" s="1"/>
  <c r="N35" i="33" a="1"/>
  <c r="N35" i="33" s="1"/>
  <c r="N24" i="33" a="1"/>
  <c r="N24" i="33" s="1"/>
  <c r="F24" i="33" s="1" a="1"/>
  <c r="F24" i="33" s="1"/>
  <c r="N31" i="33" a="1"/>
  <c r="N31" i="33" s="1"/>
  <c r="N55" i="33" a="1"/>
  <c r="N55" i="33" s="1"/>
  <c r="N38" i="33" a="1"/>
  <c r="N38" i="33" s="1"/>
  <c r="N41" i="33" a="1"/>
  <c r="N41" i="33" s="1"/>
  <c r="N45" i="33" a="1"/>
  <c r="N45" i="33" s="1"/>
  <c r="N39" i="33" a="1"/>
  <c r="N39" i="33" s="1"/>
  <c r="N43" i="33" a="1"/>
  <c r="N43" i="33" s="1"/>
  <c r="N37" i="33" a="1"/>
  <c r="N37" i="33" s="1"/>
  <c r="N36" i="33" a="1"/>
  <c r="N36" i="33" s="1"/>
  <c r="N47" i="33" a="1"/>
  <c r="N47" i="33" s="1"/>
  <c r="N26" i="33" a="1"/>
  <c r="N26" i="33" s="1"/>
  <c r="F26" i="33" s="1" a="1"/>
  <c r="F26" i="33" s="1"/>
  <c r="N42" i="33" a="1"/>
  <c r="N42" i="33" s="1"/>
  <c r="N50" i="33" a="1"/>
  <c r="N50" i="33" s="1"/>
  <c r="N53" i="33" a="1"/>
  <c r="N53" i="33" s="1"/>
  <c r="N54" i="33" a="1"/>
  <c r="N54" i="33" s="1"/>
  <c r="N32" i="33" a="1"/>
  <c r="N32" i="33" s="1"/>
  <c r="N52" i="33" a="1"/>
  <c r="N52" i="33" s="1"/>
  <c r="N44" i="33" a="1"/>
  <c r="N44" i="33" s="1"/>
  <c r="N33" i="33" a="1"/>
  <c r="N33" i="33" s="1"/>
  <c r="N27" i="33" a="1"/>
  <c r="N27" i="33" s="1"/>
  <c r="E27" i="33" s="1"/>
  <c r="N34" i="32" a="1"/>
  <c r="N34" i="32" s="1"/>
  <c r="N24" i="32" a="1"/>
  <c r="N24" i="32" s="1"/>
  <c r="E24" i="32" s="1"/>
  <c r="N23" i="32" a="1"/>
  <c r="N23" i="32" s="1"/>
  <c r="N32" i="32" a="1"/>
  <c r="N32" i="32" s="1"/>
  <c r="N35" i="32" a="1"/>
  <c r="N35" i="32" s="1"/>
  <c r="F35" i="32" s="1" a="1"/>
  <c r="F35" i="32" s="1"/>
  <c r="M55" i="31" a="1"/>
  <c r="M55" i="31" s="1"/>
  <c r="N28" i="32" a="1"/>
  <c r="N28" i="32" s="1"/>
  <c r="E28" i="32" s="1"/>
  <c r="N39" i="32" a="1"/>
  <c r="N39" i="32" s="1"/>
  <c r="N38" i="32" a="1"/>
  <c r="N38" i="32" s="1"/>
  <c r="N40" i="32" a="1"/>
  <c r="N40" i="32" s="1"/>
  <c r="N48" i="32" a="1"/>
  <c r="N48" i="32" s="1"/>
  <c r="N39" i="31" a="1"/>
  <c r="N39" i="31" s="1"/>
  <c r="F39" i="31" s="1" a="1"/>
  <c r="F39" i="31" s="1"/>
  <c r="M36" i="32" a="1"/>
  <c r="M36" i="32" s="1"/>
  <c r="N49" i="32" a="1"/>
  <c r="N49" i="32" s="1"/>
  <c r="M28" i="32" a="1"/>
  <c r="M28" i="32" s="1"/>
  <c r="N26" i="32" a="1"/>
  <c r="N26" i="32" s="1"/>
  <c r="N36" i="32" a="1"/>
  <c r="N36" i="32" s="1"/>
  <c r="N43" i="32" a="1"/>
  <c r="N43" i="32" s="1"/>
  <c r="M31" i="32" a="1"/>
  <c r="M31" i="32" s="1"/>
  <c r="N29" i="32" a="1"/>
  <c r="N29" i="32" s="1"/>
  <c r="M27" i="32" a="1"/>
  <c r="M27" i="32" s="1"/>
  <c r="N25" i="32" a="1"/>
  <c r="N25" i="32" s="1"/>
  <c r="N54" i="32" a="1"/>
  <c r="N54" i="32" s="1"/>
  <c r="F54" i="32" s="1" a="1"/>
  <c r="F54" i="32" s="1"/>
  <c r="N37" i="32" a="1"/>
  <c r="N37" i="32" s="1"/>
  <c r="N47" i="32" a="1"/>
  <c r="N47" i="32" s="1"/>
  <c r="N31" i="32" a="1"/>
  <c r="N31" i="32" s="1"/>
  <c r="F31" i="32" s="1" a="1"/>
  <c r="F31" i="32" s="1"/>
  <c r="M54" i="32" a="1"/>
  <c r="M54" i="32" s="1"/>
  <c r="N27" i="32" a="1"/>
  <c r="N27" i="32" s="1"/>
  <c r="N50" i="32" a="1"/>
  <c r="N50" i="32" s="1"/>
  <c r="M37" i="32" a="1"/>
  <c r="M37" i="32" s="1"/>
  <c r="N51" i="32" a="1"/>
  <c r="N51" i="32" s="1"/>
  <c r="M56" i="32" a="1"/>
  <c r="M56" i="32" s="1"/>
  <c r="N55" i="32" a="1"/>
  <c r="N55" i="32" s="1"/>
  <c r="N22" i="32" a="1"/>
  <c r="N22" i="32" s="1"/>
  <c r="N30" i="32" a="1"/>
  <c r="N30" i="32" s="1"/>
  <c r="E30" i="32" s="1"/>
  <c r="N46" i="32" a="1"/>
  <c r="N46" i="32" s="1"/>
  <c r="N56" i="32" a="1"/>
  <c r="N56" i="32" s="1"/>
  <c r="O22" i="32" a="1"/>
  <c r="O22" i="32" s="1"/>
  <c r="N44" i="32" a="1"/>
  <c r="N44" i="32" s="1"/>
  <c r="M55" i="32" a="1"/>
  <c r="M55" i="32" s="1"/>
  <c r="M35" i="32" a="1"/>
  <c r="M35" i="32" s="1"/>
  <c r="M30" i="32" a="1"/>
  <c r="M30" i="32" s="1"/>
  <c r="N35" i="31" a="1"/>
  <c r="N35" i="31" s="1"/>
  <c r="N42" i="32" a="1"/>
  <c r="N42" i="32" s="1"/>
  <c r="M22" i="32" a="1"/>
  <c r="M22" i="32" s="1"/>
  <c r="N52" i="32" a="1"/>
  <c r="N52" i="32" s="1"/>
  <c r="N28" i="31" a="1"/>
  <c r="N28" i="31" s="1"/>
  <c r="E28" i="31" s="1"/>
  <c r="N37" i="31" a="1"/>
  <c r="N37" i="31" s="1"/>
  <c r="N55" i="31" a="1"/>
  <c r="N55" i="31" s="1"/>
  <c r="N54" i="31" a="1"/>
  <c r="N54" i="31" s="1"/>
  <c r="N38" i="31" a="1"/>
  <c r="N38" i="31" s="1"/>
  <c r="M28" i="31" a="1"/>
  <c r="M28" i="31" s="1"/>
  <c r="N26" i="31" a="1"/>
  <c r="N26" i="31" s="1"/>
  <c r="N46" i="31" a="1"/>
  <c r="N46" i="31" s="1"/>
  <c r="N52" i="31" a="1"/>
  <c r="N52" i="31" s="1"/>
  <c r="N51" i="31" a="1"/>
  <c r="N51" i="31" s="1"/>
  <c r="N34" i="31" a="1"/>
  <c r="N34" i="31" s="1"/>
  <c r="M30" i="31" a="1"/>
  <c r="M30" i="31" s="1"/>
  <c r="N41" i="31" a="1"/>
  <c r="N41" i="31" s="1"/>
  <c r="E41" i="31" s="1"/>
  <c r="N25" i="31" a="1"/>
  <c r="N25" i="31" s="1"/>
  <c r="F25" i="31" s="1" a="1"/>
  <c r="F25" i="31" s="1"/>
  <c r="N40" i="31" a="1"/>
  <c r="N40" i="31" s="1"/>
  <c r="F40" i="31" s="1" a="1"/>
  <c r="F40" i="31" s="1"/>
  <c r="N47" i="31" a="1"/>
  <c r="N47" i="31" s="1"/>
  <c r="N23" i="31" a="1"/>
  <c r="N23" i="31" s="1"/>
  <c r="M41" i="31" a="1"/>
  <c r="M41" i="31" s="1"/>
  <c r="M34" i="31" a="1"/>
  <c r="M34" i="31" s="1"/>
  <c r="N27" i="31" a="1"/>
  <c r="N27" i="31" s="1"/>
  <c r="M23" i="31" a="1"/>
  <c r="M23" i="31" s="1"/>
  <c r="N48" i="31" a="1"/>
  <c r="N48" i="31" s="1"/>
  <c r="N30" i="31" a="1"/>
  <c r="N30" i="31" s="1"/>
  <c r="M25" i="31" a="1"/>
  <c r="M25" i="31" s="1"/>
  <c r="N31" i="31" a="1"/>
  <c r="N31" i="31" s="1"/>
  <c r="N44" i="31" a="1"/>
  <c r="N44" i="31" s="1"/>
  <c r="M24" i="31" a="1"/>
  <c r="M24" i="31" s="1"/>
  <c r="N24" i="31" a="1"/>
  <c r="N24" i="31" s="1"/>
  <c r="E24" i="31" s="1"/>
  <c r="N22" i="31" a="1"/>
  <c r="N22" i="31" s="1"/>
  <c r="E22" i="31" s="1"/>
  <c r="N53" i="31" a="1"/>
  <c r="N53" i="31" s="1"/>
  <c r="N49" i="31" a="1"/>
  <c r="N49" i="31" s="1"/>
  <c r="O22" i="31" a="1"/>
  <c r="O22" i="31" s="1"/>
  <c r="H22" i="31" s="1" a="1"/>
  <c r="H22" i="31" s="1"/>
  <c r="M31" i="31" a="1"/>
  <c r="M31" i="31" s="1"/>
  <c r="N42" i="31" a="1"/>
  <c r="N42" i="31" s="1"/>
  <c r="N45" i="31" a="1"/>
  <c r="N45" i="31" s="1"/>
  <c r="M22" i="31" a="1"/>
  <c r="M22" i="31" s="1"/>
  <c r="M37" i="30" a="1"/>
  <c r="M37" i="30" s="1"/>
  <c r="L37" i="30" a="1"/>
  <c r="L37" i="30" s="1"/>
  <c r="O37" i="30" a="1"/>
  <c r="O37" i="30" s="1"/>
  <c r="M35" i="30" a="1"/>
  <c r="M35" i="30" s="1"/>
  <c r="L35" i="30" a="1"/>
  <c r="L35" i="30" s="1"/>
  <c r="O35" i="30" a="1"/>
  <c r="O35" i="30" s="1"/>
  <c r="M51" i="30" a="1"/>
  <c r="M51" i="30" s="1"/>
  <c r="L51" i="30" a="1"/>
  <c r="L51" i="30" s="1"/>
  <c r="O51" i="30" a="1"/>
  <c r="O51" i="30" s="1"/>
  <c r="O38" i="30" a="1"/>
  <c r="O38" i="30" s="1"/>
  <c r="M38" i="30" a="1"/>
  <c r="M38" i="30" s="1"/>
  <c r="L38" i="30" a="1"/>
  <c r="L38" i="30" s="1"/>
  <c r="O54" i="30" a="1"/>
  <c r="O54" i="30" s="1"/>
  <c r="M54" i="30" a="1"/>
  <c r="M54" i="30" s="1"/>
  <c r="L54" i="30" a="1"/>
  <c r="L54" i="30" s="1"/>
  <c r="M42" i="30" a="1"/>
  <c r="M42" i="30" s="1"/>
  <c r="L42" i="30" a="1"/>
  <c r="L42" i="30" s="1"/>
  <c r="O42" i="30" a="1"/>
  <c r="O42" i="30" s="1"/>
  <c r="O43" i="30" a="1"/>
  <c r="O43" i="30" s="1"/>
  <c r="M43" i="30" a="1"/>
  <c r="M43" i="30" s="1"/>
  <c r="L43" i="30" a="1"/>
  <c r="L43" i="30" s="1"/>
  <c r="L39" i="30" a="1"/>
  <c r="L39" i="30" s="1"/>
  <c r="O39" i="30" a="1"/>
  <c r="O39" i="30" s="1"/>
  <c r="M39" i="30" a="1"/>
  <c r="M39" i="30" s="1"/>
  <c r="O41" i="30" a="1"/>
  <c r="O41" i="30" s="1"/>
  <c r="M41" i="30" a="1"/>
  <c r="M41" i="30" s="1"/>
  <c r="L41" i="30" a="1"/>
  <c r="L41" i="30" s="1"/>
  <c r="O45" i="30" a="1"/>
  <c r="O45" i="30" s="1"/>
  <c r="M45" i="30" a="1"/>
  <c r="M45" i="30" s="1"/>
  <c r="L45" i="30" a="1"/>
  <c r="L45" i="30" s="1"/>
  <c r="M44" i="30" a="1"/>
  <c r="M44" i="30" s="1"/>
  <c r="L44" i="30" a="1"/>
  <c r="L44" i="30" s="1"/>
  <c r="O44" i="30" a="1"/>
  <c r="O44" i="30" s="1"/>
  <c r="L46" i="30" a="1"/>
  <c r="L46" i="30" s="1"/>
  <c r="O46" i="30" a="1"/>
  <c r="O46" i="30" s="1"/>
  <c r="M46" i="30" a="1"/>
  <c r="M46" i="30" s="1"/>
  <c r="M53" i="30" a="1"/>
  <c r="M53" i="30" s="1"/>
  <c r="L53" i="30" a="1"/>
  <c r="L53" i="30" s="1"/>
  <c r="O53" i="30" a="1"/>
  <c r="O53" i="30" s="1"/>
  <c r="O40" i="30" a="1"/>
  <c r="O40" i="30" s="1"/>
  <c r="M40" i="30" a="1"/>
  <c r="M40" i="30" s="1"/>
  <c r="L40" i="30" a="1"/>
  <c r="L40" i="30" s="1"/>
  <c r="O25" i="30" a="1"/>
  <c r="O25" i="30" s="1"/>
  <c r="L25" i="30" a="1"/>
  <c r="L25" i="30" s="1"/>
  <c r="M25" i="30" a="1"/>
  <c r="M25" i="30" s="1"/>
  <c r="L32" i="30" a="1"/>
  <c r="L32" i="30" s="1"/>
  <c r="O48" i="30" a="1"/>
  <c r="O48" i="30" s="1"/>
  <c r="M48" i="30" a="1"/>
  <c r="M48" i="30" s="1"/>
  <c r="L48" i="30" a="1"/>
  <c r="L48" i="30" s="1"/>
  <c r="O36" i="30" a="1"/>
  <c r="O36" i="30" s="1"/>
  <c r="M36" i="30" a="1"/>
  <c r="M36" i="30" s="1"/>
  <c r="L36" i="30" a="1"/>
  <c r="L36" i="30" s="1"/>
  <c r="O47" i="30" a="1"/>
  <c r="O47" i="30" s="1"/>
  <c r="M47" i="30" a="1"/>
  <c r="M47" i="30" s="1"/>
  <c r="L47" i="30" a="1"/>
  <c r="L47" i="30" s="1"/>
  <c r="O49" i="30" a="1"/>
  <c r="O49" i="30" s="1"/>
  <c r="M49" i="30" a="1"/>
  <c r="M49" i="30" s="1"/>
  <c r="L49" i="30" a="1"/>
  <c r="L49" i="30" s="1"/>
  <c r="O52" i="30" a="1"/>
  <c r="O52" i="30" s="1"/>
  <c r="M52" i="30" a="1"/>
  <c r="M52" i="30" s="1"/>
  <c r="L52" i="30" a="1"/>
  <c r="L52" i="30" s="1"/>
  <c r="M31" i="30" a="1"/>
  <c r="M31" i="30" s="1"/>
  <c r="O34" i="30" a="1"/>
  <c r="O34" i="30" s="1"/>
  <c r="M34" i="30" a="1"/>
  <c r="M34" i="30" s="1"/>
  <c r="L34" i="30" a="1"/>
  <c r="L34" i="30" s="1"/>
  <c r="O50" i="30" a="1"/>
  <c r="O50" i="30" s="1"/>
  <c r="M50" i="30" a="1"/>
  <c r="M50" i="30" s="1"/>
  <c r="L50" i="30" a="1"/>
  <c r="L50" i="30" s="1"/>
  <c r="H28" i="36" a="1"/>
  <c r="H28" i="36" s="1"/>
  <c r="G30" i="36"/>
  <c r="H55" i="36" a="1"/>
  <c r="H55" i="36" s="1"/>
  <c r="G56" i="36"/>
  <c r="G34" i="36"/>
  <c r="N6" i="36"/>
  <c r="B12" i="36" s="1" a="1"/>
  <c r="B12" i="36" s="1"/>
  <c r="H22" i="36" a="1"/>
  <c r="H22" i="36" s="1"/>
  <c r="G23" i="35"/>
  <c r="G31" i="35"/>
  <c r="G30" i="35"/>
  <c r="G56" i="34"/>
  <c r="N9" i="34"/>
  <c r="B12" i="34" s="1" a="1"/>
  <c r="B12" i="34" s="1"/>
  <c r="H26" i="33" a="1"/>
  <c r="H26" i="33" s="1"/>
  <c r="E32" i="33"/>
  <c r="E55" i="33"/>
  <c r="G55" i="33"/>
  <c r="F39" i="30" a="1"/>
  <c r="F39" i="30" s="1"/>
  <c r="F53" i="30" a="1"/>
  <c r="F53" i="30" s="1"/>
  <c r="C25" i="30" a="1"/>
  <c r="C25" i="30" s="1"/>
  <c r="H42" i="30" a="1"/>
  <c r="H42" i="30" s="1"/>
  <c r="A29" i="30"/>
  <c r="A30" i="30"/>
  <c r="A46" i="30"/>
  <c r="G47" i="30"/>
  <c r="F45" i="30" a="1"/>
  <c r="F45" i="30" s="1"/>
  <c r="F35" i="30" a="1"/>
  <c r="F35" i="30" s="1"/>
  <c r="I39" i="29" a="1"/>
  <c r="I39" i="29" s="1"/>
  <c r="I55" i="29" a="1"/>
  <c r="I55" i="29" s="1"/>
  <c r="A32" i="29"/>
  <c r="A27" i="29"/>
  <c r="A49" i="29"/>
  <c r="H40" i="29" a="1"/>
  <c r="H40" i="29" s="1"/>
  <c r="I25" i="29" a="1"/>
  <c r="I25" i="29" s="1"/>
  <c r="A29" i="29"/>
  <c r="I45" i="29" a="1"/>
  <c r="I45" i="29" s="1"/>
  <c r="A46" i="29"/>
  <c r="C50" i="29" a="1"/>
  <c r="C50" i="29" s="1"/>
  <c r="A35" i="29"/>
  <c r="A51" i="29"/>
  <c r="E48" i="29"/>
  <c r="H33" i="29" a="1"/>
  <c r="H33" i="29" s="1"/>
  <c r="H52" i="29" a="1"/>
  <c r="H52" i="29" s="1"/>
  <c r="H24" i="35" a="1"/>
  <c r="H24" i="35" s="1"/>
  <c r="AK151" i="31"/>
  <c r="O29" i="31" s="1" a="1"/>
  <c r="O29" i="31" s="1"/>
  <c r="H26" i="34" a="1"/>
  <c r="H26" i="34" s="1"/>
  <c r="G28" i="35"/>
  <c r="H23" i="33" a="1"/>
  <c r="H23" i="33" s="1"/>
  <c r="I55" i="31" a="1"/>
  <c r="I55" i="31" s="1"/>
  <c r="I22" i="31" a="1"/>
  <c r="I22" i="31" s="1"/>
  <c r="AK255" i="29"/>
  <c r="H28" i="35" a="1"/>
  <c r="H28" i="35" s="1"/>
  <c r="AK240" i="29"/>
  <c r="H28" i="34" a="1"/>
  <c r="H28" i="34" s="1"/>
  <c r="G32" i="33"/>
  <c r="AK302" i="29"/>
  <c r="AR262" i="29"/>
  <c r="G35" i="32"/>
  <c r="AS219" i="29"/>
  <c r="AU219" i="29"/>
  <c r="AI216" i="30"/>
  <c r="AU371" i="29"/>
  <c r="AR407" i="29"/>
  <c r="AR219" i="29"/>
  <c r="Z93" i="29"/>
  <c r="AT227" i="29"/>
  <c r="H55" i="35" a="1"/>
  <c r="H55" i="35" s="1"/>
  <c r="AU288" i="29"/>
  <c r="AT371" i="29"/>
  <c r="H25" i="34" a="1"/>
  <c r="H25" i="34" s="1"/>
  <c r="AK101" i="29"/>
  <c r="Z123" i="29"/>
  <c r="AU104" i="29"/>
  <c r="AU201" i="29"/>
  <c r="AU344" i="29"/>
  <c r="Z121" i="29"/>
  <c r="AK138" i="29"/>
  <c r="AT209" i="29"/>
  <c r="AK233" i="29"/>
  <c r="AU98" i="29"/>
  <c r="Z316" i="29"/>
  <c r="AK425" i="30"/>
  <c r="AK309" i="30"/>
  <c r="AU80" i="29"/>
  <c r="AK248" i="29"/>
  <c r="AK348" i="29"/>
  <c r="AT327" i="29"/>
  <c r="Y351" i="29"/>
  <c r="AR419" i="29"/>
  <c r="Z352" i="29"/>
  <c r="AS227" i="29"/>
  <c r="AS264" i="29"/>
  <c r="Z266" i="29"/>
  <c r="AU327" i="29"/>
  <c r="Y398" i="29"/>
  <c r="AS419" i="29"/>
  <c r="AK134" i="29"/>
  <c r="AU168" i="29"/>
  <c r="Y170" i="29"/>
  <c r="AK313" i="29"/>
  <c r="AK397" i="29"/>
  <c r="AT417" i="29"/>
  <c r="AT350" i="30"/>
  <c r="AK335" i="29"/>
  <c r="AK95" i="29"/>
  <c r="AK425" i="29"/>
  <c r="Z207" i="29"/>
  <c r="AU289" i="29"/>
  <c r="AT311" i="29"/>
  <c r="Z424" i="29"/>
  <c r="AK212" i="30"/>
  <c r="H28" i="33" a="1"/>
  <c r="H28" i="33" s="1"/>
  <c r="Y81" i="29"/>
  <c r="AT259" i="29"/>
  <c r="AK418" i="29"/>
  <c r="AS259" i="29"/>
  <c r="AK88" i="29"/>
  <c r="AU112" i="29"/>
  <c r="AU155" i="29"/>
  <c r="AT315" i="29"/>
  <c r="AR364" i="29"/>
  <c r="AS408" i="29"/>
  <c r="AK99" i="29"/>
  <c r="AK158" i="29"/>
  <c r="AR209" i="29"/>
  <c r="AK410" i="29"/>
  <c r="AK411" i="29"/>
  <c r="AT277" i="29"/>
  <c r="AK151" i="29"/>
  <c r="AS209" i="29"/>
  <c r="AK267" i="29"/>
  <c r="AS95" i="29"/>
  <c r="AT241" i="29"/>
  <c r="Y348" i="29"/>
  <c r="Y387" i="29"/>
  <c r="AR95" i="29"/>
  <c r="AS185" i="29"/>
  <c r="AS138" i="29"/>
  <c r="AT185" i="29"/>
  <c r="AK226" i="29"/>
  <c r="AU286" i="29"/>
  <c r="Y336" i="29"/>
  <c r="AS417" i="29"/>
  <c r="AK91" i="29"/>
  <c r="AK258" i="29"/>
  <c r="AK204" i="29"/>
  <c r="Z257" i="29"/>
  <c r="Y281" i="29"/>
  <c r="Z292" i="29"/>
  <c r="AU345" i="29"/>
  <c r="AU417" i="29"/>
  <c r="H56" i="35" a="1"/>
  <c r="H56" i="35" s="1"/>
  <c r="AS87" i="29"/>
  <c r="AT93" i="29"/>
  <c r="AK364" i="29"/>
  <c r="AS92" i="29"/>
  <c r="AR164" i="29"/>
  <c r="AS337" i="29"/>
  <c r="AS195" i="30"/>
  <c r="AR202" i="29"/>
  <c r="Y240" i="29"/>
  <c r="Y343" i="29"/>
  <c r="AK87" i="29"/>
  <c r="AR112" i="29"/>
  <c r="Z137" i="29"/>
  <c r="AK205" i="29"/>
  <c r="Z211" i="29"/>
  <c r="Y246" i="29"/>
  <c r="AK326" i="29"/>
  <c r="AU388" i="29"/>
  <c r="AU419" i="29"/>
  <c r="Z421" i="29"/>
  <c r="AK195" i="30"/>
  <c r="AS350" i="30"/>
  <c r="AT399" i="30"/>
  <c r="AK109" i="29"/>
  <c r="AK114" i="29"/>
  <c r="AK137" i="29"/>
  <c r="AK229" i="29"/>
  <c r="Z233" i="29"/>
  <c r="AK280" i="29"/>
  <c r="AK315" i="29"/>
  <c r="AK338" i="29"/>
  <c r="AU350" i="30"/>
  <c r="G23" i="31"/>
  <c r="AK85" i="29"/>
  <c r="AS189" i="29"/>
  <c r="AK203" i="29"/>
  <c r="AU214" i="29"/>
  <c r="AT288" i="29"/>
  <c r="AS289" i="29"/>
  <c r="AK342" i="29"/>
  <c r="AT363" i="29"/>
  <c r="Y377" i="29"/>
  <c r="AS285" i="30"/>
  <c r="G27" i="35"/>
  <c r="AU194" i="29"/>
  <c r="AS283" i="29"/>
  <c r="AU409" i="29"/>
  <c r="AT415" i="29"/>
  <c r="AK130" i="29"/>
  <c r="AR322" i="29"/>
  <c r="AR408" i="29"/>
  <c r="AU415" i="29"/>
  <c r="AS423" i="29"/>
  <c r="G27" i="33"/>
  <c r="H56" i="34" a="1"/>
  <c r="H56" i="34" s="1"/>
  <c r="AS80" i="29"/>
  <c r="AU81" i="29"/>
  <c r="AU87" i="29"/>
  <c r="AK103" i="29"/>
  <c r="Z155" i="29"/>
  <c r="AT235" i="29"/>
  <c r="AU407" i="29"/>
  <c r="Y410" i="29"/>
  <c r="Y430" i="29"/>
  <c r="G25" i="33"/>
  <c r="AT171" i="29"/>
  <c r="AS164" i="29"/>
  <c r="AU228" i="29"/>
  <c r="Z258" i="29"/>
  <c r="AK334" i="29"/>
  <c r="AU337" i="29"/>
  <c r="AS405" i="29"/>
  <c r="AT195" i="30"/>
  <c r="G25" i="34"/>
  <c r="AS350" i="29"/>
  <c r="AK160" i="29"/>
  <c r="AT164" i="29"/>
  <c r="AK236" i="29"/>
  <c r="AK339" i="29"/>
  <c r="AK340" i="29"/>
  <c r="AU405" i="29"/>
  <c r="AK429" i="29"/>
  <c r="AK174" i="30"/>
  <c r="AK311" i="29"/>
  <c r="AK402" i="29"/>
  <c r="H27" i="34" a="1"/>
  <c r="H27" i="34" s="1"/>
  <c r="AK168" i="30"/>
  <c r="F36" i="29" a="1"/>
  <c r="F36" i="29" s="1"/>
  <c r="G36" i="29"/>
  <c r="I27" i="31" a="1"/>
  <c r="I27" i="31" s="1"/>
  <c r="H34" i="31" a="1"/>
  <c r="H34" i="31" s="1"/>
  <c r="H32" i="33" a="1"/>
  <c r="H32" i="33" s="1"/>
  <c r="AT325" i="29"/>
  <c r="AS375" i="29"/>
  <c r="AR383" i="29"/>
  <c r="AT89" i="29"/>
  <c r="AR141" i="29"/>
  <c r="AS178" i="29"/>
  <c r="AS197" i="29"/>
  <c r="AR198" i="29"/>
  <c r="AU227" i="29"/>
  <c r="AS268" i="29"/>
  <c r="AU320" i="29"/>
  <c r="AU325" i="29"/>
  <c r="AT374" i="29"/>
  <c r="AT375" i="29"/>
  <c r="AJ216" i="30"/>
  <c r="AK216" i="30" s="1"/>
  <c r="N10" i="30" s="1"/>
  <c r="AS165" i="29"/>
  <c r="AR268" i="29"/>
  <c r="AS320" i="29"/>
  <c r="AS171" i="29"/>
  <c r="AT178" i="29"/>
  <c r="AR189" i="29"/>
  <c r="AU190" i="29"/>
  <c r="AT197" i="29"/>
  <c r="AS198" i="29"/>
  <c r="AS214" i="29"/>
  <c r="Z241" i="29"/>
  <c r="AT268" i="29"/>
  <c r="AT280" i="29"/>
  <c r="AK283" i="29"/>
  <c r="AK296" i="29"/>
  <c r="AK309" i="29"/>
  <c r="Z356" i="29"/>
  <c r="AK358" i="29"/>
  <c r="AU374" i="29"/>
  <c r="AU375" i="29"/>
  <c r="Y391" i="29"/>
  <c r="AU119" i="30"/>
  <c r="I24" i="31" a="1"/>
  <c r="I24" i="31" s="1"/>
  <c r="AT115" i="29"/>
  <c r="AK175" i="29"/>
  <c r="AU198" i="29"/>
  <c r="AU247" i="29"/>
  <c r="AK104" i="29"/>
  <c r="AK174" i="29"/>
  <c r="AU197" i="29"/>
  <c r="AT101" i="29"/>
  <c r="AK116" i="29"/>
  <c r="AK117" i="29"/>
  <c r="AT127" i="29"/>
  <c r="AT144" i="29"/>
  <c r="Y152" i="29"/>
  <c r="AU171" i="29"/>
  <c r="AU189" i="29"/>
  <c r="AK241" i="29"/>
  <c r="AT265" i="29"/>
  <c r="AT266" i="29"/>
  <c r="AS286" i="29"/>
  <c r="AK316" i="29"/>
  <c r="AK333" i="29"/>
  <c r="AR345" i="29"/>
  <c r="Y355" i="29"/>
  <c r="AK356" i="29"/>
  <c r="AT365" i="29"/>
  <c r="Y374" i="29"/>
  <c r="AT381" i="29"/>
  <c r="Z384" i="29"/>
  <c r="AK391" i="29"/>
  <c r="AR424" i="29"/>
  <c r="AK237" i="30"/>
  <c r="H24" i="33" a="1"/>
  <c r="H24" i="33" s="1"/>
  <c r="AK118" i="29"/>
  <c r="AK90" i="29"/>
  <c r="AU127" i="29"/>
  <c r="AK228" i="29"/>
  <c r="AK259" i="29"/>
  <c r="AU265" i="29"/>
  <c r="AT286" i="29"/>
  <c r="AK314" i="29"/>
  <c r="AS345" i="29"/>
  <c r="AU365" i="29"/>
  <c r="AK401" i="29"/>
  <c r="AK417" i="29"/>
  <c r="AK273" i="30"/>
  <c r="AK352" i="30"/>
  <c r="AK123" i="29"/>
  <c r="AK152" i="29"/>
  <c r="AK355" i="29"/>
  <c r="AK367" i="29"/>
  <c r="Z102" i="29"/>
  <c r="AS112" i="29"/>
  <c r="Z172" i="29"/>
  <c r="AR194" i="29"/>
  <c r="AT217" i="29"/>
  <c r="AR263" i="29"/>
  <c r="Y267" i="29"/>
  <c r="AS304" i="29"/>
  <c r="Y306" i="29"/>
  <c r="AU311" i="29"/>
  <c r="AT336" i="29"/>
  <c r="AT337" i="29"/>
  <c r="AT352" i="29"/>
  <c r="AU363" i="29"/>
  <c r="AT404" i="29"/>
  <c r="AT405" i="29"/>
  <c r="Z408" i="29"/>
  <c r="AS194" i="29"/>
  <c r="AS263" i="29"/>
  <c r="AU336" i="29"/>
  <c r="AU404" i="29"/>
  <c r="AK75" i="29"/>
  <c r="Z133" i="29"/>
  <c r="AR160" i="29"/>
  <c r="AT186" i="29"/>
  <c r="AK197" i="29"/>
  <c r="AK198" i="29"/>
  <c r="AT202" i="29"/>
  <c r="Z218" i="29"/>
  <c r="AK225" i="29"/>
  <c r="AK245" i="29"/>
  <c r="AR254" i="29"/>
  <c r="AR302" i="29"/>
  <c r="AK306" i="29"/>
  <c r="AK346" i="29"/>
  <c r="AK381" i="29"/>
  <c r="AU261" i="30"/>
  <c r="E31" i="33"/>
  <c r="AK120" i="29"/>
  <c r="AK170" i="29"/>
  <c r="AK188" i="29"/>
  <c r="AU202" i="29"/>
  <c r="AS302" i="29"/>
  <c r="AK305" i="29"/>
  <c r="AK371" i="29"/>
  <c r="AK399" i="29"/>
  <c r="H55" i="31" a="1"/>
  <c r="H55" i="31" s="1"/>
  <c r="AK102" i="29"/>
  <c r="AK246" i="29"/>
  <c r="AK363" i="29"/>
  <c r="AK74" i="29"/>
  <c r="AS104" i="29"/>
  <c r="Y118" i="29"/>
  <c r="Z138" i="29"/>
  <c r="AK169" i="29"/>
  <c r="AK176" i="29"/>
  <c r="AK195" i="29"/>
  <c r="AK231" i="29"/>
  <c r="Y255" i="29"/>
  <c r="AK278" i="29"/>
  <c r="Y291" i="29"/>
  <c r="Z317" i="29"/>
  <c r="I37" i="32" a="1"/>
  <c r="I37" i="32" s="1"/>
  <c r="AK81" i="29"/>
  <c r="AK128" i="29"/>
  <c r="AK133" i="29"/>
  <c r="AK100" i="29"/>
  <c r="AT184" i="29"/>
  <c r="AK224" i="29"/>
  <c r="AK263" i="29"/>
  <c r="Z277" i="29"/>
  <c r="AK86" i="29"/>
  <c r="AT104" i="29"/>
  <c r="AU109" i="29"/>
  <c r="AS166" i="29"/>
  <c r="AS241" i="29"/>
  <c r="AK250" i="29"/>
  <c r="AK262" i="29"/>
  <c r="Y303" i="29"/>
  <c r="AK387" i="29"/>
  <c r="AT391" i="29"/>
  <c r="Y403" i="29"/>
  <c r="AU310" i="30"/>
  <c r="AS123" i="29"/>
  <c r="AT177" i="29"/>
  <c r="Z209" i="29"/>
  <c r="AR256" i="29"/>
  <c r="AS318" i="29"/>
  <c r="Z321" i="29"/>
  <c r="Z327" i="29"/>
  <c r="Y329" i="29"/>
  <c r="Y363" i="29"/>
  <c r="AU391" i="29"/>
  <c r="Y393" i="29"/>
  <c r="Y404" i="29"/>
  <c r="G23" i="32"/>
  <c r="AK89" i="29"/>
  <c r="AK98" i="29"/>
  <c r="AT110" i="29"/>
  <c r="AR121" i="29"/>
  <c r="AU123" i="29"/>
  <c r="Y134" i="29"/>
  <c r="AK136" i="29"/>
  <c r="AT142" i="29"/>
  <c r="AT147" i="29"/>
  <c r="AT148" i="29"/>
  <c r="AS157" i="29"/>
  <c r="AU158" i="29"/>
  <c r="AK161" i="29"/>
  <c r="AK162" i="29"/>
  <c r="Y171" i="29"/>
  <c r="AK173" i="29"/>
  <c r="AI180" i="29"/>
  <c r="AK186" i="29"/>
  <c r="AS204" i="29"/>
  <c r="AS205" i="29"/>
  <c r="AK211" i="29"/>
  <c r="Y225" i="29"/>
  <c r="AR231" i="29"/>
  <c r="AR232" i="29"/>
  <c r="AS239" i="29"/>
  <c r="AT242" i="29"/>
  <c r="Z244" i="29"/>
  <c r="AK247" i="29"/>
  <c r="AS256" i="29"/>
  <c r="Y259" i="29"/>
  <c r="Y260" i="29"/>
  <c r="AK261" i="29"/>
  <c r="AK264" i="29"/>
  <c r="AK266" i="29"/>
  <c r="AS272" i="29"/>
  <c r="AR273" i="29"/>
  <c r="AS284" i="29"/>
  <c r="Z312" i="29"/>
  <c r="Y326" i="29"/>
  <c r="Z328" i="29"/>
  <c r="Z344" i="29"/>
  <c r="Y345" i="29"/>
  <c r="Y347" i="29"/>
  <c r="AR354" i="29"/>
  <c r="AK365" i="29"/>
  <c r="AK374" i="29"/>
  <c r="Z385" i="29"/>
  <c r="AK421" i="29"/>
  <c r="Y428" i="29"/>
  <c r="AK192" i="30"/>
  <c r="AS148" i="29"/>
  <c r="AR272" i="29"/>
  <c r="AR284" i="29"/>
  <c r="AT357" i="29"/>
  <c r="AK79" i="29"/>
  <c r="AK80" i="29"/>
  <c r="AK115" i="29"/>
  <c r="AU147" i="29"/>
  <c r="AU148" i="29"/>
  <c r="AT204" i="29"/>
  <c r="AS231" i="29"/>
  <c r="AU239" i="29"/>
  <c r="AK252" i="29"/>
  <c r="N11" i="29" s="1"/>
  <c r="AT272" i="29"/>
  <c r="AU273" i="29"/>
  <c r="AT284" i="29"/>
  <c r="AK321" i="29"/>
  <c r="AK327" i="29"/>
  <c r="AK376" i="29"/>
  <c r="AK378" i="29"/>
  <c r="AK394" i="29"/>
  <c r="AK404" i="29"/>
  <c r="AK408" i="29"/>
  <c r="AK409" i="29"/>
  <c r="AT158" i="29"/>
  <c r="G52" i="29"/>
  <c r="AK420" i="29"/>
  <c r="H24" i="32" a="1"/>
  <c r="H24" i="32" s="1"/>
  <c r="AT132" i="29"/>
  <c r="AT183" i="29"/>
  <c r="AK220" i="29"/>
  <c r="AT231" i="29"/>
  <c r="AK386" i="29"/>
  <c r="AT94" i="29"/>
  <c r="Z111" i="29"/>
  <c r="Z124" i="29"/>
  <c r="AT130" i="29"/>
  <c r="Y158" i="29"/>
  <c r="Z159" i="29"/>
  <c r="AR165" i="29"/>
  <c r="AK178" i="29"/>
  <c r="AS181" i="29"/>
  <c r="Y183" i="29"/>
  <c r="Z193" i="29"/>
  <c r="Y206" i="29"/>
  <c r="AT214" i="29"/>
  <c r="AS254" i="29"/>
  <c r="AK260" i="29"/>
  <c r="AS270" i="29"/>
  <c r="Z272" i="29"/>
  <c r="AS280" i="29"/>
  <c r="AK303" i="29"/>
  <c r="AK383" i="29"/>
  <c r="AK403" i="29"/>
  <c r="AK415" i="29"/>
  <c r="AK428" i="29"/>
  <c r="AK304" i="30"/>
  <c r="AU399" i="30"/>
  <c r="H31" i="31" a="1"/>
  <c r="H31" i="31" s="1"/>
  <c r="AK263" i="32"/>
  <c r="O33" i="32" s="1" a="1"/>
  <c r="O33" i="32" s="1"/>
  <c r="I35" i="32" a="1"/>
  <c r="I35" i="32" s="1"/>
  <c r="AS132" i="29"/>
  <c r="AK73" i="29"/>
  <c r="AR91" i="29"/>
  <c r="AU93" i="29"/>
  <c r="Z104" i="29"/>
  <c r="AK111" i="29"/>
  <c r="AK112" i="29"/>
  <c r="AU117" i="29"/>
  <c r="AK122" i="29"/>
  <c r="AK125" i="29"/>
  <c r="Y130" i="29"/>
  <c r="AK149" i="29"/>
  <c r="AK150" i="29"/>
  <c r="AR153" i="29"/>
  <c r="AT165" i="29"/>
  <c r="AU166" i="29"/>
  <c r="Y168" i="29"/>
  <c r="Y201" i="29"/>
  <c r="Z202" i="29"/>
  <c r="AK206" i="29"/>
  <c r="AK208" i="29"/>
  <c r="AK210" i="29"/>
  <c r="AK244" i="29"/>
  <c r="AK256" i="29"/>
  <c r="AK275" i="29"/>
  <c r="AU280" i="29"/>
  <c r="AT281" i="29"/>
  <c r="AR297" i="29"/>
  <c r="Y300" i="29"/>
  <c r="AK312" i="29"/>
  <c r="AK318" i="29"/>
  <c r="Y333" i="29"/>
  <c r="AK347" i="29"/>
  <c r="Y381" i="29"/>
  <c r="AK390" i="29"/>
  <c r="AR411" i="29"/>
  <c r="AT423" i="29"/>
  <c r="H24" i="31" a="1"/>
  <c r="H24" i="31" s="1"/>
  <c r="H56" i="32" a="1"/>
  <c r="H56" i="32" s="1"/>
  <c r="AR123" i="29"/>
  <c r="AS91" i="29"/>
  <c r="AS153" i="29"/>
  <c r="AS411" i="29"/>
  <c r="AS297" i="29"/>
  <c r="E36" i="29"/>
  <c r="AK78" i="29"/>
  <c r="AR89" i="29"/>
  <c r="AU90" i="29"/>
  <c r="Z103" i="29"/>
  <c r="Y129" i="29"/>
  <c r="AK132" i="29"/>
  <c r="AU136" i="29"/>
  <c r="AU137" i="29"/>
  <c r="AR138" i="29"/>
  <c r="AR139" i="29"/>
  <c r="AU153" i="29"/>
  <c r="Z165" i="29"/>
  <c r="AK207" i="29"/>
  <c r="AR264" i="29"/>
  <c r="AS266" i="29"/>
  <c r="AS277" i="29"/>
  <c r="AK294" i="29"/>
  <c r="AU297" i="29"/>
  <c r="Y353" i="29"/>
  <c r="AU411" i="29"/>
  <c r="AK119" i="29"/>
  <c r="AK201" i="29"/>
  <c r="H36" i="29" a="1"/>
  <c r="H36" i="29" s="1"/>
  <c r="AR82" i="29"/>
  <c r="AK94" i="29"/>
  <c r="AK110" i="29"/>
  <c r="AK165" i="29"/>
  <c r="AK200" i="29"/>
  <c r="AR217" i="29"/>
  <c r="AK238" i="29"/>
  <c r="AK239" i="29"/>
  <c r="AR245" i="29"/>
  <c r="AU266" i="29"/>
  <c r="AU277" i="29"/>
  <c r="AK285" i="29"/>
  <c r="AR305" i="29"/>
  <c r="AS373" i="29"/>
  <c r="AK380" i="29"/>
  <c r="AT420" i="29"/>
  <c r="AK177" i="30"/>
  <c r="AS177" i="29"/>
  <c r="Z187" i="29"/>
  <c r="AK141" i="29"/>
  <c r="AK156" i="29"/>
  <c r="AK214" i="29"/>
  <c r="AR81" i="29"/>
  <c r="AU89" i="29"/>
  <c r="AT114" i="29"/>
  <c r="AU138" i="29"/>
  <c r="AK181" i="29"/>
  <c r="AS81" i="29"/>
  <c r="AK84" i="29"/>
  <c r="AK93" i="29"/>
  <c r="AS98" i="29"/>
  <c r="AU114" i="29"/>
  <c r="AK163" i="29"/>
  <c r="AK166" i="29"/>
  <c r="AS186" i="29"/>
  <c r="AU187" i="29"/>
  <c r="Y189" i="29"/>
  <c r="AK191" i="29"/>
  <c r="AK192" i="29"/>
  <c r="AK202" i="29"/>
  <c r="AU211" i="29"/>
  <c r="AS217" i="29"/>
  <c r="AK223" i="29"/>
  <c r="AS235" i="29"/>
  <c r="AU245" i="29"/>
  <c r="Z268" i="29"/>
  <c r="AK292" i="29"/>
  <c r="AR304" i="29"/>
  <c r="AK308" i="29"/>
  <c r="AK352" i="29"/>
  <c r="AS365" i="29"/>
  <c r="AK368" i="29"/>
  <c r="AT373" i="29"/>
  <c r="AS374" i="29"/>
  <c r="AU408" i="29"/>
  <c r="Z412" i="29"/>
  <c r="AK424" i="29"/>
  <c r="AK166" i="30"/>
  <c r="AK244" i="30"/>
  <c r="AK88" i="32"/>
  <c r="H22" i="34" a="1"/>
  <c r="H22" i="34" s="1"/>
  <c r="AK213" i="29"/>
  <c r="AK253" i="29"/>
  <c r="AK279" i="29"/>
  <c r="AK281" i="29"/>
  <c r="AK290" i="29"/>
  <c r="AK297" i="29"/>
  <c r="AK298" i="29"/>
  <c r="AK300" i="29"/>
  <c r="AK351" i="29"/>
  <c r="AK400" i="29"/>
  <c r="AK127" i="29"/>
  <c r="AK145" i="29"/>
  <c r="AK190" i="29"/>
  <c r="AK199" i="29"/>
  <c r="AK268" i="29"/>
  <c r="AK269" i="29"/>
  <c r="AK307" i="29"/>
  <c r="AK379" i="29"/>
  <c r="AK412" i="29"/>
  <c r="AK91" i="30"/>
  <c r="AK160" i="30"/>
  <c r="AK180" i="30"/>
  <c r="N9" i="30" s="1"/>
  <c r="G55" i="35"/>
  <c r="AK144" i="29"/>
  <c r="N8" i="29" s="1"/>
  <c r="D42" i="29" a="1"/>
  <c r="D42" i="29" s="1"/>
  <c r="A42" i="29"/>
  <c r="H37" i="29" a="1"/>
  <c r="H37" i="29" s="1"/>
  <c r="C37" i="29" a="1"/>
  <c r="C37" i="29" s="1"/>
  <c r="G37" i="29"/>
  <c r="F37" i="29" a="1"/>
  <c r="F37" i="29" s="1"/>
  <c r="F23" i="29" a="1"/>
  <c r="F23" i="29" s="1"/>
  <c r="C23" i="29" a="1"/>
  <c r="C23" i="29" s="1"/>
  <c r="AU372" i="29"/>
  <c r="AS372" i="29"/>
  <c r="AS376" i="29"/>
  <c r="AT376" i="29"/>
  <c r="H40" i="31" a="1"/>
  <c r="H40" i="31" s="1"/>
  <c r="G40" i="31"/>
  <c r="C33" i="29" a="1"/>
  <c r="C33" i="29" s="1"/>
  <c r="AS82" i="29"/>
  <c r="AT84" i="29"/>
  <c r="AU91" i="29"/>
  <c r="AU94" i="29"/>
  <c r="AU95" i="29"/>
  <c r="AR124" i="29"/>
  <c r="Y131" i="29"/>
  <c r="Y132" i="29"/>
  <c r="AU132" i="29"/>
  <c r="AR133" i="29"/>
  <c r="Y136" i="29"/>
  <c r="AS139" i="29"/>
  <c r="AT141" i="29"/>
  <c r="AS151" i="29"/>
  <c r="AR156" i="29"/>
  <c r="AS160" i="29"/>
  <c r="Y177" i="29"/>
  <c r="AU177" i="29"/>
  <c r="AU178" i="29"/>
  <c r="AR193" i="29"/>
  <c r="AR199" i="29"/>
  <c r="AT213" i="29"/>
  <c r="AR223" i="29"/>
  <c r="AU241" i="29"/>
  <c r="Y245" i="29"/>
  <c r="Y247" i="29"/>
  <c r="Z249" i="29"/>
  <c r="AR276" i="29"/>
  <c r="AR282" i="29"/>
  <c r="Y307" i="29"/>
  <c r="AR360" i="29"/>
  <c r="Y364" i="29"/>
  <c r="AU370" i="29"/>
  <c r="AR370" i="29"/>
  <c r="Z388" i="29"/>
  <c r="Y388" i="29"/>
  <c r="Y417" i="29"/>
  <c r="Z417" i="29"/>
  <c r="Z419" i="29"/>
  <c r="AT210" i="30"/>
  <c r="G34" i="31"/>
  <c r="AT139" i="29"/>
  <c r="AT151" i="29"/>
  <c r="AK164" i="29"/>
  <c r="AK171" i="29"/>
  <c r="AS193" i="29"/>
  <c r="AS199" i="29"/>
  <c r="AU212" i="29"/>
  <c r="AS212" i="29"/>
  <c r="AR212" i="29"/>
  <c r="AS223" i="29"/>
  <c r="AK232" i="29"/>
  <c r="AS282" i="29"/>
  <c r="AK289" i="29"/>
  <c r="AK343" i="29"/>
  <c r="AR369" i="29"/>
  <c r="AT369" i="29"/>
  <c r="AU400" i="29"/>
  <c r="AT400" i="29"/>
  <c r="AS400" i="29"/>
  <c r="AR400" i="29"/>
  <c r="AU210" i="30"/>
  <c r="AK178" i="31"/>
  <c r="AK155" i="31"/>
  <c r="AK97" i="29"/>
  <c r="AU141" i="29"/>
  <c r="AS156" i="29"/>
  <c r="AT160" i="29"/>
  <c r="D33" i="29" a="1"/>
  <c r="D33" i="29" s="1"/>
  <c r="Y94" i="29"/>
  <c r="AR114" i="29"/>
  <c r="Z120" i="29"/>
  <c r="Y122" i="29"/>
  <c r="AR191" i="29"/>
  <c r="AT207" i="29"/>
  <c r="AS207" i="29"/>
  <c r="AT212" i="29"/>
  <c r="Y243" i="29"/>
  <c r="AK249" i="29"/>
  <c r="Z280" i="29"/>
  <c r="AT282" i="29"/>
  <c r="AK328" i="29"/>
  <c r="AS369" i="29"/>
  <c r="AT370" i="29"/>
  <c r="Z375" i="29"/>
  <c r="Y375" i="29"/>
  <c r="AK389" i="29"/>
  <c r="AK392" i="29"/>
  <c r="AS427" i="29"/>
  <c r="AR427" i="29"/>
  <c r="AT82" i="29"/>
  <c r="AU84" i="29"/>
  <c r="AS124" i="29"/>
  <c r="AT133" i="29"/>
  <c r="Z79" i="29"/>
  <c r="Y84" i="29"/>
  <c r="Y86" i="29"/>
  <c r="Y90" i="29"/>
  <c r="AT124" i="29"/>
  <c r="AK129" i="29"/>
  <c r="Y141" i="29"/>
  <c r="AI144" i="29"/>
  <c r="AU151" i="29"/>
  <c r="AT156" i="29"/>
  <c r="AK167" i="29"/>
  <c r="AS190" i="29"/>
  <c r="AT193" i="29"/>
  <c r="AT199" i="29"/>
  <c r="AT200" i="29"/>
  <c r="AR201" i="29"/>
  <c r="AT223" i="29"/>
  <c r="AT224" i="29"/>
  <c r="D25" i="29" a="1"/>
  <c r="D25" i="29" s="1"/>
  <c r="F33" i="29" a="1"/>
  <c r="F33" i="29" s="1"/>
  <c r="A52" i="29"/>
  <c r="AS110" i="29"/>
  <c r="AS147" i="29"/>
  <c r="AU152" i="29"/>
  <c r="Z160" i="29"/>
  <c r="AR185" i="29"/>
  <c r="AT190" i="29"/>
  <c r="AT201" i="29"/>
  <c r="AR204" i="29"/>
  <c r="AU205" i="29"/>
  <c r="AT205" i="29"/>
  <c r="AR207" i="29"/>
  <c r="AU224" i="29"/>
  <c r="AK227" i="29"/>
  <c r="AR235" i="29"/>
  <c r="Y242" i="29"/>
  <c r="AK254" i="29"/>
  <c r="Y279" i="29"/>
  <c r="AK286" i="29"/>
  <c r="AR311" i="29"/>
  <c r="Z315" i="29"/>
  <c r="Y339" i="29"/>
  <c r="AK354" i="29"/>
  <c r="AU369" i="29"/>
  <c r="AK373" i="29"/>
  <c r="Z376" i="29"/>
  <c r="Y376" i="29"/>
  <c r="AU383" i="29"/>
  <c r="AS383" i="29"/>
  <c r="AU385" i="29"/>
  <c r="AU399" i="29"/>
  <c r="AT399" i="29"/>
  <c r="AS399" i="29"/>
  <c r="Y416" i="29"/>
  <c r="AK423" i="29"/>
  <c r="AT427" i="29"/>
  <c r="AK180" i="29"/>
  <c r="N9" i="29" s="1"/>
  <c r="AK257" i="29"/>
  <c r="AU332" i="29"/>
  <c r="AR332" i="29"/>
  <c r="AS331" i="29"/>
  <c r="AR331" i="29"/>
  <c r="Z338" i="29"/>
  <c r="Y338" i="29"/>
  <c r="AK154" i="31"/>
  <c r="O32" i="31" s="1" a="1"/>
  <c r="O32" i="31" s="1"/>
  <c r="AS75" i="29"/>
  <c r="Z188" i="29"/>
  <c r="Y188" i="29"/>
  <c r="AK193" i="29"/>
  <c r="AK196" i="29"/>
  <c r="Y200" i="29"/>
  <c r="Z204" i="29"/>
  <c r="Y204" i="29"/>
  <c r="Z224" i="29"/>
  <c r="AT270" i="29"/>
  <c r="AS273" i="29"/>
  <c r="AK276" i="29"/>
  <c r="AK277" i="29"/>
  <c r="AU290" i="29"/>
  <c r="AR290" i="29"/>
  <c r="AU292" i="29"/>
  <c r="AT292" i="29"/>
  <c r="AS322" i="29"/>
  <c r="AT331" i="29"/>
  <c r="AT332" i="29"/>
  <c r="Y335" i="29"/>
  <c r="Y369" i="29"/>
  <c r="Z369" i="29"/>
  <c r="AS213" i="29"/>
  <c r="AR213" i="29"/>
  <c r="F25" i="29" a="1"/>
  <c r="F25" i="29" s="1"/>
  <c r="AR73" i="29"/>
  <c r="AR75" i="29"/>
  <c r="G25" i="29"/>
  <c r="AS73" i="29"/>
  <c r="AK83" i="29"/>
  <c r="AT102" i="29"/>
  <c r="Z114" i="29"/>
  <c r="Y125" i="29"/>
  <c r="Z154" i="29"/>
  <c r="Y154" i="29"/>
  <c r="H25" i="29" a="1"/>
  <c r="H25" i="29" s="1"/>
  <c r="AT73" i="29"/>
  <c r="AU75" i="29"/>
  <c r="Z77" i="29"/>
  <c r="AK92" i="29"/>
  <c r="AK96" i="29"/>
  <c r="AU102" i="29"/>
  <c r="Z113" i="29"/>
  <c r="AK121" i="29"/>
  <c r="AK126" i="29"/>
  <c r="AR144" i="29"/>
  <c r="AS144" i="29"/>
  <c r="AK155" i="29"/>
  <c r="AK157" i="29"/>
  <c r="AK159" i="29"/>
  <c r="AR181" i="29"/>
  <c r="Z185" i="29"/>
  <c r="AK189" i="29"/>
  <c r="AK194" i="29"/>
  <c r="Z195" i="29"/>
  <c r="Y208" i="29"/>
  <c r="AU232" i="29"/>
  <c r="AT232" i="29"/>
  <c r="Y235" i="29"/>
  <c r="AU270" i="29"/>
  <c r="AR288" i="29"/>
  <c r="AS290" i="29"/>
  <c r="Z301" i="29"/>
  <c r="Z311" i="29"/>
  <c r="Y311" i="29"/>
  <c r="AR320" i="29"/>
  <c r="AT321" i="29"/>
  <c r="AU321" i="29"/>
  <c r="AU322" i="29"/>
  <c r="AU331" i="29"/>
  <c r="AS343" i="29"/>
  <c r="AU343" i="29"/>
  <c r="AT343" i="29"/>
  <c r="AK350" i="29"/>
  <c r="AK370" i="29"/>
  <c r="AU425" i="29"/>
  <c r="AT425" i="29"/>
  <c r="AS425" i="29"/>
  <c r="AK199" i="30"/>
  <c r="AS365" i="30"/>
  <c r="AU365" i="30"/>
  <c r="G37" i="31"/>
  <c r="H37" i="31" a="1"/>
  <c r="H37" i="31" s="1"/>
  <c r="AK82" i="29"/>
  <c r="Z203" i="29"/>
  <c r="Y203" i="29"/>
  <c r="AR250" i="29"/>
  <c r="AU250" i="29"/>
  <c r="AT260" i="29"/>
  <c r="AS260" i="29"/>
  <c r="AK284" i="29"/>
  <c r="AK304" i="29"/>
  <c r="AK372" i="29"/>
  <c r="Z383" i="29"/>
  <c r="Y383" i="29"/>
  <c r="AK158" i="31"/>
  <c r="O36" i="31" s="1" a="1"/>
  <c r="O36" i="31" s="1"/>
  <c r="A53" i="29"/>
  <c r="E53" i="29"/>
  <c r="AK77" i="29"/>
  <c r="AR98" i="29"/>
  <c r="AK113" i="29"/>
  <c r="AK124" i="29"/>
  <c r="AK140" i="29"/>
  <c r="AK147" i="29"/>
  <c r="AK148" i="29"/>
  <c r="AU170" i="29"/>
  <c r="AU181" i="29"/>
  <c r="AK184" i="29"/>
  <c r="AK185" i="29"/>
  <c r="AK222" i="29"/>
  <c r="AK235" i="29"/>
  <c r="AS250" i="29"/>
  <c r="AR260" i="29"/>
  <c r="Y265" i="29"/>
  <c r="AL324" i="29"/>
  <c r="O13" i="29" s="1"/>
  <c r="AU342" i="29"/>
  <c r="AT342" i="29"/>
  <c r="AU354" i="29"/>
  <c r="AS354" i="29"/>
  <c r="AS355" i="29"/>
  <c r="AT355" i="29"/>
  <c r="AR355" i="29"/>
  <c r="AS391" i="29"/>
  <c r="AR409" i="29"/>
  <c r="AS409" i="29"/>
  <c r="AT250" i="29"/>
  <c r="AU260" i="29"/>
  <c r="AR318" i="29"/>
  <c r="AU318" i="29"/>
  <c r="AK324" i="29"/>
  <c r="N13" i="29" s="1"/>
  <c r="Z331" i="29"/>
  <c r="Y331" i="29"/>
  <c r="AR356" i="29"/>
  <c r="AT356" i="29"/>
  <c r="AI360" i="29"/>
  <c r="AT276" i="29"/>
  <c r="AS276" i="29"/>
  <c r="F53" i="29" a="1"/>
  <c r="F53" i="29" s="1"/>
  <c r="D36" i="29" a="1"/>
  <c r="D36" i="29" s="1"/>
  <c r="G53" i="29"/>
  <c r="AK76" i="29"/>
  <c r="AR80" i="29"/>
  <c r="AK106" i="29"/>
  <c r="AK154" i="29"/>
  <c r="AR166" i="29"/>
  <c r="AT168" i="29"/>
  <c r="Z181" i="29"/>
  <c r="AK183" i="29"/>
  <c r="Z219" i="29"/>
  <c r="AK234" i="29"/>
  <c r="AR239" i="29"/>
  <c r="Y320" i="29"/>
  <c r="Z320" i="29"/>
  <c r="AK322" i="29"/>
  <c r="AS328" i="29"/>
  <c r="AU328" i="29"/>
  <c r="AT329" i="29"/>
  <c r="AU329" i="29"/>
  <c r="AK332" i="29"/>
  <c r="AS340" i="29"/>
  <c r="AR340" i="29"/>
  <c r="AL360" i="29"/>
  <c r="O14" i="29" s="1"/>
  <c r="Z382" i="29"/>
  <c r="Y382" i="29"/>
  <c r="AU403" i="29"/>
  <c r="AT403" i="29"/>
  <c r="AS403" i="29"/>
  <c r="AU422" i="29"/>
  <c r="AS422" i="29"/>
  <c r="AR422" i="29"/>
  <c r="Y94" i="30"/>
  <c r="Z94" i="30"/>
  <c r="G31" i="32"/>
  <c r="H31" i="32" a="1"/>
  <c r="H31" i="32" s="1"/>
  <c r="AU255" i="29"/>
  <c r="AT255" i="29"/>
  <c r="AK265" i="29"/>
  <c r="AK274" i="29"/>
  <c r="AS307" i="29"/>
  <c r="AR307" i="29"/>
  <c r="AK310" i="29"/>
  <c r="AK331" i="29"/>
  <c r="AU356" i="29"/>
  <c r="AU378" i="29"/>
  <c r="AS378" i="29"/>
  <c r="AS388" i="29"/>
  <c r="AR403" i="29"/>
  <c r="AT422" i="29"/>
  <c r="AU153" i="30"/>
  <c r="AT153" i="30"/>
  <c r="AS153" i="30"/>
  <c r="Y366" i="29"/>
  <c r="Z366" i="29"/>
  <c r="AK146" i="29"/>
  <c r="AK221" i="29"/>
  <c r="AR87" i="29"/>
  <c r="AK105" i="29"/>
  <c r="AU130" i="29"/>
  <c r="AT136" i="29"/>
  <c r="AK187" i="29"/>
  <c r="AT245" i="29"/>
  <c r="AK293" i="29"/>
  <c r="AT307" i="29"/>
  <c r="AK320" i="29"/>
  <c r="AU340" i="29"/>
  <c r="Y342" i="29"/>
  <c r="AR350" i="29"/>
  <c r="AU350" i="29"/>
  <c r="Y358" i="29"/>
  <c r="AR378" i="29"/>
  <c r="Y380" i="29"/>
  <c r="Z380" i="29"/>
  <c r="AK382" i="29"/>
  <c r="AT388" i="29"/>
  <c r="AS420" i="29"/>
  <c r="AR420" i="29"/>
  <c r="H35" i="31" a="1"/>
  <c r="H35" i="31" s="1"/>
  <c r="G35" i="31"/>
  <c r="AK330" i="29"/>
  <c r="AR328" i="30"/>
  <c r="I30" i="32" a="1"/>
  <c r="I30" i="32" s="1"/>
  <c r="H25" i="35" a="1"/>
  <c r="H25" i="35" s="1"/>
  <c r="AK426" i="29"/>
  <c r="AS328" i="30"/>
  <c r="H41" i="31" a="1"/>
  <c r="H41" i="31" s="1"/>
  <c r="G31" i="31"/>
  <c r="AK212" i="29"/>
  <c r="AK230" i="29"/>
  <c r="AK272" i="29"/>
  <c r="AK282" i="29"/>
  <c r="AK291" i="29"/>
  <c r="AK299" i="29"/>
  <c r="AK301" i="29"/>
  <c r="AU352" i="29"/>
  <c r="AK366" i="29"/>
  <c r="AK375" i="29"/>
  <c r="Y389" i="29"/>
  <c r="Z390" i="29"/>
  <c r="Y392" i="29"/>
  <c r="Y399" i="29"/>
  <c r="AR404" i="29"/>
  <c r="AS407" i="29"/>
  <c r="AS414" i="29"/>
  <c r="AR415" i="29"/>
  <c r="Y126" i="30"/>
  <c r="AK239" i="30"/>
  <c r="AK72" i="31"/>
  <c r="N6" i="31" s="1"/>
  <c r="AT414" i="29"/>
  <c r="AK265" i="30"/>
  <c r="H28" i="31" a="1"/>
  <c r="H28" i="31" s="1"/>
  <c r="AK270" i="29"/>
  <c r="AK271" i="29"/>
  <c r="AK273" i="29"/>
  <c r="AK361" i="29"/>
  <c r="AK388" i="29"/>
  <c r="AR423" i="29"/>
  <c r="AR399" i="30"/>
  <c r="Y404" i="30"/>
  <c r="AK217" i="29"/>
  <c r="AK219" i="29"/>
  <c r="AK237" i="29"/>
  <c r="AT254" i="29"/>
  <c r="AT256" i="29"/>
  <c r="AT263" i="29"/>
  <c r="AT264" i="29"/>
  <c r="AT302" i="29"/>
  <c r="AT304" i="29"/>
  <c r="AK319" i="29"/>
  <c r="AK337" i="29"/>
  <c r="AK341" i="29"/>
  <c r="AK344" i="29"/>
  <c r="AK360" i="29"/>
  <c r="N14" i="29" s="1"/>
  <c r="AU373" i="29"/>
  <c r="AK385" i="29"/>
  <c r="AK405" i="29"/>
  <c r="AK419" i="29"/>
  <c r="AK130" i="30"/>
  <c r="AU195" i="30"/>
  <c r="AK242" i="30"/>
  <c r="AK142" i="29"/>
  <c r="AK153" i="29"/>
  <c r="AK168" i="29"/>
  <c r="AK177" i="29"/>
  <c r="AK218" i="29"/>
  <c r="AK242" i="29"/>
  <c r="AK243" i="29"/>
  <c r="AS265" i="29"/>
  <c r="Z294" i="29"/>
  <c r="AT308" i="29"/>
  <c r="AK336" i="29"/>
  <c r="AK345" i="29"/>
  <c r="AS363" i="29"/>
  <c r="Z370" i="29"/>
  <c r="Z373" i="29"/>
  <c r="AK377" i="29"/>
  <c r="AK384" i="29"/>
  <c r="AK406" i="29"/>
  <c r="AK407" i="29"/>
  <c r="AK416" i="29"/>
  <c r="Z423" i="29"/>
  <c r="AK430" i="29"/>
  <c r="AU144" i="30"/>
  <c r="AK357" i="29"/>
  <c r="AK369" i="29"/>
  <c r="AK413" i="29"/>
  <c r="AK414" i="29"/>
  <c r="AK422" i="29"/>
  <c r="AK94" i="30"/>
  <c r="AK236" i="30"/>
  <c r="G30" i="31"/>
  <c r="I23" i="31" a="1"/>
  <c r="I23" i="31" s="1"/>
  <c r="H22" i="35" a="1"/>
  <c r="H22" i="35" s="1"/>
  <c r="G27" i="34"/>
  <c r="F29" i="34" a="1"/>
  <c r="F29" i="34" s="1"/>
  <c r="E29" i="34"/>
  <c r="F31" i="33" a="1"/>
  <c r="F31" i="33" s="1"/>
  <c r="G22" i="33"/>
  <c r="H22" i="33" a="1"/>
  <c r="H22" i="33" s="1"/>
  <c r="G54" i="32"/>
  <c r="H23" i="32" a="1"/>
  <c r="H23" i="32" s="1"/>
  <c r="H54" i="32" a="1"/>
  <c r="H54" i="32" s="1"/>
  <c r="AK87" i="32"/>
  <c r="AK80" i="32"/>
  <c r="H30" i="32" s="1" a="1"/>
  <c r="H30" i="32" s="1"/>
  <c r="AK77" i="32"/>
  <c r="G27" i="32" s="1"/>
  <c r="G28" i="32"/>
  <c r="H28" i="32" a="1"/>
  <c r="H28" i="32" s="1"/>
  <c r="H45" i="32" a="1"/>
  <c r="H45" i="32" s="1"/>
  <c r="H38" i="32" a="1"/>
  <c r="H38" i="32" s="1"/>
  <c r="G45" i="32"/>
  <c r="G41" i="32"/>
  <c r="H43" i="32" a="1"/>
  <c r="H43" i="32" s="1"/>
  <c r="G43" i="32"/>
  <c r="F42" i="32" a="1"/>
  <c r="F42" i="32" s="1"/>
  <c r="G44" i="32"/>
  <c r="AK82" i="32"/>
  <c r="G32" i="32" s="1"/>
  <c r="AK76" i="32"/>
  <c r="H42" i="32" a="1"/>
  <c r="H42" i="32" s="1"/>
  <c r="H39" i="32" a="1"/>
  <c r="H39" i="32" s="1"/>
  <c r="G42" i="32"/>
  <c r="G38" i="32"/>
  <c r="H44" i="32" a="1"/>
  <c r="H44" i="32" s="1"/>
  <c r="G39" i="32"/>
  <c r="E42" i="32"/>
  <c r="F43" i="32" a="1"/>
  <c r="F43" i="32" s="1"/>
  <c r="F44" i="32" a="1"/>
  <c r="F44" i="32" s="1"/>
  <c r="F38" i="32" a="1"/>
  <c r="F38" i="32" s="1"/>
  <c r="F41" i="32" a="1"/>
  <c r="F41" i="32" s="1"/>
  <c r="F39" i="32" a="1"/>
  <c r="F39" i="32" s="1"/>
  <c r="H41" i="32" a="1"/>
  <c r="H41" i="32" s="1"/>
  <c r="H30" i="31" a="1"/>
  <c r="H30" i="31" s="1"/>
  <c r="G28" i="31"/>
  <c r="G39" i="31"/>
  <c r="H39" i="31" a="1"/>
  <c r="H39" i="31" s="1"/>
  <c r="G41" i="31"/>
  <c r="H26" i="31" a="1"/>
  <c r="H26" i="31" s="1"/>
  <c r="AK104" i="31"/>
  <c r="G54" i="31" s="1"/>
  <c r="G26" i="31"/>
  <c r="H54" i="31" a="1"/>
  <c r="H54" i="31" s="1"/>
  <c r="H53" i="31" a="1"/>
  <c r="H53" i="31" s="1"/>
  <c r="G52" i="31"/>
  <c r="H52" i="31" a="1"/>
  <c r="H52" i="31" s="1"/>
  <c r="AK75" i="31"/>
  <c r="G53" i="31"/>
  <c r="E26" i="31"/>
  <c r="E54" i="31"/>
  <c r="F53" i="31" a="1"/>
  <c r="F53" i="31" s="1"/>
  <c r="E52" i="31"/>
  <c r="AJ393" i="30"/>
  <c r="AK393" i="30" s="1"/>
  <c r="AL393" i="30"/>
  <c r="AM393" i="30"/>
  <c r="AM294" i="30"/>
  <c r="AM150" i="30"/>
  <c r="AM116" i="30"/>
  <c r="AK169" i="30"/>
  <c r="AK284" i="30"/>
  <c r="AK318" i="30"/>
  <c r="AK381" i="30"/>
  <c r="AM220" i="30"/>
  <c r="AK162" i="30"/>
  <c r="AK203" i="30"/>
  <c r="AK243" i="30"/>
  <c r="AK271" i="30"/>
  <c r="AM403" i="30"/>
  <c r="AK269" i="30"/>
  <c r="AK387" i="30"/>
  <c r="AK413" i="30"/>
  <c r="AK274" i="30"/>
  <c r="AK300" i="30"/>
  <c r="AK392" i="30"/>
  <c r="AK416" i="30"/>
  <c r="AK205" i="30"/>
  <c r="AK211" i="30"/>
  <c r="AK92" i="30"/>
  <c r="AK95" i="30"/>
  <c r="AJ402" i="30"/>
  <c r="AK402" i="30" s="1"/>
  <c r="AS412" i="30"/>
  <c r="AM402" i="30"/>
  <c r="AU412" i="30"/>
  <c r="AS411" i="30"/>
  <c r="AU411" i="30"/>
  <c r="AR427" i="30"/>
  <c r="AS427" i="30"/>
  <c r="AT427" i="30"/>
  <c r="AU393" i="30"/>
  <c r="AU381" i="30"/>
  <c r="AK380" i="30"/>
  <c r="AT385" i="30"/>
  <c r="AT381" i="30"/>
  <c r="AS384" i="30"/>
  <c r="AS393" i="30"/>
  <c r="AT393" i="30"/>
  <c r="AU385" i="30"/>
  <c r="AT384" i="30"/>
  <c r="AK391" i="30"/>
  <c r="AK353" i="30"/>
  <c r="AT326" i="30"/>
  <c r="AU326" i="30"/>
  <c r="AR326" i="30"/>
  <c r="AT328" i="30"/>
  <c r="AK343" i="30"/>
  <c r="AR358" i="30"/>
  <c r="AS358" i="30"/>
  <c r="AT358" i="30"/>
  <c r="AU340" i="30"/>
  <c r="AU288" i="30"/>
  <c r="AU295" i="30"/>
  <c r="AS308" i="30"/>
  <c r="AR305" i="30"/>
  <c r="AS319" i="30"/>
  <c r="AR320" i="30"/>
  <c r="AT319" i="30"/>
  <c r="AS320" i="30"/>
  <c r="AU319" i="30"/>
  <c r="AS303" i="30"/>
  <c r="AU320" i="30"/>
  <c r="AT303" i="30"/>
  <c r="AU303" i="30"/>
  <c r="AR311" i="30"/>
  <c r="AS310" i="30"/>
  <c r="AU311" i="30"/>
  <c r="AT295" i="30"/>
  <c r="AU306" i="30"/>
  <c r="AM322" i="30"/>
  <c r="AU284" i="30"/>
  <c r="AS256" i="30"/>
  <c r="AU286" i="30"/>
  <c r="AS255" i="30"/>
  <c r="AR260" i="30"/>
  <c r="AT255" i="30"/>
  <c r="AS260" i="30"/>
  <c r="AS286" i="30"/>
  <c r="AK258" i="30"/>
  <c r="AT256" i="30"/>
  <c r="AT260" i="30"/>
  <c r="AS284" i="30"/>
  <c r="AT284" i="30"/>
  <c r="AT286" i="30"/>
  <c r="AU256" i="30"/>
  <c r="AT261" i="30"/>
  <c r="AT217" i="30"/>
  <c r="AU229" i="30"/>
  <c r="AR217" i="30"/>
  <c r="AU217" i="30"/>
  <c r="AK246" i="30"/>
  <c r="AT216" i="30"/>
  <c r="AS229" i="30"/>
  <c r="AU216" i="30"/>
  <c r="AT190" i="30"/>
  <c r="AS206" i="30"/>
  <c r="AS200" i="30"/>
  <c r="AT202" i="30"/>
  <c r="AR205" i="30"/>
  <c r="AR200" i="30"/>
  <c r="AR201" i="30"/>
  <c r="AS202" i="30"/>
  <c r="AK198" i="30"/>
  <c r="AR202" i="30"/>
  <c r="AS201" i="30"/>
  <c r="AT201" i="30"/>
  <c r="AU188" i="30"/>
  <c r="AU190" i="30"/>
  <c r="AT194" i="30"/>
  <c r="AK207" i="30"/>
  <c r="AU200" i="30"/>
  <c r="AU194" i="30"/>
  <c r="AK173" i="30"/>
  <c r="AU145" i="30"/>
  <c r="AK165" i="30"/>
  <c r="AT178" i="30"/>
  <c r="AS167" i="30"/>
  <c r="AS144" i="30"/>
  <c r="AR144" i="30" s="1"/>
  <c r="AU178" i="30"/>
  <c r="AR153" i="30"/>
  <c r="AU127" i="30"/>
  <c r="AU126" i="30"/>
  <c r="AS138" i="30"/>
  <c r="AT138" i="30"/>
  <c r="AS140" i="30"/>
  <c r="AU122" i="30"/>
  <c r="AL113" i="30"/>
  <c r="AT114" i="30"/>
  <c r="AU114" i="30"/>
  <c r="AU138" i="30"/>
  <c r="AS114" i="30"/>
  <c r="AT127" i="30"/>
  <c r="AT140" i="30"/>
  <c r="AU115" i="30"/>
  <c r="AU85" i="30"/>
  <c r="AT104" i="30"/>
  <c r="AU104" i="30"/>
  <c r="AS96" i="30"/>
  <c r="AU96" i="30"/>
  <c r="AR88" i="30"/>
  <c r="AS88" i="30"/>
  <c r="AS104" i="30"/>
  <c r="AT96" i="30"/>
  <c r="AT88" i="30"/>
  <c r="AT80" i="30"/>
  <c r="AJ294" i="30"/>
  <c r="AK294" i="30" s="1"/>
  <c r="AM324" i="30"/>
  <c r="AM430" i="30"/>
  <c r="AK122" i="30"/>
  <c r="AL114" i="30"/>
  <c r="AM328" i="30"/>
  <c r="AM218" i="30"/>
  <c r="AM400" i="30"/>
  <c r="AM321" i="30"/>
  <c r="AM329" i="30"/>
  <c r="AJ114" i="30"/>
  <c r="AK114" i="30" s="1"/>
  <c r="AM289" i="30"/>
  <c r="AK132" i="30"/>
  <c r="AK235" i="30"/>
  <c r="AM250" i="30"/>
  <c r="AM358" i="30"/>
  <c r="AM182" i="30"/>
  <c r="AK374" i="30"/>
  <c r="AI430" i="30"/>
  <c r="AJ430" i="30"/>
  <c r="AK430" i="30" s="1"/>
  <c r="AK93" i="30"/>
  <c r="AK175" i="30"/>
  <c r="AK206" i="30"/>
  <c r="AK240" i="30"/>
  <c r="AK263" i="30"/>
  <c r="AJ288" i="30"/>
  <c r="AK288" i="30" s="1"/>
  <c r="N12" i="30" s="1"/>
  <c r="AJ322" i="30"/>
  <c r="AK322" i="30" s="1"/>
  <c r="AK345" i="30"/>
  <c r="AK386" i="30"/>
  <c r="AM429" i="30"/>
  <c r="AM217" i="30"/>
  <c r="AK306" i="30"/>
  <c r="AM78" i="30"/>
  <c r="I28" i="30" s="1" a="1"/>
  <c r="I28" i="30" s="1"/>
  <c r="AM286" i="30"/>
  <c r="AM326" i="30"/>
  <c r="AL430" i="30"/>
  <c r="AK86" i="30"/>
  <c r="AJ113" i="30"/>
  <c r="AK113" i="30" s="1"/>
  <c r="AL322" i="30"/>
  <c r="Z274" i="30"/>
  <c r="Z125" i="30"/>
  <c r="AL397" i="30"/>
  <c r="AJ397" i="30"/>
  <c r="AK397" i="30" s="1"/>
  <c r="AI397" i="30"/>
  <c r="AM397" i="30"/>
  <c r="AJ410" i="30"/>
  <c r="AK410" i="30" s="1"/>
  <c r="AI410" i="30"/>
  <c r="AL401" i="30"/>
  <c r="AJ401" i="30"/>
  <c r="AI401" i="30"/>
  <c r="AR429" i="30"/>
  <c r="AM398" i="30"/>
  <c r="AL398" i="30"/>
  <c r="AJ398" i="30"/>
  <c r="AK398" i="30" s="1"/>
  <c r="AI398" i="30"/>
  <c r="AL409" i="30"/>
  <c r="AJ409" i="30"/>
  <c r="AK409" i="30" s="1"/>
  <c r="AS400" i="30"/>
  <c r="AR400" i="30" s="1"/>
  <c r="AI403" i="30"/>
  <c r="AR416" i="30"/>
  <c r="AT400" i="30"/>
  <c r="AJ403" i="30"/>
  <c r="AK403" i="30" s="1"/>
  <c r="AR415" i="30"/>
  <c r="AS416" i="30"/>
  <c r="AL403" i="30"/>
  <c r="AS409" i="30"/>
  <c r="AR409" i="30" s="1"/>
  <c r="AS415" i="30"/>
  <c r="AT416" i="30"/>
  <c r="AR423" i="30"/>
  <c r="AT425" i="30"/>
  <c r="AT409" i="30"/>
  <c r="AT415" i="30"/>
  <c r="AS423" i="30"/>
  <c r="AU425" i="30"/>
  <c r="AU396" i="30"/>
  <c r="AI402" i="30"/>
  <c r="AT423" i="30"/>
  <c r="AK427" i="30"/>
  <c r="AJ399" i="30"/>
  <c r="AK399" i="30" s="1"/>
  <c r="AI400" i="30"/>
  <c r="AS404" i="30"/>
  <c r="Z409" i="30"/>
  <c r="AS419" i="30"/>
  <c r="AR420" i="30"/>
  <c r="AI429" i="30"/>
  <c r="AR428" i="30"/>
  <c r="AL399" i="30"/>
  <c r="AJ400" i="30"/>
  <c r="AK400" i="30" s="1"/>
  <c r="AT404" i="30"/>
  <c r="AI406" i="30"/>
  <c r="AT419" i="30"/>
  <c r="AS420" i="30"/>
  <c r="AJ429" i="30"/>
  <c r="AK429" i="30" s="1"/>
  <c r="AS425" i="30"/>
  <c r="AM399" i="30"/>
  <c r="AL400" i="30"/>
  <c r="AS403" i="30"/>
  <c r="AU404" i="30"/>
  <c r="AJ406" i="30"/>
  <c r="AK406" i="30" s="1"/>
  <c r="AS407" i="30"/>
  <c r="AU419" i="30"/>
  <c r="AT420" i="30"/>
  <c r="AL429" i="30"/>
  <c r="AT403" i="30"/>
  <c r="AR403" i="30" s="1"/>
  <c r="AT407" i="30"/>
  <c r="AR407" i="30" s="1"/>
  <c r="AR411" i="30"/>
  <c r="AR412" i="30"/>
  <c r="AO401" i="30"/>
  <c r="AN401" i="30" s="1"/>
  <c r="AG401" i="30" s="1"/>
  <c r="AM401" i="30" s="1"/>
  <c r="AT428" i="30"/>
  <c r="AU428" i="30"/>
  <c r="AL364" i="30"/>
  <c r="AI364" i="30"/>
  <c r="AJ364" i="30"/>
  <c r="AK364" i="30" s="1"/>
  <c r="AJ368" i="30"/>
  <c r="AK368" i="30" s="1"/>
  <c r="AI368" i="30"/>
  <c r="AL368" i="30"/>
  <c r="AL370" i="30"/>
  <c r="AJ370" i="30"/>
  <c r="AK370" i="30" s="1"/>
  <c r="AM370" i="30"/>
  <c r="AI370" i="30"/>
  <c r="AI361" i="30"/>
  <c r="AL361" i="30"/>
  <c r="AM361" i="30"/>
  <c r="AJ361" i="30"/>
  <c r="AK361" i="30" s="1"/>
  <c r="AJ378" i="30"/>
  <c r="AK378" i="30" s="1"/>
  <c r="AM378" i="30"/>
  <c r="AM363" i="30"/>
  <c r="AT391" i="30"/>
  <c r="AI367" i="30"/>
  <c r="AS369" i="30"/>
  <c r="AS370" i="30"/>
  <c r="AU391" i="30"/>
  <c r="AR364" i="30"/>
  <c r="AJ367" i="30"/>
  <c r="AK367" i="30" s="1"/>
  <c r="AT369" i="30"/>
  <c r="AR369" i="30" s="1"/>
  <c r="AI376" i="30"/>
  <c r="AT378" i="30"/>
  <c r="AR378" i="30" s="1"/>
  <c r="AR388" i="30"/>
  <c r="AS388" i="30"/>
  <c r="AT389" i="30"/>
  <c r="AM366" i="30"/>
  <c r="AT368" i="30"/>
  <c r="AK379" i="30"/>
  <c r="AT382" i="30"/>
  <c r="AJ394" i="30"/>
  <c r="AK394" i="30" s="1"/>
  <c r="AU362" i="30"/>
  <c r="AR367" i="30"/>
  <c r="AS372" i="30"/>
  <c r="AR372" i="30" s="1"/>
  <c r="AU382" i="30"/>
  <c r="AL394" i="30"/>
  <c r="AT372" i="30"/>
  <c r="AT376" i="30"/>
  <c r="AS381" i="30"/>
  <c r="AS385" i="30"/>
  <c r="AM394" i="30"/>
  <c r="AT371" i="30"/>
  <c r="AS391" i="30"/>
  <c r="AS392" i="30"/>
  <c r="AT392" i="30"/>
  <c r="AT370" i="30"/>
  <c r="AS389" i="30"/>
  <c r="AS363" i="30"/>
  <c r="AR363" i="30" s="1"/>
  <c r="AU369" i="30"/>
  <c r="AS373" i="30"/>
  <c r="AJ376" i="30"/>
  <c r="AK376" i="30" s="1"/>
  <c r="AU378" i="30"/>
  <c r="AT363" i="30"/>
  <c r="AI366" i="30"/>
  <c r="AT373" i="30"/>
  <c r="AI375" i="30"/>
  <c r="AT377" i="30"/>
  <c r="AU387" i="30"/>
  <c r="AT388" i="30"/>
  <c r="AU389" i="30"/>
  <c r="AS361" i="30"/>
  <c r="AR361" i="30" s="1"/>
  <c r="AR362" i="30"/>
  <c r="AJ366" i="30"/>
  <c r="AK366" i="30" s="1"/>
  <c r="AR368" i="30"/>
  <c r="AU373" i="30"/>
  <c r="AJ375" i="30"/>
  <c r="AK375" i="30" s="1"/>
  <c r="AU377" i="30"/>
  <c r="AR377" i="30" s="1"/>
  <c r="Y384" i="30"/>
  <c r="AT386" i="30"/>
  <c r="AT361" i="30"/>
  <c r="AS362" i="30"/>
  <c r="AS368" i="30"/>
  <c r="AS382" i="30"/>
  <c r="AU386" i="30"/>
  <c r="AU361" i="30"/>
  <c r="AT365" i="30"/>
  <c r="AR365" i="30" s="1"/>
  <c r="AU371" i="30"/>
  <c r="AL327" i="30"/>
  <c r="AJ327" i="30"/>
  <c r="AK327" i="30" s="1"/>
  <c r="AI327" i="30"/>
  <c r="AM327" i="30"/>
  <c r="AJ331" i="30"/>
  <c r="AK331" i="30" s="1"/>
  <c r="AL331" i="30"/>
  <c r="AM331" i="30"/>
  <c r="AL325" i="30"/>
  <c r="AJ325" i="30"/>
  <c r="AK325" i="30" s="1"/>
  <c r="AI325" i="30"/>
  <c r="AM325" i="30"/>
  <c r="AJ332" i="30"/>
  <c r="AK332" i="30" s="1"/>
  <c r="AI332" i="30"/>
  <c r="AL332" i="30"/>
  <c r="AL357" i="30"/>
  <c r="AJ357" i="30"/>
  <c r="AK357" i="30" s="1"/>
  <c r="AI357" i="30"/>
  <c r="AM357" i="30"/>
  <c r="AL356" i="30"/>
  <c r="AJ356" i="30"/>
  <c r="AK356" i="30" s="1"/>
  <c r="AI356" i="30"/>
  <c r="AM356" i="30"/>
  <c r="AU329" i="30"/>
  <c r="AR349" i="30"/>
  <c r="AR336" i="30"/>
  <c r="Z338" i="30"/>
  <c r="AR352" i="30"/>
  <c r="AT327" i="30"/>
  <c r="AS332" i="30"/>
  <c r="AR332" i="30" s="1"/>
  <c r="AR346" i="30"/>
  <c r="AT347" i="30"/>
  <c r="AT348" i="30"/>
  <c r="AU348" i="30"/>
  <c r="AU345" i="30"/>
  <c r="AU346" i="30"/>
  <c r="AT355" i="30"/>
  <c r="Z327" i="30"/>
  <c r="AT338" i="30"/>
  <c r="AI326" i="30"/>
  <c r="AU338" i="30"/>
  <c r="AI358" i="30"/>
  <c r="AJ326" i="30"/>
  <c r="AK326" i="30" s="1"/>
  <c r="AI329" i="30"/>
  <c r="AJ358" i="30"/>
  <c r="AK358" i="30" s="1"/>
  <c r="AL326" i="30"/>
  <c r="AJ328" i="30"/>
  <c r="AK328" i="30" s="1"/>
  <c r="AJ329" i="30"/>
  <c r="AK329" i="30" s="1"/>
  <c r="Z343" i="30"/>
  <c r="AL358" i="30"/>
  <c r="AL329" i="30"/>
  <c r="AT340" i="30"/>
  <c r="AS348" i="30"/>
  <c r="AT332" i="30"/>
  <c r="AT345" i="30"/>
  <c r="AT346" i="30"/>
  <c r="Y328" i="30"/>
  <c r="AR338" i="30"/>
  <c r="AL296" i="30"/>
  <c r="AI296" i="30"/>
  <c r="AM292" i="30"/>
  <c r="AL292" i="30"/>
  <c r="AJ292" i="30"/>
  <c r="AK292" i="30" s="1"/>
  <c r="AI292" i="30"/>
  <c r="AR304" i="30"/>
  <c r="AR317" i="30"/>
  <c r="AI290" i="30"/>
  <c r="AR292" i="30"/>
  <c r="AS316" i="30"/>
  <c r="AI289" i="30"/>
  <c r="AJ290" i="30"/>
  <c r="AK290" i="30" s="1"/>
  <c r="AR291" i="30"/>
  <c r="AS292" i="30"/>
  <c r="AJ289" i="30"/>
  <c r="AK289" i="30" s="1"/>
  <c r="AM290" i="30"/>
  <c r="AT292" i="30"/>
  <c r="AI294" i="30"/>
  <c r="AR295" i="30"/>
  <c r="AK305" i="30"/>
  <c r="AR298" i="30"/>
  <c r="AI321" i="30"/>
  <c r="AS298" i="30"/>
  <c r="AJ321" i="30"/>
  <c r="AK321" i="30" s="1"/>
  <c r="AU290" i="30"/>
  <c r="AT298" i="30"/>
  <c r="AL321" i="30"/>
  <c r="AO297" i="30"/>
  <c r="AN297" i="30" s="1"/>
  <c r="AG297" i="30" s="1"/>
  <c r="AR308" i="30"/>
  <c r="AT310" i="30"/>
  <c r="AS311" i="30"/>
  <c r="Z314" i="30"/>
  <c r="AP297" i="30"/>
  <c r="AH297" i="30" s="1"/>
  <c r="AI297" i="30" s="1"/>
  <c r="AT308" i="30"/>
  <c r="AL259" i="30"/>
  <c r="AM259" i="30"/>
  <c r="AJ259" i="30"/>
  <c r="AK259" i="30" s="1"/>
  <c r="AI259" i="30"/>
  <c r="AM285" i="30"/>
  <c r="AI285" i="30"/>
  <c r="AL285" i="30"/>
  <c r="AJ285" i="30"/>
  <c r="AK285" i="30" s="1"/>
  <c r="AI252" i="30"/>
  <c r="AJ252" i="30"/>
  <c r="AK252" i="30" s="1"/>
  <c r="N11" i="30" s="1"/>
  <c r="Y255" i="30"/>
  <c r="AS266" i="30"/>
  <c r="AR267" i="30"/>
  <c r="AR268" i="30"/>
  <c r="AT266" i="30"/>
  <c r="AS267" i="30"/>
  <c r="AS268" i="30"/>
  <c r="AR280" i="30"/>
  <c r="AL258" i="30"/>
  <c r="AR264" i="30"/>
  <c r="AU266" i="30"/>
  <c r="AT268" i="30"/>
  <c r="AS280" i="30"/>
  <c r="AR281" i="30"/>
  <c r="AM258" i="30"/>
  <c r="AT264" i="30"/>
  <c r="AU280" i="30"/>
  <c r="AU281" i="30"/>
  <c r="AU252" i="30"/>
  <c r="AR252" i="30" s="1"/>
  <c r="AR276" i="30"/>
  <c r="AJ254" i="30"/>
  <c r="AK254" i="30" s="1"/>
  <c r="AL255" i="30"/>
  <c r="AL256" i="30"/>
  <c r="AS276" i="30"/>
  <c r="AR277" i="30"/>
  <c r="AI286" i="30"/>
  <c r="AL254" i="30"/>
  <c r="AM255" i="30"/>
  <c r="AM256" i="30"/>
  <c r="AR258" i="30"/>
  <c r="AU276" i="30"/>
  <c r="AL286" i="30"/>
  <c r="AU257" i="30"/>
  <c r="AI258" i="30"/>
  <c r="AT267" i="30"/>
  <c r="AS252" i="30"/>
  <c r="AS264" i="30"/>
  <c r="AT281" i="30"/>
  <c r="AT252" i="30"/>
  <c r="AI255" i="30"/>
  <c r="AI256" i="30"/>
  <c r="Z280" i="30"/>
  <c r="AR275" i="30"/>
  <c r="AJ286" i="30"/>
  <c r="AK286" i="30" s="1"/>
  <c r="AM254" i="30"/>
  <c r="AR272" i="30"/>
  <c r="AS257" i="30"/>
  <c r="AR257" i="30" s="1"/>
  <c r="AR262" i="30"/>
  <c r="AS272" i="30"/>
  <c r="AK278" i="30"/>
  <c r="AT272" i="30"/>
  <c r="AR255" i="30"/>
  <c r="AS261" i="30"/>
  <c r="AM223" i="30"/>
  <c r="AL223" i="30"/>
  <c r="AJ223" i="30"/>
  <c r="AK223" i="30" s="1"/>
  <c r="AI223" i="30"/>
  <c r="AM221" i="30"/>
  <c r="AJ221" i="30"/>
  <c r="AK221" i="30" s="1"/>
  <c r="AL221" i="30"/>
  <c r="AI221" i="30"/>
  <c r="AT236" i="30"/>
  <c r="AT243" i="30"/>
  <c r="AL249" i="30"/>
  <c r="AS246" i="30"/>
  <c r="AS218" i="30"/>
  <c r="AR218" i="30" s="1"/>
  <c r="AJ220" i="30"/>
  <c r="AK220" i="30" s="1"/>
  <c r="AR240" i="30"/>
  <c r="AU246" i="30"/>
  <c r="AK249" i="30"/>
  <c r="AJ226" i="30"/>
  <c r="AK226" i="30" s="1"/>
  <c r="AU228" i="30"/>
  <c r="AR228" i="30" s="1"/>
  <c r="AU240" i="30"/>
  <c r="AU242" i="30"/>
  <c r="AS243" i="30"/>
  <c r="AI250" i="30"/>
  <c r="AS237" i="30"/>
  <c r="AU244" i="30"/>
  <c r="AJ250" i="30"/>
  <c r="AK250" i="30" s="1"/>
  <c r="AJ225" i="30"/>
  <c r="AK225" i="30" s="1"/>
  <c r="AU236" i="30"/>
  <c r="AT237" i="30"/>
  <c r="AM249" i="30"/>
  <c r="AL250" i="30"/>
  <c r="AI217" i="30"/>
  <c r="AJ217" i="30"/>
  <c r="AK217" i="30" s="1"/>
  <c r="AI218" i="30"/>
  <c r="AS221" i="30"/>
  <c r="AR221" i="30" s="1"/>
  <c r="AT248" i="30"/>
  <c r="AS249" i="30"/>
  <c r="H35" i="30" a="1"/>
  <c r="H35" i="30" s="1"/>
  <c r="AR216" i="30"/>
  <c r="AT225" i="30"/>
  <c r="AR225" i="30" s="1"/>
  <c r="AK234" i="30"/>
  <c r="AT249" i="30"/>
  <c r="AI220" i="30"/>
  <c r="AL220" i="30"/>
  <c r="AS223" i="30"/>
  <c r="AR223" i="30" s="1"/>
  <c r="AS228" i="30"/>
  <c r="AR239" i="30"/>
  <c r="AS240" i="30"/>
  <c r="AR241" i="30"/>
  <c r="AS242" i="30"/>
  <c r="AU223" i="30"/>
  <c r="AR236" i="30"/>
  <c r="AT241" i="30"/>
  <c r="AT242" i="30"/>
  <c r="AR243" i="30"/>
  <c r="AS244" i="30"/>
  <c r="AI249" i="30"/>
  <c r="AR237" i="30"/>
  <c r="AU241" i="30"/>
  <c r="AT244" i="30"/>
  <c r="AI225" i="30"/>
  <c r="AR234" i="30"/>
  <c r="Y243" i="30"/>
  <c r="AL217" i="30"/>
  <c r="AJ218" i="30"/>
  <c r="AK218" i="30" s="1"/>
  <c r="AT221" i="30"/>
  <c r="AI224" i="30"/>
  <c r="Y228" i="30"/>
  <c r="AL218" i="30"/>
  <c r="AJ224" i="30"/>
  <c r="AK224" i="30" s="1"/>
  <c r="Y221" i="30"/>
  <c r="AM224" i="30"/>
  <c r="AT226" i="30"/>
  <c r="AR226" i="30" s="1"/>
  <c r="AR249" i="30"/>
  <c r="I35" i="30" a="1"/>
  <c r="I35" i="30" s="1"/>
  <c r="AU225" i="30"/>
  <c r="AR229" i="30"/>
  <c r="AJ184" i="30"/>
  <c r="AK184" i="30" s="1"/>
  <c r="AR198" i="30"/>
  <c r="AI183" i="30"/>
  <c r="AS198" i="30"/>
  <c r="AR199" i="30"/>
  <c r="AR214" i="30"/>
  <c r="AJ181" i="30"/>
  <c r="AK181" i="30" s="1"/>
  <c r="AJ182" i="30"/>
  <c r="AK182" i="30" s="1"/>
  <c r="AJ183" i="30"/>
  <c r="AK183" i="30" s="1"/>
  <c r="AT198" i="30"/>
  <c r="AR212" i="30"/>
  <c r="AS214" i="30"/>
  <c r="AL181" i="30"/>
  <c r="AR188" i="30"/>
  <c r="AK204" i="30"/>
  <c r="AS212" i="30"/>
  <c r="AT214" i="30"/>
  <c r="AM181" i="30"/>
  <c r="AS188" i="30"/>
  <c r="AK190" i="30"/>
  <c r="AR194" i="30"/>
  <c r="AR210" i="30"/>
  <c r="AT212" i="30"/>
  <c r="AO187" i="30"/>
  <c r="AN187" i="30" s="1"/>
  <c r="AG187" i="30" s="1"/>
  <c r="AK187" i="30" s="1"/>
  <c r="AK200" i="30"/>
  <c r="AK201" i="30"/>
  <c r="AK202" i="30"/>
  <c r="AT180" i="30"/>
  <c r="AS182" i="30"/>
  <c r="AR182" i="30" s="1"/>
  <c r="AS183" i="30"/>
  <c r="AR183" i="30" s="1"/>
  <c r="Y185" i="30"/>
  <c r="AL186" i="30"/>
  <c r="AU187" i="30"/>
  <c r="AS180" i="30"/>
  <c r="AR180" i="30" s="1"/>
  <c r="AJ186" i="30"/>
  <c r="AK186" i="30" s="1"/>
  <c r="AS187" i="30"/>
  <c r="AU180" i="30"/>
  <c r="AS181" i="30"/>
  <c r="AT182" i="30"/>
  <c r="AU183" i="30"/>
  <c r="AR206" i="30"/>
  <c r="AT181" i="30"/>
  <c r="AR181" i="30" s="1"/>
  <c r="AT206" i="30"/>
  <c r="AR190" i="30"/>
  <c r="AK193" i="30"/>
  <c r="AR204" i="30"/>
  <c r="Z208" i="30"/>
  <c r="AU186" i="30"/>
  <c r="AR161" i="30"/>
  <c r="AR162" i="30"/>
  <c r="AT148" i="30"/>
  <c r="AR152" i="30"/>
  <c r="AR160" i="30"/>
  <c r="AT161" i="30"/>
  <c r="AU162" i="30"/>
  <c r="AT152" i="30"/>
  <c r="AR158" i="30"/>
  <c r="AT175" i="30"/>
  <c r="AR157" i="30"/>
  <c r="AM148" i="30"/>
  <c r="AU146" i="30"/>
  <c r="AR146" i="30" s="1"/>
  <c r="AJ148" i="30"/>
  <c r="AK148" i="30" s="1"/>
  <c r="AR166" i="30"/>
  <c r="AU170" i="30"/>
  <c r="AL150" i="30"/>
  <c r="AR156" i="30"/>
  <c r="AS158" i="30"/>
  <c r="AR172" i="30"/>
  <c r="AU175" i="30"/>
  <c r="AL148" i="30"/>
  <c r="AS150" i="30"/>
  <c r="AR150" i="30" s="1"/>
  <c r="AR154" i="30"/>
  <c r="AS166" i="30"/>
  <c r="AR167" i="30"/>
  <c r="Z170" i="30"/>
  <c r="AT156" i="30"/>
  <c r="AU158" i="30"/>
  <c r="AL178" i="30"/>
  <c r="AJ149" i="30"/>
  <c r="AK149" i="30" s="1"/>
  <c r="AU156" i="30"/>
  <c r="AS170" i="30"/>
  <c r="AM178" i="30"/>
  <c r="AR145" i="30"/>
  <c r="AT150" i="30"/>
  <c r="AS154" i="30"/>
  <c r="AT166" i="30"/>
  <c r="Z151" i="30"/>
  <c r="AS148" i="30"/>
  <c r="AS161" i="30"/>
  <c r="AS162" i="30"/>
  <c r="AR174" i="30"/>
  <c r="AS174" i="30"/>
  <c r="AR175" i="30"/>
  <c r="AT174" i="30"/>
  <c r="AU152" i="30"/>
  <c r="AJ178" i="30"/>
  <c r="AK178" i="30" s="1"/>
  <c r="AM149" i="30"/>
  <c r="AR170" i="30"/>
  <c r="AS146" i="30"/>
  <c r="AT145" i="30"/>
  <c r="AT154" i="30"/>
  <c r="AT167" i="30"/>
  <c r="AR178" i="30"/>
  <c r="AR148" i="30"/>
  <c r="AJ118" i="30"/>
  <c r="AK118" i="30" s="1"/>
  <c r="AM118" i="30"/>
  <c r="AL118" i="30"/>
  <c r="AI118" i="30"/>
  <c r="AM109" i="30"/>
  <c r="AL109" i="30"/>
  <c r="AJ109" i="30"/>
  <c r="AK109" i="30" s="1"/>
  <c r="AI109" i="30"/>
  <c r="AJ117" i="30"/>
  <c r="AK117" i="30" s="1"/>
  <c r="AI117" i="30"/>
  <c r="AR112" i="30"/>
  <c r="AS118" i="30"/>
  <c r="AR118" i="30" s="1"/>
  <c r="AR133" i="30"/>
  <c r="AT134" i="30"/>
  <c r="AL141" i="30"/>
  <c r="Y114" i="30"/>
  <c r="AT118" i="30"/>
  <c r="Y120" i="30"/>
  <c r="AR130" i="30"/>
  <c r="AU134" i="30"/>
  <c r="AM141" i="30"/>
  <c r="AU118" i="30"/>
  <c r="AS130" i="30"/>
  <c r="AR131" i="30"/>
  <c r="AS142" i="30"/>
  <c r="AR142" i="30" s="1"/>
  <c r="AL116" i="30"/>
  <c r="AS124" i="30"/>
  <c r="AR129" i="30"/>
  <c r="AT130" i="30"/>
  <c r="AS131" i="30"/>
  <c r="AT142" i="30"/>
  <c r="AK115" i="30"/>
  <c r="AR122" i="30"/>
  <c r="AT124" i="30"/>
  <c r="AR125" i="30"/>
  <c r="AR126" i="30"/>
  <c r="AT131" i="30"/>
  <c r="AK134" i="30"/>
  <c r="AS122" i="30"/>
  <c r="AR123" i="30"/>
  <c r="AS126" i="30"/>
  <c r="AR127" i="30"/>
  <c r="AR121" i="30"/>
  <c r="AR140" i="30"/>
  <c r="AU110" i="30"/>
  <c r="AS115" i="30"/>
  <c r="AR119" i="30"/>
  <c r="AK123" i="30"/>
  <c r="AK127" i="30"/>
  <c r="AS108" i="30"/>
  <c r="AR108" i="30" s="1"/>
  <c r="AR134" i="30"/>
  <c r="AI141" i="30"/>
  <c r="AT108" i="30"/>
  <c r="AR116" i="30"/>
  <c r="AM119" i="30"/>
  <c r="AR110" i="30"/>
  <c r="AU139" i="30"/>
  <c r="AS110" i="30"/>
  <c r="AM113" i="30"/>
  <c r="AU120" i="30"/>
  <c r="AR137" i="30"/>
  <c r="AR115" i="30"/>
  <c r="AK125" i="30"/>
  <c r="AK126" i="30"/>
  <c r="AS119" i="30"/>
  <c r="AK124" i="30"/>
  <c r="AK81" i="30"/>
  <c r="O31" i="30" s="1" a="1"/>
  <c r="O31" i="30" s="1"/>
  <c r="AL74" i="30"/>
  <c r="AM74" i="30"/>
  <c r="I24" i="30" s="1" a="1"/>
  <c r="I24" i="30" s="1"/>
  <c r="AJ74" i="30"/>
  <c r="AK74" i="30" s="1"/>
  <c r="O24" i="30" s="1" a="1"/>
  <c r="O24" i="30" s="1"/>
  <c r="AI74" i="30"/>
  <c r="L24" i="30" s="1" a="1"/>
  <c r="L24" i="30" s="1"/>
  <c r="AJ73" i="30"/>
  <c r="M23" i="30" s="1" a="1"/>
  <c r="M23" i="30" s="1"/>
  <c r="AI73" i="30"/>
  <c r="L23" i="30" s="1" a="1"/>
  <c r="L23" i="30" s="1"/>
  <c r="AL73" i="30"/>
  <c r="AT72" i="30"/>
  <c r="AR72" i="30" s="1"/>
  <c r="AS92" i="30"/>
  <c r="AU94" i="30"/>
  <c r="AI106" i="30"/>
  <c r="L56" i="30" s="1" a="1"/>
  <c r="L56" i="30" s="1"/>
  <c r="AL81" i="30"/>
  <c r="AR73" i="30"/>
  <c r="AU78" i="30"/>
  <c r="AM81" i="30"/>
  <c r="I31" i="30" s="1" a="1"/>
  <c r="I31" i="30" s="1"/>
  <c r="AS94" i="30"/>
  <c r="AS72" i="30"/>
  <c r="AS73" i="30"/>
  <c r="AR92" i="30"/>
  <c r="AT94" i="30"/>
  <c r="AU72" i="30"/>
  <c r="AU73" i="30"/>
  <c r="AT92" i="30"/>
  <c r="AJ106" i="30"/>
  <c r="AK106" i="30" s="1"/>
  <c r="O56" i="30" s="1" a="1"/>
  <c r="O56" i="30" s="1"/>
  <c r="AM82" i="30"/>
  <c r="I32" i="30" s="1" a="1"/>
  <c r="I32" i="30" s="1"/>
  <c r="AS80" i="30"/>
  <c r="AR80" i="30" s="1"/>
  <c r="AR100" i="30"/>
  <c r="AS81" i="30"/>
  <c r="AR81" i="30" s="1"/>
  <c r="AS100" i="30"/>
  <c r="AT81" i="30"/>
  <c r="AS89" i="30"/>
  <c r="AT100" i="30"/>
  <c r="AT89" i="30"/>
  <c r="AS76" i="30"/>
  <c r="AU89" i="30"/>
  <c r="AT76" i="30"/>
  <c r="AR84" i="30"/>
  <c r="AS105" i="30"/>
  <c r="AR105" i="30" s="1"/>
  <c r="AS84" i="30"/>
  <c r="AR85" i="30"/>
  <c r="AK100" i="30"/>
  <c r="AT105" i="30"/>
  <c r="AT84" i="30"/>
  <c r="AS85" i="30"/>
  <c r="AK88" i="30"/>
  <c r="AK101" i="30"/>
  <c r="AU105" i="30"/>
  <c r="AI81" i="30"/>
  <c r="L31" i="30" s="1" a="1"/>
  <c r="L31" i="30" s="1"/>
  <c r="AJ82" i="30"/>
  <c r="M32" i="30" s="1" a="1"/>
  <c r="M32" i="30" s="1"/>
  <c r="AK89" i="30"/>
  <c r="AS78" i="30"/>
  <c r="AR78" i="30" s="1"/>
  <c r="AL82" i="30"/>
  <c r="H44" i="30" a="1"/>
  <c r="H44" i="30" s="1"/>
  <c r="D44" i="30" a="1"/>
  <c r="D44" i="30" s="1"/>
  <c r="G44" i="30"/>
  <c r="F44" i="30" a="1"/>
  <c r="F44" i="30" s="1"/>
  <c r="E44" i="30"/>
  <c r="Y237" i="30"/>
  <c r="Z278" i="30"/>
  <c r="Y335" i="30"/>
  <c r="AK354" i="30"/>
  <c r="Y211" i="30"/>
  <c r="Y213" i="30"/>
  <c r="Y225" i="30"/>
  <c r="Y233" i="30"/>
  <c r="Y238" i="30"/>
  <c r="Y241" i="30"/>
  <c r="Z305" i="30"/>
  <c r="Z306" i="30"/>
  <c r="Z307" i="30"/>
  <c r="Z309" i="30"/>
  <c r="AI324" i="30"/>
  <c r="Z346" i="30"/>
  <c r="Y348" i="30"/>
  <c r="Y351" i="30"/>
  <c r="Y377" i="30"/>
  <c r="AK384" i="30"/>
  <c r="Y246" i="30"/>
  <c r="Y300" i="30"/>
  <c r="AJ324" i="30"/>
  <c r="AK324" i="30" s="1"/>
  <c r="N13" i="30" s="1"/>
  <c r="Z366" i="30"/>
  <c r="Z84" i="30"/>
  <c r="AK112" i="30"/>
  <c r="AM216" i="30"/>
  <c r="Y242" i="30"/>
  <c r="AK282" i="30"/>
  <c r="AL324" i="30"/>
  <c r="O13" i="30" s="1"/>
  <c r="Y376" i="30"/>
  <c r="AK389" i="30"/>
  <c r="AK102" i="30"/>
  <c r="Z129" i="30"/>
  <c r="Y204" i="30"/>
  <c r="Y205" i="30"/>
  <c r="Y206" i="30"/>
  <c r="Z223" i="30"/>
  <c r="Y256" i="30"/>
  <c r="Z381" i="30"/>
  <c r="I51" i="30" a="1"/>
  <c r="I51" i="30" s="1"/>
  <c r="Z123" i="30"/>
  <c r="AK131" i="30"/>
  <c r="AK163" i="30"/>
  <c r="Y201" i="30"/>
  <c r="AK209" i="30"/>
  <c r="AK238" i="30"/>
  <c r="AK245" i="30"/>
  <c r="Z254" i="30"/>
  <c r="AK255" i="30"/>
  <c r="AK346" i="30"/>
  <c r="AK348" i="30"/>
  <c r="Y249" i="30"/>
  <c r="Y152" i="30"/>
  <c r="Y220" i="30"/>
  <c r="Z289" i="30"/>
  <c r="Y290" i="30"/>
  <c r="AJ396" i="30"/>
  <c r="AK396" i="30" s="1"/>
  <c r="N15" i="30" s="1"/>
  <c r="Z234" i="30"/>
  <c r="Z119" i="30"/>
  <c r="AK308" i="30"/>
  <c r="C45" i="30" a="1"/>
  <c r="C45" i="30" s="1"/>
  <c r="Z172" i="30"/>
  <c r="Y222" i="30"/>
  <c r="AK417" i="30"/>
  <c r="Z313" i="30"/>
  <c r="AK87" i="30"/>
  <c r="AK320" i="30"/>
  <c r="AK342" i="30"/>
  <c r="Z219" i="30"/>
  <c r="Z340" i="30"/>
  <c r="Y400" i="30"/>
  <c r="Y102" i="30"/>
  <c r="Y81" i="30"/>
  <c r="AK172" i="30"/>
  <c r="AK197" i="30"/>
  <c r="Z253" i="30"/>
  <c r="AK262" i="30"/>
  <c r="Z284" i="30"/>
  <c r="AK362" i="30"/>
  <c r="Y363" i="30"/>
  <c r="Y374" i="30"/>
  <c r="Z235" i="30"/>
  <c r="Y90" i="30"/>
  <c r="AK351" i="30"/>
  <c r="Y92" i="30"/>
  <c r="AK121" i="30"/>
  <c r="AK128" i="30"/>
  <c r="AK139" i="30"/>
  <c r="AK170" i="30"/>
  <c r="AK194" i="30"/>
  <c r="AK266" i="30"/>
  <c r="AK267" i="30"/>
  <c r="AK268" i="30"/>
  <c r="Y294" i="30"/>
  <c r="Y325" i="30"/>
  <c r="AK330" i="30"/>
  <c r="AK420" i="30"/>
  <c r="C48" i="30" a="1"/>
  <c r="C48" i="30" s="1"/>
  <c r="G48" i="30"/>
  <c r="F48" i="30" a="1"/>
  <c r="F48" i="30" s="1"/>
  <c r="D40" i="30" a="1"/>
  <c r="D40" i="30" s="1"/>
  <c r="AK408" i="30"/>
  <c r="AL78" i="30"/>
  <c r="AM114" i="30"/>
  <c r="AM153" i="30"/>
  <c r="AL153" i="30"/>
  <c r="AJ153" i="30"/>
  <c r="AK153" i="30" s="1"/>
  <c r="AI153" i="30"/>
  <c r="Y160" i="30"/>
  <c r="Z164" i="30"/>
  <c r="Y164" i="30"/>
  <c r="AM219" i="30"/>
  <c r="AI232" i="30"/>
  <c r="Z266" i="30"/>
  <c r="Y270" i="30"/>
  <c r="AK277" i="30"/>
  <c r="Y291" i="30"/>
  <c r="Z291" i="30"/>
  <c r="AJ293" i="30"/>
  <c r="AK293" i="30" s="1"/>
  <c r="AM293" i="30"/>
  <c r="AL293" i="30"/>
  <c r="AL363" i="30"/>
  <c r="AJ407" i="30"/>
  <c r="AK407" i="30" s="1"/>
  <c r="AM407" i="30"/>
  <c r="AM418" i="30"/>
  <c r="Y425" i="30"/>
  <c r="G36" i="30"/>
  <c r="E36" i="30"/>
  <c r="Y156" i="30"/>
  <c r="Y162" i="30"/>
  <c r="Z197" i="30"/>
  <c r="Y197" i="30"/>
  <c r="Z199" i="30"/>
  <c r="AK213" i="30"/>
  <c r="Z265" i="30"/>
  <c r="Z268" i="30"/>
  <c r="AK272" i="30"/>
  <c r="AI293" i="30"/>
  <c r="AK334" i="30"/>
  <c r="AI407" i="30"/>
  <c r="AJ415" i="30"/>
  <c r="AK415" i="30" s="1"/>
  <c r="AI415" i="30"/>
  <c r="Z428" i="30"/>
  <c r="F36" i="30" a="1"/>
  <c r="F36" i="30" s="1"/>
  <c r="Y112" i="30"/>
  <c r="Y131" i="30"/>
  <c r="Y133" i="30"/>
  <c r="AM146" i="30"/>
  <c r="AL146" i="30"/>
  <c r="AJ146" i="30"/>
  <c r="AK146" i="30" s="1"/>
  <c r="AM152" i="30"/>
  <c r="AL152" i="30"/>
  <c r="AJ152" i="30"/>
  <c r="AK152" i="30" s="1"/>
  <c r="Z159" i="30"/>
  <c r="Y159" i="30"/>
  <c r="AI188" i="30"/>
  <c r="AI189" i="30"/>
  <c r="Z231" i="30"/>
  <c r="AI301" i="30"/>
  <c r="AM301" i="30"/>
  <c r="AL301" i="30"/>
  <c r="AI334" i="30"/>
  <c r="AM338" i="30"/>
  <c r="AK338" i="30"/>
  <c r="AM364" i="30"/>
  <c r="AL371" i="30"/>
  <c r="AJ371" i="30"/>
  <c r="AK371" i="30" s="1"/>
  <c r="AM371" i="30"/>
  <c r="AI371" i="30"/>
  <c r="AL407" i="30"/>
  <c r="AL415" i="30"/>
  <c r="H36" i="30" a="1"/>
  <c r="H36" i="30" s="1"/>
  <c r="AI76" i="30"/>
  <c r="L26" i="30" s="1" a="1"/>
  <c r="L26" i="30" s="1"/>
  <c r="AM76" i="30"/>
  <c r="I26" i="30" s="1" a="1"/>
  <c r="I26" i="30" s="1"/>
  <c r="AL77" i="30"/>
  <c r="AM77" i="30"/>
  <c r="I27" i="30" s="1" a="1"/>
  <c r="I27" i="30" s="1"/>
  <c r="AM115" i="30"/>
  <c r="AI146" i="30"/>
  <c r="AI152" i="30"/>
  <c r="Z186" i="30"/>
  <c r="AJ188" i="30"/>
  <c r="AK188" i="30" s="1"/>
  <c r="AL189" i="30"/>
  <c r="AK208" i="30"/>
  <c r="AM264" i="30"/>
  <c r="AM291" i="30"/>
  <c r="AJ291" i="30"/>
  <c r="AK291" i="30" s="1"/>
  <c r="AL291" i="30"/>
  <c r="AI291" i="30"/>
  <c r="AJ301" i="30"/>
  <c r="AK301" i="30" s="1"/>
  <c r="AL334" i="30"/>
  <c r="AM406" i="30"/>
  <c r="Z412" i="30"/>
  <c r="AM415" i="30"/>
  <c r="AM416" i="30"/>
  <c r="AJ76" i="30"/>
  <c r="M26" i="30" s="1" a="1"/>
  <c r="M26" i="30" s="1"/>
  <c r="AI77" i="30"/>
  <c r="L27" i="30" s="1" a="1"/>
  <c r="L27" i="30" s="1"/>
  <c r="Y128" i="30"/>
  <c r="AK129" i="30"/>
  <c r="AK136" i="30"/>
  <c r="AK150" i="30"/>
  <c r="AI187" i="30"/>
  <c r="AM188" i="30"/>
  <c r="AM189" i="30"/>
  <c r="AK231" i="30"/>
  <c r="AM231" i="30"/>
  <c r="AI264" i="30"/>
  <c r="Y333" i="30"/>
  <c r="AM334" i="30"/>
  <c r="Z386" i="30"/>
  <c r="Y386" i="30"/>
  <c r="C26" i="30" a="1"/>
  <c r="C26" i="30" s="1"/>
  <c r="Y73" i="30"/>
  <c r="Z74" i="30"/>
  <c r="AJ77" i="30"/>
  <c r="AK77" i="30" s="1"/>
  <c r="O27" i="30" s="1" a="1"/>
  <c r="O27" i="30" s="1"/>
  <c r="AJ83" i="30"/>
  <c r="AK83" i="30" s="1"/>
  <c r="O33" i="30" s="1" a="1"/>
  <c r="O33" i="30" s="1"/>
  <c r="AM83" i="30"/>
  <c r="I33" i="30" s="1" a="1"/>
  <c r="I33" i="30" s="1"/>
  <c r="AL83" i="30"/>
  <c r="Z106" i="30"/>
  <c r="AK133" i="30"/>
  <c r="AM145" i="30"/>
  <c r="AL145" i="30"/>
  <c r="AJ145" i="30"/>
  <c r="AK145" i="30" s="1"/>
  <c r="AM151" i="30"/>
  <c r="AL151" i="30"/>
  <c r="AJ151" i="30"/>
  <c r="AK151" i="30" s="1"/>
  <c r="AM186" i="30"/>
  <c r="AL187" i="30"/>
  <c r="AJ264" i="30"/>
  <c r="AK264" i="30" s="1"/>
  <c r="Y357" i="30"/>
  <c r="AJ382" i="30"/>
  <c r="AK382" i="30" s="1"/>
  <c r="AI382" i="30"/>
  <c r="AM383" i="30"/>
  <c r="C44" i="30" a="1"/>
  <c r="C44" i="30" s="1"/>
  <c r="AL76" i="30"/>
  <c r="AI83" i="30"/>
  <c r="L33" i="30" s="1" a="1"/>
  <c r="L33" i="30" s="1"/>
  <c r="AK97" i="30"/>
  <c r="AK104" i="30"/>
  <c r="Y105" i="30"/>
  <c r="AI121" i="30"/>
  <c r="AI145" i="30"/>
  <c r="AI151" i="30"/>
  <c r="AL264" i="30"/>
  <c r="AM332" i="30"/>
  <c r="Z367" i="30"/>
  <c r="Y367" i="30"/>
  <c r="AL382" i="30"/>
  <c r="Z137" i="30"/>
  <c r="Y137" i="30"/>
  <c r="Y318" i="30"/>
  <c r="Z318" i="30"/>
  <c r="AI79" i="30"/>
  <c r="L29" i="30" s="1" a="1"/>
  <c r="L29" i="30" s="1"/>
  <c r="AJ79" i="30"/>
  <c r="M29" i="30" s="1" a="1"/>
  <c r="M29" i="30" s="1"/>
  <c r="Y169" i="30"/>
  <c r="AI219" i="30"/>
  <c r="AM222" i="30"/>
  <c r="Y317" i="30"/>
  <c r="Z317" i="30"/>
  <c r="Z399" i="30"/>
  <c r="Y399" i="30"/>
  <c r="AL79" i="30"/>
  <c r="AK232" i="30"/>
  <c r="Z273" i="30"/>
  <c r="Y339" i="30"/>
  <c r="AL365" i="30"/>
  <c r="AL404" i="30"/>
  <c r="AM404" i="30"/>
  <c r="AJ404" i="30"/>
  <c r="AK404" i="30" s="1"/>
  <c r="AI404" i="30"/>
  <c r="Y415" i="30"/>
  <c r="Y165" i="30"/>
  <c r="AL219" i="30"/>
  <c r="AK241" i="30"/>
  <c r="AM340" i="30"/>
  <c r="AI340" i="30"/>
  <c r="AL340" i="30"/>
  <c r="AJ340" i="30"/>
  <c r="AK340" i="30" s="1"/>
  <c r="Y347" i="30"/>
  <c r="Z347" i="30"/>
  <c r="AI363" i="30"/>
  <c r="AJ363" i="30"/>
  <c r="AK363" i="30" s="1"/>
  <c r="AM365" i="30"/>
  <c r="Y371" i="30"/>
  <c r="Y161" i="30"/>
  <c r="AM295" i="30"/>
  <c r="AI295" i="30"/>
  <c r="Y356" i="30"/>
  <c r="Z356" i="30"/>
  <c r="AI119" i="30"/>
  <c r="Z192" i="30"/>
  <c r="Y192" i="30"/>
  <c r="AI257" i="30"/>
  <c r="AJ295" i="30"/>
  <c r="AK295" i="30" s="1"/>
  <c r="AL80" i="30"/>
  <c r="AM80" i="30"/>
  <c r="I30" i="30" s="1" a="1"/>
  <c r="I30" i="30" s="1"/>
  <c r="AJ80" i="30"/>
  <c r="AK80" i="30" s="1"/>
  <c r="O30" i="30" s="1" a="1"/>
  <c r="O30" i="30" s="1"/>
  <c r="AI80" i="30"/>
  <c r="L30" i="30" s="1" a="1"/>
  <c r="L30" i="30" s="1"/>
  <c r="AK103" i="30"/>
  <c r="AI105" i="30"/>
  <c r="L55" i="30" s="1" a="1"/>
  <c r="L55" i="30" s="1"/>
  <c r="AM105" i="30"/>
  <c r="I55" i="30" s="1" a="1"/>
  <c r="I55" i="30" s="1"/>
  <c r="AJ119" i="30"/>
  <c r="AK119" i="30" s="1"/>
  <c r="AJ120" i="30"/>
  <c r="AK120" i="30" s="1"/>
  <c r="Y178" i="30"/>
  <c r="Y181" i="30"/>
  <c r="Z248" i="30"/>
  <c r="AM253" i="30"/>
  <c r="AJ257" i="30"/>
  <c r="AK257" i="30" s="1"/>
  <c r="AL295" i="30"/>
  <c r="Y331" i="30"/>
  <c r="AK341" i="30"/>
  <c r="AM373" i="30"/>
  <c r="AL373" i="30"/>
  <c r="AI374" i="30"/>
  <c r="C28" i="30" a="1"/>
  <c r="C28" i="30" s="1"/>
  <c r="C50" i="30" a="1"/>
  <c r="C50" i="30" s="1"/>
  <c r="H50" i="30" a="1"/>
  <c r="H50" i="30" s="1"/>
  <c r="AJ105" i="30"/>
  <c r="AK105" i="30" s="1"/>
  <c r="O55" i="30" s="1" a="1"/>
  <c r="O55" i="30" s="1"/>
  <c r="AI111" i="30"/>
  <c r="AL111" i="30"/>
  <c r="AJ111" i="30"/>
  <c r="AK111" i="30" s="1"/>
  <c r="AL119" i="30"/>
  <c r="AM120" i="30"/>
  <c r="AM142" i="30"/>
  <c r="AJ142" i="30"/>
  <c r="AK142" i="30" s="1"/>
  <c r="AJ155" i="30"/>
  <c r="AK155" i="30" s="1"/>
  <c r="AM155" i="30"/>
  <c r="AL155" i="30"/>
  <c r="AI155" i="30"/>
  <c r="Y174" i="30"/>
  <c r="AM180" i="30"/>
  <c r="AL180" i="30"/>
  <c r="O9" i="30" s="1"/>
  <c r="Z184" i="30"/>
  <c r="Z210" i="30"/>
  <c r="Y210" i="30"/>
  <c r="AI253" i="30"/>
  <c r="AM257" i="30"/>
  <c r="Y298" i="30"/>
  <c r="AL299" i="30"/>
  <c r="AM299" i="30"/>
  <c r="AJ299" i="30"/>
  <c r="AK299" i="30" s="1"/>
  <c r="AI299" i="30"/>
  <c r="Z302" i="30"/>
  <c r="AI303" i="30"/>
  <c r="AI373" i="30"/>
  <c r="AL374" i="30"/>
  <c r="AM154" i="30"/>
  <c r="AL154" i="30"/>
  <c r="AJ154" i="30"/>
  <c r="AK154" i="30" s="1"/>
  <c r="AJ110" i="30"/>
  <c r="AK110" i="30" s="1"/>
  <c r="AM110" i="30"/>
  <c r="AL110" i="30"/>
  <c r="AI110" i="30"/>
  <c r="AI154" i="30"/>
  <c r="Z166" i="30"/>
  <c r="AM298" i="30"/>
  <c r="AL298" i="30"/>
  <c r="AJ298" i="30"/>
  <c r="AK298" i="30" s="1"/>
  <c r="AI298" i="30"/>
  <c r="AJ365" i="30"/>
  <c r="AK365" i="30" s="1"/>
  <c r="AJ78" i="30"/>
  <c r="M28" i="30" s="1" a="1"/>
  <c r="M28" i="30" s="1"/>
  <c r="AI78" i="30"/>
  <c r="L28" i="30" s="1" a="1"/>
  <c r="L28" i="30" s="1"/>
  <c r="Y171" i="30"/>
  <c r="AI222" i="30"/>
  <c r="AJ418" i="30"/>
  <c r="AK418" i="30" s="1"/>
  <c r="AI418" i="30"/>
  <c r="AM79" i="30"/>
  <c r="I29" i="30" s="1" a="1"/>
  <c r="I29" i="30" s="1"/>
  <c r="Y115" i="30"/>
  <c r="Z124" i="30"/>
  <c r="Y124" i="30"/>
  <c r="Y200" i="30"/>
  <c r="Z200" i="30"/>
  <c r="AK210" i="30"/>
  <c r="AK214" i="30"/>
  <c r="AJ222" i="30"/>
  <c r="AK222" i="30" s="1"/>
  <c r="AM232" i="30"/>
  <c r="AL232" i="30"/>
  <c r="Z301" i="30"/>
  <c r="Z387" i="30"/>
  <c r="Y387" i="30"/>
  <c r="Z401" i="30"/>
  <c r="Y401" i="30"/>
  <c r="AM408" i="30"/>
  <c r="AI408" i="30"/>
  <c r="AL408" i="30"/>
  <c r="AM73" i="30"/>
  <c r="I23" i="30" s="1" a="1"/>
  <c r="I23" i="30" s="1"/>
  <c r="AM106" i="30"/>
  <c r="I56" i="30" s="1" a="1"/>
  <c r="I56" i="30" s="1"/>
  <c r="AM333" i="30"/>
  <c r="AJ333" i="30"/>
  <c r="AK333" i="30" s="1"/>
  <c r="AL333" i="30"/>
  <c r="AI120" i="30"/>
  <c r="Z217" i="30"/>
  <c r="Y217" i="30"/>
  <c r="Y355" i="30"/>
  <c r="G35" i="30"/>
  <c r="G50" i="30"/>
  <c r="AL105" i="30"/>
  <c r="AM111" i="30"/>
  <c r="AL117" i="30"/>
  <c r="AM117" i="30"/>
  <c r="AI142" i="30"/>
  <c r="Y173" i="30"/>
  <c r="Y177" i="30"/>
  <c r="AI180" i="30"/>
  <c r="AK219" i="30"/>
  <c r="AL230" i="30"/>
  <c r="AM230" i="30"/>
  <c r="AJ230" i="30"/>
  <c r="AK230" i="30" s="1"/>
  <c r="AI230" i="30"/>
  <c r="Y247" i="30"/>
  <c r="AK248" i="30"/>
  <c r="Z250" i="30"/>
  <c r="AJ253" i="30"/>
  <c r="AK253" i="30" s="1"/>
  <c r="AJ303" i="30"/>
  <c r="AK303" i="30" s="1"/>
  <c r="AK319" i="30"/>
  <c r="Y321" i="30"/>
  <c r="Z321" i="30"/>
  <c r="AI341" i="30"/>
  <c r="AJ373" i="30"/>
  <c r="AK373" i="30" s="1"/>
  <c r="AM374" i="30"/>
  <c r="AM385" i="30"/>
  <c r="AL385" i="30"/>
  <c r="AJ385" i="30"/>
  <c r="AK385" i="30" s="1"/>
  <c r="AI385" i="30"/>
  <c r="Z391" i="30"/>
  <c r="AJ405" i="30"/>
  <c r="AK405" i="30" s="1"/>
  <c r="AI405" i="30"/>
  <c r="AM405" i="30"/>
  <c r="AL405" i="30"/>
  <c r="AK85" i="30"/>
  <c r="AK161" i="30"/>
  <c r="AK167" i="30"/>
  <c r="AM185" i="30"/>
  <c r="AJ185" i="30"/>
  <c r="AK185" i="30" s="1"/>
  <c r="AM300" i="30"/>
  <c r="AK317" i="30"/>
  <c r="AM372" i="30"/>
  <c r="AL372" i="30"/>
  <c r="AJ372" i="30"/>
  <c r="AK372" i="30" s="1"/>
  <c r="AI372" i="30"/>
  <c r="AM379" i="30"/>
  <c r="AK414" i="30"/>
  <c r="AM414" i="30"/>
  <c r="AK424" i="30"/>
  <c r="A42" i="30"/>
  <c r="C42" i="30" a="1"/>
  <c r="C42" i="30" s="1"/>
  <c r="AL72" i="30"/>
  <c r="O6" i="30" s="1"/>
  <c r="C12" i="30" s="1" a="1"/>
  <c r="C12" i="30" s="1"/>
  <c r="AI72" i="30"/>
  <c r="L22" i="30" s="1" a="1"/>
  <c r="L22" i="30" s="1"/>
  <c r="Y110" i="30"/>
  <c r="AI115" i="30"/>
  <c r="AJ116" i="30"/>
  <c r="AK116" i="30" s="1"/>
  <c r="Y147" i="30"/>
  <c r="AI150" i="30"/>
  <c r="Y155" i="30"/>
  <c r="AK156" i="30"/>
  <c r="Y163" i="30"/>
  <c r="AI185" i="30"/>
  <c r="AI231" i="30"/>
  <c r="Z330" i="30"/>
  <c r="Y330" i="30"/>
  <c r="Y336" i="30"/>
  <c r="AK337" i="30"/>
  <c r="AI338" i="30"/>
  <c r="Y369" i="30"/>
  <c r="Z369" i="30"/>
  <c r="AK388" i="30"/>
  <c r="AK390" i="30"/>
  <c r="Z411" i="30"/>
  <c r="G42" i="30"/>
  <c r="AM72" i="30"/>
  <c r="I22" i="30" s="1" a="1"/>
  <c r="I22" i="30" s="1"/>
  <c r="AK99" i="30"/>
  <c r="AL115" i="30"/>
  <c r="AI148" i="30"/>
  <c r="AI149" i="30"/>
  <c r="AI182" i="30"/>
  <c r="AL182" i="30"/>
  <c r="AM184" i="30"/>
  <c r="AI184" i="30"/>
  <c r="AL185" i="30"/>
  <c r="Z227" i="30"/>
  <c r="Y229" i="30"/>
  <c r="Z260" i="30"/>
  <c r="Y260" i="30"/>
  <c r="AL262" i="30"/>
  <c r="AM262" i="30"/>
  <c r="Z297" i="30"/>
  <c r="AI331" i="30"/>
  <c r="Z345" i="30"/>
  <c r="Y353" i="30"/>
  <c r="Z368" i="30"/>
  <c r="Y368" i="30"/>
  <c r="AI378" i="30"/>
  <c r="AL378" i="30"/>
  <c r="AM228" i="30"/>
  <c r="Y236" i="30"/>
  <c r="Z236" i="30"/>
  <c r="AL261" i="30"/>
  <c r="AJ261" i="30"/>
  <c r="AK261" i="30" s="1"/>
  <c r="Z311" i="30"/>
  <c r="Y311" i="30"/>
  <c r="AM368" i="30"/>
  <c r="AM369" i="30"/>
  <c r="AL369" i="30"/>
  <c r="AI377" i="30"/>
  <c r="AJ377" i="30"/>
  <c r="AK377" i="30" s="1"/>
  <c r="AM411" i="30"/>
  <c r="AL411" i="30"/>
  <c r="AJ411" i="30"/>
  <c r="AK411" i="30" s="1"/>
  <c r="AI411" i="30"/>
  <c r="AK98" i="30"/>
  <c r="AM112" i="30"/>
  <c r="AM147" i="30"/>
  <c r="AM183" i="30"/>
  <c r="AM227" i="30"/>
  <c r="AI228" i="30"/>
  <c r="AM229" i="30"/>
  <c r="AJ229" i="30"/>
  <c r="AK229" i="30" s="1"/>
  <c r="Y259" i="30"/>
  <c r="AM260" i="30"/>
  <c r="AJ260" i="30"/>
  <c r="AK260" i="30" s="1"/>
  <c r="AI261" i="30"/>
  <c r="Y295" i="30"/>
  <c r="AK313" i="30"/>
  <c r="AK314" i="30"/>
  <c r="AI330" i="30"/>
  <c r="AK335" i="30"/>
  <c r="AI369" i="30"/>
  <c r="AL377" i="30"/>
  <c r="AI386" i="30"/>
  <c r="AK421" i="30"/>
  <c r="I47" i="30" a="1"/>
  <c r="I47" i="30" s="1"/>
  <c r="F47" i="30" a="1"/>
  <c r="F47" i="30" s="1"/>
  <c r="H47" i="30" a="1"/>
  <c r="H47" i="30" s="1"/>
  <c r="AK138" i="30"/>
  <c r="Y139" i="30"/>
  <c r="Y141" i="30"/>
  <c r="AI147" i="30"/>
  <c r="Y214" i="30"/>
  <c r="Z214" i="30"/>
  <c r="Y224" i="30"/>
  <c r="AM226" i="30"/>
  <c r="AI227" i="30"/>
  <c r="AJ228" i="30"/>
  <c r="AK228" i="30" s="1"/>
  <c r="AI229" i="30"/>
  <c r="AI260" i="30"/>
  <c r="AM261" i="30"/>
  <c r="AK279" i="30"/>
  <c r="Z304" i="30"/>
  <c r="AL330" i="30"/>
  <c r="AI336" i="30"/>
  <c r="AK347" i="30"/>
  <c r="AK349" i="30"/>
  <c r="Z361" i="30"/>
  <c r="Z365" i="30"/>
  <c r="Y365" i="30"/>
  <c r="AJ369" i="30"/>
  <c r="AK369" i="30" s="1"/>
  <c r="AM377" i="30"/>
  <c r="AL384" i="30"/>
  <c r="AM384" i="30"/>
  <c r="AL386" i="30"/>
  <c r="Z121" i="30"/>
  <c r="Z130" i="30"/>
  <c r="Y136" i="30"/>
  <c r="AK140" i="30"/>
  <c r="AJ147" i="30"/>
  <c r="AK147" i="30" s="1"/>
  <c r="AK189" i="30"/>
  <c r="AM225" i="30"/>
  <c r="AI226" i="30"/>
  <c r="AJ227" i="30"/>
  <c r="AK227" i="30" s="1"/>
  <c r="AL228" i="30"/>
  <c r="AL229" i="30"/>
  <c r="AK256" i="30"/>
  <c r="Y257" i="30"/>
  <c r="Y258" i="30"/>
  <c r="AL260" i="30"/>
  <c r="Z277" i="30"/>
  <c r="AK283" i="30"/>
  <c r="AM296" i="30"/>
  <c r="AJ296" i="30"/>
  <c r="AK296" i="30" s="1"/>
  <c r="AL328" i="30"/>
  <c r="AI328" i="30"/>
  <c r="AM330" i="30"/>
  <c r="AI335" i="30"/>
  <c r="AJ336" i="30"/>
  <c r="AK336" i="30" s="1"/>
  <c r="Z362" i="30"/>
  <c r="AM367" i="30"/>
  <c r="AM375" i="30"/>
  <c r="Z383" i="30"/>
  <c r="AI384" i="30"/>
  <c r="AM386" i="30"/>
  <c r="Y407" i="30"/>
  <c r="Z407" i="30"/>
  <c r="AK419" i="30"/>
  <c r="AK412" i="30"/>
  <c r="AK96" i="30"/>
  <c r="AK135" i="30"/>
  <c r="AK137" i="30"/>
  <c r="AK157" i="30"/>
  <c r="AK159" i="30"/>
  <c r="AK164" i="30"/>
  <c r="AK196" i="30"/>
  <c r="AM263" i="30"/>
  <c r="Y293" i="30"/>
  <c r="Z293" i="30"/>
  <c r="AK316" i="30"/>
  <c r="AK350" i="30"/>
  <c r="Y379" i="30"/>
  <c r="AJ383" i="30"/>
  <c r="AK383" i="30" s="1"/>
  <c r="AM409" i="30"/>
  <c r="AI409" i="30"/>
  <c r="AM410" i="30"/>
  <c r="AL410" i="30"/>
  <c r="Y420" i="30"/>
  <c r="AM190" i="30"/>
  <c r="AK302" i="30"/>
  <c r="AK312" i="30"/>
  <c r="AK339" i="30"/>
  <c r="AM376" i="30"/>
  <c r="AK84" i="30"/>
  <c r="AK90" i="30"/>
  <c r="AK141" i="30"/>
  <c r="AK247" i="30"/>
  <c r="AK422" i="30"/>
  <c r="AK423" i="30"/>
  <c r="AK426" i="30"/>
  <c r="AK428" i="30"/>
  <c r="AK75" i="30"/>
  <c r="AK280" i="30"/>
  <c r="AK344" i="30"/>
  <c r="AK355" i="30"/>
  <c r="I38" i="30" a="1"/>
  <c r="I38" i="30" s="1"/>
  <c r="F38" i="30" a="1"/>
  <c r="F38" i="30" s="1"/>
  <c r="E38" i="30"/>
  <c r="D38" i="30" a="1"/>
  <c r="D38" i="30" s="1"/>
  <c r="H38" i="30" a="1"/>
  <c r="H38" i="30" s="1"/>
  <c r="G38" i="30"/>
  <c r="C38" i="30" a="1"/>
  <c r="C38" i="30" s="1"/>
  <c r="A38" i="30"/>
  <c r="Y145" i="30"/>
  <c r="E49" i="30"/>
  <c r="D49" i="30" a="1"/>
  <c r="D49" i="30" s="1"/>
  <c r="I49" i="30" a="1"/>
  <c r="I49" i="30" s="1"/>
  <c r="H49" i="30" a="1"/>
  <c r="H49" i="30" s="1"/>
  <c r="G49" i="30"/>
  <c r="F49" i="30" a="1"/>
  <c r="F49" i="30" s="1"/>
  <c r="C49" i="30" a="1"/>
  <c r="C49" i="30" s="1"/>
  <c r="A49" i="30"/>
  <c r="D22" i="30" a="1"/>
  <c r="D22" i="30" s="1"/>
  <c r="A22" i="30"/>
  <c r="B17" i="30"/>
  <c r="E43" i="30"/>
  <c r="D43" i="30" a="1"/>
  <c r="D43" i="30" s="1"/>
  <c r="C43" i="30" a="1"/>
  <c r="C43" i="30" s="1"/>
  <c r="A43" i="30"/>
  <c r="I43" i="30" a="1"/>
  <c r="I43" i="30" s="1"/>
  <c r="H43" i="30" a="1"/>
  <c r="H43" i="30" s="1"/>
  <c r="F43" i="30" a="1"/>
  <c r="F43" i="30" s="1"/>
  <c r="G43" i="30"/>
  <c r="C22" i="30" a="1"/>
  <c r="C22" i="30" s="1"/>
  <c r="I54" i="30" a="1"/>
  <c r="I54" i="30" s="1"/>
  <c r="F54" i="30" a="1"/>
  <c r="F54" i="30" s="1"/>
  <c r="E54" i="30"/>
  <c r="D54" i="30" a="1"/>
  <c r="D54" i="30" s="1"/>
  <c r="H54" i="30" a="1"/>
  <c r="H54" i="30" s="1"/>
  <c r="G54" i="30"/>
  <c r="C54" i="30" a="1"/>
  <c r="C54" i="30" s="1"/>
  <c r="A54" i="30"/>
  <c r="Z85" i="30"/>
  <c r="Y85" i="30"/>
  <c r="Z188" i="30"/>
  <c r="Y188" i="30"/>
  <c r="Z83" i="30"/>
  <c r="Y83" i="30"/>
  <c r="Y187" i="30"/>
  <c r="Z187" i="30"/>
  <c r="AU299" i="30"/>
  <c r="AT299" i="30"/>
  <c r="AS299" i="30"/>
  <c r="Y182" i="30"/>
  <c r="AR299" i="30"/>
  <c r="D33" i="30" a="1"/>
  <c r="D33" i="30" s="1"/>
  <c r="C33" i="30" a="1"/>
  <c r="C33" i="30" s="1"/>
  <c r="A33" i="30"/>
  <c r="AM252" i="30"/>
  <c r="AT293" i="30"/>
  <c r="AS293" i="30"/>
  <c r="AU293" i="30"/>
  <c r="AR293" i="30"/>
  <c r="Z426" i="30"/>
  <c r="Y426" i="30"/>
  <c r="Z292" i="30"/>
  <c r="Y292" i="30"/>
  <c r="I34" i="30" a="1"/>
  <c r="I34" i="30" s="1"/>
  <c r="F34" i="30" a="1"/>
  <c r="F34" i="30" s="1"/>
  <c r="E34" i="30"/>
  <c r="D34" i="30" a="1"/>
  <c r="D34" i="30" s="1"/>
  <c r="A34" i="30"/>
  <c r="C34" i="30" a="1"/>
  <c r="C34" i="30" s="1"/>
  <c r="E41" i="30"/>
  <c r="D41" i="30" a="1"/>
  <c r="D41" i="30" s="1"/>
  <c r="I41" i="30" a="1"/>
  <c r="I41" i="30" s="1"/>
  <c r="H41" i="30" a="1"/>
  <c r="H41" i="30" s="1"/>
  <c r="G41" i="30"/>
  <c r="F41" i="30" a="1"/>
  <c r="F41" i="30" s="1"/>
  <c r="C41" i="30" a="1"/>
  <c r="C41" i="30" s="1"/>
  <c r="A41" i="30"/>
  <c r="Z398" i="30"/>
  <c r="Y398" i="30"/>
  <c r="D30" i="30" a="1"/>
  <c r="D30" i="30" s="1"/>
  <c r="C30" i="30" a="1"/>
  <c r="C30" i="30" s="1"/>
  <c r="G34" i="30"/>
  <c r="AT147" i="30"/>
  <c r="AS147" i="30"/>
  <c r="AR147" i="30"/>
  <c r="H34" i="30" a="1"/>
  <c r="H34" i="30" s="1"/>
  <c r="E37" i="30"/>
  <c r="D37" i="30" a="1"/>
  <c r="D37" i="30" s="1"/>
  <c r="I37" i="30" a="1"/>
  <c r="I37" i="30" s="1"/>
  <c r="H37" i="30" a="1"/>
  <c r="H37" i="30" s="1"/>
  <c r="G37" i="30"/>
  <c r="C37" i="30" a="1"/>
  <c r="C37" i="30" s="1"/>
  <c r="A37" i="30"/>
  <c r="F37" i="30" a="1"/>
  <c r="F37" i="30" s="1"/>
  <c r="AU147" i="30"/>
  <c r="AR196" i="30"/>
  <c r="AU196" i="30"/>
  <c r="AS196" i="30"/>
  <c r="AT196" i="30"/>
  <c r="AU87" i="30"/>
  <c r="AT87" i="30"/>
  <c r="AS87" i="30"/>
  <c r="AR87" i="30"/>
  <c r="Z140" i="30"/>
  <c r="Y140" i="30"/>
  <c r="AU192" i="30"/>
  <c r="AT192" i="30"/>
  <c r="AS192" i="30"/>
  <c r="AR192" i="30"/>
  <c r="I52" i="30" a="1"/>
  <c r="I52" i="30" s="1"/>
  <c r="A52" i="30"/>
  <c r="H52" i="30" a="1"/>
  <c r="H52" i="30" s="1"/>
  <c r="G52" i="30"/>
  <c r="F52" i="30" a="1"/>
  <c r="F52" i="30" s="1"/>
  <c r="E52" i="30"/>
  <c r="D52" i="30" a="1"/>
  <c r="D52" i="30" s="1"/>
  <c r="C52" i="30" a="1"/>
  <c r="C52" i="30" s="1"/>
  <c r="AT191" i="30"/>
  <c r="AU191" i="30"/>
  <c r="AS191" i="30"/>
  <c r="AU337" i="30"/>
  <c r="AT337" i="30"/>
  <c r="AS337" i="30"/>
  <c r="AR337" i="30"/>
  <c r="E25" i="30"/>
  <c r="D25" i="30" a="1"/>
  <c r="D25" i="30" s="1"/>
  <c r="H25" i="30" a="1"/>
  <c r="H25" i="30" s="1"/>
  <c r="I25" i="30" a="1"/>
  <c r="I25" i="30" s="1"/>
  <c r="G25" i="30"/>
  <c r="A25" i="30"/>
  <c r="F25" i="30" a="1"/>
  <c r="F25" i="30" s="1"/>
  <c r="E53" i="30"/>
  <c r="D53" i="30" a="1"/>
  <c r="D53" i="30" s="1"/>
  <c r="I53" i="30" a="1"/>
  <c r="I53" i="30" s="1"/>
  <c r="H53" i="30" a="1"/>
  <c r="H53" i="30" s="1"/>
  <c r="G53" i="30"/>
  <c r="C53" i="30" a="1"/>
  <c r="C53" i="30" s="1"/>
  <c r="A53" i="30"/>
  <c r="AU86" i="30"/>
  <c r="AT86" i="30"/>
  <c r="AS86" i="30"/>
  <c r="AR86" i="30"/>
  <c r="D27" i="30" a="1"/>
  <c r="D27" i="30" s="1"/>
  <c r="C27" i="30" a="1"/>
  <c r="C27" i="30" s="1"/>
  <c r="A27" i="30"/>
  <c r="D29" i="30" a="1"/>
  <c r="D29" i="30" s="1"/>
  <c r="C29" i="30" a="1"/>
  <c r="C29" i="30" s="1"/>
  <c r="AU75" i="30"/>
  <c r="AT75" i="30"/>
  <c r="AU79" i="30"/>
  <c r="AT79" i="30"/>
  <c r="AS79" i="30"/>
  <c r="AR79" i="30" s="1"/>
  <c r="AT102" i="30"/>
  <c r="Y154" i="30"/>
  <c r="AU213" i="30"/>
  <c r="AT213" i="30"/>
  <c r="AU245" i="30"/>
  <c r="AT245" i="30"/>
  <c r="AR245" i="30"/>
  <c r="AS245" i="30"/>
  <c r="AU91" i="30"/>
  <c r="AT91" i="30"/>
  <c r="AR91" i="30"/>
  <c r="AS91" i="30"/>
  <c r="AU322" i="30"/>
  <c r="AT322" i="30"/>
  <c r="AS322" i="30"/>
  <c r="AR322" i="30" s="1"/>
  <c r="AS330" i="30"/>
  <c r="AR330" i="30"/>
  <c r="AU342" i="30"/>
  <c r="AT342" i="30"/>
  <c r="AS342" i="30"/>
  <c r="AT417" i="30"/>
  <c r="AU417" i="30"/>
  <c r="AS417" i="30"/>
  <c r="AR417" i="30"/>
  <c r="Z430" i="30"/>
  <c r="Y430" i="30"/>
  <c r="A24" i="30"/>
  <c r="E45" i="30"/>
  <c r="D45" i="30" a="1"/>
  <c r="D45" i="30" s="1"/>
  <c r="I45" i="30" a="1"/>
  <c r="I45" i="30" s="1"/>
  <c r="H45" i="30" a="1"/>
  <c r="H45" i="30" s="1"/>
  <c r="G45" i="30"/>
  <c r="A45" i="30"/>
  <c r="AM144" i="30"/>
  <c r="AL144" i="30"/>
  <c r="O8" i="30" s="1"/>
  <c r="Z146" i="30"/>
  <c r="Y148" i="30"/>
  <c r="Z148" i="30"/>
  <c r="Y190" i="30"/>
  <c r="AU232" i="30"/>
  <c r="AT232" i="30"/>
  <c r="AT233" i="30"/>
  <c r="AU233" i="30"/>
  <c r="AS233" i="30"/>
  <c r="AR233" i="30"/>
  <c r="Y281" i="30"/>
  <c r="Z282" i="30"/>
  <c r="Y282" i="30"/>
  <c r="AU300" i="30"/>
  <c r="AT300" i="30"/>
  <c r="AR300" i="30"/>
  <c r="AS300" i="30"/>
  <c r="Y319" i="30"/>
  <c r="AT330" i="30"/>
  <c r="AS331" i="30"/>
  <c r="AR331" i="30" s="1"/>
  <c r="AU331" i="30"/>
  <c r="AT331" i="30"/>
  <c r="AU334" i="30"/>
  <c r="AT334" i="30"/>
  <c r="AS334" i="30"/>
  <c r="AR334" i="30" s="1"/>
  <c r="AS339" i="30"/>
  <c r="AR339" i="30"/>
  <c r="AU339" i="30"/>
  <c r="AR341" i="30"/>
  <c r="AR342" i="30"/>
  <c r="C24" i="30" a="1"/>
  <c r="C24" i="30" s="1"/>
  <c r="E39" i="30"/>
  <c r="D39" i="30" a="1"/>
  <c r="D39" i="30" s="1"/>
  <c r="C39" i="30" a="1"/>
  <c r="C39" i="30" s="1"/>
  <c r="A39" i="30"/>
  <c r="I39" i="30" a="1"/>
  <c r="I39" i="30" s="1"/>
  <c r="H39" i="30" a="1"/>
  <c r="H39" i="30" s="1"/>
  <c r="G39" i="30"/>
  <c r="D55" i="30" a="1"/>
  <c r="D55" i="30" s="1"/>
  <c r="C55" i="30" a="1"/>
  <c r="C55" i="30" s="1"/>
  <c r="A55" i="30"/>
  <c r="AU90" i="30"/>
  <c r="AS90" i="30"/>
  <c r="AT90" i="30"/>
  <c r="AU109" i="30"/>
  <c r="AT109" i="30"/>
  <c r="AI144" i="30"/>
  <c r="Z189" i="30"/>
  <c r="Y189" i="30"/>
  <c r="Y195" i="30"/>
  <c r="Y226" i="30"/>
  <c r="AS230" i="30"/>
  <c r="AT231" i="30"/>
  <c r="AS231" i="30"/>
  <c r="AR232" i="30"/>
  <c r="Y261" i="30"/>
  <c r="Y267" i="30"/>
  <c r="Z285" i="30"/>
  <c r="Y286" i="30"/>
  <c r="AT321" i="30"/>
  <c r="AS321" i="30"/>
  <c r="AU321" i="30"/>
  <c r="AU330" i="30"/>
  <c r="AR333" i="30"/>
  <c r="AT339" i="30"/>
  <c r="AS341" i="30"/>
  <c r="Z358" i="30"/>
  <c r="Y358" i="30"/>
  <c r="AT379" i="30"/>
  <c r="AU379" i="30"/>
  <c r="AS379" i="30"/>
  <c r="AR379" i="30"/>
  <c r="AU383" i="30"/>
  <c r="AT383" i="30"/>
  <c r="AS383" i="30"/>
  <c r="AU394" i="30"/>
  <c r="AT394" i="30"/>
  <c r="Y86" i="30"/>
  <c r="AR90" i="30"/>
  <c r="Y96" i="30"/>
  <c r="AR97" i="30"/>
  <c r="Y100" i="30"/>
  <c r="AJ144" i="30"/>
  <c r="AK144" i="30" s="1"/>
  <c r="N8" i="30" s="1"/>
  <c r="Y167" i="30"/>
  <c r="AR168" i="30"/>
  <c r="AU169" i="30"/>
  <c r="AT169" i="30"/>
  <c r="AR169" i="30"/>
  <c r="AT230" i="30"/>
  <c r="AR231" i="30"/>
  <c r="AS232" i="30"/>
  <c r="Y299" i="30"/>
  <c r="Z316" i="30"/>
  <c r="AR321" i="30"/>
  <c r="AS333" i="30"/>
  <c r="AT341" i="30"/>
  <c r="AU374" i="30"/>
  <c r="AT374" i="30"/>
  <c r="AS374" i="30"/>
  <c r="AR374" i="30" s="1"/>
  <c r="AU390" i="30"/>
  <c r="AT390" i="30"/>
  <c r="AR394" i="30"/>
  <c r="Z414" i="30"/>
  <c r="Y414" i="30"/>
  <c r="Z416" i="30"/>
  <c r="Y416" i="30"/>
  <c r="D24" i="30" a="1"/>
  <c r="D24" i="30" s="1"/>
  <c r="Y89" i="30"/>
  <c r="AS97" i="30"/>
  <c r="Z99" i="30"/>
  <c r="Y99" i="30"/>
  <c r="AR101" i="30"/>
  <c r="AS109" i="30"/>
  <c r="AR109" i="30" s="1"/>
  <c r="AS168" i="30"/>
  <c r="AS169" i="30"/>
  <c r="AU230" i="30"/>
  <c r="AU231" i="30"/>
  <c r="Z308" i="30"/>
  <c r="Y315" i="30"/>
  <c r="Y320" i="30"/>
  <c r="Y329" i="30"/>
  <c r="Y332" i="30"/>
  <c r="AU333" i="30"/>
  <c r="Z337" i="30"/>
  <c r="Y337" i="30"/>
  <c r="Y370" i="30"/>
  <c r="Y382" i="30"/>
  <c r="AR390" i="30"/>
  <c r="AS394" i="30"/>
  <c r="Z421" i="30"/>
  <c r="Y421" i="30"/>
  <c r="A32" i="30"/>
  <c r="Z95" i="30"/>
  <c r="Y95" i="30"/>
  <c r="AT97" i="30"/>
  <c r="AS101" i="30"/>
  <c r="AT168" i="30"/>
  <c r="AU171" i="30"/>
  <c r="AT171" i="30"/>
  <c r="AS171" i="30"/>
  <c r="AR203" i="30"/>
  <c r="Y230" i="30"/>
  <c r="Y310" i="30"/>
  <c r="Z341" i="30"/>
  <c r="Y341" i="30"/>
  <c r="Y372" i="30"/>
  <c r="Z378" i="30"/>
  <c r="Y378" i="30"/>
  <c r="AS390" i="30"/>
  <c r="C32" i="30" a="1"/>
  <c r="C32" i="30" s="1"/>
  <c r="I40" i="30" a="1"/>
  <c r="I40" i="30" s="1"/>
  <c r="A40" i="30"/>
  <c r="H40" i="30" a="1"/>
  <c r="H40" i="30" s="1"/>
  <c r="G40" i="30"/>
  <c r="Y97" i="30"/>
  <c r="AT101" i="30"/>
  <c r="AU128" i="30"/>
  <c r="AS128" i="30"/>
  <c r="AT128" i="30"/>
  <c r="Y168" i="30"/>
  <c r="AR171" i="30"/>
  <c r="AT176" i="30"/>
  <c r="AU176" i="30"/>
  <c r="AS176" i="30"/>
  <c r="Y202" i="30"/>
  <c r="AS203" i="30"/>
  <c r="Z239" i="30"/>
  <c r="Y239" i="30"/>
  <c r="Z240" i="30"/>
  <c r="Y240" i="30"/>
  <c r="Z352" i="30"/>
  <c r="Y352" i="30"/>
  <c r="AI360" i="30"/>
  <c r="AJ360" i="30"/>
  <c r="AK360" i="30" s="1"/>
  <c r="N14" i="30" s="1"/>
  <c r="AM360" i="30"/>
  <c r="AL360" i="30"/>
  <c r="O14" i="30" s="1"/>
  <c r="Y373" i="30"/>
  <c r="Y101" i="30"/>
  <c r="AR102" i="30"/>
  <c r="AU103" i="30"/>
  <c r="AT103" i="30"/>
  <c r="AS103" i="30"/>
  <c r="AU117" i="30"/>
  <c r="AT117" i="30"/>
  <c r="AS117" i="30"/>
  <c r="AR117" i="30" s="1"/>
  <c r="AR128" i="30"/>
  <c r="AR176" i="30"/>
  <c r="AT203" i="30"/>
  <c r="AT207" i="30"/>
  <c r="AU207" i="30"/>
  <c r="AS207" i="30"/>
  <c r="AR207" i="30"/>
  <c r="AU360" i="30"/>
  <c r="AT360" i="30"/>
  <c r="Y388" i="30"/>
  <c r="D26" i="30" a="1"/>
  <c r="D26" i="30" s="1"/>
  <c r="A26" i="30"/>
  <c r="D32" i="30" a="1"/>
  <c r="D32" i="30" s="1"/>
  <c r="I46" i="30" a="1"/>
  <c r="I46" i="30" s="1"/>
  <c r="F46" i="30" a="1"/>
  <c r="F46" i="30" s="1"/>
  <c r="E46" i="30"/>
  <c r="D46" i="30" a="1"/>
  <c r="D46" i="30" s="1"/>
  <c r="H46" i="30" a="1"/>
  <c r="H46" i="30" s="1"/>
  <c r="G46" i="30"/>
  <c r="C46" i="30" a="1"/>
  <c r="C46" i="30" s="1"/>
  <c r="I48" i="30" a="1"/>
  <c r="I48" i="30" s="1"/>
  <c r="A48" i="30"/>
  <c r="H48" i="30" a="1"/>
  <c r="H48" i="30" s="1"/>
  <c r="AS102" i="30"/>
  <c r="AR103" i="30"/>
  <c r="AT116" i="30"/>
  <c r="AU116" i="30"/>
  <c r="Y127" i="30"/>
  <c r="Y153" i="30"/>
  <c r="AU155" i="30"/>
  <c r="AS155" i="30"/>
  <c r="Z203" i="30"/>
  <c r="Y203" i="30"/>
  <c r="AS360" i="30"/>
  <c r="AR360" i="30" s="1"/>
  <c r="Y389" i="30"/>
  <c r="AS74" i="30"/>
  <c r="AR74" i="30" s="1"/>
  <c r="AS116" i="30"/>
  <c r="AU132" i="30"/>
  <c r="AT132" i="30"/>
  <c r="AT155" i="30"/>
  <c r="E40" i="30"/>
  <c r="D48" i="30" a="1"/>
  <c r="D48" i="30" s="1"/>
  <c r="AJ72" i="30"/>
  <c r="AK72" i="30" s="1"/>
  <c r="N6" i="30" s="1"/>
  <c r="B12" i="30" s="1" a="1"/>
  <c r="B12" i="30" s="1"/>
  <c r="N38" i="30" s="1" a="1"/>
  <c r="N38" i="30" s="1"/>
  <c r="AT74" i="30"/>
  <c r="AS75" i="30"/>
  <c r="AR132" i="30"/>
  <c r="Y212" i="30"/>
  <c r="AS213" i="30"/>
  <c r="AT218" i="30"/>
  <c r="AU218" i="30"/>
  <c r="AT219" i="30"/>
  <c r="AU219" i="30"/>
  <c r="AS219" i="30"/>
  <c r="AR219" i="30" s="1"/>
  <c r="AR383" i="30"/>
  <c r="E35" i="30"/>
  <c r="D35" i="30" a="1"/>
  <c r="D35" i="30" s="1"/>
  <c r="C35" i="30" a="1"/>
  <c r="C35" i="30" s="1"/>
  <c r="A35" i="30"/>
  <c r="F40" i="30" a="1"/>
  <c r="F40" i="30" s="1"/>
  <c r="E51" i="30"/>
  <c r="D51" i="30" a="1"/>
  <c r="D51" i="30" s="1"/>
  <c r="C51" i="30" a="1"/>
  <c r="C51" i="30" s="1"/>
  <c r="A51" i="30"/>
  <c r="H51" i="30" a="1"/>
  <c r="H51" i="30" s="1"/>
  <c r="G51" i="30"/>
  <c r="F51" i="30" a="1"/>
  <c r="F51" i="30" s="1"/>
  <c r="AJ108" i="30"/>
  <c r="AK108" i="30" s="1"/>
  <c r="N7" i="30" s="1"/>
  <c r="AI108" i="30"/>
  <c r="AM108" i="30"/>
  <c r="Z116" i="30"/>
  <c r="Y116" i="30"/>
  <c r="AS120" i="30"/>
  <c r="AR120" i="30" s="1"/>
  <c r="AS132" i="30"/>
  <c r="AU149" i="30"/>
  <c r="AT149" i="30"/>
  <c r="AR149" i="30" s="1"/>
  <c r="AU159" i="30"/>
  <c r="AT159" i="30"/>
  <c r="AR159" i="30"/>
  <c r="AS159" i="30"/>
  <c r="Y244" i="30"/>
  <c r="Z244" i="30"/>
  <c r="AU263" i="30"/>
  <c r="AT263" i="30"/>
  <c r="AS263" i="30"/>
  <c r="C40" i="30" a="1"/>
  <c r="C40" i="30" s="1"/>
  <c r="A28" i="30"/>
  <c r="D28" i="30" a="1"/>
  <c r="D28" i="30" s="1"/>
  <c r="I42" i="30" a="1"/>
  <c r="I42" i="30" s="1"/>
  <c r="F42" i="30" a="1"/>
  <c r="F42" i="30" s="1"/>
  <c r="E42" i="30"/>
  <c r="D42" i="30" a="1"/>
  <c r="D42" i="30" s="1"/>
  <c r="E48" i="30"/>
  <c r="I50" i="30" a="1"/>
  <c r="I50" i="30" s="1"/>
  <c r="F50" i="30" a="1"/>
  <c r="F50" i="30" s="1"/>
  <c r="E50" i="30"/>
  <c r="D50" i="30" a="1"/>
  <c r="D50" i="30" s="1"/>
  <c r="A50" i="30"/>
  <c r="Z76" i="30"/>
  <c r="Y76" i="30"/>
  <c r="AT184" i="30"/>
  <c r="AU184" i="30"/>
  <c r="AS184" i="30"/>
  <c r="AR184" i="30" s="1"/>
  <c r="AU189" i="30"/>
  <c r="AT189" i="30"/>
  <c r="AR189" i="30"/>
  <c r="AU262" i="30"/>
  <c r="AT262" i="30"/>
  <c r="AT294" i="30"/>
  <c r="AU294" i="30"/>
  <c r="AS294" i="30"/>
  <c r="AR294" i="30"/>
  <c r="Y78" i="30"/>
  <c r="Y132" i="30"/>
  <c r="Y158" i="30"/>
  <c r="Y175" i="30"/>
  <c r="AR197" i="30"/>
  <c r="AR211" i="30"/>
  <c r="Y218" i="30"/>
  <c r="AU220" i="30"/>
  <c r="AS220" i="30"/>
  <c r="AR220" i="30" s="1"/>
  <c r="AR269" i="30"/>
  <c r="A56" i="30"/>
  <c r="Z75" i="30"/>
  <c r="Y75" i="30"/>
  <c r="AU111" i="30"/>
  <c r="AT111" i="30"/>
  <c r="AU135" i="30"/>
  <c r="AT135" i="30"/>
  <c r="AS135" i="30"/>
  <c r="AR135" i="30"/>
  <c r="I36" i="30" a="1"/>
  <c r="I36" i="30" s="1"/>
  <c r="A36" i="30"/>
  <c r="C56" i="30" a="1"/>
  <c r="C56" i="30" s="1"/>
  <c r="D23" i="30" a="1"/>
  <c r="D23" i="30" s="1"/>
  <c r="C23" i="30" a="1"/>
  <c r="C23" i="30" s="1"/>
  <c r="A23" i="30"/>
  <c r="C36" i="30" a="1"/>
  <c r="C36" i="30" s="1"/>
  <c r="AU95" i="30"/>
  <c r="AT95" i="30"/>
  <c r="Z109" i="30"/>
  <c r="Y109" i="30"/>
  <c r="AS111" i="30"/>
  <c r="AR111" i="30" s="1"/>
  <c r="AS197" i="30"/>
  <c r="AS211" i="30"/>
  <c r="AU247" i="30"/>
  <c r="AS247" i="30"/>
  <c r="AS269" i="30"/>
  <c r="AT301" i="30"/>
  <c r="AS301" i="30"/>
  <c r="AU301" i="30"/>
  <c r="AT302" i="30"/>
  <c r="AS302" i="30"/>
  <c r="AR302" i="30"/>
  <c r="AT318" i="30"/>
  <c r="AS318" i="30"/>
  <c r="AS351" i="30"/>
  <c r="AR351" i="30"/>
  <c r="AU402" i="30"/>
  <c r="AT402" i="30"/>
  <c r="AR402" i="30" s="1"/>
  <c r="AS402" i="30"/>
  <c r="I44" i="30" a="1"/>
  <c r="I44" i="30" s="1"/>
  <c r="A44" i="30"/>
  <c r="D56" i="30" a="1"/>
  <c r="D56" i="30" s="1"/>
  <c r="Z79" i="30"/>
  <c r="Y79" i="30"/>
  <c r="Y80" i="30"/>
  <c r="AR95" i="30"/>
  <c r="AS106" i="30"/>
  <c r="AR106" i="30" s="1"/>
  <c r="Y134" i="30"/>
  <c r="Y138" i="30"/>
  <c r="AR139" i="30"/>
  <c r="AS163" i="30"/>
  <c r="AU163" i="30"/>
  <c r="AT163" i="30"/>
  <c r="Y196" i="30"/>
  <c r="AT197" i="30"/>
  <c r="AT211" i="30"/>
  <c r="AT220" i="30"/>
  <c r="AS238" i="30"/>
  <c r="AU239" i="30"/>
  <c r="AT239" i="30"/>
  <c r="Y245" i="30"/>
  <c r="AR247" i="30"/>
  <c r="Y269" i="30"/>
  <c r="AT269" i="30"/>
  <c r="AR270" i="30"/>
  <c r="AU271" i="30"/>
  <c r="AT271" i="30"/>
  <c r="AR271" i="30"/>
  <c r="AR301" i="30"/>
  <c r="AU302" i="30"/>
  <c r="AT315" i="30"/>
  <c r="AS315" i="30"/>
  <c r="AR315" i="30"/>
  <c r="AR318" i="30"/>
  <c r="Y350" i="30"/>
  <c r="AT351" i="30"/>
  <c r="AS352" i="30"/>
  <c r="AT353" i="30"/>
  <c r="AS353" i="30"/>
  <c r="AR353" i="30"/>
  <c r="D31" i="30" a="1"/>
  <c r="D31" i="30" s="1"/>
  <c r="C31" i="30" a="1"/>
  <c r="C31" i="30" s="1"/>
  <c r="A31" i="30"/>
  <c r="D36" i="30" a="1"/>
  <c r="D36" i="30" s="1"/>
  <c r="Z91" i="30"/>
  <c r="Y91" i="30"/>
  <c r="AS95" i="30"/>
  <c r="AT106" i="30"/>
  <c r="Y111" i="30"/>
  <c r="Z111" i="30"/>
  <c r="Z113" i="30"/>
  <c r="Y113" i="30"/>
  <c r="AS139" i="30"/>
  <c r="AK158" i="30"/>
  <c r="AT222" i="30"/>
  <c r="AS222" i="30"/>
  <c r="AR222" i="30" s="1"/>
  <c r="AT238" i="30"/>
  <c r="AT247" i="30"/>
  <c r="AS270" i="30"/>
  <c r="AS290" i="30"/>
  <c r="AR290" i="30" s="1"/>
  <c r="AU291" i="30"/>
  <c r="AT291" i="30"/>
  <c r="AU314" i="30"/>
  <c r="AT314" i="30"/>
  <c r="AR314" i="30"/>
  <c r="AU318" i="30"/>
  <c r="AS324" i="30"/>
  <c r="AR324" i="30" s="1"/>
  <c r="AU351" i="30"/>
  <c r="AT352" i="30"/>
  <c r="AS356" i="30"/>
  <c r="AR356" i="30" s="1"/>
  <c r="AS396" i="30"/>
  <c r="AR396" i="30" s="1"/>
  <c r="AU397" i="30"/>
  <c r="AT397" i="30"/>
  <c r="AS397" i="30"/>
  <c r="AR397" i="30" s="1"/>
  <c r="E47" i="30"/>
  <c r="D47" i="30" a="1"/>
  <c r="D47" i="30" s="1"/>
  <c r="C47" i="30" a="1"/>
  <c r="C47" i="30" s="1"/>
  <c r="A47" i="30"/>
  <c r="Z198" i="30"/>
  <c r="Y198" i="30"/>
  <c r="AU224" i="30"/>
  <c r="AT224" i="30"/>
  <c r="AS224" i="30"/>
  <c r="AR224" i="30"/>
  <c r="AU238" i="30"/>
  <c r="AU270" i="30"/>
  <c r="AU312" i="30"/>
  <c r="AT312" i="30"/>
  <c r="AS312" i="30"/>
  <c r="AT324" i="30"/>
  <c r="AU356" i="30"/>
  <c r="AU401" i="30"/>
  <c r="AT401" i="30"/>
  <c r="AS401" i="30"/>
  <c r="AR401" i="30" s="1"/>
  <c r="AT405" i="30"/>
  <c r="AU405" i="30"/>
  <c r="AS405" i="30"/>
  <c r="AR405" i="30"/>
  <c r="AU418" i="30"/>
  <c r="AT418" i="30"/>
  <c r="AR418" i="30"/>
  <c r="AS418" i="30"/>
  <c r="AT274" i="30"/>
  <c r="AS274" i="30"/>
  <c r="AR274" i="30"/>
  <c r="Z326" i="30"/>
  <c r="Y326" i="30"/>
  <c r="AU380" i="30"/>
  <c r="AT380" i="30"/>
  <c r="AU406" i="30"/>
  <c r="AT406" i="30"/>
  <c r="AR82" i="30"/>
  <c r="AR93" i="30"/>
  <c r="AR98" i="30"/>
  <c r="Y122" i="30"/>
  <c r="Y149" i="30"/>
  <c r="AU164" i="30"/>
  <c r="AS164" i="30"/>
  <c r="Y176" i="30"/>
  <c r="AR177" i="30"/>
  <c r="Z183" i="30"/>
  <c r="AT185" i="30"/>
  <c r="AS185" i="30"/>
  <c r="AR185" i="30"/>
  <c r="Z191" i="30"/>
  <c r="AR193" i="30"/>
  <c r="Y232" i="30"/>
  <c r="Y262" i="30"/>
  <c r="Z272" i="30"/>
  <c r="AU274" i="30"/>
  <c r="Z303" i="30"/>
  <c r="AR380" i="30"/>
  <c r="Y392" i="30"/>
  <c r="Y393" i="30"/>
  <c r="AU99" i="30"/>
  <c r="AT99" i="30"/>
  <c r="Z103" i="30"/>
  <c r="Y103" i="30"/>
  <c r="AU165" i="30"/>
  <c r="AT165" i="30"/>
  <c r="AS165" i="30"/>
  <c r="AR165" i="30"/>
  <c r="AU424" i="30"/>
  <c r="AT424" i="30"/>
  <c r="AS424" i="30"/>
  <c r="AR424" i="30"/>
  <c r="Y77" i="30"/>
  <c r="AT77" i="30"/>
  <c r="AR77" i="30" s="1"/>
  <c r="Y82" i="30"/>
  <c r="AT82" i="30"/>
  <c r="Y88" i="30"/>
  <c r="Y93" i="30"/>
  <c r="AT93" i="30"/>
  <c r="Y98" i="30"/>
  <c r="AT98" i="30"/>
  <c r="AR99" i="30"/>
  <c r="Y104" i="30"/>
  <c r="AS112" i="30"/>
  <c r="AU113" i="30"/>
  <c r="AT113" i="30"/>
  <c r="Z117" i="30"/>
  <c r="Y117" i="30"/>
  <c r="Y118" i="30"/>
  <c r="AS123" i="30"/>
  <c r="Y135" i="30"/>
  <c r="AR136" i="30"/>
  <c r="Y142" i="30"/>
  <c r="Y150" i="30"/>
  <c r="AS157" i="30"/>
  <c r="AT164" i="30"/>
  <c r="AS172" i="30"/>
  <c r="AT177" i="30"/>
  <c r="AR186" i="30"/>
  <c r="AK191" i="30"/>
  <c r="AT193" i="30"/>
  <c r="Y207" i="30"/>
  <c r="AR208" i="30"/>
  <c r="AU209" i="30"/>
  <c r="AT209" i="30"/>
  <c r="AR209" i="30"/>
  <c r="AT250" i="30"/>
  <c r="AR250" i="30" s="1"/>
  <c r="AU253" i="30"/>
  <c r="Y264" i="30"/>
  <c r="Z275" i="30"/>
  <c r="Y275" i="30"/>
  <c r="Y276" i="30"/>
  <c r="AS277" i="30"/>
  <c r="AR306" i="30"/>
  <c r="AR329" i="30"/>
  <c r="Z342" i="30"/>
  <c r="AS364" i="30"/>
  <c r="Y405" i="30"/>
  <c r="AU408" i="30"/>
  <c r="AT408" i="30"/>
  <c r="AS408" i="30"/>
  <c r="AR408" i="30" s="1"/>
  <c r="Z417" i="30"/>
  <c r="AR421" i="30"/>
  <c r="AR422" i="30"/>
  <c r="AS77" i="30"/>
  <c r="AU83" i="30"/>
  <c r="AT83" i="30"/>
  <c r="AS98" i="30"/>
  <c r="AU82" i="30"/>
  <c r="AS83" i="30"/>
  <c r="AR83" i="30" s="1"/>
  <c r="AU93" i="30"/>
  <c r="AS99" i="30"/>
  <c r="AT112" i="30"/>
  <c r="AT123" i="30"/>
  <c r="AS136" i="30"/>
  <c r="AT157" i="30"/>
  <c r="AT172" i="30"/>
  <c r="AU173" i="30"/>
  <c r="AT173" i="30"/>
  <c r="AK176" i="30"/>
  <c r="AS186" i="30"/>
  <c r="Z193" i="30"/>
  <c r="Y193" i="30"/>
  <c r="AS208" i="30"/>
  <c r="AU250" i="30"/>
  <c r="AU277" i="30"/>
  <c r="AU282" i="30"/>
  <c r="AS282" i="30"/>
  <c r="AI288" i="30"/>
  <c r="AM288" i="30"/>
  <c r="AS306" i="30"/>
  <c r="AU307" i="30"/>
  <c r="AT307" i="30"/>
  <c r="AS329" i="30"/>
  <c r="AT364" i="30"/>
  <c r="AS421" i="30"/>
  <c r="Z87" i="30"/>
  <c r="Y87" i="30"/>
  <c r="AS177" i="30"/>
  <c r="AS193" i="30"/>
  <c r="AS253" i="30"/>
  <c r="AR253" i="30" s="1"/>
  <c r="AT265" i="30"/>
  <c r="AU265" i="30"/>
  <c r="AR265" i="30"/>
  <c r="Y322" i="30"/>
  <c r="Z322" i="30"/>
  <c r="AS380" i="30"/>
  <c r="Z394" i="30"/>
  <c r="Y394" i="30"/>
  <c r="AS406" i="30"/>
  <c r="AR406" i="30" s="1"/>
  <c r="AU422" i="30"/>
  <c r="AT422" i="30"/>
  <c r="AS113" i="30"/>
  <c r="AR113" i="30" s="1"/>
  <c r="AR124" i="30"/>
  <c r="AT136" i="30"/>
  <c r="Y157" i="30"/>
  <c r="AK171" i="30"/>
  <c r="AR173" i="30"/>
  <c r="AR187" i="30"/>
  <c r="Z194" i="30"/>
  <c r="Y194" i="30"/>
  <c r="AU208" i="30"/>
  <c r="AS226" i="30"/>
  <c r="AT227" i="30"/>
  <c r="AU227" i="30"/>
  <c r="AR227" i="30"/>
  <c r="AK275" i="30"/>
  <c r="Z279" i="30"/>
  <c r="Y279" i="30"/>
  <c r="AR282" i="30"/>
  <c r="AR307" i="30"/>
  <c r="AU349" i="30"/>
  <c r="AT349" i="30"/>
  <c r="Y364" i="30"/>
  <c r="AT366" i="30"/>
  <c r="AS366" i="30"/>
  <c r="AU366" i="30"/>
  <c r="AR366" i="30" s="1"/>
  <c r="Z406" i="30"/>
  <c r="Y406" i="30"/>
  <c r="AT421" i="30"/>
  <c r="Z271" i="30"/>
  <c r="Y271" i="30"/>
  <c r="AT273" i="30"/>
  <c r="AS273" i="30"/>
  <c r="AU283" i="30"/>
  <c r="AT283" i="30"/>
  <c r="AS343" i="30"/>
  <c r="AR343" i="30"/>
  <c r="AU344" i="30"/>
  <c r="AT344" i="30"/>
  <c r="AU375" i="30"/>
  <c r="AT375" i="30"/>
  <c r="Z385" i="30"/>
  <c r="Y385" i="30"/>
  <c r="AU426" i="30"/>
  <c r="AT426" i="30"/>
  <c r="AS426" i="30"/>
  <c r="AS121" i="30"/>
  <c r="AS125" i="30"/>
  <c r="AS129" i="30"/>
  <c r="AS133" i="30"/>
  <c r="AS137" i="30"/>
  <c r="AS141" i="30"/>
  <c r="AR141" i="30" s="1"/>
  <c r="AS151" i="30"/>
  <c r="AR151" i="30" s="1"/>
  <c r="AS160" i="30"/>
  <c r="AS199" i="30"/>
  <c r="AS204" i="30"/>
  <c r="AS234" i="30"/>
  <c r="AS248" i="30"/>
  <c r="AR248" i="30"/>
  <c r="AS258" i="30"/>
  <c r="AU259" i="30"/>
  <c r="AS259" i="30"/>
  <c r="AR259" i="30"/>
  <c r="AK270" i="30"/>
  <c r="AU273" i="30"/>
  <c r="AU275" i="30"/>
  <c r="AT275" i="30"/>
  <c r="AK281" i="30"/>
  <c r="AS283" i="30"/>
  <c r="AT288" i="30"/>
  <c r="AR288" i="30"/>
  <c r="AS304" i="30"/>
  <c r="AK310" i="30"/>
  <c r="AS327" i="30"/>
  <c r="AR327" i="30"/>
  <c r="AS336" i="30"/>
  <c r="AU343" i="30"/>
  <c r="AS344" i="30"/>
  <c r="AS357" i="30"/>
  <c r="AR357" i="30" s="1"/>
  <c r="AS367" i="30"/>
  <c r="AS375" i="30"/>
  <c r="AR375" i="30" s="1"/>
  <c r="AR387" i="30"/>
  <c r="AU413" i="30"/>
  <c r="AT413" i="30"/>
  <c r="AS413" i="30"/>
  <c r="Z422" i="30"/>
  <c r="Y422" i="30"/>
  <c r="Y423" i="30"/>
  <c r="AR426" i="30"/>
  <c r="AT121" i="30"/>
  <c r="AT125" i="30"/>
  <c r="AT129" i="30"/>
  <c r="AT133" i="30"/>
  <c r="AT137" i="30"/>
  <c r="AT141" i="30"/>
  <c r="AT151" i="30"/>
  <c r="AT160" i="30"/>
  <c r="AT199" i="30"/>
  <c r="AT204" i="30"/>
  <c r="AU205" i="30"/>
  <c r="AS205" i="30"/>
  <c r="Z209" i="30"/>
  <c r="Y209" i="30"/>
  <c r="AU234" i="30"/>
  <c r="AT258" i="30"/>
  <c r="AT304" i="30"/>
  <c r="AT305" i="30"/>
  <c r="AS305" i="30"/>
  <c r="Z312" i="30"/>
  <c r="Y312" i="30"/>
  <c r="Z334" i="30"/>
  <c r="Y334" i="30"/>
  <c r="AT336" i="30"/>
  <c r="AT357" i="30"/>
  <c r="AT367" i="30"/>
  <c r="AS387" i="30"/>
  <c r="AT285" i="30"/>
  <c r="AR285" i="30"/>
  <c r="AT289" i="30"/>
  <c r="AS289" i="30"/>
  <c r="AR289" i="30" s="1"/>
  <c r="Z296" i="30"/>
  <c r="Y296" i="30"/>
  <c r="AT316" i="30"/>
  <c r="AR316" i="30"/>
  <c r="AS347" i="30"/>
  <c r="AR347" i="30"/>
  <c r="Z427" i="30"/>
  <c r="Y427" i="30"/>
  <c r="AU410" i="30"/>
  <c r="AT410" i="30"/>
  <c r="AR410" i="30" s="1"/>
  <c r="AK233" i="30"/>
  <c r="AT235" i="30"/>
  <c r="AS235" i="30"/>
  <c r="AT254" i="30"/>
  <c r="AS254" i="30"/>
  <c r="AK276" i="30"/>
  <c r="AT278" i="30"/>
  <c r="AS278" i="30"/>
  <c r="AT309" i="30"/>
  <c r="AS309" i="30"/>
  <c r="AT325" i="30"/>
  <c r="AR325" i="30" s="1"/>
  <c r="AS325" i="30"/>
  <c r="Z375" i="30"/>
  <c r="Y375" i="30"/>
  <c r="Z344" i="30"/>
  <c r="Y344" i="30"/>
  <c r="AU354" i="30"/>
  <c r="AT354" i="30"/>
  <c r="AS354" i="30"/>
  <c r="Z390" i="30"/>
  <c r="Y390" i="30"/>
  <c r="Z410" i="30"/>
  <c r="Y410" i="30"/>
  <c r="AU235" i="30"/>
  <c r="AT246" i="30"/>
  <c r="AU254" i="30"/>
  <c r="AU278" i="30"/>
  <c r="AU296" i="30"/>
  <c r="AT296" i="30"/>
  <c r="AR296" i="30" s="1"/>
  <c r="AK307" i="30"/>
  <c r="AU309" i="30"/>
  <c r="AK315" i="30"/>
  <c r="AT317" i="30"/>
  <c r="AS317" i="30"/>
  <c r="AU325" i="30"/>
  <c r="AR354" i="30"/>
  <c r="AR370" i="30"/>
  <c r="AR384" i="30"/>
  <c r="AR392" i="30"/>
  <c r="AM396" i="30"/>
  <c r="AI396" i="30"/>
  <c r="AU429" i="30"/>
  <c r="AT429" i="30"/>
  <c r="AS429" i="30"/>
  <c r="AU398" i="30"/>
  <c r="AT398" i="30"/>
  <c r="Z402" i="30"/>
  <c r="Y402" i="30"/>
  <c r="AU414" i="30"/>
  <c r="AT414" i="30"/>
  <c r="Z418" i="30"/>
  <c r="Y418" i="30"/>
  <c r="AU430" i="30"/>
  <c r="AT430" i="30"/>
  <c r="AR430" i="30" s="1"/>
  <c r="AU279" i="30"/>
  <c r="AT279" i="30"/>
  <c r="Z283" i="30"/>
  <c r="Y283" i="30"/>
  <c r="AT297" i="30"/>
  <c r="AS297" i="30"/>
  <c r="AR297" i="30" s="1"/>
  <c r="AK311" i="30"/>
  <c r="AT313" i="30"/>
  <c r="AS313" i="30"/>
  <c r="AS335" i="30"/>
  <c r="AR335" i="30"/>
  <c r="AR340" i="30"/>
  <c r="AR345" i="30"/>
  <c r="Y349" i="30"/>
  <c r="Y354" i="30"/>
  <c r="AR371" i="30"/>
  <c r="AR376" i="30"/>
  <c r="Y380" i="30"/>
  <c r="AR386" i="30"/>
  <c r="Y397" i="30"/>
  <c r="Y403" i="30"/>
  <c r="Y408" i="30"/>
  <c r="Y413" i="30"/>
  <c r="AR414" i="30"/>
  <c r="Y419" i="30"/>
  <c r="Y424" i="30"/>
  <c r="Y429" i="30"/>
  <c r="Y263" i="30"/>
  <c r="AR279" i="30"/>
  <c r="AR313" i="30"/>
  <c r="AT335" i="30"/>
  <c r="AS355" i="30"/>
  <c r="AR355" i="30"/>
  <c r="AS376" i="30"/>
  <c r="AS398" i="30"/>
  <c r="AR398" i="30" s="1"/>
  <c r="AS414" i="30"/>
  <c r="AS430" i="30"/>
  <c r="E31" i="29"/>
  <c r="D31" i="29" a="1"/>
  <c r="D31" i="29" s="1"/>
  <c r="F31" i="29" a="1"/>
  <c r="F31" i="29" s="1"/>
  <c r="C31" i="29" a="1"/>
  <c r="C31" i="29" s="1"/>
  <c r="A31" i="29"/>
  <c r="I31" i="29" a="1"/>
  <c r="I31" i="29" s="1"/>
  <c r="H31" i="29" a="1"/>
  <c r="H31" i="29" s="1"/>
  <c r="G31" i="29"/>
  <c r="I44" i="29" a="1"/>
  <c r="I44" i="29" s="1"/>
  <c r="E44" i="29"/>
  <c r="D44" i="29" a="1"/>
  <c r="D44" i="29" s="1"/>
  <c r="H44" i="29" a="1"/>
  <c r="H44" i="29" s="1"/>
  <c r="G44" i="29"/>
  <c r="C44" i="29" a="1"/>
  <c r="C44" i="29" s="1"/>
  <c r="F44" i="29" a="1"/>
  <c r="F44" i="29" s="1"/>
  <c r="A44" i="29"/>
  <c r="G24" i="29"/>
  <c r="F24" i="29" a="1"/>
  <c r="F24" i="29" s="1"/>
  <c r="E24" i="29"/>
  <c r="A24" i="29"/>
  <c r="I24" i="29" a="1"/>
  <c r="I24" i="29" s="1"/>
  <c r="D24" i="29" a="1"/>
  <c r="D24" i="29" s="1"/>
  <c r="H24" i="29" a="1"/>
  <c r="H24" i="29" s="1"/>
  <c r="C24" i="29" a="1"/>
  <c r="C24" i="29" s="1"/>
  <c r="AU145" i="29"/>
  <c r="AT145" i="29"/>
  <c r="AS145" i="29"/>
  <c r="AR145" i="29"/>
  <c r="AR149" i="29"/>
  <c r="AS377" i="29"/>
  <c r="AR377" i="29"/>
  <c r="AU377" i="29"/>
  <c r="AT377" i="29"/>
  <c r="AS379" i="29"/>
  <c r="AR379" i="29"/>
  <c r="AU150" i="29"/>
  <c r="AT150" i="29"/>
  <c r="Z186" i="29"/>
  <c r="Y186" i="29"/>
  <c r="Z194" i="29"/>
  <c r="Y194" i="29"/>
  <c r="AT379" i="29"/>
  <c r="AT380" i="29"/>
  <c r="AS380" i="29"/>
  <c r="AR380" i="29"/>
  <c r="I27" i="29" a="1"/>
  <c r="I27" i="29" s="1"/>
  <c r="AR150" i="29"/>
  <c r="Z346" i="29"/>
  <c r="Y346" i="29"/>
  <c r="AU379" i="29"/>
  <c r="AU380" i="29"/>
  <c r="AS392" i="29"/>
  <c r="AR392" i="29"/>
  <c r="AU392" i="29"/>
  <c r="AT392" i="29"/>
  <c r="Z427" i="29"/>
  <c r="Y427" i="29"/>
  <c r="D39" i="29" a="1"/>
  <c r="D39" i="29" s="1"/>
  <c r="F39" i="29" a="1"/>
  <c r="F39" i="29" s="1"/>
  <c r="E39" i="29"/>
  <c r="C39" i="29" a="1"/>
  <c r="C39" i="29" s="1"/>
  <c r="A39" i="29"/>
  <c r="Z105" i="29"/>
  <c r="Y105" i="29"/>
  <c r="Y112" i="29"/>
  <c r="AU126" i="29"/>
  <c r="AT126" i="29"/>
  <c r="AS126" i="29"/>
  <c r="AR126" i="29"/>
  <c r="AU140" i="29"/>
  <c r="AT140" i="29"/>
  <c r="AS140" i="29"/>
  <c r="Z148" i="29"/>
  <c r="AU149" i="29"/>
  <c r="AS150" i="29"/>
  <c r="Z325" i="29"/>
  <c r="Y325" i="29"/>
  <c r="Y378" i="29"/>
  <c r="AT382" i="29"/>
  <c r="AS382" i="29"/>
  <c r="AU382" i="29"/>
  <c r="AR382" i="29"/>
  <c r="Y425" i="29"/>
  <c r="I34" i="29" a="1"/>
  <c r="I34" i="29" s="1"/>
  <c r="H34" i="29" a="1"/>
  <c r="H34" i="29" s="1"/>
  <c r="G34" i="29"/>
  <c r="F34" i="29" a="1"/>
  <c r="F34" i="29" s="1"/>
  <c r="A34" i="29"/>
  <c r="E34" i="29"/>
  <c r="C34" i="29" a="1"/>
  <c r="C34" i="29" s="1"/>
  <c r="D34" i="29" a="1"/>
  <c r="D34" i="29" s="1"/>
  <c r="G39" i="29"/>
  <c r="Y110" i="29"/>
  <c r="AR115" i="29"/>
  <c r="AU116" i="29"/>
  <c r="AT116" i="29"/>
  <c r="AS116" i="29"/>
  <c r="AR116" i="29"/>
  <c r="AR140" i="29"/>
  <c r="AR142" i="29"/>
  <c r="Z149" i="29"/>
  <c r="Y149" i="29"/>
  <c r="AR371" i="29"/>
  <c r="Z426" i="29"/>
  <c r="Y426" i="29"/>
  <c r="Y147" i="29"/>
  <c r="AR167" i="29"/>
  <c r="AU167" i="29"/>
  <c r="AT167" i="29"/>
  <c r="AS167" i="29"/>
  <c r="AU428" i="29"/>
  <c r="AT428" i="29"/>
  <c r="AS428" i="29"/>
  <c r="AR428" i="29"/>
  <c r="H27" i="29" a="1"/>
  <c r="H27" i="29" s="1"/>
  <c r="D49" i="29" a="1"/>
  <c r="D49" i="29" s="1"/>
  <c r="E49" i="29"/>
  <c r="G49" i="29"/>
  <c r="C49" i="29" a="1"/>
  <c r="C49" i="29" s="1"/>
  <c r="F49" i="29" a="1"/>
  <c r="F49" i="29" s="1"/>
  <c r="H49" i="29" a="1"/>
  <c r="H49" i="29" s="1"/>
  <c r="I49" i="29" a="1"/>
  <c r="I49" i="29" s="1"/>
  <c r="I56" i="29" a="1"/>
  <c r="I56" i="29" s="1"/>
  <c r="E56" i="29"/>
  <c r="F56" i="29" a="1"/>
  <c r="F56" i="29" s="1"/>
  <c r="C56" i="29" a="1"/>
  <c r="C56" i="29" s="1"/>
  <c r="A56" i="29"/>
  <c r="H56" i="29" a="1"/>
  <c r="H56" i="29" s="1"/>
  <c r="G56" i="29"/>
  <c r="D56" i="29" a="1"/>
  <c r="D56" i="29" s="1"/>
  <c r="AS149" i="29"/>
  <c r="AT118" i="29"/>
  <c r="AS118" i="29"/>
  <c r="AR118" i="29"/>
  <c r="Z190" i="29"/>
  <c r="Y190" i="29"/>
  <c r="Z429" i="29"/>
  <c r="Y429" i="29"/>
  <c r="H39" i="29" a="1"/>
  <c r="H39" i="29" s="1"/>
  <c r="Z109" i="29"/>
  <c r="AS115" i="29"/>
  <c r="AS142" i="29"/>
  <c r="AR372" i="29"/>
  <c r="AU426" i="29"/>
  <c r="AS426" i="29"/>
  <c r="AR426" i="29"/>
  <c r="E29" i="29"/>
  <c r="D29" i="29" a="1"/>
  <c r="D29" i="29" s="1"/>
  <c r="I29" i="29" a="1"/>
  <c r="I29" i="29" s="1"/>
  <c r="F29" i="29" a="1"/>
  <c r="F29" i="29" s="1"/>
  <c r="C29" i="29" a="1"/>
  <c r="C29" i="29" s="1"/>
  <c r="Y82" i="29"/>
  <c r="AR85" i="29"/>
  <c r="AU86" i="29"/>
  <c r="AT86" i="29"/>
  <c r="AS86" i="29"/>
  <c r="AR86" i="29"/>
  <c r="AS258" i="29"/>
  <c r="AR258" i="29"/>
  <c r="AU258" i="29"/>
  <c r="AT258" i="29"/>
  <c r="AU261" i="29"/>
  <c r="AS261" i="29"/>
  <c r="AR261" i="29"/>
  <c r="AT294" i="29"/>
  <c r="AS294" i="29"/>
  <c r="AU294" i="29"/>
  <c r="AR294" i="29"/>
  <c r="AR406" i="29"/>
  <c r="G29" i="29"/>
  <c r="E35" i="29"/>
  <c r="D35" i="29" a="1"/>
  <c r="D35" i="29" s="1"/>
  <c r="F35" i="29" a="1"/>
  <c r="F35" i="29" s="1"/>
  <c r="C35" i="29" a="1"/>
  <c r="C35" i="29" s="1"/>
  <c r="I35" i="29" a="1"/>
  <c r="I35" i="29" s="1"/>
  <c r="H35" i="29" a="1"/>
  <c r="H35" i="29" s="1"/>
  <c r="G35" i="29"/>
  <c r="D47" i="29" a="1"/>
  <c r="D47" i="29" s="1"/>
  <c r="C47" i="29" a="1"/>
  <c r="C47" i="29" s="1"/>
  <c r="A47" i="29"/>
  <c r="F47" i="29" a="1"/>
  <c r="F47" i="29" s="1"/>
  <c r="E47" i="29"/>
  <c r="I47" i="29" a="1"/>
  <c r="I47" i="29" s="1"/>
  <c r="H47" i="29" a="1"/>
  <c r="H47" i="29" s="1"/>
  <c r="G47" i="29"/>
  <c r="Y73" i="29"/>
  <c r="AR252" i="29"/>
  <c r="AU252" i="29"/>
  <c r="AT252" i="29"/>
  <c r="AT257" i="29"/>
  <c r="AS257" i="29"/>
  <c r="AR257" i="29"/>
  <c r="AU257" i="29"/>
  <c r="AT261" i="29"/>
  <c r="AS351" i="29"/>
  <c r="AU351" i="29"/>
  <c r="AT351" i="29"/>
  <c r="Z365" i="29"/>
  <c r="Y365" i="29"/>
  <c r="H29" i="29" a="1"/>
  <c r="H29" i="29" s="1"/>
  <c r="D51" i="29" a="1"/>
  <c r="D51" i="29" s="1"/>
  <c r="G51" i="29"/>
  <c r="F51" i="29" a="1"/>
  <c r="F51" i="29" s="1"/>
  <c r="H51" i="29" a="1"/>
  <c r="H51" i="29" s="1"/>
  <c r="E51" i="29"/>
  <c r="I51" i="29" a="1"/>
  <c r="I51" i="29" s="1"/>
  <c r="C51" i="29" a="1"/>
  <c r="C51" i="29" s="1"/>
  <c r="I54" i="29" a="1"/>
  <c r="I54" i="29" s="1"/>
  <c r="D54" i="29" a="1"/>
  <c r="D54" i="29" s="1"/>
  <c r="A54" i="29"/>
  <c r="C54" i="29" a="1"/>
  <c r="C54" i="29" s="1"/>
  <c r="H54" i="29" a="1"/>
  <c r="H54" i="29" s="1"/>
  <c r="G54" i="29"/>
  <c r="F54" i="29" a="1"/>
  <c r="F54" i="29" s="1"/>
  <c r="E54" i="29"/>
  <c r="Y75" i="29"/>
  <c r="Z75" i="29"/>
  <c r="D43" i="29" a="1"/>
  <c r="D43" i="29" s="1"/>
  <c r="I43" i="29" a="1"/>
  <c r="I43" i="29" s="1"/>
  <c r="H43" i="29" a="1"/>
  <c r="H43" i="29" s="1"/>
  <c r="F43" i="29" a="1"/>
  <c r="F43" i="29" s="1"/>
  <c r="E43" i="29"/>
  <c r="G43" i="29"/>
  <c r="A43" i="29"/>
  <c r="D41" i="29" a="1"/>
  <c r="D41" i="29" s="1"/>
  <c r="H41" i="29" a="1"/>
  <c r="H41" i="29" s="1"/>
  <c r="G41" i="29"/>
  <c r="A41" i="29"/>
  <c r="C41" i="29" a="1"/>
  <c r="C41" i="29" s="1"/>
  <c r="F41" i="29" a="1"/>
  <c r="F41" i="29" s="1"/>
  <c r="E41" i="29"/>
  <c r="D55" i="29" a="1"/>
  <c r="D55" i="29" s="1"/>
  <c r="A55" i="29"/>
  <c r="C55" i="29" a="1"/>
  <c r="C55" i="29" s="1"/>
  <c r="H55" i="29" a="1"/>
  <c r="H55" i="29" s="1"/>
  <c r="G55" i="29"/>
  <c r="E55" i="29"/>
  <c r="AU196" i="29"/>
  <c r="AS196" i="29"/>
  <c r="AR196" i="29"/>
  <c r="AU210" i="29"/>
  <c r="AT210" i="29"/>
  <c r="AS210" i="29"/>
  <c r="AR210" i="29"/>
  <c r="Y405" i="29"/>
  <c r="E27" i="29"/>
  <c r="G27" i="29"/>
  <c r="F27" i="29" a="1"/>
  <c r="F27" i="29" s="1"/>
  <c r="D27" i="29" a="1"/>
  <c r="D27" i="29" s="1"/>
  <c r="I30" i="29" a="1"/>
  <c r="I30" i="29" s="1"/>
  <c r="H30" i="29" a="1"/>
  <c r="H30" i="29" s="1"/>
  <c r="G30" i="29"/>
  <c r="E30" i="29"/>
  <c r="F30" i="29" a="1"/>
  <c r="F30" i="29" s="1"/>
  <c r="D30" i="29" a="1"/>
  <c r="D30" i="29" s="1"/>
  <c r="C30" i="29" a="1"/>
  <c r="C30" i="29" s="1"/>
  <c r="AU195" i="29"/>
  <c r="AT195" i="29"/>
  <c r="AS195" i="29"/>
  <c r="AU346" i="29"/>
  <c r="AT346" i="29"/>
  <c r="C27" i="29" a="1"/>
  <c r="C27" i="29" s="1"/>
  <c r="I48" i="29" a="1"/>
  <c r="I48" i="29" s="1"/>
  <c r="H48" i="29" a="1"/>
  <c r="H48" i="29" s="1"/>
  <c r="A48" i="29"/>
  <c r="C48" i="29" a="1"/>
  <c r="C48" i="29" s="1"/>
  <c r="D48" i="29" a="1"/>
  <c r="D48" i="29" s="1"/>
  <c r="G48" i="29"/>
  <c r="AR195" i="29"/>
  <c r="AS326" i="29"/>
  <c r="AR326" i="29"/>
  <c r="AU326" i="29"/>
  <c r="AT326" i="29"/>
  <c r="AR346" i="29"/>
  <c r="I46" i="29" a="1"/>
  <c r="I46" i="29" s="1"/>
  <c r="G46" i="29"/>
  <c r="F46" i="29" a="1"/>
  <c r="F46" i="29" s="1"/>
  <c r="D46" i="29" a="1"/>
  <c r="D46" i="29" s="1"/>
  <c r="C46" i="29" a="1"/>
  <c r="C46" i="29" s="1"/>
  <c r="H46" i="29" a="1"/>
  <c r="H46" i="29" s="1"/>
  <c r="AT83" i="29"/>
  <c r="AU83" i="29"/>
  <c r="Z156" i="29"/>
  <c r="Y156" i="29"/>
  <c r="AU234" i="29"/>
  <c r="AT234" i="29"/>
  <c r="AR234" i="29"/>
  <c r="AS234" i="29"/>
  <c r="AT236" i="29"/>
  <c r="AS236" i="29"/>
  <c r="AR236" i="29"/>
  <c r="AU236" i="29"/>
  <c r="AU295" i="29"/>
  <c r="AT295" i="29"/>
  <c r="AS295" i="29"/>
  <c r="Z368" i="29"/>
  <c r="Y368" i="29"/>
  <c r="C43" i="29" a="1"/>
  <c r="C43" i="29" s="1"/>
  <c r="AU76" i="29"/>
  <c r="AT76" i="29"/>
  <c r="AS76" i="29"/>
  <c r="AR83" i="29"/>
  <c r="Z115" i="29"/>
  <c r="Y115" i="29"/>
  <c r="Y139" i="29"/>
  <c r="AR295" i="29"/>
  <c r="Y297" i="29"/>
  <c r="Z297" i="29"/>
  <c r="E46" i="29"/>
  <c r="AU74" i="29"/>
  <c r="AT74" i="29"/>
  <c r="AS74" i="29"/>
  <c r="AR76" i="29"/>
  <c r="AS83" i="29"/>
  <c r="AU85" i="29"/>
  <c r="AT85" i="29"/>
  <c r="AU96" i="29"/>
  <c r="AT96" i="29"/>
  <c r="AS96" i="29"/>
  <c r="AR96" i="29"/>
  <c r="Z367" i="29"/>
  <c r="Y367" i="29"/>
  <c r="Y371" i="29"/>
  <c r="AU406" i="29"/>
  <c r="AT406" i="29"/>
  <c r="A30" i="29"/>
  <c r="I41" i="29" a="1"/>
  <c r="I41" i="29" s="1"/>
  <c r="F48" i="29" a="1"/>
  <c r="F48" i="29" s="1"/>
  <c r="F55" i="29" a="1"/>
  <c r="F55" i="29" s="1"/>
  <c r="AT196" i="29"/>
  <c r="Y166" i="29"/>
  <c r="AT172" i="29"/>
  <c r="AS172" i="29"/>
  <c r="AR172" i="29"/>
  <c r="Y178" i="29"/>
  <c r="AR225" i="29"/>
  <c r="AU226" i="29"/>
  <c r="AT226" i="29"/>
  <c r="AS226" i="29"/>
  <c r="Y232" i="29"/>
  <c r="AU271" i="29"/>
  <c r="AT271" i="29"/>
  <c r="AS271" i="29"/>
  <c r="Z290" i="29"/>
  <c r="Y290" i="29"/>
  <c r="Y349" i="29"/>
  <c r="AR401" i="29"/>
  <c r="Y406" i="29"/>
  <c r="Z407" i="29"/>
  <c r="Y407" i="29"/>
  <c r="AU416" i="29"/>
  <c r="AT416" i="29"/>
  <c r="AS416" i="29"/>
  <c r="Y95" i="29"/>
  <c r="Z95" i="29"/>
  <c r="AU172" i="29"/>
  <c r="AK182" i="29"/>
  <c r="AU221" i="29"/>
  <c r="AT221" i="29"/>
  <c r="AS221" i="29"/>
  <c r="AR221" i="29"/>
  <c r="AS225" i="29"/>
  <c r="AR226" i="29"/>
  <c r="Z234" i="29"/>
  <c r="Y234" i="29"/>
  <c r="AS243" i="29"/>
  <c r="AR243" i="29"/>
  <c r="AU243" i="29"/>
  <c r="AT243" i="29"/>
  <c r="AR246" i="29"/>
  <c r="AU246" i="29"/>
  <c r="AT246" i="29"/>
  <c r="AS246" i="29"/>
  <c r="AU248" i="29"/>
  <c r="AT248" i="29"/>
  <c r="AS248" i="29"/>
  <c r="AR248" i="29"/>
  <c r="AR269" i="29"/>
  <c r="AR271" i="29"/>
  <c r="Y289" i="29"/>
  <c r="Z289" i="29"/>
  <c r="AS401" i="29"/>
  <c r="AU402" i="29"/>
  <c r="AT402" i="29"/>
  <c r="AS402" i="29"/>
  <c r="AR416" i="29"/>
  <c r="AU418" i="29"/>
  <c r="AS418" i="29"/>
  <c r="AR418" i="29"/>
  <c r="AU169" i="29"/>
  <c r="AT169" i="29"/>
  <c r="AU173" i="29"/>
  <c r="AT173" i="29"/>
  <c r="Z214" i="29"/>
  <c r="Y214" i="29"/>
  <c r="AT233" i="29"/>
  <c r="AU233" i="29"/>
  <c r="AS233" i="29"/>
  <c r="AU237" i="29"/>
  <c r="AT237" i="29"/>
  <c r="AS347" i="29"/>
  <c r="AU347" i="29"/>
  <c r="AT347" i="29"/>
  <c r="AU353" i="29"/>
  <c r="AT353" i="29"/>
  <c r="AS353" i="29"/>
  <c r="AM396" i="29"/>
  <c r="AL396" i="29"/>
  <c r="O15" i="29" s="1"/>
  <c r="AJ396" i="29"/>
  <c r="AK396" i="29" s="1"/>
  <c r="N15" i="29" s="1"/>
  <c r="AI396" i="29"/>
  <c r="I26" i="29" a="1"/>
  <c r="I26" i="29" s="1"/>
  <c r="A26" i="29"/>
  <c r="G26" i="29"/>
  <c r="F26" i="29" a="1"/>
  <c r="F26" i="29" s="1"/>
  <c r="E26" i="29"/>
  <c r="D26" i="29" a="1"/>
  <c r="D26" i="29" s="1"/>
  <c r="I28" i="29" a="1"/>
  <c r="I28" i="29" s="1"/>
  <c r="C28" i="29" a="1"/>
  <c r="C28" i="29" s="1"/>
  <c r="H28" i="29" a="1"/>
  <c r="H28" i="29" s="1"/>
  <c r="A28" i="29"/>
  <c r="AR169" i="29"/>
  <c r="AR173" i="29"/>
  <c r="Z182" i="29"/>
  <c r="Y182" i="29"/>
  <c r="AR233" i="29"/>
  <c r="AR237" i="29"/>
  <c r="AR347" i="29"/>
  <c r="Y350" i="29"/>
  <c r="AR353" i="29"/>
  <c r="C26" i="29" a="1"/>
  <c r="C26" i="29" s="1"/>
  <c r="D28" i="29" a="1"/>
  <c r="D28" i="29" s="1"/>
  <c r="I32" i="29" a="1"/>
  <c r="I32" i="29" s="1"/>
  <c r="C32" i="29" a="1"/>
  <c r="C32" i="29" s="1"/>
  <c r="G32" i="29"/>
  <c r="F32" i="29" a="1"/>
  <c r="F32" i="29" s="1"/>
  <c r="E32" i="29"/>
  <c r="D32" i="29" a="1"/>
  <c r="D32" i="29" s="1"/>
  <c r="E28" i="29"/>
  <c r="H32" i="29" a="1"/>
  <c r="H32" i="29" s="1"/>
  <c r="AM108" i="29"/>
  <c r="Z167" i="29"/>
  <c r="Y167" i="29"/>
  <c r="Z169" i="29"/>
  <c r="Y169" i="29"/>
  <c r="AM180" i="29"/>
  <c r="AL180" i="29"/>
  <c r="O9" i="29" s="1"/>
  <c r="AM216" i="29"/>
  <c r="AI216" i="29"/>
  <c r="AL216" i="29"/>
  <c r="O10" i="29" s="1"/>
  <c r="AJ216" i="29"/>
  <c r="AK216" i="29" s="1"/>
  <c r="N10" i="29" s="1"/>
  <c r="AT225" i="29"/>
  <c r="Y236" i="29"/>
  <c r="Y250" i="29"/>
  <c r="AS269" i="29"/>
  <c r="AU285" i="29"/>
  <c r="AT285" i="29"/>
  <c r="AS285" i="29"/>
  <c r="AR285" i="29"/>
  <c r="Y322" i="29"/>
  <c r="Y400" i="29"/>
  <c r="AT401" i="29"/>
  <c r="AR402" i="29"/>
  <c r="Y414" i="29"/>
  <c r="Y415" i="29"/>
  <c r="AT418" i="29"/>
  <c r="H26" i="29" a="1"/>
  <c r="H26" i="29" s="1"/>
  <c r="F28" i="29" a="1"/>
  <c r="F28" i="29" s="1"/>
  <c r="I38" i="29" a="1"/>
  <c r="I38" i="29" s="1"/>
  <c r="H38" i="29" a="1"/>
  <c r="H38" i="29" s="1"/>
  <c r="G38" i="29"/>
  <c r="F38" i="29" a="1"/>
  <c r="F38" i="29" s="1"/>
  <c r="A38" i="29"/>
  <c r="E38" i="29"/>
  <c r="D38" i="29" a="1"/>
  <c r="D38" i="29" s="1"/>
  <c r="C38" i="29" a="1"/>
  <c r="C38" i="29" s="1"/>
  <c r="AU105" i="29"/>
  <c r="AS105" i="29"/>
  <c r="AR105" i="29"/>
  <c r="AT216" i="29"/>
  <c r="AS216" i="29"/>
  <c r="AR216" i="29"/>
  <c r="AU218" i="29"/>
  <c r="AT218" i="29"/>
  <c r="AR218" i="29"/>
  <c r="AU220" i="29"/>
  <c r="AT220" i="29"/>
  <c r="AS220" i="29"/>
  <c r="AT269" i="29"/>
  <c r="AU310" i="29"/>
  <c r="AT310" i="29"/>
  <c r="AS310" i="29"/>
  <c r="AR310" i="29"/>
  <c r="AK398" i="29"/>
  <c r="I40" i="29" a="1"/>
  <c r="I40" i="29" s="1"/>
  <c r="A40" i="29"/>
  <c r="D40" i="29" a="1"/>
  <c r="D40" i="29" s="1"/>
  <c r="C40" i="29" a="1"/>
  <c r="C40" i="29" s="1"/>
  <c r="F40" i="29" a="1"/>
  <c r="F40" i="29" s="1"/>
  <c r="E40" i="29"/>
  <c r="G40" i="29"/>
  <c r="AS312" i="29"/>
  <c r="AR312" i="29"/>
  <c r="AU312" i="29"/>
  <c r="AT312" i="29"/>
  <c r="Z401" i="29"/>
  <c r="Y401" i="29"/>
  <c r="G28" i="29"/>
  <c r="AU111" i="29"/>
  <c r="AT111" i="29"/>
  <c r="AS111" i="29"/>
  <c r="AR111" i="29"/>
  <c r="AS121" i="29"/>
  <c r="AU121" i="29"/>
  <c r="AU298" i="29"/>
  <c r="AT298" i="29"/>
  <c r="AS298" i="29"/>
  <c r="Y304" i="29"/>
  <c r="AR308" i="29"/>
  <c r="AT309" i="29"/>
  <c r="AU309" i="29"/>
  <c r="AS309" i="29"/>
  <c r="AU334" i="29"/>
  <c r="AS334" i="29"/>
  <c r="AR334" i="29"/>
  <c r="AR376" i="29"/>
  <c r="E23" i="29"/>
  <c r="I23" i="29" a="1"/>
  <c r="I23" i="29" s="1"/>
  <c r="A23" i="29"/>
  <c r="H23" i="29" a="1"/>
  <c r="H23" i="29" s="1"/>
  <c r="G23" i="29"/>
  <c r="D23" i="29" a="1"/>
  <c r="D23" i="29" s="1"/>
  <c r="E33" i="29"/>
  <c r="I33" i="29" a="1"/>
  <c r="I33" i="29" s="1"/>
  <c r="A33" i="29"/>
  <c r="G33" i="29"/>
  <c r="D45" i="29" a="1"/>
  <c r="D45" i="29" s="1"/>
  <c r="A45" i="29"/>
  <c r="G45" i="29"/>
  <c r="F45" i="29" a="1"/>
  <c r="F45" i="29" s="1"/>
  <c r="E45" i="29"/>
  <c r="H45" i="29" a="1"/>
  <c r="H45" i="29" s="1"/>
  <c r="C45" i="29" a="1"/>
  <c r="C45" i="29" s="1"/>
  <c r="I50" i="29" a="1"/>
  <c r="I50" i="29" s="1"/>
  <c r="A50" i="29"/>
  <c r="H50" i="29" a="1"/>
  <c r="H50" i="29" s="1"/>
  <c r="G50" i="29"/>
  <c r="D50" i="29" a="1"/>
  <c r="D50" i="29" s="1"/>
  <c r="F50" i="29" a="1"/>
  <c r="F50" i="29" s="1"/>
  <c r="E50" i="29"/>
  <c r="AT113" i="29"/>
  <c r="AU113" i="29"/>
  <c r="AS113" i="29"/>
  <c r="AU119" i="29"/>
  <c r="AT119" i="29"/>
  <c r="AS119" i="29"/>
  <c r="AT203" i="29"/>
  <c r="AS203" i="29"/>
  <c r="AR203" i="29"/>
  <c r="AU203" i="29"/>
  <c r="Z282" i="29"/>
  <c r="Y282" i="29"/>
  <c r="AS308" i="29"/>
  <c r="AS338" i="29"/>
  <c r="AR338" i="29"/>
  <c r="AU338" i="29"/>
  <c r="AT338" i="29"/>
  <c r="I22" i="29" a="1"/>
  <c r="I22" i="29" s="1"/>
  <c r="O6" i="29"/>
  <c r="C12" i="29" s="1" a="1"/>
  <c r="C12" i="29" s="1"/>
  <c r="AU106" i="29"/>
  <c r="AT106" i="29"/>
  <c r="AS106" i="29"/>
  <c r="AS125" i="29"/>
  <c r="AU125" i="29"/>
  <c r="AU291" i="29"/>
  <c r="AT291" i="29"/>
  <c r="AS291" i="29"/>
  <c r="AR291" i="29"/>
  <c r="AT293" i="29"/>
  <c r="AU293" i="29"/>
  <c r="AS293" i="29"/>
  <c r="AS333" i="29"/>
  <c r="AR333" i="29"/>
  <c r="AS393" i="29"/>
  <c r="AR393" i="29"/>
  <c r="AU394" i="29"/>
  <c r="AT394" i="29"/>
  <c r="AS394" i="29"/>
  <c r="Z413" i="29"/>
  <c r="Y413" i="29"/>
  <c r="Z85" i="29"/>
  <c r="Y85" i="29"/>
  <c r="AR92" i="29"/>
  <c r="AU97" i="29"/>
  <c r="AS97" i="29"/>
  <c r="AT97" i="29"/>
  <c r="AR106" i="29"/>
  <c r="AR125" i="29"/>
  <c r="Y142" i="29"/>
  <c r="AU157" i="29"/>
  <c r="AT157" i="29"/>
  <c r="AU208" i="29"/>
  <c r="AT208" i="29"/>
  <c r="AS208" i="29"/>
  <c r="Y217" i="29"/>
  <c r="AS242" i="29"/>
  <c r="Y256" i="29"/>
  <c r="AU262" i="29"/>
  <c r="AT262" i="29"/>
  <c r="Y269" i="29"/>
  <c r="Z270" i="29"/>
  <c r="Y270" i="29"/>
  <c r="AR283" i="29"/>
  <c r="AR293" i="29"/>
  <c r="AT333" i="29"/>
  <c r="AS335" i="29"/>
  <c r="AT335" i="29"/>
  <c r="AR335" i="29"/>
  <c r="AU335" i="29"/>
  <c r="Z372" i="29"/>
  <c r="Y372" i="29"/>
  <c r="AT393" i="29"/>
  <c r="AR394" i="29"/>
  <c r="D22" i="29" a="1"/>
  <c r="D22" i="29" s="1"/>
  <c r="C22" i="29" a="1"/>
  <c r="C22" i="29" s="1"/>
  <c r="A22" i="29"/>
  <c r="B17" i="29"/>
  <c r="AT92" i="29"/>
  <c r="AU135" i="29"/>
  <c r="AT135" i="29"/>
  <c r="AR159" i="29"/>
  <c r="AU159" i="29"/>
  <c r="AT159" i="29"/>
  <c r="AS159" i="29"/>
  <c r="AU161" i="29"/>
  <c r="AT161" i="29"/>
  <c r="Z220" i="29"/>
  <c r="Y220" i="29"/>
  <c r="AU242" i="29"/>
  <c r="AT244" i="29"/>
  <c r="AS244" i="29"/>
  <c r="AT283" i="29"/>
  <c r="Z91" i="29"/>
  <c r="AU133" i="29"/>
  <c r="AR134" i="29"/>
  <c r="AR135" i="29"/>
  <c r="AR161" i="29"/>
  <c r="Y196" i="29"/>
  <c r="Z197" i="29"/>
  <c r="Y197" i="29"/>
  <c r="AR244" i="29"/>
  <c r="Z261" i="29"/>
  <c r="Y261" i="29"/>
  <c r="Z330" i="29"/>
  <c r="Y330" i="29"/>
  <c r="Y332" i="29"/>
  <c r="Z334" i="29"/>
  <c r="Y334" i="29"/>
  <c r="AM360" i="29"/>
  <c r="Z92" i="29"/>
  <c r="Y92" i="29"/>
  <c r="AK131" i="29"/>
  <c r="AS134" i="29"/>
  <c r="AS135" i="29"/>
  <c r="AS161" i="29"/>
  <c r="AU244" i="29"/>
  <c r="Z283" i="29"/>
  <c r="Y283" i="29"/>
  <c r="AU314" i="29"/>
  <c r="AT314" i="29"/>
  <c r="AS314" i="29"/>
  <c r="AR314" i="29"/>
  <c r="E37" i="29"/>
  <c r="D37" i="29" a="1"/>
  <c r="D37" i="29" s="1"/>
  <c r="I37" i="29" a="1"/>
  <c r="I37" i="29" s="1"/>
  <c r="A37" i="29"/>
  <c r="I42" i="29" a="1"/>
  <c r="I42" i="29" s="1"/>
  <c r="C42" i="29" a="1"/>
  <c r="C42" i="29" s="1"/>
  <c r="F42" i="29" a="1"/>
  <c r="F42" i="29" s="1"/>
  <c r="E42" i="29"/>
  <c r="H42" i="29" a="1"/>
  <c r="H42" i="29" s="1"/>
  <c r="G42" i="29"/>
  <c r="AT134" i="29"/>
  <c r="Y184" i="29"/>
  <c r="AU191" i="29"/>
  <c r="AT191" i="29"/>
  <c r="AU192" i="29"/>
  <c r="AT192" i="29"/>
  <c r="AS192" i="29"/>
  <c r="AR192" i="29"/>
  <c r="Y212" i="29"/>
  <c r="Z213" i="29"/>
  <c r="Y213" i="29"/>
  <c r="AT305" i="29"/>
  <c r="AU305" i="29"/>
  <c r="AT313" i="29"/>
  <c r="AU313" i="29"/>
  <c r="AS313" i="29"/>
  <c r="AU362" i="29"/>
  <c r="AT362" i="29"/>
  <c r="AS362" i="29"/>
  <c r="AR362" i="29"/>
  <c r="I52" i="29" a="1"/>
  <c r="I52" i="29" s="1"/>
  <c r="C52" i="29" a="1"/>
  <c r="C52" i="29" s="1"/>
  <c r="F52" i="29" a="1"/>
  <c r="F52" i="29" s="1"/>
  <c r="E52" i="29"/>
  <c r="D52" i="29" a="1"/>
  <c r="D52" i="29" s="1"/>
  <c r="Z76" i="29"/>
  <c r="AS77" i="29"/>
  <c r="AU78" i="29"/>
  <c r="AT78" i="29"/>
  <c r="Z89" i="29"/>
  <c r="AR90" i="29"/>
  <c r="Z98" i="29"/>
  <c r="AU99" i="29"/>
  <c r="AR103" i="29"/>
  <c r="AS108" i="29"/>
  <c r="AS120" i="29"/>
  <c r="Z127" i="29"/>
  <c r="Y128" i="29"/>
  <c r="AT128" i="29"/>
  <c r="AS129" i="29"/>
  <c r="AU129" i="29"/>
  <c r="AT129" i="29"/>
  <c r="AM144" i="29"/>
  <c r="AL144" i="29"/>
  <c r="O8" i="29" s="1"/>
  <c r="AR154" i="29"/>
  <c r="AT162" i="29"/>
  <c r="AT174" i="29"/>
  <c r="AU182" i="29"/>
  <c r="AT182" i="29"/>
  <c r="Y199" i="29"/>
  <c r="Z205" i="29"/>
  <c r="AS206" i="29"/>
  <c r="AS229" i="29"/>
  <c r="AU230" i="29"/>
  <c r="AT230" i="29"/>
  <c r="Z276" i="29"/>
  <c r="Y276" i="29"/>
  <c r="AU278" i="29"/>
  <c r="AT278" i="29"/>
  <c r="AU299" i="29"/>
  <c r="AS300" i="29"/>
  <c r="AR300" i="29"/>
  <c r="Z318" i="29"/>
  <c r="AT324" i="29"/>
  <c r="Z361" i="29"/>
  <c r="Y361" i="29"/>
  <c r="AS386" i="29"/>
  <c r="AT387" i="29"/>
  <c r="AS387" i="29"/>
  <c r="AU387" i="29"/>
  <c r="AR387" i="29"/>
  <c r="AU396" i="29"/>
  <c r="AR397" i="29"/>
  <c r="AU398" i="29"/>
  <c r="AT398" i="29"/>
  <c r="AS398" i="29"/>
  <c r="AR398" i="29"/>
  <c r="Y411" i="29"/>
  <c r="AT412" i="29"/>
  <c r="AS412" i="29"/>
  <c r="AU413" i="29"/>
  <c r="AT413" i="29"/>
  <c r="Z420" i="29"/>
  <c r="AR421" i="29"/>
  <c r="Z96" i="29"/>
  <c r="AT77" i="29"/>
  <c r="AR78" i="29"/>
  <c r="AT79" i="29"/>
  <c r="AU79" i="29"/>
  <c r="AS79" i="29"/>
  <c r="AR79" i="29"/>
  <c r="AS90" i="29"/>
  <c r="Y99" i="29"/>
  <c r="Z99" i="29"/>
  <c r="Y101" i="29"/>
  <c r="AS103" i="29"/>
  <c r="AT108" i="29"/>
  <c r="AT120" i="29"/>
  <c r="AU128" i="29"/>
  <c r="AR129" i="29"/>
  <c r="Y153" i="29"/>
  <c r="AS154" i="29"/>
  <c r="Y162" i="29"/>
  <c r="AK172" i="29"/>
  <c r="Y174" i="29"/>
  <c r="AU174" i="29"/>
  <c r="AR182" i="29"/>
  <c r="AR200" i="29"/>
  <c r="AT206" i="29"/>
  <c r="Z228" i="29"/>
  <c r="Y229" i="29"/>
  <c r="AT229" i="29"/>
  <c r="AR230" i="29"/>
  <c r="Z274" i="29"/>
  <c r="Y274" i="29"/>
  <c r="AR278" i="29"/>
  <c r="AU279" i="29"/>
  <c r="AT279" i="29"/>
  <c r="AS279" i="29"/>
  <c r="AR279" i="29"/>
  <c r="AK295" i="29"/>
  <c r="Y299" i="29"/>
  <c r="AT300" i="29"/>
  <c r="AT301" i="29"/>
  <c r="AU301" i="29"/>
  <c r="AS301" i="29"/>
  <c r="Z319" i="29"/>
  <c r="Y319" i="29"/>
  <c r="AR321" i="29"/>
  <c r="AU324" i="29"/>
  <c r="AR325" i="29"/>
  <c r="AR357" i="29"/>
  <c r="AT366" i="29"/>
  <c r="AS366" i="29"/>
  <c r="AR366" i="29"/>
  <c r="AT386" i="29"/>
  <c r="AS389" i="29"/>
  <c r="AR389" i="29"/>
  <c r="AT390" i="29"/>
  <c r="AS390" i="29"/>
  <c r="AR412" i="29"/>
  <c r="AR413" i="29"/>
  <c r="AR238" i="29"/>
  <c r="AU238" i="29"/>
  <c r="AT316" i="29"/>
  <c r="AS316" i="29"/>
  <c r="AR316" i="29"/>
  <c r="AS339" i="29"/>
  <c r="AU339" i="29"/>
  <c r="AR361" i="29"/>
  <c r="AU361" i="29"/>
  <c r="D53" i="29" a="1"/>
  <c r="D53" i="29" s="1"/>
  <c r="I53" i="29" a="1"/>
  <c r="I53" i="29" s="1"/>
  <c r="H53" i="29" a="1"/>
  <c r="H53" i="29" s="1"/>
  <c r="C53" i="29" a="1"/>
  <c r="C53" i="29" s="1"/>
  <c r="AU100" i="29"/>
  <c r="AT100" i="29"/>
  <c r="AS100" i="29"/>
  <c r="AI108" i="29"/>
  <c r="AL108" i="29"/>
  <c r="O7" i="29" s="1"/>
  <c r="AJ108" i="29"/>
  <c r="AK108" i="29" s="1"/>
  <c r="N7" i="29" s="1"/>
  <c r="Y117" i="29"/>
  <c r="Z117" i="29"/>
  <c r="AS238" i="29"/>
  <c r="AR274" i="29"/>
  <c r="AU275" i="29"/>
  <c r="AS275" i="29"/>
  <c r="AR275" i="29"/>
  <c r="Y284" i="29"/>
  <c r="Z296" i="29"/>
  <c r="Y296" i="29"/>
  <c r="AR299" i="29"/>
  <c r="Y308" i="29"/>
  <c r="Z310" i="29"/>
  <c r="Y310" i="29"/>
  <c r="AU316" i="29"/>
  <c r="AU319" i="29"/>
  <c r="AT319" i="29"/>
  <c r="Y337" i="29"/>
  <c r="AR339" i="29"/>
  <c r="AU341" i="29"/>
  <c r="AT341" i="29"/>
  <c r="AS341" i="29"/>
  <c r="AR341" i="29"/>
  <c r="AS361" i="29"/>
  <c r="AR396" i="29"/>
  <c r="AU410" i="29"/>
  <c r="AT410" i="29"/>
  <c r="AS410" i="29"/>
  <c r="AR410" i="29"/>
  <c r="E25" i="29"/>
  <c r="C25" i="29" a="1"/>
  <c r="C25" i="29" s="1"/>
  <c r="A25" i="29"/>
  <c r="Z87" i="29"/>
  <c r="AR99" i="29"/>
  <c r="AR100" i="29"/>
  <c r="Y119" i="29"/>
  <c r="AR128" i="29"/>
  <c r="Z150" i="29"/>
  <c r="Y150" i="29"/>
  <c r="Z151" i="29"/>
  <c r="Y151" i="29"/>
  <c r="Y161" i="29"/>
  <c r="AR162" i="29"/>
  <c r="AR163" i="29"/>
  <c r="AU163" i="29"/>
  <c r="AT163" i="29"/>
  <c r="Y173" i="29"/>
  <c r="AR174" i="29"/>
  <c r="AU176" i="29"/>
  <c r="AT176" i="29"/>
  <c r="AS176" i="29"/>
  <c r="AR176" i="29"/>
  <c r="AT238" i="29"/>
  <c r="Y273" i="29"/>
  <c r="AS274" i="29"/>
  <c r="AT275" i="29"/>
  <c r="Z293" i="29"/>
  <c r="Y298" i="29"/>
  <c r="AS299" i="29"/>
  <c r="AR319" i="29"/>
  <c r="AR324" i="29"/>
  <c r="AT339" i="29"/>
  <c r="Z354" i="29"/>
  <c r="Y354" i="29"/>
  <c r="AT361" i="29"/>
  <c r="AS396" i="29"/>
  <c r="Y402" i="29"/>
  <c r="AR77" i="29"/>
  <c r="AS99" i="29"/>
  <c r="AR108" i="29"/>
  <c r="AR120" i="29"/>
  <c r="Z126" i="29"/>
  <c r="Y126" i="29"/>
  <c r="AS162" i="29"/>
  <c r="AS163" i="29"/>
  <c r="AR175" i="29"/>
  <c r="AU175" i="29"/>
  <c r="AT175" i="29"/>
  <c r="Y191" i="29"/>
  <c r="AR206" i="29"/>
  <c r="Z226" i="29"/>
  <c r="Y226" i="29"/>
  <c r="Z227" i="29"/>
  <c r="Y227" i="29"/>
  <c r="AR229" i="29"/>
  <c r="Y237" i="29"/>
  <c r="AT274" i="29"/>
  <c r="AI288" i="29"/>
  <c r="AM288" i="29"/>
  <c r="AL288" i="29"/>
  <c r="O12" i="29" s="1"/>
  <c r="AJ288" i="29"/>
  <c r="AK288" i="29" s="1"/>
  <c r="N12" i="29" s="1"/>
  <c r="AS319" i="29"/>
  <c r="AR386" i="29"/>
  <c r="AU397" i="29"/>
  <c r="AT397" i="29"/>
  <c r="AT421" i="29"/>
  <c r="AS421" i="29"/>
  <c r="I36" i="29" a="1"/>
  <c r="I36" i="29" s="1"/>
  <c r="C36" i="29" a="1"/>
  <c r="C36" i="29" s="1"/>
  <c r="A36" i="29"/>
  <c r="AS78" i="29"/>
  <c r="AU103" i="29"/>
  <c r="AR110" i="29"/>
  <c r="AU131" i="29"/>
  <c r="AT131" i="29"/>
  <c r="AS131" i="29"/>
  <c r="AT154" i="29"/>
  <c r="AS182" i="29"/>
  <c r="AR186" i="29"/>
  <c r="AS200" i="29"/>
  <c r="AS230" i="29"/>
  <c r="AI252" i="29"/>
  <c r="AM252" i="29"/>
  <c r="AL252" i="29"/>
  <c r="O11" i="29" s="1"/>
  <c r="AU267" i="29"/>
  <c r="AT267" i="29"/>
  <c r="AS267" i="29"/>
  <c r="Y275" i="29"/>
  <c r="AS278" i="29"/>
  <c r="AU300" i="29"/>
  <c r="AR301" i="29"/>
  <c r="AK317" i="29"/>
  <c r="AS321" i="29"/>
  <c r="AS357" i="29"/>
  <c r="AS358" i="29"/>
  <c r="AR358" i="29"/>
  <c r="AU358" i="29"/>
  <c r="AT358" i="29"/>
  <c r="AK362" i="29"/>
  <c r="AU366" i="29"/>
  <c r="Y386" i="29"/>
  <c r="AT389" i="29"/>
  <c r="AR390" i="29"/>
  <c r="AU412" i="29"/>
  <c r="AS413" i="29"/>
  <c r="AT122" i="29"/>
  <c r="AS122" i="29"/>
  <c r="AR122" i="29"/>
  <c r="Z418" i="29"/>
  <c r="Y418" i="29"/>
  <c r="Y78" i="29"/>
  <c r="AU122" i="29"/>
  <c r="Z135" i="29"/>
  <c r="Y135" i="29"/>
  <c r="AU146" i="29"/>
  <c r="AT146" i="29"/>
  <c r="AS146" i="29"/>
  <c r="AR152" i="29"/>
  <c r="Y157" i="29"/>
  <c r="AR170" i="29"/>
  <c r="Y175" i="29"/>
  <c r="AS180" i="29"/>
  <c r="AR187" i="29"/>
  <c r="AK209" i="29"/>
  <c r="Y210" i="29"/>
  <c r="Z223" i="29"/>
  <c r="Z230" i="29"/>
  <c r="Y230" i="29"/>
  <c r="Z238" i="29"/>
  <c r="Y238" i="29"/>
  <c r="AU249" i="29"/>
  <c r="AT249" i="29"/>
  <c r="Z262" i="29"/>
  <c r="Y262" i="29"/>
  <c r="Y278" i="29"/>
  <c r="AT303" i="29"/>
  <c r="AS303" i="29"/>
  <c r="AR303" i="29"/>
  <c r="Z313" i="29"/>
  <c r="AR329" i="29"/>
  <c r="AU330" i="29"/>
  <c r="AT330" i="29"/>
  <c r="Y340" i="29"/>
  <c r="Y357" i="29"/>
  <c r="AT384" i="29"/>
  <c r="AS384" i="29"/>
  <c r="Y394" i="29"/>
  <c r="Y397" i="29"/>
  <c r="Y409" i="29"/>
  <c r="AT429" i="29"/>
  <c r="AU429" i="29"/>
  <c r="Y80" i="29"/>
  <c r="AR94" i="29"/>
  <c r="Y100" i="29"/>
  <c r="AR101" i="29"/>
  <c r="Y116" i="29"/>
  <c r="AR117" i="29"/>
  <c r="AR130" i="29"/>
  <c r="AR137" i="29"/>
  <c r="Y145" i="29"/>
  <c r="AR146" i="29"/>
  <c r="AS152" i="29"/>
  <c r="AR158" i="29"/>
  <c r="Y164" i="29"/>
  <c r="AS170" i="29"/>
  <c r="AT180" i="29"/>
  <c r="AS187" i="29"/>
  <c r="Y192" i="29"/>
  <c r="AR211" i="29"/>
  <c r="Z222" i="29"/>
  <c r="Y222" i="29"/>
  <c r="AR224" i="29"/>
  <c r="Y231" i="29"/>
  <c r="Z239" i="29"/>
  <c r="AT240" i="29"/>
  <c r="AS240" i="29"/>
  <c r="AR240" i="29"/>
  <c r="Y248" i="29"/>
  <c r="AR249" i="29"/>
  <c r="Z253" i="29"/>
  <c r="Y253" i="29"/>
  <c r="Y254" i="29"/>
  <c r="AR255" i="29"/>
  <c r="Y263" i="29"/>
  <c r="Z271" i="29"/>
  <c r="Y271" i="29"/>
  <c r="AS281" i="29"/>
  <c r="AR281" i="29"/>
  <c r="Y302" i="29"/>
  <c r="AU303" i="29"/>
  <c r="Y314" i="29"/>
  <c r="AM324" i="29"/>
  <c r="AS329" i="29"/>
  <c r="AR330" i="29"/>
  <c r="AK349" i="29"/>
  <c r="AR352" i="29"/>
  <c r="Z362" i="29"/>
  <c r="Y362" i="29"/>
  <c r="AR384" i="29"/>
  <c r="AR429" i="29"/>
  <c r="AU88" i="29"/>
  <c r="AT88" i="29"/>
  <c r="AS88" i="29"/>
  <c r="AS101" i="29"/>
  <c r="AS117" i="29"/>
  <c r="AK135" i="29"/>
  <c r="AT137" i="29"/>
  <c r="AU180" i="29"/>
  <c r="AU188" i="29"/>
  <c r="AT188" i="29"/>
  <c r="AS188" i="29"/>
  <c r="AT211" i="29"/>
  <c r="AS249" i="29"/>
  <c r="AS255" i="29"/>
  <c r="Z264" i="29"/>
  <c r="Y264" i="29"/>
  <c r="AS292" i="29"/>
  <c r="AR292" i="29"/>
  <c r="AS315" i="29"/>
  <c r="AR315" i="29"/>
  <c r="AS330" i="29"/>
  <c r="AT344" i="29"/>
  <c r="AS344" i="29"/>
  <c r="AT364" i="29"/>
  <c r="AS364" i="29"/>
  <c r="AU384" i="29"/>
  <c r="AS385" i="29"/>
  <c r="AR385" i="29"/>
  <c r="AK427" i="29"/>
  <c r="AS429" i="29"/>
  <c r="AU222" i="29"/>
  <c r="AT222" i="29"/>
  <c r="AU296" i="29"/>
  <c r="AT296" i="29"/>
  <c r="AU348" i="29"/>
  <c r="AT348" i="29"/>
  <c r="AS348" i="29"/>
  <c r="AK393" i="29"/>
  <c r="AU430" i="29"/>
  <c r="AT430" i="29"/>
  <c r="AS430" i="29"/>
  <c r="Y74" i="29"/>
  <c r="Z83" i="29"/>
  <c r="AR84" i="29"/>
  <c r="Y88" i="29"/>
  <c r="AR93" i="29"/>
  <c r="Y97" i="29"/>
  <c r="AR102" i="29"/>
  <c r="Y106" i="29"/>
  <c r="AR109" i="29"/>
  <c r="AR127" i="29"/>
  <c r="AR136" i="29"/>
  <c r="AK139" i="29"/>
  <c r="Y140" i="29"/>
  <c r="Y146" i="29"/>
  <c r="AS155" i="29"/>
  <c r="Y163" i="29"/>
  <c r="AR168" i="29"/>
  <c r="Y176" i="29"/>
  <c r="AR183" i="29"/>
  <c r="Y198" i="29"/>
  <c r="Y221" i="29"/>
  <c r="AR222" i="29"/>
  <c r="AR228" i="29"/>
  <c r="Y295" i="29"/>
  <c r="AR296" i="29"/>
  <c r="AT317" i="29"/>
  <c r="AU317" i="29"/>
  <c r="AR328" i="29"/>
  <c r="AR336" i="29"/>
  <c r="Y341" i="29"/>
  <c r="AR342" i="29"/>
  <c r="AR348" i="29"/>
  <c r="AK353" i="29"/>
  <c r="AU367" i="29"/>
  <c r="AT367" i="29"/>
  <c r="AU368" i="29"/>
  <c r="AT368" i="29"/>
  <c r="AS368" i="29"/>
  <c r="AR368" i="29"/>
  <c r="Y379" i="29"/>
  <c r="Y422" i="29"/>
  <c r="AR430" i="29"/>
  <c r="AS109" i="29"/>
  <c r="AT155" i="29"/>
  <c r="AS183" i="29"/>
  <c r="AU184" i="29"/>
  <c r="AR184" i="29"/>
  <c r="AS222" i="29"/>
  <c r="AS228" i="29"/>
  <c r="AT247" i="29"/>
  <c r="AS247" i="29"/>
  <c r="Z285" i="29"/>
  <c r="Y285" i="29"/>
  <c r="Z286" i="29"/>
  <c r="Y286" i="29"/>
  <c r="AS296" i="29"/>
  <c r="Z309" i="29"/>
  <c r="AR317" i="29"/>
  <c r="AS342" i="29"/>
  <c r="AT360" i="29"/>
  <c r="AS360" i="29"/>
  <c r="AR367" i="29"/>
  <c r="AS381" i="29"/>
  <c r="AR381" i="29"/>
  <c r="AT424" i="29"/>
  <c r="AS424" i="29"/>
  <c r="AU253" i="29"/>
  <c r="AT253" i="29"/>
  <c r="AS306" i="29"/>
  <c r="AR306" i="29"/>
  <c r="AS349" i="29"/>
  <c r="AR349" i="29"/>
  <c r="AR253" i="29"/>
  <c r="AR259" i="29"/>
  <c r="AR289" i="29"/>
  <c r="Y305" i="29"/>
  <c r="Z305" i="29"/>
  <c r="AT306" i="29"/>
  <c r="AI324" i="29"/>
  <c r="AK325" i="29"/>
  <c r="AR327" i="29"/>
  <c r="AR343" i="29"/>
  <c r="AT349" i="29"/>
  <c r="AR414" i="29"/>
  <c r="AK329" i="29"/>
  <c r="N42" i="36" l="1" a="1"/>
  <c r="N42" i="36" s="1"/>
  <c r="N31" i="36" a="1"/>
  <c r="N31" i="36" s="1"/>
  <c r="E31" i="36" s="1"/>
  <c r="N27" i="36" a="1"/>
  <c r="N27" i="36" s="1"/>
  <c r="E27" i="36" s="1"/>
  <c r="N33" i="36" a="1"/>
  <c r="N33" i="36" s="1"/>
  <c r="N30" i="36" a="1"/>
  <c r="N30" i="36" s="1"/>
  <c r="F30" i="36" s="1" a="1"/>
  <c r="F30" i="36" s="1"/>
  <c r="N23" i="36" a="1"/>
  <c r="N23" i="36" s="1"/>
  <c r="E23" i="36" s="1"/>
  <c r="N56" i="36" a="1"/>
  <c r="N56" i="36" s="1"/>
  <c r="E56" i="36" s="1"/>
  <c r="N45" i="36" a="1"/>
  <c r="N45" i="36" s="1"/>
  <c r="N22" i="36" a="1"/>
  <c r="N22" i="36" s="1"/>
  <c r="N47" i="36" a="1"/>
  <c r="N47" i="36" s="1"/>
  <c r="N43" i="36" a="1"/>
  <c r="N43" i="36" s="1"/>
  <c r="N48" i="36" a="1"/>
  <c r="N48" i="36" s="1"/>
  <c r="N44" i="36" a="1"/>
  <c r="N44" i="36" s="1"/>
  <c r="N49" i="36" a="1"/>
  <c r="N49" i="36" s="1"/>
  <c r="N32" i="36" a="1"/>
  <c r="N32" i="36" s="1"/>
  <c r="E32" i="36" s="1"/>
  <c r="N54" i="36" a="1"/>
  <c r="N54" i="36" s="1"/>
  <c r="N25" i="36" a="1"/>
  <c r="N25" i="36" s="1"/>
  <c r="F25" i="36" s="1" a="1"/>
  <c r="F25" i="36" s="1"/>
  <c r="N39" i="36" a="1"/>
  <c r="N39" i="36" s="1"/>
  <c r="N26" i="36" a="1"/>
  <c r="N26" i="36" s="1"/>
  <c r="E26" i="36" s="1"/>
  <c r="N35" i="36" a="1"/>
  <c r="N35" i="36" s="1"/>
  <c r="N36" i="36" a="1"/>
  <c r="N36" i="36" s="1"/>
  <c r="N34" i="36" a="1"/>
  <c r="N34" i="36" s="1"/>
  <c r="F34" i="36" s="1" a="1"/>
  <c r="F34" i="36" s="1"/>
  <c r="N29" i="36" a="1"/>
  <c r="N29" i="36" s="1"/>
  <c r="E29" i="36" s="1"/>
  <c r="N24" i="36" a="1"/>
  <c r="N24" i="36" s="1"/>
  <c r="F24" i="36" s="1" a="1"/>
  <c r="F24" i="36" s="1"/>
  <c r="N37" i="36" a="1"/>
  <c r="N37" i="36" s="1"/>
  <c r="N55" i="36" a="1"/>
  <c r="N55" i="36" s="1"/>
  <c r="E55" i="36" s="1"/>
  <c r="N41" i="36" a="1"/>
  <c r="N41" i="36" s="1"/>
  <c r="N51" i="36" a="1"/>
  <c r="N51" i="36" s="1"/>
  <c r="N52" i="36" a="1"/>
  <c r="N52" i="36" s="1"/>
  <c r="N28" i="36" a="1"/>
  <c r="N28" i="36" s="1"/>
  <c r="F28" i="36" s="1" a="1"/>
  <c r="F28" i="36" s="1"/>
  <c r="N46" i="36" a="1"/>
  <c r="N46" i="36" s="1"/>
  <c r="N38" i="36" a="1"/>
  <c r="N38" i="36" s="1"/>
  <c r="N40" i="36" a="1"/>
  <c r="N40" i="36" s="1"/>
  <c r="N50" i="36" a="1"/>
  <c r="N50" i="36" s="1"/>
  <c r="N53" i="36" a="1"/>
  <c r="N53" i="36" s="1"/>
  <c r="H56" i="36" a="1"/>
  <c r="H56" i="36" s="1"/>
  <c r="N42" i="34" a="1"/>
  <c r="N42" i="34" s="1"/>
  <c r="N51" i="34" a="1"/>
  <c r="N51" i="34" s="1"/>
  <c r="N45" i="34" a="1"/>
  <c r="N45" i="34" s="1"/>
  <c r="N47" i="34" a="1"/>
  <c r="N47" i="34" s="1"/>
  <c r="N49" i="34" a="1"/>
  <c r="N49" i="34" s="1"/>
  <c r="N54" i="34" a="1"/>
  <c r="N54" i="34" s="1"/>
  <c r="N24" i="34" a="1"/>
  <c r="N24" i="34" s="1"/>
  <c r="E24" i="34" s="1"/>
  <c r="N28" i="34" a="1"/>
  <c r="N28" i="34" s="1"/>
  <c r="E28" i="34" s="1"/>
  <c r="N37" i="34" a="1"/>
  <c r="N37" i="34" s="1"/>
  <c r="N27" i="34" a="1"/>
  <c r="N27" i="34" s="1"/>
  <c r="E27" i="34" s="1"/>
  <c r="N32" i="34" a="1"/>
  <c r="N32" i="34" s="1"/>
  <c r="N34" i="34" a="1"/>
  <c r="N34" i="34" s="1"/>
  <c r="N36" i="34" a="1"/>
  <c r="N36" i="34" s="1"/>
  <c r="N40" i="34" a="1"/>
  <c r="N40" i="34" s="1"/>
  <c r="N30" i="34" a="1"/>
  <c r="N30" i="34" s="1"/>
  <c r="N23" i="34" a="1"/>
  <c r="N23" i="34" s="1"/>
  <c r="E23" i="34" s="1"/>
  <c r="N44" i="34" a="1"/>
  <c r="N44" i="34" s="1"/>
  <c r="N53" i="34" a="1"/>
  <c r="N53" i="34" s="1"/>
  <c r="N43" i="34" a="1"/>
  <c r="N43" i="34" s="1"/>
  <c r="N41" i="34" a="1"/>
  <c r="N41" i="34" s="1"/>
  <c r="N48" i="34" a="1"/>
  <c r="N48" i="34" s="1"/>
  <c r="N50" i="34" a="1"/>
  <c r="N50" i="34" s="1"/>
  <c r="N52" i="34" a="1"/>
  <c r="N52" i="34" s="1"/>
  <c r="N22" i="34" a="1"/>
  <c r="N22" i="34" s="1"/>
  <c r="E22" i="34" s="1"/>
  <c r="N56" i="34" a="1"/>
  <c r="N56" i="34" s="1"/>
  <c r="E56" i="34" s="1"/>
  <c r="N46" i="34" a="1"/>
  <c r="N46" i="34" s="1"/>
  <c r="N39" i="34" a="1"/>
  <c r="N39" i="34" s="1"/>
  <c r="N26" i="34" a="1"/>
  <c r="N26" i="34" s="1"/>
  <c r="F26" i="34" s="1" a="1"/>
  <c r="F26" i="34" s="1"/>
  <c r="N35" i="34" a="1"/>
  <c r="N35" i="34" s="1"/>
  <c r="N29" i="34" a="1"/>
  <c r="N29" i="34" s="1"/>
  <c r="N31" i="34" a="1"/>
  <c r="N31" i="34" s="1"/>
  <c r="N33" i="34" a="1"/>
  <c r="N33" i="34" s="1"/>
  <c r="N25" i="34" a="1"/>
  <c r="N25" i="34" s="1"/>
  <c r="E25" i="34" s="1"/>
  <c r="N38" i="34" a="1"/>
  <c r="N38" i="34" s="1"/>
  <c r="N55" i="34" a="1"/>
  <c r="N55" i="34" s="1"/>
  <c r="N33" i="32" a="1"/>
  <c r="N33" i="32" s="1"/>
  <c r="E33" i="32" s="1"/>
  <c r="M24" i="30" a="1"/>
  <c r="M24" i="30" s="1"/>
  <c r="N32" i="31" a="1"/>
  <c r="N32" i="31" s="1"/>
  <c r="E32" i="31" s="1"/>
  <c r="N36" i="31" a="1"/>
  <c r="N36" i="31" s="1"/>
  <c r="E36" i="31" s="1"/>
  <c r="M55" i="30" a="1"/>
  <c r="M55" i="30" s="1"/>
  <c r="H30" i="35" a="1"/>
  <c r="H30" i="35" s="1"/>
  <c r="N29" i="31" a="1"/>
  <c r="N29" i="31" s="1"/>
  <c r="F29" i="31" s="1" a="1"/>
  <c r="F29" i="31" s="1"/>
  <c r="N56" i="31" a="1"/>
  <c r="N56" i="31" s="1"/>
  <c r="E56" i="31" s="1"/>
  <c r="O56" i="31" a="1"/>
  <c r="O56" i="31" s="1"/>
  <c r="H56" i="31" s="1" a="1"/>
  <c r="H56" i="31" s="1"/>
  <c r="N53" i="30" a="1"/>
  <c r="N53" i="30" s="1"/>
  <c r="M56" i="30" a="1"/>
  <c r="M56" i="30" s="1"/>
  <c r="N33" i="31" a="1"/>
  <c r="N33" i="31" s="1"/>
  <c r="E33" i="31" s="1"/>
  <c r="O33" i="31" a="1"/>
  <c r="O33" i="31" s="1"/>
  <c r="G33" i="31" s="1"/>
  <c r="M22" i="30" a="1"/>
  <c r="M22" i="30" s="1"/>
  <c r="N24" i="30" a="1"/>
  <c r="N24" i="30" s="1"/>
  <c r="E24" i="30" s="1"/>
  <c r="N33" i="30" a="1"/>
  <c r="N33" i="30" s="1"/>
  <c r="F33" i="30" s="1" a="1"/>
  <c r="F33" i="30" s="1"/>
  <c r="N45" i="30" a="1"/>
  <c r="N45" i="30" s="1"/>
  <c r="N56" i="30" a="1"/>
  <c r="N56" i="30" s="1"/>
  <c r="E56" i="30" s="1"/>
  <c r="N22" i="30" a="1"/>
  <c r="N22" i="30" s="1"/>
  <c r="E22" i="30" s="1"/>
  <c r="N42" i="30" a="1"/>
  <c r="N42" i="30" s="1"/>
  <c r="O22" i="30" a="1"/>
  <c r="O22" i="30" s="1"/>
  <c r="G22" i="30" s="1"/>
  <c r="N55" i="30" a="1"/>
  <c r="N55" i="30" s="1"/>
  <c r="F55" i="30" s="1" a="1"/>
  <c r="F55" i="30" s="1"/>
  <c r="N25" i="30" a="1"/>
  <c r="N25" i="30" s="1"/>
  <c r="N46" i="30" a="1"/>
  <c r="N46" i="30" s="1"/>
  <c r="N39" i="30" a="1"/>
  <c r="N39" i="30" s="1"/>
  <c r="N50" i="30" a="1"/>
  <c r="N50" i="30" s="1"/>
  <c r="N47" i="30" a="1"/>
  <c r="N47" i="30" s="1"/>
  <c r="N51" i="30" a="1"/>
  <c r="N51" i="30" s="1"/>
  <c r="M33" i="30" a="1"/>
  <c r="M33" i="30" s="1"/>
  <c r="M30" i="30" a="1"/>
  <c r="M30" i="30" s="1"/>
  <c r="N30" i="30" a="1"/>
  <c r="N30" i="30" s="1"/>
  <c r="N34" i="30" a="1"/>
  <c r="N34" i="30" s="1"/>
  <c r="N52" i="30" a="1"/>
  <c r="N52" i="30" s="1"/>
  <c r="N36" i="30" a="1"/>
  <c r="N36" i="30" s="1"/>
  <c r="N40" i="30" a="1"/>
  <c r="N40" i="30" s="1"/>
  <c r="N43" i="30" a="1"/>
  <c r="N43" i="30" s="1"/>
  <c r="N54" i="30" a="1"/>
  <c r="N54" i="30" s="1"/>
  <c r="N35" i="30" a="1"/>
  <c r="N35" i="30" s="1"/>
  <c r="N48" i="30" a="1"/>
  <c r="N48" i="30" s="1"/>
  <c r="N41" i="30" a="1"/>
  <c r="N41" i="30" s="1"/>
  <c r="N44" i="30" a="1"/>
  <c r="N44" i="30" s="1"/>
  <c r="M27" i="30" a="1"/>
  <c r="M27" i="30" s="1"/>
  <c r="N37" i="30" a="1"/>
  <c r="N37" i="30" s="1"/>
  <c r="N31" i="30" a="1"/>
  <c r="N31" i="30" s="1"/>
  <c r="E31" i="30" s="1"/>
  <c r="N49" i="30" a="1"/>
  <c r="N49" i="30" s="1"/>
  <c r="N27" i="30" a="1"/>
  <c r="N27" i="30" s="1"/>
  <c r="E27" i="30" s="1"/>
  <c r="H31" i="35" a="1"/>
  <c r="H31" i="35" s="1"/>
  <c r="H30" i="36" a="1"/>
  <c r="H30" i="36" s="1"/>
  <c r="G28" i="36"/>
  <c r="G55" i="36"/>
  <c r="H34" i="36" a="1"/>
  <c r="H34" i="36" s="1"/>
  <c r="E22" i="36"/>
  <c r="F33" i="36" a="1"/>
  <c r="F33" i="36" s="1"/>
  <c r="H23" i="35" a="1"/>
  <c r="H23" i="35" s="1"/>
  <c r="H55" i="33" a="1"/>
  <c r="H55" i="33" s="1"/>
  <c r="G26" i="33"/>
  <c r="H29" i="31" a="1"/>
  <c r="H29" i="31" s="1"/>
  <c r="H36" i="31" a="1"/>
  <c r="H36" i="31" s="1"/>
  <c r="G29" i="31"/>
  <c r="E27" i="31"/>
  <c r="H25" i="32" a="1"/>
  <c r="H25" i="32" s="1"/>
  <c r="H35" i="32" a="1"/>
  <c r="H35" i="32" s="1"/>
  <c r="H23" i="31" a="1"/>
  <c r="H23" i="31" s="1"/>
  <c r="H29" i="32" a="1"/>
  <c r="H29" i="32" s="1"/>
  <c r="E23" i="31"/>
  <c r="G55" i="31"/>
  <c r="G27" i="31"/>
  <c r="H27" i="31" a="1"/>
  <c r="H27" i="31" s="1"/>
  <c r="G29" i="32"/>
  <c r="G24" i="32"/>
  <c r="H34" i="32" a="1"/>
  <c r="H34" i="32" s="1"/>
  <c r="E55" i="32"/>
  <c r="G25" i="32"/>
  <c r="G55" i="32"/>
  <c r="H33" i="32" a="1"/>
  <c r="H33" i="32" s="1"/>
  <c r="G33" i="32"/>
  <c r="H55" i="32" a="1"/>
  <c r="H55" i="32" s="1"/>
  <c r="F37" i="32" a="1"/>
  <c r="F37" i="32" s="1"/>
  <c r="E34" i="32"/>
  <c r="G22" i="34"/>
  <c r="F25" i="32" a="1"/>
  <c r="F25" i="32" s="1"/>
  <c r="G36" i="32"/>
  <c r="H26" i="32" a="1"/>
  <c r="H26" i="32" s="1"/>
  <c r="H37" i="32" a="1"/>
  <c r="H37" i="32" s="1"/>
  <c r="G22" i="32"/>
  <c r="E26" i="32"/>
  <c r="G36" i="31"/>
  <c r="G22" i="36"/>
  <c r="E22" i="32"/>
  <c r="N6" i="29"/>
  <c r="B12" i="29" s="1" a="1"/>
  <c r="B12" i="29" s="1"/>
  <c r="AM187" i="30"/>
  <c r="G30" i="32"/>
  <c r="G56" i="32"/>
  <c r="G24" i="31"/>
  <c r="H36" i="32" a="1"/>
  <c r="H36" i="32" s="1"/>
  <c r="F55" i="33" a="1"/>
  <c r="F55" i="33" s="1"/>
  <c r="H32" i="32" a="1"/>
  <c r="H32" i="32" s="1"/>
  <c r="G34" i="32"/>
  <c r="E36" i="32"/>
  <c r="E29" i="33"/>
  <c r="G32" i="31"/>
  <c r="H32" i="31" a="1"/>
  <c r="H32" i="31" s="1"/>
  <c r="E26" i="33"/>
  <c r="F31" i="35" a="1"/>
  <c r="F31" i="35" s="1"/>
  <c r="E31" i="35"/>
  <c r="E30" i="35"/>
  <c r="F30" i="35" a="1"/>
  <c r="F30" i="35" s="1"/>
  <c r="F29" i="35" a="1"/>
  <c r="F29" i="35" s="1"/>
  <c r="E29" i="35"/>
  <c r="F26" i="35" a="1"/>
  <c r="F26" i="35" s="1"/>
  <c r="E26" i="35"/>
  <c r="E24" i="35"/>
  <c r="F24" i="35" a="1"/>
  <c r="F24" i="35" s="1"/>
  <c r="E27" i="35"/>
  <c r="F27" i="35" a="1"/>
  <c r="F27" i="35" s="1"/>
  <c r="E54" i="35"/>
  <c r="F54" i="35" a="1"/>
  <c r="F54" i="35" s="1"/>
  <c r="E56" i="35"/>
  <c r="F56" i="35" a="1"/>
  <c r="F56" i="35" s="1"/>
  <c r="E55" i="35"/>
  <c r="F55" i="35" a="1"/>
  <c r="F55" i="35" s="1"/>
  <c r="E25" i="35"/>
  <c r="F25" i="35" a="1"/>
  <c r="F25" i="35" s="1"/>
  <c r="F28" i="35" a="1"/>
  <c r="F28" i="35" s="1"/>
  <c r="E28" i="35"/>
  <c r="F23" i="35" a="1"/>
  <c r="F23" i="35" s="1"/>
  <c r="E23" i="35"/>
  <c r="E22" i="35"/>
  <c r="F22" i="35" a="1"/>
  <c r="F22" i="35" s="1"/>
  <c r="E22" i="33"/>
  <c r="F23" i="33" a="1"/>
  <c r="F23" i="33" s="1"/>
  <c r="F32" i="33" a="1"/>
  <c r="F32" i="33" s="1"/>
  <c r="E30" i="33"/>
  <c r="F27" i="33" a="1"/>
  <c r="F27" i="33" s="1"/>
  <c r="F54" i="33" a="1"/>
  <c r="F54" i="33" s="1"/>
  <c r="E54" i="33"/>
  <c r="E56" i="33"/>
  <c r="E25" i="33"/>
  <c r="E28" i="33"/>
  <c r="E24" i="33"/>
  <c r="F28" i="31" a="1"/>
  <c r="F28" i="31" s="1"/>
  <c r="E54" i="32"/>
  <c r="G37" i="32"/>
  <c r="E31" i="32"/>
  <c r="F23" i="32" a="1"/>
  <c r="F23" i="32" s="1"/>
  <c r="E23" i="32"/>
  <c r="H27" i="32" a="1"/>
  <c r="H27" i="32" s="1"/>
  <c r="E25" i="32"/>
  <c r="E37" i="32"/>
  <c r="E39" i="32"/>
  <c r="G26" i="32"/>
  <c r="F36" i="32" a="1"/>
  <c r="F36" i="32" s="1"/>
  <c r="H22" i="32" a="1"/>
  <c r="H22" i="32" s="1"/>
  <c r="E35" i="32"/>
  <c r="E43" i="32"/>
  <c r="F34" i="32" a="1"/>
  <c r="F34" i="32" s="1"/>
  <c r="F45" i="32" a="1"/>
  <c r="F45" i="32" s="1"/>
  <c r="E45" i="32"/>
  <c r="E38" i="32"/>
  <c r="F26" i="32" a="1"/>
  <c r="F26" i="32" s="1"/>
  <c r="F55" i="32" a="1"/>
  <c r="F55" i="32" s="1"/>
  <c r="F56" i="32" a="1"/>
  <c r="F56" i="32" s="1"/>
  <c r="E56" i="32"/>
  <c r="F29" i="32" a="1"/>
  <c r="F29" i="32" s="1"/>
  <c r="E29" i="32"/>
  <c r="F28" i="32" a="1"/>
  <c r="F28" i="32" s="1"/>
  <c r="E32" i="32"/>
  <c r="F32" i="32" a="1"/>
  <c r="F32" i="32" s="1"/>
  <c r="F24" i="32" a="1"/>
  <c r="F24" i="32" s="1"/>
  <c r="F22" i="32" a="1"/>
  <c r="F22" i="32" s="1"/>
  <c r="F27" i="32" a="1"/>
  <c r="F27" i="32" s="1"/>
  <c r="E27" i="32"/>
  <c r="E41" i="32"/>
  <c r="E44" i="32"/>
  <c r="F30" i="32" a="1"/>
  <c r="F30" i="32" s="1"/>
  <c r="F27" i="31" a="1"/>
  <c r="F27" i="31" s="1"/>
  <c r="F35" i="31" a="1"/>
  <c r="F35" i="31" s="1"/>
  <c r="E35" i="31"/>
  <c r="F41" i="31" a="1"/>
  <c r="F41" i="31" s="1"/>
  <c r="F37" i="31" a="1"/>
  <c r="F37" i="31" s="1"/>
  <c r="E37" i="31"/>
  <c r="F34" i="31" a="1"/>
  <c r="F34" i="31" s="1"/>
  <c r="E34" i="31"/>
  <c r="E39" i="31"/>
  <c r="F31" i="31" a="1"/>
  <c r="F31" i="31" s="1"/>
  <c r="E31" i="31"/>
  <c r="F30" i="31" a="1"/>
  <c r="F30" i="31" s="1"/>
  <c r="E30" i="31"/>
  <c r="E40" i="31"/>
  <c r="F24" i="31" a="1"/>
  <c r="F24" i="31" s="1"/>
  <c r="E53" i="31"/>
  <c r="F26" i="31" a="1"/>
  <c r="F26" i="31" s="1"/>
  <c r="G22" i="31"/>
  <c r="E25" i="31"/>
  <c r="F23" i="31" a="1"/>
  <c r="F23" i="31" s="1"/>
  <c r="H25" i="31" a="1"/>
  <c r="H25" i="31" s="1"/>
  <c r="G25" i="31"/>
  <c r="F52" i="31" a="1"/>
  <c r="F52" i="31" s="1"/>
  <c r="E55" i="31"/>
  <c r="F55" i="31" a="1"/>
  <c r="F55" i="31" s="1"/>
  <c r="F54" i="31" a="1"/>
  <c r="F54" i="31" s="1"/>
  <c r="F22" i="31" a="1"/>
  <c r="F22" i="31" s="1"/>
  <c r="AK401" i="30"/>
  <c r="AL297" i="30"/>
  <c r="AM297" i="30"/>
  <c r="AK82" i="30"/>
  <c r="AK73" i="30"/>
  <c r="O23" i="30" s="1" a="1"/>
  <c r="O23" i="30" s="1"/>
  <c r="AJ297" i="30"/>
  <c r="AK297" i="30" s="1"/>
  <c r="AR254" i="30"/>
  <c r="G27" i="30"/>
  <c r="H24" i="30" a="1"/>
  <c r="H24" i="30" s="1"/>
  <c r="G24" i="30"/>
  <c r="AR76" i="30"/>
  <c r="H30" i="30" a="1"/>
  <c r="H30" i="30" s="1"/>
  <c r="H27" i="30" a="1"/>
  <c r="H27" i="30" s="1"/>
  <c r="AK79" i="30"/>
  <c r="O29" i="30" s="1" a="1"/>
  <c r="O29" i="30" s="1"/>
  <c r="G33" i="30"/>
  <c r="H33" i="30" a="1"/>
  <c r="H33" i="30" s="1"/>
  <c r="G30" i="30"/>
  <c r="H55" i="30" a="1"/>
  <c r="H55" i="30" s="1"/>
  <c r="AK76" i="30"/>
  <c r="O26" i="30" s="1" a="1"/>
  <c r="O26" i="30" s="1"/>
  <c r="G55" i="30"/>
  <c r="H56" i="30" a="1"/>
  <c r="H56" i="30" s="1"/>
  <c r="G56" i="30"/>
  <c r="AK78" i="30"/>
  <c r="O28" i="30" s="1" a="1"/>
  <c r="O28" i="30" s="1"/>
  <c r="H31" i="30" a="1"/>
  <c r="H31" i="30" s="1"/>
  <c r="G31" i="30"/>
  <c r="N41" i="29" l="1" a="1"/>
  <c r="N41" i="29" s="1"/>
  <c r="N42" i="29" a="1"/>
  <c r="N42" i="29" s="1"/>
  <c r="N35" i="29" a="1"/>
  <c r="N35" i="29" s="1"/>
  <c r="N47" i="29" a="1"/>
  <c r="N47" i="29" s="1"/>
  <c r="N33" i="29" a="1"/>
  <c r="N33" i="29" s="1"/>
  <c r="N29" i="29" a="1"/>
  <c r="N29" i="29" s="1"/>
  <c r="N24" i="29" a="1"/>
  <c r="N24" i="29" s="1"/>
  <c r="N50" i="29" a="1"/>
  <c r="N50" i="29" s="1"/>
  <c r="N22" i="29" a="1"/>
  <c r="N22" i="29" s="1"/>
  <c r="F22" i="29" s="1" a="1"/>
  <c r="F22" i="29" s="1"/>
  <c r="N32" i="29" a="1"/>
  <c r="N32" i="29" s="1"/>
  <c r="N51" i="29" a="1"/>
  <c r="N51" i="29" s="1"/>
  <c r="N39" i="29" a="1"/>
  <c r="N39" i="29" s="1"/>
  <c r="N49" i="29" a="1"/>
  <c r="N49" i="29" s="1"/>
  <c r="N45" i="29" a="1"/>
  <c r="N45" i="29" s="1"/>
  <c r="N55" i="29" a="1"/>
  <c r="N55" i="29" s="1"/>
  <c r="N53" i="29" a="1"/>
  <c r="N53" i="29" s="1"/>
  <c r="N36" i="29" a="1"/>
  <c r="N36" i="29" s="1"/>
  <c r="N38" i="29" a="1"/>
  <c r="N38" i="29" s="1"/>
  <c r="N37" i="29" a="1"/>
  <c r="N37" i="29" s="1"/>
  <c r="N28" i="29" a="1"/>
  <c r="N28" i="29" s="1"/>
  <c r="N46" i="29" a="1"/>
  <c r="N46" i="29" s="1"/>
  <c r="N52" i="29" a="1"/>
  <c r="N52" i="29" s="1"/>
  <c r="N56" i="29" a="1"/>
  <c r="N56" i="29" s="1"/>
  <c r="N40" i="29" a="1"/>
  <c r="N40" i="29" s="1"/>
  <c r="N30" i="29" a="1"/>
  <c r="N30" i="29" s="1"/>
  <c r="N54" i="29" a="1"/>
  <c r="N54" i="29" s="1"/>
  <c r="N44" i="29" a="1"/>
  <c r="N44" i="29" s="1"/>
  <c r="N43" i="29" a="1"/>
  <c r="N43" i="29" s="1"/>
  <c r="N27" i="29" a="1"/>
  <c r="N27" i="29" s="1"/>
  <c r="N25" i="29" a="1"/>
  <c r="N25" i="29" s="1"/>
  <c r="N26" i="29" a="1"/>
  <c r="N26" i="29" s="1"/>
  <c r="N48" i="29" a="1"/>
  <c r="N48" i="29" s="1"/>
  <c r="N34" i="29" a="1"/>
  <c r="N34" i="29" s="1"/>
  <c r="N31" i="29" a="1"/>
  <c r="N31" i="29" s="1"/>
  <c r="N23" i="29" a="1"/>
  <c r="N23" i="29" s="1"/>
  <c r="F55" i="36" a="1"/>
  <c r="F55" i="36" s="1"/>
  <c r="H33" i="31" a="1"/>
  <c r="H33" i="31" s="1"/>
  <c r="N26" i="30" a="1"/>
  <c r="N26" i="30" s="1"/>
  <c r="E26" i="30" s="1"/>
  <c r="N23" i="30" a="1"/>
  <c r="N23" i="30" s="1"/>
  <c r="E23" i="30" s="1"/>
  <c r="N29" i="30" a="1"/>
  <c r="N29" i="30" s="1"/>
  <c r="E29" i="30" s="1"/>
  <c r="F26" i="36" a="1"/>
  <c r="F26" i="36" s="1"/>
  <c r="N32" i="30" a="1"/>
  <c r="N32" i="30" s="1"/>
  <c r="E32" i="30" s="1"/>
  <c r="O32" i="30" a="1"/>
  <c r="O32" i="30" s="1"/>
  <c r="G32" i="30" s="1"/>
  <c r="N28" i="30" a="1"/>
  <c r="N28" i="30" s="1"/>
  <c r="F28" i="30" s="1" a="1"/>
  <c r="F28" i="30" s="1"/>
  <c r="E34" i="36"/>
  <c r="F25" i="34" a="1"/>
  <c r="F25" i="34" s="1"/>
  <c r="F23" i="36" a="1"/>
  <c r="F23" i="36" s="1"/>
  <c r="E28" i="36"/>
  <c r="F32" i="36" a="1"/>
  <c r="F32" i="36" s="1"/>
  <c r="F22" i="34" a="1"/>
  <c r="F22" i="34" s="1"/>
  <c r="F31" i="36" a="1"/>
  <c r="F31" i="36" s="1"/>
  <c r="F27" i="34" a="1"/>
  <c r="F27" i="34" s="1"/>
  <c r="F29" i="36" a="1"/>
  <c r="F29" i="36" s="1"/>
  <c r="E30" i="36"/>
  <c r="F23" i="34" a="1"/>
  <c r="F23" i="34" s="1"/>
  <c r="F27" i="36" a="1"/>
  <c r="F27" i="36" s="1"/>
  <c r="F56" i="36" a="1"/>
  <c r="F56" i="36" s="1"/>
  <c r="E33" i="36"/>
  <c r="F28" i="34" a="1"/>
  <c r="F28" i="34" s="1"/>
  <c r="E24" i="36"/>
  <c r="E25" i="36"/>
  <c r="F22" i="36" a="1"/>
  <c r="F22" i="36" s="1"/>
  <c r="F24" i="34" a="1"/>
  <c r="F24" i="34" s="1"/>
  <c r="F56" i="34" a="1"/>
  <c r="F56" i="34" s="1"/>
  <c r="E26" i="34"/>
  <c r="G56" i="31"/>
  <c r="G28" i="30"/>
  <c r="H23" i="30" a="1"/>
  <c r="H23" i="30" s="1"/>
  <c r="H26" i="30" a="1"/>
  <c r="H26" i="30" s="1"/>
  <c r="H29" i="30" a="1"/>
  <c r="H29" i="30" s="1"/>
  <c r="E29" i="31"/>
  <c r="F32" i="31" a="1"/>
  <c r="F32" i="31" s="1"/>
  <c r="F33" i="31" a="1"/>
  <c r="F33" i="31" s="1"/>
  <c r="F33" i="32" a="1"/>
  <c r="F33" i="32" s="1"/>
  <c r="F36" i="31" a="1"/>
  <c r="F36" i="31" s="1"/>
  <c r="F56" i="31" a="1"/>
  <c r="F56" i="31" s="1"/>
  <c r="F22" i="30" a="1"/>
  <c r="F22" i="30" s="1"/>
  <c r="F27" i="30" a="1"/>
  <c r="F27" i="30" s="1"/>
  <c r="G29" i="30"/>
  <c r="F24" i="30" a="1"/>
  <c r="F24" i="30" s="1"/>
  <c r="F56" i="30" a="1"/>
  <c r="F56" i="30" s="1"/>
  <c r="F31" i="30" a="1"/>
  <c r="F31" i="30" s="1"/>
  <c r="F30" i="30" a="1"/>
  <c r="F30" i="30" s="1"/>
  <c r="E30" i="30"/>
  <c r="E33" i="30"/>
  <c r="E55" i="30"/>
  <c r="H28" i="30" a="1"/>
  <c r="H28" i="30" s="1"/>
  <c r="H22" i="30" a="1"/>
  <c r="H22" i="30" s="1"/>
  <c r="H32" i="30" l="1" a="1"/>
  <c r="H32" i="30" s="1"/>
  <c r="G23" i="30"/>
  <c r="G26" i="30"/>
  <c r="E22" i="29"/>
  <c r="G22" i="29"/>
  <c r="H22" i="29" a="1"/>
  <c r="H22" i="29" s="1"/>
  <c r="F26" i="30" a="1"/>
  <c r="F26" i="30" s="1"/>
  <c r="F23" i="30" a="1"/>
  <c r="F23" i="30" s="1"/>
  <c r="F32" i="30" a="1"/>
  <c r="F32" i="30" s="1"/>
  <c r="F29" i="30" a="1"/>
  <c r="F29" i="30" s="1"/>
  <c r="E28" i="30"/>
  <c r="I25" i="27"/>
  <c r="E25" i="27"/>
  <c r="C25" i="27"/>
  <c r="A25" i="27"/>
  <c r="O21" i="27"/>
  <c r="E21" i="27"/>
  <c r="O20" i="27"/>
  <c r="E20" i="27"/>
  <c r="O19" i="27"/>
  <c r="E19" i="27"/>
  <c r="O18" i="27"/>
  <c r="E18" i="27"/>
  <c r="O17" i="27"/>
  <c r="E17" i="27"/>
  <c r="O16" i="27"/>
  <c r="E16" i="27"/>
  <c r="O15" i="27"/>
  <c r="E15" i="27"/>
  <c r="O14" i="27"/>
  <c r="E14" i="27"/>
  <c r="O13" i="27"/>
  <c r="E13" i="27"/>
  <c r="O12" i="27"/>
  <c r="E12" i="27"/>
  <c r="O11" i="27"/>
  <c r="E11" i="27"/>
  <c r="O10" i="27"/>
  <c r="E10" i="27"/>
  <c r="G4" i="26"/>
  <c r="G25" i="27" l="1"/>
  <c r="K25" i="27" s="1"/>
  <c r="CX2459" i="21" l="1"/>
  <c r="R4" i="21" s="1"/>
  <c r="U66" i="21"/>
  <c r="U65" i="21"/>
  <c r="V65" i="21" s="1"/>
  <c r="W65" i="21" s="1"/>
  <c r="X65" i="21" s="1"/>
  <c r="Y65" i="21" s="1"/>
  <c r="Z65" i="21" s="1"/>
  <c r="AA65" i="21" s="1"/>
  <c r="U64" i="21"/>
  <c r="U63" i="21"/>
  <c r="U62" i="21"/>
  <c r="U61" i="21"/>
  <c r="U60" i="21"/>
  <c r="V60" i="21" s="1"/>
  <c r="W60" i="21" s="1"/>
  <c r="X60" i="21" s="1"/>
  <c r="Y60" i="21" s="1"/>
  <c r="Z60" i="21" s="1"/>
  <c r="AA60" i="21" s="1"/>
  <c r="U59" i="21"/>
  <c r="U58" i="21"/>
  <c r="U57" i="21"/>
  <c r="U56" i="21"/>
  <c r="U55" i="21"/>
  <c r="V55" i="21" s="1"/>
  <c r="W55" i="21" s="1"/>
  <c r="X55" i="21" s="1"/>
  <c r="Y55" i="21" s="1"/>
  <c r="Z55" i="21" s="1"/>
  <c r="AA55" i="21" s="1"/>
  <c r="U54" i="21"/>
  <c r="U53" i="21"/>
  <c r="U52" i="21"/>
  <c r="U51" i="21"/>
  <c r="U50" i="21"/>
  <c r="U49" i="21"/>
  <c r="U48" i="21"/>
  <c r="U47" i="21"/>
  <c r="U46" i="21"/>
  <c r="V46" i="21" s="1"/>
  <c r="W46" i="21" s="1"/>
  <c r="X46" i="21" s="1"/>
  <c r="Y46" i="21" s="1"/>
  <c r="Z46" i="21" s="1"/>
  <c r="AA46" i="21" s="1"/>
  <c r="U45" i="21"/>
  <c r="U44" i="21"/>
  <c r="U43" i="21"/>
  <c r="U42" i="21"/>
  <c r="U41" i="21"/>
  <c r="U40" i="21"/>
  <c r="U39" i="21"/>
  <c r="U38" i="21"/>
  <c r="U37" i="21"/>
  <c r="U36" i="21"/>
  <c r="V36" i="21" s="1"/>
  <c r="W36" i="21" s="1"/>
  <c r="X36" i="21" s="1"/>
  <c r="Y36" i="21" s="1"/>
  <c r="Z36" i="21" s="1"/>
  <c r="AA36" i="21" s="1"/>
  <c r="U35" i="21"/>
  <c r="U34" i="21"/>
  <c r="U33" i="21"/>
  <c r="V33" i="21" s="1"/>
  <c r="W33" i="21" s="1"/>
  <c r="X33" i="21" s="1"/>
  <c r="Y33" i="21" s="1"/>
  <c r="Z33" i="21" s="1"/>
  <c r="AA33" i="21" s="1"/>
  <c r="U32" i="21"/>
  <c r="V32" i="21" s="1"/>
  <c r="W32" i="21" s="1"/>
  <c r="X32" i="21" s="1"/>
  <c r="Y32" i="21" s="1"/>
  <c r="Z32" i="21" s="1"/>
  <c r="AA32" i="21" s="1"/>
  <c r="U31" i="21"/>
  <c r="U30" i="21"/>
  <c r="U29" i="21"/>
  <c r="V29" i="21" s="1"/>
  <c r="W29" i="21" s="1"/>
  <c r="X29" i="21" s="1"/>
  <c r="Y29" i="21" s="1"/>
  <c r="Z29" i="21" s="1"/>
  <c r="AA29" i="21" s="1"/>
  <c r="U28" i="21"/>
  <c r="V28" i="21" s="1"/>
  <c r="W28" i="21" s="1"/>
  <c r="X28" i="21" s="1"/>
  <c r="Y28" i="21" s="1"/>
  <c r="Z28" i="21" s="1"/>
  <c r="AA28" i="21" s="1"/>
  <c r="U27" i="21"/>
  <c r="U26" i="21"/>
  <c r="V26" i="21" s="1"/>
  <c r="W26" i="21" s="1"/>
  <c r="X26" i="21" s="1"/>
  <c r="Y26" i="21" s="1"/>
  <c r="Z26" i="21" s="1"/>
  <c r="AA26" i="21" s="1"/>
  <c r="U25" i="21"/>
  <c r="V25" i="21" s="1"/>
  <c r="W25" i="21" s="1"/>
  <c r="X25" i="21" s="1"/>
  <c r="Y25" i="21" s="1"/>
  <c r="Z25" i="21" s="1"/>
  <c r="AA25" i="21" s="1"/>
  <c r="U24" i="21"/>
  <c r="U23" i="21"/>
  <c r="U22" i="21"/>
  <c r="U21" i="21"/>
  <c r="V21" i="21" s="1"/>
  <c r="W21" i="21" s="1"/>
  <c r="X21" i="21" s="1"/>
  <c r="Y21" i="21" s="1"/>
  <c r="Z21" i="21" s="1"/>
  <c r="AA21" i="21" s="1"/>
  <c r="U20" i="21"/>
  <c r="U19" i="21"/>
  <c r="U18" i="21"/>
  <c r="V18" i="21" s="1"/>
  <c r="W18" i="21" s="1"/>
  <c r="X18" i="21" s="1"/>
  <c r="Y18" i="21" s="1"/>
  <c r="Z18" i="21" s="1"/>
  <c r="AA18" i="21" s="1"/>
  <c r="BX18" i="21" s="1"/>
  <c r="U17" i="21"/>
  <c r="U16" i="21"/>
  <c r="U15" i="21"/>
  <c r="U14" i="21"/>
  <c r="V14" i="21" s="1"/>
  <c r="W14" i="21" s="1"/>
  <c r="X14" i="21" s="1"/>
  <c r="Y14" i="21" s="1"/>
  <c r="Z14" i="21" s="1"/>
  <c r="AA14" i="21" s="1"/>
  <c r="U13" i="21"/>
  <c r="U12" i="21"/>
  <c r="U11" i="21"/>
  <c r="U10" i="21"/>
  <c r="U9" i="21"/>
  <c r="U8" i="21"/>
  <c r="U7" i="21"/>
  <c r="V61" i="21" l="1"/>
  <c r="W61" i="21" s="1"/>
  <c r="X61" i="21" s="1"/>
  <c r="Y61" i="21" s="1"/>
  <c r="Z61" i="21" s="1"/>
  <c r="AA61" i="21" s="1"/>
  <c r="CB61" i="21" s="1"/>
  <c r="V37" i="21"/>
  <c r="W37" i="21" s="1"/>
  <c r="X37" i="21" s="1"/>
  <c r="Y37" i="21" s="1"/>
  <c r="Z37" i="21" s="1"/>
  <c r="AA37" i="21" s="1"/>
  <c r="CJ37" i="21" s="1"/>
  <c r="V58" i="21"/>
  <c r="W58" i="21" s="1"/>
  <c r="X58" i="21" s="1"/>
  <c r="Y58" i="21" s="1"/>
  <c r="Z58" i="21" s="1"/>
  <c r="AA58" i="21" s="1"/>
  <c r="CJ58" i="21" s="1"/>
  <c r="CI58" i="21" s="1"/>
  <c r="V47" i="21"/>
  <c r="W47" i="21" s="1"/>
  <c r="X47" i="21" s="1"/>
  <c r="Y47" i="21" s="1"/>
  <c r="Z47" i="21" s="1"/>
  <c r="AA47" i="21" s="1"/>
  <c r="AG47" i="21" s="1"/>
  <c r="BR14" i="21"/>
  <c r="AL14" i="21"/>
  <c r="AK14" i="21" s="1"/>
  <c r="CE14" i="21"/>
  <c r="CD14" i="21"/>
  <c r="BY14" i="21"/>
  <c r="BD14" i="21"/>
  <c r="AG14" i="21"/>
  <c r="BV14" i="21"/>
  <c r="AX14" i="21"/>
  <c r="BX14" i="21"/>
  <c r="AD14" i="21"/>
  <c r="BU14" i="21"/>
  <c r="CB14" i="21"/>
  <c r="CA14" i="21"/>
  <c r="CJ14" i="21"/>
  <c r="CG14" i="21" s="1"/>
  <c r="BS14" i="21"/>
  <c r="AH14" i="21"/>
  <c r="CD29" i="21"/>
  <c r="BU29" i="21"/>
  <c r="BR29" i="21"/>
  <c r="AL29" i="21"/>
  <c r="AK29" i="21" s="1"/>
  <c r="BS29" i="21"/>
  <c r="BO29" i="21"/>
  <c r="BN29" i="21" s="1"/>
  <c r="CJ29" i="21"/>
  <c r="CI29" i="21" s="1"/>
  <c r="AJ29" i="21"/>
  <c r="AH29" i="21"/>
  <c r="BA29" i="21"/>
  <c r="BB29" i="21" s="1"/>
  <c r="I29" i="21" s="1"/>
  <c r="CB29" i="21"/>
  <c r="CA29" i="21"/>
  <c r="BX29" i="21"/>
  <c r="BV29" i="21"/>
  <c r="BD29" i="21"/>
  <c r="V52" i="21"/>
  <c r="W52" i="21" s="1"/>
  <c r="X52" i="21" s="1"/>
  <c r="Y52" i="21" s="1"/>
  <c r="Z52" i="21" s="1"/>
  <c r="AA52" i="21" s="1"/>
  <c r="BD52" i="21" s="1"/>
  <c r="AJ14" i="21"/>
  <c r="BJ14" i="21"/>
  <c r="BJ26" i="21"/>
  <c r="BL26" i="21" s="1"/>
  <c r="BK26" i="21" s="1"/>
  <c r="CD26" i="21"/>
  <c r="AL26" i="21"/>
  <c r="AK26" i="21" s="1"/>
  <c r="BX26" i="21"/>
  <c r="AX26" i="21"/>
  <c r="AY26" i="21" s="1"/>
  <c r="CB26" i="21"/>
  <c r="CA26" i="21"/>
  <c r="BY26" i="21"/>
  <c r="AH26" i="21"/>
  <c r="AG26" i="21"/>
  <c r="BV26" i="21"/>
  <c r="BU26" i="21"/>
  <c r="AD26" i="21"/>
  <c r="AB26" i="21" s="1"/>
  <c r="BD26" i="21"/>
  <c r="V41" i="21"/>
  <c r="W41" i="21" s="1"/>
  <c r="X41" i="21" s="1"/>
  <c r="Y41" i="21" s="1"/>
  <c r="Z41" i="21" s="1"/>
  <c r="AA41" i="21" s="1"/>
  <c r="CE41" i="21" s="1"/>
  <c r="BO14" i="21"/>
  <c r="BO32" i="21"/>
  <c r="BS32" i="21"/>
  <c r="CD32" i="21"/>
  <c r="AD32" i="21"/>
  <c r="AC32" i="21" s="1"/>
  <c r="BA32" i="21"/>
  <c r="BB32" i="21" s="1"/>
  <c r="I32" i="21" s="1"/>
  <c r="CE32" i="21"/>
  <c r="AG32" i="21"/>
  <c r="AL32" i="21"/>
  <c r="AK32" i="21" s="1"/>
  <c r="BJ65" i="21"/>
  <c r="BL65" i="21" s="1"/>
  <c r="BK65" i="21" s="1"/>
  <c r="BD65" i="21"/>
  <c r="H25" i="21"/>
  <c r="BX25" i="21"/>
  <c r="AL25" i="21"/>
  <c r="AK25" i="21" s="1"/>
  <c r="CE25" i="21"/>
  <c r="BJ25" i="21"/>
  <c r="AJ25" i="21"/>
  <c r="CB25" i="21"/>
  <c r="AG25" i="21"/>
  <c r="CA25" i="21"/>
  <c r="CD25" i="21"/>
  <c r="AH25" i="21"/>
  <c r="BA25" i="21"/>
  <c r="BB25" i="21" s="1"/>
  <c r="I25" i="21" s="1"/>
  <c r="BR25" i="21"/>
  <c r="AX25" i="21"/>
  <c r="AO25" i="21" s="1"/>
  <c r="BV25" i="21"/>
  <c r="BS25" i="21"/>
  <c r="BO25" i="21"/>
  <c r="BY33" i="21"/>
  <c r="BX33" i="21"/>
  <c r="CB33" i="21"/>
  <c r="CA33" i="21"/>
  <c r="BD33" i="21"/>
  <c r="AH33" i="21"/>
  <c r="AG33" i="21"/>
  <c r="AJ33" i="21"/>
  <c r="CJ33" i="21"/>
  <c r="CG33" i="21" s="1"/>
  <c r="BO33" i="21"/>
  <c r="AL33" i="21"/>
  <c r="AK33" i="21" s="1"/>
  <c r="CD33" i="21"/>
  <c r="AD33" i="21"/>
  <c r="BU33" i="21"/>
  <c r="BS33" i="21"/>
  <c r="BV33" i="21"/>
  <c r="BR33" i="21"/>
  <c r="BJ33" i="21"/>
  <c r="AX33" i="21"/>
  <c r="CE33" i="21"/>
  <c r="CJ36" i="21"/>
  <c r="CK36" i="21" s="1"/>
  <c r="BS36" i="21"/>
  <c r="AX36" i="21"/>
  <c r="AV36" i="21" s="1"/>
  <c r="AD36" i="21"/>
  <c r="CD36" i="21"/>
  <c r="CA36" i="21"/>
  <c r="AJ36" i="21"/>
  <c r="AM36" i="21" s="1"/>
  <c r="G36" i="21" s="1"/>
  <c r="AH36" i="21"/>
  <c r="BA36" i="21"/>
  <c r="BB36" i="21" s="1"/>
  <c r="I36" i="21" s="1"/>
  <c r="BY36" i="21"/>
  <c r="BX36" i="21"/>
  <c r="CE36" i="21"/>
  <c r="BV36" i="21"/>
  <c r="BR36" i="21"/>
  <c r="BO36" i="21"/>
  <c r="BU36" i="21"/>
  <c r="BJ36" i="21"/>
  <c r="BD36" i="21"/>
  <c r="BE36" i="21" s="1"/>
  <c r="AG36" i="21"/>
  <c r="CJ46" i="21"/>
  <c r="CK46" i="21" s="1"/>
  <c r="BS46" i="21"/>
  <c r="BY46" i="21"/>
  <c r="AJ46" i="21"/>
  <c r="BX46" i="21"/>
  <c r="BD46" i="21"/>
  <c r="BE46" i="21" s="1"/>
  <c r="BA46" i="21"/>
  <c r="BB46" i="21" s="1"/>
  <c r="I46" i="21" s="1"/>
  <c r="AH46" i="21"/>
  <c r="CB46" i="21"/>
  <c r="AD46" i="21"/>
  <c r="CA46" i="21"/>
  <c r="AX46" i="21"/>
  <c r="AP46" i="21" s="1"/>
  <c r="BU46" i="21"/>
  <c r="CE46" i="21"/>
  <c r="CD46" i="21"/>
  <c r="BO46" i="21"/>
  <c r="BJ46" i="21"/>
  <c r="BR46" i="21"/>
  <c r="AJ18" i="21"/>
  <c r="AD25" i="21"/>
  <c r="AG46" i="21"/>
  <c r="CE28" i="21"/>
  <c r="CD28" i="21"/>
  <c r="CJ28" i="21"/>
  <c r="BO28" i="21"/>
  <c r="AL28" i="21"/>
  <c r="AK28" i="21" s="1"/>
  <c r="CA28" i="21"/>
  <c r="AH28" i="21"/>
  <c r="BD28" i="21"/>
  <c r="AG28" i="21"/>
  <c r="BY28" i="21"/>
  <c r="AD28" i="21"/>
  <c r="AJ28" i="21"/>
  <c r="CB28" i="21"/>
  <c r="BS28" i="21"/>
  <c r="BX28" i="21"/>
  <c r="BR28" i="21"/>
  <c r="BJ28" i="21"/>
  <c r="AX28" i="21"/>
  <c r="BU28" i="21"/>
  <c r="BV28" i="21"/>
  <c r="BJ18" i="21"/>
  <c r="BL18" i="21" s="1"/>
  <c r="BK18" i="21" s="1"/>
  <c r="AL18" i="21"/>
  <c r="AK18" i="21" s="1"/>
  <c r="AH18" i="21"/>
  <c r="BR18" i="21"/>
  <c r="BA18" i="21"/>
  <c r="BB18" i="21" s="1"/>
  <c r="I18" i="21" s="1"/>
  <c r="CB18" i="21"/>
  <c r="CA18" i="21"/>
  <c r="BS18" i="21"/>
  <c r="AG18" i="21"/>
  <c r="AD18" i="21"/>
  <c r="AC18" i="21" s="1"/>
  <c r="BD18" i="21"/>
  <c r="AX18" i="21"/>
  <c r="AO18" i="21" s="1"/>
  <c r="V15" i="21"/>
  <c r="W15" i="21" s="1"/>
  <c r="X15" i="21" s="1"/>
  <c r="Y15" i="21" s="1"/>
  <c r="Z15" i="21" s="1"/>
  <c r="AA15" i="21" s="1"/>
  <c r="AH15" i="21" s="1"/>
  <c r="BY18" i="21"/>
  <c r="BZ18" i="21" s="1"/>
  <c r="O18" i="21" s="1"/>
  <c r="BY21" i="21"/>
  <c r="BX21" i="21"/>
  <c r="BO21" i="21"/>
  <c r="BN21" i="21" s="1"/>
  <c r="BS21" i="21"/>
  <c r="BR21" i="21"/>
  <c r="CJ21" i="21"/>
  <c r="CG21" i="21" s="1"/>
  <c r="CD21" i="21"/>
  <c r="CE21" i="21"/>
  <c r="AX21" i="21"/>
  <c r="CB21" i="21"/>
  <c r="CA21" i="21"/>
  <c r="AL21" i="21"/>
  <c r="AK21" i="21" s="1"/>
  <c r="BV21" i="21"/>
  <c r="AH21" i="21"/>
  <c r="BU21" i="21"/>
  <c r="AG21" i="21"/>
  <c r="BJ21" i="21"/>
  <c r="AD21" i="21"/>
  <c r="BD21" i="21"/>
  <c r="V17" i="21"/>
  <c r="W17" i="21" s="1"/>
  <c r="X17" i="21" s="1"/>
  <c r="Y17" i="21" s="1"/>
  <c r="Z17" i="21" s="1"/>
  <c r="AA17" i="21" s="1"/>
  <c r="BU17" i="21" s="1"/>
  <c r="CE55" i="21"/>
  <c r="AX55" i="21"/>
  <c r="AN55" i="21" s="1"/>
  <c r="CD55" i="21"/>
  <c r="BS55" i="21"/>
  <c r="AL55" i="21"/>
  <c r="AK55" i="21" s="1"/>
  <c r="BR55" i="21"/>
  <c r="BO55" i="21"/>
  <c r="BN55" i="21" s="1"/>
  <c r="AD55" i="21"/>
  <c r="V48" i="21"/>
  <c r="W48" i="21" s="1"/>
  <c r="X48" i="21" s="1"/>
  <c r="Y48" i="21" s="1"/>
  <c r="Z48" i="21" s="1"/>
  <c r="AA48" i="21" s="1"/>
  <c r="AG48" i="21" s="1"/>
  <c r="CD60" i="21"/>
  <c r="BS60" i="21"/>
  <c r="BR60" i="21"/>
  <c r="CJ60" i="21"/>
  <c r="BJ60" i="21"/>
  <c r="BO60" i="21"/>
  <c r="BN60" i="21" s="1"/>
  <c r="AL60" i="21"/>
  <c r="AK60" i="21" s="1"/>
  <c r="BY60" i="21"/>
  <c r="BX60" i="21"/>
  <c r="BZ60" i="21" s="1"/>
  <c r="O60" i="21" s="1"/>
  <c r="BV60" i="21"/>
  <c r="AH60" i="21"/>
  <c r="CB60" i="21"/>
  <c r="CA60" i="21"/>
  <c r="AD60" i="21"/>
  <c r="BU60" i="21"/>
  <c r="V44" i="21"/>
  <c r="W44" i="21" s="1"/>
  <c r="X44" i="21" s="1"/>
  <c r="Y44" i="21" s="1"/>
  <c r="Z44" i="21" s="1"/>
  <c r="AA44" i="21" s="1"/>
  <c r="BY44" i="21" s="1"/>
  <c r="AG60" i="21"/>
  <c r="BU32" i="21"/>
  <c r="V40" i="21"/>
  <c r="W40" i="21" s="1"/>
  <c r="X40" i="21" s="1"/>
  <c r="Y40" i="21" s="1"/>
  <c r="Z40" i="21" s="1"/>
  <c r="AA40" i="21" s="1"/>
  <c r="AX40" i="21" s="1"/>
  <c r="AX60" i="21"/>
  <c r="V27" i="21"/>
  <c r="W27" i="21" s="1"/>
  <c r="X27" i="21" s="1"/>
  <c r="Y27" i="21" s="1"/>
  <c r="Z27" i="21" s="1"/>
  <c r="AA27" i="21" s="1"/>
  <c r="AD27" i="21" s="1"/>
  <c r="AE27" i="21" s="1"/>
  <c r="V7" i="21"/>
  <c r="W7" i="21" s="1"/>
  <c r="X7" i="21" s="1"/>
  <c r="Y7" i="21" s="1"/>
  <c r="Z7" i="21" s="1"/>
  <c r="AA7" i="21" s="1"/>
  <c r="AG7" i="21" s="1"/>
  <c r="V22" i="21"/>
  <c r="W22" i="21" s="1"/>
  <c r="X22" i="21" s="1"/>
  <c r="Y22" i="21" s="1"/>
  <c r="Z22" i="21" s="1"/>
  <c r="AA22" i="21" s="1"/>
  <c r="BJ22" i="21" s="1"/>
  <c r="BG22" i="21" s="1"/>
  <c r="V16" i="21"/>
  <c r="W16" i="21" s="1"/>
  <c r="X16" i="21" s="1"/>
  <c r="Y16" i="21" s="1"/>
  <c r="Z16" i="21" s="1"/>
  <c r="AA16" i="21" s="1"/>
  <c r="AX16" i="21" s="1"/>
  <c r="AO16" i="21" s="1"/>
  <c r="V51" i="21"/>
  <c r="W51" i="21" s="1"/>
  <c r="X51" i="21" s="1"/>
  <c r="Y51" i="21" s="1"/>
  <c r="Z51" i="21" s="1"/>
  <c r="AA51" i="21" s="1"/>
  <c r="BA51" i="21" s="1"/>
  <c r="BB51" i="21" s="1"/>
  <c r="I51" i="21" s="1"/>
  <c r="V54" i="21"/>
  <c r="W54" i="21" s="1"/>
  <c r="X54" i="21" s="1"/>
  <c r="Y54" i="21" s="1"/>
  <c r="Z54" i="21" s="1"/>
  <c r="AA54" i="21" s="1"/>
  <c r="AL54" i="21" s="1"/>
  <c r="AK54" i="21" s="1"/>
  <c r="BD60" i="21"/>
  <c r="V63" i="21"/>
  <c r="W63" i="21" s="1"/>
  <c r="X63" i="21" s="1"/>
  <c r="Y63" i="21" s="1"/>
  <c r="Z63" i="21" s="1"/>
  <c r="AA63" i="21" s="1"/>
  <c r="CA63" i="21" s="1"/>
  <c r="CE60" i="21"/>
  <c r="V24" i="21"/>
  <c r="W24" i="21" s="1"/>
  <c r="X24" i="21" s="1"/>
  <c r="Y24" i="21" s="1"/>
  <c r="Z24" i="21" s="1"/>
  <c r="AA24" i="21" s="1"/>
  <c r="BO24" i="21" s="1"/>
  <c r="BP24" i="21" s="1"/>
  <c r="V30" i="21"/>
  <c r="W30" i="21" s="1"/>
  <c r="X30" i="21" s="1"/>
  <c r="Y30" i="21" s="1"/>
  <c r="Z30" i="21" s="1"/>
  <c r="AA30" i="21" s="1"/>
  <c r="BV30" i="21" s="1"/>
  <c r="CJ18" i="21"/>
  <c r="V9" i="21"/>
  <c r="W9" i="21" s="1"/>
  <c r="X9" i="21" s="1"/>
  <c r="Y9" i="21" s="1"/>
  <c r="Z9" i="21" s="1"/>
  <c r="AA9" i="21" s="1"/>
  <c r="BR9" i="21" s="1"/>
  <c r="V13" i="21"/>
  <c r="W13" i="21" s="1"/>
  <c r="X13" i="21" s="1"/>
  <c r="Y13" i="21" s="1"/>
  <c r="Z13" i="21" s="1"/>
  <c r="AA13" i="21" s="1"/>
  <c r="BA13" i="21" s="1"/>
  <c r="BB13" i="21" s="1"/>
  <c r="I13" i="21" s="1"/>
  <c r="V20" i="21"/>
  <c r="W20" i="21" s="1"/>
  <c r="X20" i="21" s="1"/>
  <c r="Y20" i="21" s="1"/>
  <c r="Z20" i="21" s="1"/>
  <c r="AA20" i="21" s="1"/>
  <c r="AH20" i="21" s="1"/>
  <c r="BJ55" i="21"/>
  <c r="BG55" i="21" s="1"/>
  <c r="V34" i="21"/>
  <c r="W34" i="21" s="1"/>
  <c r="X34" i="21" s="1"/>
  <c r="Y34" i="21" s="1"/>
  <c r="Z34" i="21" s="1"/>
  <c r="AA34" i="21" s="1"/>
  <c r="AD34" i="21" s="1"/>
  <c r="V23" i="21"/>
  <c r="W23" i="21" s="1"/>
  <c r="X23" i="21" s="1"/>
  <c r="Y23" i="21" s="1"/>
  <c r="Z23" i="21" s="1"/>
  <c r="AA23" i="21" s="1"/>
  <c r="BO23" i="21" s="1"/>
  <c r="CD65" i="21"/>
  <c r="AX65" i="21"/>
  <c r="AH65" i="21"/>
  <c r="AG65" i="21"/>
  <c r="AD65" i="21"/>
  <c r="AE65" i="21" s="1"/>
  <c r="BV65" i="21"/>
  <c r="BU65" i="21"/>
  <c r="BA65" i="21"/>
  <c r="BB65" i="21" s="1"/>
  <c r="I65" i="21" s="1"/>
  <c r="CE65" i="21"/>
  <c r="CB65" i="21"/>
  <c r="AJ65" i="21"/>
  <c r="BR65" i="21"/>
  <c r="BO65" i="21"/>
  <c r="BN65" i="21" s="1"/>
  <c r="BY65" i="21"/>
  <c r="BX65" i="21"/>
  <c r="AL65" i="21"/>
  <c r="AK65" i="21" s="1"/>
  <c r="CJ65" i="21"/>
  <c r="CH65" i="21" s="1"/>
  <c r="CA65" i="21"/>
  <c r="BS65" i="21"/>
  <c r="V64" i="21"/>
  <c r="W64" i="21" s="1"/>
  <c r="X64" i="21" s="1"/>
  <c r="Y64" i="21" s="1"/>
  <c r="Z64" i="21" s="1"/>
  <c r="AA64" i="21" s="1"/>
  <c r="BD64" i="21" s="1"/>
  <c r="V11" i="21"/>
  <c r="W11" i="21" s="1"/>
  <c r="X11" i="21" s="1"/>
  <c r="Y11" i="21" s="1"/>
  <c r="Z11" i="21" s="1"/>
  <c r="AA11" i="21" s="1"/>
  <c r="BS11" i="21" s="1"/>
  <c r="V31" i="21"/>
  <c r="W31" i="21" s="1"/>
  <c r="X31" i="21" s="1"/>
  <c r="Y31" i="21" s="1"/>
  <c r="Z31" i="21" s="1"/>
  <c r="AA31" i="21" s="1"/>
  <c r="BX31" i="21" s="1"/>
  <c r="V38" i="21"/>
  <c r="W38" i="21" s="1"/>
  <c r="X38" i="21" s="1"/>
  <c r="Y38" i="21" s="1"/>
  <c r="Z38" i="21" s="1"/>
  <c r="AA38" i="21" s="1"/>
  <c r="BY38" i="21" s="1"/>
  <c r="V43" i="21"/>
  <c r="W43" i="21" s="1"/>
  <c r="X43" i="21" s="1"/>
  <c r="Y43" i="21" s="1"/>
  <c r="Z43" i="21" s="1"/>
  <c r="AA43" i="21" s="1"/>
  <c r="CA43" i="21" s="1"/>
  <c r="V56" i="21"/>
  <c r="W56" i="21" s="1"/>
  <c r="X56" i="21" s="1"/>
  <c r="Y56" i="21" s="1"/>
  <c r="Z56" i="21" s="1"/>
  <c r="AA56" i="21" s="1"/>
  <c r="AX56" i="21" s="1"/>
  <c r="AY56" i="21" s="1"/>
  <c r="V57" i="21"/>
  <c r="W57" i="21" s="1"/>
  <c r="X57" i="21" s="1"/>
  <c r="Y57" i="21" s="1"/>
  <c r="Z57" i="21" s="1"/>
  <c r="AA57" i="21" s="1"/>
  <c r="AJ57" i="21" s="1"/>
  <c r="V59" i="21"/>
  <c r="W59" i="21" s="1"/>
  <c r="X59" i="21" s="1"/>
  <c r="Y59" i="21" s="1"/>
  <c r="Z59" i="21" s="1"/>
  <c r="AA59" i="21" s="1"/>
  <c r="AD59" i="21" s="1"/>
  <c r="V10" i="21"/>
  <c r="W10" i="21" s="1"/>
  <c r="X10" i="21" s="1"/>
  <c r="Y10" i="21" s="1"/>
  <c r="Z10" i="21" s="1"/>
  <c r="AA10" i="21" s="1"/>
  <c r="AD10" i="21" s="1"/>
  <c r="AB10" i="21" s="1"/>
  <c r="V42" i="21"/>
  <c r="W42" i="21" s="1"/>
  <c r="X42" i="21" s="1"/>
  <c r="Y42" i="21" s="1"/>
  <c r="Z42" i="21" s="1"/>
  <c r="AA42" i="21" s="1"/>
  <c r="BR42" i="21" s="1"/>
  <c r="BO18" i="21"/>
  <c r="V19" i="21"/>
  <c r="W19" i="21" s="1"/>
  <c r="X19" i="21" s="1"/>
  <c r="Y19" i="21" s="1"/>
  <c r="Z19" i="21" s="1"/>
  <c r="AA19" i="21" s="1"/>
  <c r="CD19" i="21" s="1"/>
  <c r="BV18" i="21"/>
  <c r="BU18" i="21"/>
  <c r="CE18" i="21"/>
  <c r="CD18" i="21"/>
  <c r="CE26" i="21"/>
  <c r="BO26" i="21"/>
  <c r="CJ26" i="21"/>
  <c r="CG26" i="21" s="1"/>
  <c r="BS26" i="21"/>
  <c r="BR26" i="21"/>
  <c r="BA26" i="21"/>
  <c r="BB26" i="21" s="1"/>
  <c r="I26" i="21" s="1"/>
  <c r="AJ26" i="21"/>
  <c r="BX32" i="21"/>
  <c r="CB32" i="21"/>
  <c r="CA32" i="21"/>
  <c r="BJ32" i="21"/>
  <c r="BH32" i="21" s="1"/>
  <c r="BR32" i="21"/>
  <c r="CJ32" i="21"/>
  <c r="CK32" i="21" s="1"/>
  <c r="AX32" i="21"/>
  <c r="AY32" i="21" s="1"/>
  <c r="AJ32" i="21"/>
  <c r="BD32" i="21"/>
  <c r="BY32" i="21"/>
  <c r="AH32" i="21"/>
  <c r="BV32" i="21"/>
  <c r="V49" i="21"/>
  <c r="W49" i="21" s="1"/>
  <c r="X49" i="21" s="1"/>
  <c r="Y49" i="21" s="1"/>
  <c r="Z49" i="21" s="1"/>
  <c r="AA49" i="21" s="1"/>
  <c r="BA49" i="21" s="1"/>
  <c r="BB49" i="21" s="1"/>
  <c r="I49" i="21" s="1"/>
  <c r="V8" i="21"/>
  <c r="W8" i="21" s="1"/>
  <c r="X8" i="21" s="1"/>
  <c r="Y8" i="21" s="1"/>
  <c r="Z8" i="21" s="1"/>
  <c r="AA8" i="21" s="1"/>
  <c r="CB8" i="21" s="1"/>
  <c r="V12" i="21"/>
  <c r="W12" i="21" s="1"/>
  <c r="X12" i="21" s="1"/>
  <c r="Y12" i="21" s="1"/>
  <c r="Z12" i="21" s="1"/>
  <c r="AA12" i="21" s="1"/>
  <c r="AJ12" i="21" s="1"/>
  <c r="V50" i="21"/>
  <c r="W50" i="21" s="1"/>
  <c r="X50" i="21" s="1"/>
  <c r="Y50" i="21" s="1"/>
  <c r="Z50" i="21" s="1"/>
  <c r="AA50" i="21" s="1"/>
  <c r="AD50" i="21" s="1"/>
  <c r="AB50" i="21" s="1"/>
  <c r="V66" i="21"/>
  <c r="W66" i="21" s="1"/>
  <c r="X66" i="21" s="1"/>
  <c r="Y66" i="21" s="1"/>
  <c r="Z66" i="21" s="1"/>
  <c r="AA66" i="21" s="1"/>
  <c r="CJ66" i="21" s="1"/>
  <c r="CG66" i="21" s="1"/>
  <c r="BU25" i="21"/>
  <c r="CJ25" i="21"/>
  <c r="BD25" i="21"/>
  <c r="BC25" i="21" s="1"/>
  <c r="BY25" i="21"/>
  <c r="BJ29" i="21"/>
  <c r="BI29" i="21" s="1"/>
  <c r="AD29" i="21"/>
  <c r="AC29" i="21" s="1"/>
  <c r="BY29" i="21"/>
  <c r="AG29" i="21"/>
  <c r="AX29" i="21"/>
  <c r="AO29" i="21" s="1"/>
  <c r="CE29" i="21"/>
  <c r="V45" i="21"/>
  <c r="W45" i="21" s="1"/>
  <c r="X45" i="21" s="1"/>
  <c r="Y45" i="21" s="1"/>
  <c r="Z45" i="21" s="1"/>
  <c r="AA45" i="21" s="1"/>
  <c r="BO45" i="21" s="1"/>
  <c r="CJ55" i="21"/>
  <c r="CH55" i="21" s="1"/>
  <c r="BD55" i="21"/>
  <c r="AH55" i="21"/>
  <c r="BX55" i="21"/>
  <c r="AJ55" i="21"/>
  <c r="CB55" i="21"/>
  <c r="AG55" i="21"/>
  <c r="CA55" i="21"/>
  <c r="BY55" i="21"/>
  <c r="BV55" i="21"/>
  <c r="BU55" i="21"/>
  <c r="BA55" i="21"/>
  <c r="BB55" i="21" s="1"/>
  <c r="I55" i="21" s="1"/>
  <c r="BA14" i="21"/>
  <c r="BB14" i="21" s="1"/>
  <c r="I14" i="21" s="1"/>
  <c r="AJ21" i="21"/>
  <c r="V39" i="21"/>
  <c r="W39" i="21" s="1"/>
  <c r="X39" i="21" s="1"/>
  <c r="Y39" i="21" s="1"/>
  <c r="Z39" i="21" s="1"/>
  <c r="AA39" i="21" s="1"/>
  <c r="AG39" i="21" s="1"/>
  <c r="BA21" i="21"/>
  <c r="BB21" i="21" s="1"/>
  <c r="I21" i="21" s="1"/>
  <c r="BA28" i="21"/>
  <c r="BB28" i="21" s="1"/>
  <c r="I28" i="21" s="1"/>
  <c r="V35" i="21"/>
  <c r="W35" i="21" s="1"/>
  <c r="X35" i="21" s="1"/>
  <c r="Y35" i="21" s="1"/>
  <c r="Z35" i="21" s="1"/>
  <c r="AA35" i="21" s="1"/>
  <c r="BS35" i="21" s="1"/>
  <c r="CB36" i="21"/>
  <c r="AL36" i="21"/>
  <c r="AK36" i="21" s="1"/>
  <c r="BV46" i="21"/>
  <c r="AL46" i="21"/>
  <c r="AK46" i="21" s="1"/>
  <c r="BA33" i="21"/>
  <c r="BB33" i="21" s="1"/>
  <c r="I33" i="21" s="1"/>
  <c r="V62" i="21"/>
  <c r="W62" i="21" s="1"/>
  <c r="X62" i="21" s="1"/>
  <c r="Y62" i="21" s="1"/>
  <c r="Z62" i="21" s="1"/>
  <c r="AA62" i="21" s="1"/>
  <c r="AL62" i="21" s="1"/>
  <c r="AK62" i="21" s="1"/>
  <c r="V53" i="21"/>
  <c r="W53" i="21" s="1"/>
  <c r="X53" i="21" s="1"/>
  <c r="Y53" i="21" s="1"/>
  <c r="Z53" i="21" s="1"/>
  <c r="AA53" i="21" s="1"/>
  <c r="AL53" i="21" s="1"/>
  <c r="AK53" i="21" s="1"/>
  <c r="AJ60" i="21"/>
  <c r="BA60" i="21"/>
  <c r="BB60" i="21" s="1"/>
  <c r="I60" i="21" s="1"/>
  <c r="BJ61" i="21" l="1"/>
  <c r="BL61" i="21" s="1"/>
  <c r="BK61" i="21" s="1"/>
  <c r="AJ61" i="21"/>
  <c r="BO61" i="21"/>
  <c r="BN61" i="21" s="1"/>
  <c r="BD61" i="21"/>
  <c r="BC61" i="21" s="1"/>
  <c r="BU61" i="21"/>
  <c r="AL61" i="21"/>
  <c r="AK61" i="21" s="1"/>
  <c r="CA61" i="21"/>
  <c r="CC61" i="21" s="1"/>
  <c r="P61" i="21" s="1"/>
  <c r="AD61" i="21"/>
  <c r="AC61" i="21" s="1"/>
  <c r="BR61" i="21"/>
  <c r="BX61" i="21"/>
  <c r="BV61" i="21"/>
  <c r="CJ61" i="21"/>
  <c r="CG61" i="21" s="1"/>
  <c r="BA61" i="21"/>
  <c r="BB61" i="21" s="1"/>
  <c r="I61" i="21" s="1"/>
  <c r="AX61" i="21"/>
  <c r="AR61" i="21" s="1"/>
  <c r="BS61" i="21"/>
  <c r="AH61" i="21"/>
  <c r="CD61" i="21"/>
  <c r="AG61" i="21"/>
  <c r="CE61" i="21"/>
  <c r="BY61" i="21"/>
  <c r="AJ47" i="21"/>
  <c r="CE47" i="21"/>
  <c r="CJ47" i="21"/>
  <c r="CK47" i="21" s="1"/>
  <c r="AL47" i="21"/>
  <c r="AK47" i="21" s="1"/>
  <c r="AG58" i="21"/>
  <c r="AJ58" i="21"/>
  <c r="BV58" i="21"/>
  <c r="AD58" i="21"/>
  <c r="AB58" i="21" s="1"/>
  <c r="BY58" i="21"/>
  <c r="AL58" i="21"/>
  <c r="AK58" i="21" s="1"/>
  <c r="BD58" i="21"/>
  <c r="BC58" i="21" s="1"/>
  <c r="AH58" i="21"/>
  <c r="CD58" i="21"/>
  <c r="BS58" i="21"/>
  <c r="BO58" i="21"/>
  <c r="BP58" i="21" s="1"/>
  <c r="AI14" i="21"/>
  <c r="F14" i="21" s="1"/>
  <c r="BZ29" i="21"/>
  <c r="O29" i="21" s="1"/>
  <c r="BR47" i="21"/>
  <c r="AH47" i="21"/>
  <c r="AI47" i="21" s="1"/>
  <c r="F47" i="21" s="1"/>
  <c r="AX47" i="21"/>
  <c r="AY47" i="21" s="1"/>
  <c r="CG58" i="21"/>
  <c r="CA58" i="21"/>
  <c r="BA58" i="21"/>
  <c r="BB58" i="21" s="1"/>
  <c r="I58" i="21" s="1"/>
  <c r="CH58" i="21"/>
  <c r="BR37" i="21"/>
  <c r="AX37" i="21"/>
  <c r="AN37" i="21" s="1"/>
  <c r="AD37" i="21"/>
  <c r="AC37" i="21" s="1"/>
  <c r="BJ37" i="21"/>
  <c r="BH37" i="21" s="1"/>
  <c r="BX37" i="21"/>
  <c r="BV37" i="21"/>
  <c r="AG37" i="21"/>
  <c r="BD37" i="21"/>
  <c r="BC37" i="21" s="1"/>
  <c r="CA37" i="21"/>
  <c r="AH37" i="21"/>
  <c r="AJ37" i="21"/>
  <c r="BO37" i="21"/>
  <c r="BN37" i="21" s="1"/>
  <c r="BA37" i="21"/>
  <c r="BB37" i="21" s="1"/>
  <c r="I37" i="21" s="1"/>
  <c r="BU37" i="21"/>
  <c r="CE37" i="21"/>
  <c r="BY37" i="21"/>
  <c r="BS37" i="21"/>
  <c r="CD37" i="21"/>
  <c r="CB37" i="21"/>
  <c r="BW26" i="21"/>
  <c r="N26" i="21" s="1"/>
  <c r="AX58" i="21"/>
  <c r="AY58" i="21" s="1"/>
  <c r="BR58" i="21"/>
  <c r="BX58" i="21"/>
  <c r="CE58" i="21"/>
  <c r="CB58" i="21"/>
  <c r="CK58" i="21"/>
  <c r="BT46" i="21"/>
  <c r="M46" i="21" s="1"/>
  <c r="BD49" i="21"/>
  <c r="BC49" i="21" s="1"/>
  <c r="BP65" i="21"/>
  <c r="BQ65" i="21" s="1"/>
  <c r="L65" i="21" s="1"/>
  <c r="BZ65" i="21"/>
  <c r="O65" i="21" s="1"/>
  <c r="BW25" i="21"/>
  <c r="N25" i="21" s="1"/>
  <c r="AW55" i="21"/>
  <c r="BG65" i="21"/>
  <c r="CD47" i="21"/>
  <c r="BO47" i="21"/>
  <c r="BP47" i="21" s="1"/>
  <c r="CC65" i="21"/>
  <c r="P65" i="21" s="1"/>
  <c r="BA30" i="21"/>
  <c r="BB30" i="21" s="1"/>
  <c r="I30" i="21" s="1"/>
  <c r="BR41" i="21"/>
  <c r="BA41" i="21"/>
  <c r="BB41" i="21" s="1"/>
  <c r="I41" i="21" s="1"/>
  <c r="BO10" i="21"/>
  <c r="BN10" i="21" s="1"/>
  <c r="BJ58" i="21"/>
  <c r="BL58" i="21" s="1"/>
  <c r="BK58" i="21" s="1"/>
  <c r="BA42" i="21"/>
  <c r="BB42" i="21" s="1"/>
  <c r="I42" i="21" s="1"/>
  <c r="AJ49" i="21"/>
  <c r="BD7" i="21"/>
  <c r="BC7" i="21" s="1"/>
  <c r="CJ19" i="21"/>
  <c r="CG19" i="21" s="1"/>
  <c r="CC33" i="21"/>
  <c r="P33" i="21" s="1"/>
  <c r="CF14" i="21"/>
  <c r="Q14" i="21" s="1"/>
  <c r="CE19" i="21"/>
  <c r="CF19" i="21" s="1"/>
  <c r="Q19" i="21" s="1"/>
  <c r="BR19" i="21"/>
  <c r="AG42" i="21"/>
  <c r="CB40" i="21"/>
  <c r="AD19" i="21"/>
  <c r="AE19" i="21" s="1"/>
  <c r="CD17" i="21"/>
  <c r="BT33" i="21"/>
  <c r="M33" i="21" s="1"/>
  <c r="AT18" i="21"/>
  <c r="BA62" i="21"/>
  <c r="BB62" i="21" s="1"/>
  <c r="I62" i="21" s="1"/>
  <c r="BU62" i="21"/>
  <c r="BA50" i="21"/>
  <c r="BB50" i="21" s="1"/>
  <c r="I50" i="21" s="1"/>
  <c r="AC65" i="21"/>
  <c r="CC29" i="21"/>
  <c r="P29" i="21" s="1"/>
  <c r="AJ62" i="21"/>
  <c r="AM62" i="21" s="1"/>
  <c r="G62" i="21" s="1"/>
  <c r="BD62" i="21"/>
  <c r="BE62" i="21" s="1"/>
  <c r="AG64" i="21"/>
  <c r="BT65" i="21"/>
  <c r="M65" i="21" s="1"/>
  <c r="BW65" i="21"/>
  <c r="N65" i="21" s="1"/>
  <c r="AH23" i="21"/>
  <c r="AH63" i="21"/>
  <c r="CJ64" i="21"/>
  <c r="CK64" i="21" s="1"/>
  <c r="BS19" i="21"/>
  <c r="AH64" i="21"/>
  <c r="BU7" i="21"/>
  <c r="BX47" i="21"/>
  <c r="BP55" i="21"/>
  <c r="BQ55" i="21" s="1"/>
  <c r="L55" i="21" s="1"/>
  <c r="CB49" i="21"/>
  <c r="AJ7" i="21"/>
  <c r="AL37" i="21"/>
  <c r="AK37" i="21" s="1"/>
  <c r="AJ64" i="21"/>
  <c r="AX23" i="21"/>
  <c r="AO23" i="21" s="1"/>
  <c r="AD49" i="21"/>
  <c r="AC49" i="21" s="1"/>
  <c r="BU23" i="21"/>
  <c r="BE25" i="21"/>
  <c r="BF25" i="21" s="1"/>
  <c r="J25" i="21" s="1"/>
  <c r="BX12" i="21"/>
  <c r="BS56" i="21"/>
  <c r="AH31" i="21"/>
  <c r="BV23" i="21"/>
  <c r="BO7" i="21"/>
  <c r="CB30" i="21"/>
  <c r="AG57" i="21"/>
  <c r="CF21" i="21"/>
  <c r="Q21" i="21" s="1"/>
  <c r="BX52" i="21"/>
  <c r="CE57" i="21"/>
  <c r="AH57" i="21"/>
  <c r="CJ57" i="21"/>
  <c r="CI57" i="21" s="1"/>
  <c r="AH56" i="21"/>
  <c r="AX39" i="21"/>
  <c r="AO39" i="21" s="1"/>
  <c r="AW56" i="21"/>
  <c r="CF65" i="21"/>
  <c r="Q65" i="21" s="1"/>
  <c r="AG24" i="21"/>
  <c r="BZ21" i="21"/>
  <c r="O21" i="21" s="1"/>
  <c r="CD57" i="21"/>
  <c r="AD56" i="21"/>
  <c r="AE56" i="21" s="1"/>
  <c r="AS29" i="21"/>
  <c r="AG43" i="21"/>
  <c r="BY24" i="21"/>
  <c r="AD44" i="21"/>
  <c r="AC44" i="21" s="1"/>
  <c r="BS57" i="21"/>
  <c r="AM21" i="21"/>
  <c r="G21" i="21" s="1"/>
  <c r="BX57" i="21"/>
  <c r="CA17" i="21"/>
  <c r="AL24" i="21"/>
  <c r="AK24" i="21" s="1"/>
  <c r="BV44" i="21"/>
  <c r="BA24" i="21"/>
  <c r="BB24" i="21" s="1"/>
  <c r="I24" i="21" s="1"/>
  <c r="BT25" i="21"/>
  <c r="M25" i="21" s="1"/>
  <c r="CH29" i="21"/>
  <c r="CG55" i="21"/>
  <c r="AT29" i="21"/>
  <c r="AH44" i="21"/>
  <c r="BR24" i="21"/>
  <c r="BW14" i="21"/>
  <c r="N14" i="21" s="1"/>
  <c r="BT36" i="21"/>
  <c r="M36" i="21" s="1"/>
  <c r="BU24" i="21"/>
  <c r="AJ44" i="21"/>
  <c r="AM44" i="21" s="1"/>
  <c r="G44" i="21" s="1"/>
  <c r="AD57" i="21"/>
  <c r="AB57" i="21" s="1"/>
  <c r="BD42" i="21"/>
  <c r="BE42" i="21" s="1"/>
  <c r="BX44" i="21"/>
  <c r="BZ44" i="21" s="1"/>
  <c r="O44" i="21" s="1"/>
  <c r="CD51" i="21"/>
  <c r="BZ14" i="21"/>
  <c r="O14" i="21" s="1"/>
  <c r="CG37" i="21"/>
  <c r="CK37" i="21"/>
  <c r="CI37" i="21"/>
  <c r="CH37" i="21"/>
  <c r="CE59" i="21"/>
  <c r="BP29" i="21"/>
  <c r="BQ29" i="21" s="1"/>
  <c r="L29" i="21" s="1"/>
  <c r="AH43" i="21"/>
  <c r="BZ32" i="21"/>
  <c r="O32" i="21" s="1"/>
  <c r="AJ59" i="21"/>
  <c r="CB64" i="21"/>
  <c r="CA64" i="21"/>
  <c r="CB56" i="21"/>
  <c r="BV64" i="21"/>
  <c r="BS34" i="21"/>
  <c r="CD30" i="21"/>
  <c r="BU56" i="21"/>
  <c r="AG59" i="21"/>
  <c r="BD57" i="21"/>
  <c r="BC57" i="21" s="1"/>
  <c r="AG56" i="21"/>
  <c r="BU64" i="21"/>
  <c r="AG23" i="21"/>
  <c r="BJ47" i="21"/>
  <c r="BG47" i="21" s="1"/>
  <c r="AJ30" i="21"/>
  <c r="BR22" i="21"/>
  <c r="BX24" i="21"/>
  <c r="BZ33" i="21"/>
  <c r="O33" i="21" s="1"/>
  <c r="AL41" i="21"/>
  <c r="AK41" i="21" s="1"/>
  <c r="BR13" i="21"/>
  <c r="BA22" i="21"/>
  <c r="BB22" i="21" s="1"/>
  <c r="I22" i="21" s="1"/>
  <c r="AD23" i="21"/>
  <c r="AE23" i="21" s="1"/>
  <c r="CB13" i="21"/>
  <c r="BY22" i="21"/>
  <c r="BS24" i="21"/>
  <c r="CE64" i="21"/>
  <c r="AX43" i="21"/>
  <c r="AP43" i="21" s="1"/>
  <c r="AB65" i="21"/>
  <c r="CE23" i="21"/>
  <c r="BD47" i="21"/>
  <c r="BC47" i="21" s="1"/>
  <c r="CD13" i="21"/>
  <c r="CF60" i="21"/>
  <c r="Q60" i="21" s="1"/>
  <c r="AD22" i="21"/>
  <c r="AE22" i="21" s="1"/>
  <c r="AH24" i="21"/>
  <c r="CF28" i="21"/>
  <c r="Q28" i="21" s="1"/>
  <c r="BX59" i="21"/>
  <c r="CE15" i="21"/>
  <c r="CF26" i="21"/>
  <c r="Q26" i="21" s="1"/>
  <c r="BU42" i="21"/>
  <c r="AD43" i="21"/>
  <c r="AC43" i="21" s="1"/>
  <c r="CJ56" i="21"/>
  <c r="CI56" i="21" s="1"/>
  <c r="AD64" i="21"/>
  <c r="AC64" i="21" s="1"/>
  <c r="AI65" i="21"/>
  <c r="F65" i="21" s="1"/>
  <c r="AL22" i="21"/>
  <c r="AK22" i="21" s="1"/>
  <c r="AD54" i="21"/>
  <c r="AE54" i="21" s="1"/>
  <c r="AG63" i="21"/>
  <c r="AI26" i="21"/>
  <c r="F26" i="21" s="1"/>
  <c r="CC14" i="21"/>
  <c r="P14" i="21" s="1"/>
  <c r="BJ13" i="21"/>
  <c r="BL13" i="21" s="1"/>
  <c r="BK13" i="21" s="1"/>
  <c r="AL30" i="21"/>
  <c r="AK30" i="21" s="1"/>
  <c r="BV22" i="21"/>
  <c r="BA43" i="21"/>
  <c r="BB43" i="21" s="1"/>
  <c r="I43" i="21" s="1"/>
  <c r="CA20" i="21"/>
  <c r="CB54" i="21"/>
  <c r="AL34" i="21"/>
  <c r="AK34" i="21" s="1"/>
  <c r="BD50" i="21"/>
  <c r="BC50" i="21" s="1"/>
  <c r="BR23" i="21"/>
  <c r="BS45" i="21"/>
  <c r="AH19" i="21"/>
  <c r="BJ42" i="21"/>
  <c r="BI42" i="21" s="1"/>
  <c r="CE43" i="21"/>
  <c r="BJ56" i="21"/>
  <c r="BH56" i="21" s="1"/>
  <c r="BJ64" i="21"/>
  <c r="BH64" i="21" s="1"/>
  <c r="CE13" i="21"/>
  <c r="BU44" i="21"/>
  <c r="BU63" i="21"/>
  <c r="CD34" i="21"/>
  <c r="BV7" i="21"/>
  <c r="CC21" i="21"/>
  <c r="P21" i="21" s="1"/>
  <c r="BO22" i="21"/>
  <c r="BN22" i="21" s="1"/>
  <c r="BU22" i="21"/>
  <c r="BU43" i="21"/>
  <c r="CC55" i="21"/>
  <c r="P55" i="21" s="1"/>
  <c r="AX19" i="21"/>
  <c r="AV19" i="21" s="1"/>
  <c r="CA42" i="21"/>
  <c r="BX43" i="21"/>
  <c r="BJ16" i="21"/>
  <c r="BG16" i="21" s="1"/>
  <c r="CJ63" i="21"/>
  <c r="CH63" i="21" s="1"/>
  <c r="AX34" i="21"/>
  <c r="AS34" i="21" s="1"/>
  <c r="CC26" i="21"/>
  <c r="P26" i="21" s="1"/>
  <c r="BR56" i="21"/>
  <c r="AI55" i="21"/>
  <c r="F55" i="21" s="1"/>
  <c r="BV56" i="21"/>
  <c r="CA56" i="21"/>
  <c r="BR64" i="21"/>
  <c r="BV24" i="21"/>
  <c r="AJ16" i="21"/>
  <c r="CJ34" i="21"/>
  <c r="CG34" i="21" s="1"/>
  <c r="AI18" i="21"/>
  <c r="F18" i="21" s="1"/>
  <c r="AI25" i="21"/>
  <c r="F25" i="21" s="1"/>
  <c r="BO13" i="21"/>
  <c r="BP13" i="21" s="1"/>
  <c r="BX13" i="21"/>
  <c r="BX34" i="21"/>
  <c r="BV43" i="21"/>
  <c r="CE56" i="21"/>
  <c r="AN25" i="21"/>
  <c r="AS18" i="21"/>
  <c r="BC46" i="21"/>
  <c r="BF46" i="21" s="1"/>
  <c r="J46" i="21" s="1"/>
  <c r="BJ43" i="21"/>
  <c r="BG43" i="21" s="1"/>
  <c r="AL64" i="21"/>
  <c r="AK64" i="21" s="1"/>
  <c r="BY43" i="21"/>
  <c r="AL56" i="21"/>
  <c r="AK56" i="21" s="1"/>
  <c r="AX64" i="21"/>
  <c r="AU64" i="21" s="1"/>
  <c r="BY34" i="21"/>
  <c r="AL13" i="21"/>
  <c r="AK13" i="21" s="1"/>
  <c r="BV16" i="21"/>
  <c r="CE30" i="21"/>
  <c r="AX17" i="21"/>
  <c r="AU17" i="21" s="1"/>
  <c r="BR34" i="21"/>
  <c r="CD48" i="21"/>
  <c r="AM29" i="21"/>
  <c r="G29" i="21" s="1"/>
  <c r="BE64" i="21"/>
  <c r="BC64" i="21"/>
  <c r="BU35" i="21"/>
  <c r="BO31" i="21"/>
  <c r="BN31" i="21" s="1"/>
  <c r="BV45" i="21"/>
  <c r="AL35" i="21"/>
  <c r="AK35" i="21" s="1"/>
  <c r="AG45" i="21"/>
  <c r="CJ20" i="21"/>
  <c r="CK20" i="21" s="1"/>
  <c r="AJ48" i="21"/>
  <c r="CB47" i="21"/>
  <c r="BJ20" i="21"/>
  <c r="BH20" i="21" s="1"/>
  <c r="BV27" i="21"/>
  <c r="BS48" i="21"/>
  <c r="BU47" i="21"/>
  <c r="BP60" i="21"/>
  <c r="BQ60" i="21" s="1"/>
  <c r="L60" i="21" s="1"/>
  <c r="BV62" i="21"/>
  <c r="BJ66" i="21"/>
  <c r="BI66" i="21" s="1"/>
  <c r="BV49" i="21"/>
  <c r="BR57" i="21"/>
  <c r="CB38" i="21"/>
  <c r="BX64" i="21"/>
  <c r="CK65" i="21"/>
  <c r="BX23" i="21"/>
  <c r="BA20" i="21"/>
  <c r="BB20" i="21" s="1"/>
  <c r="I20" i="21" s="1"/>
  <c r="BJ24" i="21"/>
  <c r="BG24" i="21" s="1"/>
  <c r="BO63" i="21"/>
  <c r="AJ13" i="21"/>
  <c r="BR27" i="21"/>
  <c r="AJ24" i="21"/>
  <c r="BW28" i="21"/>
  <c r="N28" i="21" s="1"/>
  <c r="BZ36" i="21"/>
  <c r="O36" i="21" s="1"/>
  <c r="CA13" i="21"/>
  <c r="BS20" i="21"/>
  <c r="BR17" i="21"/>
  <c r="CB7" i="21"/>
  <c r="AI60" i="21"/>
  <c r="F60" i="21" s="1"/>
  <c r="BA47" i="21"/>
  <c r="BB47" i="21" s="1"/>
  <c r="I47" i="21" s="1"/>
  <c r="BD66" i="21"/>
  <c r="BE66" i="21" s="1"/>
  <c r="BO12" i="21"/>
  <c r="BX17" i="21"/>
  <c r="BW32" i="21"/>
  <c r="N32" i="21" s="1"/>
  <c r="AX48" i="21"/>
  <c r="BR11" i="21"/>
  <c r="BT11" i="21" s="1"/>
  <c r="M11" i="21" s="1"/>
  <c r="AD38" i="21"/>
  <c r="AC38" i="21" s="1"/>
  <c r="AH17" i="21"/>
  <c r="BX63" i="21"/>
  <c r="BJ34" i="21"/>
  <c r="BH34" i="21" s="1"/>
  <c r="CA44" i="21"/>
  <c r="CB48" i="21"/>
  <c r="AL52" i="21"/>
  <c r="AK52" i="21" s="1"/>
  <c r="AT26" i="21"/>
  <c r="CH66" i="21"/>
  <c r="CI66" i="21"/>
  <c r="BU31" i="21"/>
  <c r="CJ11" i="21"/>
  <c r="CK11" i="21" s="1"/>
  <c r="BA38" i="21"/>
  <c r="BB38" i="21" s="1"/>
  <c r="I38" i="21" s="1"/>
  <c r="BY64" i="21"/>
  <c r="BY63" i="21"/>
  <c r="CD7" i="21"/>
  <c r="BX48" i="21"/>
  <c r="AD48" i="21"/>
  <c r="BT55" i="21"/>
  <c r="M55" i="21" s="1"/>
  <c r="BT28" i="21"/>
  <c r="M28" i="21" s="1"/>
  <c r="BZ46" i="21"/>
  <c r="O46" i="21" s="1"/>
  <c r="CF33" i="21"/>
  <c r="Q33" i="21" s="1"/>
  <c r="CB50" i="21"/>
  <c r="BD38" i="21"/>
  <c r="BE38" i="21" s="1"/>
  <c r="CB31" i="21"/>
  <c r="BR48" i="21"/>
  <c r="BV47" i="21"/>
  <c r="BZ25" i="21"/>
  <c r="O25" i="21" s="1"/>
  <c r="CA31" i="21"/>
  <c r="BA66" i="21"/>
  <c r="BB66" i="21" s="1"/>
  <c r="I66" i="21" s="1"/>
  <c r="AG38" i="21"/>
  <c r="CI65" i="21"/>
  <c r="BA48" i="21"/>
  <c r="BB48" i="21" s="1"/>
  <c r="I48" i="21" s="1"/>
  <c r="AJ63" i="21"/>
  <c r="BJ7" i="21"/>
  <c r="BI7" i="21" s="1"/>
  <c r="BZ28" i="21"/>
  <c r="O28" i="21" s="1"/>
  <c r="AI32" i="21"/>
  <c r="F32" i="21" s="1"/>
  <c r="BJ52" i="21"/>
  <c r="BH52" i="21" s="1"/>
  <c r="BY47" i="21"/>
  <c r="BY31" i="21"/>
  <c r="BZ31" i="21" s="1"/>
  <c r="O31" i="21" s="1"/>
  <c r="BU45" i="21"/>
  <c r="AM25" i="21"/>
  <c r="G25" i="21" s="1"/>
  <c r="BD35" i="21"/>
  <c r="BS7" i="21"/>
  <c r="BT32" i="21"/>
  <c r="M32" i="21" s="1"/>
  <c r="CA47" i="21"/>
  <c r="CE40" i="21"/>
  <c r="BJ48" i="21"/>
  <c r="BH48" i="21" s="1"/>
  <c r="CE7" i="21"/>
  <c r="CC36" i="21"/>
  <c r="P36" i="21" s="1"/>
  <c r="AH52" i="21"/>
  <c r="BW29" i="21"/>
  <c r="N29" i="21" s="1"/>
  <c r="BV66" i="21"/>
  <c r="CJ38" i="21"/>
  <c r="CG38" i="21" s="1"/>
  <c r="CE31" i="21"/>
  <c r="AI29" i="21"/>
  <c r="F29" i="21" s="1"/>
  <c r="AY29" i="21"/>
  <c r="BY12" i="21"/>
  <c r="CK66" i="21"/>
  <c r="AH11" i="21"/>
  <c r="AX42" i="21"/>
  <c r="AQ42" i="21" s="1"/>
  <c r="AH59" i="21"/>
  <c r="BD56" i="21"/>
  <c r="CD64" i="21"/>
  <c r="AD47" i="21"/>
  <c r="AE47" i="21" s="1"/>
  <c r="BU13" i="21"/>
  <c r="BO48" i="21"/>
  <c r="BP48" i="21" s="1"/>
  <c r="BY20" i="21"/>
  <c r="AH7" i="21"/>
  <c r="AI7" i="21" s="1"/>
  <c r="F7" i="21" s="1"/>
  <c r="CE48" i="21"/>
  <c r="BY48" i="21"/>
  <c r="CF55" i="21"/>
  <c r="Q55" i="21" s="1"/>
  <c r="BD45" i="21"/>
  <c r="BE45" i="21" s="1"/>
  <c r="BR20" i="21"/>
  <c r="CE66" i="21"/>
  <c r="AM60" i="21"/>
  <c r="G60" i="21" s="1"/>
  <c r="CD31" i="21"/>
  <c r="CE38" i="21"/>
  <c r="BA11" i="21"/>
  <c r="BB11" i="21" s="1"/>
  <c r="I11" i="21" s="1"/>
  <c r="BS66" i="21"/>
  <c r="BY57" i="21"/>
  <c r="BC36" i="21"/>
  <c r="BF36" i="21" s="1"/>
  <c r="J36" i="21" s="1"/>
  <c r="CE39" i="21"/>
  <c r="BP21" i="21"/>
  <c r="BQ21" i="21" s="1"/>
  <c r="L21" i="21" s="1"/>
  <c r="AJ66" i="21"/>
  <c r="CC32" i="21"/>
  <c r="P32" i="21" s="1"/>
  <c r="AJ11" i="21"/>
  <c r="AH42" i="21"/>
  <c r="BD59" i="21"/>
  <c r="BC59" i="21" s="1"/>
  <c r="BS47" i="21"/>
  <c r="BV13" i="21"/>
  <c r="BA44" i="21"/>
  <c r="BB44" i="21" s="1"/>
  <c r="I44" i="21" s="1"/>
  <c r="AH34" i="21"/>
  <c r="BA7" i="21"/>
  <c r="BB7" i="21" s="1"/>
  <c r="I7" i="21" s="1"/>
  <c r="AX24" i="21"/>
  <c r="AT24" i="21" s="1"/>
  <c r="BU58" i="21"/>
  <c r="BC55" i="21"/>
  <c r="BE55" i="21"/>
  <c r="AE50" i="21"/>
  <c r="BE32" i="21"/>
  <c r="BC32" i="21"/>
  <c r="AC10" i="21"/>
  <c r="AM65" i="21"/>
  <c r="G65" i="21" s="1"/>
  <c r="AW16" i="21"/>
  <c r="AV16" i="21"/>
  <c r="AT16" i="21"/>
  <c r="AS16" i="21"/>
  <c r="AU16" i="21"/>
  <c r="AR16" i="21"/>
  <c r="AQ16" i="21"/>
  <c r="AP16" i="21"/>
  <c r="AN16" i="21"/>
  <c r="AY16" i="21"/>
  <c r="CB51" i="21"/>
  <c r="BH22" i="21"/>
  <c r="BL22" i="21"/>
  <c r="BK22" i="21" s="1"/>
  <c r="BO17" i="21"/>
  <c r="AJ17" i="21"/>
  <c r="BV17" i="21"/>
  <c r="BW17" i="21" s="1"/>
  <c r="N17" i="21" s="1"/>
  <c r="CB17" i="21"/>
  <c r="BD17" i="21"/>
  <c r="BA17" i="21"/>
  <c r="BB17" i="21" s="1"/>
  <c r="I17" i="21" s="1"/>
  <c r="AG17" i="21"/>
  <c r="BS17" i="21"/>
  <c r="AD17" i="21"/>
  <c r="CE17" i="21"/>
  <c r="BJ17" i="21"/>
  <c r="AL17" i="21"/>
  <c r="AK17" i="21" s="1"/>
  <c r="CJ17" i="21"/>
  <c r="AU65" i="21"/>
  <c r="AO65" i="21"/>
  <c r="AP65" i="21"/>
  <c r="AS65" i="21"/>
  <c r="AV65" i="21"/>
  <c r="AR65" i="21"/>
  <c r="AN65" i="21"/>
  <c r="AQ65" i="21"/>
  <c r="AY65" i="21"/>
  <c r="CA9" i="21"/>
  <c r="AX9" i="21"/>
  <c r="BX9" i="21"/>
  <c r="BY9" i="21"/>
  <c r="BO9" i="21"/>
  <c r="BD9" i="21"/>
  <c r="CJ9" i="21"/>
  <c r="BA9" i="21"/>
  <c r="BB9" i="21" s="1"/>
  <c r="I9" i="21" s="1"/>
  <c r="AG9" i="21"/>
  <c r="CB9" i="21"/>
  <c r="AH9" i="21"/>
  <c r="BV9" i="21"/>
  <c r="CE9" i="21"/>
  <c r="BU9" i="21"/>
  <c r="AJ9" i="21"/>
  <c r="BS9" i="21"/>
  <c r="BT9" i="21" s="1"/>
  <c r="M9" i="21" s="1"/>
  <c r="CD9" i="21"/>
  <c r="BP23" i="21"/>
  <c r="BN23" i="21"/>
  <c r="BY40" i="21"/>
  <c r="BO40" i="21"/>
  <c r="BX40" i="21"/>
  <c r="BD40" i="21"/>
  <c r="BV40" i="21"/>
  <c r="AD40" i="21"/>
  <c r="BR40" i="21"/>
  <c r="CJ40" i="21"/>
  <c r="BS40" i="21"/>
  <c r="BJ40" i="21"/>
  <c r="AG40" i="21"/>
  <c r="CA40" i="21"/>
  <c r="AJ40" i="21"/>
  <c r="CD40" i="21"/>
  <c r="AL40" i="21"/>
  <c r="AK40" i="21" s="1"/>
  <c r="BU40" i="21"/>
  <c r="BA40" i="21"/>
  <c r="BB40" i="21" s="1"/>
  <c r="I40" i="21" s="1"/>
  <c r="AT40" i="21"/>
  <c r="AS40" i="21"/>
  <c r="AU40" i="21"/>
  <c r="AY40" i="21"/>
  <c r="AN40" i="21"/>
  <c r="AQ40" i="21"/>
  <c r="AV40" i="21"/>
  <c r="AP40" i="21"/>
  <c r="AO40" i="21"/>
  <c r="BO51" i="21"/>
  <c r="AT60" i="21"/>
  <c r="AS60" i="21"/>
  <c r="AW60" i="21"/>
  <c r="AV60" i="21"/>
  <c r="AO60" i="21"/>
  <c r="AN60" i="21"/>
  <c r="AP60" i="21"/>
  <c r="AR60" i="21"/>
  <c r="AQ60" i="21"/>
  <c r="AY60" i="21"/>
  <c r="AU60" i="21"/>
  <c r="CE8" i="21"/>
  <c r="CD8" i="21"/>
  <c r="BJ8" i="21"/>
  <c r="AL8" i="21"/>
  <c r="AK8" i="21" s="1"/>
  <c r="AJ8" i="21"/>
  <c r="BD8" i="21"/>
  <c r="AH8" i="21"/>
  <c r="BU8" i="21"/>
  <c r="AG8" i="21"/>
  <c r="BR8" i="21"/>
  <c r="CJ8" i="21"/>
  <c r="AX8" i="21"/>
  <c r="BV8" i="21"/>
  <c r="BS8" i="21"/>
  <c r="AD8" i="21"/>
  <c r="BO8" i="21"/>
  <c r="BA8" i="21"/>
  <c r="BB8" i="21" s="1"/>
  <c r="I8" i="21" s="1"/>
  <c r="BY8" i="21"/>
  <c r="BX8" i="21"/>
  <c r="AR40" i="21"/>
  <c r="BL60" i="21"/>
  <c r="BK60" i="21" s="1"/>
  <c r="BI60" i="21"/>
  <c r="BH60" i="21"/>
  <c r="BG60" i="21"/>
  <c r="CA15" i="21"/>
  <c r="AG15" i="21"/>
  <c r="AI15" i="21" s="1"/>
  <c r="F15" i="21" s="1"/>
  <c r="BU15" i="21"/>
  <c r="AX15" i="21"/>
  <c r="BS15" i="21"/>
  <c r="AJ15" i="21"/>
  <c r="AD15" i="21"/>
  <c r="BY15" i="21"/>
  <c r="CJ15" i="21"/>
  <c r="BD15" i="21"/>
  <c r="BX15" i="21"/>
  <c r="CB15" i="21"/>
  <c r="BV15" i="21"/>
  <c r="BR15" i="21"/>
  <c r="BJ15" i="21"/>
  <c r="BO15" i="21"/>
  <c r="AL15" i="21"/>
  <c r="AK15" i="21" s="1"/>
  <c r="AO26" i="21"/>
  <c r="AN26" i="21"/>
  <c r="AW26" i="21"/>
  <c r="AV26" i="21"/>
  <c r="AR26" i="21"/>
  <c r="AU26" i="21"/>
  <c r="AP26" i="21"/>
  <c r="AS26" i="21"/>
  <c r="AQ26" i="21"/>
  <c r="BN24" i="21"/>
  <c r="BQ24" i="21" s="1"/>
  <c r="L24" i="21" s="1"/>
  <c r="AE59" i="21"/>
  <c r="AB59" i="21"/>
  <c r="AC59" i="21"/>
  <c r="AT65" i="21"/>
  <c r="BP45" i="21"/>
  <c r="BN45" i="21"/>
  <c r="CA8" i="21"/>
  <c r="CC8" i="21" s="1"/>
  <c r="P8" i="21" s="1"/>
  <c r="CH18" i="21"/>
  <c r="CG18" i="21"/>
  <c r="CI18" i="21"/>
  <c r="CK18" i="21"/>
  <c r="AD51" i="21"/>
  <c r="AB27" i="21"/>
  <c r="AT55" i="21"/>
  <c r="AS55" i="21"/>
  <c r="AR55" i="21"/>
  <c r="AQ55" i="21"/>
  <c r="AP55" i="21"/>
  <c r="AO55" i="21"/>
  <c r="AV55" i="21"/>
  <c r="AY55" i="21"/>
  <c r="AU55" i="21"/>
  <c r="BJ41" i="21"/>
  <c r="AE10" i="21"/>
  <c r="AW40" i="21"/>
  <c r="CD15" i="21"/>
  <c r="CH28" i="21"/>
  <c r="CI28" i="21"/>
  <c r="CK28" i="21"/>
  <c r="CG28" i="21"/>
  <c r="AL9" i="21"/>
  <c r="AK9" i="21" s="1"/>
  <c r="CC18" i="21"/>
  <c r="P18" i="21" s="1"/>
  <c r="AJ41" i="21"/>
  <c r="CD41" i="21"/>
  <c r="CF41" i="21" s="1"/>
  <c r="Q41" i="21" s="1"/>
  <c r="BX41" i="21"/>
  <c r="BY41" i="21"/>
  <c r="AG41" i="21"/>
  <c r="BO41" i="21"/>
  <c r="CJ41" i="21"/>
  <c r="CA41" i="21"/>
  <c r="AH41" i="21"/>
  <c r="BD41" i="21"/>
  <c r="AX41" i="21"/>
  <c r="BV41" i="21"/>
  <c r="BS41" i="21"/>
  <c r="AD41" i="21"/>
  <c r="BU41" i="21"/>
  <c r="CA51" i="21"/>
  <c r="BY51" i="21"/>
  <c r="BV51" i="21"/>
  <c r="AL51" i="21"/>
  <c r="AK51" i="21" s="1"/>
  <c r="BJ51" i="21"/>
  <c r="BU51" i="21"/>
  <c r="AG51" i="21"/>
  <c r="BD51" i="21"/>
  <c r="BS51" i="21"/>
  <c r="CE51" i="21"/>
  <c r="BR51" i="21"/>
  <c r="AX51" i="21"/>
  <c r="AJ51" i="21"/>
  <c r="BX51" i="21"/>
  <c r="AH51" i="21"/>
  <c r="CJ51" i="21"/>
  <c r="CJ27" i="21"/>
  <c r="CE27" i="21"/>
  <c r="AX27" i="21"/>
  <c r="BD27" i="21"/>
  <c r="BS27" i="21"/>
  <c r="BU27" i="21"/>
  <c r="BX27" i="21"/>
  <c r="BJ27" i="21"/>
  <c r="AH27" i="21"/>
  <c r="AJ27" i="21"/>
  <c r="BA27" i="21"/>
  <c r="BB27" i="21" s="1"/>
  <c r="I27" i="21" s="1"/>
  <c r="AG27" i="21"/>
  <c r="BY27" i="21"/>
  <c r="BO27" i="21"/>
  <c r="CD27" i="21"/>
  <c r="AL27" i="21"/>
  <c r="AK27" i="21" s="1"/>
  <c r="CA27" i="21"/>
  <c r="BA53" i="21"/>
  <c r="BB53" i="21" s="1"/>
  <c r="I53" i="21" s="1"/>
  <c r="AH53" i="21"/>
  <c r="BV53" i="21"/>
  <c r="AG53" i="21"/>
  <c r="BY53" i="21"/>
  <c r="AD53" i="21"/>
  <c r="BX53" i="21"/>
  <c r="AX53" i="21"/>
  <c r="BO53" i="21"/>
  <c r="AJ53" i="21"/>
  <c r="AM53" i="21" s="1"/>
  <c r="G53" i="21" s="1"/>
  <c r="CB53" i="21"/>
  <c r="CA53" i="21"/>
  <c r="CE53" i="21"/>
  <c r="CD53" i="21"/>
  <c r="CJ53" i="21"/>
  <c r="BJ53" i="21"/>
  <c r="BS53" i="21"/>
  <c r="BR53" i="21"/>
  <c r="BD53" i="21"/>
  <c r="BU53" i="21"/>
  <c r="AO32" i="21"/>
  <c r="AN32" i="21"/>
  <c r="AQ32" i="21"/>
  <c r="AP32" i="21"/>
  <c r="AW32" i="21"/>
  <c r="AR32" i="21"/>
  <c r="AT32" i="21"/>
  <c r="AV32" i="21"/>
  <c r="AS32" i="21"/>
  <c r="AU32" i="21"/>
  <c r="AC27" i="21"/>
  <c r="AC50" i="21"/>
  <c r="AD9" i="21"/>
  <c r="BJ9" i="21"/>
  <c r="BI22" i="21"/>
  <c r="AH40" i="21"/>
  <c r="BC52" i="21"/>
  <c r="BE52" i="21"/>
  <c r="CI25" i="21"/>
  <c r="CH25" i="21"/>
  <c r="CG25" i="21"/>
  <c r="CK25" i="21"/>
  <c r="AC14" i="21"/>
  <c r="AB14" i="21"/>
  <c r="AE14" i="21"/>
  <c r="BN26" i="21"/>
  <c r="BP26" i="21"/>
  <c r="CB27" i="21"/>
  <c r="BY16" i="21"/>
  <c r="BX16" i="21"/>
  <c r="BR16" i="21"/>
  <c r="AD16" i="21"/>
  <c r="BU16" i="21"/>
  <c r="AG16" i="21"/>
  <c r="BA16" i="21"/>
  <c r="BB16" i="21" s="1"/>
  <c r="I16" i="21" s="1"/>
  <c r="CA16" i="21"/>
  <c r="CE16" i="21"/>
  <c r="CJ16" i="21"/>
  <c r="AL16" i="21"/>
  <c r="AK16" i="21" s="1"/>
  <c r="BS16" i="21"/>
  <c r="AH16" i="21"/>
  <c r="BD16" i="21"/>
  <c r="BO16" i="21"/>
  <c r="CD16" i="21"/>
  <c r="CB16" i="21"/>
  <c r="BT18" i="21"/>
  <c r="M18" i="21" s="1"/>
  <c r="CB41" i="21"/>
  <c r="CJ10" i="21"/>
  <c r="BJ10" i="21"/>
  <c r="BD10" i="21"/>
  <c r="CE10" i="21"/>
  <c r="CB10" i="21"/>
  <c r="BA10" i="21"/>
  <c r="BB10" i="21" s="1"/>
  <c r="I10" i="21" s="1"/>
  <c r="BY10" i="21"/>
  <c r="BX10" i="21"/>
  <c r="CA10" i="21"/>
  <c r="AL10" i="21"/>
  <c r="AK10" i="21" s="1"/>
  <c r="BV10" i="21"/>
  <c r="AJ10" i="21"/>
  <c r="BU10" i="21"/>
  <c r="AG10" i="21"/>
  <c r="CD10" i="21"/>
  <c r="AH10" i="21"/>
  <c r="BR10" i="21"/>
  <c r="AX10" i="21"/>
  <c r="CK26" i="21"/>
  <c r="CH26" i="21"/>
  <c r="CI26" i="21"/>
  <c r="BS10" i="21"/>
  <c r="AW65" i="21"/>
  <c r="BJ54" i="21"/>
  <c r="BO54" i="21"/>
  <c r="BY54" i="21"/>
  <c r="BX54" i="21"/>
  <c r="BD54" i="21"/>
  <c r="BS54" i="21"/>
  <c r="BV54" i="21"/>
  <c r="CJ54" i="21"/>
  <c r="AG54" i="21"/>
  <c r="AX54" i="21"/>
  <c r="CA54" i="21"/>
  <c r="CD54" i="21"/>
  <c r="AH54" i="21"/>
  <c r="BA54" i="21"/>
  <c r="BB54" i="21" s="1"/>
  <c r="I54" i="21" s="1"/>
  <c r="BR54" i="21"/>
  <c r="AJ54" i="21"/>
  <c r="AM54" i="21" s="1"/>
  <c r="G54" i="21" s="1"/>
  <c r="BU54" i="21"/>
  <c r="CE54" i="21"/>
  <c r="BY17" i="21"/>
  <c r="BA15" i="21"/>
  <c r="BB15" i="21" s="1"/>
  <c r="I15" i="21" s="1"/>
  <c r="CK60" i="21"/>
  <c r="CH60" i="21"/>
  <c r="CI60" i="21"/>
  <c r="CG60" i="21"/>
  <c r="AG52" i="21"/>
  <c r="BA52" i="21"/>
  <c r="BB52" i="21" s="1"/>
  <c r="I52" i="21" s="1"/>
  <c r="CJ52" i="21"/>
  <c r="AX52" i="21"/>
  <c r="BO52" i="21"/>
  <c r="CE52" i="21"/>
  <c r="BY52" i="21"/>
  <c r="CB52" i="21"/>
  <c r="AD52" i="21"/>
  <c r="CA52" i="21"/>
  <c r="BV52" i="21"/>
  <c r="CJ39" i="21"/>
  <c r="AL39" i="21"/>
  <c r="AK39" i="21" s="1"/>
  <c r="BD39" i="21"/>
  <c r="BA39" i="21"/>
  <c r="BB39" i="21" s="1"/>
  <c r="I39" i="21" s="1"/>
  <c r="CD39" i="21"/>
  <c r="AJ39" i="21"/>
  <c r="BX39" i="21"/>
  <c r="AD39" i="21"/>
  <c r="BS39" i="21"/>
  <c r="BY39" i="21"/>
  <c r="AH39" i="21"/>
  <c r="AI39" i="21" s="1"/>
  <c r="F39" i="21" s="1"/>
  <c r="BV39" i="21"/>
  <c r="BU39" i="21"/>
  <c r="BR39" i="21"/>
  <c r="BJ39" i="21"/>
  <c r="BO39" i="21"/>
  <c r="CB39" i="21"/>
  <c r="CE49" i="21"/>
  <c r="CD42" i="21"/>
  <c r="BT60" i="21"/>
  <c r="M60" i="21" s="1"/>
  <c r="BN28" i="21"/>
  <c r="BP28" i="21"/>
  <c r="AC46" i="21"/>
  <c r="AB46" i="21"/>
  <c r="AE46" i="21"/>
  <c r="BH33" i="21"/>
  <c r="BG33" i="21"/>
  <c r="BI33" i="21"/>
  <c r="BL33" i="21"/>
  <c r="BK33" i="21" s="1"/>
  <c r="BP32" i="21"/>
  <c r="BN32" i="21"/>
  <c r="CG29" i="21"/>
  <c r="CK29" i="21"/>
  <c r="AU14" i="21"/>
  <c r="AT14" i="21"/>
  <c r="AS14" i="21"/>
  <c r="AY14" i="21"/>
  <c r="AW14" i="21"/>
  <c r="AR14" i="21"/>
  <c r="AV14" i="21"/>
  <c r="AQ14" i="21"/>
  <c r="AP14" i="21"/>
  <c r="AO14" i="21"/>
  <c r="AN14" i="21"/>
  <c r="BS44" i="21"/>
  <c r="BO44" i="21"/>
  <c r="CE44" i="21"/>
  <c r="AX44" i="21"/>
  <c r="CB44" i="21"/>
  <c r="BJ44" i="21"/>
  <c r="CJ44" i="21"/>
  <c r="AL44" i="21"/>
  <c r="AK44" i="21" s="1"/>
  <c r="AG44" i="21"/>
  <c r="BU52" i="21"/>
  <c r="AL49" i="21"/>
  <c r="AK49" i="21" s="1"/>
  <c r="BR44" i="21"/>
  <c r="BD44" i="21"/>
  <c r="BE21" i="21"/>
  <c r="BC21" i="21"/>
  <c r="BL28" i="21"/>
  <c r="BK28" i="21" s="1"/>
  <c r="BH28" i="21"/>
  <c r="BG28" i="21"/>
  <c r="BI28" i="21"/>
  <c r="BN25" i="21"/>
  <c r="BP25" i="21"/>
  <c r="BC14" i="21"/>
  <c r="BE14" i="21"/>
  <c r="CD62" i="21"/>
  <c r="CF62" i="21" s="1"/>
  <c r="Q62" i="21" s="1"/>
  <c r="BJ62" i="21"/>
  <c r="CB62" i="21"/>
  <c r="CA62" i="21"/>
  <c r="BO62" i="21"/>
  <c r="AH62" i="21"/>
  <c r="AG62" i="21"/>
  <c r="AD62" i="21"/>
  <c r="BY62" i="21"/>
  <c r="BX62" i="21"/>
  <c r="CJ62" i="21"/>
  <c r="AX62" i="21"/>
  <c r="BS62" i="21"/>
  <c r="CE62" i="21"/>
  <c r="BZ55" i="21"/>
  <c r="O55" i="21" s="1"/>
  <c r="AE29" i="21"/>
  <c r="AB29" i="21"/>
  <c r="AX50" i="21"/>
  <c r="AL42" i="21"/>
  <c r="AK42" i="21" s="1"/>
  <c r="CB57" i="21"/>
  <c r="CA57" i="21"/>
  <c r="AL57" i="21"/>
  <c r="AK57" i="21" s="1"/>
  <c r="AM57" i="21" s="1"/>
  <c r="G57" i="21" s="1"/>
  <c r="BA57" i="21"/>
  <c r="BB57" i="21" s="1"/>
  <c r="I57" i="21" s="1"/>
  <c r="AX57" i="21"/>
  <c r="BV57" i="21"/>
  <c r="BJ57" i="21"/>
  <c r="BO57" i="21"/>
  <c r="BU57" i="21"/>
  <c r="BJ59" i="21"/>
  <c r="BD20" i="21"/>
  <c r="CE20" i="21"/>
  <c r="CB20" i="21"/>
  <c r="CD20" i="21"/>
  <c r="AX20" i="21"/>
  <c r="AD20" i="21"/>
  <c r="AG20" i="21"/>
  <c r="AI20" i="21" s="1"/>
  <c r="F20" i="21" s="1"/>
  <c r="AJ20" i="21"/>
  <c r="BV20" i="21"/>
  <c r="BX20" i="21"/>
  <c r="BO20" i="21"/>
  <c r="BU30" i="21"/>
  <c r="BW30" i="21" s="1"/>
  <c r="N30" i="21" s="1"/>
  <c r="AB21" i="21"/>
  <c r="AE21" i="21"/>
  <c r="AC21" i="21"/>
  <c r="AI46" i="21"/>
  <c r="F46" i="21" s="1"/>
  <c r="BW33" i="21"/>
  <c r="N33" i="21" s="1"/>
  <c r="AW28" i="21"/>
  <c r="AV28" i="21"/>
  <c r="AU28" i="21"/>
  <c r="AT28" i="21"/>
  <c r="AS28" i="21"/>
  <c r="AY28" i="21"/>
  <c r="AR28" i="21"/>
  <c r="AQ28" i="21"/>
  <c r="AP28" i="21"/>
  <c r="AO28" i="21"/>
  <c r="AN28" i="21"/>
  <c r="AB34" i="21"/>
  <c r="AC34" i="21"/>
  <c r="BG21" i="21"/>
  <c r="BL21" i="21"/>
  <c r="BK21" i="21" s="1"/>
  <c r="BH21" i="21"/>
  <c r="BI21" i="21"/>
  <c r="AE25" i="21"/>
  <c r="AB25" i="21"/>
  <c r="AC25" i="21"/>
  <c r="AE33" i="21"/>
  <c r="AC33" i="21"/>
  <c r="AB33" i="21"/>
  <c r="CB35" i="21"/>
  <c r="CA35" i="21"/>
  <c r="CD35" i="21"/>
  <c r="AG35" i="21"/>
  <c r="AH35" i="21"/>
  <c r="BA35" i="21"/>
  <c r="BB35" i="21" s="1"/>
  <c r="I35" i="21" s="1"/>
  <c r="AX35" i="21"/>
  <c r="CE35" i="21"/>
  <c r="BY35" i="21"/>
  <c r="BX35" i="21"/>
  <c r="AJ35" i="21"/>
  <c r="AD35" i="21"/>
  <c r="BO35" i="21"/>
  <c r="BR35" i="21"/>
  <c r="BT35" i="21" s="1"/>
  <c r="M35" i="21" s="1"/>
  <c r="BJ35" i="21"/>
  <c r="CJ35" i="21"/>
  <c r="BV35" i="21"/>
  <c r="BN18" i="21"/>
  <c r="BP18" i="21"/>
  <c r="AQ56" i="21"/>
  <c r="AP56" i="21"/>
  <c r="AV56" i="21"/>
  <c r="AU56" i="21"/>
  <c r="AR56" i="21"/>
  <c r="AO56" i="21"/>
  <c r="AN56" i="21"/>
  <c r="AS56" i="21"/>
  <c r="AT56" i="21"/>
  <c r="BU20" i="21"/>
  <c r="CD44" i="21"/>
  <c r="BD30" i="21"/>
  <c r="AI21" i="21"/>
  <c r="F21" i="21" s="1"/>
  <c r="BC18" i="21"/>
  <c r="BE18" i="21"/>
  <c r="AM46" i="21"/>
  <c r="G46" i="21" s="1"/>
  <c r="AY25" i="21"/>
  <c r="AW25" i="21"/>
  <c r="AV25" i="21"/>
  <c r="AQ25" i="21"/>
  <c r="AU25" i="21"/>
  <c r="AT25" i="21"/>
  <c r="AS25" i="21"/>
  <c r="AR25" i="21"/>
  <c r="AP25" i="21"/>
  <c r="AJ52" i="21"/>
  <c r="BO49" i="21"/>
  <c r="AH49" i="21"/>
  <c r="AG49" i="21"/>
  <c r="BY49" i="21"/>
  <c r="BX49" i="21"/>
  <c r="BU49" i="21"/>
  <c r="CJ49" i="21"/>
  <c r="CA49" i="21"/>
  <c r="BS49" i="21"/>
  <c r="BJ49" i="21"/>
  <c r="CD49" i="21"/>
  <c r="H59" i="21"/>
  <c r="BO59" i="21"/>
  <c r="CJ59" i="21"/>
  <c r="AX59" i="21"/>
  <c r="AL59" i="21"/>
  <c r="AK59" i="21" s="1"/>
  <c r="CA59" i="21"/>
  <c r="BS59" i="21"/>
  <c r="BY59" i="21"/>
  <c r="BU59" i="21"/>
  <c r="BR59" i="21"/>
  <c r="CD59" i="21"/>
  <c r="BX50" i="21"/>
  <c r="AL50" i="21"/>
  <c r="AK50" i="21" s="1"/>
  <c r="AJ50" i="21"/>
  <c r="BV50" i="21"/>
  <c r="BO50" i="21"/>
  <c r="CJ50" i="21"/>
  <c r="BU50" i="21"/>
  <c r="BR50" i="21"/>
  <c r="CD50" i="21"/>
  <c r="CA50" i="21"/>
  <c r="BS50" i="21"/>
  <c r="CE50" i="21"/>
  <c r="CB42" i="21"/>
  <c r="BY42" i="21"/>
  <c r="BX42" i="21"/>
  <c r="AD42" i="21"/>
  <c r="BS42" i="21"/>
  <c r="BT42" i="21" s="1"/>
  <c r="M42" i="21" s="1"/>
  <c r="AJ42" i="21"/>
  <c r="CE42" i="21"/>
  <c r="CJ42" i="21"/>
  <c r="BV42" i="21"/>
  <c r="CA39" i="21"/>
  <c r="AM26" i="21"/>
  <c r="G26" i="21" s="1"/>
  <c r="AL11" i="21"/>
  <c r="AK11" i="21" s="1"/>
  <c r="BX11" i="21"/>
  <c r="CE11" i="21"/>
  <c r="BY11" i="21"/>
  <c r="AG11" i="21"/>
  <c r="BJ11" i="21"/>
  <c r="AD11" i="21"/>
  <c r="BD11" i="21"/>
  <c r="CD11" i="21"/>
  <c r="CB11" i="21"/>
  <c r="CA11" i="21"/>
  <c r="AX11" i="21"/>
  <c r="BO11" i="21"/>
  <c r="BU11" i="21"/>
  <c r="BV11" i="21"/>
  <c r="AN18" i="21"/>
  <c r="AY18" i="21"/>
  <c r="AW18" i="21"/>
  <c r="AV18" i="21"/>
  <c r="AP18" i="21"/>
  <c r="AR18" i="21"/>
  <c r="BR62" i="21"/>
  <c r="BW55" i="21"/>
  <c r="N55" i="21" s="1"/>
  <c r="BY50" i="21"/>
  <c r="AX49" i="21"/>
  <c r="BT26" i="21"/>
  <c r="M26" i="21" s="1"/>
  <c r="AU18" i="21"/>
  <c r="AQ18" i="21"/>
  <c r="BO42" i="21"/>
  <c r="BJ30" i="21"/>
  <c r="AL20" i="21"/>
  <c r="AK20" i="21" s="1"/>
  <c r="AE34" i="21"/>
  <c r="AE55" i="21"/>
  <c r="AC55" i="21"/>
  <c r="AB55" i="21"/>
  <c r="BW21" i="21"/>
  <c r="N21" i="21" s="1"/>
  <c r="AE18" i="21"/>
  <c r="AB18" i="21"/>
  <c r="AM18" i="21"/>
  <c r="G18" i="21" s="1"/>
  <c r="BR52" i="21"/>
  <c r="CF18" i="21"/>
  <c r="Q18" i="21" s="1"/>
  <c r="BA59" i="21"/>
  <c r="BB59" i="21" s="1"/>
  <c r="I59" i="21" s="1"/>
  <c r="AG50" i="21"/>
  <c r="BR49" i="21"/>
  <c r="BL32" i="21"/>
  <c r="BK32" i="21" s="1"/>
  <c r="BI32" i="21"/>
  <c r="BG32" i="21"/>
  <c r="CB59" i="21"/>
  <c r="BU12" i="21"/>
  <c r="AX12" i="21"/>
  <c r="BR12" i="21"/>
  <c r="BS12" i="21"/>
  <c r="CD12" i="21"/>
  <c r="CB12" i="21"/>
  <c r="CA12" i="21"/>
  <c r="AL12" i="21"/>
  <c r="AK12" i="21" s="1"/>
  <c r="AM12" i="21" s="1"/>
  <c r="G12" i="21" s="1"/>
  <c r="BV12" i="21"/>
  <c r="AH12" i="21"/>
  <c r="CJ12" i="21"/>
  <c r="BD12" i="21"/>
  <c r="BA12" i="21"/>
  <c r="BB12" i="21" s="1"/>
  <c r="I12" i="21" s="1"/>
  <c r="AG12" i="21"/>
  <c r="BJ12" i="21"/>
  <c r="AD12" i="21"/>
  <c r="CE12" i="21"/>
  <c r="AH50" i="21"/>
  <c r="BJ50" i="21"/>
  <c r="BV59" i="21"/>
  <c r="BS31" i="21"/>
  <c r="BR31" i="21"/>
  <c r="AL31" i="21"/>
  <c r="AK31" i="21" s="1"/>
  <c r="AJ31" i="21"/>
  <c r="AD31" i="21"/>
  <c r="BJ31" i="21"/>
  <c r="BD31" i="21"/>
  <c r="CJ31" i="21"/>
  <c r="BV31" i="21"/>
  <c r="BA31" i="21"/>
  <c r="BB31" i="21" s="1"/>
  <c r="I31" i="21" s="1"/>
  <c r="AG31" i="21"/>
  <c r="AX31" i="21"/>
  <c r="AX30" i="21"/>
  <c r="BO30" i="21"/>
  <c r="AG30" i="21"/>
  <c r="BS30" i="21"/>
  <c r="CJ30" i="21"/>
  <c r="CA30" i="21"/>
  <c r="AD30" i="21"/>
  <c r="AH30" i="21"/>
  <c r="BX30" i="21"/>
  <c r="BR30" i="21"/>
  <c r="BY30" i="21"/>
  <c r="AM28" i="21"/>
  <c r="G28" i="21" s="1"/>
  <c r="BS52" i="21"/>
  <c r="CD52" i="21"/>
  <c r="CG32" i="21"/>
  <c r="CI32" i="21"/>
  <c r="CH32" i="21"/>
  <c r="BA23" i="21"/>
  <c r="BB23" i="21" s="1"/>
  <c r="I23" i="21" s="1"/>
  <c r="BZ26" i="21"/>
  <c r="O26" i="21" s="1"/>
  <c r="BT29" i="21"/>
  <c r="M29" i="21" s="1"/>
  <c r="CB23" i="21"/>
  <c r="CA23" i="21"/>
  <c r="AJ23" i="21"/>
  <c r="CJ23" i="21"/>
  <c r="CD23" i="21"/>
  <c r="BJ23" i="21"/>
  <c r="BS23" i="21"/>
  <c r="BJ63" i="21"/>
  <c r="BD63" i="21"/>
  <c r="BA63" i="21"/>
  <c r="BB63" i="21" s="1"/>
  <c r="I63" i="21" s="1"/>
  <c r="CD63" i="21"/>
  <c r="BV63" i="21"/>
  <c r="BS63" i="21"/>
  <c r="CB63" i="21"/>
  <c r="CC63" i="21" s="1"/>
  <c r="P63" i="21" s="1"/>
  <c r="AX63" i="21"/>
  <c r="AD63" i="21"/>
  <c r="AL63" i="21"/>
  <c r="AK63" i="21" s="1"/>
  <c r="BR63" i="21"/>
  <c r="CJ22" i="21"/>
  <c r="BD22" i="21"/>
  <c r="CA22" i="21"/>
  <c r="CE22" i="21"/>
  <c r="CB22" i="21"/>
  <c r="BX22" i="21"/>
  <c r="AX22" i="21"/>
  <c r="AG22" i="21"/>
  <c r="BS22" i="21"/>
  <c r="AH22" i="21"/>
  <c r="BW60" i="21"/>
  <c r="N60" i="21" s="1"/>
  <c r="CC28" i="21"/>
  <c r="P28" i="21" s="1"/>
  <c r="BW46" i="21"/>
  <c r="N46" i="21" s="1"/>
  <c r="BH36" i="21"/>
  <c r="BG36" i="21"/>
  <c r="BI36" i="21"/>
  <c r="BL36" i="21"/>
  <c r="BK36" i="21" s="1"/>
  <c r="CI36" i="21"/>
  <c r="CG36" i="21"/>
  <c r="CH36" i="21"/>
  <c r="BC33" i="21"/>
  <c r="BE33" i="21"/>
  <c r="AE32" i="21"/>
  <c r="AB32" i="21"/>
  <c r="BU38" i="21"/>
  <c r="BV38" i="21"/>
  <c r="BR38" i="21"/>
  <c r="BO38" i="21"/>
  <c r="BJ38" i="21"/>
  <c r="AJ38" i="21"/>
  <c r="AL38" i="21"/>
  <c r="AK38" i="21" s="1"/>
  <c r="BX38" i="21"/>
  <c r="BZ38" i="21" s="1"/>
  <c r="O38" i="21" s="1"/>
  <c r="CD38" i="21"/>
  <c r="BS38" i="21"/>
  <c r="AH38" i="21"/>
  <c r="BD23" i="21"/>
  <c r="AL23" i="21"/>
  <c r="AK23" i="21" s="1"/>
  <c r="BO34" i="21"/>
  <c r="BA34" i="21"/>
  <c r="BB34" i="21" s="1"/>
  <c r="I34" i="21" s="1"/>
  <c r="CA34" i="21"/>
  <c r="CE34" i="21"/>
  <c r="BV34" i="21"/>
  <c r="AJ34" i="21"/>
  <c r="AG34" i="21"/>
  <c r="BU34" i="21"/>
  <c r="CB34" i="21"/>
  <c r="BD34" i="21"/>
  <c r="CJ13" i="21"/>
  <c r="BD13" i="21"/>
  <c r="AD13" i="21"/>
  <c r="AH13" i="21"/>
  <c r="BS13" i="21"/>
  <c r="BY13" i="21"/>
  <c r="AX13" i="21"/>
  <c r="BD24" i="21"/>
  <c r="CJ24" i="21"/>
  <c r="AD24" i="21"/>
  <c r="CA24" i="21"/>
  <c r="CD24" i="21"/>
  <c r="CE24" i="21"/>
  <c r="CE63" i="21"/>
  <c r="CD22" i="21"/>
  <c r="AB60" i="21"/>
  <c r="AC60" i="21"/>
  <c r="AE60" i="21"/>
  <c r="AO21" i="21"/>
  <c r="AN21" i="21"/>
  <c r="AW21" i="21"/>
  <c r="AR21" i="21"/>
  <c r="AV21" i="21"/>
  <c r="AU21" i="21"/>
  <c r="AT21" i="21"/>
  <c r="AS21" i="21"/>
  <c r="AY21" i="21"/>
  <c r="AQ21" i="21"/>
  <c r="AP21" i="21"/>
  <c r="AY46" i="21"/>
  <c r="AW46" i="21"/>
  <c r="AU46" i="21"/>
  <c r="AS46" i="21"/>
  <c r="AV46" i="21"/>
  <c r="AT46" i="21"/>
  <c r="AQ46" i="21"/>
  <c r="AN46" i="21"/>
  <c r="AR46" i="21"/>
  <c r="AO46" i="21"/>
  <c r="BW36" i="21"/>
  <c r="N36" i="21" s="1"/>
  <c r="CF32" i="21"/>
  <c r="Q32" i="21" s="1"/>
  <c r="BH26" i="21"/>
  <c r="BI26" i="21"/>
  <c r="BG26" i="21"/>
  <c r="CA38" i="21"/>
  <c r="AX38" i="21"/>
  <c r="BY23" i="21"/>
  <c r="AG13" i="21"/>
  <c r="AJ22" i="21"/>
  <c r="CC60" i="21"/>
  <c r="P60" i="21" s="1"/>
  <c r="BV48" i="21"/>
  <c r="BU48" i="21"/>
  <c r="CJ48" i="21"/>
  <c r="AL48" i="21"/>
  <c r="AK48" i="21" s="1"/>
  <c r="BD48" i="21"/>
  <c r="AH48" i="21"/>
  <c r="AI48" i="21" s="1"/>
  <c r="F48" i="21" s="1"/>
  <c r="CA48" i="21"/>
  <c r="CB24" i="21"/>
  <c r="CC46" i="21"/>
  <c r="P46" i="21" s="1"/>
  <c r="BP36" i="21"/>
  <c r="BN36" i="21"/>
  <c r="AQ33" i="21"/>
  <c r="AP33" i="21"/>
  <c r="AN33" i="21"/>
  <c r="AR33" i="21"/>
  <c r="AO33" i="21"/>
  <c r="AW33" i="21"/>
  <c r="AV33" i="21"/>
  <c r="AY33" i="21"/>
  <c r="AS33" i="21"/>
  <c r="AU33" i="21"/>
  <c r="AT33" i="21"/>
  <c r="BI25" i="21"/>
  <c r="BH25" i="21"/>
  <c r="BL25" i="21"/>
  <c r="BK25" i="21" s="1"/>
  <c r="BG25" i="21"/>
  <c r="AE28" i="21"/>
  <c r="AB28" i="21"/>
  <c r="AC28" i="21"/>
  <c r="AM32" i="21"/>
  <c r="G32" i="21" s="1"/>
  <c r="BP33" i="21"/>
  <c r="BN33" i="21"/>
  <c r="AM14" i="21"/>
  <c r="G14" i="21" s="1"/>
  <c r="CF29" i="21"/>
  <c r="Q29" i="21" s="1"/>
  <c r="CK55" i="21"/>
  <c r="CI55" i="21"/>
  <c r="AG66" i="21"/>
  <c r="BW18" i="21"/>
  <c r="N18" i="21" s="1"/>
  <c r="BJ19" i="21"/>
  <c r="BD19" i="21"/>
  <c r="BA19" i="21"/>
  <c r="BB19" i="21" s="1"/>
  <c r="I19" i="21" s="1"/>
  <c r="CA19" i="21"/>
  <c r="AL19" i="21"/>
  <c r="AK19" i="21" s="1"/>
  <c r="CB19" i="21"/>
  <c r="BY19" i="21"/>
  <c r="BX19" i="21"/>
  <c r="BV19" i="21"/>
  <c r="AJ19" i="21"/>
  <c r="BU19" i="21"/>
  <c r="AG19" i="21"/>
  <c r="BO19" i="21"/>
  <c r="CG65" i="21"/>
  <c r="BL55" i="21"/>
  <c r="BK55" i="21" s="1"/>
  <c r="BI55" i="21"/>
  <c r="BH55" i="21"/>
  <c r="CA7" i="21"/>
  <c r="AL7" i="21"/>
  <c r="AK7" i="21" s="1"/>
  <c r="AI28" i="21"/>
  <c r="F28" i="21" s="1"/>
  <c r="BH46" i="21"/>
  <c r="BG46" i="21"/>
  <c r="BL46" i="21"/>
  <c r="BK46" i="21" s="1"/>
  <c r="BI46" i="21"/>
  <c r="CH46" i="21"/>
  <c r="CG46" i="21"/>
  <c r="CI46" i="21"/>
  <c r="CF36" i="21"/>
  <c r="Q36" i="21" s="1"/>
  <c r="CK33" i="21"/>
  <c r="CI33" i="21"/>
  <c r="CH33" i="21"/>
  <c r="BE65" i="21"/>
  <c r="BC65" i="21"/>
  <c r="BF65" i="21" s="1"/>
  <c r="J65" i="21" s="1"/>
  <c r="BP14" i="21"/>
  <c r="BN14" i="21"/>
  <c r="AE26" i="21"/>
  <c r="AC26" i="21"/>
  <c r="BC29" i="21"/>
  <c r="BE29" i="21"/>
  <c r="BL14" i="21"/>
  <c r="BK14" i="21" s="1"/>
  <c r="BI14" i="21"/>
  <c r="BG14" i="21"/>
  <c r="BH14" i="21"/>
  <c r="AM55" i="21"/>
  <c r="G55" i="21" s="1"/>
  <c r="BH29" i="21"/>
  <c r="BG29" i="21"/>
  <c r="BL29" i="21"/>
  <c r="BK29" i="21" s="1"/>
  <c r="BI18" i="21"/>
  <c r="BH18" i="21"/>
  <c r="BG18" i="21"/>
  <c r="BC26" i="21"/>
  <c r="BE26" i="21"/>
  <c r="BE60" i="21"/>
  <c r="BC60" i="21"/>
  <c r="CK21" i="21"/>
  <c r="CI21" i="21"/>
  <c r="CH21" i="21"/>
  <c r="BE28" i="21"/>
  <c r="BC28" i="21"/>
  <c r="BN46" i="21"/>
  <c r="BP46" i="21"/>
  <c r="AI36" i="21"/>
  <c r="F36" i="21" s="1"/>
  <c r="AC36" i="21"/>
  <c r="AE36" i="21"/>
  <c r="AB36" i="21"/>
  <c r="AM33" i="21"/>
  <c r="G33" i="21" s="1"/>
  <c r="CF25" i="21"/>
  <c r="Q25" i="21" s="1"/>
  <c r="BI65" i="21"/>
  <c r="BH65" i="21"/>
  <c r="BT14" i="21"/>
  <c r="M14" i="21" s="1"/>
  <c r="AJ56" i="21"/>
  <c r="CD56" i="21"/>
  <c r="BA56" i="21"/>
  <c r="BB56" i="21" s="1"/>
  <c r="I56" i="21" s="1"/>
  <c r="BX56" i="21"/>
  <c r="BY56" i="21"/>
  <c r="CJ7" i="21"/>
  <c r="BY7" i="21"/>
  <c r="BX7" i="21"/>
  <c r="AD7" i="21"/>
  <c r="BR45" i="21"/>
  <c r="CA45" i="21"/>
  <c r="AX45" i="21"/>
  <c r="BY45" i="21"/>
  <c r="BX45" i="21"/>
  <c r="AL45" i="21"/>
  <c r="AK45" i="21" s="1"/>
  <c r="AJ45" i="21"/>
  <c r="BJ45" i="21"/>
  <c r="CE45" i="21"/>
  <c r="BA45" i="21"/>
  <c r="BB45" i="21" s="1"/>
  <c r="I45" i="21" s="1"/>
  <c r="CJ45" i="21"/>
  <c r="AH45" i="21"/>
  <c r="CB45" i="21"/>
  <c r="CD45" i="21"/>
  <c r="AD45" i="21"/>
  <c r="AN29" i="21"/>
  <c r="AV29" i="21"/>
  <c r="AU29" i="21"/>
  <c r="AR29" i="21"/>
  <c r="AQ29" i="21"/>
  <c r="AP29" i="21"/>
  <c r="AW29" i="21"/>
  <c r="CD66" i="21"/>
  <c r="AL66" i="21"/>
  <c r="AK66" i="21" s="1"/>
  <c r="CB66" i="21"/>
  <c r="CA66" i="21"/>
  <c r="BY66" i="21"/>
  <c r="AD66" i="21"/>
  <c r="BX66" i="21"/>
  <c r="BU66" i="21"/>
  <c r="BR66" i="21"/>
  <c r="BO66" i="21"/>
  <c r="AX66" i="21"/>
  <c r="AH66" i="21"/>
  <c r="CJ43" i="21"/>
  <c r="BD43" i="21"/>
  <c r="AJ43" i="21"/>
  <c r="CB43" i="21"/>
  <c r="CC43" i="21" s="1"/>
  <c r="P43" i="21" s="1"/>
  <c r="BS43" i="21"/>
  <c r="AL43" i="21"/>
  <c r="AK43" i="21" s="1"/>
  <c r="CD43" i="21"/>
  <c r="BR43" i="21"/>
  <c r="BO43" i="21"/>
  <c r="BO56" i="21"/>
  <c r="BO64" i="21"/>
  <c r="BA64" i="21"/>
  <c r="BB64" i="21" s="1"/>
  <c r="I64" i="21" s="1"/>
  <c r="BS64" i="21"/>
  <c r="AX7" i="21"/>
  <c r="BR7" i="21"/>
  <c r="BT21" i="21"/>
  <c r="M21" i="21" s="1"/>
  <c r="CF46" i="21"/>
  <c r="Q46" i="21" s="1"/>
  <c r="AW36" i="21"/>
  <c r="AU36" i="21"/>
  <c r="AT36" i="21"/>
  <c r="AS36" i="21"/>
  <c r="AY36" i="21"/>
  <c r="AR36" i="21"/>
  <c r="AP36" i="21"/>
  <c r="AQ36" i="21"/>
  <c r="AO36" i="21"/>
  <c r="AN36" i="21"/>
  <c r="AI33" i="21"/>
  <c r="F33" i="21" s="1"/>
  <c r="CC25" i="21"/>
  <c r="P25" i="21" s="1"/>
  <c r="CH14" i="21"/>
  <c r="CK14" i="21"/>
  <c r="CI14" i="21"/>
  <c r="BE61" i="21" l="1"/>
  <c r="BF61" i="21" s="1"/>
  <c r="J61" i="21" s="1"/>
  <c r="BP61" i="21"/>
  <c r="CF61" i="21"/>
  <c r="Q61" i="21" s="1"/>
  <c r="AM61" i="21"/>
  <c r="G61" i="21" s="1"/>
  <c r="CG47" i="21"/>
  <c r="BH61" i="21"/>
  <c r="BI61" i="21"/>
  <c r="BG61" i="21"/>
  <c r="CI47" i="21"/>
  <c r="CH47" i="21"/>
  <c r="AI61" i="21"/>
  <c r="F61" i="21" s="1"/>
  <c r="AO61" i="21"/>
  <c r="BZ61" i="21"/>
  <c r="O61" i="21" s="1"/>
  <c r="AB61" i="21"/>
  <c r="AE61" i="21"/>
  <c r="AN61" i="21"/>
  <c r="BW58" i="21"/>
  <c r="N58" i="21" s="1"/>
  <c r="BW61" i="21"/>
  <c r="N61" i="21" s="1"/>
  <c r="BT61" i="21"/>
  <c r="M61" i="21" s="1"/>
  <c r="CK61" i="21"/>
  <c r="CH61" i="21"/>
  <c r="AT61" i="21"/>
  <c r="CI61" i="21"/>
  <c r="AP61" i="21"/>
  <c r="AQ61" i="21"/>
  <c r="AW61" i="21"/>
  <c r="AS61" i="21"/>
  <c r="AV61" i="21"/>
  <c r="AU61" i="21"/>
  <c r="AY61" i="21"/>
  <c r="AV47" i="21"/>
  <c r="AR47" i="21"/>
  <c r="CF47" i="21"/>
  <c r="Q47" i="21" s="1"/>
  <c r="AM47" i="21"/>
  <c r="G47" i="21" s="1"/>
  <c r="AM58" i="21"/>
  <c r="G58" i="21" s="1"/>
  <c r="AQ47" i="21"/>
  <c r="BT58" i="21"/>
  <c r="M58" i="21" s="1"/>
  <c r="AW47" i="21"/>
  <c r="AP47" i="21"/>
  <c r="CF58" i="21"/>
  <c r="Q58" i="21" s="1"/>
  <c r="AI58" i="21"/>
  <c r="F58" i="21" s="1"/>
  <c r="BN58" i="21"/>
  <c r="BQ58" i="21" s="1"/>
  <c r="L58" i="21" s="1"/>
  <c r="BE58" i="21"/>
  <c r="BF58" i="21" s="1"/>
  <c r="J58" i="21" s="1"/>
  <c r="AC58" i="21"/>
  <c r="BZ58" i="21"/>
  <c r="O58" i="21" s="1"/>
  <c r="AE58" i="21"/>
  <c r="BT47" i="21"/>
  <c r="M47" i="21" s="1"/>
  <c r="AV37" i="21"/>
  <c r="AU37" i="21"/>
  <c r="AT37" i="21"/>
  <c r="BI37" i="21"/>
  <c r="AS47" i="21"/>
  <c r="AN47" i="21"/>
  <c r="AO47" i="21"/>
  <c r="AT47" i="21"/>
  <c r="AU47" i="21"/>
  <c r="AW37" i="21"/>
  <c r="CC58" i="21"/>
  <c r="P58" i="21" s="1"/>
  <c r="AY37" i="21"/>
  <c r="BT37" i="21"/>
  <c r="M37" i="21" s="1"/>
  <c r="AE37" i="21"/>
  <c r="AB37" i="21"/>
  <c r="AQ37" i="21"/>
  <c r="AP37" i="21"/>
  <c r="AO37" i="21"/>
  <c r="AR37" i="21"/>
  <c r="AS37" i="21"/>
  <c r="CL58" i="21"/>
  <c r="R58" i="21" s="1"/>
  <c r="CF37" i="21"/>
  <c r="Q37" i="21" s="1"/>
  <c r="AO58" i="21"/>
  <c r="AP58" i="21"/>
  <c r="AV58" i="21"/>
  <c r="AU58" i="21"/>
  <c r="AI37" i="21"/>
  <c r="F37" i="21" s="1"/>
  <c r="CC37" i="21"/>
  <c r="P37" i="21" s="1"/>
  <c r="BW37" i="21"/>
  <c r="N37" i="21" s="1"/>
  <c r="BL37" i="21"/>
  <c r="BK37" i="21" s="1"/>
  <c r="BG37" i="21"/>
  <c r="BZ37" i="21"/>
  <c r="O37" i="21" s="1"/>
  <c r="AN58" i="21"/>
  <c r="BP37" i="21"/>
  <c r="BQ37" i="21" s="1"/>
  <c r="L37" i="21" s="1"/>
  <c r="AR58" i="21"/>
  <c r="BE37" i="21"/>
  <c r="BF37" i="21" s="1"/>
  <c r="J37" i="21" s="1"/>
  <c r="AQ58" i="21"/>
  <c r="AS58" i="21"/>
  <c r="AT58" i="21"/>
  <c r="AW58" i="21"/>
  <c r="AM37" i="21"/>
  <c r="G37" i="21" s="1"/>
  <c r="AI62" i="21"/>
  <c r="F62" i="21" s="1"/>
  <c r="BE49" i="21"/>
  <c r="BF49" i="21" s="1"/>
  <c r="J49" i="21" s="1"/>
  <c r="BT22" i="21"/>
  <c r="M22" i="21" s="1"/>
  <c r="AF32" i="21"/>
  <c r="E32" i="21" s="1"/>
  <c r="BW49" i="21"/>
  <c r="N49" i="21" s="1"/>
  <c r="AN43" i="21"/>
  <c r="AW43" i="21"/>
  <c r="BN47" i="21"/>
  <c r="BQ47" i="21" s="1"/>
  <c r="L47" i="21" s="1"/>
  <c r="BI43" i="21"/>
  <c r="BT41" i="21"/>
  <c r="M41" i="21" s="1"/>
  <c r="BP10" i="21"/>
  <c r="BQ10" i="21" s="1"/>
  <c r="L10" i="21" s="1"/>
  <c r="AI19" i="21"/>
  <c r="F19" i="21" s="1"/>
  <c r="BP22" i="21"/>
  <c r="BQ22" i="21" s="1"/>
  <c r="L22" i="21" s="1"/>
  <c r="AM34" i="21"/>
  <c r="G34" i="21" s="1"/>
  <c r="AC57" i="21"/>
  <c r="CF40" i="21"/>
  <c r="Q40" i="21" s="1"/>
  <c r="BG58" i="21"/>
  <c r="CH56" i="21"/>
  <c r="BW24" i="21"/>
  <c r="N24" i="21" s="1"/>
  <c r="AS42" i="21"/>
  <c r="BH58" i="21"/>
  <c r="BH47" i="21"/>
  <c r="AM22" i="21"/>
  <c r="G22" i="21" s="1"/>
  <c r="BE47" i="21"/>
  <c r="BF47" i="21" s="1"/>
  <c r="J47" i="21" s="1"/>
  <c r="BI47" i="21"/>
  <c r="AM63" i="21"/>
  <c r="G63" i="21" s="1"/>
  <c r="CI19" i="21"/>
  <c r="BI58" i="21"/>
  <c r="BT19" i="21"/>
  <c r="M19" i="21" s="1"/>
  <c r="BL47" i="21"/>
  <c r="BK47" i="21" s="1"/>
  <c r="AT43" i="21"/>
  <c r="BE7" i="21"/>
  <c r="BF7" i="21" s="1"/>
  <c r="J7" i="21" s="1"/>
  <c r="AM30" i="21"/>
  <c r="G30" i="21" s="1"/>
  <c r="CC49" i="21"/>
  <c r="P49" i="21" s="1"/>
  <c r="CF13" i="21"/>
  <c r="Q13" i="21" s="1"/>
  <c r="CC52" i="21"/>
  <c r="P52" i="21" s="1"/>
  <c r="AV43" i="21"/>
  <c r="BZ24" i="21"/>
  <c r="O24" i="21" s="1"/>
  <c r="CF12" i="21"/>
  <c r="Q12" i="21" s="1"/>
  <c r="BT59" i="21"/>
  <c r="M59" i="21" s="1"/>
  <c r="AI57" i="21"/>
  <c r="F57" i="21" s="1"/>
  <c r="BZ66" i="21"/>
  <c r="O66" i="21" s="1"/>
  <c r="BM26" i="21"/>
  <c r="K26" i="21" s="1"/>
  <c r="AV34" i="21"/>
  <c r="BG52" i="21"/>
  <c r="AU34" i="21"/>
  <c r="AB19" i="21"/>
  <c r="BI52" i="21"/>
  <c r="AI63" i="21"/>
  <c r="F63" i="21" s="1"/>
  <c r="CC40" i="21"/>
  <c r="P40" i="21" s="1"/>
  <c r="BL52" i="21"/>
  <c r="BK52" i="21" s="1"/>
  <c r="AI42" i="21"/>
  <c r="F42" i="21" s="1"/>
  <c r="BZ12" i="21"/>
  <c r="O12" i="21" s="1"/>
  <c r="AI23" i="21"/>
  <c r="F23" i="21" s="1"/>
  <c r="BZ47" i="21"/>
  <c r="O47" i="21" s="1"/>
  <c r="CF49" i="21"/>
  <c r="Q49" i="21" s="1"/>
  <c r="BC38" i="21"/>
  <c r="BF38" i="21" s="1"/>
  <c r="J38" i="21" s="1"/>
  <c r="BW31" i="21"/>
  <c r="N31" i="21" s="1"/>
  <c r="AM49" i="21"/>
  <c r="G49" i="21" s="1"/>
  <c r="AM24" i="21"/>
  <c r="G24" i="21" s="1"/>
  <c r="AC19" i="21"/>
  <c r="BH66" i="21"/>
  <c r="AI31" i="21"/>
  <c r="F31" i="21" s="1"/>
  <c r="AO43" i="21"/>
  <c r="BT24" i="21"/>
  <c r="M24" i="21" s="1"/>
  <c r="BT64" i="21"/>
  <c r="M64" i="21" s="1"/>
  <c r="BT45" i="21"/>
  <c r="M45" i="21" s="1"/>
  <c r="BW35" i="21"/>
  <c r="N35" i="21" s="1"/>
  <c r="AB64" i="21"/>
  <c r="CF17" i="21"/>
  <c r="Q17" i="21" s="1"/>
  <c r="CF23" i="21"/>
  <c r="Q23" i="21" s="1"/>
  <c r="CF51" i="21"/>
  <c r="Q51" i="21" s="1"/>
  <c r="BW62" i="21"/>
  <c r="N62" i="21" s="1"/>
  <c r="BT56" i="21"/>
  <c r="M56" i="21" s="1"/>
  <c r="CF59" i="21"/>
  <c r="Q59" i="21" s="1"/>
  <c r="AW64" i="21"/>
  <c r="BE50" i="21"/>
  <c r="BF50" i="21" s="1"/>
  <c r="J50" i="21" s="1"/>
  <c r="AM16" i="21"/>
  <c r="G16" i="21" s="1"/>
  <c r="CK56" i="21"/>
  <c r="BW64" i="21"/>
  <c r="N64" i="21" s="1"/>
  <c r="AI64" i="21"/>
  <c r="F64" i="21" s="1"/>
  <c r="AM56" i="21"/>
  <c r="G56" i="21" s="1"/>
  <c r="AY43" i="21"/>
  <c r="BG48" i="21"/>
  <c r="AE38" i="21"/>
  <c r="AC56" i="21"/>
  <c r="AQ43" i="21"/>
  <c r="CH64" i="21"/>
  <c r="BI48" i="21"/>
  <c r="BZ43" i="21"/>
  <c r="O43" i="21" s="1"/>
  <c r="CC64" i="21"/>
  <c r="P64" i="21" s="1"/>
  <c r="CF57" i="21"/>
  <c r="Q57" i="21" s="1"/>
  <c r="AP64" i="21"/>
  <c r="BW23" i="21"/>
  <c r="N23" i="21" s="1"/>
  <c r="BP31" i="21"/>
  <c r="BQ31" i="21" s="1"/>
  <c r="L31" i="21" s="1"/>
  <c r="AU43" i="21"/>
  <c r="CI64" i="21"/>
  <c r="BL48" i="21"/>
  <c r="BK48" i="21" s="1"/>
  <c r="CI11" i="21"/>
  <c r="CK19" i="21"/>
  <c r="CH19" i="21"/>
  <c r="CC30" i="21"/>
  <c r="P30" i="21" s="1"/>
  <c r="AI17" i="21"/>
  <c r="F17" i="21" s="1"/>
  <c r="AI56" i="21"/>
  <c r="F56" i="21" s="1"/>
  <c r="AS43" i="21"/>
  <c r="CG64" i="21"/>
  <c r="CG11" i="21"/>
  <c r="AS64" i="21"/>
  <c r="CF56" i="21"/>
  <c r="Q56" i="21" s="1"/>
  <c r="AQ34" i="21"/>
  <c r="AN42" i="21"/>
  <c r="AE57" i="21"/>
  <c r="AB56" i="21"/>
  <c r="BZ42" i="21"/>
  <c r="O42" i="21" s="1"/>
  <c r="AR64" i="21"/>
  <c r="AV42" i="21"/>
  <c r="AQ39" i="21"/>
  <c r="BL7" i="21"/>
  <c r="BK7" i="21" s="1"/>
  <c r="BW44" i="21"/>
  <c r="N44" i="21" s="1"/>
  <c r="CF15" i="21"/>
  <c r="Q15" i="21" s="1"/>
  <c r="BC62" i="21"/>
  <c r="BF62" i="21" s="1"/>
  <c r="J62" i="21" s="1"/>
  <c r="BG7" i="21"/>
  <c r="AT64" i="21"/>
  <c r="AS39" i="21"/>
  <c r="BH7" i="21"/>
  <c r="BE59" i="21"/>
  <c r="BF59" i="21" s="1"/>
  <c r="J59" i="21" s="1"/>
  <c r="AP39" i="21"/>
  <c r="CF48" i="21"/>
  <c r="Q48" i="21" s="1"/>
  <c r="AN64" i="21"/>
  <c r="AB23" i="21"/>
  <c r="AT39" i="21"/>
  <c r="CH34" i="21"/>
  <c r="AP42" i="21"/>
  <c r="AW34" i="21"/>
  <c r="AT42" i="21"/>
  <c r="AW42" i="21"/>
  <c r="CK34" i="21"/>
  <c r="AM64" i="21"/>
  <c r="G64" i="21" s="1"/>
  <c r="AF65" i="21"/>
  <c r="E65" i="21" s="1"/>
  <c r="CF66" i="21"/>
  <c r="Q66" i="21" s="1"/>
  <c r="AM11" i="21"/>
  <c r="G11" i="21" s="1"/>
  <c r="AM59" i="21"/>
  <c r="G59" i="21" s="1"/>
  <c r="AE49" i="21"/>
  <c r="AV64" i="21"/>
  <c r="AB54" i="21"/>
  <c r="AB38" i="21"/>
  <c r="AU39" i="21"/>
  <c r="BL24" i="21"/>
  <c r="BK24" i="21" s="1"/>
  <c r="AR42" i="21"/>
  <c r="AR39" i="21"/>
  <c r="BH24" i="21"/>
  <c r="AN34" i="21"/>
  <c r="AM52" i="21"/>
  <c r="G52" i="21" s="1"/>
  <c r="BW20" i="21"/>
  <c r="N20" i="21" s="1"/>
  <c r="AY64" i="21"/>
  <c r="AY42" i="21"/>
  <c r="AC54" i="21"/>
  <c r="AR23" i="21"/>
  <c r="AV39" i="21"/>
  <c r="AU42" i="21"/>
  <c r="AI11" i="21"/>
  <c r="F11" i="21" s="1"/>
  <c r="AC23" i="21"/>
  <c r="AR34" i="21"/>
  <c r="AO42" i="21"/>
  <c r="CI34" i="21"/>
  <c r="AS23" i="21"/>
  <c r="CK57" i="21"/>
  <c r="AY39" i="21"/>
  <c r="AW39" i="21"/>
  <c r="AI44" i="21"/>
  <c r="F44" i="21" s="1"/>
  <c r="CH57" i="21"/>
  <c r="AN39" i="21"/>
  <c r="BW7" i="21"/>
  <c r="N7" i="21" s="1"/>
  <c r="BL20" i="21"/>
  <c r="BK20" i="21" s="1"/>
  <c r="AR19" i="21"/>
  <c r="AB49" i="21"/>
  <c r="BZ52" i="21"/>
  <c r="O52" i="21" s="1"/>
  <c r="AY23" i="21"/>
  <c r="AP23" i="21"/>
  <c r="AV17" i="21"/>
  <c r="BW27" i="21"/>
  <c r="N27" i="21" s="1"/>
  <c r="AT23" i="21"/>
  <c r="BI24" i="21"/>
  <c r="AM8" i="21"/>
  <c r="G8" i="21" s="1"/>
  <c r="BT62" i="21"/>
  <c r="M62" i="21" s="1"/>
  <c r="CH11" i="21"/>
  <c r="BT40" i="21"/>
  <c r="M40" i="21" s="1"/>
  <c r="BT57" i="21"/>
  <c r="M57" i="21" s="1"/>
  <c r="CF52" i="21"/>
  <c r="Q52" i="21" s="1"/>
  <c r="AU23" i="21"/>
  <c r="AB22" i="21"/>
  <c r="BW10" i="21"/>
  <c r="N10" i="21" s="1"/>
  <c r="AW23" i="21"/>
  <c r="CC17" i="21"/>
  <c r="P17" i="21" s="1"/>
  <c r="AV23" i="21"/>
  <c r="BH42" i="21"/>
  <c r="AQ23" i="21"/>
  <c r="CL66" i="21"/>
  <c r="R66" i="21" s="1"/>
  <c r="AM7" i="21"/>
  <c r="G7" i="21" s="1"/>
  <c r="AP19" i="21"/>
  <c r="BC66" i="21"/>
  <c r="BF66" i="21" s="1"/>
  <c r="J66" i="21" s="1"/>
  <c r="BT51" i="21"/>
  <c r="M51" i="21" s="1"/>
  <c r="AN23" i="21"/>
  <c r="CL37" i="21"/>
  <c r="R37" i="21" s="1"/>
  <c r="CC7" i="21"/>
  <c r="P7" i="21" s="1"/>
  <c r="AT19" i="21"/>
  <c r="CC62" i="21"/>
  <c r="P62" i="21" s="1"/>
  <c r="BF21" i="21"/>
  <c r="J21" i="21" s="1"/>
  <c r="CG57" i="21"/>
  <c r="CC20" i="21"/>
  <c r="P20" i="21" s="1"/>
  <c r="CC10" i="21"/>
  <c r="P10" i="21" s="1"/>
  <c r="AB43" i="21"/>
  <c r="AF28" i="21"/>
  <c r="E28" i="21" s="1"/>
  <c r="BM65" i="21"/>
  <c r="K65" i="21" s="1"/>
  <c r="AF50" i="21"/>
  <c r="E50" i="21" s="1"/>
  <c r="BC42" i="21"/>
  <c r="BF42" i="21" s="1"/>
  <c r="J42" i="21" s="1"/>
  <c r="BQ23" i="21"/>
  <c r="L23" i="21" s="1"/>
  <c r="BW45" i="21"/>
  <c r="N45" i="21" s="1"/>
  <c r="BZ34" i="21"/>
  <c r="O34" i="21" s="1"/>
  <c r="CF30" i="21"/>
  <c r="Q30" i="21" s="1"/>
  <c r="BZ23" i="21"/>
  <c r="O23" i="21" s="1"/>
  <c r="BZ57" i="21"/>
  <c r="O57" i="21" s="1"/>
  <c r="AM13" i="21"/>
  <c r="G13" i="21" s="1"/>
  <c r="CF64" i="21"/>
  <c r="Q64" i="21" s="1"/>
  <c r="BZ64" i="21"/>
  <c r="O64" i="21" s="1"/>
  <c r="BW63" i="21"/>
  <c r="N63" i="21" s="1"/>
  <c r="BW42" i="21"/>
  <c r="N42" i="21" s="1"/>
  <c r="CC54" i="21"/>
  <c r="P54" i="21" s="1"/>
  <c r="AE43" i="21"/>
  <c r="AR43" i="21"/>
  <c r="BT17" i="21"/>
  <c r="M17" i="21" s="1"/>
  <c r="AE44" i="21"/>
  <c r="AB44" i="21"/>
  <c r="CL36" i="21"/>
  <c r="R36" i="21" s="1"/>
  <c r="BE57" i="21"/>
  <c r="BF57" i="21" s="1"/>
  <c r="J57" i="21" s="1"/>
  <c r="BC45" i="21"/>
  <c r="BF45" i="21" s="1"/>
  <c r="J45" i="21" s="1"/>
  <c r="AI24" i="21"/>
  <c r="F24" i="21" s="1"/>
  <c r="BW19" i="21"/>
  <c r="N19" i="21" s="1"/>
  <c r="CF34" i="21"/>
  <c r="Q34" i="21" s="1"/>
  <c r="AI52" i="21"/>
  <c r="F52" i="21" s="1"/>
  <c r="CL28" i="21"/>
  <c r="R28" i="21" s="1"/>
  <c r="AI59" i="21"/>
  <c r="F59" i="21" s="1"/>
  <c r="BT48" i="21"/>
  <c r="M48" i="21" s="1"/>
  <c r="CC13" i="21"/>
  <c r="P13" i="21" s="1"/>
  <c r="CC34" i="21"/>
  <c r="P34" i="21" s="1"/>
  <c r="AM66" i="21"/>
  <c r="G66" i="21" s="1"/>
  <c r="BQ25" i="21"/>
  <c r="L25" i="21" s="1"/>
  <c r="BT8" i="21"/>
  <c r="M8" i="21" s="1"/>
  <c r="BW43" i="21"/>
  <c r="N43" i="21" s="1"/>
  <c r="AI43" i="21"/>
  <c r="F43" i="21" s="1"/>
  <c r="BZ22" i="21"/>
  <c r="O22" i="21" s="1"/>
  <c r="BZ50" i="21"/>
  <c r="O50" i="21" s="1"/>
  <c r="BF32" i="21"/>
  <c r="J32" i="21" s="1"/>
  <c r="BW22" i="21"/>
  <c r="N22" i="21" s="1"/>
  <c r="BP7" i="21"/>
  <c r="BN7" i="21"/>
  <c r="CL21" i="21"/>
  <c r="R21" i="21" s="1"/>
  <c r="BT13" i="21"/>
  <c r="M13" i="21" s="1"/>
  <c r="BT39" i="21"/>
  <c r="M39" i="21" s="1"/>
  <c r="AR17" i="21"/>
  <c r="AI51" i="21"/>
  <c r="F51" i="21" s="1"/>
  <c r="BG42" i="21"/>
  <c r="BT34" i="21"/>
  <c r="M34" i="21" s="1"/>
  <c r="AY34" i="21"/>
  <c r="AP34" i="21"/>
  <c r="AS17" i="21"/>
  <c r="CH38" i="21"/>
  <c r="AF14" i="21"/>
  <c r="E14" i="21" s="1"/>
  <c r="CI63" i="21"/>
  <c r="AM41" i="21"/>
  <c r="G41" i="21" s="1"/>
  <c r="AW17" i="21"/>
  <c r="CL65" i="21"/>
  <c r="R65" i="21" s="1"/>
  <c r="AS19" i="21"/>
  <c r="AM50" i="21"/>
  <c r="G50" i="21" s="1"/>
  <c r="AM35" i="21"/>
  <c r="G35" i="21" s="1"/>
  <c r="CC44" i="21"/>
  <c r="P44" i="21" s="1"/>
  <c r="CL26" i="21"/>
  <c r="R26" i="21" s="1"/>
  <c r="CG63" i="21"/>
  <c r="AQ17" i="21"/>
  <c r="BW8" i="21"/>
  <c r="N8" i="21" s="1"/>
  <c r="AI9" i="21"/>
  <c r="F9" i="21" s="1"/>
  <c r="BZ17" i="21"/>
  <c r="O17" i="21" s="1"/>
  <c r="AO64" i="21"/>
  <c r="AQ64" i="21"/>
  <c r="AM42" i="21"/>
  <c r="G42" i="21" s="1"/>
  <c r="CF20" i="21"/>
  <c r="Q20" i="21" s="1"/>
  <c r="AC22" i="21"/>
  <c r="AE64" i="21"/>
  <c r="BG66" i="21"/>
  <c r="AO17" i="21"/>
  <c r="BT15" i="21"/>
  <c r="M15" i="21" s="1"/>
  <c r="BL56" i="21"/>
  <c r="BK56" i="21" s="1"/>
  <c r="BZ48" i="21"/>
  <c r="O48" i="21" s="1"/>
  <c r="AO24" i="21"/>
  <c r="BG13" i="21"/>
  <c r="BI56" i="21"/>
  <c r="BG64" i="21"/>
  <c r="BL43" i="21"/>
  <c r="BK43" i="21" s="1"/>
  <c r="BH43" i="21"/>
  <c r="CC56" i="21"/>
  <c r="P56" i="21" s="1"/>
  <c r="AY17" i="21"/>
  <c r="BG56" i="21"/>
  <c r="AU24" i="21"/>
  <c r="CF39" i="21"/>
  <c r="Q39" i="21" s="1"/>
  <c r="AQ24" i="21"/>
  <c r="CL14" i="21"/>
  <c r="R14" i="21" s="1"/>
  <c r="CF63" i="21"/>
  <c r="Q63" i="21" s="1"/>
  <c r="AW19" i="21"/>
  <c r="AV24" i="21"/>
  <c r="BL16" i="21"/>
  <c r="BK16" i="21" s="1"/>
  <c r="BZ8" i="21"/>
  <c r="O8" i="21" s="1"/>
  <c r="BI13" i="21"/>
  <c r="AF10" i="21"/>
  <c r="E10" i="21" s="1"/>
  <c r="AO34" i="21"/>
  <c r="CK63" i="21"/>
  <c r="AP17" i="21"/>
  <c r="BH16" i="21"/>
  <c r="BI16" i="21"/>
  <c r="AY19" i="21"/>
  <c r="CC42" i="21"/>
  <c r="P42" i="21" s="1"/>
  <c r="BZ59" i="21"/>
  <c r="O59" i="21" s="1"/>
  <c r="AI49" i="21"/>
  <c r="F49" i="21" s="1"/>
  <c r="AY24" i="21"/>
  <c r="CG56" i="21"/>
  <c r="BF64" i="21"/>
  <c r="J64" i="21" s="1"/>
  <c r="BL64" i="21"/>
  <c r="BK64" i="21" s="1"/>
  <c r="BI64" i="21"/>
  <c r="CC48" i="21"/>
  <c r="P48" i="21" s="1"/>
  <c r="AQ19" i="21"/>
  <c r="BT7" i="21"/>
  <c r="M7" i="21" s="1"/>
  <c r="AM45" i="21"/>
  <c r="G45" i="21" s="1"/>
  <c r="AU19" i="21"/>
  <c r="AW24" i="21"/>
  <c r="BT10" i="21"/>
  <c r="M10" i="21" s="1"/>
  <c r="CF16" i="21"/>
  <c r="Q16" i="21" s="1"/>
  <c r="BZ27" i="21"/>
  <c r="O27" i="21" s="1"/>
  <c r="CC47" i="21"/>
  <c r="P47" i="21" s="1"/>
  <c r="BH13" i="21"/>
  <c r="AN17" i="21"/>
  <c r="BF28" i="21"/>
  <c r="J28" i="21" s="1"/>
  <c r="AM31" i="21"/>
  <c r="G31" i="21" s="1"/>
  <c r="AN19" i="21"/>
  <c r="BT54" i="21"/>
  <c r="M54" i="21" s="1"/>
  <c r="CG20" i="21"/>
  <c r="BL42" i="21"/>
  <c r="BK42" i="21" s="1"/>
  <c r="BN13" i="21"/>
  <c r="BQ13" i="21" s="1"/>
  <c r="L13" i="21" s="1"/>
  <c r="BW56" i="21"/>
  <c r="N56" i="21" s="1"/>
  <c r="AT17" i="21"/>
  <c r="BW16" i="21"/>
  <c r="N16" i="21" s="1"/>
  <c r="CF43" i="21"/>
  <c r="Q43" i="21" s="1"/>
  <c r="BL66" i="21"/>
  <c r="BK66" i="21" s="1"/>
  <c r="BZ45" i="21"/>
  <c r="O45" i="21" s="1"/>
  <c r="BW48" i="21"/>
  <c r="N48" i="21" s="1"/>
  <c r="BZ13" i="21"/>
  <c r="O13" i="21" s="1"/>
  <c r="BT23" i="21"/>
  <c r="M23" i="21" s="1"/>
  <c r="BM32" i="21"/>
  <c r="K32" i="21" s="1"/>
  <c r="AO19" i="21"/>
  <c r="CC50" i="21"/>
  <c r="P50" i="21" s="1"/>
  <c r="BF14" i="21"/>
  <c r="J14" i="21" s="1"/>
  <c r="CH20" i="21"/>
  <c r="CF10" i="21"/>
  <c r="Q10" i="21" s="1"/>
  <c r="BT27" i="21"/>
  <c r="M27" i="21" s="1"/>
  <c r="AT34" i="21"/>
  <c r="BZ7" i="21"/>
  <c r="O7" i="21" s="1"/>
  <c r="CC38" i="21"/>
  <c r="P38" i="21" s="1"/>
  <c r="AI34" i="21"/>
  <c r="F34" i="21" s="1"/>
  <c r="AZ25" i="21"/>
  <c r="BZ62" i="21"/>
  <c r="O62" i="21" s="1"/>
  <c r="CI20" i="21"/>
  <c r="BZ16" i="21"/>
  <c r="O16" i="21" s="1"/>
  <c r="BW53" i="21"/>
  <c r="N53" i="21" s="1"/>
  <c r="CK38" i="21"/>
  <c r="CI38" i="21"/>
  <c r="AI10" i="21"/>
  <c r="F10" i="21" s="1"/>
  <c r="AF59" i="21"/>
  <c r="E59" i="21" s="1"/>
  <c r="CF7" i="21"/>
  <c r="Q7" i="21" s="1"/>
  <c r="BN12" i="21"/>
  <c r="BP12" i="21"/>
  <c r="AW48" i="21"/>
  <c r="AS48" i="21"/>
  <c r="AO48" i="21"/>
  <c r="AV48" i="21"/>
  <c r="AR48" i="21"/>
  <c r="AQ48" i="21"/>
  <c r="AF21" i="21"/>
  <c r="E21" i="21" s="1"/>
  <c r="BN48" i="21"/>
  <c r="BQ48" i="21" s="1"/>
  <c r="L48" i="21" s="1"/>
  <c r="BC56" i="21"/>
  <c r="BE56" i="21"/>
  <c r="BQ46" i="21"/>
  <c r="L46" i="21" s="1"/>
  <c r="BQ28" i="21"/>
  <c r="L28" i="21" s="1"/>
  <c r="BF60" i="21"/>
  <c r="J60" i="21" s="1"/>
  <c r="BQ14" i="21"/>
  <c r="L14" i="21" s="1"/>
  <c r="AZ46" i="21"/>
  <c r="H46" i="21" s="1"/>
  <c r="CC11" i="21"/>
  <c r="P11" i="21" s="1"/>
  <c r="AF29" i="21"/>
  <c r="E29" i="21" s="1"/>
  <c r="BZ39" i="21"/>
  <c r="O39" i="21" s="1"/>
  <c r="BM22" i="21"/>
  <c r="K22" i="21" s="1"/>
  <c r="AU48" i="21"/>
  <c r="CC9" i="21"/>
  <c r="P9" i="21" s="1"/>
  <c r="BI34" i="21"/>
  <c r="BG34" i="21"/>
  <c r="BL34" i="21"/>
  <c r="BK34" i="21" s="1"/>
  <c r="BF52" i="21"/>
  <c r="J52" i="21" s="1"/>
  <c r="BT49" i="21"/>
  <c r="M49" i="21" s="1"/>
  <c r="AN48" i="21"/>
  <c r="CL29" i="21"/>
  <c r="R29" i="21" s="1"/>
  <c r="CC16" i="21"/>
  <c r="P16" i="21" s="1"/>
  <c r="BT20" i="21"/>
  <c r="M20" i="21" s="1"/>
  <c r="BZ63" i="21"/>
  <c r="O63" i="21" s="1"/>
  <c r="AF26" i="21"/>
  <c r="E26" i="21" s="1"/>
  <c r="AC47" i="21"/>
  <c r="BW66" i="21"/>
  <c r="N66" i="21" s="1"/>
  <c r="CF45" i="21"/>
  <c r="Q45" i="21" s="1"/>
  <c r="AB47" i="21"/>
  <c r="BM55" i="21"/>
  <c r="K55" i="21" s="1"/>
  <c r="CF38" i="21"/>
  <c r="Q38" i="21" s="1"/>
  <c r="AI50" i="21"/>
  <c r="F50" i="21" s="1"/>
  <c r="AY48" i="21"/>
  <c r="BF18" i="21"/>
  <c r="J18" i="21" s="1"/>
  <c r="BQ18" i="21"/>
  <c r="L18" i="21" s="1"/>
  <c r="AI35" i="21"/>
  <c r="F35" i="21" s="1"/>
  <c r="CC51" i="21"/>
  <c r="P51" i="21" s="1"/>
  <c r="BW47" i="21"/>
  <c r="N47" i="21" s="1"/>
  <c r="AM48" i="21"/>
  <c r="G48" i="21" s="1"/>
  <c r="BF33" i="21"/>
  <c r="J33" i="21" s="1"/>
  <c r="BT66" i="21"/>
  <c r="M66" i="21" s="1"/>
  <c r="CL33" i="21"/>
  <c r="R33" i="21" s="1"/>
  <c r="BM25" i="21"/>
  <c r="K25" i="21" s="1"/>
  <c r="AI13" i="21"/>
  <c r="F13" i="21" s="1"/>
  <c r="AP48" i="21"/>
  <c r="CC59" i="21"/>
  <c r="P59" i="21" s="1"/>
  <c r="AI16" i="21"/>
  <c r="F16" i="21" s="1"/>
  <c r="AZ55" i="21"/>
  <c r="H55" i="21" s="1"/>
  <c r="CC31" i="21"/>
  <c r="P31" i="21" s="1"/>
  <c r="BP63" i="21"/>
  <c r="BN63" i="21"/>
  <c r="AI22" i="21"/>
  <c r="F22" i="21" s="1"/>
  <c r="AB48" i="21"/>
  <c r="AE48" i="21"/>
  <c r="AC48" i="21"/>
  <c r="AI54" i="21"/>
  <c r="F54" i="21" s="1"/>
  <c r="I6" i="21"/>
  <c r="BT43" i="21"/>
  <c r="M43" i="21" s="1"/>
  <c r="AI45" i="21"/>
  <c r="F45" i="21" s="1"/>
  <c r="AF36" i="21"/>
  <c r="E36" i="21" s="1"/>
  <c r="AT48" i="21"/>
  <c r="BZ53" i="21"/>
  <c r="O53" i="21" s="1"/>
  <c r="AI27" i="21"/>
  <c r="F27" i="21" s="1"/>
  <c r="BW13" i="21"/>
  <c r="N13" i="21" s="1"/>
  <c r="BZ56" i="21"/>
  <c r="O56" i="21" s="1"/>
  <c r="AI38" i="21"/>
  <c r="F38" i="21" s="1"/>
  <c r="CF11" i="21"/>
  <c r="Q11" i="21" s="1"/>
  <c r="AI66" i="21"/>
  <c r="F66" i="21" s="1"/>
  <c r="BZ40" i="21"/>
  <c r="O40" i="21" s="1"/>
  <c r="AF46" i="21"/>
  <c r="E46" i="21" s="1"/>
  <c r="AF25" i="21"/>
  <c r="E25" i="21" s="1"/>
  <c r="CL55" i="21"/>
  <c r="R55" i="21" s="1"/>
  <c r="CF44" i="21"/>
  <c r="Q44" i="21" s="1"/>
  <c r="AF33" i="21"/>
  <c r="E33" i="21" s="1"/>
  <c r="BZ20" i="21"/>
  <c r="O20" i="21" s="1"/>
  <c r="BW52" i="21"/>
  <c r="N52" i="21" s="1"/>
  <c r="BM33" i="21"/>
  <c r="K33" i="21" s="1"/>
  <c r="CL25" i="21"/>
  <c r="R25" i="21" s="1"/>
  <c r="AM17" i="21"/>
  <c r="G17" i="21" s="1"/>
  <c r="AP24" i="21"/>
  <c r="AN24" i="21"/>
  <c r="AS24" i="21"/>
  <c r="AR24" i="21"/>
  <c r="CF31" i="21"/>
  <c r="Q31" i="21" s="1"/>
  <c r="BE35" i="21"/>
  <c r="BC35" i="21"/>
  <c r="BG20" i="21"/>
  <c r="BI20" i="21"/>
  <c r="BP50" i="21"/>
  <c r="BN50" i="21"/>
  <c r="BI35" i="21"/>
  <c r="BH35" i="21"/>
  <c r="BG35" i="21"/>
  <c r="BL35" i="21"/>
  <c r="BK35" i="21" s="1"/>
  <c r="BP20" i="21"/>
  <c r="BN20" i="21"/>
  <c r="BH41" i="21"/>
  <c r="BG41" i="21"/>
  <c r="BI41" i="21"/>
  <c r="BL41" i="21"/>
  <c r="BK41" i="21" s="1"/>
  <c r="AZ60" i="21"/>
  <c r="H60" i="21" s="1"/>
  <c r="BE40" i="21"/>
  <c r="BC40" i="21"/>
  <c r="CI48" i="21"/>
  <c r="CG48" i="21"/>
  <c r="CH48" i="21"/>
  <c r="CK48" i="21"/>
  <c r="BC24" i="21"/>
  <c r="BE24" i="21"/>
  <c r="BT38" i="21"/>
  <c r="M38" i="21" s="1"/>
  <c r="BC12" i="21"/>
  <c r="BE12" i="21"/>
  <c r="AN49" i="21"/>
  <c r="AU49" i="21"/>
  <c r="AT49" i="21"/>
  <c r="AO49" i="21"/>
  <c r="AQ49" i="21"/>
  <c r="AP49" i="21"/>
  <c r="AW49" i="21"/>
  <c r="AV49" i="21"/>
  <c r="AY49" i="21"/>
  <c r="AS49" i="21"/>
  <c r="AR49" i="21"/>
  <c r="BW11" i="21"/>
  <c r="N11" i="21" s="1"/>
  <c r="BW57" i="21"/>
  <c r="N57" i="21" s="1"/>
  <c r="CL60" i="21"/>
  <c r="R60" i="21" s="1"/>
  <c r="AY54" i="21"/>
  <c r="AU54" i="21"/>
  <c r="AT54" i="21"/>
  <c r="AV54" i="21"/>
  <c r="AO54" i="21"/>
  <c r="AP54" i="21"/>
  <c r="AQ54" i="21"/>
  <c r="AW54" i="21"/>
  <c r="AR54" i="21"/>
  <c r="AS54" i="21"/>
  <c r="AN54" i="21"/>
  <c r="AO10" i="21"/>
  <c r="AN10" i="21"/>
  <c r="AT10" i="21"/>
  <c r="AY10" i="21"/>
  <c r="AV10" i="21"/>
  <c r="AP10" i="21"/>
  <c r="AW10" i="21"/>
  <c r="AS10" i="21"/>
  <c r="AR10" i="21"/>
  <c r="AU10" i="21"/>
  <c r="AQ10" i="21"/>
  <c r="BC10" i="21"/>
  <c r="BE10" i="21"/>
  <c r="BL53" i="21"/>
  <c r="BK53" i="21" s="1"/>
  <c r="BI53" i="21"/>
  <c r="BG53" i="21"/>
  <c r="BH53" i="21"/>
  <c r="AI8" i="21"/>
  <c r="F8" i="21" s="1"/>
  <c r="AZ16" i="21"/>
  <c r="H16" i="21" s="1"/>
  <c r="BP11" i="21"/>
  <c r="BN11" i="21"/>
  <c r="BL49" i="21"/>
  <c r="BK49" i="21" s="1"/>
  <c r="BH49" i="21"/>
  <c r="BG49" i="21"/>
  <c r="BI49" i="21"/>
  <c r="BN57" i="21"/>
  <c r="BP57" i="21"/>
  <c r="BE44" i="21"/>
  <c r="BC44" i="21"/>
  <c r="BI10" i="21"/>
  <c r="BH10" i="21"/>
  <c r="BG10" i="21"/>
  <c r="BL10" i="21"/>
  <c r="BK10" i="21" s="1"/>
  <c r="CK53" i="21"/>
  <c r="CI53" i="21"/>
  <c r="CG53" i="21"/>
  <c r="CH53" i="21"/>
  <c r="AY41" i="21"/>
  <c r="AQ41" i="21"/>
  <c r="AS41" i="21"/>
  <c r="AU41" i="21"/>
  <c r="AW41" i="21"/>
  <c r="AV41" i="21"/>
  <c r="AT41" i="21"/>
  <c r="AN41" i="21"/>
  <c r="AO41" i="21"/>
  <c r="AP41" i="21"/>
  <c r="AR41" i="21"/>
  <c r="BN40" i="21"/>
  <c r="BP40" i="21"/>
  <c r="AZ65" i="21"/>
  <c r="H65" i="21" s="1"/>
  <c r="BC17" i="21"/>
  <c r="BE17" i="21"/>
  <c r="CI24" i="21"/>
  <c r="CH24" i="21"/>
  <c r="CG24" i="21"/>
  <c r="CK24" i="21"/>
  <c r="BN38" i="21"/>
  <c r="BP38" i="21"/>
  <c r="AV63" i="21"/>
  <c r="AW63" i="21"/>
  <c r="AT63" i="21"/>
  <c r="AN63" i="21"/>
  <c r="AS63" i="21"/>
  <c r="AR63" i="21"/>
  <c r="AU63" i="21"/>
  <c r="AY63" i="21"/>
  <c r="AO63" i="21"/>
  <c r="AP63" i="21"/>
  <c r="AQ63" i="21"/>
  <c r="AE66" i="21"/>
  <c r="AC66" i="21"/>
  <c r="AB66" i="21"/>
  <c r="CK12" i="21"/>
  <c r="CI12" i="21"/>
  <c r="CG12" i="21"/>
  <c r="CH12" i="21"/>
  <c r="CC66" i="21"/>
  <c r="P66" i="21" s="1"/>
  <c r="CI45" i="21"/>
  <c r="CK45" i="21"/>
  <c r="CH45" i="21"/>
  <c r="CG45" i="21"/>
  <c r="CC19" i="21"/>
  <c r="P19" i="21" s="1"/>
  <c r="AZ33" i="21"/>
  <c r="H33" i="21" s="1"/>
  <c r="AV13" i="21"/>
  <c r="AO13" i="21"/>
  <c r="AU13" i="21"/>
  <c r="AQ13" i="21"/>
  <c r="AP13" i="21"/>
  <c r="AW13" i="21"/>
  <c r="AN13" i="21"/>
  <c r="AS13" i="21"/>
  <c r="AR13" i="21"/>
  <c r="AY13" i="21"/>
  <c r="AT13" i="21"/>
  <c r="BW38" i="21"/>
  <c r="N38" i="21" s="1"/>
  <c r="AS31" i="21"/>
  <c r="AP31" i="21"/>
  <c r="AR31" i="21"/>
  <c r="AQ31" i="21"/>
  <c r="AU31" i="21"/>
  <c r="AT31" i="21"/>
  <c r="AV31" i="21"/>
  <c r="AY31" i="21"/>
  <c r="AW31" i="21"/>
  <c r="AO31" i="21"/>
  <c r="AN31" i="21"/>
  <c r="AY11" i="21"/>
  <c r="AO11" i="21"/>
  <c r="AN11" i="21"/>
  <c r="AT11" i="21"/>
  <c r="AP11" i="21"/>
  <c r="AV11" i="21"/>
  <c r="AQ11" i="21"/>
  <c r="AS11" i="21"/>
  <c r="AU11" i="21"/>
  <c r="AW11" i="21"/>
  <c r="AR11" i="21"/>
  <c r="AC42" i="21"/>
  <c r="AE42" i="21"/>
  <c r="AB42" i="21"/>
  <c r="AZ56" i="21"/>
  <c r="H56" i="21" s="1"/>
  <c r="BP35" i="21"/>
  <c r="BN35" i="21"/>
  <c r="AM20" i="21"/>
  <c r="G20" i="21" s="1"/>
  <c r="BH57" i="21"/>
  <c r="BI57" i="21"/>
  <c r="BL57" i="21"/>
  <c r="BK57" i="21" s="1"/>
  <c r="BG57" i="21"/>
  <c r="BT44" i="21"/>
  <c r="M44" i="21" s="1"/>
  <c r="AC39" i="21"/>
  <c r="AB39" i="21"/>
  <c r="AE39" i="21"/>
  <c r="CK54" i="21"/>
  <c r="CH54" i="21"/>
  <c r="CI54" i="21"/>
  <c r="CG54" i="21"/>
  <c r="CI10" i="21"/>
  <c r="CK10" i="21"/>
  <c r="CG10" i="21"/>
  <c r="CH10" i="21"/>
  <c r="CF53" i="21"/>
  <c r="Q53" i="21" s="1"/>
  <c r="BC27" i="21"/>
  <c r="BE27" i="21"/>
  <c r="BC51" i="21"/>
  <c r="BE51" i="21"/>
  <c r="BC41" i="21"/>
  <c r="BE41" i="21"/>
  <c r="BZ15" i="21"/>
  <c r="O15" i="21" s="1"/>
  <c r="BW40" i="21"/>
  <c r="N40" i="21" s="1"/>
  <c r="AC35" i="21"/>
  <c r="AB35" i="21"/>
  <c r="AE35" i="21"/>
  <c r="AP62" i="21"/>
  <c r="AY62" i="21"/>
  <c r="AO62" i="21"/>
  <c r="AN62" i="21"/>
  <c r="AU62" i="21"/>
  <c r="AT62" i="21"/>
  <c r="AS62" i="21"/>
  <c r="AR62" i="21"/>
  <c r="AV62" i="21"/>
  <c r="AW62" i="21"/>
  <c r="AQ62" i="21"/>
  <c r="AB16" i="21"/>
  <c r="AE16" i="21"/>
  <c r="AC16" i="21"/>
  <c r="BI9" i="21"/>
  <c r="BG9" i="21"/>
  <c r="BL9" i="21"/>
  <c r="BK9" i="21" s="1"/>
  <c r="BH9" i="21"/>
  <c r="AP27" i="21"/>
  <c r="AS27" i="21"/>
  <c r="AQ27" i="21"/>
  <c r="AN27" i="21"/>
  <c r="AW27" i="21"/>
  <c r="AU27" i="21"/>
  <c r="AY27" i="21"/>
  <c r="AO27" i="21"/>
  <c r="AV27" i="21"/>
  <c r="AT27" i="21"/>
  <c r="AR27" i="21"/>
  <c r="BC15" i="21"/>
  <c r="BE15" i="21"/>
  <c r="AZ36" i="21"/>
  <c r="H36" i="21" s="1"/>
  <c r="AT7" i="21"/>
  <c r="AW7" i="21"/>
  <c r="AV7" i="21"/>
  <c r="AU7" i="21"/>
  <c r="AS7" i="21"/>
  <c r="AR7" i="21"/>
  <c r="AQ7" i="21"/>
  <c r="AP7" i="21"/>
  <c r="AO7" i="21"/>
  <c r="AY7" i="21"/>
  <c r="AN7" i="21"/>
  <c r="AM43" i="21"/>
  <c r="G43" i="21" s="1"/>
  <c r="AC7" i="21"/>
  <c r="AB7" i="21"/>
  <c r="AE7" i="21"/>
  <c r="BC19" i="21"/>
  <c r="BE19" i="21"/>
  <c r="AZ21" i="21"/>
  <c r="H21" i="21" s="1"/>
  <c r="AU22" i="21"/>
  <c r="AO22" i="21"/>
  <c r="AN22" i="21"/>
  <c r="AY22" i="21"/>
  <c r="AV22" i="21"/>
  <c r="AQ22" i="21"/>
  <c r="AW22" i="21"/>
  <c r="AT22" i="21"/>
  <c r="AS22" i="21"/>
  <c r="AR22" i="21"/>
  <c r="AP22" i="21"/>
  <c r="BT30" i="21"/>
  <c r="M30" i="21" s="1"/>
  <c r="CK49" i="21"/>
  <c r="CI49" i="21"/>
  <c r="CH49" i="21"/>
  <c r="CG49" i="21"/>
  <c r="AB20" i="21"/>
  <c r="AC20" i="21"/>
  <c r="AE20" i="21"/>
  <c r="AV57" i="21"/>
  <c r="AU57" i="21"/>
  <c r="AT57" i="21"/>
  <c r="AS57" i="21"/>
  <c r="AW57" i="21"/>
  <c r="AN57" i="21"/>
  <c r="AP57" i="21"/>
  <c r="AQ57" i="21"/>
  <c r="AY57" i="21"/>
  <c r="AR57" i="21"/>
  <c r="AO57" i="21"/>
  <c r="BQ32" i="21"/>
  <c r="L32" i="21" s="1"/>
  <c r="CF42" i="21"/>
  <c r="Q42" i="21" s="1"/>
  <c r="AM39" i="21"/>
  <c r="G39" i="21" s="1"/>
  <c r="BT16" i="21"/>
  <c r="M16" i="21" s="1"/>
  <c r="AE9" i="21"/>
  <c r="AB9" i="21"/>
  <c r="AC9" i="21"/>
  <c r="CC53" i="21"/>
  <c r="P53" i="21" s="1"/>
  <c r="BW51" i="21"/>
  <c r="N51" i="21" s="1"/>
  <c r="CC41" i="21"/>
  <c r="P41" i="21" s="1"/>
  <c r="CK15" i="21"/>
  <c r="CG15" i="21"/>
  <c r="CH15" i="21"/>
  <c r="CI15" i="21"/>
  <c r="BC8" i="21"/>
  <c r="BE8" i="21"/>
  <c r="BF55" i="21"/>
  <c r="J55" i="21" s="1"/>
  <c r="BM29" i="21"/>
  <c r="K29" i="21" s="1"/>
  <c r="BI19" i="21"/>
  <c r="BH19" i="21"/>
  <c r="BG19" i="21"/>
  <c r="BL19" i="21"/>
  <c r="BK19" i="21" s="1"/>
  <c r="BQ36" i="21"/>
  <c r="L36" i="21" s="1"/>
  <c r="BC63" i="21"/>
  <c r="BE63" i="21"/>
  <c r="BZ30" i="21"/>
  <c r="O30" i="21" s="1"/>
  <c r="CC12" i="21"/>
  <c r="P12" i="21" s="1"/>
  <c r="BZ35" i="21"/>
  <c r="O35" i="21" s="1"/>
  <c r="AN20" i="21"/>
  <c r="AY20" i="21"/>
  <c r="AP20" i="21"/>
  <c r="AO20" i="21"/>
  <c r="AQ20" i="21"/>
  <c r="AU20" i="21"/>
  <c r="AV20" i="21"/>
  <c r="AR20" i="21"/>
  <c r="AS20" i="21"/>
  <c r="AT20" i="21"/>
  <c r="AW20" i="21"/>
  <c r="CG62" i="21"/>
  <c r="CK62" i="21"/>
  <c r="CI62" i="21"/>
  <c r="CH62" i="21"/>
  <c r="BE54" i="21"/>
  <c r="BC54" i="21"/>
  <c r="CC27" i="21"/>
  <c r="P27" i="21" s="1"/>
  <c r="BL51" i="21"/>
  <c r="BK51" i="21" s="1"/>
  <c r="BI51" i="21"/>
  <c r="BH51" i="21"/>
  <c r="BG51" i="21"/>
  <c r="CK41" i="21"/>
  <c r="CI41" i="21"/>
  <c r="CG41" i="21"/>
  <c r="CH41" i="21"/>
  <c r="AM40" i="21"/>
  <c r="G40" i="21" s="1"/>
  <c r="CG9" i="21"/>
  <c r="CH9" i="21"/>
  <c r="CK9" i="21"/>
  <c r="CI9" i="21"/>
  <c r="BN17" i="21"/>
  <c r="BP17" i="21"/>
  <c r="AZ28" i="21"/>
  <c r="H28" i="21" s="1"/>
  <c r="AC52" i="21"/>
  <c r="AB52" i="21"/>
  <c r="AE52" i="21"/>
  <c r="BZ54" i="21"/>
  <c r="O54" i="21" s="1"/>
  <c r="AM10" i="21"/>
  <c r="G10" i="21" s="1"/>
  <c r="CK27" i="21"/>
  <c r="CI27" i="21"/>
  <c r="CG27" i="21"/>
  <c r="CH27" i="21"/>
  <c r="BP41" i="21"/>
  <c r="BN41" i="21"/>
  <c r="AC15" i="21"/>
  <c r="AE15" i="21"/>
  <c r="AB15" i="21"/>
  <c r="BQ61" i="21"/>
  <c r="L61" i="21" s="1"/>
  <c r="BC9" i="21"/>
  <c r="BE9" i="21"/>
  <c r="BH45" i="21"/>
  <c r="BI45" i="21"/>
  <c r="BG45" i="21"/>
  <c r="BL45" i="21"/>
  <c r="BK45" i="21" s="1"/>
  <c r="BE13" i="21"/>
  <c r="BC13" i="21"/>
  <c r="CL32" i="21"/>
  <c r="R32" i="21" s="1"/>
  <c r="AC30" i="21"/>
  <c r="AE30" i="21"/>
  <c r="AB30" i="21"/>
  <c r="CI31" i="21"/>
  <c r="CG31" i="21"/>
  <c r="CH31" i="21"/>
  <c r="CK31" i="21"/>
  <c r="BE11" i="21"/>
  <c r="BC11" i="21"/>
  <c r="BW59" i="21"/>
  <c r="N59" i="21" s="1"/>
  <c r="BZ49" i="21"/>
  <c r="O49" i="21" s="1"/>
  <c r="CC57" i="21"/>
  <c r="P57" i="21" s="1"/>
  <c r="BM28" i="21"/>
  <c r="K28" i="21" s="1"/>
  <c r="AZ14" i="21"/>
  <c r="H14" i="21" s="1"/>
  <c r="BC39" i="21"/>
  <c r="BE39" i="21"/>
  <c r="BP53" i="21"/>
  <c r="BN53" i="21"/>
  <c r="CF27" i="21"/>
  <c r="Q27" i="21" s="1"/>
  <c r="AI41" i="21"/>
  <c r="F41" i="21" s="1"/>
  <c r="BQ45" i="21"/>
  <c r="L45" i="21" s="1"/>
  <c r="AM15" i="21"/>
  <c r="G15" i="21" s="1"/>
  <c r="BH8" i="21"/>
  <c r="BI8" i="21"/>
  <c r="BG8" i="21"/>
  <c r="BL8" i="21"/>
  <c r="BK8" i="21" s="1"/>
  <c r="BN51" i="21"/>
  <c r="BP51" i="21"/>
  <c r="AI40" i="21"/>
  <c r="F40" i="21" s="1"/>
  <c r="BP9" i="21"/>
  <c r="BN9" i="21"/>
  <c r="AF60" i="21"/>
  <c r="E60" i="21" s="1"/>
  <c r="CK13" i="21"/>
  <c r="CH13" i="21"/>
  <c r="CI13" i="21"/>
  <c r="CG13" i="21"/>
  <c r="AP35" i="21"/>
  <c r="AO35" i="21"/>
  <c r="AY35" i="21"/>
  <c r="AW35" i="21"/>
  <c r="AV35" i="21"/>
  <c r="AT35" i="21"/>
  <c r="AS35" i="21"/>
  <c r="AU35" i="21"/>
  <c r="AR35" i="21"/>
  <c r="AQ35" i="21"/>
  <c r="AN35" i="21"/>
  <c r="AE62" i="21"/>
  <c r="AC62" i="21"/>
  <c r="AB62" i="21"/>
  <c r="BN54" i="21"/>
  <c r="BP54" i="21"/>
  <c r="BP16" i="21"/>
  <c r="BN16" i="21"/>
  <c r="BP27" i="21"/>
  <c r="BN27" i="21"/>
  <c r="CF8" i="21"/>
  <c r="Q8" i="21" s="1"/>
  <c r="BH40" i="21"/>
  <c r="BG40" i="21"/>
  <c r="BL40" i="21"/>
  <c r="BK40" i="21" s="1"/>
  <c r="BI40" i="21"/>
  <c r="CC22" i="21"/>
  <c r="P22" i="21" s="1"/>
  <c r="BM14" i="21"/>
  <c r="K14" i="21" s="1"/>
  <c r="CL46" i="21"/>
  <c r="R46" i="21" s="1"/>
  <c r="CF22" i="21"/>
  <c r="Q22" i="21" s="1"/>
  <c r="BE22" i="21"/>
  <c r="BC22" i="21"/>
  <c r="BG23" i="21"/>
  <c r="BH23" i="21"/>
  <c r="BL23" i="21"/>
  <c r="BK23" i="21" s="1"/>
  <c r="BI23" i="21"/>
  <c r="CI30" i="21"/>
  <c r="CG30" i="21"/>
  <c r="CK30" i="21"/>
  <c r="CH30" i="21"/>
  <c r="BH31" i="21"/>
  <c r="BI31" i="21"/>
  <c r="BL31" i="21"/>
  <c r="BK31" i="21" s="1"/>
  <c r="BG31" i="21"/>
  <c r="BI50" i="21"/>
  <c r="BH50" i="21"/>
  <c r="BG50" i="21"/>
  <c r="BL50" i="21"/>
  <c r="BK50" i="21" s="1"/>
  <c r="BT12" i="21"/>
  <c r="M12" i="21" s="1"/>
  <c r="BL11" i="21"/>
  <c r="BK11" i="21" s="1"/>
  <c r="BI11" i="21"/>
  <c r="BH11" i="21"/>
  <c r="BG11" i="21"/>
  <c r="BM21" i="21"/>
  <c r="K21" i="21" s="1"/>
  <c r="CG44" i="21"/>
  <c r="CK44" i="21"/>
  <c r="CH44" i="21"/>
  <c r="CI44" i="21"/>
  <c r="BP39" i="21"/>
  <c r="BN39" i="21"/>
  <c r="CK39" i="21"/>
  <c r="CI39" i="21"/>
  <c r="CH39" i="21"/>
  <c r="CG39" i="21"/>
  <c r="BW54" i="21"/>
  <c r="N54" i="21" s="1"/>
  <c r="BI54" i="21"/>
  <c r="BG54" i="21"/>
  <c r="BL54" i="21"/>
  <c r="BK54" i="21" s="1"/>
  <c r="BH54" i="21"/>
  <c r="BC16" i="21"/>
  <c r="BE16" i="21"/>
  <c r="AZ32" i="21"/>
  <c r="H32" i="21" s="1"/>
  <c r="AY53" i="21"/>
  <c r="AT53" i="21"/>
  <c r="AS53" i="21"/>
  <c r="AR53" i="21"/>
  <c r="AN53" i="21"/>
  <c r="AU53" i="21"/>
  <c r="AQ53" i="21"/>
  <c r="AP53" i="21"/>
  <c r="AO53" i="21"/>
  <c r="AV53" i="21"/>
  <c r="AW53" i="21"/>
  <c r="BZ41" i="21"/>
  <c r="O41" i="21" s="1"/>
  <c r="AF27" i="21"/>
  <c r="E27" i="21" s="1"/>
  <c r="AV15" i="21"/>
  <c r="AU15" i="21"/>
  <c r="AS15" i="21"/>
  <c r="AT15" i="21"/>
  <c r="AP15" i="21"/>
  <c r="AW15" i="21"/>
  <c r="AO15" i="21"/>
  <c r="AR15" i="21"/>
  <c r="AN15" i="21"/>
  <c r="AY15" i="21"/>
  <c r="AQ15" i="21"/>
  <c r="BP8" i="21"/>
  <c r="BN8" i="21"/>
  <c r="BZ9" i="21"/>
  <c r="O9" i="21" s="1"/>
  <c r="CI17" i="21"/>
  <c r="CK17" i="21"/>
  <c r="CH17" i="21"/>
  <c r="CG17" i="21"/>
  <c r="BN34" i="21"/>
  <c r="BP34" i="21"/>
  <c r="AC13" i="21"/>
  <c r="AE13" i="21"/>
  <c r="AB13" i="21"/>
  <c r="BC23" i="21"/>
  <c r="BE23" i="21"/>
  <c r="BI63" i="21"/>
  <c r="BH63" i="21"/>
  <c r="BL63" i="21"/>
  <c r="BK63" i="21" s="1"/>
  <c r="BG63" i="21"/>
  <c r="AE11" i="21"/>
  <c r="AC11" i="21"/>
  <c r="AB11" i="21"/>
  <c r="AQ45" i="21"/>
  <c r="AP45" i="21"/>
  <c r="AR45" i="21"/>
  <c r="AY45" i="21"/>
  <c r="AO45" i="21"/>
  <c r="AU45" i="21"/>
  <c r="AS45" i="21"/>
  <c r="AW45" i="21"/>
  <c r="AT45" i="21"/>
  <c r="AV45" i="21"/>
  <c r="AN45" i="21"/>
  <c r="AS38" i="21"/>
  <c r="AQ38" i="21"/>
  <c r="AR38" i="21"/>
  <c r="AP38" i="21"/>
  <c r="AO38" i="21"/>
  <c r="AV38" i="21"/>
  <c r="AW38" i="21"/>
  <c r="AT38" i="21"/>
  <c r="AU38" i="21"/>
  <c r="AY38" i="21"/>
  <c r="AN38" i="21"/>
  <c r="BE34" i="21"/>
  <c r="BC34" i="21"/>
  <c r="CK22" i="21"/>
  <c r="CI22" i="21"/>
  <c r="CH22" i="21"/>
  <c r="CG22" i="21"/>
  <c r="AC31" i="21"/>
  <c r="AB31" i="21"/>
  <c r="AE31" i="21"/>
  <c r="AF18" i="21"/>
  <c r="E18" i="21" s="1"/>
  <c r="CC39" i="21"/>
  <c r="P39" i="21" s="1"/>
  <c r="BE20" i="21"/>
  <c r="BC20" i="21"/>
  <c r="BL44" i="21"/>
  <c r="BK44" i="21" s="1"/>
  <c r="BI44" i="21"/>
  <c r="BH44" i="21"/>
  <c r="BG44" i="21"/>
  <c r="BL39" i="21"/>
  <c r="BK39" i="21" s="1"/>
  <c r="BG39" i="21"/>
  <c r="BH39" i="21"/>
  <c r="BI39" i="21"/>
  <c r="BN52" i="21"/>
  <c r="BP52" i="21"/>
  <c r="BZ10" i="21"/>
  <c r="O10" i="21" s="1"/>
  <c r="CK51" i="21"/>
  <c r="CI51" i="21"/>
  <c r="CG51" i="21"/>
  <c r="CH51" i="21"/>
  <c r="AE51" i="21"/>
  <c r="AC51" i="21"/>
  <c r="AB51" i="21"/>
  <c r="AZ26" i="21"/>
  <c r="H26" i="21" s="1"/>
  <c r="BW15" i="21"/>
  <c r="N15" i="21" s="1"/>
  <c r="AC8" i="21"/>
  <c r="AB8" i="21"/>
  <c r="AE8" i="21"/>
  <c r="CG40" i="21"/>
  <c r="CI40" i="21"/>
  <c r="CK40" i="21"/>
  <c r="CH40" i="21"/>
  <c r="AY9" i="21"/>
  <c r="AW9" i="21"/>
  <c r="AV9" i="21"/>
  <c r="AU9" i="21"/>
  <c r="AO9" i="21"/>
  <c r="AQ9" i="21"/>
  <c r="AP9" i="21"/>
  <c r="AR9" i="21"/>
  <c r="AS9" i="21"/>
  <c r="AN9" i="21"/>
  <c r="AT9" i="21"/>
  <c r="CC45" i="21"/>
  <c r="P45" i="21" s="1"/>
  <c r="AI30" i="21"/>
  <c r="F30" i="21" s="1"/>
  <c r="AT12" i="21"/>
  <c r="AW12" i="21"/>
  <c r="AV12" i="21"/>
  <c r="AU12" i="21"/>
  <c r="AS12" i="21"/>
  <c r="AR12" i="21"/>
  <c r="AP12" i="21"/>
  <c r="AQ12" i="21"/>
  <c r="AO12" i="21"/>
  <c r="AN12" i="21"/>
  <c r="AY12" i="21"/>
  <c r="BP42" i="21"/>
  <c r="BN42" i="21"/>
  <c r="CF50" i="21"/>
  <c r="Q50" i="21" s="1"/>
  <c r="BP49" i="21"/>
  <c r="BN49" i="21"/>
  <c r="AW50" i="21"/>
  <c r="AR50" i="21"/>
  <c r="AQ50" i="21"/>
  <c r="AP50" i="21"/>
  <c r="AO50" i="21"/>
  <c r="AN50" i="21"/>
  <c r="AU50" i="21"/>
  <c r="AT50" i="21"/>
  <c r="AV50" i="21"/>
  <c r="AS50" i="21"/>
  <c r="AY50" i="21"/>
  <c r="BP62" i="21"/>
  <c r="BN62" i="21"/>
  <c r="AO52" i="21"/>
  <c r="AT52" i="21"/>
  <c r="AR52" i="21"/>
  <c r="AU52" i="21"/>
  <c r="AV52" i="21"/>
  <c r="AY52" i="21"/>
  <c r="AP52" i="21"/>
  <c r="AS52" i="21"/>
  <c r="AQ52" i="21"/>
  <c r="AN52" i="21"/>
  <c r="AW52" i="21"/>
  <c r="AC53" i="21"/>
  <c r="AE53" i="21"/>
  <c r="AB53" i="21"/>
  <c r="CF9" i="21"/>
  <c r="Q9" i="21" s="1"/>
  <c r="BH17" i="21"/>
  <c r="BI17" i="21"/>
  <c r="BG17" i="21"/>
  <c r="BL17" i="21"/>
  <c r="BK17" i="21" s="1"/>
  <c r="AM19" i="21"/>
  <c r="G19" i="21" s="1"/>
  <c r="BP66" i="21"/>
  <c r="BN66" i="21"/>
  <c r="CF24" i="21"/>
  <c r="Q24" i="21" s="1"/>
  <c r="BW34" i="21"/>
  <c r="N34" i="21" s="1"/>
  <c r="AM38" i="21"/>
  <c r="G38" i="21" s="1"/>
  <c r="BM36" i="21"/>
  <c r="K36" i="21" s="1"/>
  <c r="BT63" i="21"/>
  <c r="M63" i="21" s="1"/>
  <c r="AM23" i="21"/>
  <c r="G23" i="21" s="1"/>
  <c r="BP30" i="21"/>
  <c r="BN30" i="21"/>
  <c r="AC12" i="21"/>
  <c r="AB12" i="21"/>
  <c r="AE12" i="21"/>
  <c r="BW12" i="21"/>
  <c r="N12" i="21" s="1"/>
  <c r="AZ18" i="21"/>
  <c r="H18" i="21" s="1"/>
  <c r="BT50" i="21"/>
  <c r="M50" i="21" s="1"/>
  <c r="AN59" i="21"/>
  <c r="AY59" i="21"/>
  <c r="AW59" i="21"/>
  <c r="AS59" i="21"/>
  <c r="AV59" i="21"/>
  <c r="AO59" i="21"/>
  <c r="AU59" i="21"/>
  <c r="AR59" i="21"/>
  <c r="AQ59" i="21"/>
  <c r="AT59" i="21"/>
  <c r="AP59" i="21"/>
  <c r="CF35" i="21"/>
  <c r="Q35" i="21" s="1"/>
  <c r="AF34" i="21"/>
  <c r="E34" i="21" s="1"/>
  <c r="AP44" i="21"/>
  <c r="AO44" i="21"/>
  <c r="AY44" i="21"/>
  <c r="AN44" i="21"/>
  <c r="AR44" i="21"/>
  <c r="AU44" i="21"/>
  <c r="AW44" i="21"/>
  <c r="AT44" i="21"/>
  <c r="AS44" i="21"/>
  <c r="AQ44" i="21"/>
  <c r="AV44" i="21"/>
  <c r="BW39" i="21"/>
  <c r="N39" i="21" s="1"/>
  <c r="CI52" i="21"/>
  <c r="CK52" i="21"/>
  <c r="CH52" i="21"/>
  <c r="CG52" i="21"/>
  <c r="AM27" i="21"/>
  <c r="G27" i="21" s="1"/>
  <c r="BZ51" i="21"/>
  <c r="O51" i="21" s="1"/>
  <c r="CC15" i="21"/>
  <c r="P15" i="21" s="1"/>
  <c r="AZ40" i="21"/>
  <c r="H40" i="21" s="1"/>
  <c r="AB40" i="21"/>
  <c r="AC40" i="21"/>
  <c r="AE40" i="21"/>
  <c r="BC43" i="21"/>
  <c r="BE43" i="21"/>
  <c r="CG7" i="21"/>
  <c r="CK7" i="21"/>
  <c r="CI7" i="21"/>
  <c r="CH7" i="21"/>
  <c r="BN19" i="21"/>
  <c r="BP19" i="21"/>
  <c r="BE31" i="21"/>
  <c r="BC31" i="21"/>
  <c r="BH30" i="21"/>
  <c r="BG30" i="21"/>
  <c r="BL30" i="21"/>
  <c r="BK30" i="21" s="1"/>
  <c r="BI30" i="21"/>
  <c r="BN64" i="21"/>
  <c r="BP64" i="21"/>
  <c r="AY66" i="21"/>
  <c r="AS66" i="21"/>
  <c r="AN66" i="21"/>
  <c r="AU66" i="21"/>
  <c r="AT66" i="21"/>
  <c r="AW66" i="21"/>
  <c r="AQ66" i="21"/>
  <c r="AV66" i="21"/>
  <c r="AO66" i="21"/>
  <c r="AR66" i="21"/>
  <c r="AP66" i="21"/>
  <c r="CK23" i="21"/>
  <c r="CI23" i="21"/>
  <c r="CH23" i="21"/>
  <c r="CG23" i="21"/>
  <c r="BN56" i="21"/>
  <c r="BP56" i="21"/>
  <c r="AZ29" i="21"/>
  <c r="H29" i="21" s="1"/>
  <c r="BF26" i="21"/>
  <c r="J26" i="21" s="1"/>
  <c r="BF29" i="21"/>
  <c r="J29" i="21" s="1"/>
  <c r="BM46" i="21"/>
  <c r="K46" i="21" s="1"/>
  <c r="BZ19" i="21"/>
  <c r="O19" i="21" s="1"/>
  <c r="CC24" i="21"/>
  <c r="P24" i="21" s="1"/>
  <c r="BL38" i="21"/>
  <c r="BK38" i="21" s="1"/>
  <c r="BH38" i="21"/>
  <c r="BG38" i="21"/>
  <c r="BI38" i="21"/>
  <c r="CC23" i="21"/>
  <c r="P23" i="21" s="1"/>
  <c r="AY30" i="21"/>
  <c r="AV30" i="21"/>
  <c r="AW30" i="21"/>
  <c r="AR30" i="21"/>
  <c r="AN30" i="21"/>
  <c r="AQ30" i="21"/>
  <c r="AT30" i="21"/>
  <c r="AU30" i="21"/>
  <c r="AP30" i="21"/>
  <c r="AO30" i="21"/>
  <c r="AS30" i="21"/>
  <c r="BT31" i="21"/>
  <c r="M31" i="21" s="1"/>
  <c r="BH12" i="21"/>
  <c r="BL12" i="21"/>
  <c r="BK12" i="21" s="1"/>
  <c r="BI12" i="21"/>
  <c r="BG12" i="21"/>
  <c r="AF55" i="21"/>
  <c r="E55" i="21" s="1"/>
  <c r="BZ11" i="21"/>
  <c r="O11" i="21" s="1"/>
  <c r="BW50" i="21"/>
  <c r="N50" i="21" s="1"/>
  <c r="CI59" i="21"/>
  <c r="CH59" i="21"/>
  <c r="CG59" i="21"/>
  <c r="CK59" i="21"/>
  <c r="BC30" i="21"/>
  <c r="BE30" i="21"/>
  <c r="CC35" i="21"/>
  <c r="P35" i="21" s="1"/>
  <c r="CG16" i="21"/>
  <c r="CK16" i="21"/>
  <c r="CH16" i="21"/>
  <c r="CI16" i="21"/>
  <c r="BC53" i="21"/>
  <c r="BE53" i="21"/>
  <c r="AI53" i="21"/>
  <c r="F53" i="21" s="1"/>
  <c r="AM51" i="21"/>
  <c r="G51" i="21" s="1"/>
  <c r="BW41" i="21"/>
  <c r="N41" i="21" s="1"/>
  <c r="CL18" i="21"/>
  <c r="R18" i="21" s="1"/>
  <c r="BP15" i="21"/>
  <c r="BN15" i="21"/>
  <c r="AP8" i="21"/>
  <c r="AY8" i="21"/>
  <c r="AW8" i="21"/>
  <c r="AS8" i="21"/>
  <c r="AQ8" i="21"/>
  <c r="AT8" i="21"/>
  <c r="AR8" i="21"/>
  <c r="AO8" i="21"/>
  <c r="AU8" i="21"/>
  <c r="AV8" i="21"/>
  <c r="AN8" i="21"/>
  <c r="AM9" i="21"/>
  <c r="G9" i="21" s="1"/>
  <c r="AC17" i="21"/>
  <c r="AB17" i="21"/>
  <c r="AE17" i="21"/>
  <c r="CI43" i="21"/>
  <c r="CH43" i="21"/>
  <c r="CK43" i="21"/>
  <c r="CG43" i="21"/>
  <c r="BP43" i="21"/>
  <c r="BN43" i="21"/>
  <c r="AE45" i="21"/>
  <c r="AC45" i="21"/>
  <c r="AB45" i="21"/>
  <c r="BM18" i="21"/>
  <c r="K18" i="21" s="1"/>
  <c r="BQ33" i="21"/>
  <c r="L33" i="21" s="1"/>
  <c r="BC48" i="21"/>
  <c r="BE48" i="21"/>
  <c r="AC24" i="21"/>
  <c r="AE24" i="21"/>
  <c r="AB24" i="21"/>
  <c r="AC63" i="21"/>
  <c r="AE63" i="21"/>
  <c r="AB63" i="21"/>
  <c r="AI12" i="21"/>
  <c r="F12" i="21" s="1"/>
  <c r="BT52" i="21"/>
  <c r="M52" i="21" s="1"/>
  <c r="CG42" i="21"/>
  <c r="CH42" i="21"/>
  <c r="CK42" i="21"/>
  <c r="CI42" i="21"/>
  <c r="CK50" i="21"/>
  <c r="CI50" i="21"/>
  <c r="CH50" i="21"/>
  <c r="CG50" i="21"/>
  <c r="BN59" i="21"/>
  <c r="BP59" i="21"/>
  <c r="CG35" i="21"/>
  <c r="CH35" i="21"/>
  <c r="CK35" i="21"/>
  <c r="CI35" i="21"/>
  <c r="BI59" i="21"/>
  <c r="BL59" i="21"/>
  <c r="BK59" i="21" s="1"/>
  <c r="BG59" i="21"/>
  <c r="BH59" i="21"/>
  <c r="BG62" i="21"/>
  <c r="BL62" i="21"/>
  <c r="BK62" i="21" s="1"/>
  <c r="BI62" i="21"/>
  <c r="BH62" i="21"/>
  <c r="BN44" i="21"/>
  <c r="BP44" i="21"/>
  <c r="CF54" i="21"/>
  <c r="Q54" i="21" s="1"/>
  <c r="BQ26" i="21"/>
  <c r="L26" i="21" s="1"/>
  <c r="BT53" i="21"/>
  <c r="M53" i="21" s="1"/>
  <c r="BI27" i="21"/>
  <c r="BG27" i="21"/>
  <c r="BH27" i="21"/>
  <c r="BL27" i="21"/>
  <c r="BK27" i="21" s="1"/>
  <c r="AY51" i="21"/>
  <c r="AS51" i="21"/>
  <c r="AO51" i="21"/>
  <c r="AQ51" i="21"/>
  <c r="AW51" i="21"/>
  <c r="AN51" i="21"/>
  <c r="AP51" i="21"/>
  <c r="AU51" i="21"/>
  <c r="AT51" i="21"/>
  <c r="AR51" i="21"/>
  <c r="AV51" i="21"/>
  <c r="AE41" i="21"/>
  <c r="AC41" i="21"/>
  <c r="AB41" i="21"/>
  <c r="BH15" i="21"/>
  <c r="BG15" i="21"/>
  <c r="BL15" i="21"/>
  <c r="BK15" i="21" s="1"/>
  <c r="BI15" i="21"/>
  <c r="BM60" i="21"/>
  <c r="K60" i="21" s="1"/>
  <c r="CH8" i="21"/>
  <c r="CG8" i="21"/>
  <c r="CK8" i="21"/>
  <c r="CI8" i="21"/>
  <c r="BW9" i="21"/>
  <c r="N9" i="21" s="1"/>
  <c r="BM61" i="21" l="1"/>
  <c r="K61" i="21" s="1"/>
  <c r="CL47" i="21"/>
  <c r="R47" i="21" s="1"/>
  <c r="AF61" i="21"/>
  <c r="E61" i="21" s="1"/>
  <c r="CL61" i="21"/>
  <c r="R61" i="21" s="1"/>
  <c r="AZ61" i="21"/>
  <c r="H61" i="21" s="1"/>
  <c r="AF58" i="21"/>
  <c r="E58" i="21" s="1"/>
  <c r="AZ47" i="21"/>
  <c r="H47" i="21" s="1"/>
  <c r="AF37" i="21"/>
  <c r="E37" i="21" s="1"/>
  <c r="AZ37" i="21"/>
  <c r="H37" i="21" s="1"/>
  <c r="CL20" i="21"/>
  <c r="R20" i="21" s="1"/>
  <c r="BM37" i="21"/>
  <c r="K37" i="21" s="1"/>
  <c r="AZ58" i="21"/>
  <c r="H58" i="21" s="1"/>
  <c r="AF57" i="21"/>
  <c r="E57" i="21" s="1"/>
  <c r="AF38" i="21"/>
  <c r="E38" i="21" s="1"/>
  <c r="AF64" i="21"/>
  <c r="E64" i="21" s="1"/>
  <c r="AF54" i="21"/>
  <c r="E54" i="21" s="1"/>
  <c r="CL19" i="21"/>
  <c r="R19" i="21" s="1"/>
  <c r="AF56" i="21"/>
  <c r="E56" i="21" s="1"/>
  <c r="BM58" i="21"/>
  <c r="K58" i="21" s="1"/>
  <c r="S28" i="21"/>
  <c r="BM47" i="21"/>
  <c r="K47" i="21" s="1"/>
  <c r="BM43" i="21"/>
  <c r="K43" i="21" s="1"/>
  <c r="AF23" i="21"/>
  <c r="E23" i="21" s="1"/>
  <c r="BM52" i="21"/>
  <c r="K52" i="21" s="1"/>
  <c r="AF49" i="21"/>
  <c r="E49" i="21" s="1"/>
  <c r="BQ15" i="21"/>
  <c r="L15" i="21" s="1"/>
  <c r="CL56" i="21"/>
  <c r="R56" i="21" s="1"/>
  <c r="AF43" i="21"/>
  <c r="E43" i="21" s="1"/>
  <c r="AF19" i="21"/>
  <c r="E19" i="21" s="1"/>
  <c r="D28" i="21"/>
  <c r="CL63" i="21"/>
  <c r="R63" i="21" s="1"/>
  <c r="BM42" i="21"/>
  <c r="K42" i="21" s="1"/>
  <c r="CL34" i="21"/>
  <c r="R34" i="21" s="1"/>
  <c r="AZ43" i="21"/>
  <c r="H43" i="21" s="1"/>
  <c r="BM48" i="21"/>
  <c r="K48" i="21" s="1"/>
  <c r="CL38" i="21"/>
  <c r="R38" i="21" s="1"/>
  <c r="AZ42" i="21"/>
  <c r="H42" i="21" s="1"/>
  <c r="BF56" i="21"/>
  <c r="J56" i="21" s="1"/>
  <c r="AZ34" i="21"/>
  <c r="H34" i="21" s="1"/>
  <c r="S65" i="21"/>
  <c r="AZ64" i="21"/>
  <c r="H64" i="21" s="1"/>
  <c r="CL11" i="21"/>
  <c r="R11" i="21" s="1"/>
  <c r="BM16" i="21"/>
  <c r="K16" i="21" s="1"/>
  <c r="BM7" i="21"/>
  <c r="K7" i="21" s="1"/>
  <c r="CL64" i="21"/>
  <c r="R64" i="21" s="1"/>
  <c r="AZ48" i="21"/>
  <c r="H48" i="21" s="1"/>
  <c r="AZ39" i="21"/>
  <c r="H39" i="21" s="1"/>
  <c r="BM66" i="21"/>
  <c r="K66" i="21" s="1"/>
  <c r="AZ23" i="21"/>
  <c r="H23" i="21" s="1"/>
  <c r="CL57" i="21"/>
  <c r="R57" i="21" s="1"/>
  <c r="BM24" i="21"/>
  <c r="K24" i="21" s="1"/>
  <c r="C36" i="21"/>
  <c r="D65" i="21"/>
  <c r="BQ12" i="21"/>
  <c r="L12" i="21" s="1"/>
  <c r="C46" i="21"/>
  <c r="BM56" i="21"/>
  <c r="K56" i="21" s="1"/>
  <c r="C65" i="21"/>
  <c r="BF44" i="21"/>
  <c r="J44" i="21" s="1"/>
  <c r="AF22" i="21"/>
  <c r="E22" i="21" s="1"/>
  <c r="D21" i="21"/>
  <c r="BQ20" i="21"/>
  <c r="L20" i="21" s="1"/>
  <c r="G6" i="21"/>
  <c r="C28" i="21"/>
  <c r="C21" i="21"/>
  <c r="C33" i="21"/>
  <c r="BQ7" i="21"/>
  <c r="L7" i="21" s="1"/>
  <c r="AF45" i="21"/>
  <c r="E45" i="21" s="1"/>
  <c r="BF31" i="21"/>
  <c r="J31" i="21" s="1"/>
  <c r="BF15" i="21"/>
  <c r="J15" i="21" s="1"/>
  <c r="CL9" i="21"/>
  <c r="R9" i="21" s="1"/>
  <c r="AZ19" i="21"/>
  <c r="H19" i="21" s="1"/>
  <c r="BM13" i="21"/>
  <c r="K13" i="21" s="1"/>
  <c r="S25" i="21"/>
  <c r="BQ59" i="21"/>
  <c r="L59" i="21" s="1"/>
  <c r="BQ56" i="21"/>
  <c r="L56" i="21" s="1"/>
  <c r="BF43" i="21"/>
  <c r="J43" i="21" s="1"/>
  <c r="BF22" i="21"/>
  <c r="J22" i="21" s="1"/>
  <c r="BM34" i="21"/>
  <c r="K34" i="21" s="1"/>
  <c r="BQ54" i="21"/>
  <c r="L54" i="21" s="1"/>
  <c r="AZ24" i="21"/>
  <c r="H24" i="21" s="1"/>
  <c r="AF20" i="21"/>
  <c r="E20" i="21" s="1"/>
  <c r="BM64" i="21"/>
  <c r="K64" i="21" s="1"/>
  <c r="C25" i="21"/>
  <c r="AF44" i="21"/>
  <c r="E44" i="21" s="1"/>
  <c r="S32" i="21"/>
  <c r="D25" i="21"/>
  <c r="BQ43" i="21"/>
  <c r="L43" i="21" s="1"/>
  <c r="AF41" i="21"/>
  <c r="E41" i="21" s="1"/>
  <c r="BF13" i="21"/>
  <c r="J13" i="21" s="1"/>
  <c r="D29" i="21"/>
  <c r="CL48" i="21"/>
  <c r="R48" i="21" s="1"/>
  <c r="BQ30" i="21"/>
  <c r="L30" i="21" s="1"/>
  <c r="AZ17" i="21"/>
  <c r="H17" i="21" s="1"/>
  <c r="BM23" i="21"/>
  <c r="K23" i="21" s="1"/>
  <c r="AF31" i="21"/>
  <c r="E31" i="21" s="1"/>
  <c r="CL17" i="21"/>
  <c r="R17" i="21" s="1"/>
  <c r="BQ44" i="21"/>
  <c r="L44" i="21" s="1"/>
  <c r="AF40" i="21"/>
  <c r="E40" i="21" s="1"/>
  <c r="BF39" i="21"/>
  <c r="J39" i="21" s="1"/>
  <c r="BF48" i="21"/>
  <c r="J48" i="21" s="1"/>
  <c r="BQ64" i="21"/>
  <c r="L64" i="21" s="1"/>
  <c r="BF63" i="21"/>
  <c r="J63" i="21" s="1"/>
  <c r="BM12" i="21"/>
  <c r="K12" i="21" s="1"/>
  <c r="CL39" i="21"/>
  <c r="R39" i="21" s="1"/>
  <c r="BQ16" i="21"/>
  <c r="L16" i="21" s="1"/>
  <c r="AF66" i="21"/>
  <c r="E66" i="21" s="1"/>
  <c r="BF40" i="21"/>
  <c r="J40" i="21" s="1"/>
  <c r="BM20" i="21"/>
  <c r="K20" i="21" s="1"/>
  <c r="BQ66" i="21"/>
  <c r="L66" i="21" s="1"/>
  <c r="BF35" i="21"/>
  <c r="J35" i="21" s="1"/>
  <c r="CL8" i="21"/>
  <c r="R8" i="21" s="1"/>
  <c r="S21" i="21"/>
  <c r="AF47" i="21"/>
  <c r="E47" i="21" s="1"/>
  <c r="D33" i="21"/>
  <c r="BM63" i="21"/>
  <c r="K63" i="21" s="1"/>
  <c r="BF51" i="21"/>
  <c r="J51" i="21" s="1"/>
  <c r="D14" i="21"/>
  <c r="BQ17" i="21"/>
  <c r="L17" i="21" s="1"/>
  <c r="BF27" i="21"/>
  <c r="J27" i="21" s="1"/>
  <c r="BQ11" i="21"/>
  <c r="L11" i="21" s="1"/>
  <c r="AF48" i="21"/>
  <c r="E48" i="21" s="1"/>
  <c r="S29" i="21"/>
  <c r="O6" i="21"/>
  <c r="BF16" i="21"/>
  <c r="J16" i="21" s="1"/>
  <c r="BF19" i="21"/>
  <c r="J19" i="21" s="1"/>
  <c r="BQ40" i="21"/>
  <c r="L40" i="21" s="1"/>
  <c r="AF24" i="21"/>
  <c r="E24" i="21" s="1"/>
  <c r="BM39" i="21"/>
  <c r="K39" i="21" s="1"/>
  <c r="BQ8" i="21"/>
  <c r="L8" i="21" s="1"/>
  <c r="BM11" i="21"/>
  <c r="K11" i="21" s="1"/>
  <c r="P6" i="21"/>
  <c r="AZ11" i="21"/>
  <c r="H11" i="21" s="1"/>
  <c r="BQ63" i="21"/>
  <c r="L63" i="21" s="1"/>
  <c r="AF53" i="21"/>
  <c r="E53" i="21" s="1"/>
  <c r="S26" i="21"/>
  <c r="BQ35" i="21"/>
  <c r="L35" i="21" s="1"/>
  <c r="BF24" i="21"/>
  <c r="J24" i="21" s="1"/>
  <c r="BM35" i="21"/>
  <c r="K35" i="21" s="1"/>
  <c r="AZ57" i="21"/>
  <c r="H57" i="21" s="1"/>
  <c r="BM9" i="21"/>
  <c r="K9" i="21" s="1"/>
  <c r="BM53" i="21"/>
  <c r="K53" i="21" s="1"/>
  <c r="AZ15" i="21"/>
  <c r="H15" i="21" s="1"/>
  <c r="M6" i="21"/>
  <c r="BF11" i="21"/>
  <c r="J11" i="21" s="1"/>
  <c r="AF35" i="21"/>
  <c r="E35" i="21" s="1"/>
  <c r="BQ50" i="21"/>
  <c r="L50" i="21" s="1"/>
  <c r="BF20" i="21"/>
  <c r="J20" i="21" s="1"/>
  <c r="BF9" i="21"/>
  <c r="J9" i="21" s="1"/>
  <c r="BQ38" i="21"/>
  <c r="L38" i="21" s="1"/>
  <c r="AF16" i="21"/>
  <c r="E16" i="21" s="1"/>
  <c r="AF9" i="21"/>
  <c r="E9" i="21" s="1"/>
  <c r="BQ57" i="21"/>
  <c r="L57" i="21" s="1"/>
  <c r="BQ39" i="21"/>
  <c r="L39" i="21" s="1"/>
  <c r="AF62" i="21"/>
  <c r="E62" i="21" s="1"/>
  <c r="BQ53" i="21"/>
  <c r="L53" i="21" s="1"/>
  <c r="CL31" i="21"/>
  <c r="R31" i="21" s="1"/>
  <c r="AZ12" i="21"/>
  <c r="H12" i="21" s="1"/>
  <c r="AZ8" i="21"/>
  <c r="H8" i="21" s="1"/>
  <c r="AZ9" i="21"/>
  <c r="H9" i="21" s="1"/>
  <c r="AF12" i="21"/>
  <c r="E12" i="21" s="1"/>
  <c r="AZ50" i="21"/>
  <c r="H50" i="21" s="1"/>
  <c r="BF34" i="21"/>
  <c r="J34" i="21" s="1"/>
  <c r="BF23" i="21"/>
  <c r="J23" i="21" s="1"/>
  <c r="Q6" i="21"/>
  <c r="AF52" i="21"/>
  <c r="E52" i="21" s="1"/>
  <c r="CL15" i="21"/>
  <c r="R15" i="21" s="1"/>
  <c r="BM57" i="21"/>
  <c r="K57" i="21" s="1"/>
  <c r="BF17" i="21"/>
  <c r="J17" i="21" s="1"/>
  <c r="BF10" i="21"/>
  <c r="J10" i="21" s="1"/>
  <c r="S33" i="21"/>
  <c r="CL23" i="21"/>
  <c r="R23" i="21" s="1"/>
  <c r="BM44" i="21"/>
  <c r="K44" i="21" s="1"/>
  <c r="AF13" i="21"/>
  <c r="E13" i="21" s="1"/>
  <c r="BM54" i="21"/>
  <c r="K54" i="21" s="1"/>
  <c r="AF30" i="21"/>
  <c r="E30" i="21" s="1"/>
  <c r="BM51" i="21"/>
  <c r="K51" i="21" s="1"/>
  <c r="CL62" i="21"/>
  <c r="R62" i="21" s="1"/>
  <c r="CL45" i="21"/>
  <c r="R45" i="21" s="1"/>
  <c r="AF51" i="21"/>
  <c r="E51" i="21" s="1"/>
  <c r="AZ38" i="21"/>
  <c r="H38" i="21" s="1"/>
  <c r="BQ27" i="21"/>
  <c r="L27" i="21" s="1"/>
  <c r="BQ9" i="21"/>
  <c r="L9" i="21" s="1"/>
  <c r="AF15" i="21"/>
  <c r="E15" i="21" s="1"/>
  <c r="AF7" i="21"/>
  <c r="E7" i="21" s="1"/>
  <c r="AZ62" i="21"/>
  <c r="H62" i="21" s="1"/>
  <c r="BM49" i="21"/>
  <c r="K49" i="21" s="1"/>
  <c r="BM15" i="21"/>
  <c r="K15" i="21" s="1"/>
  <c r="CL10" i="21"/>
  <c r="R10" i="21" s="1"/>
  <c r="BM41" i="21"/>
  <c r="K41" i="21" s="1"/>
  <c r="BM17" i="21"/>
  <c r="K17" i="21" s="1"/>
  <c r="BQ34" i="21"/>
  <c r="L34" i="21" s="1"/>
  <c r="BM50" i="21"/>
  <c r="K50" i="21" s="1"/>
  <c r="BM19" i="21"/>
  <c r="K19" i="21" s="1"/>
  <c r="AZ7" i="21"/>
  <c r="H7" i="21" s="1"/>
  <c r="S14" i="21"/>
  <c r="AZ63" i="21"/>
  <c r="H63" i="21" s="1"/>
  <c r="CL53" i="21"/>
  <c r="R53" i="21" s="1"/>
  <c r="AZ49" i="21"/>
  <c r="H49" i="21" s="1"/>
  <c r="BM59" i="21"/>
  <c r="K59" i="21" s="1"/>
  <c r="D46" i="21"/>
  <c r="CL51" i="21"/>
  <c r="R51" i="21" s="1"/>
  <c r="BQ51" i="21"/>
  <c r="L51" i="21" s="1"/>
  <c r="BQ41" i="21"/>
  <c r="L41" i="21" s="1"/>
  <c r="BF54" i="21"/>
  <c r="J54" i="21" s="1"/>
  <c r="C14" i="21"/>
  <c r="AF63" i="21"/>
  <c r="E63" i="21" s="1"/>
  <c r="CL43" i="21"/>
  <c r="R43" i="21" s="1"/>
  <c r="S46" i="21"/>
  <c r="AZ53" i="21"/>
  <c r="H53" i="21" s="1"/>
  <c r="CL54" i="21"/>
  <c r="R54" i="21" s="1"/>
  <c r="AZ31" i="21"/>
  <c r="H31" i="21" s="1"/>
  <c r="AZ13" i="21"/>
  <c r="H13" i="21" s="1"/>
  <c r="CL12" i="21"/>
  <c r="R12" i="21" s="1"/>
  <c r="BF12" i="21"/>
  <c r="J12" i="21" s="1"/>
  <c r="BM62" i="21"/>
  <c r="K62" i="21" s="1"/>
  <c r="AZ44" i="21"/>
  <c r="H44" i="21" s="1"/>
  <c r="S18" i="21"/>
  <c r="C18" i="21"/>
  <c r="D18" i="21"/>
  <c r="AF11" i="21"/>
  <c r="E11" i="21" s="1"/>
  <c r="BM31" i="21"/>
  <c r="K31" i="21" s="1"/>
  <c r="BM8" i="21"/>
  <c r="K8" i="21" s="1"/>
  <c r="BM45" i="21"/>
  <c r="K45" i="21" s="1"/>
  <c r="AF42" i="21"/>
  <c r="E42" i="21" s="1"/>
  <c r="C26" i="21"/>
  <c r="S55" i="21"/>
  <c r="D55" i="21"/>
  <c r="C55" i="21"/>
  <c r="BQ19" i="21"/>
  <c r="L19" i="21" s="1"/>
  <c r="CL52" i="21"/>
  <c r="R52" i="21" s="1"/>
  <c r="C29" i="21"/>
  <c r="BQ62" i="21"/>
  <c r="L62" i="21" s="1"/>
  <c r="BQ49" i="21"/>
  <c r="L49" i="21" s="1"/>
  <c r="CL13" i="21"/>
  <c r="R13" i="21" s="1"/>
  <c r="CL27" i="21"/>
  <c r="R27" i="21" s="1"/>
  <c r="BM10" i="21"/>
  <c r="K10" i="21" s="1"/>
  <c r="F6" i="21"/>
  <c r="D26" i="21"/>
  <c r="BM38" i="21"/>
  <c r="K38" i="21" s="1"/>
  <c r="AZ22" i="21"/>
  <c r="H22" i="21" s="1"/>
  <c r="AZ27" i="21"/>
  <c r="H27" i="21" s="1"/>
  <c r="AZ10" i="21"/>
  <c r="H10" i="21" s="1"/>
  <c r="BM30" i="21"/>
  <c r="K30" i="21" s="1"/>
  <c r="BF30" i="21"/>
  <c r="J30" i="21" s="1"/>
  <c r="AZ59" i="21"/>
  <c r="D36" i="21"/>
  <c r="C32" i="21"/>
  <c r="AZ41" i="21"/>
  <c r="H41" i="21" s="1"/>
  <c r="CL42" i="21"/>
  <c r="R42" i="21" s="1"/>
  <c r="CL35" i="21"/>
  <c r="R35" i="21" s="1"/>
  <c r="N6" i="21"/>
  <c r="AF17" i="21"/>
  <c r="E17" i="21" s="1"/>
  <c r="AZ52" i="21"/>
  <c r="H52" i="21" s="1"/>
  <c r="BQ42" i="21"/>
  <c r="L42" i="21" s="1"/>
  <c r="S36" i="21"/>
  <c r="CL40" i="21"/>
  <c r="R40" i="21" s="1"/>
  <c r="BQ52" i="21"/>
  <c r="L52" i="21" s="1"/>
  <c r="CL22" i="21"/>
  <c r="R22" i="21" s="1"/>
  <c r="D32" i="21"/>
  <c r="AZ20" i="21"/>
  <c r="H20" i="21" s="1"/>
  <c r="CL49" i="21"/>
  <c r="R49" i="21" s="1"/>
  <c r="AF39" i="21"/>
  <c r="E39" i="21" s="1"/>
  <c r="CL24" i="21"/>
  <c r="R24" i="21" s="1"/>
  <c r="AZ54" i="21"/>
  <c r="H54" i="21" s="1"/>
  <c r="BF53" i="21"/>
  <c r="J53" i="21" s="1"/>
  <c r="CL50" i="21"/>
  <c r="R50" i="21" s="1"/>
  <c r="CL59" i="21"/>
  <c r="R59" i="21" s="1"/>
  <c r="AZ66" i="21"/>
  <c r="H66" i="21" s="1"/>
  <c r="CL7" i="21"/>
  <c r="R7" i="21" s="1"/>
  <c r="AZ45" i="21"/>
  <c r="H45" i="21" s="1"/>
  <c r="CL44" i="21"/>
  <c r="R44" i="21" s="1"/>
  <c r="D60" i="21"/>
  <c r="S60" i="21"/>
  <c r="C60" i="21"/>
  <c r="BF8" i="21"/>
  <c r="J8" i="21" s="1"/>
  <c r="BF41" i="21"/>
  <c r="J41" i="21" s="1"/>
  <c r="BM27" i="21"/>
  <c r="K27" i="21" s="1"/>
  <c r="CL16" i="21"/>
  <c r="R16" i="21" s="1"/>
  <c r="AZ51" i="21"/>
  <c r="H51" i="21" s="1"/>
  <c r="AZ30" i="21"/>
  <c r="H30" i="21" s="1"/>
  <c r="AF8" i="21"/>
  <c r="E8" i="21" s="1"/>
  <c r="CL30" i="21"/>
  <c r="R30" i="21" s="1"/>
  <c r="BM40" i="21"/>
  <c r="K40" i="21" s="1"/>
  <c r="AZ35" i="21"/>
  <c r="H35" i="21" s="1"/>
  <c r="CL41" i="21"/>
  <c r="R41" i="21" s="1"/>
  <c r="D61" i="21" l="1"/>
  <c r="S61" i="21"/>
  <c r="C61" i="21"/>
  <c r="C37" i="21"/>
  <c r="S37" i="21"/>
  <c r="D37" i="21"/>
  <c r="S58" i="21"/>
  <c r="C58" i="21"/>
  <c r="D58" i="21"/>
  <c r="S48" i="21"/>
  <c r="D56" i="21"/>
  <c r="C34" i="21"/>
  <c r="S16" i="21"/>
  <c r="C48" i="21"/>
  <c r="D45" i="21"/>
  <c r="C23" i="21"/>
  <c r="C43" i="21"/>
  <c r="D24" i="21"/>
  <c r="S62" i="21"/>
  <c r="C20" i="21"/>
  <c r="C56" i="21"/>
  <c r="C57" i="21"/>
  <c r="S34" i="21"/>
  <c r="D38" i="21"/>
  <c r="S64" i="21"/>
  <c r="S56" i="21"/>
  <c r="D34" i="21"/>
  <c r="C38" i="21"/>
  <c r="D9" i="21"/>
  <c r="C64" i="21"/>
  <c r="D54" i="21"/>
  <c r="S38" i="21"/>
  <c r="S57" i="21"/>
  <c r="S27" i="21"/>
  <c r="D57" i="21"/>
  <c r="S54" i="21"/>
  <c r="D31" i="21"/>
  <c r="D48" i="21"/>
  <c r="D35" i="21"/>
  <c r="D27" i="21"/>
  <c r="D64" i="21"/>
  <c r="S47" i="21"/>
  <c r="C47" i="21"/>
  <c r="D47" i="21"/>
  <c r="S66" i="21"/>
  <c r="C27" i="21"/>
  <c r="S23" i="21"/>
  <c r="C62" i="21"/>
  <c r="S9" i="21"/>
  <c r="C54" i="21"/>
  <c r="C9" i="21"/>
  <c r="D23" i="21"/>
  <c r="C53" i="21"/>
  <c r="L6" i="21"/>
  <c r="S24" i="21"/>
  <c r="K6" i="21"/>
  <c r="C24" i="21"/>
  <c r="S10" i="21"/>
  <c r="S40" i="21"/>
  <c r="D20" i="21"/>
  <c r="D62" i="21"/>
  <c r="D41" i="21"/>
  <c r="S31" i="21"/>
  <c r="C17" i="21"/>
  <c r="D17" i="21"/>
  <c r="S17" i="21"/>
  <c r="C31" i="21"/>
  <c r="S35" i="21"/>
  <c r="J6" i="21"/>
  <c r="D11" i="21"/>
  <c r="C11" i="21"/>
  <c r="S11" i="21"/>
  <c r="C35" i="21"/>
  <c r="S43" i="21"/>
  <c r="C30" i="21"/>
  <c r="D30" i="21"/>
  <c r="S30" i="21"/>
  <c r="C39" i="21"/>
  <c r="S39" i="21"/>
  <c r="D39" i="21"/>
  <c r="D50" i="21"/>
  <c r="S50" i="21"/>
  <c r="C50" i="21"/>
  <c r="S12" i="21"/>
  <c r="C12" i="21"/>
  <c r="D12" i="21"/>
  <c r="D59" i="21"/>
  <c r="S59" i="21"/>
  <c r="C59" i="21"/>
  <c r="D53" i="21"/>
  <c r="S49" i="21"/>
  <c r="D49" i="21"/>
  <c r="C49" i="21"/>
  <c r="E6" i="21"/>
  <c r="D7" i="21"/>
  <c r="S7" i="21"/>
  <c r="C7" i="21"/>
  <c r="S20" i="21"/>
  <c r="C45" i="21"/>
  <c r="S53" i="21"/>
  <c r="D13" i="21"/>
  <c r="C13" i="21"/>
  <c r="S13" i="21"/>
  <c r="C66" i="21"/>
  <c r="S45" i="21"/>
  <c r="D63" i="21"/>
  <c r="C63" i="21"/>
  <c r="S63" i="21"/>
  <c r="C10" i="21"/>
  <c r="D8" i="21"/>
  <c r="C8" i="21"/>
  <c r="S8" i="21"/>
  <c r="D66" i="21"/>
  <c r="D44" i="21"/>
  <c r="C44" i="21"/>
  <c r="S44" i="21"/>
  <c r="S41" i="21"/>
  <c r="D40" i="21"/>
  <c r="C41" i="21"/>
  <c r="D15" i="21"/>
  <c r="C15" i="21"/>
  <c r="S15" i="21"/>
  <c r="C40" i="21"/>
  <c r="R6" i="21"/>
  <c r="C16" i="21"/>
  <c r="S42" i="21"/>
  <c r="D42" i="21"/>
  <c r="C42" i="21"/>
  <c r="H6" i="21"/>
  <c r="D16" i="21"/>
  <c r="S19" i="21"/>
  <c r="D19" i="21"/>
  <c r="C19" i="21"/>
  <c r="D43" i="21"/>
  <c r="D10" i="21"/>
  <c r="S51" i="21"/>
  <c r="D51" i="21"/>
  <c r="C51" i="21"/>
  <c r="D22" i="21"/>
  <c r="C22" i="21"/>
  <c r="S22" i="21"/>
  <c r="D52" i="21"/>
  <c r="C52" i="21"/>
  <c r="S52" i="2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<sst xmlns="http://schemas.openxmlformats.org/spreadsheetml/2006/main" count="44091" uniqueCount="8220">
  <si>
    <t>(Je fournis la base. Vous construisez votre outil)</t>
  </si>
  <si>
    <t>⓿❶❷❸❹❺❻❼❽❾❿⓫⓬⓭⓮⓯⓰⓱⓲⓳⓴ ►◄ ▲ ▼</t>
  </si>
  <si>
    <t>Adresse PC</t>
  </si>
  <si>
    <t>LES ENTRÉES</t>
  </si>
  <si>
    <t>Allergènes</t>
  </si>
  <si>
    <t>ORDRE</t>
  </si>
  <si>
    <t>CONTRÔLE</t>
  </si>
  <si>
    <t>KG</t>
  </si>
  <si>
    <t>G</t>
  </si>
  <si>
    <t>L</t>
  </si>
  <si>
    <t>DL</t>
  </si>
  <si>
    <t>CL</t>
  </si>
  <si>
    <t>ML</t>
  </si>
  <si>
    <t>QUART(S)KG</t>
  </si>
  <si>
    <t>TIERS(S)KG</t>
  </si>
  <si>
    <t>DEMI(S)KG</t>
  </si>
  <si>
    <t>DEMI/L</t>
  </si>
  <si>
    <t>QUART/L</t>
  </si>
  <si>
    <t>3.QUART/L</t>
  </si>
  <si>
    <t>TIERS/L</t>
  </si>
  <si>
    <t>5ÈME/L</t>
  </si>
  <si>
    <t>OUNCE (OZ)</t>
  </si>
  <si>
    <t>CUP(S).FARINE</t>
  </si>
  <si>
    <t>CUP(S).SUCRE</t>
  </si>
  <si>
    <t>CUP(S).BEURRE</t>
  </si>
  <si>
    <t>CUP.LIQUIDE</t>
  </si>
  <si>
    <t>BOL(S)</t>
  </si>
  <si>
    <t>CUIL(S).CAFÉ</t>
  </si>
  <si>
    <t>CUIL(S).THÉ</t>
  </si>
  <si>
    <t>CUIL.SOUPE</t>
  </si>
  <si>
    <t>10ÈME/L</t>
  </si>
  <si>
    <t>VERRE(S)</t>
  </si>
  <si>
    <t>BTE 5/1</t>
  </si>
  <si>
    <t>QT. SUFFISANTE</t>
  </si>
  <si>
    <t>FAMILLE</t>
  </si>
  <si>
    <t>MASSE</t>
  </si>
  <si>
    <t>kg</t>
  </si>
  <si>
    <t>VOLUME</t>
  </si>
  <si>
    <t>AUTRE</t>
  </si>
  <si>
    <t>GROUPE</t>
  </si>
  <si>
    <t>Aubergines</t>
  </si>
  <si>
    <t>Ail</t>
  </si>
  <si>
    <t>Huile d’olive</t>
  </si>
  <si>
    <t>Sel fin</t>
  </si>
  <si>
    <t>Poivre</t>
  </si>
  <si>
    <t>Persil plat</t>
  </si>
  <si>
    <t>N° 01</t>
  </si>
  <si>
    <t>CAVIAR D'AUBERGINE</t>
  </si>
  <si>
    <t>Ail haché surgelé</t>
  </si>
  <si>
    <t>Piment man jack</t>
  </si>
  <si>
    <t>Cives</t>
  </si>
  <si>
    <t>Citron vert</t>
  </si>
  <si>
    <t>Jus de citron vert (pulco)</t>
  </si>
  <si>
    <t>Échalotes émincées surgelées</t>
  </si>
  <si>
    <t>Tomates en dés surgelées</t>
  </si>
  <si>
    <t>Avocats</t>
  </si>
  <si>
    <t>CHIQUETAILLE DE MORUE A L'AVOCAT</t>
  </si>
  <si>
    <t>N° 02</t>
  </si>
  <si>
    <t>Pois chiches</t>
  </si>
  <si>
    <t>Jus de citron (Pulco)</t>
  </si>
  <si>
    <t>Sel / Poivre</t>
  </si>
  <si>
    <t>Poivre de Cayenne</t>
  </si>
  <si>
    <t>CREME DE POIS CHICHES (HOMOS)</t>
  </si>
  <si>
    <t>N° 03</t>
  </si>
  <si>
    <t>FROMAGE FRAIS AUX HERBES</t>
  </si>
  <si>
    <t>Menthe</t>
  </si>
  <si>
    <t>Aneth</t>
  </si>
  <si>
    <t>Sel</t>
  </si>
  <si>
    <t>Poivre blanc moulu</t>
  </si>
  <si>
    <t>Paprika</t>
  </si>
  <si>
    <t>GUACAMOLE</t>
  </si>
  <si>
    <t>N° 05</t>
  </si>
  <si>
    <t>Oignons frais ou surgelés</t>
  </si>
  <si>
    <t>Tomates en cubes surgelées</t>
  </si>
  <si>
    <t>Huile</t>
  </si>
  <si>
    <t>Tabasco</t>
  </si>
  <si>
    <t>Coriandre en poudre</t>
  </si>
  <si>
    <t>Jus de citron (Pulco citron vert)</t>
  </si>
  <si>
    <t>LÉGUMES A LA GRECQUE</t>
  </si>
  <si>
    <t>N° 06</t>
  </si>
  <si>
    <t>Champignons de Paris</t>
  </si>
  <si>
    <t>Petits oignons grelots surgelés</t>
  </si>
  <si>
    <t>Vin blanc</t>
  </si>
  <si>
    <t>Bouquet garni</t>
  </si>
  <si>
    <t>Gros sel</t>
  </si>
  <si>
    <t>Coriandre en grain</t>
  </si>
  <si>
    <t>MELON GLACÉ AUX FRUITS ROUGES</t>
  </si>
  <si>
    <t>N° 07</t>
  </si>
  <si>
    <t>Melons</t>
  </si>
  <si>
    <t>Fruits rouges surgelés</t>
  </si>
  <si>
    <t>Feuilles de menthe</t>
  </si>
  <si>
    <t>Eau</t>
  </si>
  <si>
    <t>Sucre semoule</t>
  </si>
  <si>
    <t>Vanille liquide</t>
  </si>
  <si>
    <t>Cannelle en poudre</t>
  </si>
  <si>
    <t>Clou de girofle</t>
  </si>
  <si>
    <t>Citron</t>
  </si>
  <si>
    <t>Gingembre en poudre</t>
  </si>
  <si>
    <t>2 g</t>
  </si>
  <si>
    <t>MESCLUN D'AUTOMNE</t>
  </si>
  <si>
    <t>N° 08</t>
  </si>
  <si>
    <t>Scarole blanche</t>
  </si>
  <si>
    <t>Endives</t>
  </si>
  <si>
    <t>Pommes golden</t>
  </si>
  <si>
    <t>Raisin</t>
  </si>
  <si>
    <t>Marrons surgelés</t>
  </si>
  <si>
    <t>Citron (pour pomme)</t>
  </si>
  <si>
    <t>PIEMONTAISE DE CURCUBITACÉS</t>
  </si>
  <si>
    <t>N° 09</t>
  </si>
  <si>
    <t>Concombres</t>
  </si>
  <si>
    <t>Pastèques</t>
  </si>
  <si>
    <t>Courgettes</t>
  </si>
  <si>
    <t>Jambon fumé</t>
  </si>
  <si>
    <t>Vinaigre</t>
  </si>
  <si>
    <t>Miel</t>
  </si>
  <si>
    <t>RILLETTE DE SAUMON A L'ANETH</t>
  </si>
  <si>
    <t>N° 10</t>
  </si>
  <si>
    <t>Baies roses</t>
  </si>
  <si>
    <t>Jus de citron (facultatif)</t>
  </si>
  <si>
    <t>SALADE COLESLAW</t>
  </si>
  <si>
    <t>N° 11</t>
  </si>
  <si>
    <t>Chou blanc</t>
  </si>
  <si>
    <t>Carottes</t>
  </si>
  <si>
    <t>Oignons</t>
  </si>
  <si>
    <t>Persil plat ou coriandre</t>
  </si>
  <si>
    <t>N° 12</t>
  </si>
  <si>
    <t>Châtaignes surgelées</t>
  </si>
  <si>
    <t>Vinaigre de framboise</t>
  </si>
  <si>
    <t>Huile de tournesol</t>
  </si>
  <si>
    <t>Echalote ciselée surgelée</t>
  </si>
  <si>
    <t>Persil haché</t>
  </si>
  <si>
    <t>N° 13</t>
  </si>
  <si>
    <t>Oignons blancs</t>
  </si>
  <si>
    <t>Menthe fraîche</t>
  </si>
  <si>
    <t>Citron (Pulco citron vert)</t>
  </si>
  <si>
    <t>Laitues</t>
  </si>
  <si>
    <t>5</t>
  </si>
  <si>
    <t>N° 14</t>
  </si>
  <si>
    <t>Baie rose</t>
  </si>
  <si>
    <t>Oignons émincés surgelés</t>
  </si>
  <si>
    <t>Carottes rondelles surgelées</t>
  </si>
  <si>
    <t>Cornichons rondelles</t>
  </si>
  <si>
    <t>Persil</t>
  </si>
  <si>
    <t>Concentré de tomate</t>
  </si>
  <si>
    <t>Poivre moulu</t>
  </si>
  <si>
    <t>Piment de Cayenne</t>
  </si>
  <si>
    <t>Coriandre moulue</t>
  </si>
  <si>
    <t>N° 15</t>
  </si>
  <si>
    <t>TOMATE ET MOZARELLA AU BASILIC</t>
  </si>
  <si>
    <t>Tomates</t>
  </si>
  <si>
    <t>Olives noires</t>
  </si>
  <si>
    <t>Basilic</t>
  </si>
  <si>
    <t>poivre</t>
  </si>
  <si>
    <t>N° 16</t>
  </si>
  <si>
    <t>N° 17</t>
  </si>
  <si>
    <t>Poivrons rouges (facultatif)</t>
  </si>
  <si>
    <t>Yaourts nature</t>
  </si>
  <si>
    <t>Jus de citron</t>
  </si>
  <si>
    <t>N° 18</t>
  </si>
  <si>
    <t>Fleur de thym</t>
  </si>
  <si>
    <t>N° 19</t>
  </si>
  <si>
    <t>Ciboulette</t>
  </si>
  <si>
    <t>Coulis de tomate</t>
  </si>
  <si>
    <t>ARLEQUIN DE LÉGUMES EN TERRINE</t>
  </si>
  <si>
    <t>N° 20</t>
  </si>
  <si>
    <t>Macédoine de légumes surgelée</t>
  </si>
  <si>
    <t>Gélatine</t>
  </si>
  <si>
    <t>Muscade</t>
  </si>
  <si>
    <t>Fèvettes surgelées</t>
  </si>
  <si>
    <t>MELON NAGE CRÉMEUSE AU BASILIC</t>
  </si>
  <si>
    <t>N° 21</t>
  </si>
  <si>
    <t>Billes de melon surgelées</t>
  </si>
  <si>
    <t>Sucre</t>
  </si>
  <si>
    <t>basilic</t>
  </si>
  <si>
    <t>POIVRONS DOUX A L'HUILE D'OLIVE</t>
  </si>
  <si>
    <t>N° 22</t>
  </si>
  <si>
    <t>Poivrons rouges</t>
  </si>
  <si>
    <t>25</t>
  </si>
  <si>
    <t>Poivrons jaunes</t>
  </si>
  <si>
    <t>12</t>
  </si>
  <si>
    <t>CRÈME DE PARMESAN MOUSSE DE TOMATE TAPENADE</t>
  </si>
  <si>
    <t>Cerfeuil</t>
  </si>
  <si>
    <t>N° 23</t>
  </si>
  <si>
    <t>CRÈME D'AVOCAT GALETTE POLENTA</t>
  </si>
  <si>
    <t>N° 24</t>
  </si>
  <si>
    <t>Avocat</t>
  </si>
  <si>
    <t>Pomme de terre</t>
  </si>
  <si>
    <t>Polenta fine</t>
  </si>
  <si>
    <t>Sel gros</t>
  </si>
  <si>
    <t>BLINIS</t>
  </si>
  <si>
    <t>N° 25</t>
  </si>
  <si>
    <t>Levure de boulanger</t>
  </si>
  <si>
    <t>CAKE OLIVES JAMBON</t>
  </si>
  <si>
    <t>N° 26</t>
  </si>
  <si>
    <t>Levure chimique</t>
  </si>
  <si>
    <t>Olives dénoyautées</t>
  </si>
  <si>
    <t>Jambon blanc</t>
  </si>
  <si>
    <t>FOUACE OLIVES PETITS POIS LARDONS</t>
  </si>
  <si>
    <t>N° 27</t>
  </si>
  <si>
    <t>Olives noires dénoyautées</t>
  </si>
  <si>
    <t>Poitrine fumée</t>
  </si>
  <si>
    <t>Fleur de thym déshydratée</t>
  </si>
  <si>
    <t>Origan</t>
  </si>
  <si>
    <t>Herbes de Provence</t>
  </si>
  <si>
    <t>GOUGÈRES A L'EMMENTHAL</t>
  </si>
  <si>
    <t>N° 28</t>
  </si>
  <si>
    <t>PISSALADIÈRE</t>
  </si>
  <si>
    <t>N° 29</t>
  </si>
  <si>
    <t>Olives noires en rondelles</t>
  </si>
  <si>
    <t>QUICHE LORRAINE</t>
  </si>
  <si>
    <t>Lardons de poitrine fumée</t>
  </si>
  <si>
    <t>2/3 de L</t>
  </si>
  <si>
    <t>PIZZA AUX TROIS FROMAGES</t>
  </si>
  <si>
    <t>N° 31</t>
  </si>
  <si>
    <t>Olives en rondelles</t>
  </si>
  <si>
    <t>MOUSSE DE FOIE DE VOLAILLE OLIVE</t>
  </si>
  <si>
    <t>N° 32</t>
  </si>
  <si>
    <t>Foies de volaille</t>
  </si>
  <si>
    <t>Piment</t>
  </si>
  <si>
    <t>Olives vertes dénoyautées</t>
  </si>
  <si>
    <t>TOMATES SOUFFLÉES AU FROMAGE</t>
  </si>
  <si>
    <t>N° 33</t>
  </si>
  <si>
    <t>Maïzena</t>
  </si>
  <si>
    <t>TOASTS A LA TAPENADE</t>
  </si>
  <si>
    <t>N° 34</t>
  </si>
  <si>
    <t>Câpres</t>
  </si>
  <si>
    <t>Citron ou vinaigre (facultatif)</t>
  </si>
  <si>
    <t>N° 35</t>
  </si>
  <si>
    <t>TOASTS A L'ANCHOÏADE</t>
  </si>
  <si>
    <t>N° 36</t>
  </si>
  <si>
    <t>BRUSCHETTA</t>
  </si>
  <si>
    <t>Dés de tomates surgelés</t>
  </si>
  <si>
    <t>Sel / poivre</t>
  </si>
  <si>
    <t>Salades de laitue</t>
  </si>
  <si>
    <t>Salades de Trévise</t>
  </si>
  <si>
    <t>N° 37</t>
  </si>
  <si>
    <t>PANINI ALLA GRIGLIA</t>
  </si>
  <si>
    <t>N° 38</t>
  </si>
  <si>
    <t>WELSH RAREBIT</t>
  </si>
  <si>
    <t>100</t>
  </si>
  <si>
    <t>GASPACHO</t>
  </si>
  <si>
    <t>N° 39</t>
  </si>
  <si>
    <t>Poivrons verts</t>
  </si>
  <si>
    <t>Cumin</t>
  </si>
  <si>
    <t>N° 40</t>
  </si>
  <si>
    <t>Blancs de poireaux</t>
  </si>
  <si>
    <t>Bulbes de fenouils</t>
  </si>
  <si>
    <t>Concentré de crustacés</t>
  </si>
  <si>
    <t>Tomate concentrée</t>
  </si>
  <si>
    <t>Sarriette déshydratée</t>
  </si>
  <si>
    <t>Laurier déshydraté</t>
  </si>
  <si>
    <t>Thym déshydraté</t>
  </si>
  <si>
    <t>Safran ou épice de substitution (Spigol, Rizdor)</t>
  </si>
  <si>
    <t>SOUPE DE POISSON</t>
  </si>
  <si>
    <t>MINESTRONE</t>
  </si>
  <si>
    <t>N°41</t>
  </si>
  <si>
    <t>Poireaux émincés surgelés</t>
  </si>
  <si>
    <t>Haricots verts très fins surgelés</t>
  </si>
  <si>
    <t>Petits pois surgelés</t>
  </si>
  <si>
    <t>Navets</t>
  </si>
  <si>
    <t>Pommes de terre</t>
  </si>
  <si>
    <t>Haricots secs (coco) ou en conserve</t>
  </si>
  <si>
    <t>Riz</t>
  </si>
  <si>
    <t>N° 42</t>
  </si>
  <si>
    <t>POTAGE CULTIVATEUR</t>
  </si>
  <si>
    <t>Haricots verts surgelés</t>
  </si>
  <si>
    <t>Chou vert</t>
  </si>
  <si>
    <t>Poitrine fraîche</t>
  </si>
  <si>
    <t>POTAGE CRÈME DE LÉGUMES</t>
  </si>
  <si>
    <t>Légume au choix surgelé</t>
  </si>
  <si>
    <t>Gros sel + sel fin</t>
  </si>
  <si>
    <t>N° 44</t>
  </si>
  <si>
    <t>GRATINÉE A L'OIGNON</t>
  </si>
  <si>
    <t>Bouillon de bœuf</t>
  </si>
  <si>
    <t>N° 45</t>
  </si>
  <si>
    <t>Echalotes émincées surgelées</t>
  </si>
  <si>
    <t>Poivre en grain</t>
  </si>
  <si>
    <t>Clous de girofle</t>
  </si>
  <si>
    <t>Oignons grelots surgelés</t>
  </si>
  <si>
    <t>Champignons émincés</t>
  </si>
  <si>
    <t>200</t>
  </si>
  <si>
    <t>1</t>
  </si>
  <si>
    <t>N° 46</t>
  </si>
  <si>
    <t>Poivre blanc</t>
  </si>
  <si>
    <t>N° 47</t>
  </si>
  <si>
    <t>Fenugrec</t>
  </si>
  <si>
    <t>Pipérade</t>
  </si>
  <si>
    <t>Mélange forestier surgelé</t>
  </si>
  <si>
    <t>N° 48</t>
  </si>
  <si>
    <t>N° 49</t>
  </si>
  <si>
    <t>Bouillon de volaille</t>
  </si>
  <si>
    <t>N° 50</t>
  </si>
  <si>
    <t>Tomates en cubes congelées .</t>
  </si>
  <si>
    <t>N° 51</t>
  </si>
  <si>
    <t>N° 52</t>
  </si>
  <si>
    <t>Tomates moyennes</t>
  </si>
  <si>
    <t>Pignons de pin</t>
  </si>
  <si>
    <t>Basilic frais</t>
  </si>
  <si>
    <t>Tomates fraîches OU</t>
  </si>
  <si>
    <t>Basilic bouquet</t>
  </si>
  <si>
    <t>Poivre noir (grains)</t>
  </si>
  <si>
    <t xml:space="preserve"> melons de 1 kg</t>
  </si>
  <si>
    <t>Pulpe de melons OU</t>
  </si>
  <si>
    <t>Garniture forestière OU</t>
  </si>
  <si>
    <t>1/8 L</t>
  </si>
  <si>
    <t>ŒUF(S)</t>
  </si>
  <si>
    <t>œuf(s)</t>
  </si>
  <si>
    <t>GOUTTE(S)</t>
  </si>
  <si>
    <t>goutte(s)</t>
  </si>
  <si>
    <t>PIÈCE(S)</t>
  </si>
  <si>
    <t>pièce(s)</t>
  </si>
  <si>
    <t>UNITÉ(S)</t>
  </si>
  <si>
    <t>unité(s)</t>
  </si>
  <si>
    <t>FEUILLE(S)</t>
  </si>
  <si>
    <t>feuille(s)</t>
  </si>
  <si>
    <t>BOTTE(S)</t>
  </si>
  <si>
    <t>BTE(S) 5/1</t>
  </si>
  <si>
    <t>bte(s) 5/1</t>
  </si>
  <si>
    <t>BTE(S) 3/1</t>
  </si>
  <si>
    <t>bte(s) 3/1</t>
  </si>
  <si>
    <t>BTE(S) 4/4</t>
  </si>
  <si>
    <t>bte(s) 4/4</t>
  </si>
  <si>
    <t>GRAIN(S)</t>
  </si>
  <si>
    <t>grain(s)</t>
  </si>
  <si>
    <t>N°</t>
  </si>
  <si>
    <t>Fiche</t>
  </si>
  <si>
    <t>Recette</t>
  </si>
  <si>
    <t>Page</t>
  </si>
  <si>
    <t>1. CHOISIR LA RECETTE</t>
  </si>
  <si>
    <t>Recette sélectionnée</t>
  </si>
  <si>
    <t>Famille</t>
  </si>
  <si>
    <t>2. SAISIR UN OU DEUX MODES DE CALCUL</t>
  </si>
  <si>
    <t>Élément principal</t>
  </si>
  <si>
    <t>Couverts auteur</t>
  </si>
  <si>
    <t>Quantité auteur</t>
  </si>
  <si>
    <t>Couverts à servir</t>
  </si>
  <si>
    <t>Quantité à produire</t>
  </si>
  <si>
    <t>Ordre</t>
  </si>
  <si>
    <t>Denrée</t>
  </si>
  <si>
    <t>Qté auteur</t>
  </si>
  <si>
    <t>Unité auteur</t>
  </si>
  <si>
    <t>Unité A</t>
  </si>
  <si>
    <t>Unité B</t>
  </si>
  <si>
    <t>Contrôle</t>
  </si>
  <si>
    <t>Base : 300 fiches techniques — La cuisine de collectivité — Michel Grossmann et Alain Le Franc</t>
  </si>
  <si>
    <t/>
  </si>
  <si>
    <t>Crème fraîche épaisse *</t>
  </si>
  <si>
    <t>Vinaigre de vin ?</t>
  </si>
  <si>
    <t>Sucre semoule *</t>
  </si>
  <si>
    <t>Mayonnaise *</t>
  </si>
  <si>
    <t>SALADE WITLOOF CHATAIGNES HADDOCK *</t>
  </si>
  <si>
    <t>Filets de poisson façon Haddock *</t>
  </si>
  <si>
    <t>8ÈME/L</t>
  </si>
  <si>
    <t>Huile de noix *</t>
  </si>
  <si>
    <t>Moutarde à l’ancienne *</t>
  </si>
  <si>
    <t>TABOULÉ LIBANAIS*</t>
  </si>
  <si>
    <t>Boulghour fin*</t>
  </si>
  <si>
    <t>TARAMA*</t>
  </si>
  <si>
    <t>Pain rassis *</t>
  </si>
  <si>
    <t>Œufs de lumps rouges *</t>
  </si>
  <si>
    <t>Lait *</t>
  </si>
  <si>
    <t>THON CATALANE*</t>
  </si>
  <si>
    <t>Thon au naturel*</t>
  </si>
  <si>
    <t>Moutarde *</t>
  </si>
  <si>
    <t>Mozzarella *</t>
  </si>
  <si>
    <t>CONCOMBRE AU YAOURT (TZATZIKI)*</t>
  </si>
  <si>
    <t>SARDINES A L'ESCABÈCHE*</t>
  </si>
  <si>
    <t>Sardines *</t>
  </si>
  <si>
    <t>Vinaigre de Xérès ?</t>
  </si>
  <si>
    <t>TERRINE DE SAUMON COULIS DE TOMATE *</t>
  </si>
  <si>
    <t>Filets de saumon surgelés *</t>
  </si>
  <si>
    <t>Filets de colin lieu surgelés *</t>
  </si>
  <si>
    <t>Beurre *</t>
  </si>
  <si>
    <t>Crème fraîche *</t>
  </si>
  <si>
    <t>Œuf *</t>
  </si>
  <si>
    <t>Fumet de poisson déshydraté *</t>
  </si>
  <si>
    <t>Galets de purée de carotte surgelés ?</t>
  </si>
  <si>
    <t>Crème fleurette *</t>
  </si>
  <si>
    <t>Bouillon de légumes ?</t>
  </si>
  <si>
    <t>ŒUFS EN MEURETTE*</t>
  </si>
  <si>
    <t>Œufs pochés sous vide*</t>
  </si>
  <si>
    <t>Vin rouge ?</t>
  </si>
  <si>
    <t>Farine *</t>
  </si>
  <si>
    <t>Beurre ou crème fraîche *</t>
  </si>
  <si>
    <t>Glace de viande ?</t>
  </si>
  <si>
    <t>Baguette de pain *</t>
  </si>
  <si>
    <t>ŒUFS COCOTTE A LA CRÈME*</t>
  </si>
  <si>
    <t>Œufs*</t>
  </si>
  <si>
    <t>ŒUFS EN PIPERADE (TCHATCHOUKA)*</t>
  </si>
  <si>
    <t>OU  Œufs pasteurisés *</t>
  </si>
  <si>
    <t>BROUILLADE D'ŒUFS FORESTIÈRE*</t>
  </si>
  <si>
    <t>Œufs pasteurisés*</t>
  </si>
  <si>
    <t>Beurre ou margarine *</t>
  </si>
  <si>
    <t>ŒUFS A LA TRIPE*</t>
  </si>
  <si>
    <t>Pain baguette *</t>
  </si>
  <si>
    <t>OEUFS BROUILLÉS PORTUGAISE*</t>
  </si>
  <si>
    <t>Beurre pour la cuisson *</t>
  </si>
  <si>
    <t>Beurre pour la fondue *</t>
  </si>
  <si>
    <t xml:space="preserve">Sucre semoule </t>
  </si>
  <si>
    <t>Sel 1</t>
  </si>
  <si>
    <t>Sel 2</t>
  </si>
  <si>
    <t>Poivre 1</t>
  </si>
  <si>
    <t>Poivre 2</t>
  </si>
  <si>
    <t>OMELETTE CHÈVRE ET MENTHE *</t>
  </si>
  <si>
    <t>Bûches de chèvre *</t>
  </si>
  <si>
    <t>OU de la Brousse ou du Broccio *</t>
  </si>
  <si>
    <t>TOMATES FARCIES AUX ŒUFS AU PESTO*</t>
  </si>
  <si>
    <t>Œufs *</t>
  </si>
  <si>
    <t>Pain de campagne *</t>
  </si>
  <si>
    <t>Graines de sésame *</t>
  </si>
  <si>
    <t>Fromage blanc (faisselle) *</t>
  </si>
  <si>
    <t>Filets de morue dessalée *</t>
  </si>
  <si>
    <t>Cerneaux de noix *</t>
  </si>
  <si>
    <t>Vinaigrette ?</t>
  </si>
  <si>
    <t>Emmenthal ou bleu divers *</t>
  </si>
  <si>
    <t>Chair de crabe *</t>
  </si>
  <si>
    <t>Jaune d’œuf pasteurisé *</t>
  </si>
  <si>
    <t>Filets de saumon (frais ou surgelé) *</t>
  </si>
  <si>
    <t>Saumon fumé *</t>
  </si>
  <si>
    <t>Pains baguette *</t>
  </si>
  <si>
    <t>Parmesan râpé *</t>
  </si>
  <si>
    <t>Crème liquide *</t>
  </si>
  <si>
    <t>Emmenthal râpé *</t>
  </si>
  <si>
    <t>Branches de céleri *</t>
  </si>
  <si>
    <t>Tapenade ?</t>
  </si>
  <si>
    <t>Blanc d’œuf pasteurisé *</t>
  </si>
  <si>
    <t>baguettes</t>
  </si>
  <si>
    <t>OU Coulis de tomate</t>
  </si>
  <si>
    <t>Jaunes d’œufs *</t>
  </si>
  <si>
    <t>Blancs d’oeufs *</t>
  </si>
  <si>
    <t>Beurre pour chemisage *</t>
  </si>
  <si>
    <t>Emmenthal *</t>
  </si>
  <si>
    <t>Pâte à Pizza *</t>
  </si>
  <si>
    <t>Margarine ?</t>
  </si>
  <si>
    <t>Pâte à pain *</t>
  </si>
  <si>
    <t>Filets d’anchois *</t>
  </si>
  <si>
    <t>Œuf pasteurisé *</t>
  </si>
  <si>
    <t>Beurre fondu *</t>
  </si>
  <si>
    <t>Pâte à foncer *</t>
  </si>
  <si>
    <t>Pâte à pizza (voir recette) *</t>
  </si>
  <si>
    <t>Sauce pizza *</t>
  </si>
  <si>
    <t>Fromage de chèvre (bûche) *</t>
  </si>
  <si>
    <t>Mozzarella en cosettes *</t>
  </si>
  <si>
    <t>Œufs pasteurisés *</t>
  </si>
  <si>
    <t>Jaunes d’œufs pasteurisés *</t>
  </si>
  <si>
    <t>OU Margarine</t>
  </si>
  <si>
    <t>N°43</t>
  </si>
  <si>
    <t>?</t>
  </si>
  <si>
    <t>(chou-fleur ou potiron ou champignon, etc.)</t>
  </si>
  <si>
    <t>BOUTEILLE(s)</t>
  </si>
  <si>
    <t xml:space="preserve">Œufs frais * </t>
  </si>
  <si>
    <t>OU Œufs liquides pasteurisés *</t>
  </si>
  <si>
    <t xml:space="preserve"> OU Fécule</t>
  </si>
  <si>
    <t xml:space="preserve">Fleur de thym déshydratée </t>
  </si>
  <si>
    <t>OU Herbes de Provence</t>
  </si>
  <si>
    <t>vinaigrette</t>
  </si>
  <si>
    <t>mayonnaise</t>
  </si>
  <si>
    <t>grille(s) de cuisson GN 1/1</t>
  </si>
  <si>
    <t>bac(s) GN 1/1 H 250 en polycarbonate</t>
  </si>
  <si>
    <t>bac(s) GN 1/1 H 100</t>
  </si>
  <si>
    <t>grille(s)</t>
  </si>
  <si>
    <t>bac(s)</t>
  </si>
  <si>
    <t>BAC(S)</t>
  </si>
  <si>
    <t>COUVERCLE(S)</t>
  </si>
  <si>
    <t>couvercle(s)</t>
  </si>
  <si>
    <t>GRILLE(S)</t>
  </si>
  <si>
    <t>PLAQUE(S)</t>
  </si>
  <si>
    <t>plaque(s)</t>
  </si>
  <si>
    <t>bac(s) GN 1/1 H 35 perforé(s)</t>
  </si>
  <si>
    <t>bac(s) GN 1/1 H 100 en polycarbonate</t>
  </si>
  <si>
    <t>bac(s) GN 1/1 H 65 perforé(s)</t>
  </si>
  <si>
    <t>bac(s) GN 2/1 H 150 en polycarbonate</t>
  </si>
  <si>
    <t>bac(s) GN 2/1 H 200 en polycarbonate</t>
  </si>
  <si>
    <t>bac(s) GN 1/1 H 45 perforé(s)</t>
  </si>
  <si>
    <t>bac(s) GN 1/1 H 25 plein(s)</t>
  </si>
  <si>
    <t>couvercle(s) GN 2/1</t>
  </si>
  <si>
    <t>bac(s) GN 1/1 H25 perforé(s)</t>
  </si>
  <si>
    <t>bac(s) GN 1/1 H 100 perforé(s)</t>
  </si>
  <si>
    <t>bac(s) GN 1/1 H 45 plein(s)</t>
  </si>
  <si>
    <t>bac(s) GN 1/1 H 100 plein(s)</t>
  </si>
  <si>
    <t>bac(s) GN 1/2 H 200 plein(s)</t>
  </si>
  <si>
    <t>couvercle(s) GN 1/1</t>
  </si>
  <si>
    <t>grille(s) de cuisson GN 2/1</t>
  </si>
  <si>
    <t>grille(s) égouttoir</t>
  </si>
  <si>
    <t>MATÉRIELS</t>
  </si>
  <si>
    <t>bac(s) GN 1/1 H 200 plein(s)</t>
  </si>
  <si>
    <t>bac(s) GN 1/1 H 65 plein(s)</t>
  </si>
  <si>
    <t>grille(s) égouttoir GN 1/1 polycarbonate</t>
  </si>
  <si>
    <t>couvercle(s) GN 1/1 polycarbonate</t>
  </si>
  <si>
    <t>bac(s) GN 1/1 H35 plein(s)</t>
  </si>
  <si>
    <t>bac(s) GN 1/1 H 35 plein(s)</t>
  </si>
  <si>
    <t>couvercle(s) GN 1/1 en polycarbonate</t>
  </si>
  <si>
    <t>bac(s) GN 1/1 H 200 en polycarbonate</t>
  </si>
  <si>
    <t>plaque(s) patisserie 60X 40</t>
  </si>
  <si>
    <t>plaque(s) G/N 1/1</t>
  </si>
  <si>
    <t>OU</t>
  </si>
  <si>
    <t>grille(s) de cuisson 60X40</t>
  </si>
  <si>
    <t>bac(s) GN 1/1 H 50 perforé(s)</t>
  </si>
  <si>
    <t>bac(s) GN 1/2 H 250 plein(s)</t>
  </si>
  <si>
    <t>Céleri-branche *</t>
  </si>
  <si>
    <t>Pain rassis (flûte) *</t>
  </si>
  <si>
    <t>beurre *</t>
  </si>
  <si>
    <t>Spaghetti *</t>
  </si>
  <si>
    <t>Parmesan *</t>
  </si>
  <si>
    <t>Céleri-rave *</t>
  </si>
  <si>
    <t>Fond blanc de veau ?</t>
  </si>
  <si>
    <t>Vinaigre balsamique ?</t>
  </si>
  <si>
    <t>Chester ou Cheddar *</t>
  </si>
  <si>
    <t>Bière blonde *</t>
  </si>
  <si>
    <t>OU Tranches de pain de mie *</t>
  </si>
  <si>
    <t>Merguez</t>
  </si>
  <si>
    <t>DÉTECTION DES ALLERGÈNES POUR CARTES DE RESTAURANT</t>
  </si>
  <si>
    <t>ID</t>
  </si>
  <si>
    <t>Famille allergène</t>
  </si>
  <si>
    <t>Statut</t>
  </si>
  <si>
    <t>Terme métier / ingrédient</t>
  </si>
  <si>
    <t>Terme normalisé</t>
  </si>
  <si>
    <t>Métiers concernés</t>
  </si>
  <si>
    <t>Commentaire</t>
  </si>
  <si>
    <t>Source URL</t>
  </si>
  <si>
    <t>Version</t>
  </si>
  <si>
    <t>R0001</t>
  </si>
  <si>
    <t>Céréales contenant du gluten</t>
  </si>
  <si>
    <t>ALERTE</t>
  </si>
  <si>
    <t>ale</t>
  </si>
  <si>
    <t>Tous métiers</t>
  </si>
  <si>
    <t>Céréale contenant du gluten ou préparation courante.</t>
  </si>
  <si>
    <t>https://eur-lex.europa.eu/legal-content/FR/TXT/?uri=CELEX:32011R1169</t>
  </si>
  <si>
    <t>2011</t>
  </si>
  <si>
    <t>Formules individuelles scindées : recherches par blocs de 100 termes ; exclusions neutralisées avant détection.</t>
  </si>
  <si>
    <t>R0002</t>
  </si>
  <si>
    <t>amidon de blé</t>
  </si>
  <si>
    <t>amidon de ble</t>
  </si>
  <si>
    <t>R0003</t>
  </si>
  <si>
    <t>avoine</t>
  </si>
  <si>
    <t>* = allergène détecté certain  |  ? = composition / allergène à vérifier  |  AFFICHAGE CARTE : un seul statut, jamais * ?</t>
  </si>
  <si>
    <t>R0004</t>
  </si>
  <si>
    <t>baguette</t>
  </si>
  <si>
    <t>ALLERGÈNES CERTAINS Allergènes détectés (à coller)</t>
  </si>
  <si>
    <t>Crustacés</t>
  </si>
  <si>
    <t>Œufs</t>
  </si>
  <si>
    <t>Poissons</t>
  </si>
  <si>
    <t>Arachides</t>
  </si>
  <si>
    <t>Soja</t>
  </si>
  <si>
    <t>Lait</t>
  </si>
  <si>
    <t>Fruits à coque</t>
  </si>
  <si>
    <t>Céleri</t>
  </si>
  <si>
    <t>Moutarde</t>
  </si>
  <si>
    <t>Sésame</t>
  </si>
  <si>
    <t>Sulfites</t>
  </si>
  <si>
    <t>Lupin</t>
  </si>
  <si>
    <t>Mollusques</t>
  </si>
  <si>
    <t>Texte source</t>
  </si>
  <si>
    <t>Nettoyage caractères</t>
  </si>
  <si>
    <t>Accents 1</t>
  </si>
  <si>
    <t>Accents 2</t>
  </si>
  <si>
    <t>Ponctuation 1</t>
  </si>
  <si>
    <t>Ponctuation 2</t>
  </si>
  <si>
    <t>Texte normalisé</t>
  </si>
  <si>
    <t>Céréales c ALER 1</t>
  </si>
  <si>
    <t>Céréales c ALER 2</t>
  </si>
  <si>
    <t>Céréales c EXCL 1</t>
  </si>
  <si>
    <t>Céréales c SUSP 1</t>
  </si>
  <si>
    <t>Crustacés ALER 1</t>
  </si>
  <si>
    <t>Crustacés ALER 2</t>
  </si>
  <si>
    <t>Œufs ALER 1</t>
  </si>
  <si>
    <t>Œufs SUSP 1</t>
  </si>
  <si>
    <t>Œufs EXCL 1</t>
  </si>
  <si>
    <t>Poissons ALER 1</t>
  </si>
  <si>
    <t>Poissons ALER 2</t>
  </si>
  <si>
    <t>Poissons ALER 3</t>
  </si>
  <si>
    <t>Poissons ALER 4</t>
  </si>
  <si>
    <t>Poissons ALER 5</t>
  </si>
  <si>
    <t>Poissons ALER 6</t>
  </si>
  <si>
    <t>Poissons ALER 7</t>
  </si>
  <si>
    <t>Poissons ALER 8</t>
  </si>
  <si>
    <t>Poissons ALER 9</t>
  </si>
  <si>
    <t>Poissons ALER 10</t>
  </si>
  <si>
    <t>Poissons EXCL 1</t>
  </si>
  <si>
    <t>Poissons SUSP 1</t>
  </si>
  <si>
    <t>Arachides ALER 1</t>
  </si>
  <si>
    <t>Soja ALER 1</t>
  </si>
  <si>
    <t>Soja EXCL 1</t>
  </si>
  <si>
    <t>Soja SUSP 1</t>
  </si>
  <si>
    <t>Lait ALER 1</t>
  </si>
  <si>
    <t>Lait ALER 2</t>
  </si>
  <si>
    <t>Lait ALER 3</t>
  </si>
  <si>
    <t>Lait EXCL 1</t>
  </si>
  <si>
    <t>Lait SUSP 1</t>
  </si>
  <si>
    <t>Lait EXCL SUSP</t>
  </si>
  <si>
    <t>Fruits à c ALER 1</t>
  </si>
  <si>
    <t>Fruits à c EXCL 1</t>
  </si>
  <si>
    <t>Fruits à c SUSP 1</t>
  </si>
  <si>
    <t>Céleri ALER 1</t>
  </si>
  <si>
    <t>Céleri SUSP 1</t>
  </si>
  <si>
    <t>Moutarde ALER 1</t>
  </si>
  <si>
    <t>Moutarde SUSP 1</t>
  </si>
  <si>
    <t>Sésame ALER 1</t>
  </si>
  <si>
    <t>Sésame SUSP 1</t>
  </si>
  <si>
    <t>Sulfites ALER 1</t>
  </si>
  <si>
    <t>Sulfites SUSP 1</t>
  </si>
  <si>
    <t>Lupin ALER 1</t>
  </si>
  <si>
    <t>Lupin SUSP 1</t>
  </si>
  <si>
    <t>Mollusques ALER 1</t>
  </si>
  <si>
    <t>Mollusques ALER 2</t>
  </si>
  <si>
    <t>Mollusques ALER 3</t>
  </si>
  <si>
    <t>Mollusques EXCL 1</t>
  </si>
  <si>
    <t>Mollusques SUSP 1</t>
  </si>
  <si>
    <t>R0005</t>
  </si>
  <si>
    <t>barley</t>
  </si>
  <si>
    <t>Cuisine/Bar/Charcuterie/Glacier/Traiteur</t>
  </si>
  <si>
    <t>Synonyme métier, terme de carte ou dénomination courante.</t>
  </si>
  <si>
    <t>2026</t>
  </si>
  <si>
    <t>R0006</t>
  </si>
  <si>
    <t>bière</t>
  </si>
  <si>
    <t>biere</t>
  </si>
  <si>
    <t>R0007</t>
  </si>
  <si>
    <t>bière blanche</t>
  </si>
  <si>
    <t>biere blanche</t>
  </si>
  <si>
    <t>R0008</t>
  </si>
  <si>
    <t>bière blonde</t>
  </si>
  <si>
    <t>biere blonde</t>
  </si>
  <si>
    <t>Céleri-branche</t>
  </si>
  <si>
    <t>R0009</t>
  </si>
  <si>
    <t>bière brune</t>
  </si>
  <si>
    <t>biere brune</t>
  </si>
  <si>
    <t>R0010</t>
  </si>
  <si>
    <t>biscotte</t>
  </si>
  <si>
    <t>R0011</t>
  </si>
  <si>
    <t>biscottes</t>
  </si>
  <si>
    <t>R0012</t>
  </si>
  <si>
    <t>biscuit</t>
  </si>
  <si>
    <t>R0013</t>
  </si>
  <si>
    <t>biscuits</t>
  </si>
  <si>
    <t>R0014</t>
  </si>
  <si>
    <t>blé</t>
  </si>
  <si>
    <t>ble</t>
  </si>
  <si>
    <t>R0015</t>
  </si>
  <si>
    <t>boulgour</t>
  </si>
  <si>
    <t>R0016</t>
  </si>
  <si>
    <t>bread</t>
  </si>
  <si>
    <t>R0017</t>
  </si>
  <si>
    <t>breadcrumbs</t>
  </si>
  <si>
    <t>Fond brun de veau lié</t>
  </si>
  <si>
    <t>R0018</t>
  </si>
  <si>
    <t>bretzel</t>
  </si>
  <si>
    <t>R0019</t>
  </si>
  <si>
    <t>bretzels</t>
  </si>
  <si>
    <t>Vinaigre de vin</t>
  </si>
  <si>
    <t>R0020</t>
  </si>
  <si>
    <t>brick</t>
  </si>
  <si>
    <t>R0021</t>
  </si>
  <si>
    <t>brioche</t>
  </si>
  <si>
    <t>R0022</t>
  </si>
  <si>
    <t>bulgur</t>
  </si>
  <si>
    <t>Beurre</t>
  </si>
  <si>
    <t>R0023</t>
  </si>
  <si>
    <t>cake</t>
  </si>
  <si>
    <t>R0024</t>
  </si>
  <si>
    <t>cakes</t>
  </si>
  <si>
    <t>R0025</t>
  </si>
  <si>
    <t>chapelure</t>
  </si>
  <si>
    <t>R0026</t>
  </si>
  <si>
    <t>choux pâtissier</t>
  </si>
  <si>
    <t>choux patissier</t>
  </si>
  <si>
    <t>R0027</t>
  </si>
  <si>
    <t>cookie</t>
  </si>
  <si>
    <t>R0028</t>
  </si>
  <si>
    <t>cookies</t>
  </si>
  <si>
    <t>sucre semoule</t>
  </si>
  <si>
    <t>R0029</t>
  </si>
  <si>
    <t>couscous</t>
  </si>
  <si>
    <t>R0030</t>
  </si>
  <si>
    <t>cracker</t>
  </si>
  <si>
    <t>Farine</t>
  </si>
  <si>
    <t>R0031</t>
  </si>
  <si>
    <t>crackers</t>
  </si>
  <si>
    <t>margarine</t>
  </si>
  <si>
    <t>R0032</t>
  </si>
  <si>
    <t>crêpe</t>
  </si>
  <si>
    <t>crepe</t>
  </si>
  <si>
    <t>R0033</t>
  </si>
  <si>
    <t>crêpes</t>
  </si>
  <si>
    <t>crepes</t>
  </si>
  <si>
    <t>R0034</t>
  </si>
  <si>
    <t>croissant</t>
  </si>
  <si>
    <t>R0035</t>
  </si>
  <si>
    <t>croûton</t>
  </si>
  <si>
    <t>crouton</t>
  </si>
  <si>
    <t>R0036</t>
  </si>
  <si>
    <t>croûtons</t>
  </si>
  <si>
    <t>croutons</t>
  </si>
  <si>
    <t>R0037</t>
  </si>
  <si>
    <t>crumble</t>
  </si>
  <si>
    <t>R0038</t>
  </si>
  <si>
    <t>éclair</t>
  </si>
  <si>
    <t>eclair</t>
  </si>
  <si>
    <t>R0039</t>
  </si>
  <si>
    <t>éclairs</t>
  </si>
  <si>
    <t>eclairs</t>
  </si>
  <si>
    <t>R0040</t>
  </si>
  <si>
    <t>engrain</t>
  </si>
  <si>
    <t>R0041</t>
  </si>
  <si>
    <t>épeautre</t>
  </si>
  <si>
    <t>epeautre</t>
  </si>
  <si>
    <t>R0042</t>
  </si>
  <si>
    <t>extrait de malt</t>
  </si>
  <si>
    <t>R0043</t>
  </si>
  <si>
    <t>farine</t>
  </si>
  <si>
    <t>R0044</t>
  </si>
  <si>
    <t>farine bise</t>
  </si>
  <si>
    <t>R0045</t>
  </si>
  <si>
    <t>farine blanche</t>
  </si>
  <si>
    <t>R0046</t>
  </si>
  <si>
    <t>farine complète</t>
  </si>
  <si>
    <t>farine complete</t>
  </si>
  <si>
    <t>R0047</t>
  </si>
  <si>
    <t>farine d avoine</t>
  </si>
  <si>
    <t>R0048</t>
  </si>
  <si>
    <t>farine d épeautre</t>
  </si>
  <si>
    <t>farine d epeautre</t>
  </si>
  <si>
    <t>R0049</t>
  </si>
  <si>
    <t>farine d orge</t>
  </si>
  <si>
    <t>R0050</t>
  </si>
  <si>
    <t>farine de blé</t>
  </si>
  <si>
    <t>farine de ble</t>
  </si>
  <si>
    <t>R0051</t>
  </si>
  <si>
    <t>farine de froment</t>
  </si>
  <si>
    <t>R0052</t>
  </si>
  <si>
    <t>farine de kamut</t>
  </si>
  <si>
    <t>R0053</t>
  </si>
  <si>
    <t>farine de khorasan</t>
  </si>
  <si>
    <t>R0054</t>
  </si>
  <si>
    <t>farine de seigle</t>
  </si>
  <si>
    <t>R0055</t>
  </si>
  <si>
    <t>farine de triticale</t>
  </si>
  <si>
    <t>R0056</t>
  </si>
  <si>
    <t>farine intégrale</t>
  </si>
  <si>
    <t>farine integrale</t>
  </si>
  <si>
    <t>R0057</t>
  </si>
  <si>
    <t>feuille de brick</t>
  </si>
  <si>
    <t>R0058</t>
  </si>
  <si>
    <t>ficelle</t>
  </si>
  <si>
    <t>R0059</t>
  </si>
  <si>
    <t>financier</t>
  </si>
  <si>
    <t>R0060</t>
  </si>
  <si>
    <t>financiers</t>
  </si>
  <si>
    <t>R0061</t>
  </si>
  <si>
    <t>froment</t>
  </si>
  <si>
    <t>R0062</t>
  </si>
  <si>
    <t>gaufre</t>
  </si>
  <si>
    <t>R0063</t>
  </si>
  <si>
    <t>gaufres</t>
  </si>
  <si>
    <t>R0064</t>
  </si>
  <si>
    <t>génoise</t>
  </si>
  <si>
    <t>genoise</t>
  </si>
  <si>
    <t>R0065</t>
  </si>
  <si>
    <t>germe de blé</t>
  </si>
  <si>
    <t>germe de ble</t>
  </si>
  <si>
    <t>R0066</t>
  </si>
  <si>
    <t>gluten</t>
  </si>
  <si>
    <t>R0067</t>
  </si>
  <si>
    <t>gluten de blé</t>
  </si>
  <si>
    <t>gluten de ble</t>
  </si>
  <si>
    <t>R0068</t>
  </si>
  <si>
    <t>gnocchi de blé</t>
  </si>
  <si>
    <t>gnocchi de ble</t>
  </si>
  <si>
    <t>MODE D’EMPLOI</t>
  </si>
  <si>
    <t>R0069</t>
  </si>
  <si>
    <t>kamut</t>
  </si>
  <si>
    <t>R0070</t>
  </si>
  <si>
    <t>khorasan</t>
  </si>
  <si>
    <t>1. Saisir l’intitulé réel du plat, de la boisson ou du produit en colonne B.</t>
  </si>
  <si>
    <t>R0071</t>
  </si>
  <si>
    <t>lager</t>
  </si>
  <si>
    <t>2. La colonne C ajoute * pour un allergène certain et ? lorsque la composition doit être contrôlée.</t>
  </si>
  <si>
    <t>R0072</t>
  </si>
  <si>
    <t>lasagne</t>
  </si>
  <si>
    <t>2. La colonne C ajoute * pour un allergène certain, ? pour un contrôle, et * ? lorsque les deux situations sont présentes.</t>
  </si>
  <si>
    <t>R0073</t>
  </si>
  <si>
    <t>macaroni</t>
  </si>
  <si>
    <t>4. Chaque formule de recherche porte sur 100 termes maximum ; les résultats sont additionnés dans une cellule séparée.</t>
  </si>
  <si>
    <t>R0074</t>
  </si>
  <si>
    <t>madeleine</t>
  </si>
  <si>
    <t>4. Les expressions d’exclusion sont retirées du texte avant la recherche : elles ne peuvent plus annuler un allergène sans rapport.</t>
  </si>
  <si>
    <t>R0075</t>
  </si>
  <si>
    <t>madeleines</t>
  </si>
  <si>
    <t>5. La base se trouve à droite sur la même feuille. Les règles certaines, les contrôles et les exclusions sont séparés.</t>
  </si>
  <si>
    <t>R0076</t>
  </si>
  <si>
    <t>malt</t>
  </si>
  <si>
    <t>R0077</t>
  </si>
  <si>
    <t>malt d orge</t>
  </si>
  <si>
    <t>R0078</t>
  </si>
  <si>
    <t>maltodextrine de blé</t>
  </si>
  <si>
    <t>zzzxq_exception_maltodextrine_ble_qxzzz</t>
  </si>
  <si>
    <t>Exception réglementaire : la maltodextrine à base de blé ne doit pas déclencher automatiquement le gluten.</t>
  </si>
  <si>
    <t>https://eur-lex.europa.eu/eli/reg/2011/1169/oj?locale=fr</t>
  </si>
  <si>
    <t>CAS DE CONTRÔLE MÉTIER</t>
  </si>
  <si>
    <t>R0079</t>
  </si>
  <si>
    <t>mille feuille</t>
  </si>
  <si>
    <t>CAS</t>
  </si>
  <si>
    <t>TEXTE À SAISIR</t>
  </si>
  <si>
    <t>RÉSULTAT ATTENDU</t>
  </si>
  <si>
    <t>MÉTIER / RISQUE</t>
  </si>
  <si>
    <t>R0080</t>
  </si>
  <si>
    <t>millefeuille</t>
  </si>
  <si>
    <t>Risotto au parmesan</t>
  </si>
  <si>
    <t>Lait — *</t>
  </si>
  <si>
    <t>Cuisine / fromager</t>
  </si>
  <si>
    <t>R0081</t>
  </si>
  <si>
    <t>nouille</t>
  </si>
  <si>
    <t>Burger, emmenthal râpé</t>
  </si>
  <si>
    <t>Orthographe usuelle</t>
  </si>
  <si>
    <t>R0082</t>
  </si>
  <si>
    <t>nouilles</t>
  </si>
  <si>
    <t>Gratin au gruyère</t>
  </si>
  <si>
    <t>Traiteur</t>
  </si>
  <si>
    <t>R0083</t>
  </si>
  <si>
    <t>oat</t>
  </si>
  <si>
    <t>Pecorino romano</t>
  </si>
  <si>
    <t>Fromager / cuisine italienne</t>
  </si>
  <si>
    <t>R0084</t>
  </si>
  <si>
    <t>oats</t>
  </si>
  <si>
    <t>Glace au mascarpone</t>
  </si>
  <si>
    <t>Glacier</t>
  </si>
  <si>
    <t>R0085</t>
  </si>
  <si>
    <t>orge</t>
  </si>
  <si>
    <t>Moule à cake en silicone</t>
  </si>
  <si>
    <t>Aucun mollusque</t>
  </si>
  <si>
    <t>Faux positif pâtisserie</t>
  </si>
  <si>
    <t>R0086</t>
  </si>
  <si>
    <t>pain</t>
  </si>
  <si>
    <t>Crème de coco</t>
  </si>
  <si>
    <t>Aucun lait</t>
  </si>
  <si>
    <t>Faux positif cuisine / bar</t>
  </si>
  <si>
    <t>R0087</t>
  </si>
  <si>
    <t>pain aux céréales</t>
  </si>
  <si>
    <t>pain aux cereales</t>
  </si>
  <si>
    <t>Bar à cocktails</t>
  </si>
  <si>
    <t>Aucun poisson</t>
  </si>
  <si>
    <t>Faux positif bar</t>
  </si>
  <si>
    <t>R0088</t>
  </si>
  <si>
    <t>pain complet</t>
  </si>
  <si>
    <t>Noix de Saint-Jacques poêlées</t>
  </si>
  <si>
    <t>Mollusques — *</t>
  </si>
  <si>
    <t>Faux positif fruits à coque</t>
  </si>
  <si>
    <t>R0089</t>
  </si>
  <si>
    <t>pain d épices</t>
  </si>
  <si>
    <t>pain d epices</t>
  </si>
  <si>
    <t>Lait d’amande</t>
  </si>
  <si>
    <t>Fruits à coque — * ; aucun lait</t>
  </si>
  <si>
    <t>Boisson végétale</t>
  </si>
  <si>
    <t>R0090</t>
  </si>
  <si>
    <t>pain de mie</t>
  </si>
  <si>
    <t>R0091</t>
  </si>
  <si>
    <t>pain de seigle</t>
  </si>
  <si>
    <t>R0092</t>
  </si>
  <si>
    <t>pain pita</t>
  </si>
  <si>
    <t>ARCHITECTURE ET CONTRÔLES</t>
  </si>
  <si>
    <t>R0093</t>
  </si>
  <si>
    <t>panaché</t>
  </si>
  <si>
    <t>panache</t>
  </si>
  <si>
    <t>MODE D’EMPLOI — LECTURE DES ALLERGÈNES</t>
  </si>
  <si>
    <t>R0094</t>
  </si>
  <si>
    <t>panko</t>
  </si>
  <si>
    <t>Zone de saisie</t>
  </si>
  <si>
    <t>B7:B66 : saisir la dénomination réelle du produit ou de l’ingrédient utilisé.</t>
  </si>
  <si>
    <t>R0095</t>
  </si>
  <si>
    <t>panure</t>
  </si>
  <si>
    <t>Résultat carte</t>
  </si>
  <si>
    <t>C7:C66 : le nom est repris avec un seul statut final : * ou ?.</t>
  </si>
  <si>
    <t>R0096</t>
  </si>
  <si>
    <t>pasta</t>
  </si>
  <si>
    <t>Allergènes certains</t>
  </si>
  <si>
    <t>Les colonnes de détection E:R marquent X lorsqu’un allergène est identifié comme certain.</t>
  </si>
  <si>
    <t>R0097</t>
  </si>
  <si>
    <t>pâte à choux</t>
  </si>
  <si>
    <t>pate a choux</t>
  </si>
  <si>
    <t>À vérifier</t>
  </si>
  <si>
    <t>La colonne S liste les familles qui restent à contrôler sur l’étiquette ou la fiche technique.</t>
  </si>
  <si>
    <t>R0098</t>
  </si>
  <si>
    <t>pâte à pizza</t>
  </si>
  <si>
    <t>pate a pizza</t>
  </si>
  <si>
    <t>Règle des symboles</t>
  </si>
  <si>
    <t>* = allergène certain. ? = composition ou présence à vérifier. Un produit ne doit jamais afficher « * ? ».</t>
  </si>
  <si>
    <t>R0099</t>
  </si>
  <si>
    <t>pâte alimentaire</t>
  </si>
  <si>
    <t>pate alimentaire</t>
  </si>
  <si>
    <t>Principe de décision</t>
  </si>
  <si>
    <t>S’il existe au moins un allergène certain, l’affichage final est *. S’il n’y a aucun allergène certain mais qu’un doute subsiste, l’affichage est ?.</t>
  </si>
  <si>
    <t>R0100</t>
  </si>
  <si>
    <t>pâte brisée</t>
  </si>
  <si>
    <t>pate brisee</t>
  </si>
  <si>
    <t>R0101</t>
  </si>
  <si>
    <t>pâte feuilletée</t>
  </si>
  <si>
    <t>pate feuilletee</t>
  </si>
  <si>
    <t>POURQUOI PEUT-IL Y AVOIR DE L’ŒUF OU DU LAIT DANS LE VIN ?</t>
  </si>
  <si>
    <t>R0102</t>
  </si>
  <si>
    <t>pâte filo</t>
  </si>
  <si>
    <t>pate filo</t>
  </si>
  <si>
    <t>Ce n’est pas un ingrédient de recette</t>
  </si>
  <si>
    <t>Tous les vins ne contiennent pas d’œuf ou de lait. Ces substances peuvent être utilisées comme auxiliaires technologiques pendant certains traitements œnologiques.</t>
  </si>
  <si>
    <t>R0103</t>
  </si>
  <si>
    <t>pâte fraîche</t>
  </si>
  <si>
    <t>pate fraiche</t>
  </si>
  <si>
    <t>Œuf</t>
  </si>
  <si>
    <t>L’albumine ou le blanc d’œuf peuvent servir au collage/à la clarification. Le lysozyme, dérivé de l’œuf, peut également être utilisé dans certains traitements œnologiques.</t>
  </si>
  <si>
    <t>R0104</t>
  </si>
  <si>
    <t>pâte sablée</t>
  </si>
  <si>
    <t>pate sablee</t>
  </si>
  <si>
    <t>La caséine, les caséinates ou d’autres protéines du lait peuvent être utilisés comme agents de collage pour clarifier le vin ou corriger certains défauts.</t>
  </si>
  <si>
    <t>R0105</t>
  </si>
  <si>
    <t>pâtes alimentaires</t>
  </si>
  <si>
    <t>pates alimentaires</t>
  </si>
  <si>
    <t>Après le traitement</t>
  </si>
  <si>
    <t>Ces auxiliaires sont normalement éliminés autant que possible. Leur emploi ne signifie donc pas automatiquement que le vin fini contient encore de l’œuf ou du lait.</t>
  </si>
  <si>
    <t>R0106</t>
  </si>
  <si>
    <t>petit épeautre</t>
  </si>
  <si>
    <t>petit epeautre</t>
  </si>
  <si>
    <t>Obligation d’étiquetage</t>
  </si>
  <si>
    <t>Si des substances provenant de l’œuf ou du lait restent détectables dans le vin fini, leur présence doit être indiquée sur l’étiquette.</t>
  </si>
  <si>
    <t>R0107</t>
  </si>
  <si>
    <t>pita</t>
  </si>
  <si>
    <t>Les sulfites doivent être déclarés lorsqu’ils dépassent 10 mg/L, exprimés en SO₂.</t>
  </si>
  <si>
    <t>R0108</t>
  </si>
  <si>
    <t>pizza</t>
  </si>
  <si>
    <t>Conséquence dans ce document</t>
  </si>
  <si>
    <t>R0109</t>
  </si>
  <si>
    <t>porter</t>
  </si>
  <si>
    <t>Vin utilisé en cuisine</t>
  </si>
  <si>
    <t>La cuisson ne remplace pas le contrôle de l’étiquette : la déclaration des allergènes se fonde sur la composition du produit mis en œuvre.</t>
  </si>
  <si>
    <t>R0110</t>
  </si>
  <si>
    <t>pretzel</t>
  </si>
  <si>
    <t>SOURCES OFFICIELLES</t>
  </si>
  <si>
    <t>R0152</t>
  </si>
  <si>
    <t>EXCL</t>
  </si>
  <si>
    <t>cake tin</t>
  </si>
  <si>
    <t>Exclusion métier destinée à éviter un faux positif.</t>
  </si>
  <si>
    <t>DGCCRF — Étiquetage des vins</t>
  </si>
  <si>
    <t>https://www.economie.gouv.fr/dgccrf/les-fiches-pratiques/etiquetage-des-vins-savoir-lire-les-etiquettes</t>
  </si>
  <si>
    <t>R0153</t>
  </si>
  <si>
    <t>eau de vie</t>
  </si>
  <si>
    <t>Évite un faux positif ou correspond à une exception réglementaire.</t>
  </si>
  <si>
    <t>DGCCRF — Guide produits vitivinicoles</t>
  </si>
  <si>
    <t>https://www.economie.gouv.fr/files/files/directions_services/dgccrf/media-document/guide-dgccrf-regles-etiquetage-vitivinicoles-professionnels.pdf</t>
  </si>
  <si>
    <t>R0154</t>
  </si>
  <si>
    <t>farine d amande</t>
  </si>
  <si>
    <t>Règlement (UE) n°1169/2011 — Annexe II</t>
  </si>
  <si>
    <t>R0155</t>
  </si>
  <si>
    <t>farine de châtaigne</t>
  </si>
  <si>
    <t>farine de chataigne</t>
  </si>
  <si>
    <t>R0111</t>
  </si>
  <si>
    <t>pretzels</t>
  </si>
  <si>
    <t>EXEMPLES DE LECTURE</t>
  </si>
  <si>
    <t>R0112</t>
  </si>
  <si>
    <t>profiterole</t>
  </si>
  <si>
    <t>Lait certain → Beurre *.</t>
  </si>
  <si>
    <t>R0113</t>
  </si>
  <si>
    <t>profiteroles</t>
  </si>
  <si>
    <t>Gluten certain dans la règle actuelle du moteur → Farine *.</t>
  </si>
  <si>
    <t>R0114</t>
  </si>
  <si>
    <t>protéine de blé</t>
  </si>
  <si>
    <t>proteine de ble</t>
  </si>
  <si>
    <t>La mozzarella contient du lait → produit *.</t>
  </si>
  <si>
    <t>R0115</t>
  </si>
  <si>
    <t>protéines de blé</t>
  </si>
  <si>
    <t>proteines de ble</t>
  </si>
  <si>
    <t>Céleri certain → Céleri-branche *.</t>
  </si>
  <si>
    <t>R0116</t>
  </si>
  <si>
    <t>quatre quarts</t>
  </si>
  <si>
    <t>R0117</t>
  </si>
  <si>
    <t>quiche</t>
  </si>
  <si>
    <t>Margarine</t>
  </si>
  <si>
    <t>Composition variable selon la marque : elle peut notamment contenir du lait ou du soja → ? tant que l’étiquette n’est pas contrôlée.</t>
  </si>
  <si>
    <t>R0118</t>
  </si>
  <si>
    <t>ravioli</t>
  </si>
  <si>
    <t>R0119</t>
  </si>
  <si>
    <t>raviolis</t>
  </si>
  <si>
    <t>R0120</t>
  </si>
  <si>
    <t>rye</t>
  </si>
  <si>
    <t>R0121</t>
  </si>
  <si>
    <t>seigle</t>
  </si>
  <si>
    <t>1.</t>
  </si>
  <si>
    <t>R0122</t>
  </si>
  <si>
    <t>seitan</t>
  </si>
  <si>
    <t>2.</t>
  </si>
  <si>
    <t>R0123</t>
  </si>
  <si>
    <t>semoule</t>
  </si>
  <si>
    <t>3.</t>
  </si>
  <si>
    <t>R0124</t>
  </si>
  <si>
    <t>semoule de blé</t>
  </si>
  <si>
    <t>semoule de ble</t>
  </si>
  <si>
    <t>4.</t>
  </si>
  <si>
    <t>R0125</t>
  </si>
  <si>
    <t>semoule de couscous</t>
  </si>
  <si>
    <t>5.</t>
  </si>
  <si>
    <t>R0126</t>
  </si>
  <si>
    <t>semoule fine</t>
  </si>
  <si>
    <t>6.</t>
  </si>
  <si>
    <t>R0127</t>
  </si>
  <si>
    <t>sirop de malt</t>
  </si>
  <si>
    <t>7.</t>
  </si>
  <si>
    <t>R0128</t>
  </si>
  <si>
    <t>son de blé</t>
  </si>
  <si>
    <t>son de ble</t>
  </si>
  <si>
    <t>R0129</t>
  </si>
  <si>
    <t>spaghetti</t>
  </si>
  <si>
    <t>R0130</t>
  </si>
  <si>
    <t>spelt</t>
  </si>
  <si>
    <t>R0131</t>
  </si>
  <si>
    <t>stout</t>
  </si>
  <si>
    <t>Graines de sésame</t>
  </si>
  <si>
    <t>R0132</t>
  </si>
  <si>
    <t>tagliatelle</t>
  </si>
  <si>
    <t>R0133</t>
  </si>
  <si>
    <t>tarte salée</t>
  </si>
  <si>
    <t>tarte salee</t>
  </si>
  <si>
    <t>R0134</t>
  </si>
  <si>
    <t>tartelette</t>
  </si>
  <si>
    <t>R0135</t>
  </si>
  <si>
    <t>tartelettes</t>
  </si>
  <si>
    <t>R0136</t>
  </si>
  <si>
    <t>tempura</t>
  </si>
  <si>
    <t>R0137</t>
  </si>
  <si>
    <t>tortellini</t>
  </si>
  <si>
    <t>R0138</t>
  </si>
  <si>
    <t>tortilla de blé</t>
  </si>
  <si>
    <t>tortilla de ble</t>
  </si>
  <si>
    <t>R0139</t>
  </si>
  <si>
    <t>tourte</t>
  </si>
  <si>
    <t>R0140</t>
  </si>
  <si>
    <t>triticale</t>
  </si>
  <si>
    <t>R0141</t>
  </si>
  <si>
    <t>vermicelle</t>
  </si>
  <si>
    <t>R0142</t>
  </si>
  <si>
    <t>viennoiserie</t>
  </si>
  <si>
    <t>R0156</t>
  </si>
  <si>
    <t>farine de coco</t>
  </si>
  <si>
    <t>R0144</t>
  </si>
  <si>
    <t>wheat flour</t>
  </si>
  <si>
    <t>R0145</t>
  </si>
  <si>
    <t>wrap</t>
  </si>
  <si>
    <t>R0146</t>
  </si>
  <si>
    <t>wraps</t>
  </si>
  <si>
    <t>R0147</t>
  </si>
  <si>
    <t>bière sans gluten</t>
  </si>
  <si>
    <t>biere sans gluten</t>
  </si>
  <si>
    <t>R0148</t>
  </si>
  <si>
    <t>biscuit sans gluten</t>
  </si>
  <si>
    <t>R0149</t>
  </si>
  <si>
    <t>bread tin</t>
  </si>
  <si>
    <t>R0150</t>
  </si>
  <si>
    <t>cake mold</t>
  </si>
  <si>
    <t>R0157</t>
  </si>
  <si>
    <t>farine de lentille</t>
  </si>
  <si>
    <t>R0158</t>
  </si>
  <si>
    <t>farine de lupin</t>
  </si>
  <si>
    <t>R0159</t>
  </si>
  <si>
    <t>farine de maïs</t>
  </si>
  <si>
    <t>farine de mais</t>
  </si>
  <si>
    <t>R0160</t>
  </si>
  <si>
    <t>farine de manioc</t>
  </si>
  <si>
    <t>R0161</t>
  </si>
  <si>
    <t>farine de pois chiche</t>
  </si>
  <si>
    <t>R0162</t>
  </si>
  <si>
    <t>farine de quinoa</t>
  </si>
  <si>
    <t>R0163</t>
  </si>
  <si>
    <t>farine de riz</t>
  </si>
  <si>
    <t>R0164</t>
  </si>
  <si>
    <t>farine de sarrasin</t>
  </si>
  <si>
    <t>R0165</t>
  </si>
  <si>
    <t>farine de tapioca</t>
  </si>
  <si>
    <t>R0166</t>
  </si>
  <si>
    <t>gin</t>
  </si>
  <si>
    <t>R0167</t>
  </si>
  <si>
    <t>gluten free</t>
  </si>
  <si>
    <t>R0168</t>
  </si>
  <si>
    <t>loaf tin</t>
  </si>
  <si>
    <t>R0169</t>
  </si>
  <si>
    <t>moule à brioche</t>
  </si>
  <si>
    <t>moule a brioche</t>
  </si>
  <si>
    <t>R0170</t>
  </si>
  <si>
    <t>moule à cake</t>
  </si>
  <si>
    <t>moule a cake</t>
  </si>
  <si>
    <t>R0171</t>
  </si>
  <si>
    <t>moule à gâteau</t>
  </si>
  <si>
    <t>moule a gateau</t>
  </si>
  <si>
    <t>R0172</t>
  </si>
  <si>
    <t>moule à kouglof</t>
  </si>
  <si>
    <t>moule a kouglof</t>
  </si>
  <si>
    <t>R0173</t>
  </si>
  <si>
    <t>moule à madeleine</t>
  </si>
  <si>
    <t>moule a madeleine</t>
  </si>
  <si>
    <t>R0174</t>
  </si>
  <si>
    <t>moule à pain</t>
  </si>
  <si>
    <t>moule a pain</t>
  </si>
  <si>
    <t>R0175</t>
  </si>
  <si>
    <t>moule à tarte</t>
  </si>
  <si>
    <t>moule a tarte</t>
  </si>
  <si>
    <t>R0176</t>
  </si>
  <si>
    <t>pain sans gluten</t>
  </si>
  <si>
    <t>R0177</t>
  </si>
  <si>
    <t>pastry mold</t>
  </si>
  <si>
    <t>R0178</t>
  </si>
  <si>
    <t>pastry mould</t>
  </si>
  <si>
    <t>R0179</t>
  </si>
  <si>
    <t>pâtisserie sans gluten</t>
  </si>
  <si>
    <t>patisserie sans gluten</t>
  </si>
  <si>
    <t>R0180</t>
  </si>
  <si>
    <t>rhum</t>
  </si>
  <si>
    <t>R0181</t>
  </si>
  <si>
    <t>sans gluten</t>
  </si>
  <si>
    <t>R0182</t>
  </si>
  <si>
    <t>vodka</t>
  </si>
  <si>
    <t>R0183</t>
  </si>
  <si>
    <t>whiskey</t>
  </si>
  <si>
    <t>R0184</t>
  </si>
  <si>
    <t>whisky</t>
  </si>
  <si>
    <t>R0185</t>
  </si>
  <si>
    <t>SUSPICION</t>
  </si>
  <si>
    <t>boudin blanc</t>
  </si>
  <si>
    <t>Composition variable : vérifier la fiche technique.</t>
  </si>
  <si>
    <t>R0186</t>
  </si>
  <si>
    <t>bouillon cube</t>
  </si>
  <si>
    <t>R0187</t>
  </si>
  <si>
    <t>caesar dressing</t>
  </si>
  <si>
    <t>Composition ou recette variable : vérifier la fiche technique.</t>
  </si>
  <si>
    <t>R0188</t>
  </si>
  <si>
    <t>caesar salad</t>
  </si>
  <si>
    <t>R0189</t>
  </si>
  <si>
    <t>charcuterie</t>
  </si>
  <si>
    <t>R0190</t>
  </si>
  <si>
    <t>cordon bleu</t>
  </si>
  <si>
    <t>R0191</t>
  </si>
  <si>
    <t>fond blanc</t>
  </si>
  <si>
    <t>R0192</t>
  </si>
  <si>
    <t>fond brun</t>
  </si>
  <si>
    <t>R0193</t>
  </si>
  <si>
    <t>glace industrielle</t>
  </si>
  <si>
    <t>R0194</t>
  </si>
  <si>
    <t>hoisin</t>
  </si>
  <si>
    <t>R0195</t>
  </si>
  <si>
    <t>quenelle</t>
  </si>
  <si>
    <t>R0196</t>
  </si>
  <si>
    <t>salade césar</t>
  </si>
  <si>
    <t>salade cesar</t>
  </si>
  <si>
    <t>R0197</t>
  </si>
  <si>
    <t>sauce anglaise</t>
  </si>
  <si>
    <t>R0198</t>
  </si>
  <si>
    <t>sauce industrielle</t>
  </si>
  <si>
    <t>R0199</t>
  </si>
  <si>
    <t>sauce soja</t>
  </si>
  <si>
    <t>R0200</t>
  </si>
  <si>
    <t>sauce worcestershire</t>
  </si>
  <si>
    <t>R0201</t>
  </si>
  <si>
    <t>saucisse</t>
  </si>
  <si>
    <t>R0202</t>
  </si>
  <si>
    <t>saucisson</t>
  </si>
  <si>
    <t>R0203</t>
  </si>
  <si>
    <t>shoyu</t>
  </si>
  <si>
    <t>R0204</t>
  </si>
  <si>
    <t>sorbet industriel</t>
  </si>
  <si>
    <t>R0205</t>
  </si>
  <si>
    <t>surimi</t>
  </si>
  <si>
    <t>R0206</t>
  </si>
  <si>
    <t>teriyaki</t>
  </si>
  <si>
    <t>R0207</t>
  </si>
  <si>
    <t>araignee de mer</t>
  </si>
  <si>
    <t>Cuisine/Traiteur</t>
  </si>
  <si>
    <t>Dénomination commerciale officielle ou usuelle.</t>
  </si>
  <si>
    <t>https://www.economie.gouv.fr/dgccrf/les-fiches-pratiques/denominations-commerciales-des-produits-de-la-peche-et-de-laquaculture</t>
  </si>
  <si>
    <t>2024-2026</t>
  </si>
  <si>
    <t>R0208</t>
  </si>
  <si>
    <t>araignées de mer</t>
  </si>
  <si>
    <t>araignees de mer</t>
  </si>
  <si>
    <t>Crustacé ou dérivé explicite.</t>
  </si>
  <si>
    <t>R0209</t>
  </si>
  <si>
    <t>bisque de crustacés</t>
  </si>
  <si>
    <t>bisque de crustaces</t>
  </si>
  <si>
    <t>R0210</t>
  </si>
  <si>
    <t>bisque de homard</t>
  </si>
  <si>
    <t>R0211</t>
  </si>
  <si>
    <t>canada sa chair peut etre vendue comme</t>
  </si>
  <si>
    <t>R0212</t>
  </si>
  <si>
    <t>caramote</t>
  </si>
  <si>
    <t>R0213</t>
  </si>
  <si>
    <t>chevrette</t>
  </si>
  <si>
    <t>R0214</t>
  </si>
  <si>
    <t>cigale</t>
  </si>
  <si>
    <t>R0215</t>
  </si>
  <si>
    <t>cigale d afrique du sud</t>
  </si>
  <si>
    <t>R0216</t>
  </si>
  <si>
    <t>cigale de mer</t>
  </si>
  <si>
    <t>R0217</t>
  </si>
  <si>
    <t>cigale du bresil</t>
  </si>
  <si>
    <t>R0218</t>
  </si>
  <si>
    <t>cigale japonaise</t>
  </si>
  <si>
    <t>R0219</t>
  </si>
  <si>
    <t>cigale raquette</t>
  </si>
  <si>
    <t>R0220</t>
  </si>
  <si>
    <t>cigale rouge</t>
  </si>
  <si>
    <t>R0221</t>
  </si>
  <si>
    <t>cigales de mer</t>
  </si>
  <si>
    <t>R0222</t>
  </si>
  <si>
    <t>crab</t>
  </si>
  <si>
    <t>R0223</t>
  </si>
  <si>
    <t>crabe</t>
  </si>
  <si>
    <t>R0224</t>
  </si>
  <si>
    <t>crabe bleu</t>
  </si>
  <si>
    <t>R0225</t>
  </si>
  <si>
    <t>crabe de mangrove</t>
  </si>
  <si>
    <t>R0226</t>
  </si>
  <si>
    <t>crabe de paletuviers</t>
  </si>
  <si>
    <t>R0227</t>
  </si>
  <si>
    <t>crabe des neiges de l antarctique</t>
  </si>
  <si>
    <t>R0228</t>
  </si>
  <si>
    <t>crabe des sables</t>
  </si>
  <si>
    <t>R0229</t>
  </si>
  <si>
    <t>crabe gazami</t>
  </si>
  <si>
    <t>R0230</t>
  </si>
  <si>
    <t>crabe nageur</t>
  </si>
  <si>
    <t>R0231</t>
  </si>
  <si>
    <t>crabe royal</t>
  </si>
  <si>
    <t>R0232</t>
  </si>
  <si>
    <t>crabe royal brun</t>
  </si>
  <si>
    <t>R0233</t>
  </si>
  <si>
    <t>crabe royal de l antarctique</t>
  </si>
  <si>
    <t>R0234</t>
  </si>
  <si>
    <t>crabe royal du kamtchatka</t>
  </si>
  <si>
    <t>R0235</t>
  </si>
  <si>
    <t>crabe vert</t>
  </si>
  <si>
    <t>R0236</t>
  </si>
  <si>
    <t>crabes</t>
  </si>
  <si>
    <t>R0237</t>
  </si>
  <si>
    <t>crabs</t>
  </si>
  <si>
    <t>R0238</t>
  </si>
  <si>
    <t>crayfish</t>
  </si>
  <si>
    <t>R0239</t>
  </si>
  <si>
    <t>crevette</t>
  </si>
  <si>
    <t>R0240</t>
  </si>
  <si>
    <t>crevette blanche</t>
  </si>
  <si>
    <t>R0241</t>
  </si>
  <si>
    <t>crevette bleu</t>
  </si>
  <si>
    <t>R0242</t>
  </si>
  <si>
    <t>crevette bouquet</t>
  </si>
  <si>
    <t>R0243</t>
  </si>
  <si>
    <t>crevette chamois</t>
  </si>
  <si>
    <t>R0244</t>
  </si>
  <si>
    <t>crevette couteau</t>
  </si>
  <si>
    <t>R0245</t>
  </si>
  <si>
    <t>crevette cristal</t>
  </si>
  <si>
    <t>R0246</t>
  </si>
  <si>
    <t>crevette de guinee</t>
  </si>
  <si>
    <t>R0247</t>
  </si>
  <si>
    <t>crevette des canaux</t>
  </si>
  <si>
    <t>R0248</t>
  </si>
  <si>
    <t>crevette esope</t>
  </si>
  <si>
    <t>R0249</t>
  </si>
  <si>
    <t>crevette grise</t>
  </si>
  <si>
    <t>R0250</t>
  </si>
  <si>
    <t>crevette kidi</t>
  </si>
  <si>
    <t>R0251</t>
  </si>
  <si>
    <t>crevette kuruma</t>
  </si>
  <si>
    <t>R0252</t>
  </si>
  <si>
    <t>crevette nordique</t>
  </si>
  <si>
    <t>R0253</t>
  </si>
  <si>
    <t>crevette oceanique</t>
  </si>
  <si>
    <t>R0254</t>
  </si>
  <si>
    <t>crevette rouge</t>
  </si>
  <si>
    <t>R0255</t>
  </si>
  <si>
    <t>crevette rouge d arabie</t>
  </si>
  <si>
    <t>R0256</t>
  </si>
  <si>
    <t>crevette rouge de l atlantique</t>
  </si>
  <si>
    <t>R0257</t>
  </si>
  <si>
    <t>crevette tachetee</t>
  </si>
  <si>
    <t>R0258</t>
  </si>
  <si>
    <t>crevette tropicale</t>
  </si>
  <si>
    <t>R0259</t>
  </si>
  <si>
    <t>crevette tropicale d eau douce</t>
  </si>
  <si>
    <t>R0260</t>
  </si>
  <si>
    <t>crevettes</t>
  </si>
  <si>
    <t>R0261</t>
  </si>
  <si>
    <t>ecrevisse</t>
  </si>
  <si>
    <t>R0262</t>
  </si>
  <si>
    <t>ecrevisse a pattes greles</t>
  </si>
  <si>
    <t>R0263</t>
  </si>
  <si>
    <t>ecrevisse a pattes rouges</t>
  </si>
  <si>
    <t>R0264</t>
  </si>
  <si>
    <t>ecrevisse australienne</t>
  </si>
  <si>
    <t>R0265</t>
  </si>
  <si>
    <t>ecrevisse de californie</t>
  </si>
  <si>
    <t>R0266</t>
  </si>
  <si>
    <t>ecrevisse du bresil</t>
  </si>
  <si>
    <t>R0267</t>
  </si>
  <si>
    <t>ecrevisse signal</t>
  </si>
  <si>
    <t>R0268</t>
  </si>
  <si>
    <t>écrevisses</t>
  </si>
  <si>
    <t>ecrevisses</t>
  </si>
  <si>
    <t>R0269</t>
  </si>
  <si>
    <t>etrille</t>
  </si>
  <si>
    <t>R0270</t>
  </si>
  <si>
    <t>étrilles</t>
  </si>
  <si>
    <t>etrilles</t>
  </si>
  <si>
    <t>R0271</t>
  </si>
  <si>
    <t>fumet de crustacés</t>
  </si>
  <si>
    <t>fumet de crustaces</t>
  </si>
  <si>
    <t>R0272</t>
  </si>
  <si>
    <t>galathee</t>
  </si>
  <si>
    <t>R0273</t>
  </si>
  <si>
    <t>galathee bleue</t>
  </si>
  <si>
    <t>R0274</t>
  </si>
  <si>
    <t>galathee pelagique</t>
  </si>
  <si>
    <t>R0275</t>
  </si>
  <si>
    <t>galathee rouge</t>
  </si>
  <si>
    <t>R0276</t>
  </si>
  <si>
    <t>gamba</t>
  </si>
  <si>
    <t>R0277</t>
  </si>
  <si>
    <t>gambas</t>
  </si>
  <si>
    <t>R0278</t>
  </si>
  <si>
    <t>grande crevette rouge</t>
  </si>
  <si>
    <t>R0279</t>
  </si>
  <si>
    <t>homard</t>
  </si>
  <si>
    <t>R0280</t>
  </si>
  <si>
    <t>homard americain</t>
  </si>
  <si>
    <t>R0281</t>
  </si>
  <si>
    <t>homard canadien</t>
  </si>
  <si>
    <t>R0282</t>
  </si>
  <si>
    <t>homard europeen</t>
  </si>
  <si>
    <t>R0283</t>
  </si>
  <si>
    <t>homards</t>
  </si>
  <si>
    <t>R0284</t>
  </si>
  <si>
    <t>hyas coarctatus</t>
  </si>
  <si>
    <t>R0285</t>
  </si>
  <si>
    <t>jasus paulensis</t>
  </si>
  <si>
    <t>R0286</t>
  </si>
  <si>
    <t>jus de crustacés</t>
  </si>
  <si>
    <t>jus de crustaces</t>
  </si>
  <si>
    <t>R0287</t>
  </si>
  <si>
    <t>langouste</t>
  </si>
  <si>
    <t>R0288</t>
  </si>
  <si>
    <t>langouste bariolee</t>
  </si>
  <si>
    <t>R0289</t>
  </si>
  <si>
    <t>langouste blanche</t>
  </si>
  <si>
    <t>R0290</t>
  </si>
  <si>
    <t>langouste caraibe</t>
  </si>
  <si>
    <t>R0291</t>
  </si>
  <si>
    <t>langouste chilienne</t>
  </si>
  <si>
    <t>R0292</t>
  </si>
  <si>
    <t>langouste d australie</t>
  </si>
  <si>
    <t>R0293</t>
  </si>
  <si>
    <t>langouste de natal</t>
  </si>
  <si>
    <t>R0294</t>
  </si>
  <si>
    <t>langouste de tristan</t>
  </si>
  <si>
    <t>R0295</t>
  </si>
  <si>
    <t>langouste de vase</t>
  </si>
  <si>
    <t>R0296</t>
  </si>
  <si>
    <t>langouste diablotin</t>
  </si>
  <si>
    <t>R0297</t>
  </si>
  <si>
    <t>langouste du cap vert</t>
  </si>
  <si>
    <t>R0298</t>
  </si>
  <si>
    <t>langouste du mexique</t>
  </si>
  <si>
    <t>R0299</t>
  </si>
  <si>
    <t>langouste du sud</t>
  </si>
  <si>
    <t>R0300</t>
  </si>
  <si>
    <t>langouste festonnee</t>
  </si>
  <si>
    <t>R0301</t>
  </si>
  <si>
    <t>langouste fouet</t>
  </si>
  <si>
    <t>R0302</t>
  </si>
  <si>
    <t>langouste fouet arabe</t>
  </si>
  <si>
    <t>R0303</t>
  </si>
  <si>
    <t>langouste fouet bande</t>
  </si>
  <si>
    <t>R0304</t>
  </si>
  <si>
    <t>langouste fourchette</t>
  </si>
  <si>
    <t>R0305</t>
  </si>
  <si>
    <t>langouste indienne</t>
  </si>
  <si>
    <t>R0306</t>
  </si>
  <si>
    <t>langouste ornee</t>
  </si>
  <si>
    <t>R0307</t>
  </si>
  <si>
    <t>langouste rose</t>
  </si>
  <si>
    <t>R0308</t>
  </si>
  <si>
    <t>langouste rouge</t>
  </si>
  <si>
    <t>R0309</t>
  </si>
  <si>
    <t>langouste rouge d australie</t>
  </si>
  <si>
    <t>R0310</t>
  </si>
  <si>
    <t>langouste rouge du cap</t>
  </si>
  <si>
    <t>R0311</t>
  </si>
  <si>
    <t>langouste rouge du chili</t>
  </si>
  <si>
    <t>R0312</t>
  </si>
  <si>
    <t>langouste royale</t>
  </si>
  <si>
    <t>R0313</t>
  </si>
  <si>
    <t>langouste tropicale</t>
  </si>
  <si>
    <t>R0314</t>
  </si>
  <si>
    <t>langouste verte</t>
  </si>
  <si>
    <t>R0315</t>
  </si>
  <si>
    <t>langoustes</t>
  </si>
  <si>
    <t>R0316</t>
  </si>
  <si>
    <t>langoustine</t>
  </si>
  <si>
    <t>R0317</t>
  </si>
  <si>
    <t>langoustine andamane</t>
  </si>
  <si>
    <t>R0318</t>
  </si>
  <si>
    <t>langoustine d uruguay</t>
  </si>
  <si>
    <t>R0319</t>
  </si>
  <si>
    <t>langoustine de nouvelle zelande</t>
  </si>
  <si>
    <t>R0320</t>
  </si>
  <si>
    <t>langoustines</t>
  </si>
  <si>
    <t>R0321</t>
  </si>
  <si>
    <t>lobster</t>
  </si>
  <si>
    <t>R0322</t>
  </si>
  <si>
    <t>lobsters</t>
  </si>
  <si>
    <t>R0323</t>
  </si>
  <si>
    <t>mante de mer</t>
  </si>
  <si>
    <t>R0324</t>
  </si>
  <si>
    <t>mantis</t>
  </si>
  <si>
    <t>R0325</t>
  </si>
  <si>
    <t>munida</t>
  </si>
  <si>
    <t>R0326</t>
  </si>
  <si>
    <t>pâte de crevette</t>
  </si>
  <si>
    <t>pate de crevette</t>
  </si>
  <si>
    <t>R0327</t>
  </si>
  <si>
    <t>petite cigale</t>
  </si>
  <si>
    <t>R0328</t>
  </si>
  <si>
    <t>pouce pied</t>
  </si>
  <si>
    <t>R0329</t>
  </si>
  <si>
    <t>poudre de crevette</t>
  </si>
  <si>
    <t>R0330</t>
  </si>
  <si>
    <t>prawn</t>
  </si>
  <si>
    <t>R0331</t>
  </si>
  <si>
    <t>prawns</t>
  </si>
  <si>
    <t>R0332</t>
  </si>
  <si>
    <t>sauce de crustacés</t>
  </si>
  <si>
    <t>sauce de crustaces</t>
  </si>
  <si>
    <t>R0333</t>
  </si>
  <si>
    <t>scampi</t>
  </si>
  <si>
    <t>R0334</t>
  </si>
  <si>
    <t>scampis</t>
  </si>
  <si>
    <t>R0335</t>
  </si>
  <si>
    <t>shrimp</t>
  </si>
  <si>
    <t>R0336</t>
  </si>
  <si>
    <t>shrimp paste</t>
  </si>
  <si>
    <t>R0337</t>
  </si>
  <si>
    <t>shrimps</t>
  </si>
  <si>
    <t>R0338</t>
  </si>
  <si>
    <t>squille</t>
  </si>
  <si>
    <t>R0339</t>
  </si>
  <si>
    <t>tourteau</t>
  </si>
  <si>
    <t>R0340</t>
  </si>
  <si>
    <t>tourteau jaune</t>
  </si>
  <si>
    <t>R0341</t>
  </si>
  <si>
    <t>tourteaux</t>
  </si>
  <si>
    <t>R0342</t>
  </si>
  <si>
    <t>aïoli</t>
  </si>
  <si>
    <t>aioli</t>
  </si>
  <si>
    <t>Œuf, dérivé ou préparation classique.</t>
  </si>
  <si>
    <t>R0343</t>
  </si>
  <si>
    <t>albumine</t>
  </si>
  <si>
    <t>R0344</t>
  </si>
  <si>
    <t>béarnaise</t>
  </si>
  <si>
    <t>bearnaise</t>
  </si>
  <si>
    <t>R0345</t>
  </si>
  <si>
    <t>biscuit cuillère</t>
  </si>
  <si>
    <t>biscuit cuillere</t>
  </si>
  <si>
    <t>R0346</t>
  </si>
  <si>
    <t>blanc d œuf</t>
  </si>
  <si>
    <t>blanc d oeuf</t>
  </si>
  <si>
    <t>R0347</t>
  </si>
  <si>
    <t>blancs d œufs</t>
  </si>
  <si>
    <t>blancs d oeufs</t>
  </si>
  <si>
    <t>R0348</t>
  </si>
  <si>
    <t>boudoir</t>
  </si>
  <si>
    <t>R0349</t>
  </si>
  <si>
    <t>boudoirs</t>
  </si>
  <si>
    <t>R0350</t>
  </si>
  <si>
    <t>carbonara</t>
  </si>
  <si>
    <t>R0351</t>
  </si>
  <si>
    <t>crème anglaise</t>
  </si>
  <si>
    <t>creme anglaise</t>
  </si>
  <si>
    <t>R0352</t>
  </si>
  <si>
    <t>crème brûlée</t>
  </si>
  <si>
    <t>creme brulee</t>
  </si>
  <si>
    <t>R0353</t>
  </si>
  <si>
    <t>crème caramel</t>
  </si>
  <si>
    <t>creme caramel</t>
  </si>
  <si>
    <t>R0354</t>
  </si>
  <si>
    <t>crème catalane</t>
  </si>
  <si>
    <t>creme catalane</t>
  </si>
  <si>
    <t>R0355</t>
  </si>
  <si>
    <t>crème pâtissière</t>
  </si>
  <si>
    <t>creme patissiere</t>
  </si>
  <si>
    <t>R0356</t>
  </si>
  <si>
    <t>dorure à l œuf</t>
  </si>
  <si>
    <t>dorure a l oeuf</t>
  </si>
  <si>
    <t>R0357</t>
  </si>
  <si>
    <t>E1105</t>
  </si>
  <si>
    <t>e1105</t>
  </si>
  <si>
    <t>R0358</t>
  </si>
  <si>
    <t>egg</t>
  </si>
  <si>
    <t>R0359</t>
  </si>
  <si>
    <t>egg white</t>
  </si>
  <si>
    <t>R0360</t>
  </si>
  <si>
    <t>egg whites</t>
  </si>
  <si>
    <t>R0361</t>
  </si>
  <si>
    <t>egg yolk</t>
  </si>
  <si>
    <t>R0362</t>
  </si>
  <si>
    <t>egg yolks</t>
  </si>
  <si>
    <t>R0363</t>
  </si>
  <si>
    <t>eggs</t>
  </si>
  <si>
    <t>R0364</t>
  </si>
  <si>
    <t>flan</t>
  </si>
  <si>
    <t>R0365</t>
  </si>
  <si>
    <t>R0366</t>
  </si>
  <si>
    <t>hollandaise</t>
  </si>
  <si>
    <t>R0367</t>
  </si>
  <si>
    <t>île flottante</t>
  </si>
  <si>
    <t>ile flottante</t>
  </si>
  <si>
    <t>R0368</t>
  </si>
  <si>
    <t>jaune d œuf</t>
  </si>
  <si>
    <t>jaune d oeuf</t>
  </si>
  <si>
    <t>R0369</t>
  </si>
  <si>
    <t>jaunes d œufs</t>
  </si>
  <si>
    <t>jaunes d oeufs</t>
  </si>
  <si>
    <t>R0370</t>
  </si>
  <si>
    <t>lécithine d œuf</t>
  </si>
  <si>
    <t>lecithine d oeuf</t>
  </si>
  <si>
    <t>R0371</t>
  </si>
  <si>
    <t>lysozyme</t>
  </si>
  <si>
    <t>R0372</t>
  </si>
  <si>
    <t>mayo</t>
  </si>
  <si>
    <t>R0373</t>
  </si>
  <si>
    <t>R0374</t>
  </si>
  <si>
    <t>meringue</t>
  </si>
  <si>
    <t>R0375</t>
  </si>
  <si>
    <t>meringues</t>
  </si>
  <si>
    <t>R0376</t>
  </si>
  <si>
    <t>œuf</t>
  </si>
  <si>
    <t>oeuf</t>
  </si>
  <si>
    <t>R0377</t>
  </si>
  <si>
    <t>œuf dur</t>
  </si>
  <si>
    <t>oeuf dur</t>
  </si>
  <si>
    <t>R0378</t>
  </si>
  <si>
    <t>œuf en poudre</t>
  </si>
  <si>
    <t>oeuf en poudre</t>
  </si>
  <si>
    <t>R0379</t>
  </si>
  <si>
    <t>œuf mollet</t>
  </si>
  <si>
    <t>oeuf mollet</t>
  </si>
  <si>
    <t>R0380</t>
  </si>
  <si>
    <t>œuf poché</t>
  </si>
  <si>
    <t>oeuf poche</t>
  </si>
  <si>
    <t>R0381</t>
  </si>
  <si>
    <t>œufs</t>
  </si>
  <si>
    <t>oeufs</t>
  </si>
  <si>
    <t>R0382</t>
  </si>
  <si>
    <t>œufs brouillés</t>
  </si>
  <si>
    <t>oeufs brouilles</t>
  </si>
  <si>
    <t>R0383</t>
  </si>
  <si>
    <t>omelette</t>
  </si>
  <si>
    <t>R0384</t>
  </si>
  <si>
    <t>ovalbumine</t>
  </si>
  <si>
    <t>R0385</t>
  </si>
  <si>
    <t>ovomucine</t>
  </si>
  <si>
    <t>R0386</t>
  </si>
  <si>
    <t>ovomucoïde</t>
  </si>
  <si>
    <t>ovomucoide</t>
  </si>
  <si>
    <t>R0387</t>
  </si>
  <si>
    <t>ovoproduit</t>
  </si>
  <si>
    <t>R0388</t>
  </si>
  <si>
    <t>ovoproduits</t>
  </si>
  <si>
    <t>R0389</t>
  </si>
  <si>
    <t>pâte à bombe</t>
  </si>
  <si>
    <t>pate a bombe</t>
  </si>
  <si>
    <t>R0390</t>
  </si>
  <si>
    <t>R0391</t>
  </si>
  <si>
    <t>poudre d œuf</t>
  </si>
  <si>
    <t>poudre d oeuf</t>
  </si>
  <si>
    <t>R0392</t>
  </si>
  <si>
    <t>R0393</t>
  </si>
  <si>
    <t>sabayon</t>
  </si>
  <si>
    <t>R0394</t>
  </si>
  <si>
    <t>sauce cocktail</t>
  </si>
  <si>
    <t>R0395</t>
  </si>
  <si>
    <t>sauce gribiche</t>
  </si>
  <si>
    <t>R0396</t>
  </si>
  <si>
    <t>sauce rémoulade</t>
  </si>
  <si>
    <t>sauce remoulade</t>
  </si>
  <si>
    <t>R0397</t>
  </si>
  <si>
    <t>sauce tartare</t>
  </si>
  <si>
    <t>R0398</t>
  </si>
  <si>
    <t>soufflé</t>
  </si>
  <si>
    <t>souffle</t>
  </si>
  <si>
    <t>R0399</t>
  </si>
  <si>
    <t>tiramisu</t>
  </si>
  <si>
    <t>R0400</t>
  </si>
  <si>
    <t>amaretto sour</t>
  </si>
  <si>
    <t>Recette variable.</t>
  </si>
  <si>
    <t>R0401</t>
  </si>
  <si>
    <t>beignet</t>
  </si>
  <si>
    <t>R0402</t>
  </si>
  <si>
    <t>R0403</t>
  </si>
  <si>
    <t>R0404</t>
  </si>
  <si>
    <t>burger</t>
  </si>
  <si>
    <t>R0405</t>
  </si>
  <si>
    <t>R0406</t>
  </si>
  <si>
    <t>R0407</t>
  </si>
  <si>
    <t>cocktail sour</t>
  </si>
  <si>
    <t>R0408</t>
  </si>
  <si>
    <t>R0409</t>
  </si>
  <si>
    <t>crème glacée</t>
  </si>
  <si>
    <t>creme glacee</t>
  </si>
  <si>
    <t>R0410</t>
  </si>
  <si>
    <t>farce fine</t>
  </si>
  <si>
    <t>R0411</t>
  </si>
  <si>
    <t>glace</t>
  </si>
  <si>
    <t>R0412</t>
  </si>
  <si>
    <t>mousse</t>
  </si>
  <si>
    <t>R0413</t>
  </si>
  <si>
    <t>mousseline</t>
  </si>
  <si>
    <t>R0414</t>
  </si>
  <si>
    <t>nouilles fraîches</t>
  </si>
  <si>
    <t>nouilles fraiches</t>
  </si>
  <si>
    <t>R0415</t>
  </si>
  <si>
    <t>pain brioché</t>
  </si>
  <si>
    <t>pain brioche</t>
  </si>
  <si>
    <t>R0416</t>
  </si>
  <si>
    <t>R0417</t>
  </si>
  <si>
    <t>pâté</t>
  </si>
  <si>
    <t>pate</t>
  </si>
  <si>
    <t>R0418</t>
  </si>
  <si>
    <t>pâtes fraîches</t>
  </si>
  <si>
    <t>pates fraiches</t>
  </si>
  <si>
    <t>R0419</t>
  </si>
  <si>
    <t>pisco sour</t>
  </si>
  <si>
    <t>R0420</t>
  </si>
  <si>
    <t>R0421</t>
  </si>
  <si>
    <t>ramen</t>
  </si>
  <si>
    <t>R0422</t>
  </si>
  <si>
    <t>R0423</t>
  </si>
  <si>
    <t>sorbet</t>
  </si>
  <si>
    <t>R0424</t>
  </si>
  <si>
    <t>R0425</t>
  </si>
  <si>
    <t>terrine</t>
  </si>
  <si>
    <t>R0426</t>
  </si>
  <si>
    <t>R0427</t>
  </si>
  <si>
    <t>whisky sour</t>
  </si>
  <si>
    <t>R0428</t>
  </si>
  <si>
    <t>SUSP_EXCL</t>
  </si>
  <si>
    <t>avec glace</t>
  </si>
  <si>
    <t>Exclusion limitée aux détections de composition variable.</t>
  </si>
  <si>
    <t>R0429</t>
  </si>
  <si>
    <t>avec glaçons</t>
  </si>
  <si>
    <t>avec glacons</t>
  </si>
  <si>
    <t>R0430</t>
  </si>
  <si>
    <t>glace pilée</t>
  </si>
  <si>
    <t>glace pilee</t>
  </si>
  <si>
    <t>R0431</t>
  </si>
  <si>
    <t>glaçons</t>
  </si>
  <si>
    <t>glacons</t>
  </si>
  <si>
    <t>R0432</t>
  </si>
  <si>
    <t>R0433</t>
  </si>
  <si>
    <t>R0434</t>
  </si>
  <si>
    <t>R0435</t>
  </si>
  <si>
    <t>on the rocks</t>
  </si>
  <si>
    <t>R0436</t>
  </si>
  <si>
    <t>sur glace</t>
  </si>
  <si>
    <t>R0437</t>
  </si>
  <si>
    <t>abadeche</t>
  </si>
  <si>
    <t>https://www.economie.gouv.fr/files/files/directions_services/dgccrf/consommation/Produits-de-la-mer/poissons-mars-2026.pdf</t>
  </si>
  <si>
    <t>mars 2026</t>
  </si>
  <si>
    <t>R0438</t>
  </si>
  <si>
    <t>abadeche barbiche</t>
  </si>
  <si>
    <t>R0439</t>
  </si>
  <si>
    <t>abadeche du cap</t>
  </si>
  <si>
    <t>R0440</t>
  </si>
  <si>
    <t>abadeche lingue</t>
  </si>
  <si>
    <t>R0441</t>
  </si>
  <si>
    <t>abadeche rose</t>
  </si>
  <si>
    <t>R0442</t>
  </si>
  <si>
    <t>abadeche royale du cap</t>
  </si>
  <si>
    <t>R0443</t>
  </si>
  <si>
    <t>able de hecket</t>
  </si>
  <si>
    <t>R0444</t>
  </si>
  <si>
    <t>ablette</t>
  </si>
  <si>
    <t>R0445</t>
  </si>
  <si>
    <t>achigan a grande bouche</t>
  </si>
  <si>
    <t>R0446</t>
  </si>
  <si>
    <t>acoupa aiguille</t>
  </si>
  <si>
    <t>R0447</t>
  </si>
  <si>
    <t>acoupa blanc</t>
  </si>
  <si>
    <t>R0448</t>
  </si>
  <si>
    <t>acoupa cambacu</t>
  </si>
  <si>
    <t>R0449</t>
  </si>
  <si>
    <t>acoupa canal</t>
  </si>
  <si>
    <t>R0450</t>
  </si>
  <si>
    <t>acoupa celeste</t>
  </si>
  <si>
    <t>R0451</t>
  </si>
  <si>
    <t>acoupa chasseur</t>
  </si>
  <si>
    <t>R0452</t>
  </si>
  <si>
    <t>acoupa dore</t>
  </si>
  <si>
    <t>R0453</t>
  </si>
  <si>
    <t>acoupa pintade</t>
  </si>
  <si>
    <t>R0454</t>
  </si>
  <si>
    <t>acoupa raye</t>
  </si>
  <si>
    <t>R0455</t>
  </si>
  <si>
    <t>acoupa riviere</t>
  </si>
  <si>
    <t>R0456</t>
  </si>
  <si>
    <t>acoupa royal</t>
  </si>
  <si>
    <t>R0457</t>
  </si>
  <si>
    <t>acoupa tident</t>
  </si>
  <si>
    <t>R0458</t>
  </si>
  <si>
    <t>acoupa toeroe</t>
  </si>
  <si>
    <t>R0459</t>
  </si>
  <si>
    <t>aigle de mer</t>
  </si>
  <si>
    <t>R0460</t>
  </si>
  <si>
    <t>aigle de mer commun</t>
  </si>
  <si>
    <t>R0461</t>
  </si>
  <si>
    <t>aiguillat commun</t>
  </si>
  <si>
    <t>R0462</t>
  </si>
  <si>
    <t>aiguillat coq</t>
  </si>
  <si>
    <t>R0463</t>
  </si>
  <si>
    <t>aiguillat galludo</t>
  </si>
  <si>
    <t>R0464</t>
  </si>
  <si>
    <t>aiguillette d amerique orphie</t>
  </si>
  <si>
    <t>R0465</t>
  </si>
  <si>
    <t>aileron argente</t>
  </si>
  <si>
    <t>R0466</t>
  </si>
  <si>
    <t>aileron chinois</t>
  </si>
  <si>
    <t>R0467</t>
  </si>
  <si>
    <t>alose</t>
  </si>
  <si>
    <t>R0468</t>
  </si>
  <si>
    <t>alose d ete</t>
  </si>
  <si>
    <t>R0469</t>
  </si>
  <si>
    <t>alose de la mer noire</t>
  </si>
  <si>
    <t>R0470</t>
  </si>
  <si>
    <t>alose du pont euxin</t>
  </si>
  <si>
    <t>R0471</t>
  </si>
  <si>
    <t>alose ecaille fluviale</t>
  </si>
  <si>
    <t>R0472</t>
  </si>
  <si>
    <t>alose feinte</t>
  </si>
  <si>
    <t>R0473</t>
  </si>
  <si>
    <t>alose gaspareau</t>
  </si>
  <si>
    <t>R0474</t>
  </si>
  <si>
    <t>alose matte</t>
  </si>
  <si>
    <t>R0475</t>
  </si>
  <si>
    <t>alose savoureuse</t>
  </si>
  <si>
    <t>R0476</t>
  </si>
  <si>
    <t>alose vraie</t>
  </si>
  <si>
    <t>R0477</t>
  </si>
  <si>
    <t>anchoïade</t>
  </si>
  <si>
    <t>anchoiade</t>
  </si>
  <si>
    <t>Poisson ou dérivé explicite.</t>
  </si>
  <si>
    <t>R0478</t>
  </si>
  <si>
    <t>anchois</t>
  </si>
  <si>
    <t>R0479</t>
  </si>
  <si>
    <t>anchois bombra</t>
  </si>
  <si>
    <t>R0480</t>
  </si>
  <si>
    <t>anchois commun</t>
  </si>
  <si>
    <t>R0481</t>
  </si>
  <si>
    <t>anchois d argentine</t>
  </si>
  <si>
    <t>R0482</t>
  </si>
  <si>
    <t>anchois du cap</t>
  </si>
  <si>
    <t>R0483</t>
  </si>
  <si>
    <t>anchois du perou</t>
  </si>
  <si>
    <t>R0484</t>
  </si>
  <si>
    <t>anchois indien</t>
  </si>
  <si>
    <t>R0485</t>
  </si>
  <si>
    <t>anchovies</t>
  </si>
  <si>
    <t>R0486</t>
  </si>
  <si>
    <t>anchovy</t>
  </si>
  <si>
    <t>R0487</t>
  </si>
  <si>
    <t>ange de mer</t>
  </si>
  <si>
    <t>R0488</t>
  </si>
  <si>
    <t>ange de mer commun</t>
  </si>
  <si>
    <t>R0489</t>
  </si>
  <si>
    <t>anguille</t>
  </si>
  <si>
    <t>R0490</t>
  </si>
  <si>
    <t>anguille d amerique</t>
  </si>
  <si>
    <t>R0491</t>
  </si>
  <si>
    <t>anguille d australie</t>
  </si>
  <si>
    <t>R0492</t>
  </si>
  <si>
    <t>anguille d europe</t>
  </si>
  <si>
    <t>R0493</t>
  </si>
  <si>
    <t>anguille de nouvelle zelande</t>
  </si>
  <si>
    <t>R0494</t>
  </si>
  <si>
    <t>anguille du japon</t>
  </si>
  <si>
    <t>R0495</t>
  </si>
  <si>
    <t>antimora bleu</t>
  </si>
  <si>
    <t>R0496</t>
  </si>
  <si>
    <t>atherine peruvienne</t>
  </si>
  <si>
    <t>R0497</t>
  </si>
  <si>
    <t>badeche rouge</t>
  </si>
  <si>
    <t>R0498</t>
  </si>
  <si>
    <t>bagre laulao</t>
  </si>
  <si>
    <t>R0499</t>
  </si>
  <si>
    <t>bagre paysan</t>
  </si>
  <si>
    <t>R0500</t>
  </si>
  <si>
    <t>bagre vaillant</t>
  </si>
  <si>
    <t>R0501</t>
  </si>
  <si>
    <t>balai de l atlantique</t>
  </si>
  <si>
    <t>R0502</t>
  </si>
  <si>
    <t>balaou de l atlantique</t>
  </si>
  <si>
    <t>R0503</t>
  </si>
  <si>
    <t>balaou du japon</t>
  </si>
  <si>
    <t>R0504</t>
  </si>
  <si>
    <t>bar</t>
  </si>
  <si>
    <t>R0505</t>
  </si>
  <si>
    <t>bar blanc d amerique</t>
  </si>
  <si>
    <t>R0506</t>
  </si>
  <si>
    <t>bar commun</t>
  </si>
  <si>
    <t>R0507</t>
  </si>
  <si>
    <t>bar d amerique</t>
  </si>
  <si>
    <t>R0508</t>
  </si>
  <si>
    <t>bar du pacifique</t>
  </si>
  <si>
    <t>R0509</t>
  </si>
  <si>
    <t>bar tachete</t>
  </si>
  <si>
    <t>R0510</t>
  </si>
  <si>
    <t>barbeau</t>
  </si>
  <si>
    <t>R0511</t>
  </si>
  <si>
    <t>barbure mamali</t>
  </si>
  <si>
    <t>R0512</t>
  </si>
  <si>
    <t>barracuda</t>
  </si>
  <si>
    <t>R0513</t>
  </si>
  <si>
    <t>barracuda a bandes dorees</t>
  </si>
  <si>
    <t>R0514</t>
  </si>
  <si>
    <t>barracuda argente</t>
  </si>
  <si>
    <t>R0515</t>
  </si>
  <si>
    <t>barracuda dents de scie</t>
  </si>
  <si>
    <t>R0516</t>
  </si>
  <si>
    <t>barracuda guachanche</t>
  </si>
  <si>
    <t>R0517</t>
  </si>
  <si>
    <t>barracuda guineen</t>
  </si>
  <si>
    <t>R0518</t>
  </si>
  <si>
    <t>barracuda jello</t>
  </si>
  <si>
    <t>R0519</t>
  </si>
  <si>
    <t>baudroie</t>
  </si>
  <si>
    <t>R0520</t>
  </si>
  <si>
    <t>baudroie africaine</t>
  </si>
  <si>
    <t>R0521</t>
  </si>
  <si>
    <t>baudroie commune</t>
  </si>
  <si>
    <t>R0522</t>
  </si>
  <si>
    <t>baudroie d amerique</t>
  </si>
  <si>
    <t>R0523</t>
  </si>
  <si>
    <t>baudroie diable</t>
  </si>
  <si>
    <t>R0524</t>
  </si>
  <si>
    <t>baudroie du japon</t>
  </si>
  <si>
    <t>R0525</t>
  </si>
  <si>
    <t>baudroie pecheuse</t>
  </si>
  <si>
    <t>R0526</t>
  </si>
  <si>
    <t>baudroie rousse</t>
  </si>
  <si>
    <t>R0527</t>
  </si>
  <si>
    <t>beauclaire miroir</t>
  </si>
  <si>
    <t>R0528</t>
  </si>
  <si>
    <t>beauclaire pintade</t>
  </si>
  <si>
    <t>R0529</t>
  </si>
  <si>
    <t>beauclaire soleil</t>
  </si>
  <si>
    <t>R0530</t>
  </si>
  <si>
    <t>becune argentee</t>
  </si>
  <si>
    <t>R0531</t>
  </si>
  <si>
    <t>becune europeenne</t>
  </si>
  <si>
    <t>R0532</t>
  </si>
  <si>
    <t>becune guachanche</t>
  </si>
  <si>
    <t>R0533</t>
  </si>
  <si>
    <t>becune guineenne</t>
  </si>
  <si>
    <t>R0534</t>
  </si>
  <si>
    <t>becune jello</t>
  </si>
  <si>
    <t>R0535</t>
  </si>
  <si>
    <t>bereche du pacifique</t>
  </si>
  <si>
    <t>R0536</t>
  </si>
  <si>
    <t>beryx australien</t>
  </si>
  <si>
    <t>R0537</t>
  </si>
  <si>
    <t>beryx commun</t>
  </si>
  <si>
    <t>R0538</t>
  </si>
  <si>
    <t>beryx long</t>
  </si>
  <si>
    <t>R0539</t>
  </si>
  <si>
    <t>bonite</t>
  </si>
  <si>
    <t>R0540</t>
  </si>
  <si>
    <t>bonite a dos raye</t>
  </si>
  <si>
    <t>R0541</t>
  </si>
  <si>
    <t>bonite a ventre raye</t>
  </si>
  <si>
    <t>R0542</t>
  </si>
  <si>
    <t>bonite de l ocean indien</t>
  </si>
  <si>
    <t>R0543</t>
  </si>
  <si>
    <t>bonite du pacifique oriental</t>
  </si>
  <si>
    <t>R0544</t>
  </si>
  <si>
    <t>bottarga</t>
  </si>
  <si>
    <t>R0545</t>
  </si>
  <si>
    <t>bouillabaisse</t>
  </si>
  <si>
    <t>R0546</t>
  </si>
  <si>
    <t>bourride</t>
  </si>
  <si>
    <t>R0547</t>
  </si>
  <si>
    <t>bourrugue de crique</t>
  </si>
  <si>
    <t>R0548</t>
  </si>
  <si>
    <t>bourrugue du golfe</t>
  </si>
  <si>
    <t>R0549</t>
  </si>
  <si>
    <t>bourrugue renard</t>
  </si>
  <si>
    <t>R0550</t>
  </si>
  <si>
    <t>bourse lisse</t>
  </si>
  <si>
    <t>R0551</t>
  </si>
  <si>
    <t>bourse loulou</t>
  </si>
  <si>
    <t>R0552</t>
  </si>
  <si>
    <t>boutargue</t>
  </si>
  <si>
    <t>R0553</t>
  </si>
  <si>
    <t>brandade</t>
  </si>
  <si>
    <t>R0554</t>
  </si>
  <si>
    <t>breme bordeliere</t>
  </si>
  <si>
    <t>R0555</t>
  </si>
  <si>
    <t>breme noire</t>
  </si>
  <si>
    <t>R0556</t>
  </si>
  <si>
    <t>brochet</t>
  </si>
  <si>
    <t>R0557</t>
  </si>
  <si>
    <t>brotule barbee</t>
  </si>
  <si>
    <t>R0558</t>
  </si>
  <si>
    <t>brotule rosee</t>
  </si>
  <si>
    <t>R0559</t>
  </si>
  <si>
    <t>cabillaud</t>
  </si>
  <si>
    <t>R0560</t>
  </si>
  <si>
    <t>cabot austral</t>
  </si>
  <si>
    <t>R0561</t>
  </si>
  <si>
    <t>caesio a croissant</t>
  </si>
  <si>
    <t>R0562</t>
  </si>
  <si>
    <t>caesio a ventre rouge</t>
  </si>
  <si>
    <t>R0563</t>
  </si>
  <si>
    <t>cagna rayee</t>
  </si>
  <si>
    <t>R0564</t>
  </si>
  <si>
    <t>capelan atlantique</t>
  </si>
  <si>
    <t>R0565</t>
  </si>
  <si>
    <t>capelan de mediterranee</t>
  </si>
  <si>
    <t>R0566</t>
  </si>
  <si>
    <t>capitaine tatoue</t>
  </si>
  <si>
    <t>R0567</t>
  </si>
  <si>
    <t>capucette de l atlantique</t>
  </si>
  <si>
    <t>R0568</t>
  </si>
  <si>
    <t>capucin jaune</t>
  </si>
  <si>
    <t>R0569</t>
  </si>
  <si>
    <t>carangue</t>
  </si>
  <si>
    <t>R0570</t>
  </si>
  <si>
    <t>carangue arc en ciel</t>
  </si>
  <si>
    <t>R0571</t>
  </si>
  <si>
    <t>carangue balo</t>
  </si>
  <si>
    <t>R0572</t>
  </si>
  <si>
    <t>carangue coubali</t>
  </si>
  <si>
    <t>R0573</t>
  </si>
  <si>
    <t>carangue crevalle</t>
  </si>
  <si>
    <t>R0574</t>
  </si>
  <si>
    <t>carangue dentee</t>
  </si>
  <si>
    <t>R0575</t>
  </si>
  <si>
    <t>carangue grosse tete</t>
  </si>
  <si>
    <t>R0576</t>
  </si>
  <si>
    <t>carangue moyole</t>
  </si>
  <si>
    <t>R0577</t>
  </si>
  <si>
    <t>carangue pailletee</t>
  </si>
  <si>
    <t>R0578</t>
  </si>
  <si>
    <t>carangue vorace</t>
  </si>
  <si>
    <t>R0579</t>
  </si>
  <si>
    <t>cardeau argentin</t>
  </si>
  <si>
    <t>R0580</t>
  </si>
  <si>
    <t>cardeau d ete</t>
  </si>
  <si>
    <t>R0581</t>
  </si>
  <si>
    <t>cardeau hirame</t>
  </si>
  <si>
    <t>R0582</t>
  </si>
  <si>
    <t>cardine</t>
  </si>
  <si>
    <t>R0583</t>
  </si>
  <si>
    <t>cardine a quatre taches</t>
  </si>
  <si>
    <t>R0584</t>
  </si>
  <si>
    <t>cardine de californie</t>
  </si>
  <si>
    <t>R0585</t>
  </si>
  <si>
    <t>cardine du canada</t>
  </si>
  <si>
    <t>R0586</t>
  </si>
  <si>
    <t>cardine du pacifique</t>
  </si>
  <si>
    <t>R0587</t>
  </si>
  <si>
    <t>cardine franche</t>
  </si>
  <si>
    <t>R0588</t>
  </si>
  <si>
    <t>cardine tropicale</t>
  </si>
  <si>
    <t>R0589</t>
  </si>
  <si>
    <t>carpe</t>
  </si>
  <si>
    <t>R0590</t>
  </si>
  <si>
    <t>carrelet</t>
  </si>
  <si>
    <t>R0591</t>
  </si>
  <si>
    <t>castagnole</t>
  </si>
  <si>
    <t>R0592</t>
  </si>
  <si>
    <t>castagnoline noire</t>
  </si>
  <si>
    <t>R0593</t>
  </si>
  <si>
    <t>castanette d argentine</t>
  </si>
  <si>
    <t>R0594</t>
  </si>
  <si>
    <t>caviar</t>
  </si>
  <si>
    <t>R0595</t>
  </si>
  <si>
    <t>cepole commune</t>
  </si>
  <si>
    <t>R0596</t>
  </si>
  <si>
    <t>cernier commun</t>
  </si>
  <si>
    <t>R0597</t>
  </si>
  <si>
    <t>cernier de nouvelle zelande</t>
  </si>
  <si>
    <t>R0598</t>
  </si>
  <si>
    <t>chabot de mer</t>
  </si>
  <si>
    <t>R0599</t>
  </si>
  <si>
    <t>charbonnier</t>
  </si>
  <si>
    <t>R0600</t>
  </si>
  <si>
    <t>chardin du pacifique</t>
  </si>
  <si>
    <t>R0601</t>
  </si>
  <si>
    <t>chardin fil</t>
  </si>
  <si>
    <t>R0602</t>
  </si>
  <si>
    <t>chimere commune</t>
  </si>
  <si>
    <t>R0603</t>
  </si>
  <si>
    <t>chinchard</t>
  </si>
  <si>
    <t>R0604</t>
  </si>
  <si>
    <t>chinchard a queue jaune</t>
  </si>
  <si>
    <t>R0605</t>
  </si>
  <si>
    <t>chinchard commun</t>
  </si>
  <si>
    <t>R0606</t>
  </si>
  <si>
    <t>chinchard cunene</t>
  </si>
  <si>
    <t>R0607</t>
  </si>
  <si>
    <t>chinchard du cap</t>
  </si>
  <si>
    <t>R0608</t>
  </si>
  <si>
    <t>chinchard du large</t>
  </si>
  <si>
    <t>R0609</t>
  </si>
  <si>
    <t>chinchard frappeur</t>
  </si>
  <si>
    <t>R0610</t>
  </si>
  <si>
    <t>clupeonelle de la mer noire et caspienne</t>
  </si>
  <si>
    <t>R0611</t>
  </si>
  <si>
    <t>cod</t>
  </si>
  <si>
    <t>R0612</t>
  </si>
  <si>
    <t>cohana doree</t>
  </si>
  <si>
    <t>R0613</t>
  </si>
  <si>
    <t>cohana tolu</t>
  </si>
  <si>
    <t>R0614</t>
  </si>
  <si>
    <t>colas a bandes dorees</t>
  </si>
  <si>
    <t>R0615</t>
  </si>
  <si>
    <t>colas bagnard</t>
  </si>
  <si>
    <t>R0616</t>
  </si>
  <si>
    <t>colas fil</t>
  </si>
  <si>
    <t>R0617</t>
  </si>
  <si>
    <t>colin austral</t>
  </si>
  <si>
    <t>R0618</t>
  </si>
  <si>
    <t>colin d alaska</t>
  </si>
  <si>
    <t>R0619</t>
  </si>
  <si>
    <t>colin des kerguelen</t>
  </si>
  <si>
    <t>R0620</t>
  </si>
  <si>
    <t>R0621</t>
  </si>
  <si>
    <t>comete de russel</t>
  </si>
  <si>
    <t>R0622</t>
  </si>
  <si>
    <t>comete ronde</t>
  </si>
  <si>
    <t>R0623</t>
  </si>
  <si>
    <t>compere tachete</t>
  </si>
  <si>
    <t>R0624</t>
  </si>
  <si>
    <t>congre</t>
  </si>
  <si>
    <t>R0625</t>
  </si>
  <si>
    <t>congre argentin</t>
  </si>
  <si>
    <t>R0626</t>
  </si>
  <si>
    <t>congre commun</t>
  </si>
  <si>
    <t>R0627</t>
  </si>
  <si>
    <t>corb commun</t>
  </si>
  <si>
    <t>R0628</t>
  </si>
  <si>
    <t>cordonnier bossu</t>
  </si>
  <si>
    <t>R0629</t>
  </si>
  <si>
    <t>coregone</t>
  </si>
  <si>
    <t>R0630</t>
  </si>
  <si>
    <t>coregone blanc</t>
  </si>
  <si>
    <t>R0631</t>
  </si>
  <si>
    <t>coregone cisco</t>
  </si>
  <si>
    <t>R0632</t>
  </si>
  <si>
    <t>coregone du lac</t>
  </si>
  <si>
    <t>R0633</t>
  </si>
  <si>
    <t>coregone lavaret</t>
  </si>
  <si>
    <t>R0634</t>
  </si>
  <si>
    <t>coregone pallae</t>
  </si>
  <si>
    <t>R0635</t>
  </si>
  <si>
    <t>coregone pollan</t>
  </si>
  <si>
    <t>R0636</t>
  </si>
  <si>
    <t>coryphene</t>
  </si>
  <si>
    <t>R0637</t>
  </si>
  <si>
    <t>courbine barbiche</t>
  </si>
  <si>
    <t>R0638</t>
  </si>
  <si>
    <t>courbine barbichette</t>
  </si>
  <si>
    <t>R0639</t>
  </si>
  <si>
    <t>courbine bobo</t>
  </si>
  <si>
    <t>R0640</t>
  </si>
  <si>
    <t>courbine chasseur</t>
  </si>
  <si>
    <t>R0641</t>
  </si>
  <si>
    <t>courbine du senegal</t>
  </si>
  <si>
    <t>R0642</t>
  </si>
  <si>
    <t>courbine gabo</t>
  </si>
  <si>
    <t>R0643</t>
  </si>
  <si>
    <t>courbine grise</t>
  </si>
  <si>
    <t>R0644</t>
  </si>
  <si>
    <t>courbine indienne</t>
  </si>
  <si>
    <t>R0645</t>
  </si>
  <si>
    <t>courbine jaune</t>
  </si>
  <si>
    <t>R0646</t>
  </si>
  <si>
    <t>courbine nanka</t>
  </si>
  <si>
    <t>R0647</t>
  </si>
  <si>
    <t>courbine pintade</t>
  </si>
  <si>
    <t>R0648</t>
  </si>
  <si>
    <t>courbine soldat</t>
  </si>
  <si>
    <t>R0649</t>
  </si>
  <si>
    <t>courbine tachetee</t>
  </si>
  <si>
    <t>R0650</t>
  </si>
  <si>
    <t>courbine ti yeux</t>
  </si>
  <si>
    <t>R0651</t>
  </si>
  <si>
    <t>crapaud goulu</t>
  </si>
  <si>
    <t>R0652</t>
  </si>
  <si>
    <t>crapaud guyanais</t>
  </si>
  <si>
    <t>R0653</t>
  </si>
  <si>
    <t>croissant queue blanche</t>
  </si>
  <si>
    <t>R0654</t>
  </si>
  <si>
    <t>croissant queue jaune</t>
  </si>
  <si>
    <t>R0655</t>
  </si>
  <si>
    <t>crossie blanc</t>
  </si>
  <si>
    <t>R0656</t>
  </si>
  <si>
    <t>crossie chucumite</t>
  </si>
  <si>
    <t>R0657</t>
  </si>
  <si>
    <t>crossie constantin</t>
  </si>
  <si>
    <t>R0658</t>
  </si>
  <si>
    <t>crossie epee</t>
  </si>
  <si>
    <t>R0659</t>
  </si>
  <si>
    <t>crossie mexicain</t>
  </si>
  <si>
    <t>R0660</t>
  </si>
  <si>
    <t>croupia grande mer</t>
  </si>
  <si>
    <t>R0661</t>
  </si>
  <si>
    <t>croupia roche</t>
  </si>
  <si>
    <t>R0662</t>
  </si>
  <si>
    <t>cyprin dore</t>
  </si>
  <si>
    <t>R0663</t>
  </si>
  <si>
    <t>daurade</t>
  </si>
  <si>
    <t>R0664</t>
  </si>
  <si>
    <t>demi bec</t>
  </si>
  <si>
    <t>R0665</t>
  </si>
  <si>
    <t>demi bec du bresil</t>
  </si>
  <si>
    <t>R0666</t>
  </si>
  <si>
    <t>demi bec du japon</t>
  </si>
  <si>
    <t>R0667</t>
  </si>
  <si>
    <t>demi bec du pacifique</t>
  </si>
  <si>
    <t>R0668</t>
  </si>
  <si>
    <t>dente a gros yeux</t>
  </si>
  <si>
    <t>R0669</t>
  </si>
  <si>
    <t>dente a points bleu</t>
  </si>
  <si>
    <t>R0670</t>
  </si>
  <si>
    <t>dente a tache rouge</t>
  </si>
  <si>
    <t>R0671</t>
  </si>
  <si>
    <t>dente angolais</t>
  </si>
  <si>
    <t>R0672</t>
  </si>
  <si>
    <t>dente commun</t>
  </si>
  <si>
    <t>R0673</t>
  </si>
  <si>
    <t>dente congolais</t>
  </si>
  <si>
    <t>R0674</t>
  </si>
  <si>
    <t>dente de l ocean indien</t>
  </si>
  <si>
    <t>R0675</t>
  </si>
  <si>
    <t>dente des canaries</t>
  </si>
  <si>
    <t>R0676</t>
  </si>
  <si>
    <t>dente du maroc</t>
  </si>
  <si>
    <t>R0677</t>
  </si>
  <si>
    <t>dente rose</t>
  </si>
  <si>
    <t>R0678</t>
  </si>
  <si>
    <t>diagramme a barres blanches</t>
  </si>
  <si>
    <t>R0679</t>
  </si>
  <si>
    <t>diagramme bagnard</t>
  </si>
  <si>
    <t>R0680</t>
  </si>
  <si>
    <t>diagramme burro</t>
  </si>
  <si>
    <t>R0681</t>
  </si>
  <si>
    <t>diagramme citron</t>
  </si>
  <si>
    <t>R0682</t>
  </si>
  <si>
    <t>diagramme voilier</t>
  </si>
  <si>
    <t>R0683</t>
  </si>
  <si>
    <t>disque portugais</t>
  </si>
  <si>
    <t>R0684</t>
  </si>
  <si>
    <t>donzelle a nageoire noire</t>
  </si>
  <si>
    <t>R0685</t>
  </si>
  <si>
    <t>dorade</t>
  </si>
  <si>
    <t>R0686</t>
  </si>
  <si>
    <t>dorade argentee</t>
  </si>
  <si>
    <t>R0687</t>
  </si>
  <si>
    <t>dorade coryphene</t>
  </si>
  <si>
    <t>R0688</t>
  </si>
  <si>
    <t>dorade du pacifique</t>
  </si>
  <si>
    <t>R0689</t>
  </si>
  <si>
    <t>dorade grise</t>
  </si>
  <si>
    <t>R0690</t>
  </si>
  <si>
    <t>dorade marbre</t>
  </si>
  <si>
    <t>R0691</t>
  </si>
  <si>
    <t>dorade rose</t>
  </si>
  <si>
    <t>R0692</t>
  </si>
  <si>
    <t>dorade rouge</t>
  </si>
  <si>
    <t>R0693</t>
  </si>
  <si>
    <t>dorade royale</t>
  </si>
  <si>
    <t>R0694</t>
  </si>
  <si>
    <t>dorade sebaste</t>
  </si>
  <si>
    <t>R0695</t>
  </si>
  <si>
    <t>dore austral</t>
  </si>
  <si>
    <t>R0696</t>
  </si>
  <si>
    <t>dore epineux</t>
  </si>
  <si>
    <t>R0697</t>
  </si>
  <si>
    <t>dore jaune</t>
  </si>
  <si>
    <t>R0698</t>
  </si>
  <si>
    <t>dore noir</t>
  </si>
  <si>
    <t>R0699</t>
  </si>
  <si>
    <t>dore tachete</t>
  </si>
  <si>
    <t>R0700</t>
  </si>
  <si>
    <t>dore verruqueux</t>
  </si>
  <si>
    <t>R0701</t>
  </si>
  <si>
    <t>dragonnet lyre</t>
  </si>
  <si>
    <t>R0702</t>
  </si>
  <si>
    <t>eglefin</t>
  </si>
  <si>
    <t>R0703</t>
  </si>
  <si>
    <t>emissole blanche</t>
  </si>
  <si>
    <t>R0704</t>
  </si>
  <si>
    <t>emissole douce</t>
  </si>
  <si>
    <t>R0705</t>
  </si>
  <si>
    <t>emissole gatuso</t>
  </si>
  <si>
    <t>R0706</t>
  </si>
  <si>
    <t>emissole lisse</t>
  </si>
  <si>
    <t>R0707</t>
  </si>
  <si>
    <t>emissole tachetee</t>
  </si>
  <si>
    <t>R0708</t>
  </si>
  <si>
    <t>emissole ti yeux</t>
  </si>
  <si>
    <t>R0709</t>
  </si>
  <si>
    <t>empereur</t>
  </si>
  <si>
    <t>R0710</t>
  </si>
  <si>
    <t>empereur de mediterranee</t>
  </si>
  <si>
    <t>R0711</t>
  </si>
  <si>
    <t>en eau de mer</t>
  </si>
  <si>
    <t>R0712</t>
  </si>
  <si>
    <t>eperlan d amerique</t>
  </si>
  <si>
    <t>R0713</t>
  </si>
  <si>
    <t>eperlan d europe</t>
  </si>
  <si>
    <t>R0714</t>
  </si>
  <si>
    <t>escolier blanc</t>
  </si>
  <si>
    <t>R0715</t>
  </si>
  <si>
    <t>escolier noir</t>
  </si>
  <si>
    <t>R0716</t>
  </si>
  <si>
    <t>espadon</t>
  </si>
  <si>
    <t>R0717</t>
  </si>
  <si>
    <t>esturgeon a museau court</t>
  </si>
  <si>
    <t>R0718</t>
  </si>
  <si>
    <t>esturgeon beluga</t>
  </si>
  <si>
    <t>R0719</t>
  </si>
  <si>
    <t>esturgeon blanc</t>
  </si>
  <si>
    <t>R0720</t>
  </si>
  <si>
    <t>esturgeon d europe occidentale</t>
  </si>
  <si>
    <t>R0721</t>
  </si>
  <si>
    <t>esturgeon du danube</t>
  </si>
  <si>
    <t>R0722</t>
  </si>
  <si>
    <t>esturgeon etoile</t>
  </si>
  <si>
    <t>R0723</t>
  </si>
  <si>
    <t>esturgeon jaune d amerique</t>
  </si>
  <si>
    <t>R0724</t>
  </si>
  <si>
    <t>esturgeon noir d amerique</t>
  </si>
  <si>
    <t>R0725</t>
  </si>
  <si>
    <t>esturgeon perse</t>
  </si>
  <si>
    <t>R0726</t>
  </si>
  <si>
    <t>esturgeon siberien</t>
  </si>
  <si>
    <t>R0727</t>
  </si>
  <si>
    <t>esturgeon sterlet</t>
  </si>
  <si>
    <t>R0728</t>
  </si>
  <si>
    <t>ethmalose d afrique</t>
  </si>
  <si>
    <t>R0729</t>
  </si>
  <si>
    <t>fanfre noir d amerique</t>
  </si>
  <si>
    <t>R0730</t>
  </si>
  <si>
    <t>farine de poisson</t>
  </si>
  <si>
    <t>R0731</t>
  </si>
  <si>
    <t>fausse limande</t>
  </si>
  <si>
    <t>R0732</t>
  </si>
  <si>
    <t>fausse limande du pacifique</t>
  </si>
  <si>
    <t>R0733</t>
  </si>
  <si>
    <t>fausse limande sombre</t>
  </si>
  <si>
    <t>R0734</t>
  </si>
  <si>
    <t>faux saint pierre</t>
  </si>
  <si>
    <t>R0735</t>
  </si>
  <si>
    <t>fera du canada</t>
  </si>
  <si>
    <t>R0736</t>
  </si>
  <si>
    <t>filet de poisson</t>
  </si>
  <si>
    <t>R0737</t>
  </si>
  <si>
    <t>fish</t>
  </si>
  <si>
    <t>R0738</t>
  </si>
  <si>
    <t>fish sauce</t>
  </si>
  <si>
    <t>R0739</t>
  </si>
  <si>
    <t>flet commun</t>
  </si>
  <si>
    <t>R0740</t>
  </si>
  <si>
    <t>fletan</t>
  </si>
  <si>
    <t>R0741</t>
  </si>
  <si>
    <t>fletan de l atlantique</t>
  </si>
  <si>
    <t>R0742</t>
  </si>
  <si>
    <t>fletan du groenland</t>
  </si>
  <si>
    <t>R0743</t>
  </si>
  <si>
    <t>fletan du pacifique</t>
  </si>
  <si>
    <t>R0744</t>
  </si>
  <si>
    <t>fletan noir</t>
  </si>
  <si>
    <t>R0745</t>
  </si>
  <si>
    <t>fletan noir commun</t>
  </si>
  <si>
    <t>R0746</t>
  </si>
  <si>
    <t>fond de poisson</t>
  </si>
  <si>
    <t>R0747</t>
  </si>
  <si>
    <t>forgeron aile</t>
  </si>
  <si>
    <t>R0748</t>
  </si>
  <si>
    <t>forgeron ponctue</t>
  </si>
  <si>
    <t>R0749</t>
  </si>
  <si>
    <t>fouget barbet barberin</t>
  </si>
  <si>
    <t>R0750</t>
  </si>
  <si>
    <t>fumet de poisson</t>
  </si>
  <si>
    <t>R0751</t>
  </si>
  <si>
    <t>fusilier a bande large</t>
  </si>
  <si>
    <t>R0752</t>
  </si>
  <si>
    <t>fusilier a bandes variees</t>
  </si>
  <si>
    <t>R0753</t>
  </si>
  <si>
    <t>fusilier a deux bandes</t>
  </si>
  <si>
    <t>R0754</t>
  </si>
  <si>
    <t>fusilier a dos jaune</t>
  </si>
  <si>
    <t>R0755</t>
  </si>
  <si>
    <t>fusilier a dos jaune et bleu</t>
  </si>
  <si>
    <t>R0756</t>
  </si>
  <si>
    <t>fusilier a trois bandes</t>
  </si>
  <si>
    <t>R0757</t>
  </si>
  <si>
    <t>fusilier a une bande</t>
  </si>
  <si>
    <t>R0758</t>
  </si>
  <si>
    <t>fusilier banane</t>
  </si>
  <si>
    <t>R0759</t>
  </si>
  <si>
    <t>fusilier capricorne</t>
  </si>
  <si>
    <t>R0760</t>
  </si>
  <si>
    <t>fusilier de randall</t>
  </si>
  <si>
    <t>R0761</t>
  </si>
  <si>
    <t>fusilier de suez</t>
  </si>
  <si>
    <t>R0762</t>
  </si>
  <si>
    <t>fusilier strie</t>
  </si>
  <si>
    <t>R0763</t>
  </si>
  <si>
    <t>gardon</t>
  </si>
  <si>
    <t>R0764</t>
  </si>
  <si>
    <t>garum</t>
  </si>
  <si>
    <t>R0765</t>
  </si>
  <si>
    <t>gélatine de poisson</t>
  </si>
  <si>
    <t>gelatine de poisson</t>
  </si>
  <si>
    <t>R0766</t>
  </si>
  <si>
    <t>gelée de poisson</t>
  </si>
  <si>
    <t>gelee de poisson</t>
  </si>
  <si>
    <t>R0767</t>
  </si>
  <si>
    <t>goret mule</t>
  </si>
  <si>
    <t>R0768</t>
  </si>
  <si>
    <t>gorette catire</t>
  </si>
  <si>
    <t>R0769</t>
  </si>
  <si>
    <t>gorette jaune</t>
  </si>
  <si>
    <t>R0770</t>
  </si>
  <si>
    <t>goujon</t>
  </si>
  <si>
    <t>R0771</t>
  </si>
  <si>
    <t>grand requin marteau</t>
  </si>
  <si>
    <t>R0772</t>
  </si>
  <si>
    <t>grand tambour</t>
  </si>
  <si>
    <t>R0773</t>
  </si>
  <si>
    <t>grande allache</t>
  </si>
  <si>
    <t>R0774</t>
  </si>
  <si>
    <t>grande argentine</t>
  </si>
  <si>
    <t>R0775</t>
  </si>
  <si>
    <t>grande catagnole</t>
  </si>
  <si>
    <t>R0776</t>
  </si>
  <si>
    <t>grande gueule</t>
  </si>
  <si>
    <t>R0777</t>
  </si>
  <si>
    <t>grande moride</t>
  </si>
  <si>
    <t>R0778</t>
  </si>
  <si>
    <t>grande raie</t>
  </si>
  <si>
    <t>R0779</t>
  </si>
  <si>
    <t>grande roussette</t>
  </si>
  <si>
    <t>R0780</t>
  </si>
  <si>
    <t>grande verrue tigre</t>
  </si>
  <si>
    <t>R0781</t>
  </si>
  <si>
    <t>grande vive</t>
  </si>
  <si>
    <t>R0782</t>
  </si>
  <si>
    <t>grenadier</t>
  </si>
  <si>
    <t>R0783</t>
  </si>
  <si>
    <t>grenadier antarctique</t>
  </si>
  <si>
    <t>R0784</t>
  </si>
  <si>
    <t>grenadier bleu</t>
  </si>
  <si>
    <t>R0785</t>
  </si>
  <si>
    <t>grenadier de roche</t>
  </si>
  <si>
    <t>R0786</t>
  </si>
  <si>
    <t>grenadier fouet</t>
  </si>
  <si>
    <t>R0787</t>
  </si>
  <si>
    <t>grenadier geant</t>
  </si>
  <si>
    <t>R0788</t>
  </si>
  <si>
    <t>grenadier gros yeux des kerguelen</t>
  </si>
  <si>
    <t>R0789</t>
  </si>
  <si>
    <t>grondeur coq</t>
  </si>
  <si>
    <t>R0790</t>
  </si>
  <si>
    <t>grondeur nez de cochon</t>
  </si>
  <si>
    <t>R0791</t>
  </si>
  <si>
    <t>grondeur perroquet</t>
  </si>
  <si>
    <t>R0792</t>
  </si>
  <si>
    <t>grondeur sompat</t>
  </si>
  <si>
    <t>R0793</t>
  </si>
  <si>
    <t>grondin</t>
  </si>
  <si>
    <t>R0794</t>
  </si>
  <si>
    <t>grondin a aile bleue</t>
  </si>
  <si>
    <t>R0795</t>
  </si>
  <si>
    <t>grondin camard</t>
  </si>
  <si>
    <t>R0796</t>
  </si>
  <si>
    <t>grondin d amerique</t>
  </si>
  <si>
    <t>R0797</t>
  </si>
  <si>
    <t>grondin du cap</t>
  </si>
  <si>
    <t>R0798</t>
  </si>
  <si>
    <t>grondin gris</t>
  </si>
  <si>
    <t>R0799</t>
  </si>
  <si>
    <t>grondin lyre</t>
  </si>
  <si>
    <t>R0800</t>
  </si>
  <si>
    <t>grondin morrude</t>
  </si>
  <si>
    <t>R0801</t>
  </si>
  <si>
    <t>grondin perlon</t>
  </si>
  <si>
    <t>R0802</t>
  </si>
  <si>
    <t>grondin rouge</t>
  </si>
  <si>
    <t>R0803</t>
  </si>
  <si>
    <t>gros yeux</t>
  </si>
  <si>
    <t>R0804</t>
  </si>
  <si>
    <t>guinee machete</t>
  </si>
  <si>
    <t>R0805</t>
  </si>
  <si>
    <t>guite de patagonie</t>
  </si>
  <si>
    <t>R0806</t>
  </si>
  <si>
    <t>haddock</t>
  </si>
  <si>
    <t>R0807</t>
  </si>
  <si>
    <t>hake</t>
  </si>
  <si>
    <t>R0808</t>
  </si>
  <si>
    <t>halibut</t>
  </si>
  <si>
    <t>R0809</t>
  </si>
  <si>
    <t>hareng</t>
  </si>
  <si>
    <t>R0810</t>
  </si>
  <si>
    <t>hareng commun</t>
  </si>
  <si>
    <t>R0811</t>
  </si>
  <si>
    <t>hareng du pacifique</t>
  </si>
  <si>
    <t>R0812</t>
  </si>
  <si>
    <t>hemirhombe du senegal</t>
  </si>
  <si>
    <t>R0813</t>
  </si>
  <si>
    <t>hoki d argentine</t>
  </si>
  <si>
    <t>R0814</t>
  </si>
  <si>
    <t>hoki de nouvelle zelande</t>
  </si>
  <si>
    <t>R0815</t>
  </si>
  <si>
    <t>hoki de patagonie</t>
  </si>
  <si>
    <t>R0816</t>
  </si>
  <si>
    <t>hoplostete rouge</t>
  </si>
  <si>
    <t>R0817</t>
  </si>
  <si>
    <t>huile de poisson</t>
  </si>
  <si>
    <t>R0818</t>
  </si>
  <si>
    <t>julienne</t>
  </si>
  <si>
    <t>R0819</t>
  </si>
  <si>
    <t>julienne espagnole</t>
  </si>
  <si>
    <t>R0820</t>
  </si>
  <si>
    <t>juliennette de patagonie</t>
  </si>
  <si>
    <t>R0821</t>
  </si>
  <si>
    <t>labre capitaine</t>
  </si>
  <si>
    <t>R0822</t>
  </si>
  <si>
    <t>labre coquette</t>
  </si>
  <si>
    <t>R0823</t>
  </si>
  <si>
    <t>lamproie arctique</t>
  </si>
  <si>
    <t>R0824</t>
  </si>
  <si>
    <t>lamproie de riviere</t>
  </si>
  <si>
    <t>R0825</t>
  </si>
  <si>
    <t>lamproie marine</t>
  </si>
  <si>
    <t>R0826</t>
  </si>
  <si>
    <t>lancon cicerele</t>
  </si>
  <si>
    <t>R0827</t>
  </si>
  <si>
    <t>lancon commun</t>
  </si>
  <si>
    <t>R0828</t>
  </si>
  <si>
    <t>lancon d amerique</t>
  </si>
  <si>
    <t>R0829</t>
  </si>
  <si>
    <t>lancon du pacifique</t>
  </si>
  <si>
    <t>R0830</t>
  </si>
  <si>
    <t>lancon equille</t>
  </si>
  <si>
    <t>R0831</t>
  </si>
  <si>
    <t>legine antarctique</t>
  </si>
  <si>
    <t>R0832</t>
  </si>
  <si>
    <t>legine australe</t>
  </si>
  <si>
    <t>R0833</t>
  </si>
  <si>
    <t>liche de l atlantique</t>
  </si>
  <si>
    <t>R0834</t>
  </si>
  <si>
    <t>liche lirio</t>
  </si>
  <si>
    <t>R0835</t>
  </si>
  <si>
    <t>lieu</t>
  </si>
  <si>
    <t>R0836</t>
  </si>
  <si>
    <t>lieu de l alaska</t>
  </si>
  <si>
    <t>R0837</t>
  </si>
  <si>
    <t>lieu jaune</t>
  </si>
  <si>
    <t>R0838</t>
  </si>
  <si>
    <t>lieu noir</t>
  </si>
  <si>
    <t>R0839</t>
  </si>
  <si>
    <t>limande a queue jaune</t>
  </si>
  <si>
    <t>R0840</t>
  </si>
  <si>
    <t>limande commune</t>
  </si>
  <si>
    <t>R0841</t>
  </si>
  <si>
    <t>limande du japon</t>
  </si>
  <si>
    <t>R0842</t>
  </si>
  <si>
    <t>limande du nord</t>
  </si>
  <si>
    <t>R0843</t>
  </si>
  <si>
    <t>limande jaune</t>
  </si>
  <si>
    <t>R0844</t>
  </si>
  <si>
    <t>limande plie rouge</t>
  </si>
  <si>
    <t>R0845</t>
  </si>
  <si>
    <t>limande sole</t>
  </si>
  <si>
    <t>R0846</t>
  </si>
  <si>
    <t>limande sole commune</t>
  </si>
  <si>
    <t>R0847</t>
  </si>
  <si>
    <t>limande sole de nouvelle zelande</t>
  </si>
  <si>
    <t>R0848</t>
  </si>
  <si>
    <t>limande sole du pacifique</t>
  </si>
  <si>
    <t>R0849</t>
  </si>
  <si>
    <t>lingue</t>
  </si>
  <si>
    <t>R0850</t>
  </si>
  <si>
    <t>lingue bleue</t>
  </si>
  <si>
    <t>R0851</t>
  </si>
  <si>
    <t>lingue espagnole</t>
  </si>
  <si>
    <t>R0852</t>
  </si>
  <si>
    <t>lingue franche</t>
  </si>
  <si>
    <t>R0853</t>
  </si>
  <si>
    <t>lippu tricroupia</t>
  </si>
  <si>
    <t>R0854</t>
  </si>
  <si>
    <t>loche de riviere</t>
  </si>
  <si>
    <t>R0855</t>
  </si>
  <si>
    <t>loche franche</t>
  </si>
  <si>
    <t>R0856</t>
  </si>
  <si>
    <t>lompe</t>
  </si>
  <si>
    <t>R0857</t>
  </si>
  <si>
    <t>loquette d amerique</t>
  </si>
  <si>
    <t>R0858</t>
  </si>
  <si>
    <t>loquette d europe</t>
  </si>
  <si>
    <t>R0859</t>
  </si>
  <si>
    <t>lote de riviere</t>
  </si>
  <si>
    <t>R0860</t>
  </si>
  <si>
    <t>lotte</t>
  </si>
  <si>
    <t>R0861</t>
  </si>
  <si>
    <t>lotte africaine</t>
  </si>
  <si>
    <t>R0862</t>
  </si>
  <si>
    <t>lotte de chine</t>
  </si>
  <si>
    <t>R0863</t>
  </si>
  <si>
    <t>lotte du cap</t>
  </si>
  <si>
    <t>R0864</t>
  </si>
  <si>
    <t>lotte pecheuse</t>
  </si>
  <si>
    <t>R0865</t>
  </si>
  <si>
    <t>loup</t>
  </si>
  <si>
    <t>R0866</t>
  </si>
  <si>
    <t>loup de l atlantique</t>
  </si>
  <si>
    <t>R0867</t>
  </si>
  <si>
    <t>loup de mer</t>
  </si>
  <si>
    <t>R0868</t>
  </si>
  <si>
    <t>loup denticule</t>
  </si>
  <si>
    <t>R0869</t>
  </si>
  <si>
    <t>loup tachete</t>
  </si>
  <si>
    <t>R0870</t>
  </si>
  <si>
    <t>machoiran blanc</t>
  </si>
  <si>
    <t>R0871</t>
  </si>
  <si>
    <t>machoiran jaune</t>
  </si>
  <si>
    <t>R0872</t>
  </si>
  <si>
    <t>machoiron banderille</t>
  </si>
  <si>
    <t>R0873</t>
  </si>
  <si>
    <t>machoiron bressou</t>
  </si>
  <si>
    <t>R0874</t>
  </si>
  <si>
    <t>machoiron coco</t>
  </si>
  <si>
    <t>R0875</t>
  </si>
  <si>
    <t>machoiron couma</t>
  </si>
  <si>
    <t>R0876</t>
  </si>
  <si>
    <t>machoiron crucifix</t>
  </si>
  <si>
    <t>R0877</t>
  </si>
  <si>
    <t>machoiron d amerique</t>
  </si>
  <si>
    <t>R0878</t>
  </si>
  <si>
    <t>machoiron de gambie</t>
  </si>
  <si>
    <t>R0879</t>
  </si>
  <si>
    <t>machoiron grave de l ocean indien</t>
  </si>
  <si>
    <t>R0880</t>
  </si>
  <si>
    <t>machoiron gronde</t>
  </si>
  <si>
    <t>R0881</t>
  </si>
  <si>
    <t>machoiron indien</t>
  </si>
  <si>
    <t>R0882</t>
  </si>
  <si>
    <t>machoiron jaune</t>
  </si>
  <si>
    <t>R0883</t>
  </si>
  <si>
    <t>machoiron mamango</t>
  </si>
  <si>
    <t>R0884</t>
  </si>
  <si>
    <t>machoiron passany</t>
  </si>
  <si>
    <t>R0885</t>
  </si>
  <si>
    <t>machoiron pemecou</t>
  </si>
  <si>
    <t>R0886</t>
  </si>
  <si>
    <t>machoiron petite gueule</t>
  </si>
  <si>
    <t>R0887</t>
  </si>
  <si>
    <t>machoiron tachete du pacifique n o</t>
  </si>
  <si>
    <t>R0888</t>
  </si>
  <si>
    <t>mackerel</t>
  </si>
  <si>
    <t>R0889</t>
  </si>
  <si>
    <t>mahi mahi</t>
  </si>
  <si>
    <t>R0890</t>
  </si>
  <si>
    <t>maigre</t>
  </si>
  <si>
    <t>R0891</t>
  </si>
  <si>
    <t>maigre argente</t>
  </si>
  <si>
    <t>R0892</t>
  </si>
  <si>
    <t>maigre commun</t>
  </si>
  <si>
    <t>R0893</t>
  </si>
  <si>
    <t>maigre du sud</t>
  </si>
  <si>
    <t>R0894</t>
  </si>
  <si>
    <t>makaire a longue pectorale</t>
  </si>
  <si>
    <t>R0895</t>
  </si>
  <si>
    <t>makaire blanc</t>
  </si>
  <si>
    <t>R0896</t>
  </si>
  <si>
    <t>makaire bleu</t>
  </si>
  <si>
    <t>R0897</t>
  </si>
  <si>
    <t>makaire de la mediterranee</t>
  </si>
  <si>
    <t>R0898</t>
  </si>
  <si>
    <t>makaire du japon</t>
  </si>
  <si>
    <t>R0899</t>
  </si>
  <si>
    <t>makaire noir</t>
  </si>
  <si>
    <t>R0900</t>
  </si>
  <si>
    <t>maquereau</t>
  </si>
  <si>
    <t>R0901</t>
  </si>
  <si>
    <t>maquereau blanc</t>
  </si>
  <si>
    <t>R0902</t>
  </si>
  <si>
    <t>maquereau commun</t>
  </si>
  <si>
    <t>R0903</t>
  </si>
  <si>
    <t>maquereau espagnol</t>
  </si>
  <si>
    <t>R0904</t>
  </si>
  <si>
    <t>maquereau indo pacifique</t>
  </si>
  <si>
    <t>R0905</t>
  </si>
  <si>
    <t>marbre commun</t>
  </si>
  <si>
    <t>R0906</t>
  </si>
  <si>
    <t>marbre d afrique</t>
  </si>
  <si>
    <t>R0907</t>
  </si>
  <si>
    <t>marignan coq</t>
  </si>
  <si>
    <t>R0908</t>
  </si>
  <si>
    <t>marignan mombin</t>
  </si>
  <si>
    <t>R0909</t>
  </si>
  <si>
    <t>marlin</t>
  </si>
  <si>
    <t>R0910</t>
  </si>
  <si>
    <t>marlin a rostre court</t>
  </si>
  <si>
    <t>R0911</t>
  </si>
  <si>
    <t>marlin epee</t>
  </si>
  <si>
    <t>R0912</t>
  </si>
  <si>
    <t>marlin raye</t>
  </si>
  <si>
    <t>R0913</t>
  </si>
  <si>
    <t>masca laboureur</t>
  </si>
  <si>
    <t>R0914</t>
  </si>
  <si>
    <t>matelote</t>
  </si>
  <si>
    <t>R0915</t>
  </si>
  <si>
    <t>matiote noir</t>
  </si>
  <si>
    <t>R0916</t>
  </si>
  <si>
    <t>menhaden d argentine</t>
  </si>
  <si>
    <t>R0917</t>
  </si>
  <si>
    <t>menhaden du bresil</t>
  </si>
  <si>
    <t>R0918</t>
  </si>
  <si>
    <t>menhaden du pacifique</t>
  </si>
  <si>
    <t>R0919</t>
  </si>
  <si>
    <t>menhaden ecailleux</t>
  </si>
  <si>
    <t>R0920</t>
  </si>
  <si>
    <t>menhaden tyran</t>
  </si>
  <si>
    <t>R0921</t>
  </si>
  <si>
    <t>merlan</t>
  </si>
  <si>
    <t>R0922</t>
  </si>
  <si>
    <t>merlan austral</t>
  </si>
  <si>
    <t>R0923</t>
  </si>
  <si>
    <t>merlan bleu</t>
  </si>
  <si>
    <t>R0924</t>
  </si>
  <si>
    <t>merlan bleu austral</t>
  </si>
  <si>
    <t>R0925</t>
  </si>
  <si>
    <t>merlan bleu du nord</t>
  </si>
  <si>
    <t>R0926</t>
  </si>
  <si>
    <t>merlu</t>
  </si>
  <si>
    <t>R0927</t>
  </si>
  <si>
    <t>merlu argente</t>
  </si>
  <si>
    <t>R0928</t>
  </si>
  <si>
    <t>merlu argentin</t>
  </si>
  <si>
    <t>R0929</t>
  </si>
  <si>
    <t>merlu austral</t>
  </si>
  <si>
    <t>R0930</t>
  </si>
  <si>
    <t>merlu blanc</t>
  </si>
  <si>
    <t>R0931</t>
  </si>
  <si>
    <t>merlu blanc du cap</t>
  </si>
  <si>
    <t>R0932</t>
  </si>
  <si>
    <t>merlu d afrique tropicale</t>
  </si>
  <si>
    <t>R0933</t>
  </si>
  <si>
    <t>merlu du chili</t>
  </si>
  <si>
    <t>R0934</t>
  </si>
  <si>
    <t>merlu du large</t>
  </si>
  <si>
    <t>R0935</t>
  </si>
  <si>
    <t>merlu du pacifique</t>
  </si>
  <si>
    <t>R0936</t>
  </si>
  <si>
    <t>merlu du perou</t>
  </si>
  <si>
    <t>R0937</t>
  </si>
  <si>
    <t>merlu du senegal</t>
  </si>
  <si>
    <t>R0938</t>
  </si>
  <si>
    <t>merluche bresilien</t>
  </si>
  <si>
    <t>R0939</t>
  </si>
  <si>
    <t>merou</t>
  </si>
  <si>
    <t>R0940</t>
  </si>
  <si>
    <t>merou a points bleus</t>
  </si>
  <si>
    <t>R0941</t>
  </si>
  <si>
    <t>merou a taches orange</t>
  </si>
  <si>
    <t>R0942</t>
  </si>
  <si>
    <t>merou aile zebree</t>
  </si>
  <si>
    <t>R0943</t>
  </si>
  <si>
    <t>merou badeche</t>
  </si>
  <si>
    <t>R0944</t>
  </si>
  <si>
    <t>merou blanc</t>
  </si>
  <si>
    <t>R0945</t>
  </si>
  <si>
    <t>merou comete</t>
  </si>
  <si>
    <t>R0946</t>
  </si>
  <si>
    <t>merou couronne</t>
  </si>
  <si>
    <t>R0947</t>
  </si>
  <si>
    <t>merou de goree</t>
  </si>
  <si>
    <t>R0948</t>
  </si>
  <si>
    <t>merou echarpe</t>
  </si>
  <si>
    <t>R0949</t>
  </si>
  <si>
    <t>merou epineux</t>
  </si>
  <si>
    <t>R0950</t>
  </si>
  <si>
    <t>merou faraud</t>
  </si>
  <si>
    <t>R0951</t>
  </si>
  <si>
    <t>merou geant</t>
  </si>
  <si>
    <t>R0952</t>
  </si>
  <si>
    <t>merou grandes ecailles</t>
  </si>
  <si>
    <t>R0953</t>
  </si>
  <si>
    <t>merou gris</t>
  </si>
  <si>
    <t>R0954</t>
  </si>
  <si>
    <t>merou hamour</t>
  </si>
  <si>
    <t>R0955</t>
  </si>
  <si>
    <t>merou lanceole</t>
  </si>
  <si>
    <t>R0956</t>
  </si>
  <si>
    <t>merou longues dents</t>
  </si>
  <si>
    <t>R0957</t>
  </si>
  <si>
    <t>merou longues epines</t>
  </si>
  <si>
    <t>R0958</t>
  </si>
  <si>
    <t>merou loutre</t>
  </si>
  <si>
    <t>R0959</t>
  </si>
  <si>
    <t>merou malabar</t>
  </si>
  <si>
    <t>R0960</t>
  </si>
  <si>
    <t>merou mouchete</t>
  </si>
  <si>
    <t>R0961</t>
  </si>
  <si>
    <t>merou noir</t>
  </si>
  <si>
    <t>R0962</t>
  </si>
  <si>
    <t>merou ondule</t>
  </si>
  <si>
    <t>R0963</t>
  </si>
  <si>
    <t>merou oriflamme</t>
  </si>
  <si>
    <t>R0964</t>
  </si>
  <si>
    <t>merou oualioula</t>
  </si>
  <si>
    <t>R0965</t>
  </si>
  <si>
    <t>merou pintade</t>
  </si>
  <si>
    <t>R0966</t>
  </si>
  <si>
    <t>merou pointille</t>
  </si>
  <si>
    <t>R0967</t>
  </si>
  <si>
    <t>merou polonais</t>
  </si>
  <si>
    <t>R0968</t>
  </si>
  <si>
    <t>merou raye</t>
  </si>
  <si>
    <t>R0969</t>
  </si>
  <si>
    <t>merou rouge</t>
  </si>
  <si>
    <t>R0970</t>
  </si>
  <si>
    <t>merou selle</t>
  </si>
  <si>
    <t>R0971</t>
  </si>
  <si>
    <t>merou tachete</t>
  </si>
  <si>
    <t>R0972</t>
  </si>
  <si>
    <t>merou varsovie</t>
  </si>
  <si>
    <t>R0973</t>
  </si>
  <si>
    <t>monkfish</t>
  </si>
  <si>
    <t>R0974</t>
  </si>
  <si>
    <t>moride rouge</t>
  </si>
  <si>
    <t>R0975</t>
  </si>
  <si>
    <t>moride tetard</t>
  </si>
  <si>
    <t>R0976</t>
  </si>
  <si>
    <t>morue</t>
  </si>
  <si>
    <t>R0977</t>
  </si>
  <si>
    <t>morue boreale</t>
  </si>
  <si>
    <t>R0978</t>
  </si>
  <si>
    <t>morue du groenland</t>
  </si>
  <si>
    <t>R0979</t>
  </si>
  <si>
    <t>mostelle de fond</t>
  </si>
  <si>
    <t>R0980</t>
  </si>
  <si>
    <t>mostelle de roche</t>
  </si>
  <si>
    <t>R0981</t>
  </si>
  <si>
    <t>mourine javanaise</t>
  </si>
  <si>
    <t>R0982</t>
  </si>
  <si>
    <t>mulet</t>
  </si>
  <si>
    <t>R0983</t>
  </si>
  <si>
    <t>mulet blanc</t>
  </si>
  <si>
    <t>R0984</t>
  </si>
  <si>
    <t>mulet cabot</t>
  </si>
  <si>
    <t>R0985</t>
  </si>
  <si>
    <t>mulet d afrique</t>
  </si>
  <si>
    <t>R0986</t>
  </si>
  <si>
    <t>mulet dore</t>
  </si>
  <si>
    <t>R0987</t>
  </si>
  <si>
    <t>mulet gris</t>
  </si>
  <si>
    <t>R0988</t>
  </si>
  <si>
    <t>mulet labeon</t>
  </si>
  <si>
    <t>R0989</t>
  </si>
  <si>
    <t>mulet lebranche</t>
  </si>
  <si>
    <t>R0990</t>
  </si>
  <si>
    <t>mulet lippu</t>
  </si>
  <si>
    <t>R0991</t>
  </si>
  <si>
    <t>mulet lobo</t>
  </si>
  <si>
    <t>R0992</t>
  </si>
  <si>
    <t>mulet parassi</t>
  </si>
  <si>
    <t>R0993</t>
  </si>
  <si>
    <t>mulet porc</t>
  </si>
  <si>
    <t>R0994</t>
  </si>
  <si>
    <t>mulet sauteur</t>
  </si>
  <si>
    <t>R0995</t>
  </si>
  <si>
    <t>musso pacifique</t>
  </si>
  <si>
    <t>R0996</t>
  </si>
  <si>
    <t>nam pla</t>
  </si>
  <si>
    <t>R0997</t>
  </si>
  <si>
    <t>notothenia gris</t>
  </si>
  <si>
    <t>R0998</t>
  </si>
  <si>
    <t>notothenia magellanique</t>
  </si>
  <si>
    <t>R0999</t>
  </si>
  <si>
    <t>notothenia marbre</t>
  </si>
  <si>
    <t>R1000</t>
  </si>
  <si>
    <t>notothenia noir</t>
  </si>
  <si>
    <t>R1001</t>
  </si>
  <si>
    <t>notothenia queue longue</t>
  </si>
  <si>
    <t>R1002</t>
  </si>
  <si>
    <t>nuoc mam</t>
  </si>
  <si>
    <t>R1003</t>
  </si>
  <si>
    <t>œufs de lump</t>
  </si>
  <si>
    <t>oeufs de lump</t>
  </si>
  <si>
    <t>R1004</t>
  </si>
  <si>
    <t>œufs de poisson</t>
  </si>
  <si>
    <t>oeufs de poisson</t>
  </si>
  <si>
    <t>R1005</t>
  </si>
  <si>
    <t>œufs de saumon</t>
  </si>
  <si>
    <t>oeufs de saumon</t>
  </si>
  <si>
    <t>R1006</t>
  </si>
  <si>
    <t>œufs de truite</t>
  </si>
  <si>
    <t>oeufs de truite</t>
  </si>
  <si>
    <t>R1007</t>
  </si>
  <si>
    <t>omble chevalier</t>
  </si>
  <si>
    <t>R1008</t>
  </si>
  <si>
    <t>omble d amerique</t>
  </si>
  <si>
    <t>R1009</t>
  </si>
  <si>
    <t>ombrine</t>
  </si>
  <si>
    <t>R1010</t>
  </si>
  <si>
    <t>ombrine a nageoire jaune</t>
  </si>
  <si>
    <t>R1011</t>
  </si>
  <si>
    <t>ombrine argentine</t>
  </si>
  <si>
    <t>R1012</t>
  </si>
  <si>
    <t>ombrine bronze</t>
  </si>
  <si>
    <t>R1013</t>
  </si>
  <si>
    <t>ombrine cotiere</t>
  </si>
  <si>
    <t>R1014</t>
  </si>
  <si>
    <t>ombrine fusca</t>
  </si>
  <si>
    <t>R1015</t>
  </si>
  <si>
    <t>ombrine ocellee</t>
  </si>
  <si>
    <t>R1016</t>
  </si>
  <si>
    <t>orphie commune</t>
  </si>
  <si>
    <t>R1017</t>
  </si>
  <si>
    <t>otolithe du senegal</t>
  </si>
  <si>
    <t>R1018</t>
  </si>
  <si>
    <t>pageot a tache rouge</t>
  </si>
  <si>
    <t>R1019</t>
  </si>
  <si>
    <t>pageot acarne</t>
  </si>
  <si>
    <t>R1020</t>
  </si>
  <si>
    <t>pageot d arabie</t>
  </si>
  <si>
    <t>R1021</t>
  </si>
  <si>
    <t>pageot de la mer d oman</t>
  </si>
  <si>
    <t>R1022</t>
  </si>
  <si>
    <t>pageot mommun</t>
  </si>
  <si>
    <t>R1023</t>
  </si>
  <si>
    <t>pageot rose</t>
  </si>
  <si>
    <t>R1024</t>
  </si>
  <si>
    <t>pagre a points bleu</t>
  </si>
  <si>
    <t>R1025</t>
  </si>
  <si>
    <t>pagre a points bleus</t>
  </si>
  <si>
    <t>R1026</t>
  </si>
  <si>
    <t>pagre commun</t>
  </si>
  <si>
    <t>R1027</t>
  </si>
  <si>
    <t>pagre des tropiques</t>
  </si>
  <si>
    <t>R1028</t>
  </si>
  <si>
    <t>pagre du japon</t>
  </si>
  <si>
    <t>R1029</t>
  </si>
  <si>
    <t>pagre raye</t>
  </si>
  <si>
    <t>R1030</t>
  </si>
  <si>
    <t>pastenague americaine</t>
  </si>
  <si>
    <t>R1031</t>
  </si>
  <si>
    <t>pastenague becune</t>
  </si>
  <si>
    <t>R1032</t>
  </si>
  <si>
    <t>pastenague commune</t>
  </si>
  <si>
    <t>R1033</t>
  </si>
  <si>
    <t>pastenague de tortonese</t>
  </si>
  <si>
    <t>R1034</t>
  </si>
  <si>
    <t>pastenague epieneuse</t>
  </si>
  <si>
    <t>R1035</t>
  </si>
  <si>
    <t>pastenague long nez</t>
  </si>
  <si>
    <t>R1036</t>
  </si>
  <si>
    <t>peau bleue</t>
  </si>
  <si>
    <t>R1037</t>
  </si>
  <si>
    <t>peche cavale</t>
  </si>
  <si>
    <t>R1038</t>
  </si>
  <si>
    <t>peliau chanos</t>
  </si>
  <si>
    <t>R1039</t>
  </si>
  <si>
    <t>perche</t>
  </si>
  <si>
    <t>R1040</t>
  </si>
  <si>
    <t>perche d amerique</t>
  </si>
  <si>
    <t>R1041</t>
  </si>
  <si>
    <t>perche de mer argentee</t>
  </si>
  <si>
    <t>R1042</t>
  </si>
  <si>
    <t>perche du nil</t>
  </si>
  <si>
    <t>R1043</t>
  </si>
  <si>
    <t>perche europeenne</t>
  </si>
  <si>
    <t>R1044</t>
  </si>
  <si>
    <t>perroquet du golfe</t>
  </si>
  <si>
    <t>R1045</t>
  </si>
  <si>
    <t>petit picot</t>
  </si>
  <si>
    <t>R1046</t>
  </si>
  <si>
    <t>petit sebaste</t>
  </si>
  <si>
    <t>R1047</t>
  </si>
  <si>
    <t>petit sigan</t>
  </si>
  <si>
    <t>R1048</t>
  </si>
  <si>
    <t>petit tacaud</t>
  </si>
  <si>
    <t>R1049</t>
  </si>
  <si>
    <t>petite argentine</t>
  </si>
  <si>
    <t>R1050</t>
  </si>
  <si>
    <t>petite gueule</t>
  </si>
  <si>
    <t>R1051</t>
  </si>
  <si>
    <t>petite roussette</t>
  </si>
  <si>
    <t>R1052</t>
  </si>
  <si>
    <t>petite vive</t>
  </si>
  <si>
    <t>R1053</t>
  </si>
  <si>
    <t>phycis blanc</t>
  </si>
  <si>
    <t>R1054</t>
  </si>
  <si>
    <t>phycis bresilien</t>
  </si>
  <si>
    <t>R1055</t>
  </si>
  <si>
    <t>phycis de fond</t>
  </si>
  <si>
    <t>R1056</t>
  </si>
  <si>
    <t>phycis de roche</t>
  </si>
  <si>
    <t>R1057</t>
  </si>
  <si>
    <t>phycis ecureuil</t>
  </si>
  <si>
    <t>R1058</t>
  </si>
  <si>
    <t>picarel de l atlantique du sud est</t>
  </si>
  <si>
    <t>R1059</t>
  </si>
  <si>
    <t>picot taches blanches</t>
  </si>
  <si>
    <t>R1060</t>
  </si>
  <si>
    <t>pinge namorade</t>
  </si>
  <si>
    <t>R1061</t>
  </si>
  <si>
    <t>platete bresilien</t>
  </si>
  <si>
    <t>R1062</t>
  </si>
  <si>
    <t>platycephale indien</t>
  </si>
  <si>
    <t>R1063</t>
  </si>
  <si>
    <t>plie</t>
  </si>
  <si>
    <t>R1064</t>
  </si>
  <si>
    <t>plie a grande bouche</t>
  </si>
  <si>
    <t>R1065</t>
  </si>
  <si>
    <t>plie canadienne</t>
  </si>
  <si>
    <t>R1066</t>
  </si>
  <si>
    <t>plie commune</t>
  </si>
  <si>
    <t>R1067</t>
  </si>
  <si>
    <t>plie cynoglosse</t>
  </si>
  <si>
    <t>R1068</t>
  </si>
  <si>
    <t>plie de l alaska</t>
  </si>
  <si>
    <t>R1069</t>
  </si>
  <si>
    <t>plie de nouvelle zelande</t>
  </si>
  <si>
    <t>R1070</t>
  </si>
  <si>
    <t>plie de nouvelle zelange</t>
  </si>
  <si>
    <t>R1071</t>
  </si>
  <si>
    <t>plie du pacifique nord</t>
  </si>
  <si>
    <t>R1072</t>
  </si>
  <si>
    <t>plie grise</t>
  </si>
  <si>
    <t>R1073</t>
  </si>
  <si>
    <t>pocheteau de norvege</t>
  </si>
  <si>
    <t>R1074</t>
  </si>
  <si>
    <t>pocheteau gris</t>
  </si>
  <si>
    <t>R1075</t>
  </si>
  <si>
    <t>pocheteau intermediaire</t>
  </si>
  <si>
    <t>R1076</t>
  </si>
  <si>
    <t>pocheteau noir</t>
  </si>
  <si>
    <t>R1077</t>
  </si>
  <si>
    <t>poisson</t>
  </si>
  <si>
    <t>R1078</t>
  </si>
  <si>
    <t>poisson chat</t>
  </si>
  <si>
    <t>R1079</t>
  </si>
  <si>
    <t>poisson chat hybride</t>
  </si>
  <si>
    <t>R1080</t>
  </si>
  <si>
    <t>poisson des glaces</t>
  </si>
  <si>
    <t>R1081</t>
  </si>
  <si>
    <t>poisson nez bleu</t>
  </si>
  <si>
    <t>R1082</t>
  </si>
  <si>
    <t>poisson perroquet</t>
  </si>
  <si>
    <t>R1083</t>
  </si>
  <si>
    <t>poisson rouge</t>
  </si>
  <si>
    <t>R1084</t>
  </si>
  <si>
    <t>poisson rubis</t>
  </si>
  <si>
    <t>R1085</t>
  </si>
  <si>
    <t>poisson sabre commun</t>
  </si>
  <si>
    <t>R1086</t>
  </si>
  <si>
    <t>poisson saptule</t>
  </si>
  <si>
    <t>R1087</t>
  </si>
  <si>
    <t>poisson volant</t>
  </si>
  <si>
    <t>R1088</t>
  </si>
  <si>
    <t>poissons</t>
  </si>
  <si>
    <t>R1089</t>
  </si>
  <si>
    <t>pompaneau lune</t>
  </si>
  <si>
    <t>R1090</t>
  </si>
  <si>
    <t>pompaneau sole</t>
  </si>
  <si>
    <t>R1091</t>
  </si>
  <si>
    <t>poulamon atlantique</t>
  </si>
  <si>
    <t>R1092</t>
  </si>
  <si>
    <t>poutargue</t>
  </si>
  <si>
    <t>R1093</t>
  </si>
  <si>
    <t>protéine de poisson</t>
  </si>
  <si>
    <t>proteine de poisson</t>
  </si>
  <si>
    <t>R1094</t>
  </si>
  <si>
    <t>quenelle de poisson</t>
  </si>
  <si>
    <t>R1095</t>
  </si>
  <si>
    <t>raie</t>
  </si>
  <si>
    <t>R1096</t>
  </si>
  <si>
    <t>raie a queue epineuse</t>
  </si>
  <si>
    <t>R1097</t>
  </si>
  <si>
    <t>raie americaine</t>
  </si>
  <si>
    <t>R1098</t>
  </si>
  <si>
    <t>raie arctique</t>
  </si>
  <si>
    <t>R1099</t>
  </si>
  <si>
    <t>raie bathyale</t>
  </si>
  <si>
    <t>R1100</t>
  </si>
  <si>
    <t>raie blanche</t>
  </si>
  <si>
    <t>R1101</t>
  </si>
  <si>
    <t>raie bouclee</t>
  </si>
  <si>
    <t>R1102</t>
  </si>
  <si>
    <t>raie brunette</t>
  </si>
  <si>
    <t>R1103</t>
  </si>
  <si>
    <t>raie chardon</t>
  </si>
  <si>
    <t>R1104</t>
  </si>
  <si>
    <t>raie circulaire</t>
  </si>
  <si>
    <t>R1105</t>
  </si>
  <si>
    <t>raie d eaton</t>
  </si>
  <si>
    <t>R1106</t>
  </si>
  <si>
    <t>raie de kukujev</t>
  </si>
  <si>
    <t>R1107</t>
  </si>
  <si>
    <t>raie de nouvelle zelande</t>
  </si>
  <si>
    <t>R1108</t>
  </si>
  <si>
    <t>raie douce</t>
  </si>
  <si>
    <t>R1109</t>
  </si>
  <si>
    <t>raie etoilee</t>
  </si>
  <si>
    <t>R1110</t>
  </si>
  <si>
    <t>raie fleurie</t>
  </si>
  <si>
    <t>R1111</t>
  </si>
  <si>
    <t>raie herisson</t>
  </si>
  <si>
    <t>R1112</t>
  </si>
  <si>
    <t>raie lisse</t>
  </si>
  <si>
    <t>R1113</t>
  </si>
  <si>
    <t>raie melee</t>
  </si>
  <si>
    <t>R1114</t>
  </si>
  <si>
    <t>raie miroir</t>
  </si>
  <si>
    <t>R1115</t>
  </si>
  <si>
    <t>raie papillon</t>
  </si>
  <si>
    <t>R1116</t>
  </si>
  <si>
    <t>raie papillon glabre</t>
  </si>
  <si>
    <t>R1117</t>
  </si>
  <si>
    <t>raie pastenague</t>
  </si>
  <si>
    <t>R1118</t>
  </si>
  <si>
    <t>raie profonde</t>
  </si>
  <si>
    <t>R1119</t>
  </si>
  <si>
    <t>raie radiee</t>
  </si>
  <si>
    <t>R1120</t>
  </si>
  <si>
    <t>raie rape</t>
  </si>
  <si>
    <t>R1121</t>
  </si>
  <si>
    <t>raie ronde</t>
  </si>
  <si>
    <t>R1122</t>
  </si>
  <si>
    <t>raie rugueuse</t>
  </si>
  <si>
    <t>R1123</t>
  </si>
  <si>
    <t>raie souple</t>
  </si>
  <si>
    <t>R1124</t>
  </si>
  <si>
    <t>raie tachetee</t>
  </si>
  <si>
    <t>R1125</t>
  </si>
  <si>
    <t>raie voile</t>
  </si>
  <si>
    <t>R1126</t>
  </si>
  <si>
    <t>rascasse a nageoires tachetees</t>
  </si>
  <si>
    <t>R1127</t>
  </si>
  <si>
    <t>rascasse australe</t>
  </si>
  <si>
    <t>R1128</t>
  </si>
  <si>
    <t>rascasse blanche</t>
  </si>
  <si>
    <t>R1129</t>
  </si>
  <si>
    <t>rascasse bresilienne</t>
  </si>
  <si>
    <t>R1130</t>
  </si>
  <si>
    <t>rascasse brune</t>
  </si>
  <si>
    <t>R1131</t>
  </si>
  <si>
    <t>rascasse de profondeur</t>
  </si>
  <si>
    <t>R1132</t>
  </si>
  <si>
    <t>rascasse du large</t>
  </si>
  <si>
    <t>R1133</t>
  </si>
  <si>
    <t>rascasse longue</t>
  </si>
  <si>
    <t>R1134</t>
  </si>
  <si>
    <t>rascasse rouge</t>
  </si>
  <si>
    <t>R1135</t>
  </si>
  <si>
    <t>requin</t>
  </si>
  <si>
    <t>R1136</t>
  </si>
  <si>
    <t>requin a museau pointu requin</t>
  </si>
  <si>
    <t>R1137</t>
  </si>
  <si>
    <t>requin bleu</t>
  </si>
  <si>
    <t>R1138</t>
  </si>
  <si>
    <t>requin borde</t>
  </si>
  <si>
    <t>R1139</t>
  </si>
  <si>
    <t>requin commun</t>
  </si>
  <si>
    <t>R1140</t>
  </si>
  <si>
    <t>requin ha</t>
  </si>
  <si>
    <t>R1141</t>
  </si>
  <si>
    <t>requin marteau</t>
  </si>
  <si>
    <t>R1142</t>
  </si>
  <si>
    <t>requin marteau a petits yeux</t>
  </si>
  <si>
    <t>R1143</t>
  </si>
  <si>
    <t>requin marteau commun</t>
  </si>
  <si>
    <t>R1144</t>
  </si>
  <si>
    <t>requin marteau halicorne</t>
  </si>
  <si>
    <t>R1145</t>
  </si>
  <si>
    <t>requin marteau tiburo</t>
  </si>
  <si>
    <t>R1146</t>
  </si>
  <si>
    <t>requin nez noir</t>
  </si>
  <si>
    <t>R1147</t>
  </si>
  <si>
    <t>requin peau bleue</t>
  </si>
  <si>
    <t>R1148</t>
  </si>
  <si>
    <t>requin pelerin</t>
  </si>
  <si>
    <t>R1149</t>
  </si>
  <si>
    <t>requin taureau</t>
  </si>
  <si>
    <t>R1150</t>
  </si>
  <si>
    <t>requin tiqueue</t>
  </si>
  <si>
    <t>R1151</t>
  </si>
  <si>
    <t>rillettes de poisson</t>
  </si>
  <si>
    <t>R1152</t>
  </si>
  <si>
    <t>rondeau mouton</t>
  </si>
  <si>
    <t>R1153</t>
  </si>
  <si>
    <t>rouffe antarctique</t>
  </si>
  <si>
    <t>R1154</t>
  </si>
  <si>
    <t>rouffe imperial</t>
  </si>
  <si>
    <t>R1155</t>
  </si>
  <si>
    <t>rouffe raye</t>
  </si>
  <si>
    <t>R1156</t>
  </si>
  <si>
    <t>rouget</t>
  </si>
  <si>
    <t>R1157</t>
  </si>
  <si>
    <t>rouget barbet</t>
  </si>
  <si>
    <t>R1158</t>
  </si>
  <si>
    <t>rouget barbet de roche</t>
  </si>
  <si>
    <t>R1159</t>
  </si>
  <si>
    <t>rouget barbet de thailande</t>
  </si>
  <si>
    <t>R1160</t>
  </si>
  <si>
    <t>rouget barbet de vase</t>
  </si>
  <si>
    <t>R1161</t>
  </si>
  <si>
    <t>rouget barbet dore</t>
  </si>
  <si>
    <t>R1162</t>
  </si>
  <si>
    <t>rouget barbet du senegal</t>
  </si>
  <si>
    <t>R1163</t>
  </si>
  <si>
    <t>rouget barbet du vietnam</t>
  </si>
  <si>
    <t>R1164</t>
  </si>
  <si>
    <t>rouget barbet indien</t>
  </si>
  <si>
    <t>R1165</t>
  </si>
  <si>
    <t>rouget barbet tachete</t>
  </si>
  <si>
    <t>R1166</t>
  </si>
  <si>
    <t>rouget souris</t>
  </si>
  <si>
    <t>R1167</t>
  </si>
  <si>
    <t>rouget souris bande or</t>
  </si>
  <si>
    <t>R1168</t>
  </si>
  <si>
    <t>roussette</t>
  </si>
  <si>
    <t>R1169</t>
  </si>
  <si>
    <t>sabre</t>
  </si>
  <si>
    <t>R1170</t>
  </si>
  <si>
    <t>sabre argente</t>
  </si>
  <si>
    <t>R1171</t>
  </si>
  <si>
    <t>sabre noir</t>
  </si>
  <si>
    <t>R1172</t>
  </si>
  <si>
    <t>saint paul</t>
  </si>
  <si>
    <t>R1173</t>
  </si>
  <si>
    <t>saint pierre</t>
  </si>
  <si>
    <t>R1174</t>
  </si>
  <si>
    <t>saint pierre du cap</t>
  </si>
  <si>
    <t>R1175</t>
  </si>
  <si>
    <t>salmon</t>
  </si>
  <si>
    <t>R1176</t>
  </si>
  <si>
    <t>sandre</t>
  </si>
  <si>
    <t>R1177</t>
  </si>
  <si>
    <t>sanglier de mer</t>
  </si>
  <si>
    <t>R1178</t>
  </si>
  <si>
    <t>sar a grosses levres</t>
  </si>
  <si>
    <t>R1179</t>
  </si>
  <si>
    <t>sar a museau pointu</t>
  </si>
  <si>
    <t>R1180</t>
  </si>
  <si>
    <t>sar a tete noire</t>
  </si>
  <si>
    <t>R1181</t>
  </si>
  <si>
    <t>sar a tete noire du cap vert</t>
  </si>
  <si>
    <t>R1182</t>
  </si>
  <si>
    <t>sar commun</t>
  </si>
  <si>
    <t>R1183</t>
  </si>
  <si>
    <t>sardine</t>
  </si>
  <si>
    <t>R1184</t>
  </si>
  <si>
    <t>sardine commune</t>
  </si>
  <si>
    <t>R1185</t>
  </si>
  <si>
    <t>sardinelle indonesienne</t>
  </si>
  <si>
    <t>R1186</t>
  </si>
  <si>
    <t>sardines</t>
  </si>
  <si>
    <t>R1187</t>
  </si>
  <si>
    <t>sardinops d afrique du sud</t>
  </si>
  <si>
    <t>R1188</t>
  </si>
  <si>
    <t>sardinops de californie</t>
  </si>
  <si>
    <t>R1189</t>
  </si>
  <si>
    <t>sardinops du chili</t>
  </si>
  <si>
    <t>R1190</t>
  </si>
  <si>
    <t>sardinops du japon</t>
  </si>
  <si>
    <t>R1191</t>
  </si>
  <si>
    <t>sargue de l atlangique s e</t>
  </si>
  <si>
    <t>R1192</t>
  </si>
  <si>
    <t>sargue doree</t>
  </si>
  <si>
    <t>R1193</t>
  </si>
  <si>
    <t>sauce de poisson</t>
  </si>
  <si>
    <t>R1194</t>
  </si>
  <si>
    <t>sauce poisson</t>
  </si>
  <si>
    <t>R1195</t>
  </si>
  <si>
    <t>saumon</t>
  </si>
  <si>
    <t>R1196</t>
  </si>
  <si>
    <t>saumon argente du pacifique</t>
  </si>
  <si>
    <t>R1197</t>
  </si>
  <si>
    <t>saumon atlantique</t>
  </si>
  <si>
    <t>R1198</t>
  </si>
  <si>
    <t>saumon de fontaine</t>
  </si>
  <si>
    <t>R1199</t>
  </si>
  <si>
    <t>saumon japonais du pacifique</t>
  </si>
  <si>
    <t>R1200</t>
  </si>
  <si>
    <t>saumon keta du pacifique</t>
  </si>
  <si>
    <t>R1201</t>
  </si>
  <si>
    <t>saumon rose du pacifique</t>
  </si>
  <si>
    <t>R1202</t>
  </si>
  <si>
    <t>saumon rouge du pacifique</t>
  </si>
  <si>
    <t>R1203</t>
  </si>
  <si>
    <t>saumon royal du pacifique</t>
  </si>
  <si>
    <t>R1204</t>
  </si>
  <si>
    <t>saumonette</t>
  </si>
  <si>
    <t>R1205</t>
  </si>
  <si>
    <t>sauteur talang</t>
  </si>
  <si>
    <t>R1206</t>
  </si>
  <si>
    <t>sea bass</t>
  </si>
  <si>
    <t>R1207</t>
  </si>
  <si>
    <t>sea bream</t>
  </si>
  <si>
    <t>R1208</t>
  </si>
  <si>
    <t>seabass</t>
  </si>
  <si>
    <t>R1209</t>
  </si>
  <si>
    <t>seabream</t>
  </si>
  <si>
    <t>R1210</t>
  </si>
  <si>
    <t>sebaste</t>
  </si>
  <si>
    <t>R1211</t>
  </si>
  <si>
    <t>sebaste a queue jaune</t>
  </si>
  <si>
    <t>R1212</t>
  </si>
  <si>
    <t>sebaste chevre</t>
  </si>
  <si>
    <t>R1213</t>
  </si>
  <si>
    <t>sebaste du canada</t>
  </si>
  <si>
    <t>R1214</t>
  </si>
  <si>
    <t>sebaste du cap</t>
  </si>
  <si>
    <t>R1215</t>
  </si>
  <si>
    <t>sebaste du pacifique</t>
  </si>
  <si>
    <t>R1216</t>
  </si>
  <si>
    <t>sebaste rocote</t>
  </si>
  <si>
    <t>R1217</t>
  </si>
  <si>
    <t>sebaste rose</t>
  </si>
  <si>
    <t>R1218</t>
  </si>
  <si>
    <t>selar coulisou</t>
  </si>
  <si>
    <t>R1219</t>
  </si>
  <si>
    <t>seriole chicard</t>
  </si>
  <si>
    <t>R1220</t>
  </si>
  <si>
    <t>seriole couronnee</t>
  </si>
  <si>
    <t>R1221</t>
  </si>
  <si>
    <t>seriole de guinee</t>
  </si>
  <si>
    <t>R1222</t>
  </si>
  <si>
    <t>seriole du japon</t>
  </si>
  <si>
    <t>R1223</t>
  </si>
  <si>
    <t>seriole japonaise</t>
  </si>
  <si>
    <t>R1224</t>
  </si>
  <si>
    <t>seriole lalandi</t>
  </si>
  <si>
    <t>R1225</t>
  </si>
  <si>
    <t>seriole limon</t>
  </si>
  <si>
    <t>R1226</t>
  </si>
  <si>
    <t>seriolelle argentine</t>
  </si>
  <si>
    <t>R1227</t>
  </si>
  <si>
    <t>seriolelle hyperoglyphe</t>
  </si>
  <si>
    <t>R1228</t>
  </si>
  <si>
    <t>serran cabrillon</t>
  </si>
  <si>
    <t>R1229</t>
  </si>
  <si>
    <t>serran chevre</t>
  </si>
  <si>
    <t>R1230</t>
  </si>
  <si>
    <t>serran ecriture</t>
  </si>
  <si>
    <t>R1231</t>
  </si>
  <si>
    <t>shadine ronde</t>
  </si>
  <si>
    <t>R1232</t>
  </si>
  <si>
    <t>sigan cordonnier</t>
  </si>
  <si>
    <t>R1233</t>
  </si>
  <si>
    <t>sigan pintade</t>
  </si>
  <si>
    <t>R1234</t>
  </si>
  <si>
    <t>siki</t>
  </si>
  <si>
    <t>R1235</t>
  </si>
  <si>
    <t>silure</t>
  </si>
  <si>
    <t>R1236</t>
  </si>
  <si>
    <t>silure glane</t>
  </si>
  <si>
    <t>R1237</t>
  </si>
  <si>
    <t>silure tigre</t>
  </si>
  <si>
    <t>R1238</t>
  </si>
  <si>
    <t>sole</t>
  </si>
  <si>
    <t>R1239</t>
  </si>
  <si>
    <t>sole australe occidentale</t>
  </si>
  <si>
    <t>R1240</t>
  </si>
  <si>
    <t>sole australe orientale</t>
  </si>
  <si>
    <t>R1241</t>
  </si>
  <si>
    <t>sole blonde</t>
  </si>
  <si>
    <t>R1242</t>
  </si>
  <si>
    <t>sole commune</t>
  </si>
  <si>
    <t>R1243</t>
  </si>
  <si>
    <t>sole d afrique du sud</t>
  </si>
  <si>
    <t>R1244</t>
  </si>
  <si>
    <t>sole d orient</t>
  </si>
  <si>
    <t>R1245</t>
  </si>
  <si>
    <t>sole de guinee</t>
  </si>
  <si>
    <t>R1246</t>
  </si>
  <si>
    <t>sole de roche</t>
  </si>
  <si>
    <t>R1247</t>
  </si>
  <si>
    <t>sole du senegal</t>
  </si>
  <si>
    <t>R1248</t>
  </si>
  <si>
    <t>sole elancee</t>
  </si>
  <si>
    <t>R1249</t>
  </si>
  <si>
    <t>sole langue</t>
  </si>
  <si>
    <t>R1250</t>
  </si>
  <si>
    <t>sole perdrix</t>
  </si>
  <si>
    <t>R1251</t>
  </si>
  <si>
    <t>sole pole</t>
  </si>
  <si>
    <t>R1252</t>
  </si>
  <si>
    <t>sole ruardon commune</t>
  </si>
  <si>
    <t>R1253</t>
  </si>
  <si>
    <t>sole ruardon d orient</t>
  </si>
  <si>
    <t>R1254</t>
  </si>
  <si>
    <t>sole ruardon du golfe</t>
  </si>
  <si>
    <t>R1255</t>
  </si>
  <si>
    <t>sole sombre</t>
  </si>
  <si>
    <t>R1256</t>
  </si>
  <si>
    <t>sole tropicale</t>
  </si>
  <si>
    <t>R1257</t>
  </si>
  <si>
    <t>sonneur commun</t>
  </si>
  <si>
    <t>R1258</t>
  </si>
  <si>
    <t>sonneur du chili</t>
  </si>
  <si>
    <t>R1259</t>
  </si>
  <si>
    <t>soupe de poisson</t>
  </si>
  <si>
    <t>R1260</t>
  </si>
  <si>
    <t>sparaillon africain</t>
  </si>
  <si>
    <t>R1261</t>
  </si>
  <si>
    <t>sparaillon commun</t>
  </si>
  <si>
    <t>R1262</t>
  </si>
  <si>
    <t>spare de l ocean indien</t>
  </si>
  <si>
    <t>R1263</t>
  </si>
  <si>
    <t>spare panga</t>
  </si>
  <si>
    <t>R1264</t>
  </si>
  <si>
    <t>spare royal</t>
  </si>
  <si>
    <t>R1265</t>
  </si>
  <si>
    <t>spatule d amerique</t>
  </si>
  <si>
    <t>R1266</t>
  </si>
  <si>
    <t>sprat</t>
  </si>
  <si>
    <t>R1267</t>
  </si>
  <si>
    <t>sprat des iles faulklands</t>
  </si>
  <si>
    <t>R1268</t>
  </si>
  <si>
    <t>squale chagrin commun</t>
  </si>
  <si>
    <t>R1269</t>
  </si>
  <si>
    <t>squale liche</t>
  </si>
  <si>
    <t>R1270</t>
  </si>
  <si>
    <t>stromatee a fossettes</t>
  </si>
  <si>
    <t>R1271</t>
  </si>
  <si>
    <t>R1272</t>
  </si>
  <si>
    <t>swordfish</t>
  </si>
  <si>
    <t>R1273</t>
  </si>
  <si>
    <t>tacaud</t>
  </si>
  <si>
    <t>R1274</t>
  </si>
  <si>
    <t>tacaud commun</t>
  </si>
  <si>
    <t>R1275</t>
  </si>
  <si>
    <t>tacaud norvegien</t>
  </si>
  <si>
    <t>R1276</t>
  </si>
  <si>
    <t>tambour bresilien</t>
  </si>
  <si>
    <t>R1277</t>
  </si>
  <si>
    <t>tambour croca</t>
  </si>
  <si>
    <t>R1278</t>
  </si>
  <si>
    <t>tambour raye</t>
  </si>
  <si>
    <t>R1279</t>
  </si>
  <si>
    <t>tambour rouge</t>
  </si>
  <si>
    <t>R1280</t>
  </si>
  <si>
    <t>tanche</t>
  </si>
  <si>
    <t>R1281</t>
  </si>
  <si>
    <t>tarama</t>
  </si>
  <si>
    <t>R1282</t>
  </si>
  <si>
    <t>taramasalata</t>
  </si>
  <si>
    <t>R1283</t>
  </si>
  <si>
    <t>tarpon argente</t>
  </si>
  <si>
    <t>R1284</t>
  </si>
  <si>
    <t>terrine de poisson</t>
  </si>
  <si>
    <t>R1285</t>
  </si>
  <si>
    <t>thazard barre</t>
  </si>
  <si>
    <t>R1286</t>
  </si>
  <si>
    <t>thazard batard</t>
  </si>
  <si>
    <t>R1287</t>
  </si>
  <si>
    <t>thazard blanc</t>
  </si>
  <si>
    <t>R1288</t>
  </si>
  <si>
    <t>thazard cirrus</t>
  </si>
  <si>
    <t>R1289</t>
  </si>
  <si>
    <t>thazard franc</t>
  </si>
  <si>
    <t>R1290</t>
  </si>
  <si>
    <t>thazard ponctue</t>
  </si>
  <si>
    <t>R1291</t>
  </si>
  <si>
    <t>thazard raye</t>
  </si>
  <si>
    <t>R1292</t>
  </si>
  <si>
    <t>thazard serra</t>
  </si>
  <si>
    <t>R1293</t>
  </si>
  <si>
    <t>thon a nageoires noires</t>
  </si>
  <si>
    <t>R1294</t>
  </si>
  <si>
    <t>thon albacore</t>
  </si>
  <si>
    <t>R1295</t>
  </si>
  <si>
    <t>thon blanc</t>
  </si>
  <si>
    <t>R1296</t>
  </si>
  <si>
    <t>thon germon</t>
  </si>
  <si>
    <t>R1297</t>
  </si>
  <si>
    <t>thon listao</t>
  </si>
  <si>
    <t>R1298</t>
  </si>
  <si>
    <t>thon mignon</t>
  </si>
  <si>
    <t>R1299</t>
  </si>
  <si>
    <t>thon obese</t>
  </si>
  <si>
    <t>R1300</t>
  </si>
  <si>
    <t>thon patudo</t>
  </si>
  <si>
    <t>R1301</t>
  </si>
  <si>
    <t>thon rouge</t>
  </si>
  <si>
    <t>R1302</t>
  </si>
  <si>
    <t>thon rouge du sud</t>
  </si>
  <si>
    <t>R1303</t>
  </si>
  <si>
    <t>thonine commune</t>
  </si>
  <si>
    <t>R1304</t>
  </si>
  <si>
    <t>thonine orientale</t>
  </si>
  <si>
    <t>R1305</t>
  </si>
  <si>
    <t>tilapia</t>
  </si>
  <si>
    <t>R1306</t>
  </si>
  <si>
    <t>tilapia bleu</t>
  </si>
  <si>
    <t>R1307</t>
  </si>
  <si>
    <t>tilapia du mozambique</t>
  </si>
  <si>
    <t>R1308</t>
  </si>
  <si>
    <t>tilapia du nil</t>
  </si>
  <si>
    <t>R1309</t>
  </si>
  <si>
    <t>tile chameau</t>
  </si>
  <si>
    <t>R1310</t>
  </si>
  <si>
    <t>tile zebre</t>
  </si>
  <si>
    <t>R1311</t>
  </si>
  <si>
    <t>torche tigre</t>
  </si>
  <si>
    <t>R1312</t>
  </si>
  <si>
    <t>torpille marbree</t>
  </si>
  <si>
    <t>R1313</t>
  </si>
  <si>
    <t>trout</t>
  </si>
  <si>
    <t>R1314</t>
  </si>
  <si>
    <t>truite</t>
  </si>
  <si>
    <t>R1315</t>
  </si>
  <si>
    <t>truite arc en ciel</t>
  </si>
  <si>
    <t>R1316</t>
  </si>
  <si>
    <t>tuna</t>
  </si>
  <si>
    <t>R1317</t>
  </si>
  <si>
    <t>turbot</t>
  </si>
  <si>
    <t>R1318</t>
  </si>
  <si>
    <t>turbot mouchete</t>
  </si>
  <si>
    <t>R1319</t>
  </si>
  <si>
    <t>turbot tropical</t>
  </si>
  <si>
    <t>R1320</t>
  </si>
  <si>
    <t>uranoscope de l atlantique</t>
  </si>
  <si>
    <t>R1321</t>
  </si>
  <si>
    <t>uranoscope de nouvelle zelande</t>
  </si>
  <si>
    <t>R1322</t>
  </si>
  <si>
    <t>varlet de l ocean indien</t>
  </si>
  <si>
    <t>R1323</t>
  </si>
  <si>
    <t>veau de mer</t>
  </si>
  <si>
    <t>R1324</t>
  </si>
  <si>
    <t>verrue bronzee</t>
  </si>
  <si>
    <t>R1325</t>
  </si>
  <si>
    <t>vieille aile noire</t>
  </si>
  <si>
    <t>R1326</t>
  </si>
  <si>
    <t>vieille ananas</t>
  </si>
  <si>
    <t>R1327</t>
  </si>
  <si>
    <t>vieille commune</t>
  </si>
  <si>
    <t>R1328</t>
  </si>
  <si>
    <t>vieille de corail</t>
  </si>
  <si>
    <t>R1329</t>
  </si>
  <si>
    <t>vieille roga</t>
  </si>
  <si>
    <t>R1330</t>
  </si>
  <si>
    <t>vivaneau</t>
  </si>
  <si>
    <t>R1331</t>
  </si>
  <si>
    <t>vivaneau a lignes jaunes</t>
  </si>
  <si>
    <t>R1332</t>
  </si>
  <si>
    <t>vivaneau a queue jaune</t>
  </si>
  <si>
    <t>R1333</t>
  </si>
  <si>
    <t>vivaneau africain rouge</t>
  </si>
  <si>
    <t>R1334</t>
  </si>
  <si>
    <t>vivaneau argente</t>
  </si>
  <si>
    <t>R1335</t>
  </si>
  <si>
    <t>vivaneau blanc</t>
  </si>
  <si>
    <t>R1336</t>
  </si>
  <si>
    <t>vivaneau bourgeois</t>
  </si>
  <si>
    <t>R1337</t>
  </si>
  <si>
    <t>vivaneau campeche</t>
  </si>
  <si>
    <t>R1338</t>
  </si>
  <si>
    <t>vivaneau cramoisi</t>
  </si>
  <si>
    <t>R1339</t>
  </si>
  <si>
    <t>vivaneau de goree</t>
  </si>
  <si>
    <t>R1340</t>
  </si>
  <si>
    <t>vivaneau de mangrove</t>
  </si>
  <si>
    <t>R1341</t>
  </si>
  <si>
    <t>vivaneau du bengale</t>
  </si>
  <si>
    <t>R1342</t>
  </si>
  <si>
    <t>vivaneau gazou</t>
  </si>
  <si>
    <t>R1343</t>
  </si>
  <si>
    <t>vivaneau gibelot</t>
  </si>
  <si>
    <t>R1344</t>
  </si>
  <si>
    <t>vivaneau gros yeux</t>
  </si>
  <si>
    <t>R1345</t>
  </si>
  <si>
    <t>vivaneau hublot</t>
  </si>
  <si>
    <t>R1346</t>
  </si>
  <si>
    <t>vivaneau job</t>
  </si>
  <si>
    <t>R1347</t>
  </si>
  <si>
    <t>vivaneau malabar</t>
  </si>
  <si>
    <t>R1348</t>
  </si>
  <si>
    <t>vivaneau maori</t>
  </si>
  <si>
    <t>R1349</t>
  </si>
  <si>
    <t>vivaneau pagaie</t>
  </si>
  <si>
    <t>R1350</t>
  </si>
  <si>
    <t>vivaneau plat</t>
  </si>
  <si>
    <t>R1351</t>
  </si>
  <si>
    <t>vivaneau queue jaune</t>
  </si>
  <si>
    <t>R1352</t>
  </si>
  <si>
    <t>vivaneau queue noire</t>
  </si>
  <si>
    <t>R1353</t>
  </si>
  <si>
    <t>vivaneau rouge</t>
  </si>
  <si>
    <t>R1354</t>
  </si>
  <si>
    <t>vivaneau rouille</t>
  </si>
  <si>
    <t>R1355</t>
  </si>
  <si>
    <t>vivaneau rubis</t>
  </si>
  <si>
    <t>R1356</t>
  </si>
  <si>
    <t>vivaneau tetu</t>
  </si>
  <si>
    <t>R1357</t>
  </si>
  <si>
    <t>vivaneau ti yeux</t>
  </si>
  <si>
    <t>R1358</t>
  </si>
  <si>
    <t>vivaneau tidents</t>
  </si>
  <si>
    <t>R1359</t>
  </si>
  <si>
    <t>vivanneau brun d afrique</t>
  </si>
  <si>
    <t>R1360</t>
  </si>
  <si>
    <t>vivanneau chien rouge</t>
  </si>
  <si>
    <t>R1361</t>
  </si>
  <si>
    <t>vivanneau dore</t>
  </si>
  <si>
    <t>R1362</t>
  </si>
  <si>
    <t>vive</t>
  </si>
  <si>
    <t>R1363</t>
  </si>
  <si>
    <t>voilier de l atlantique</t>
  </si>
  <si>
    <t>R1364</t>
  </si>
  <si>
    <t>wahoo</t>
  </si>
  <si>
    <t>R1365</t>
  </si>
  <si>
    <t>bar à cocktail</t>
  </si>
  <si>
    <t>bar a cocktail</t>
  </si>
  <si>
    <t>R1366</t>
  </si>
  <si>
    <t>bar à cocktails</t>
  </si>
  <si>
    <t>bar a cocktails</t>
  </si>
  <si>
    <t>R1367</t>
  </si>
  <si>
    <t>bar à vin</t>
  </si>
  <si>
    <t>bar a vin</t>
  </si>
  <si>
    <t>R1368</t>
  </si>
  <si>
    <t>bar à vins</t>
  </si>
  <si>
    <t>bar a vins</t>
  </si>
  <si>
    <t>R1369</t>
  </si>
  <si>
    <t>bar hôtel</t>
  </si>
  <si>
    <t>bar hotel</t>
  </si>
  <si>
    <t>R1370</t>
  </si>
  <si>
    <t>bar lounge</t>
  </si>
  <si>
    <t>R1371</t>
  </si>
  <si>
    <t>bar restaurant</t>
  </si>
  <si>
    <t>R1372</t>
  </si>
  <si>
    <t>cocktail bar</t>
  </si>
  <si>
    <t>R1373</t>
  </si>
  <si>
    <t>wine bar</t>
  </si>
  <si>
    <t>R1374</t>
  </si>
  <si>
    <t>bonite séchée</t>
  </si>
  <si>
    <t>bonite sechee</t>
  </si>
  <si>
    <t>Composition variable.</t>
  </si>
  <si>
    <t>R1375</t>
  </si>
  <si>
    <t>bouillon asiatique</t>
  </si>
  <si>
    <t>R1376</t>
  </si>
  <si>
    <t>caesar</t>
  </si>
  <si>
    <t>R1377</t>
  </si>
  <si>
    <t>césar</t>
  </si>
  <si>
    <t>cesar</t>
  </si>
  <si>
    <t>R1378</t>
  </si>
  <si>
    <t>dashi</t>
  </si>
  <si>
    <t>R1379</t>
  </si>
  <si>
    <t>katsuobushi</t>
  </si>
  <si>
    <t>R1380</t>
  </si>
  <si>
    <t>kimchi</t>
  </si>
  <si>
    <t>R1381</t>
  </si>
  <si>
    <t>R1382</t>
  </si>
  <si>
    <t>sauce huître</t>
  </si>
  <si>
    <t>sauce huitre</t>
  </si>
  <si>
    <t>R1383</t>
  </si>
  <si>
    <t>R1384</t>
  </si>
  <si>
    <t>tapenade</t>
  </si>
  <si>
    <t>R1385</t>
  </si>
  <si>
    <t>arachide</t>
  </si>
  <si>
    <t>Arachide ou dérivé.</t>
  </si>
  <si>
    <t>R1386</t>
  </si>
  <si>
    <t>arachides</t>
  </si>
  <si>
    <t>R1387</t>
  </si>
  <si>
    <t>beurre d arachide</t>
  </si>
  <si>
    <t>R1388</t>
  </si>
  <si>
    <t>beurre de cacahuète</t>
  </si>
  <si>
    <t>beurre de cacahuete</t>
  </si>
  <si>
    <t>R1389</t>
  </si>
  <si>
    <t>cacahuète</t>
  </si>
  <si>
    <t>cacahuete</t>
  </si>
  <si>
    <t>R1390</t>
  </si>
  <si>
    <t>cacahuètes</t>
  </si>
  <si>
    <t>cacahuetes</t>
  </si>
  <si>
    <t>R1391</t>
  </si>
  <si>
    <t>farine d arachide</t>
  </si>
  <si>
    <t>R1392</t>
  </si>
  <si>
    <t>groundnut</t>
  </si>
  <si>
    <t>R1393</t>
  </si>
  <si>
    <t>groundnut oil</t>
  </si>
  <si>
    <t>R1394</t>
  </si>
  <si>
    <t>groundnuts</t>
  </si>
  <si>
    <t>R1395</t>
  </si>
  <si>
    <t>huile d arachide</t>
  </si>
  <si>
    <t>R1396</t>
  </si>
  <si>
    <t>pâte d arachide</t>
  </si>
  <si>
    <t>pate d arachide</t>
  </si>
  <si>
    <t>R1397</t>
  </si>
  <si>
    <t>peanut</t>
  </si>
  <si>
    <t>R1398</t>
  </si>
  <si>
    <t>peanut butter</t>
  </si>
  <si>
    <t>R1399</t>
  </si>
  <si>
    <t>peanuts</t>
  </si>
  <si>
    <t>R1400</t>
  </si>
  <si>
    <t>praliné cacahuète</t>
  </si>
  <si>
    <t>praline cacahuete</t>
  </si>
  <si>
    <t>R1401</t>
  </si>
  <si>
    <t>protéine d arachide</t>
  </si>
  <si>
    <t>proteine d arachide</t>
  </si>
  <si>
    <t>R1402</t>
  </si>
  <si>
    <t>satay</t>
  </si>
  <si>
    <t>R1403</t>
  </si>
  <si>
    <t>saté</t>
  </si>
  <si>
    <t>sate</t>
  </si>
  <si>
    <t>R1404</t>
  </si>
  <si>
    <t>sauce cacahuète</t>
  </si>
  <si>
    <t>sauce cacahuete</t>
  </si>
  <si>
    <t>R1405</t>
  </si>
  <si>
    <t>sauce satay</t>
  </si>
  <si>
    <t>R1406</t>
  </si>
  <si>
    <t>boisson au soja</t>
  </si>
  <si>
    <t>Soja ou dérivé explicite.</t>
  </si>
  <si>
    <t>R1407</t>
  </si>
  <si>
    <t>concentré de soja</t>
  </si>
  <si>
    <t>concentre de soja</t>
  </si>
  <si>
    <t>R1408</t>
  </si>
  <si>
    <t>crème de soja</t>
  </si>
  <si>
    <t>creme de soja</t>
  </si>
  <si>
    <t>R1409</t>
  </si>
  <si>
    <t>dessert soja</t>
  </si>
  <si>
    <t>R1410</t>
  </si>
  <si>
    <t>E322 soja</t>
  </si>
  <si>
    <t>e322 soja</t>
  </si>
  <si>
    <t>R1411</t>
  </si>
  <si>
    <t>edamame</t>
  </si>
  <si>
    <t>R1412</t>
  </si>
  <si>
    <t>farine de soja</t>
  </si>
  <si>
    <t>R1413</t>
  </si>
  <si>
    <t>fève de soja</t>
  </si>
  <si>
    <t>feve de soja</t>
  </si>
  <si>
    <t>R1414</t>
  </si>
  <si>
    <t>fèves de soja</t>
  </si>
  <si>
    <t>feves de soja</t>
  </si>
  <si>
    <t>R1415</t>
  </si>
  <si>
    <t>graisse de soja</t>
  </si>
  <si>
    <t>R1416</t>
  </si>
  <si>
    <t>huile de soja</t>
  </si>
  <si>
    <t>R1417</t>
  </si>
  <si>
    <t>isolat de soja</t>
  </si>
  <si>
    <t>R1418</t>
  </si>
  <si>
    <t>lait de soja</t>
  </si>
  <si>
    <t>R1419</t>
  </si>
  <si>
    <t>lécithine de soja</t>
  </si>
  <si>
    <t>lecithine de soja</t>
  </si>
  <si>
    <t>R1420</t>
  </si>
  <si>
    <t>miso</t>
  </si>
  <si>
    <t>R1421</t>
  </si>
  <si>
    <t>natto</t>
  </si>
  <si>
    <t>R1422</t>
  </si>
  <si>
    <t>okara</t>
  </si>
  <si>
    <t>R1423</t>
  </si>
  <si>
    <t>protéine de soja</t>
  </si>
  <si>
    <t>proteine de soja</t>
  </si>
  <si>
    <t>R1424</t>
  </si>
  <si>
    <t>protéine végétale texturée</t>
  </si>
  <si>
    <t>proteine vegetale texturee</t>
  </si>
  <si>
    <t>R1425</t>
  </si>
  <si>
    <t>protéines de soja</t>
  </si>
  <si>
    <t>proteines de soja</t>
  </si>
  <si>
    <t>R1426</t>
  </si>
  <si>
    <t>PVT soja</t>
  </si>
  <si>
    <t>pvt soja</t>
  </si>
  <si>
    <t>R1427</t>
  </si>
  <si>
    <t>R1428</t>
  </si>
  <si>
    <t>R1429</t>
  </si>
  <si>
    <t>soja</t>
  </si>
  <si>
    <t>R1430</t>
  </si>
  <si>
    <t>soy</t>
  </si>
  <si>
    <t>R1431</t>
  </si>
  <si>
    <t>soy milk</t>
  </si>
  <si>
    <t>R1432</t>
  </si>
  <si>
    <t>soy sauce</t>
  </si>
  <si>
    <t>R1433</t>
  </si>
  <si>
    <t>soya</t>
  </si>
  <si>
    <t>R1434</t>
  </si>
  <si>
    <t>soya sauce</t>
  </si>
  <si>
    <t>R1435</t>
  </si>
  <si>
    <t>soybean</t>
  </si>
  <si>
    <t>R1436</t>
  </si>
  <si>
    <t>soybeans</t>
  </si>
  <si>
    <t>R1437</t>
  </si>
  <si>
    <t>tamari</t>
  </si>
  <si>
    <t>R1438</t>
  </si>
  <si>
    <t>tempeh</t>
  </si>
  <si>
    <t>R1439</t>
  </si>
  <si>
    <t>toffu</t>
  </si>
  <si>
    <t>R1440</t>
  </si>
  <si>
    <t>tofu</t>
  </si>
  <si>
    <t>R1441</t>
  </si>
  <si>
    <t>TVP soja</t>
  </si>
  <si>
    <t>tvp soja</t>
  </si>
  <si>
    <t>R1442</t>
  </si>
  <si>
    <t>yaourt soja</t>
  </si>
  <si>
    <t>R1443</t>
  </si>
  <si>
    <t>yuba</t>
  </si>
  <si>
    <t>R1444</t>
  </si>
  <si>
    <t>graisse de soja entièrement raffinée</t>
  </si>
  <si>
    <t>graisse de soja entierement raffinee</t>
  </si>
  <si>
    <t>Exception réglementaire.</t>
  </si>
  <si>
    <t>R1445</t>
  </si>
  <si>
    <t>huile de soja entièrement raffinée</t>
  </si>
  <si>
    <t>huile de soja entierement raffinee</t>
  </si>
  <si>
    <t>R1446</t>
  </si>
  <si>
    <t>charcuterie industrielle</t>
  </si>
  <si>
    <t>R1447</t>
  </si>
  <si>
    <t>chocolat</t>
  </si>
  <si>
    <t>R1448</t>
  </si>
  <si>
    <t>couverture</t>
  </si>
  <si>
    <t>R1449</t>
  </si>
  <si>
    <t>R1450</t>
  </si>
  <si>
    <t>lécithine</t>
  </si>
  <si>
    <t>lecithine</t>
  </si>
  <si>
    <t>R1451</t>
  </si>
  <si>
    <t>R1452</t>
  </si>
  <si>
    <t>protéine végétale</t>
  </si>
  <si>
    <t>proteine vegetale</t>
  </si>
  <si>
    <t>R1453</t>
  </si>
  <si>
    <t>sauce asiatique</t>
  </si>
  <si>
    <t>R1454</t>
  </si>
  <si>
    <t>sauce hoisin</t>
  </si>
  <si>
    <t>R1455</t>
  </si>
  <si>
    <t>sauce teriyaki</t>
  </si>
  <si>
    <t>R1456</t>
  </si>
  <si>
    <t>sauce yakitori</t>
  </si>
  <si>
    <t>R1457</t>
  </si>
  <si>
    <t>abondance</t>
  </si>
  <si>
    <t>Cuisine, pâtisserie, glacier, bar, charcuterie, traiteur, fromager</t>
  </si>
  <si>
    <t>Terme laitier ou fromage contenant l’allergène lait.</t>
  </si>
  <si>
    <t>2026-07</t>
  </si>
  <si>
    <t>R1458</t>
  </si>
  <si>
    <t>akkawi</t>
  </si>
  <si>
    <t>R1459</t>
  </si>
  <si>
    <t>american cheese</t>
  </si>
  <si>
    <t>R1460</t>
  </si>
  <si>
    <t>appenzeller</t>
  </si>
  <si>
    <t>R1461</t>
  </si>
  <si>
    <t>asiago</t>
  </si>
  <si>
    <t>R1462</t>
  </si>
  <si>
    <t>assiette de fromages</t>
  </si>
  <si>
    <t>R1463</t>
  </si>
  <si>
    <t>babeurre</t>
  </si>
  <si>
    <t>Lait, protéine laitière ou produit laitier.</t>
  </si>
  <si>
    <t>R1464</t>
  </si>
  <si>
    <t>babybel</t>
  </si>
  <si>
    <t>R1465</t>
  </si>
  <si>
    <t>baileys</t>
  </si>
  <si>
    <t>R1466</t>
  </si>
  <si>
    <t>banon</t>
  </si>
  <si>
    <t>R1467</t>
  </si>
  <si>
    <t>beaufort</t>
  </si>
  <si>
    <t>R1468</t>
  </si>
  <si>
    <t>bel paese</t>
  </si>
  <si>
    <t>R1469</t>
  </si>
  <si>
    <t>beurre</t>
  </si>
  <si>
    <t>R1470</t>
  </si>
  <si>
    <t>beurre blanc</t>
  </si>
  <si>
    <t>R1471</t>
  </si>
  <si>
    <t>beurre clarifié</t>
  </si>
  <si>
    <t>beurre clarifie</t>
  </si>
  <si>
    <t>R1472</t>
  </si>
  <si>
    <t>beurre demi sel</t>
  </si>
  <si>
    <t>R1473</t>
  </si>
  <si>
    <t>beurre doux</t>
  </si>
  <si>
    <t>R1474</t>
  </si>
  <si>
    <t>beurre laitier</t>
  </si>
  <si>
    <t>R1475</t>
  </si>
  <si>
    <t>beurre maître d'hôtel</t>
  </si>
  <si>
    <t>beurre maitre d hotel</t>
  </si>
  <si>
    <t>R1476</t>
  </si>
  <si>
    <t>beurre noisette</t>
  </si>
  <si>
    <t>R1477</t>
  </si>
  <si>
    <t>beurre salé</t>
  </si>
  <si>
    <t>beurre sale</t>
  </si>
  <si>
    <t>R1478</t>
  </si>
  <si>
    <t>bleu</t>
  </si>
  <si>
    <t>R1479</t>
  </si>
  <si>
    <t>bleu d auvergne</t>
  </si>
  <si>
    <t>R1480</t>
  </si>
  <si>
    <t>bleu de gex</t>
  </si>
  <si>
    <t>R1481</t>
  </si>
  <si>
    <t>bleu des causses</t>
  </si>
  <si>
    <t>R1482</t>
  </si>
  <si>
    <t>bleu du vercors sassenage</t>
  </si>
  <si>
    <t>R1483</t>
  </si>
  <si>
    <t>boursin</t>
  </si>
  <si>
    <t>R1484</t>
  </si>
  <si>
    <t>brie</t>
  </si>
  <si>
    <t>R1485</t>
  </si>
  <si>
    <t>brie de meaux</t>
  </si>
  <si>
    <t>R1486</t>
  </si>
  <si>
    <t>brie de melun</t>
  </si>
  <si>
    <t>R1487</t>
  </si>
  <si>
    <t>brillat-savarin</t>
  </si>
  <si>
    <t>brillat savarin</t>
  </si>
  <si>
    <t>R1488</t>
  </si>
  <si>
    <t>brocciu</t>
  </si>
  <si>
    <t>R1489</t>
  </si>
  <si>
    <t>brousse</t>
  </si>
  <si>
    <t>R1490</t>
  </si>
  <si>
    <t>brown butter</t>
  </si>
  <si>
    <t>R1491</t>
  </si>
  <si>
    <t>bryndza</t>
  </si>
  <si>
    <t>R1492</t>
  </si>
  <si>
    <t>bûche de chèvre</t>
  </si>
  <si>
    <t>buche de chevre</t>
  </si>
  <si>
    <t>R1493</t>
  </si>
  <si>
    <t>burrata</t>
  </si>
  <si>
    <t>R1494</t>
  </si>
  <si>
    <t>butter</t>
  </si>
  <si>
    <t>R1495</t>
  </si>
  <si>
    <t>buttermilk</t>
  </si>
  <si>
    <t>R1496</t>
  </si>
  <si>
    <t>cabécou</t>
  </si>
  <si>
    <t>cabecou</t>
  </si>
  <si>
    <t>R1497</t>
  </si>
  <si>
    <t>cabrales</t>
  </si>
  <si>
    <t>R1498</t>
  </si>
  <si>
    <t>caciocavallo</t>
  </si>
  <si>
    <t>R1499</t>
  </si>
  <si>
    <t>caerphilly</t>
  </si>
  <si>
    <t>R1500</t>
  </si>
  <si>
    <t>café au lait</t>
  </si>
  <si>
    <t>cafe au lait</t>
  </si>
  <si>
    <t>R1501</t>
  </si>
  <si>
    <t>café latte</t>
  </si>
  <si>
    <t>cafe latte</t>
  </si>
  <si>
    <t>R1502</t>
  </si>
  <si>
    <t>camembert</t>
  </si>
  <si>
    <t>R1503</t>
  </si>
  <si>
    <t>camembert de normandie</t>
  </si>
  <si>
    <t>R1504</t>
  </si>
  <si>
    <t>cancoillotte</t>
  </si>
  <si>
    <t>R1505</t>
  </si>
  <si>
    <t>cantal</t>
  </si>
  <si>
    <t>R1506</t>
  </si>
  <si>
    <t>cappuccino au lait</t>
  </si>
  <si>
    <t>R1507</t>
  </si>
  <si>
    <t>caprice des dieux</t>
  </si>
  <si>
    <t>R1508</t>
  </si>
  <si>
    <t>caramel au beurre</t>
  </si>
  <si>
    <t>R1509</t>
  </si>
  <si>
    <t>caramel au beurre salé</t>
  </si>
  <si>
    <t>caramel au beurre sale</t>
  </si>
  <si>
    <t>R1510</t>
  </si>
  <si>
    <t>caramel beurre salé</t>
  </si>
  <si>
    <t>caramel beurre sale</t>
  </si>
  <si>
    <t>R1511</t>
  </si>
  <si>
    <t>carré frais</t>
  </si>
  <si>
    <t>carre frais</t>
  </si>
  <si>
    <t>R1512</t>
  </si>
  <si>
    <t>casein</t>
  </si>
  <si>
    <t>R1513</t>
  </si>
  <si>
    <t>caséinate</t>
  </si>
  <si>
    <t>caseinate</t>
  </si>
  <si>
    <t>R1514</t>
  </si>
  <si>
    <t>caséinate de calcium</t>
  </si>
  <si>
    <t>caseinate de calcium</t>
  </si>
  <si>
    <t>R1515</t>
  </si>
  <si>
    <t>caséinate de sodium</t>
  </si>
  <si>
    <t>caseinate de sodium</t>
  </si>
  <si>
    <t>R1516</t>
  </si>
  <si>
    <t>caséinates</t>
  </si>
  <si>
    <t>caseinates</t>
  </si>
  <si>
    <t>R1517</t>
  </si>
  <si>
    <t>caséine</t>
  </si>
  <si>
    <t>caseine</t>
  </si>
  <si>
    <t>R1518</t>
  </si>
  <si>
    <t>chabichou du poitou</t>
  </si>
  <si>
    <t>R1519</t>
  </si>
  <si>
    <t>chantilly</t>
  </si>
  <si>
    <t>R1520</t>
  </si>
  <si>
    <t>chaource</t>
  </si>
  <si>
    <t>R1521</t>
  </si>
  <si>
    <t>charolais</t>
  </si>
  <si>
    <t>R1522</t>
  </si>
  <si>
    <t>cheddar</t>
  </si>
  <si>
    <t>R1523</t>
  </si>
  <si>
    <t>cheese</t>
  </si>
  <si>
    <t>R1524</t>
  </si>
  <si>
    <t>cheshire</t>
  </si>
  <si>
    <t>R1525</t>
  </si>
  <si>
    <t>chèvre</t>
  </si>
  <si>
    <t>chevre</t>
  </si>
  <si>
    <t>R1526</t>
  </si>
  <si>
    <t>chèvre frais</t>
  </si>
  <si>
    <t>chevre frais</t>
  </si>
  <si>
    <t>R1527</t>
  </si>
  <si>
    <t>chhena</t>
  </si>
  <si>
    <t>R1528</t>
  </si>
  <si>
    <t>chocolat au lait</t>
  </si>
  <si>
    <t>R1529</t>
  </si>
  <si>
    <t>chocolat blanc</t>
  </si>
  <si>
    <t>R1530</t>
  </si>
  <si>
    <t>clotted cream</t>
  </si>
  <si>
    <t>R1531</t>
  </si>
  <si>
    <t>colby</t>
  </si>
  <si>
    <t>R1532</t>
  </si>
  <si>
    <t>comté</t>
  </si>
  <si>
    <t>comte</t>
  </si>
  <si>
    <t>R1533</t>
  </si>
  <si>
    <t>confiture de lait</t>
  </si>
  <si>
    <t>R1534</t>
  </si>
  <si>
    <t>cottage cheese</t>
  </si>
  <si>
    <t>R1535</t>
  </si>
  <si>
    <t>coulommiers</t>
  </si>
  <si>
    <t>R1536</t>
  </si>
  <si>
    <t>cream</t>
  </si>
  <si>
    <t>R1537</t>
  </si>
  <si>
    <t>cream cheese</t>
  </si>
  <si>
    <t>R1538</t>
  </si>
  <si>
    <t>cream liqueur</t>
  </si>
  <si>
    <t>R1539</t>
  </si>
  <si>
    <t>crème</t>
  </si>
  <si>
    <t>creme</t>
  </si>
  <si>
    <t>R1540</t>
  </si>
  <si>
    <t>crème aigre</t>
  </si>
  <si>
    <t>creme aigre</t>
  </si>
  <si>
    <t>R1541</t>
  </si>
  <si>
    <t>crème chantilly</t>
  </si>
  <si>
    <t>creme chantilly</t>
  </si>
  <si>
    <t>R1542</t>
  </si>
  <si>
    <t>crème de whisky</t>
  </si>
  <si>
    <t>creme de whisky</t>
  </si>
  <si>
    <t>R1543</t>
  </si>
  <si>
    <t>crème double</t>
  </si>
  <si>
    <t>creme double</t>
  </si>
  <si>
    <t>R1544</t>
  </si>
  <si>
    <t>crème entière</t>
  </si>
  <si>
    <t>creme entiere</t>
  </si>
  <si>
    <t>R1545</t>
  </si>
  <si>
    <t>crème épaisse</t>
  </si>
  <si>
    <t>creme epaisse</t>
  </si>
  <si>
    <t>R1546</t>
  </si>
  <si>
    <t>crème fleurette</t>
  </si>
  <si>
    <t>creme fleurette</t>
  </si>
  <si>
    <t>R1547</t>
  </si>
  <si>
    <t>crème fraîche</t>
  </si>
  <si>
    <t>creme fraiche</t>
  </si>
  <si>
    <t>R1548</t>
  </si>
  <si>
    <t>R1549</t>
  </si>
  <si>
    <t>crème liquide</t>
  </si>
  <si>
    <t>creme liquide</t>
  </si>
  <si>
    <t>R1550</t>
  </si>
  <si>
    <t>crescenza</t>
  </si>
  <si>
    <t>R1551</t>
  </si>
  <si>
    <t>crottin</t>
  </si>
  <si>
    <t>R1552</t>
  </si>
  <si>
    <t>crottin de chavignol</t>
  </si>
  <si>
    <t>R1553</t>
  </si>
  <si>
    <t>double cream</t>
  </si>
  <si>
    <t>R1554</t>
  </si>
  <si>
    <t>double gloucester</t>
  </si>
  <si>
    <t>R1555</t>
  </si>
  <si>
    <t>dulce de leche</t>
  </si>
  <si>
    <t>R1556</t>
  </si>
  <si>
    <t>edam</t>
  </si>
  <si>
    <t>R1557</t>
  </si>
  <si>
    <t>emmental</t>
  </si>
  <si>
    <t>R1558</t>
  </si>
  <si>
    <t>emmental râpé</t>
  </si>
  <si>
    <t>emmental rape</t>
  </si>
  <si>
    <t>R1559</t>
  </si>
  <si>
    <t>emmenthal</t>
  </si>
  <si>
    <t>R1560</t>
  </si>
  <si>
    <t>emmenthal râpé</t>
  </si>
  <si>
    <t>emmenthal rape</t>
  </si>
  <si>
    <t>R1561</t>
  </si>
  <si>
    <t>époisses</t>
  </si>
  <si>
    <t>epoisses</t>
  </si>
  <si>
    <t>R1562</t>
  </si>
  <si>
    <t>extrait sec laitier</t>
  </si>
  <si>
    <t>R1563</t>
  </si>
  <si>
    <t>faisselle</t>
  </si>
  <si>
    <t>R1564</t>
  </si>
  <si>
    <t>feta</t>
  </si>
  <si>
    <t>R1565</t>
  </si>
  <si>
    <t>flat white</t>
  </si>
  <si>
    <t>R1566</t>
  </si>
  <si>
    <t>fontina</t>
  </si>
  <si>
    <t>R1567</t>
  </si>
  <si>
    <t>fourme</t>
  </si>
  <si>
    <t>R1568</t>
  </si>
  <si>
    <t>fourme d'ambert</t>
  </si>
  <si>
    <t>fourme d ambert</t>
  </si>
  <si>
    <t>R1569</t>
  </si>
  <si>
    <t>fourme de montbrison</t>
  </si>
  <si>
    <t>R1570</t>
  </si>
  <si>
    <t>fromage</t>
  </si>
  <si>
    <t>R1571</t>
  </si>
  <si>
    <t>fromage à tartiner</t>
  </si>
  <si>
    <t>fromage a tartiner</t>
  </si>
  <si>
    <t>R1572</t>
  </si>
  <si>
    <t>fromage battu</t>
  </si>
  <si>
    <t>R1573</t>
  </si>
  <si>
    <t>fromage blanc</t>
  </si>
  <si>
    <t>R1574</t>
  </si>
  <si>
    <t>fromage de brebis</t>
  </si>
  <si>
    <t>R1575</t>
  </si>
  <si>
    <t>fromage de chèvre</t>
  </si>
  <si>
    <t>fromage de chevre</t>
  </si>
  <si>
    <t>R1576</t>
  </si>
  <si>
    <t>fromage de vache</t>
  </si>
  <si>
    <t>R1577</t>
  </si>
  <si>
    <t>fromage fondu</t>
  </si>
  <si>
    <t>R1578</t>
  </si>
  <si>
    <t>fromage frais</t>
  </si>
  <si>
    <t>R1579</t>
  </si>
  <si>
    <t>fromage râpé</t>
  </si>
  <si>
    <t>fromage rape</t>
  </si>
  <si>
    <t>R1580</t>
  </si>
  <si>
    <t>fromages</t>
  </si>
  <si>
    <t>R1581</t>
  </si>
  <si>
    <t>frozen yogurt</t>
  </si>
  <si>
    <t>R1582</t>
  </si>
  <si>
    <t>ganache</t>
  </si>
  <si>
    <t>R1583</t>
  </si>
  <si>
    <t>gaperon</t>
  </si>
  <si>
    <t>R1584</t>
  </si>
  <si>
    <t>gelato</t>
  </si>
  <si>
    <t>R1585</t>
  </si>
  <si>
    <t>ghee</t>
  </si>
  <si>
    <t>R1586</t>
  </si>
  <si>
    <t>glace au lait</t>
  </si>
  <si>
    <t>R1587</t>
  </si>
  <si>
    <t>gorgonzola</t>
  </si>
  <si>
    <t>R1588</t>
  </si>
  <si>
    <t>gouda</t>
  </si>
  <si>
    <t>R1589</t>
  </si>
  <si>
    <t>grana padano</t>
  </si>
  <si>
    <t>R1590</t>
  </si>
  <si>
    <t>graviera</t>
  </si>
  <si>
    <t>R1591</t>
  </si>
  <si>
    <t>gruyère</t>
  </si>
  <si>
    <t>gruyere</t>
  </si>
  <si>
    <t>R1592</t>
  </si>
  <si>
    <t>gruyère râpé</t>
  </si>
  <si>
    <t>gruyere rape</t>
  </si>
  <si>
    <t>R1593</t>
  </si>
  <si>
    <t>halloumi</t>
  </si>
  <si>
    <t>R1594</t>
  </si>
  <si>
    <t>heavy cream</t>
  </si>
  <si>
    <t>R1595</t>
  </si>
  <si>
    <t>ice cream</t>
  </si>
  <si>
    <t>R1596</t>
  </si>
  <si>
    <t>idiazabal</t>
  </si>
  <si>
    <t>R1597</t>
  </si>
  <si>
    <t>irish cream</t>
  </si>
  <si>
    <t>R1598</t>
  </si>
  <si>
    <t>kashkaval</t>
  </si>
  <si>
    <t>R1599</t>
  </si>
  <si>
    <t>kasseri</t>
  </si>
  <si>
    <t>R1600</t>
  </si>
  <si>
    <t>kefalotyri</t>
  </si>
  <si>
    <t>R1601</t>
  </si>
  <si>
    <t>kéfir</t>
  </si>
  <si>
    <t>kefir</t>
  </si>
  <si>
    <t>R1602</t>
  </si>
  <si>
    <t>kiri</t>
  </si>
  <si>
    <t>R1603</t>
  </si>
  <si>
    <t>la vache qui rit</t>
  </si>
  <si>
    <t>R1604</t>
  </si>
  <si>
    <t>labneh</t>
  </si>
  <si>
    <t>R1605</t>
  </si>
  <si>
    <t>lactalbumine</t>
  </si>
  <si>
    <t>R1606</t>
  </si>
  <si>
    <t>lactoglobuline</t>
  </si>
  <si>
    <t>R1607</t>
  </si>
  <si>
    <t>lactose</t>
  </si>
  <si>
    <t>R1608</t>
  </si>
  <si>
    <t>lactose monohydraté</t>
  </si>
  <si>
    <t>lactose monohydrate</t>
  </si>
  <si>
    <t>R1609</t>
  </si>
  <si>
    <t>lactosérum</t>
  </si>
  <si>
    <t>lactoserum</t>
  </si>
  <si>
    <t>R1610</t>
  </si>
  <si>
    <t>laguiole</t>
  </si>
  <si>
    <t>R1611</t>
  </si>
  <si>
    <t>lait</t>
  </si>
  <si>
    <t>R1612</t>
  </si>
  <si>
    <t>lait concentré</t>
  </si>
  <si>
    <t>lait concentre</t>
  </si>
  <si>
    <t>R1613</t>
  </si>
  <si>
    <t>lait concentré sucré</t>
  </si>
  <si>
    <t>lait concentre sucre</t>
  </si>
  <si>
    <t>R1614</t>
  </si>
  <si>
    <t>lait cru</t>
  </si>
  <si>
    <t>R1615</t>
  </si>
  <si>
    <t>lait de brebis</t>
  </si>
  <si>
    <t>R1616</t>
  </si>
  <si>
    <t>lait de bufflonne</t>
  </si>
  <si>
    <t>R1617</t>
  </si>
  <si>
    <t>lait de chèvre</t>
  </si>
  <si>
    <t>lait de chevre</t>
  </si>
  <si>
    <t>R1618</t>
  </si>
  <si>
    <t>lait de vache</t>
  </si>
  <si>
    <t>R1619</t>
  </si>
  <si>
    <t>lait demi écrémé</t>
  </si>
  <si>
    <t>lait demi ecreme</t>
  </si>
  <si>
    <t>R1620</t>
  </si>
  <si>
    <t>lait écrémé</t>
  </si>
  <si>
    <t>lait ecreme</t>
  </si>
  <si>
    <t>R1621</t>
  </si>
  <si>
    <t>lait en poudre</t>
  </si>
  <si>
    <t>R1622</t>
  </si>
  <si>
    <t>lait entier</t>
  </si>
  <si>
    <t>R1623</t>
  </si>
  <si>
    <t>lait évaporé</t>
  </si>
  <si>
    <t>lait evapore</t>
  </si>
  <si>
    <t>R1624</t>
  </si>
  <si>
    <t>lait fermenté</t>
  </si>
  <si>
    <t>lait fermente</t>
  </si>
  <si>
    <t>R1625</t>
  </si>
  <si>
    <t>lait frappé</t>
  </si>
  <si>
    <t>lait frappe</t>
  </si>
  <si>
    <t>R1626</t>
  </si>
  <si>
    <t>lait microfiltré</t>
  </si>
  <si>
    <t>lait microfiltre</t>
  </si>
  <si>
    <t>R1627</t>
  </si>
  <si>
    <t>lait pasteurisé</t>
  </si>
  <si>
    <t>lait pasteurise</t>
  </si>
  <si>
    <t>R1628</t>
  </si>
  <si>
    <t>lait ribot</t>
  </si>
  <si>
    <t>R1629</t>
  </si>
  <si>
    <t>lait UHT</t>
  </si>
  <si>
    <t>lait uht</t>
  </si>
  <si>
    <t>R1630</t>
  </si>
  <si>
    <t>langres</t>
  </si>
  <si>
    <t>R1631</t>
  </si>
  <si>
    <t>latte macchiato</t>
  </si>
  <si>
    <t>R1632</t>
  </si>
  <si>
    <t>lben</t>
  </si>
  <si>
    <t>R1633</t>
  </si>
  <si>
    <t>leben</t>
  </si>
  <si>
    <t>R1634</t>
  </si>
  <si>
    <t>livarot</t>
  </si>
  <si>
    <t>R1635</t>
  </si>
  <si>
    <t>maasdam</t>
  </si>
  <si>
    <t>R1636</t>
  </si>
  <si>
    <t>mahón</t>
  </si>
  <si>
    <t>mahon</t>
  </si>
  <si>
    <t>R1637</t>
  </si>
  <si>
    <t>manchego</t>
  </si>
  <si>
    <t>R1638</t>
  </si>
  <si>
    <t>manouri</t>
  </si>
  <si>
    <t>R1639</t>
  </si>
  <si>
    <t>maroilles</t>
  </si>
  <si>
    <t>R1640</t>
  </si>
  <si>
    <t>mascarpone</t>
  </si>
  <si>
    <t>R1641</t>
  </si>
  <si>
    <t>matière grasse laitière</t>
  </si>
  <si>
    <t>matiere grasse laitiere</t>
  </si>
  <si>
    <t>R1642</t>
  </si>
  <si>
    <t>milk</t>
  </si>
  <si>
    <t>R1643</t>
  </si>
  <si>
    <t>milkshake</t>
  </si>
  <si>
    <t>R1644</t>
  </si>
  <si>
    <t>mimolette</t>
  </si>
  <si>
    <t>R1645</t>
  </si>
  <si>
    <t>mont d'or</t>
  </si>
  <si>
    <t>mont d or</t>
  </si>
  <si>
    <t>R1646</t>
  </si>
  <si>
    <t>monterey jack</t>
  </si>
  <si>
    <t>R1647</t>
  </si>
  <si>
    <t>morbier</t>
  </si>
  <si>
    <t>R1648</t>
  </si>
  <si>
    <t>mozzarella</t>
  </si>
  <si>
    <t>R1649</t>
  </si>
  <si>
    <t>mozzarella di bufala</t>
  </si>
  <si>
    <t>R1650</t>
  </si>
  <si>
    <t>munster</t>
  </si>
  <si>
    <t>R1651</t>
  </si>
  <si>
    <t>nabulsi</t>
  </si>
  <si>
    <t>R1652</t>
  </si>
  <si>
    <t>neufchâtel</t>
  </si>
  <si>
    <t>neufchatel</t>
  </si>
  <si>
    <t>R1653</t>
  </si>
  <si>
    <t>ossau-iraty</t>
  </si>
  <si>
    <t>ossau iraty</t>
  </si>
  <si>
    <t>R1654</t>
  </si>
  <si>
    <t>paneer</t>
  </si>
  <si>
    <t>R1655</t>
  </si>
  <si>
    <t>parmesan</t>
  </si>
  <si>
    <t>R1656</t>
  </si>
  <si>
    <t>parmesan râpé</t>
  </si>
  <si>
    <t>parmesan rape</t>
  </si>
  <si>
    <t>R1657</t>
  </si>
  <si>
    <t>parmigiano</t>
  </si>
  <si>
    <t>R1658</t>
  </si>
  <si>
    <t>parmigiano reggiano</t>
  </si>
  <si>
    <t>R1659</t>
  </si>
  <si>
    <t>pâte molle</t>
  </si>
  <si>
    <t>pate molle</t>
  </si>
  <si>
    <t>R1660</t>
  </si>
  <si>
    <t>pâte persillée</t>
  </si>
  <si>
    <t>pate persillee</t>
  </si>
  <si>
    <t>R1661</t>
  </si>
  <si>
    <t>pâte pressée</t>
  </si>
  <si>
    <t>pate pressee</t>
  </si>
  <si>
    <t>R1662</t>
  </si>
  <si>
    <t>pecorino</t>
  </si>
  <si>
    <t>R1663</t>
  </si>
  <si>
    <t>pecorino romano</t>
  </si>
  <si>
    <t>R1664</t>
  </si>
  <si>
    <t>pélardon</t>
  </si>
  <si>
    <t>pelardon</t>
  </si>
  <si>
    <t>R1665</t>
  </si>
  <si>
    <t>pepper jack</t>
  </si>
  <si>
    <t>R1666</t>
  </si>
  <si>
    <t>perméat de lait</t>
  </si>
  <si>
    <t>permeat de lait</t>
  </si>
  <si>
    <t>R1667</t>
  </si>
  <si>
    <t>petit lait</t>
  </si>
  <si>
    <t>R1668</t>
  </si>
  <si>
    <t>petit suisse</t>
  </si>
  <si>
    <t>R1669</t>
  </si>
  <si>
    <t>philadelphia</t>
  </si>
  <si>
    <t>R1670</t>
  </si>
  <si>
    <t>picodon</t>
  </si>
  <si>
    <t>R1671</t>
  </si>
  <si>
    <t>plateau de fromages</t>
  </si>
  <si>
    <t>R1672</t>
  </si>
  <si>
    <t>pont l évêque</t>
  </si>
  <si>
    <t>pont l eveque</t>
  </si>
  <si>
    <t>R1673</t>
  </si>
  <si>
    <t>port-salut</t>
  </si>
  <si>
    <t>port salut</t>
  </si>
  <si>
    <t>R1674</t>
  </si>
  <si>
    <t>poudre de lactosérum</t>
  </si>
  <si>
    <t>poudre de lactoserum</t>
  </si>
  <si>
    <t>R1675</t>
  </si>
  <si>
    <t>poudre de lait</t>
  </si>
  <si>
    <t>R1676</t>
  </si>
  <si>
    <t>poudre de lait écrémé</t>
  </si>
  <si>
    <t>poudre de lait ecreme</t>
  </si>
  <si>
    <t>R1677</t>
  </si>
  <si>
    <t>protéine de lait</t>
  </si>
  <si>
    <t>proteine de lait</t>
  </si>
  <si>
    <t>R1678</t>
  </si>
  <si>
    <t>protéine laitière</t>
  </si>
  <si>
    <t>proteine laitiere</t>
  </si>
  <si>
    <t>R1679</t>
  </si>
  <si>
    <t>protéines de lactosérum</t>
  </si>
  <si>
    <t>proteines de lactoserum</t>
  </si>
  <si>
    <t>R1680</t>
  </si>
  <si>
    <t>protéines de lait</t>
  </si>
  <si>
    <t>proteines de lait</t>
  </si>
  <si>
    <t>R1681</t>
  </si>
  <si>
    <t>provolone</t>
  </si>
  <si>
    <t>R1682</t>
  </si>
  <si>
    <t>quark</t>
  </si>
  <si>
    <t>R1683</t>
  </si>
  <si>
    <t>queso blanco</t>
  </si>
  <si>
    <t>R1684</t>
  </si>
  <si>
    <t>queso fresco</t>
  </si>
  <si>
    <t>R1685</t>
  </si>
  <si>
    <t>raclette</t>
  </si>
  <si>
    <t>R1686</t>
  </si>
  <si>
    <t>reblochon</t>
  </si>
  <si>
    <t>R1687</t>
  </si>
  <si>
    <t>red leicester</t>
  </si>
  <si>
    <t>R1688</t>
  </si>
  <si>
    <t>ricotta</t>
  </si>
  <si>
    <t>R1689</t>
  </si>
  <si>
    <t>rigotte de condrieu</t>
  </si>
  <si>
    <t>R1690</t>
  </si>
  <si>
    <t>rocamadour</t>
  </si>
  <si>
    <t>R1691</t>
  </si>
  <si>
    <t>roquefort</t>
  </si>
  <si>
    <t>R1692</t>
  </si>
  <si>
    <t>saint-félicien</t>
  </si>
  <si>
    <t>saint felicien</t>
  </si>
  <si>
    <t>R1693</t>
  </si>
  <si>
    <t>saint-marcellin</t>
  </si>
  <si>
    <t>saint marcellin</t>
  </si>
  <si>
    <t>R1694</t>
  </si>
  <si>
    <t>saint môret</t>
  </si>
  <si>
    <t>saint moret</t>
  </si>
  <si>
    <t>R1695</t>
  </si>
  <si>
    <t>saint nectaire</t>
  </si>
  <si>
    <t>R1696</t>
  </si>
  <si>
    <t>sainte-maure de touraine</t>
  </si>
  <si>
    <t>sainte maure de touraine</t>
  </si>
  <si>
    <t>R1697</t>
  </si>
  <si>
    <t>salers</t>
  </si>
  <si>
    <t>R1698</t>
  </si>
  <si>
    <t>sauce à la crème</t>
  </si>
  <si>
    <t>sauce a la creme</t>
  </si>
  <si>
    <t>R1699</t>
  </si>
  <si>
    <t>sauce au beurre</t>
  </si>
  <si>
    <t>R1700</t>
  </si>
  <si>
    <t>sauce au fromage</t>
  </si>
  <si>
    <t>R1701</t>
  </si>
  <si>
    <t>sauce fromagère</t>
  </si>
  <si>
    <t>sauce fromagere</t>
  </si>
  <si>
    <t>R1702</t>
  </si>
  <si>
    <t>sbrinz</t>
  </si>
  <si>
    <t>R1703</t>
  </si>
  <si>
    <t>scamorza</t>
  </si>
  <si>
    <t>R1704</t>
  </si>
  <si>
    <t>sélection de fromages</t>
  </si>
  <si>
    <t>selection de fromages</t>
  </si>
  <si>
    <t>R1705</t>
  </si>
  <si>
    <t>selles-sur-cher</t>
  </si>
  <si>
    <t>selles sur cher</t>
  </si>
  <si>
    <t>R1706</t>
  </si>
  <si>
    <t>serra da estrela</t>
  </si>
  <si>
    <t>R1707</t>
  </si>
  <si>
    <t>skyr</t>
  </si>
  <si>
    <t>R1708</t>
  </si>
  <si>
    <t>smoothie lacté</t>
  </si>
  <si>
    <t>smoothie lacte</t>
  </si>
  <si>
    <t>R1709</t>
  </si>
  <si>
    <t>solides du lait</t>
  </si>
  <si>
    <t>R1710</t>
  </si>
  <si>
    <t>soumaintrain</t>
  </si>
  <si>
    <t>R1711</t>
  </si>
  <si>
    <t>sour cream</t>
  </si>
  <si>
    <t>R1712</t>
  </si>
  <si>
    <t>stilton</t>
  </si>
  <si>
    <t>R1713</t>
  </si>
  <si>
    <t>stracchino</t>
  </si>
  <si>
    <t>R1714</t>
  </si>
  <si>
    <t>stracciatella</t>
  </si>
  <si>
    <t>R1715</t>
  </si>
  <si>
    <t>sulguni</t>
  </si>
  <si>
    <t>R1716</t>
  </si>
  <si>
    <t>taleggio</t>
  </si>
  <si>
    <t>R1717</t>
  </si>
  <si>
    <t>tartare fromage</t>
  </si>
  <si>
    <t>R1718</t>
  </si>
  <si>
    <t>tête de moine</t>
  </si>
  <si>
    <t>tete de moine</t>
  </si>
  <si>
    <t>R1719</t>
  </si>
  <si>
    <t>tetilla</t>
  </si>
  <si>
    <t>R1720</t>
  </si>
  <si>
    <t>tome</t>
  </si>
  <si>
    <t>R1721</t>
  </si>
  <si>
    <t>tome des bauges</t>
  </si>
  <si>
    <t>R1722</t>
  </si>
  <si>
    <t>tomme</t>
  </si>
  <si>
    <t>R1723</t>
  </si>
  <si>
    <t>tomme de savoie</t>
  </si>
  <si>
    <t>R1724</t>
  </si>
  <si>
    <t>vache qui rit</t>
  </si>
  <si>
    <t>R1725</t>
  </si>
  <si>
    <t>vacherin fribourgeois</t>
  </si>
  <si>
    <t>R1726</t>
  </si>
  <si>
    <t>vacherin mont d'or</t>
  </si>
  <si>
    <t>vacherin mont d or</t>
  </si>
  <si>
    <t>R1727</t>
  </si>
  <si>
    <t>valençay</t>
  </si>
  <si>
    <t>valencay</t>
  </si>
  <si>
    <t>R1728</t>
  </si>
  <si>
    <t>vieux pané</t>
  </si>
  <si>
    <t>vieux pane</t>
  </si>
  <si>
    <t>R1729</t>
  </si>
  <si>
    <t>wensleydale</t>
  </si>
  <si>
    <t>R1730</t>
  </si>
  <si>
    <t>whey</t>
  </si>
  <si>
    <t>R1731</t>
  </si>
  <si>
    <t>whey protein</t>
  </si>
  <si>
    <t>R1732</t>
  </si>
  <si>
    <t>whipping cream</t>
  </si>
  <si>
    <t>R1733</t>
  </si>
  <si>
    <t>yaourt</t>
  </si>
  <si>
    <t>R1734</t>
  </si>
  <si>
    <t>yaourt glacé</t>
  </si>
  <si>
    <t>yaourt glace</t>
  </si>
  <si>
    <t>R1735</t>
  </si>
  <si>
    <t>yaourt grec</t>
  </si>
  <si>
    <t>R1736</t>
  </si>
  <si>
    <t>yoghourt</t>
  </si>
  <si>
    <t>R1737</t>
  </si>
  <si>
    <t>yoghurt</t>
  </si>
  <si>
    <t>R1738</t>
  </si>
  <si>
    <t>yogourt</t>
  </si>
  <si>
    <t>R1739</t>
  </si>
  <si>
    <t>yogourt grec</t>
  </si>
  <si>
    <t>R1740</t>
  </si>
  <si>
    <t>yogurt</t>
  </si>
  <si>
    <t>R1741</t>
  </si>
  <si>
    <t>almond butter</t>
  </si>
  <si>
    <t>R1742</t>
  </si>
  <si>
    <t>almond milk</t>
  </si>
  <si>
    <t>R1743</t>
  </si>
  <si>
    <t>alternative végétale au fromage</t>
  </si>
  <si>
    <t>alternative vegetale au fromage</t>
  </si>
  <si>
    <t>Expression végétale ou non laitière neutralisant un faux positif.</t>
  </si>
  <si>
    <t>R1744</t>
  </si>
  <si>
    <t>beurre d amande</t>
  </si>
  <si>
    <t>Évite un faux positif.</t>
  </si>
  <si>
    <t>R1745</t>
  </si>
  <si>
    <t>R1746</t>
  </si>
  <si>
    <t>R1747</t>
  </si>
  <si>
    <t>beurre de cacao</t>
  </si>
  <si>
    <t>R1748</t>
  </si>
  <si>
    <t>beurre de cajou</t>
  </si>
  <si>
    <t>R1749</t>
  </si>
  <si>
    <t>beurre de coco</t>
  </si>
  <si>
    <t>R1750</t>
  </si>
  <si>
    <t>beurre de karité</t>
  </si>
  <si>
    <t>beurre de karite</t>
  </si>
  <si>
    <t>R1751</t>
  </si>
  <si>
    <t>beurre de noisette</t>
  </si>
  <si>
    <t>R1752</t>
  </si>
  <si>
    <t>boisson végétale</t>
  </si>
  <si>
    <t>boisson vegetale</t>
  </si>
  <si>
    <t>R1753</t>
  </si>
  <si>
    <t>cashew butter</t>
  </si>
  <si>
    <t>R1754</t>
  </si>
  <si>
    <t>cashew milk</t>
  </si>
  <si>
    <t>R1755</t>
  </si>
  <si>
    <t>cheddar vegan</t>
  </si>
  <si>
    <t>R1756</t>
  </si>
  <si>
    <t>cocoa butter</t>
  </si>
  <si>
    <t>R1757</t>
  </si>
  <si>
    <t>coconut cream</t>
  </si>
  <si>
    <t>R1758</t>
  </si>
  <si>
    <t>coconut milk</t>
  </si>
  <si>
    <t>R1759</t>
  </si>
  <si>
    <t>crème d'amande</t>
  </si>
  <si>
    <t>creme d amande</t>
  </si>
  <si>
    <t>R1760</t>
  </si>
  <si>
    <t>crème d'avoine</t>
  </si>
  <si>
    <t>creme d avoine</t>
  </si>
  <si>
    <t>R1761</t>
  </si>
  <si>
    <t>crème de cacao</t>
  </si>
  <si>
    <t>creme de cacao</t>
  </si>
  <si>
    <t>R1762</t>
  </si>
  <si>
    <t>crème de cajou</t>
  </si>
  <si>
    <t>creme de cajou</t>
  </si>
  <si>
    <t>R1763</t>
  </si>
  <si>
    <t>crème de cassis</t>
  </si>
  <si>
    <t>creme de cassis</t>
  </si>
  <si>
    <t>R1764</t>
  </si>
  <si>
    <t>crème de coco</t>
  </si>
  <si>
    <t>creme de coco</t>
  </si>
  <si>
    <t>R1765</t>
  </si>
  <si>
    <t>crème de marrons</t>
  </si>
  <si>
    <t>creme de marrons</t>
  </si>
  <si>
    <t>R1766</t>
  </si>
  <si>
    <t>crème de menthe</t>
  </si>
  <si>
    <t>creme de menthe</t>
  </si>
  <si>
    <t>R1767</t>
  </si>
  <si>
    <t>crème de riz</t>
  </si>
  <si>
    <t>creme de riz</t>
  </si>
  <si>
    <t>R1768</t>
  </si>
  <si>
    <t>Cuisine/Glacier/Bar</t>
  </si>
  <si>
    <t>Boisson ou crème végétale : ne doit pas déclencher l’allergène lait.</t>
  </si>
  <si>
    <t>R1769</t>
  </si>
  <si>
    <t>crème végétale</t>
  </si>
  <si>
    <t>creme vegetale</t>
  </si>
  <si>
    <t>R1770</t>
  </si>
  <si>
    <t>fauxmage</t>
  </si>
  <si>
    <t>R1771</t>
  </si>
  <si>
    <t>fromage de tête</t>
  </si>
  <si>
    <t>fromage de tete</t>
  </si>
  <si>
    <t>R1772</t>
  </si>
  <si>
    <t>fromage vegan</t>
  </si>
  <si>
    <t>R1773</t>
  </si>
  <si>
    <t>fromage végétal</t>
  </si>
  <si>
    <t>fromage vegetal</t>
  </si>
  <si>
    <t>R1774</t>
  </si>
  <si>
    <t>lait d amande</t>
  </si>
  <si>
    <t>R1775</t>
  </si>
  <si>
    <t>lait d avoine</t>
  </si>
  <si>
    <t>R1776</t>
  </si>
  <si>
    <t>lait de cajou</t>
  </si>
  <si>
    <t>R1777</t>
  </si>
  <si>
    <t>lait de chanvre</t>
  </si>
  <si>
    <t>R1778</t>
  </si>
  <si>
    <t>lait de coco</t>
  </si>
  <si>
    <t>R1779</t>
  </si>
  <si>
    <t>lait de noisette</t>
  </si>
  <si>
    <t>R1780</t>
  </si>
  <si>
    <t>lait de quinoa</t>
  </si>
  <si>
    <t>R1781</t>
  </si>
  <si>
    <t>lait de riz</t>
  </si>
  <si>
    <t>R1782</t>
  </si>
  <si>
    <t>R1783</t>
  </si>
  <si>
    <t>lait végétal</t>
  </si>
  <si>
    <t>lait vegetal</t>
  </si>
  <si>
    <t>R1784</t>
  </si>
  <si>
    <t>mozzarella végétale</t>
  </si>
  <si>
    <t>mozzarella vegetale</t>
  </si>
  <si>
    <t>R1785</t>
  </si>
  <si>
    <t>oat milk</t>
  </si>
  <si>
    <t>R1786</t>
  </si>
  <si>
    <t>parmesan vegan</t>
  </si>
  <si>
    <t>R1787</t>
  </si>
  <si>
    <t>parmesan végétal</t>
  </si>
  <si>
    <t>parmesan vegetal</t>
  </si>
  <si>
    <t>R1788</t>
  </si>
  <si>
    <t>R1789</t>
  </si>
  <si>
    <t>rice milk</t>
  </si>
  <si>
    <t>R1790</t>
  </si>
  <si>
    <t>R1791</t>
  </si>
  <si>
    <t>alfredo</t>
  </si>
  <si>
    <t>Produit composé généralement laitier : contrôler recette et fiche fournisseur.</t>
  </si>
  <si>
    <t>R1792</t>
  </si>
  <si>
    <t>aligot</t>
  </si>
  <si>
    <t>R1793</t>
  </si>
  <si>
    <t>R1794</t>
  </si>
  <si>
    <t>bavarois</t>
  </si>
  <si>
    <t>R1795</t>
  </si>
  <si>
    <t>béchamel</t>
  </si>
  <si>
    <t>bechamel</t>
  </si>
  <si>
    <t>R1796</t>
  </si>
  <si>
    <t>R1797</t>
  </si>
  <si>
    <t>R1798</t>
  </si>
  <si>
    <t>R1799</t>
  </si>
  <si>
    <t>R1800</t>
  </si>
  <si>
    <t>R1801</t>
  </si>
  <si>
    <t>R1802</t>
  </si>
  <si>
    <t>cheesecake</t>
  </si>
  <si>
    <t>R1803</t>
  </si>
  <si>
    <t>chocolat chaud</t>
  </si>
  <si>
    <t>R1804</t>
  </si>
  <si>
    <t>clafoutis</t>
  </si>
  <si>
    <t>R1805</t>
  </si>
  <si>
    <t>cocktail crémeux</t>
  </si>
  <si>
    <t>cocktail cremeux</t>
  </si>
  <si>
    <t>R1806</t>
  </si>
  <si>
    <t>R1807</t>
  </si>
  <si>
    <t>R1808</t>
  </si>
  <si>
    <t>R1809</t>
  </si>
  <si>
    <t>R1810</t>
  </si>
  <si>
    <t>R1811</t>
  </si>
  <si>
    <t>crème dessert</t>
  </si>
  <si>
    <t>creme dessert</t>
  </si>
  <si>
    <t>R1812</t>
  </si>
  <si>
    <t>crème diplomate</t>
  </si>
  <si>
    <t>creme diplomate</t>
  </si>
  <si>
    <t>R1813</t>
  </si>
  <si>
    <t>crème mousseline</t>
  </si>
  <si>
    <t>creme mousseline</t>
  </si>
  <si>
    <t>R1814</t>
  </si>
  <si>
    <t>R1815</t>
  </si>
  <si>
    <t>R1816</t>
  </si>
  <si>
    <t>croque-monsieur</t>
  </si>
  <si>
    <t>croque monsieur</t>
  </si>
  <si>
    <t>R1817</t>
  </si>
  <si>
    <t>croziflette</t>
  </si>
  <si>
    <t>R1818</t>
  </si>
  <si>
    <t>entremets</t>
  </si>
  <si>
    <t>R1819</t>
  </si>
  <si>
    <t>espresso martini crémeux</t>
  </si>
  <si>
    <t>espresso martini cremeux</t>
  </si>
  <si>
    <t>R1820</t>
  </si>
  <si>
    <t>far breton</t>
  </si>
  <si>
    <t>R1821</t>
  </si>
  <si>
    <t>R1822</t>
  </si>
  <si>
    <t>flan pâtissier</t>
  </si>
  <si>
    <t>flan patissier</t>
  </si>
  <si>
    <t>R1823</t>
  </si>
  <si>
    <t>fondue au fromage</t>
  </si>
  <si>
    <t>R1824</t>
  </si>
  <si>
    <t>fondue savoyarde</t>
  </si>
  <si>
    <t>R1825</t>
  </si>
  <si>
    <t>R1826</t>
  </si>
  <si>
    <t>R1827</t>
  </si>
  <si>
    <t>glace artisanale</t>
  </si>
  <si>
    <t>R1828</t>
  </si>
  <si>
    <t>glace italienne</t>
  </si>
  <si>
    <t>R1829</t>
  </si>
  <si>
    <t>gratin</t>
  </si>
  <si>
    <t>R1830</t>
  </si>
  <si>
    <t>gratin dauphinois</t>
  </si>
  <si>
    <t>R1831</t>
  </si>
  <si>
    <t>gratin de pommes de terre</t>
  </si>
  <si>
    <t>R1832</t>
  </si>
  <si>
    <t>irish coffee</t>
  </si>
  <si>
    <t>R1833</t>
  </si>
  <si>
    <t>liqueur à la crème</t>
  </si>
  <si>
    <t>liqueur a la creme</t>
  </si>
  <si>
    <t>R1834</t>
  </si>
  <si>
    <t>R1835</t>
  </si>
  <si>
    <t>R1836</t>
  </si>
  <si>
    <t>mousse au chocolat</t>
  </si>
  <si>
    <t>R1837</t>
  </si>
  <si>
    <t>mousseline de poisson</t>
  </si>
  <si>
    <t>R1838</t>
  </si>
  <si>
    <t>pain au lait</t>
  </si>
  <si>
    <t>R1839</t>
  </si>
  <si>
    <t>panna cotta</t>
  </si>
  <si>
    <t>R1840</t>
  </si>
  <si>
    <t>pâté en croûte</t>
  </si>
  <si>
    <t>pate en croute</t>
  </si>
  <si>
    <t>R1841</t>
  </si>
  <si>
    <t>pesto</t>
  </si>
  <si>
    <t>R1842</t>
  </si>
  <si>
    <t>piña colada</t>
  </si>
  <si>
    <t>pina colada</t>
  </si>
  <si>
    <t>R1843</t>
  </si>
  <si>
    <t>pommes dauphine</t>
  </si>
  <si>
    <t>R1844</t>
  </si>
  <si>
    <t>pommes duchesse</t>
  </si>
  <si>
    <t>R1845</t>
  </si>
  <si>
    <t>purée</t>
  </si>
  <si>
    <t>puree</t>
  </si>
  <si>
    <t>R1846</t>
  </si>
  <si>
    <t>purée instantanée</t>
  </si>
  <si>
    <t>puree instantanee</t>
  </si>
  <si>
    <t>R1847</t>
  </si>
  <si>
    <t>purée maison</t>
  </si>
  <si>
    <t>puree maison</t>
  </si>
  <si>
    <t>R1848</t>
  </si>
  <si>
    <t>R1849</t>
  </si>
  <si>
    <t>R1850</t>
  </si>
  <si>
    <t>raclette savoyarde</t>
  </si>
  <si>
    <t>R1851</t>
  </si>
  <si>
    <t>risotto crémeux</t>
  </si>
  <si>
    <t>risotto cremeux</t>
  </si>
  <si>
    <t>R1852</t>
  </si>
  <si>
    <t>riz au lait</t>
  </si>
  <si>
    <t>R1853</t>
  </si>
  <si>
    <t>R1854</t>
  </si>
  <si>
    <t>sauce blanche</t>
  </si>
  <si>
    <t>R1855</t>
  </si>
  <si>
    <t>sauce mornay</t>
  </si>
  <si>
    <t>R1856</t>
  </si>
  <si>
    <t>sauce pesto</t>
  </si>
  <si>
    <t>R1857</t>
  </si>
  <si>
    <t>sauce suprême</t>
  </si>
  <si>
    <t>sauce supreme</t>
  </si>
  <si>
    <t>R1858</t>
  </si>
  <si>
    <t>R1859</t>
  </si>
  <si>
    <t>semoule au lait</t>
  </si>
  <si>
    <t>R1860</t>
  </si>
  <si>
    <t>smoothie</t>
  </si>
  <si>
    <t>R1861</t>
  </si>
  <si>
    <t>soft serve</t>
  </si>
  <si>
    <t>R1862</t>
  </si>
  <si>
    <t>R1863</t>
  </si>
  <si>
    <t>sundae</t>
  </si>
  <si>
    <t>R1864</t>
  </si>
  <si>
    <t>tartiflette</t>
  </si>
  <si>
    <t>R1865</t>
  </si>
  <si>
    <t>R1866</t>
  </si>
  <si>
    <t>R1867</t>
  </si>
  <si>
    <t>truffade</t>
  </si>
  <si>
    <t>R1868</t>
  </si>
  <si>
    <t>velouté</t>
  </si>
  <si>
    <t>veloute</t>
  </si>
  <si>
    <t>R1869</t>
  </si>
  <si>
    <t>R1870</t>
  </si>
  <si>
    <t>white russian</t>
  </si>
  <si>
    <t>R1871</t>
  </si>
  <si>
    <t>R1872</t>
  </si>
  <si>
    <t>R1873</t>
  </si>
  <si>
    <t>R1874</t>
  </si>
  <si>
    <t>R1875</t>
  </si>
  <si>
    <t>R1876</t>
  </si>
  <si>
    <t>R1877</t>
  </si>
  <si>
    <t>R1878</t>
  </si>
  <si>
    <t>R1879</t>
  </si>
  <si>
    <t>R1880</t>
  </si>
  <si>
    <t>almond</t>
  </si>
  <si>
    <t>R1881</t>
  </si>
  <si>
    <t>almonds</t>
  </si>
  <si>
    <t>R1882</t>
  </si>
  <si>
    <t>amande</t>
  </si>
  <si>
    <t>Fruit à coque réglementaire ou dérivé.</t>
  </si>
  <si>
    <t>R1883</t>
  </si>
  <si>
    <t>amandes</t>
  </si>
  <si>
    <t>R1884</t>
  </si>
  <si>
    <t>baklava</t>
  </si>
  <si>
    <t>R1885</t>
  </si>
  <si>
    <t>baklawa</t>
  </si>
  <si>
    <t>R1886</t>
  </si>
  <si>
    <t>brazil nut</t>
  </si>
  <si>
    <t>R1887</t>
  </si>
  <si>
    <t>brazil nuts</t>
  </si>
  <si>
    <t>R1888</t>
  </si>
  <si>
    <t>cajou</t>
  </si>
  <si>
    <t>R1889</t>
  </si>
  <si>
    <t>cajous</t>
  </si>
  <si>
    <t>R1890</t>
  </si>
  <si>
    <t>cashew</t>
  </si>
  <si>
    <t>R1891</t>
  </si>
  <si>
    <t>cashews</t>
  </si>
  <si>
    <t>R1892</t>
  </si>
  <si>
    <t>cerneau de noix</t>
  </si>
  <si>
    <t>R1893</t>
  </si>
  <si>
    <t>cerneaux de noix</t>
  </si>
  <si>
    <t>R1894</t>
  </si>
  <si>
    <t>R1895</t>
  </si>
  <si>
    <t>farine de noisette</t>
  </si>
  <si>
    <t>R1896</t>
  </si>
  <si>
    <t>frangipane</t>
  </si>
  <si>
    <t>R1897</t>
  </si>
  <si>
    <t>gianduja</t>
  </si>
  <si>
    <t>R1898</t>
  </si>
  <si>
    <t>hazelnut</t>
  </si>
  <si>
    <t>R1899</t>
  </si>
  <si>
    <t>hazelnuts</t>
  </si>
  <si>
    <t>R1900</t>
  </si>
  <si>
    <t>huile de noix</t>
  </si>
  <si>
    <t>R1901</t>
  </si>
  <si>
    <t>huile de pistache</t>
  </si>
  <si>
    <t>R1902</t>
  </si>
  <si>
    <t>R1903</t>
  </si>
  <si>
    <t>R1904</t>
  </si>
  <si>
    <t>macadamia</t>
  </si>
  <si>
    <t>R1905</t>
  </si>
  <si>
    <t>macadamia nut</t>
  </si>
  <si>
    <t>R1906</t>
  </si>
  <si>
    <t>macadamia nuts</t>
  </si>
  <si>
    <t>R1907</t>
  </si>
  <si>
    <t>marzipan</t>
  </si>
  <si>
    <t>R1908</t>
  </si>
  <si>
    <t>massepain</t>
  </si>
  <si>
    <t>R1909</t>
  </si>
  <si>
    <t>noisette</t>
  </si>
  <si>
    <t>R1910</t>
  </si>
  <si>
    <t>noisettes</t>
  </si>
  <si>
    <t>R1911</t>
  </si>
  <si>
    <t>noix</t>
  </si>
  <si>
    <t>R1912</t>
  </si>
  <si>
    <t>noix de cajou</t>
  </si>
  <si>
    <t>R1913</t>
  </si>
  <si>
    <t>noix de macadamia</t>
  </si>
  <si>
    <t>R1914</t>
  </si>
  <si>
    <t>noix de pécan</t>
  </si>
  <si>
    <t>noix de pecan</t>
  </si>
  <si>
    <t>R1915</t>
  </si>
  <si>
    <t>noix du brésil</t>
  </si>
  <si>
    <t>noix du bresil</t>
  </si>
  <si>
    <t>R1916</t>
  </si>
  <si>
    <t>noix du queensland</t>
  </si>
  <si>
    <t>R1917</t>
  </si>
  <si>
    <t>nougat</t>
  </si>
  <si>
    <t>R1918</t>
  </si>
  <si>
    <t>nougatine</t>
  </si>
  <si>
    <t>R1919</t>
  </si>
  <si>
    <t>pacane</t>
  </si>
  <si>
    <t>R1920</t>
  </si>
  <si>
    <t>pâte d amande</t>
  </si>
  <si>
    <t>pate d amande</t>
  </si>
  <si>
    <t>R1921</t>
  </si>
  <si>
    <t>pâte de pistache</t>
  </si>
  <si>
    <t>pate de pistache</t>
  </si>
  <si>
    <t>R1922</t>
  </si>
  <si>
    <t>pécan</t>
  </si>
  <si>
    <t>pecan</t>
  </si>
  <si>
    <t>R1923</t>
  </si>
  <si>
    <t>pecans</t>
  </si>
  <si>
    <t>R1924</t>
  </si>
  <si>
    <t>pistache</t>
  </si>
  <si>
    <t>R1925</t>
  </si>
  <si>
    <t>pistaches</t>
  </si>
  <si>
    <t>R1926</t>
  </si>
  <si>
    <t>pistachio</t>
  </si>
  <si>
    <t>R1927</t>
  </si>
  <si>
    <t>pistachios</t>
  </si>
  <si>
    <t>R1928</t>
  </si>
  <si>
    <t>poudre d amande</t>
  </si>
  <si>
    <t>R1929</t>
  </si>
  <si>
    <t>poudre de noisette</t>
  </si>
  <si>
    <t>R1930</t>
  </si>
  <si>
    <t>poudre de pistache</t>
  </si>
  <si>
    <t>R1931</t>
  </si>
  <si>
    <t>pralin</t>
  </si>
  <si>
    <t>R1932</t>
  </si>
  <si>
    <t>praliné</t>
  </si>
  <si>
    <t>praline</t>
  </si>
  <si>
    <t>R1933</t>
  </si>
  <si>
    <t>purée d amande</t>
  </si>
  <si>
    <t>puree d amande</t>
  </si>
  <si>
    <t>R1934</t>
  </si>
  <si>
    <t>purée de cajou</t>
  </si>
  <si>
    <t>puree de cajou</t>
  </si>
  <si>
    <t>R1935</t>
  </si>
  <si>
    <t>purée de noisette</t>
  </si>
  <si>
    <t>puree de noisette</t>
  </si>
  <si>
    <t>R1936</t>
  </si>
  <si>
    <t>walnut</t>
  </si>
  <si>
    <t>R1937</t>
  </si>
  <si>
    <t>walnuts</t>
  </si>
  <si>
    <t>R1938</t>
  </si>
  <si>
    <t>amande de mer</t>
  </si>
  <si>
    <t>R1939</t>
  </si>
  <si>
    <t>amandes de mer</t>
  </si>
  <si>
    <t>R1940</t>
  </si>
  <si>
    <t>châtaigne</t>
  </si>
  <si>
    <t>chataigne</t>
  </si>
  <si>
    <t>R1941</t>
  </si>
  <si>
    <t>châtaignes</t>
  </si>
  <si>
    <t>chataignes</t>
  </si>
  <si>
    <t>R1942</t>
  </si>
  <si>
    <t>R1943</t>
  </si>
  <si>
    <t>eau de coco</t>
  </si>
  <si>
    <t>R1944</t>
  </si>
  <si>
    <t>graine de pin</t>
  </si>
  <si>
    <t>R1945</t>
  </si>
  <si>
    <t>huile de coco</t>
  </si>
  <si>
    <t>R1946</t>
  </si>
  <si>
    <t>R1947</t>
  </si>
  <si>
    <t>marron</t>
  </si>
  <si>
    <t>R1948</t>
  </si>
  <si>
    <t>marrons</t>
  </si>
  <si>
    <t>R1949</t>
  </si>
  <si>
    <t>muscade</t>
  </si>
  <si>
    <t>R1950</t>
  </si>
  <si>
    <t>noix de bœuf</t>
  </si>
  <si>
    <t>noix de boeuf</t>
  </si>
  <si>
    <t>R1951</t>
  </si>
  <si>
    <t>noix de coco</t>
  </si>
  <si>
    <t>R1952</t>
  </si>
  <si>
    <t>noix de joue</t>
  </si>
  <si>
    <t>R1953</t>
  </si>
  <si>
    <t>noix de kola</t>
  </si>
  <si>
    <t>R1954</t>
  </si>
  <si>
    <t>noix de muscade</t>
  </si>
  <si>
    <t>R1955</t>
  </si>
  <si>
    <t>noix de saint jacques</t>
  </si>
  <si>
    <t>R1956</t>
  </si>
  <si>
    <t>noix de st jacques</t>
  </si>
  <si>
    <t>R1957</t>
  </si>
  <si>
    <t>noix de veau</t>
  </si>
  <si>
    <t>R1958</t>
  </si>
  <si>
    <t>pignon</t>
  </si>
  <si>
    <t>R1959</t>
  </si>
  <si>
    <t>pignon de pin</t>
  </si>
  <si>
    <t>R1960</t>
  </si>
  <si>
    <t>pignons</t>
  </si>
  <si>
    <t>R1961</t>
  </si>
  <si>
    <t>amaretto</t>
  </si>
  <si>
    <t>R1962</t>
  </si>
  <si>
    <t>chocolat fourré</t>
  </si>
  <si>
    <t>chocolat fourre</t>
  </si>
  <si>
    <t>R1963</t>
  </si>
  <si>
    <t>falernum</t>
  </si>
  <si>
    <t>R1964</t>
  </si>
  <si>
    <t>R1965</t>
  </si>
  <si>
    <t>R1966</t>
  </si>
  <si>
    <t>frangelico</t>
  </si>
  <si>
    <t>R1967</t>
  </si>
  <si>
    <t>glace pralinée</t>
  </si>
  <si>
    <t>glace pralinee</t>
  </si>
  <si>
    <t>R1968</t>
  </si>
  <si>
    <t>granola</t>
  </si>
  <si>
    <t>R1969</t>
  </si>
  <si>
    <t>macaron</t>
  </si>
  <si>
    <t>R1970</t>
  </si>
  <si>
    <t>macarons</t>
  </si>
  <si>
    <t>R1971</t>
  </si>
  <si>
    <t>muesli</t>
  </si>
  <si>
    <t>R1972</t>
  </si>
  <si>
    <t>nocino</t>
  </si>
  <si>
    <t>R1973</t>
  </si>
  <si>
    <t>nougat glacé</t>
  </si>
  <si>
    <t>nougat glace</t>
  </si>
  <si>
    <t>R1974</t>
  </si>
  <si>
    <t>orgeat</t>
  </si>
  <si>
    <t>R1975</t>
  </si>
  <si>
    <t>R1976</t>
  </si>
  <si>
    <t>pistou</t>
  </si>
  <si>
    <t>R1977</t>
  </si>
  <si>
    <t>praliné feuilleté</t>
  </si>
  <si>
    <t>praline feuillete</t>
  </si>
  <si>
    <t>R1978</t>
  </si>
  <si>
    <t>céleri</t>
  </si>
  <si>
    <t>celeri</t>
  </si>
  <si>
    <t>Céleri ou dérivé.</t>
  </si>
  <si>
    <t>R1979</t>
  </si>
  <si>
    <t>céleri branche</t>
  </si>
  <si>
    <t>celeri branche</t>
  </si>
  <si>
    <t>R1980</t>
  </si>
  <si>
    <t>céleri rave</t>
  </si>
  <si>
    <t>celeri rave</t>
  </si>
  <si>
    <t>R1981</t>
  </si>
  <si>
    <t>celeriac</t>
  </si>
  <si>
    <t>R1982</t>
  </si>
  <si>
    <t>celery</t>
  </si>
  <si>
    <t>R1983</t>
  </si>
  <si>
    <t>extrait de céleri</t>
  </si>
  <si>
    <t>extrait de celeri</t>
  </si>
  <si>
    <t>R1984</t>
  </si>
  <si>
    <t>feuille de céleri</t>
  </si>
  <si>
    <t>feuille de celeri</t>
  </si>
  <si>
    <t>R1985</t>
  </si>
  <si>
    <t>feuilles de céleri</t>
  </si>
  <si>
    <t>feuilles de celeri</t>
  </si>
  <si>
    <t>R1986</t>
  </si>
  <si>
    <t>graine de céleri</t>
  </si>
  <si>
    <t>graine de celeri</t>
  </si>
  <si>
    <t>R1987</t>
  </si>
  <si>
    <t>graines de céleri</t>
  </si>
  <si>
    <t>graines de celeri</t>
  </si>
  <si>
    <t>R1988</t>
  </si>
  <si>
    <t>huile essentielle de céleri</t>
  </si>
  <si>
    <t>huile essentielle de celeri</t>
  </si>
  <si>
    <t>R1989</t>
  </si>
  <si>
    <t>jus de céleri</t>
  </si>
  <si>
    <t>jus de celeri</t>
  </si>
  <si>
    <t>R1990</t>
  </si>
  <si>
    <t>poudre de céleri</t>
  </si>
  <si>
    <t>poudre de celeri</t>
  </si>
  <si>
    <t>R1991</t>
  </si>
  <si>
    <t>sel de céleri</t>
  </si>
  <si>
    <t>sel de celeri</t>
  </si>
  <si>
    <t>R1992</t>
  </si>
  <si>
    <t>R1993</t>
  </si>
  <si>
    <t>bouillon de légumes</t>
  </si>
  <si>
    <t>bouillon de legumes</t>
  </si>
  <si>
    <t>R1994</t>
  </si>
  <si>
    <t>R1995</t>
  </si>
  <si>
    <t>court bouillon</t>
  </si>
  <si>
    <t>R1996</t>
  </si>
  <si>
    <t>R1997</t>
  </si>
  <si>
    <t>R1998</t>
  </si>
  <si>
    <t>fond de veau</t>
  </si>
  <si>
    <t>R1999</t>
  </si>
  <si>
    <t>jus de légumes</t>
  </si>
  <si>
    <t>jus de legumes</t>
  </si>
  <si>
    <t>R2000</t>
  </si>
  <si>
    <t>mirepoix</t>
  </si>
  <si>
    <t>R2001</t>
  </si>
  <si>
    <t>R2002</t>
  </si>
  <si>
    <t>potage industriel</t>
  </si>
  <si>
    <t>R2003</t>
  </si>
  <si>
    <t>R2004</t>
  </si>
  <si>
    <t>sel aromatisé</t>
  </si>
  <si>
    <t>sel aromatise</t>
  </si>
  <si>
    <t>R2005</t>
  </si>
  <si>
    <t>soupe industrielle</t>
  </si>
  <si>
    <t>R2006</t>
  </si>
  <si>
    <t>R2007</t>
  </si>
  <si>
    <t>extrait de moutarde</t>
  </si>
  <si>
    <t>Moutarde ou dérivé.</t>
  </si>
  <si>
    <t>R2008</t>
  </si>
  <si>
    <t>farine de moutarde</t>
  </si>
  <si>
    <t>R2009</t>
  </si>
  <si>
    <t>graine de moutarde</t>
  </si>
  <si>
    <t>R2010</t>
  </si>
  <si>
    <t>graines de moutarde</t>
  </si>
  <si>
    <t>R2011</t>
  </si>
  <si>
    <t>huile de moutarde</t>
  </si>
  <si>
    <t>R2012</t>
  </si>
  <si>
    <t>mayonnaise moutardée</t>
  </si>
  <si>
    <t>mayonnaise moutardee</t>
  </si>
  <si>
    <t>R2013</t>
  </si>
  <si>
    <t>moutarde</t>
  </si>
  <si>
    <t>R2014</t>
  </si>
  <si>
    <t>moutarde à l ancienne</t>
  </si>
  <si>
    <t>moutarde a l ancienne</t>
  </si>
  <si>
    <t>R2015</t>
  </si>
  <si>
    <t>moutarde de dijon</t>
  </si>
  <si>
    <t>R2016</t>
  </si>
  <si>
    <t>moutarde en grains</t>
  </si>
  <si>
    <t>R2017</t>
  </si>
  <si>
    <t>moutarde en poudre</t>
  </si>
  <si>
    <t>R2018</t>
  </si>
  <si>
    <t>moutardes</t>
  </si>
  <si>
    <t>R2019</t>
  </si>
  <si>
    <t>mustard</t>
  </si>
  <si>
    <t>R2020</t>
  </si>
  <si>
    <t>mustard seed</t>
  </si>
  <si>
    <t>R2021</t>
  </si>
  <si>
    <t>mustard seeds</t>
  </si>
  <si>
    <t>R2022</t>
  </si>
  <si>
    <t>sauce moutarde</t>
  </si>
  <si>
    <t>R2023</t>
  </si>
  <si>
    <t>savora</t>
  </si>
  <si>
    <t>R2024</t>
  </si>
  <si>
    <t>vinaigrette moutardée</t>
  </si>
  <si>
    <t>vinaigrette moutardee</t>
  </si>
  <si>
    <t>R2025</t>
  </si>
  <si>
    <t>R2026</t>
  </si>
  <si>
    <t>cornichons aigres doux</t>
  </si>
  <si>
    <t>R2027</t>
  </si>
  <si>
    <t>marinade</t>
  </si>
  <si>
    <t>R2028</t>
  </si>
  <si>
    <t>R2029</t>
  </si>
  <si>
    <t>R2030</t>
  </si>
  <si>
    <t>pickles</t>
  </si>
  <si>
    <t>R2031</t>
  </si>
  <si>
    <t>sauce barbecue</t>
  </si>
  <si>
    <t>R2032</t>
  </si>
  <si>
    <t>sauce burger</t>
  </si>
  <si>
    <t>R2033</t>
  </si>
  <si>
    <t>R2034</t>
  </si>
  <si>
    <t>R2035</t>
  </si>
  <si>
    <t>R2036</t>
  </si>
  <si>
    <t>R2037</t>
  </si>
  <si>
    <t>R2038</t>
  </si>
  <si>
    <t>R2039</t>
  </si>
  <si>
    <t>R2040</t>
  </si>
  <si>
    <t>gomashio</t>
  </si>
  <si>
    <t>Sésame ou dérivé.</t>
  </si>
  <si>
    <t>R2041</t>
  </si>
  <si>
    <t>gomasio</t>
  </si>
  <si>
    <t>R2042</t>
  </si>
  <si>
    <t>graine de sésame</t>
  </si>
  <si>
    <t>graine de sesame</t>
  </si>
  <si>
    <t>R2043</t>
  </si>
  <si>
    <t>graines de sésame</t>
  </si>
  <si>
    <t>graines de sesame</t>
  </si>
  <si>
    <t>R2044</t>
  </si>
  <si>
    <t>halva</t>
  </si>
  <si>
    <t>R2045</t>
  </si>
  <si>
    <t>halvah</t>
  </si>
  <si>
    <t>R2046</t>
  </si>
  <si>
    <t>huile de sésame</t>
  </si>
  <si>
    <t>huile de sesame</t>
  </si>
  <si>
    <t>R2047</t>
  </si>
  <si>
    <t>nougat de sésame</t>
  </si>
  <si>
    <t>nougat de sesame</t>
  </si>
  <si>
    <t>R2048</t>
  </si>
  <si>
    <t>pâte de sésame</t>
  </si>
  <si>
    <t>pate de sesame</t>
  </si>
  <si>
    <t>R2049</t>
  </si>
  <si>
    <t>purée de sésame</t>
  </si>
  <si>
    <t>puree de sesame</t>
  </si>
  <si>
    <t>R2050</t>
  </si>
  <si>
    <t>sésame</t>
  </si>
  <si>
    <t>sesame</t>
  </si>
  <si>
    <t>R2051</t>
  </si>
  <si>
    <t>sésame blanc</t>
  </si>
  <si>
    <t>sesame blanc</t>
  </si>
  <si>
    <t>R2052</t>
  </si>
  <si>
    <t>sésame noir</t>
  </si>
  <si>
    <t>sesame noir</t>
  </si>
  <si>
    <t>R2053</t>
  </si>
  <si>
    <t>sesame oil</t>
  </si>
  <si>
    <t>R2054</t>
  </si>
  <si>
    <t>sesame seed</t>
  </si>
  <si>
    <t>R2055</t>
  </si>
  <si>
    <t>sesame seeds</t>
  </si>
  <si>
    <t>R2056</t>
  </si>
  <si>
    <t>tahin</t>
  </si>
  <si>
    <t>R2057</t>
  </si>
  <si>
    <t>tahina</t>
  </si>
  <si>
    <t>R2058</t>
  </si>
  <si>
    <t>tahini</t>
  </si>
  <si>
    <t>R2059</t>
  </si>
  <si>
    <t>barre céréalière</t>
  </si>
  <si>
    <t>barre cerealiere</t>
  </si>
  <si>
    <t>R2060</t>
  </si>
  <si>
    <t>bun</t>
  </si>
  <si>
    <t>R2061</t>
  </si>
  <si>
    <t>buns</t>
  </si>
  <si>
    <t>R2062</t>
  </si>
  <si>
    <t>R2063</t>
  </si>
  <si>
    <t>falafel</t>
  </si>
  <si>
    <t>R2064</t>
  </si>
  <si>
    <t>R2065</t>
  </si>
  <si>
    <t>houmous</t>
  </si>
  <si>
    <t>R2066</t>
  </si>
  <si>
    <t>hummus</t>
  </si>
  <si>
    <t>R2067</t>
  </si>
  <si>
    <t>R2068</t>
  </si>
  <si>
    <t>pain burger</t>
  </si>
  <si>
    <t>R2069</t>
  </si>
  <si>
    <t>pain libanais</t>
  </si>
  <si>
    <t>R2070</t>
  </si>
  <si>
    <t>pain oriental</t>
  </si>
  <si>
    <t>R2071</t>
  </si>
  <si>
    <t>R2072</t>
  </si>
  <si>
    <t>za atar</t>
  </si>
  <si>
    <t>R2073</t>
  </si>
  <si>
    <t>zaatar</t>
  </si>
  <si>
    <t>R2074</t>
  </si>
  <si>
    <t>acide sulfureux</t>
  </si>
  <si>
    <t>Sulfites explicitement déclarés.</t>
  </si>
  <si>
    <t>R2075</t>
  </si>
  <si>
    <t>anhydride sulfureux</t>
  </si>
  <si>
    <t>R2076</t>
  </si>
  <si>
    <t>bisulfite</t>
  </si>
  <si>
    <t>R2077</t>
  </si>
  <si>
    <t>dioxyde de soufre</t>
  </si>
  <si>
    <t>R2078</t>
  </si>
  <si>
    <t>E220</t>
  </si>
  <si>
    <t>e220</t>
  </si>
  <si>
    <t>R2079</t>
  </si>
  <si>
    <t>E221</t>
  </si>
  <si>
    <t>e221</t>
  </si>
  <si>
    <t>R2080</t>
  </si>
  <si>
    <t>E222</t>
  </si>
  <si>
    <t>e222</t>
  </si>
  <si>
    <t>R2081</t>
  </si>
  <si>
    <t>E223</t>
  </si>
  <si>
    <t>e223</t>
  </si>
  <si>
    <t>R2082</t>
  </si>
  <si>
    <t>E224</t>
  </si>
  <si>
    <t>e224</t>
  </si>
  <si>
    <t>R2083</t>
  </si>
  <si>
    <t>E225</t>
  </si>
  <si>
    <t>e225</t>
  </si>
  <si>
    <t>R2084</t>
  </si>
  <si>
    <t>E226</t>
  </si>
  <si>
    <t>e226</t>
  </si>
  <si>
    <t>R2085</t>
  </si>
  <si>
    <t>E227</t>
  </si>
  <si>
    <t>e227</t>
  </si>
  <si>
    <t>R2086</t>
  </si>
  <si>
    <t>E228</t>
  </si>
  <si>
    <t>e228</t>
  </si>
  <si>
    <t>R2087</t>
  </si>
  <si>
    <t>hydrogénosulfite</t>
  </si>
  <si>
    <t>hydrogenosulfite</t>
  </si>
  <si>
    <t>R2088</t>
  </si>
  <si>
    <t>métabisulfite</t>
  </si>
  <si>
    <t>metabisulfite</t>
  </si>
  <si>
    <t>R2089</t>
  </si>
  <si>
    <t>sulfite</t>
  </si>
  <si>
    <t>R2090</t>
  </si>
  <si>
    <t>sulfites</t>
  </si>
  <si>
    <t>R2091</t>
  </si>
  <si>
    <t>sulfur dioxide</t>
  </si>
  <si>
    <t>R2092</t>
  </si>
  <si>
    <t>sulphite</t>
  </si>
  <si>
    <t>R2093</t>
  </si>
  <si>
    <t>sulphites</t>
  </si>
  <si>
    <t>R2094</t>
  </si>
  <si>
    <t>sulphur dioxide</t>
  </si>
  <si>
    <t>R2095</t>
  </si>
  <si>
    <t>abricots secs</t>
  </si>
  <si>
    <t>Présence et seuil variables.</t>
  </si>
  <si>
    <t>R2096</t>
  </si>
  <si>
    <t>R2097</t>
  </si>
  <si>
    <t>cava</t>
  </si>
  <si>
    <t>R2098</t>
  </si>
  <si>
    <t>cerises confites</t>
  </si>
  <si>
    <t>R2099</t>
  </si>
  <si>
    <t>champagne</t>
  </si>
  <si>
    <t>R2100</t>
  </si>
  <si>
    <t>cidre</t>
  </si>
  <si>
    <t>R2101</t>
  </si>
  <si>
    <t>cocktail au vin</t>
  </si>
  <si>
    <t>R2102</t>
  </si>
  <si>
    <t>cocktail premix</t>
  </si>
  <si>
    <t>R2103</t>
  </si>
  <si>
    <t>crémant</t>
  </si>
  <si>
    <t>cremant</t>
  </si>
  <si>
    <t>R2104</t>
  </si>
  <si>
    <t>crevettes traitées</t>
  </si>
  <si>
    <t>crevettes traitees</t>
  </si>
  <si>
    <t>R2105</t>
  </si>
  <si>
    <t>figues sèches</t>
  </si>
  <si>
    <t>figues seches</t>
  </si>
  <si>
    <t>R2106</t>
  </si>
  <si>
    <t>fruits confits</t>
  </si>
  <si>
    <t>R2107</t>
  </si>
  <si>
    <t>fruits secs</t>
  </si>
  <si>
    <t>R2108</t>
  </si>
  <si>
    <t>jus de citron en bouteille</t>
  </si>
  <si>
    <t>R2109</t>
  </si>
  <si>
    <t>jus de lime en bouteille</t>
  </si>
  <si>
    <t>R2110</t>
  </si>
  <si>
    <t>kir</t>
  </si>
  <si>
    <t>R2111</t>
  </si>
  <si>
    <t>kir royal</t>
  </si>
  <si>
    <t>R2112</t>
  </si>
  <si>
    <t>madère</t>
  </si>
  <si>
    <t>madere</t>
  </si>
  <si>
    <t>R2113</t>
  </si>
  <si>
    <t>poiré</t>
  </si>
  <si>
    <t>zzzxq_poire_boisson_qxzzz</t>
  </si>
  <si>
    <t>Le mot « poiré » est contrôlé avec son accent dans une formule dédiée afin de ne pas confondre avec « poire ».</t>
  </si>
  <si>
    <t>R2114</t>
  </si>
  <si>
    <t>pommes de terre déshydratées</t>
  </si>
  <si>
    <t>pommes de terre deshydratees</t>
  </si>
  <si>
    <t>R2115</t>
  </si>
  <si>
    <t>porto</t>
  </si>
  <si>
    <t>R2116</t>
  </si>
  <si>
    <t>préparation cocktail</t>
  </si>
  <si>
    <t>preparation cocktail</t>
  </si>
  <si>
    <t>R2117</t>
  </si>
  <si>
    <t>prosecco</t>
  </si>
  <si>
    <t>R2118</t>
  </si>
  <si>
    <t>pruneaux</t>
  </si>
  <si>
    <t>R2119</t>
  </si>
  <si>
    <t>purée déshydratée</t>
  </si>
  <si>
    <t>puree deshydratee</t>
  </si>
  <si>
    <t>R2120</t>
  </si>
  <si>
    <t>raisins secs</t>
  </si>
  <si>
    <t>R2121</t>
  </si>
  <si>
    <t>sangria</t>
  </si>
  <si>
    <t>R2122</t>
  </si>
  <si>
    <t>sherry</t>
  </si>
  <si>
    <t>R2123</t>
  </si>
  <si>
    <t>sirop industriel</t>
  </si>
  <si>
    <t>R2124</t>
  </si>
  <si>
    <t>spritz</t>
  </si>
  <si>
    <t>R2125</t>
  </si>
  <si>
    <t>vermouth</t>
  </si>
  <si>
    <t>R2126</t>
  </si>
  <si>
    <t>vin</t>
  </si>
  <si>
    <t>R2127</t>
  </si>
  <si>
    <t>vin blanc</t>
  </si>
  <si>
    <t>R2128</t>
  </si>
  <si>
    <t>vin rosé</t>
  </si>
  <si>
    <t>vin rose</t>
  </si>
  <si>
    <t>R2129</t>
  </si>
  <si>
    <t>vin rouge</t>
  </si>
  <si>
    <t>R2130</t>
  </si>
  <si>
    <t>vinaigre balsamique</t>
  </si>
  <si>
    <t>R2131</t>
  </si>
  <si>
    <t>vinaigre de cidre</t>
  </si>
  <si>
    <t>R2132</t>
  </si>
  <si>
    <t>vinaigre de vin</t>
  </si>
  <si>
    <t>Classé en allergène certain dans ce moteur pour le vinaigre de vin.</t>
  </si>
  <si>
    <t>R2133</t>
  </si>
  <si>
    <t>wine cocktail</t>
  </si>
  <si>
    <t>R2134</t>
  </si>
  <si>
    <t>xérès</t>
  </si>
  <si>
    <t>xeres</t>
  </si>
  <si>
    <t>R2135</t>
  </si>
  <si>
    <t>Lupin ou dérivé.</t>
  </si>
  <si>
    <t>R2136</t>
  </si>
  <si>
    <t>graine de lupin</t>
  </si>
  <si>
    <t>R2137</t>
  </si>
  <si>
    <t>graines de lupin</t>
  </si>
  <si>
    <t>R2138</t>
  </si>
  <si>
    <t>isolat de lupin</t>
  </si>
  <si>
    <t>R2139</t>
  </si>
  <si>
    <t>lupin</t>
  </si>
  <si>
    <t>R2140</t>
  </si>
  <si>
    <t>lupin doux</t>
  </si>
  <si>
    <t>R2141</t>
  </si>
  <si>
    <t>lupine</t>
  </si>
  <si>
    <t>R2142</t>
  </si>
  <si>
    <t>lupine flour</t>
  </si>
  <si>
    <t>R2143</t>
  </si>
  <si>
    <t>lupins</t>
  </si>
  <si>
    <t>R2144</t>
  </si>
  <si>
    <t>protéine de lupin</t>
  </si>
  <si>
    <t>proteine de lupin</t>
  </si>
  <si>
    <t>R2145</t>
  </si>
  <si>
    <t>protéines de lupin</t>
  </si>
  <si>
    <t>proteines de lupin</t>
  </si>
  <si>
    <t>R2146</t>
  </si>
  <si>
    <t>semoule de lupin</t>
  </si>
  <si>
    <t>R2147</t>
  </si>
  <si>
    <t>son de lupin</t>
  </si>
  <si>
    <t>R2148</t>
  </si>
  <si>
    <t>Ingrédient possible dans certaines formulations.</t>
  </si>
  <si>
    <t>R2149</t>
  </si>
  <si>
    <t>R2150</t>
  </si>
  <si>
    <t>R2151</t>
  </si>
  <si>
    <t>préparation boulangère sans gluten</t>
  </si>
  <si>
    <t>preparation boulangere sans gluten</t>
  </si>
  <si>
    <t>R2152</t>
  </si>
  <si>
    <t>R2153</t>
  </si>
  <si>
    <t>substitut d œuf</t>
  </si>
  <si>
    <t>substitut d oeuf</t>
  </si>
  <si>
    <t>R2154</t>
  </si>
  <si>
    <t>acmee</t>
  </si>
  <si>
    <t>2025-2026</t>
  </si>
  <si>
    <t>R2155</t>
  </si>
  <si>
    <t>amande de l atlantique</t>
  </si>
  <si>
    <t>R2156</t>
  </si>
  <si>
    <t>amande de mediterrannee</t>
  </si>
  <si>
    <t>R2157</t>
  </si>
  <si>
    <t>R2158</t>
  </si>
  <si>
    <t>amande du pacifique</t>
  </si>
  <si>
    <t>R2159</t>
  </si>
  <si>
    <t>Terme métier explicite ajouté après test.</t>
  </si>
  <si>
    <t>R2160</t>
  </si>
  <si>
    <t>anomie</t>
  </si>
  <si>
    <t>R2161</t>
  </si>
  <si>
    <t>arapede</t>
  </si>
  <si>
    <t>R2162</t>
  </si>
  <si>
    <t>arapede du pacifique</t>
  </si>
  <si>
    <t>R2163</t>
  </si>
  <si>
    <t>arche</t>
  </si>
  <si>
    <t>R2164</t>
  </si>
  <si>
    <t>avicule</t>
  </si>
  <si>
    <t>R2165</t>
  </si>
  <si>
    <t>berlingot de mer</t>
  </si>
  <si>
    <t>R2166</t>
  </si>
  <si>
    <t>bernique</t>
  </si>
  <si>
    <t>R2167</t>
  </si>
  <si>
    <t>bigorneau</t>
  </si>
  <si>
    <t>R2168</t>
  </si>
  <si>
    <t>bigorneaux</t>
  </si>
  <si>
    <t>Mollusque ou dérivé explicite.</t>
  </si>
  <si>
    <t>R2169</t>
  </si>
  <si>
    <t>bucarde</t>
  </si>
  <si>
    <t>R2170</t>
  </si>
  <si>
    <t>buccin</t>
  </si>
  <si>
    <t>R2171</t>
  </si>
  <si>
    <t>buccins</t>
  </si>
  <si>
    <t>R2172</t>
  </si>
  <si>
    <t>bullie</t>
  </si>
  <si>
    <t>R2173</t>
  </si>
  <si>
    <t>bulot</t>
  </si>
  <si>
    <t>R2174</t>
  </si>
  <si>
    <t>bulots</t>
  </si>
  <si>
    <t>R2175</t>
  </si>
  <si>
    <t>busycon</t>
  </si>
  <si>
    <t>R2176</t>
  </si>
  <si>
    <t>calamar</t>
  </si>
  <si>
    <t>R2177</t>
  </si>
  <si>
    <t>calamars</t>
  </si>
  <si>
    <t>R2178</t>
  </si>
  <si>
    <t>calmar</t>
  </si>
  <si>
    <t>R2179</t>
  </si>
  <si>
    <t>calmar baril</t>
  </si>
  <si>
    <t>R2180</t>
  </si>
  <si>
    <t>calmar de patagonie</t>
  </si>
  <si>
    <t>R2181</t>
  </si>
  <si>
    <t>calmar du cap</t>
  </si>
  <si>
    <t>R2182</t>
  </si>
  <si>
    <t>calmar epee</t>
  </si>
  <si>
    <t>R2183</t>
  </si>
  <si>
    <t>calmar geant</t>
  </si>
  <si>
    <t>R2184</t>
  </si>
  <si>
    <t>calmar indien</t>
  </si>
  <si>
    <t>R2185</t>
  </si>
  <si>
    <t>calmar japonais</t>
  </si>
  <si>
    <t>R2186</t>
  </si>
  <si>
    <t>calmar mignon</t>
  </si>
  <si>
    <t>R2187</t>
  </si>
  <si>
    <t>calmar mitre</t>
  </si>
  <si>
    <t>R2188</t>
  </si>
  <si>
    <t>calmar opale</t>
  </si>
  <si>
    <t>R2189</t>
  </si>
  <si>
    <t>calmar siboga</t>
  </si>
  <si>
    <t>R2190</t>
  </si>
  <si>
    <t>calmars</t>
  </si>
  <si>
    <t>R2191</t>
  </si>
  <si>
    <t>cardite</t>
  </si>
  <si>
    <t>R2192</t>
  </si>
  <si>
    <t>casque</t>
  </si>
  <si>
    <t>R2193</t>
  </si>
  <si>
    <t>casseron</t>
  </si>
  <si>
    <t>R2194</t>
  </si>
  <si>
    <t>ceratisole gousse</t>
  </si>
  <si>
    <t>R2195</t>
  </si>
  <si>
    <t>chanque</t>
  </si>
  <si>
    <t>R2196</t>
  </si>
  <si>
    <t>clam</t>
  </si>
  <si>
    <t>R2197</t>
  </si>
  <si>
    <t>clam d islande</t>
  </si>
  <si>
    <t>R2198</t>
  </si>
  <si>
    <t>clams</t>
  </si>
  <si>
    <t>R2199</t>
  </si>
  <si>
    <t>clausinelle</t>
  </si>
  <si>
    <t>R2200</t>
  </si>
  <si>
    <t>clovisse</t>
  </si>
  <si>
    <t>R2201</t>
  </si>
  <si>
    <t>conque</t>
  </si>
  <si>
    <t>R2202</t>
  </si>
  <si>
    <t>coque</t>
  </si>
  <si>
    <t>R2203</t>
  </si>
  <si>
    <t>coque du groenland</t>
  </si>
  <si>
    <t>R2204</t>
  </si>
  <si>
    <t>coque epineuse</t>
  </si>
  <si>
    <t>R2205</t>
  </si>
  <si>
    <t>coques</t>
  </si>
  <si>
    <t>R2206</t>
  </si>
  <si>
    <t>coquillage</t>
  </si>
  <si>
    <t>R2207</t>
  </si>
  <si>
    <t>coquillages</t>
  </si>
  <si>
    <t>R2208</t>
  </si>
  <si>
    <t>coquille saint jacques</t>
  </si>
  <si>
    <t>R2209</t>
  </si>
  <si>
    <t>coquilles saint jacques</t>
  </si>
  <si>
    <t>R2210</t>
  </si>
  <si>
    <t>corbicule</t>
  </si>
  <si>
    <t>R2211</t>
  </si>
  <si>
    <t>couteau</t>
  </si>
  <si>
    <t>R2212</t>
  </si>
  <si>
    <t>couteaux</t>
  </si>
  <si>
    <t>R2213</t>
  </si>
  <si>
    <t>crepidule</t>
  </si>
  <si>
    <t>R2214</t>
  </si>
  <si>
    <t>cuttlefish</t>
  </si>
  <si>
    <t>R2215</t>
  </si>
  <si>
    <t>cyprine</t>
  </si>
  <si>
    <t>R2216</t>
  </si>
  <si>
    <t>cyrene</t>
  </si>
  <si>
    <t>R2217</t>
  </si>
  <si>
    <t>cytheree</t>
  </si>
  <si>
    <t>R2218</t>
  </si>
  <si>
    <t>darine</t>
  </si>
  <si>
    <t>R2219</t>
  </si>
  <si>
    <t>datte de mer</t>
  </si>
  <si>
    <t>R2220</t>
  </si>
  <si>
    <t>donace</t>
  </si>
  <si>
    <t>R2221</t>
  </si>
  <si>
    <t>dosinie</t>
  </si>
  <si>
    <t>R2222</t>
  </si>
  <si>
    <t>egerie</t>
  </si>
  <si>
    <t>R2223</t>
  </si>
  <si>
    <t>encornet</t>
  </si>
  <si>
    <t>R2224</t>
  </si>
  <si>
    <t>encornet bande violette</t>
  </si>
  <si>
    <t>R2225</t>
  </si>
  <si>
    <t>encornet de boston</t>
  </si>
  <si>
    <t>R2226</t>
  </si>
  <si>
    <t>encornet de californie</t>
  </si>
  <si>
    <t>R2227</t>
  </si>
  <si>
    <t>encornet de chine</t>
  </si>
  <si>
    <t>R2228</t>
  </si>
  <si>
    <t>encornet de nouvelle zelande</t>
  </si>
  <si>
    <t>R2229</t>
  </si>
  <si>
    <t>encornet geant</t>
  </si>
  <si>
    <t>R2230</t>
  </si>
  <si>
    <t>encornet rouge</t>
  </si>
  <si>
    <t>R2231</t>
  </si>
  <si>
    <t>encornet rouge argentin</t>
  </si>
  <si>
    <t>R2232</t>
  </si>
  <si>
    <t>encornet rouge nordique</t>
  </si>
  <si>
    <t>R2233</t>
  </si>
  <si>
    <t>encornet tonnelet</t>
  </si>
  <si>
    <t>R2234</t>
  </si>
  <si>
    <t>encornet veine</t>
  </si>
  <si>
    <t>R2235</t>
  </si>
  <si>
    <t>encornets</t>
  </si>
  <si>
    <t>R2236</t>
  </si>
  <si>
    <t>encre de seiche</t>
  </si>
  <si>
    <t>R2237</t>
  </si>
  <si>
    <t>escargot</t>
  </si>
  <si>
    <t>R2238</t>
  </si>
  <si>
    <t>escargots</t>
  </si>
  <si>
    <t>R2239</t>
  </si>
  <si>
    <t>extrait d huître</t>
  </si>
  <si>
    <t>extrait d huitre</t>
  </si>
  <si>
    <t>R2240</t>
  </si>
  <si>
    <t>fasciolaire</t>
  </si>
  <si>
    <t>R2241</t>
  </si>
  <si>
    <t>fissurelle</t>
  </si>
  <si>
    <t>R2242</t>
  </si>
  <si>
    <t>flion</t>
  </si>
  <si>
    <t>R2243</t>
  </si>
  <si>
    <t>fruits de mer</t>
  </si>
  <si>
    <t>R2244</t>
  </si>
  <si>
    <t>fumet de coquillages</t>
  </si>
  <si>
    <t>R2245</t>
  </si>
  <si>
    <t>gallinette</t>
  </si>
  <si>
    <t>R2246</t>
  </si>
  <si>
    <t>gofiche</t>
  </si>
  <si>
    <t>R2247</t>
  </si>
  <si>
    <t>goufique</t>
  </si>
  <si>
    <t>R2248</t>
  </si>
  <si>
    <t>gousse</t>
  </si>
  <si>
    <t>R2249</t>
  </si>
  <si>
    <t>haricot de mer</t>
  </si>
  <si>
    <t>R2250</t>
  </si>
  <si>
    <t>huître</t>
  </si>
  <si>
    <t>huitre</t>
  </si>
  <si>
    <t>R2251</t>
  </si>
  <si>
    <t>huitre capuchon</t>
  </si>
  <si>
    <t>R2252</t>
  </si>
  <si>
    <t>huitre creuse</t>
  </si>
  <si>
    <t>R2253</t>
  </si>
  <si>
    <t>huitre creuse de paletuviers</t>
  </si>
  <si>
    <t>R2254</t>
  </si>
  <si>
    <t>huitre creuse de virginie</t>
  </si>
  <si>
    <t>R2255</t>
  </si>
  <si>
    <t>huitre creuse du pacifique</t>
  </si>
  <si>
    <t>R2256</t>
  </si>
  <si>
    <t>huitre perliere</t>
  </si>
  <si>
    <t>R2257</t>
  </si>
  <si>
    <t>huitre plate</t>
  </si>
  <si>
    <t>R2258</t>
  </si>
  <si>
    <t>huitre plate d argentine</t>
  </si>
  <si>
    <t>R2259</t>
  </si>
  <si>
    <t>huitre plate de guinee</t>
  </si>
  <si>
    <t>R2260</t>
  </si>
  <si>
    <t>huitre plate des marees</t>
  </si>
  <si>
    <t>R2261</t>
  </si>
  <si>
    <t>huitre plate du pacifique</t>
  </si>
  <si>
    <t>R2262</t>
  </si>
  <si>
    <t>huîtres</t>
  </si>
  <si>
    <t>huitres</t>
  </si>
  <si>
    <t>R2263</t>
  </si>
  <si>
    <t>isocarde</t>
  </si>
  <si>
    <t>R2264</t>
  </si>
  <si>
    <t>jambonneau de mer</t>
  </si>
  <si>
    <t>R2265</t>
  </si>
  <si>
    <t>jus de coquillages</t>
  </si>
  <si>
    <t>R2266</t>
  </si>
  <si>
    <t>lambi</t>
  </si>
  <si>
    <t>R2267</t>
  </si>
  <si>
    <t>lavignon</t>
  </si>
  <si>
    <t>R2268</t>
  </si>
  <si>
    <t>littorine</t>
  </si>
  <si>
    <t>R2269</t>
  </si>
  <si>
    <t>lucine</t>
  </si>
  <si>
    <t>R2270</t>
  </si>
  <si>
    <t>lutraire</t>
  </si>
  <si>
    <t>R2271</t>
  </si>
  <si>
    <t>macome</t>
  </si>
  <si>
    <t>R2272</t>
  </si>
  <si>
    <t>mactre</t>
  </si>
  <si>
    <t>R2273</t>
  </si>
  <si>
    <t>mactre arctique</t>
  </si>
  <si>
    <t>R2274</t>
  </si>
  <si>
    <t>mactre de stimpson</t>
  </si>
  <si>
    <t>R2275</t>
  </si>
  <si>
    <t>marteau</t>
  </si>
  <si>
    <t>R2276</t>
  </si>
  <si>
    <t>melongene</t>
  </si>
  <si>
    <t>R2277</t>
  </si>
  <si>
    <t>mesodesme</t>
  </si>
  <si>
    <t>R2278</t>
  </si>
  <si>
    <t>modiole</t>
  </si>
  <si>
    <t>R2279</t>
  </si>
  <si>
    <t>mollusc</t>
  </si>
  <si>
    <t>R2280</t>
  </si>
  <si>
    <t>molluscs</t>
  </si>
  <si>
    <t>R2281</t>
  </si>
  <si>
    <t>mollusque</t>
  </si>
  <si>
    <t>R2282</t>
  </si>
  <si>
    <t>mollusques</t>
  </si>
  <si>
    <t>R2283</t>
  </si>
  <si>
    <t>montre</t>
  </si>
  <si>
    <t>R2284</t>
  </si>
  <si>
    <t>moule</t>
  </si>
  <si>
    <t>R2285</t>
  </si>
  <si>
    <t>moule africaine</t>
  </si>
  <si>
    <t>R2286</t>
  </si>
  <si>
    <t>moule cholga</t>
  </si>
  <si>
    <t>R2287</t>
  </si>
  <si>
    <t>moule choro</t>
  </si>
  <si>
    <t>R2288</t>
  </si>
  <si>
    <t>moule cotelee</t>
  </si>
  <si>
    <t>R2289</t>
  </si>
  <si>
    <t>moule de guyane</t>
  </si>
  <si>
    <t>R2290</t>
  </si>
  <si>
    <t>moule de la plata</t>
  </si>
  <si>
    <t>R2291</t>
  </si>
  <si>
    <t>moule du pacifique</t>
  </si>
  <si>
    <t>R2292</t>
  </si>
  <si>
    <t>moule melin</t>
  </si>
  <si>
    <t>R2293</t>
  </si>
  <si>
    <t>moule pourpre</t>
  </si>
  <si>
    <t>R2294</t>
  </si>
  <si>
    <t>moules</t>
  </si>
  <si>
    <t>R2295</t>
  </si>
  <si>
    <t>murex</t>
  </si>
  <si>
    <t>R2296</t>
  </si>
  <si>
    <t>mussel</t>
  </si>
  <si>
    <t>R2297</t>
  </si>
  <si>
    <t>mussels</t>
  </si>
  <si>
    <t>R2298</t>
  </si>
  <si>
    <t>mye</t>
  </si>
  <si>
    <t>R2299</t>
  </si>
  <si>
    <t>nasse</t>
  </si>
  <si>
    <t>R2300</t>
  </si>
  <si>
    <t>natice</t>
  </si>
  <si>
    <t>R2301</t>
  </si>
  <si>
    <t>nerite</t>
  </si>
  <si>
    <t>R2302</t>
  </si>
  <si>
    <t>noisette de mer</t>
  </si>
  <si>
    <t>R2303</t>
  </si>
  <si>
    <t>R2304</t>
  </si>
  <si>
    <t>R2305</t>
  </si>
  <si>
    <t>octopus</t>
  </si>
  <si>
    <t>R2306</t>
  </si>
  <si>
    <t>olive de mer</t>
  </si>
  <si>
    <t>R2307</t>
  </si>
  <si>
    <t>ormeau</t>
  </si>
  <si>
    <t>R2308</t>
  </si>
  <si>
    <t>ormeau d australie</t>
  </si>
  <si>
    <t>R2309</t>
  </si>
  <si>
    <t>ormeau de l ocean indien</t>
  </si>
  <si>
    <t>R2310</t>
  </si>
  <si>
    <t>ormeau du pacifique</t>
  </si>
  <si>
    <t>R2311</t>
  </si>
  <si>
    <t>ormeaux</t>
  </si>
  <si>
    <t>R2312</t>
  </si>
  <si>
    <t>ostreola conchaphila huitre plate du pacifique</t>
  </si>
  <si>
    <t>R2313</t>
  </si>
  <si>
    <t>ovarque</t>
  </si>
  <si>
    <t>R2314</t>
  </si>
  <si>
    <t>oyster</t>
  </si>
  <si>
    <t>R2315</t>
  </si>
  <si>
    <t>oysters</t>
  </si>
  <si>
    <t>R2316</t>
  </si>
  <si>
    <t>palourde</t>
  </si>
  <si>
    <t>R2317</t>
  </si>
  <si>
    <t>palourde bariolee</t>
  </si>
  <si>
    <t>R2318</t>
  </si>
  <si>
    <t>palourde de gay</t>
  </si>
  <si>
    <t>R2319</t>
  </si>
  <si>
    <t>palourde du pacifique</t>
  </si>
  <si>
    <t>R2320</t>
  </si>
  <si>
    <t>palourde japonaise</t>
  </si>
  <si>
    <t>R2321</t>
  </si>
  <si>
    <t>palourde pegon</t>
  </si>
  <si>
    <t>R2322</t>
  </si>
  <si>
    <t>palourde poulette</t>
  </si>
  <si>
    <t>R2323</t>
  </si>
  <si>
    <t>palourde rose</t>
  </si>
  <si>
    <t>R2324</t>
  </si>
  <si>
    <t>palourde rugueuse</t>
  </si>
  <si>
    <t>R2325</t>
  </si>
  <si>
    <t>palourdes</t>
  </si>
  <si>
    <t>R2326</t>
  </si>
  <si>
    <t>panopee</t>
  </si>
  <si>
    <t>R2327</t>
  </si>
  <si>
    <t>patelle</t>
  </si>
  <si>
    <t>R2328</t>
  </si>
  <si>
    <t>perna canaliculus</t>
  </si>
  <si>
    <t>R2329</t>
  </si>
  <si>
    <t>petit couteau</t>
  </si>
  <si>
    <t>R2330</t>
  </si>
  <si>
    <t>pétoncle</t>
  </si>
  <si>
    <t>petoncle</t>
  </si>
  <si>
    <t>R2331</t>
  </si>
  <si>
    <t>pétoncles</t>
  </si>
  <si>
    <t>petoncles</t>
  </si>
  <si>
    <t>R2332</t>
  </si>
  <si>
    <t>petricole</t>
  </si>
  <si>
    <t>R2333</t>
  </si>
  <si>
    <t>pholade</t>
  </si>
  <si>
    <t>R2334</t>
  </si>
  <si>
    <t>pieuvre</t>
  </si>
  <si>
    <t>R2335</t>
  </si>
  <si>
    <t>pieuvres</t>
  </si>
  <si>
    <t>R2336</t>
  </si>
  <si>
    <t>pintadine</t>
  </si>
  <si>
    <t>R2337</t>
  </si>
  <si>
    <t>pitar</t>
  </si>
  <si>
    <t>R2338</t>
  </si>
  <si>
    <t>poulpe</t>
  </si>
  <si>
    <t>R2339</t>
  </si>
  <si>
    <t>poulpe blanc</t>
  </si>
  <si>
    <t>R2340</t>
  </si>
  <si>
    <t>poulpe geant</t>
  </si>
  <si>
    <t>R2341</t>
  </si>
  <si>
    <t>poulpe mexicain</t>
  </si>
  <si>
    <t>R2342</t>
  </si>
  <si>
    <t>poulpe nain</t>
  </si>
  <si>
    <t>R2343</t>
  </si>
  <si>
    <t>poulpe quatre yeux</t>
  </si>
  <si>
    <t>R2344</t>
  </si>
  <si>
    <t>poulpes</t>
  </si>
  <si>
    <t>R2345</t>
  </si>
  <si>
    <t>pourpre</t>
  </si>
  <si>
    <t>R2346</t>
  </si>
  <si>
    <t>praire</t>
  </si>
  <si>
    <t>R2347</t>
  </si>
  <si>
    <t>praires</t>
  </si>
  <si>
    <t>R2348</t>
  </si>
  <si>
    <t>psammobie</t>
  </si>
  <si>
    <t>R2349</t>
  </si>
  <si>
    <t>pterocere</t>
  </si>
  <si>
    <t>R2350</t>
  </si>
  <si>
    <t>pycnodonte</t>
  </si>
  <si>
    <t>R2351</t>
  </si>
  <si>
    <t>rangie</t>
  </si>
  <si>
    <t>R2352</t>
  </si>
  <si>
    <t>rapane veine</t>
  </si>
  <si>
    <t>R2353</t>
  </si>
  <si>
    <t>risotto nero</t>
  </si>
  <si>
    <t>R2354</t>
  </si>
  <si>
    <t>rocher</t>
  </si>
  <si>
    <t>R2355</t>
  </si>
  <si>
    <t>saint jacques</t>
  </si>
  <si>
    <t>R2356</t>
  </si>
  <si>
    <t>sanguine de mer</t>
  </si>
  <si>
    <t>R2357</t>
  </si>
  <si>
    <t>sauce aux huîtres</t>
  </si>
  <si>
    <t>sauce aux huitres</t>
  </si>
  <si>
    <t>R2358</t>
  </si>
  <si>
    <t>sauce d huître</t>
  </si>
  <si>
    <t>sauce d huitre</t>
  </si>
  <si>
    <t>R2359</t>
  </si>
  <si>
    <t>saxidome</t>
  </si>
  <si>
    <t>R2360</t>
  </si>
  <si>
    <t>scallop</t>
  </si>
  <si>
    <t>R2361</t>
  </si>
  <si>
    <t>scallops</t>
  </si>
  <si>
    <t>R2362</t>
  </si>
  <si>
    <t>seiche</t>
  </si>
  <si>
    <t>R2363</t>
  </si>
  <si>
    <t>seiche aiguille</t>
  </si>
  <si>
    <t>R2364</t>
  </si>
  <si>
    <t>seiche hamecon</t>
  </si>
  <si>
    <t>R2365</t>
  </si>
  <si>
    <t>seiche petite main</t>
  </si>
  <si>
    <t>R2366</t>
  </si>
  <si>
    <t>seiche pharaon</t>
  </si>
  <si>
    <t>R2367</t>
  </si>
  <si>
    <t>seiche rosee</t>
  </si>
  <si>
    <t>R2368</t>
  </si>
  <si>
    <t>seiches</t>
  </si>
  <si>
    <t>R2369</t>
  </si>
  <si>
    <t>semele</t>
  </si>
  <si>
    <t>R2370</t>
  </si>
  <si>
    <t>silique</t>
  </si>
  <si>
    <t>R2371</t>
  </si>
  <si>
    <t>solecurte</t>
  </si>
  <si>
    <t>R2372</t>
  </si>
  <si>
    <t>spisule</t>
  </si>
  <si>
    <t>R2373</t>
  </si>
  <si>
    <t>spondyle</t>
  </si>
  <si>
    <t>R2374</t>
  </si>
  <si>
    <t>squid</t>
  </si>
  <si>
    <t>R2375</t>
  </si>
  <si>
    <t>striostrea prismatica huitre plate du pacifique</t>
  </si>
  <si>
    <t>R2376</t>
  </si>
  <si>
    <t>strombe</t>
  </si>
  <si>
    <t>R2377</t>
  </si>
  <si>
    <t>tagal</t>
  </si>
  <si>
    <t>R2378</t>
  </si>
  <si>
    <t>telline</t>
  </si>
  <si>
    <t>R2379</t>
  </si>
  <si>
    <t>tellines</t>
  </si>
  <si>
    <t>R2380</t>
  </si>
  <si>
    <t>tivel</t>
  </si>
  <si>
    <t>R2381</t>
  </si>
  <si>
    <t>tonnelet</t>
  </si>
  <si>
    <t>R2382</t>
  </si>
  <si>
    <t>toutout</t>
  </si>
  <si>
    <t>R2383</t>
  </si>
  <si>
    <t>triton</t>
  </si>
  <si>
    <t>R2384</t>
  </si>
  <si>
    <t>trophe</t>
  </si>
  <si>
    <t>R2385</t>
  </si>
  <si>
    <t>troque</t>
  </si>
  <si>
    <t>R2386</t>
  </si>
  <si>
    <t>turban</t>
  </si>
  <si>
    <t>R2387</t>
  </si>
  <si>
    <t>venus</t>
  </si>
  <si>
    <t>R2388</t>
  </si>
  <si>
    <t>venus du vietnam</t>
  </si>
  <si>
    <t>R2389</t>
  </si>
  <si>
    <t>venus gallinette</t>
  </si>
  <si>
    <t>R2390</t>
  </si>
  <si>
    <t>vernis</t>
  </si>
  <si>
    <t>R2391</t>
  </si>
  <si>
    <t>vernis pourpre</t>
  </si>
  <si>
    <t>R2392</t>
  </si>
  <si>
    <t>volute</t>
  </si>
  <si>
    <t>R2393</t>
  </si>
  <si>
    <t>volute marbree</t>
  </si>
  <si>
    <t>R2394</t>
  </si>
  <si>
    <t>whelk</t>
  </si>
  <si>
    <t>R2395</t>
  </si>
  <si>
    <t>whelks</t>
  </si>
  <si>
    <t>R2396</t>
  </si>
  <si>
    <t>yet</t>
  </si>
  <si>
    <t>R2397</t>
  </si>
  <si>
    <t>coque chocolat</t>
  </si>
  <si>
    <t>Évite un faux positif de matériel.</t>
  </si>
  <si>
    <t>R2398</t>
  </si>
  <si>
    <t>coque de bateau</t>
  </si>
  <si>
    <t>R2399</t>
  </si>
  <si>
    <t>coque de macaron</t>
  </si>
  <si>
    <t>R2400</t>
  </si>
  <si>
    <t>coque de meringue</t>
  </si>
  <si>
    <t>R2401</t>
  </si>
  <si>
    <t>couteau de cuisine</t>
  </si>
  <si>
    <t>R2402</t>
  </si>
  <si>
    <t>couteaux de cuisine</t>
  </si>
  <si>
    <t>R2403</t>
  </si>
  <si>
    <t>R2404</t>
  </si>
  <si>
    <t>R2405</t>
  </si>
  <si>
    <t>R2406</t>
  </si>
  <si>
    <t>R2407</t>
  </si>
  <si>
    <t>R2408</t>
  </si>
  <si>
    <t>R2409</t>
  </si>
  <si>
    <t>R2410</t>
  </si>
  <si>
    <t>moule inox</t>
  </si>
  <si>
    <t>R2411</t>
  </si>
  <si>
    <t>moule pâtisserie</t>
  </si>
  <si>
    <t>moule patisserie</t>
  </si>
  <si>
    <t>R2412</t>
  </si>
  <si>
    <t>moule silicone</t>
  </si>
  <si>
    <t>R2413</t>
  </si>
  <si>
    <t>R2414</t>
  </si>
  <si>
    <t>R2415</t>
  </si>
  <si>
    <t>fruits de mer surgelés</t>
  </si>
  <si>
    <t>fruits de mer surgeles</t>
  </si>
  <si>
    <t>R2416</t>
  </si>
  <si>
    <t>sauce huître végétarienne</t>
  </si>
  <si>
    <t>sauce huitre vegetarienne</t>
  </si>
  <si>
    <t>R2417</t>
  </si>
  <si>
    <t>R2418</t>
  </si>
  <si>
    <t>Exclusion ciblée : le sucre semoule n’est pas une céréale et ne contient pas de gluten par nature.</t>
  </si>
  <si>
    <t>R2419</t>
  </si>
  <si>
    <t>boulghour</t>
  </si>
  <si>
    <t>Cuisine/Traiteur/Restauration collective</t>
  </si>
  <si>
    <t>Variante orthographique courante du boulgour, produit à base de blé.</t>
  </si>
  <si>
    <t>R2420</t>
  </si>
  <si>
    <t>boulghour fin</t>
  </si>
  <si>
    <t>Dénomination commerciale courante d’un produit à base de blé.</t>
  </si>
  <si>
    <t>R2421</t>
  </si>
  <si>
    <t>bulghour</t>
  </si>
  <si>
    <t>Variante orthographique du boulgour, produit à base de blé.</t>
  </si>
  <si>
    <t>R2422</t>
  </si>
  <si>
    <t>thon</t>
  </si>
  <si>
    <t>Nom générique du poisson ; permet de détecter les préparations au thon.</t>
  </si>
  <si>
    <t>R2423</t>
  </si>
  <si>
    <t>thon au naturel</t>
  </si>
  <si>
    <t>Dénomination usuelle d’une conserve de poisson.</t>
  </si>
  <si>
    <t>R2424</t>
  </si>
  <si>
    <t>mozarella</t>
  </si>
  <si>
    <t>Cuisine/Traiteur/Pizzeria</t>
  </si>
  <si>
    <t>Variante orthographique fréquente de mozzarella.</t>
  </si>
  <si>
    <t>R2425</t>
  </si>
  <si>
    <t>tomate et mozarella au basilic</t>
  </si>
  <si>
    <t>Dénomination de plat contenant un fromage au lait.</t>
  </si>
  <si>
    <t>sirop de glucose à base de blé</t>
  </si>
  <si>
    <t>sirop de glucose a base de ble</t>
  </si>
  <si>
    <t>Exception réglementaire à la déclaration du gluten.</t>
  </si>
  <si>
    <t>sirops de glucose à base de blé</t>
  </si>
  <si>
    <t>sirops de glucose a base de ble</t>
  </si>
  <si>
    <t>Variante plurielle de l’exception réglementaire.</t>
  </si>
  <si>
    <t>sirop de glucose de blé</t>
  </si>
  <si>
    <t>sirop de glucose de ble</t>
  </si>
  <si>
    <t>Variante usuelle de l’exception réglementaire.</t>
  </si>
  <si>
    <t>sirops de glucose de blé</t>
  </si>
  <si>
    <t>sirops de glucose de ble</t>
  </si>
  <si>
    <t>dextrose de blé</t>
  </si>
  <si>
    <t>dextrose de ble</t>
  </si>
  <si>
    <t>Le dextrose est inclus dans l’exception des sirops de glucose à base de blé.</t>
  </si>
  <si>
    <t>maltodextrine de ble</t>
  </si>
  <si>
    <t>maltodextrines de blé</t>
  </si>
  <si>
    <t>maltodextrines de ble</t>
  </si>
  <si>
    <t>maltodextrine à base de blé</t>
  </si>
  <si>
    <t>maltodextrine a base de ble</t>
  </si>
  <si>
    <t>maltodextrines à base de blé</t>
  </si>
  <si>
    <t>maltodextrines a base de ble</t>
  </si>
  <si>
    <t>sirop de glucose à base d’orge</t>
  </si>
  <si>
    <t>sirop de glucose a base d orge</t>
  </si>
  <si>
    <t>sirops de glucose à base d’orge</t>
  </si>
  <si>
    <t>sirops de glucose a base d orge</t>
  </si>
  <si>
    <t>sirop de glucose d’orge</t>
  </si>
  <si>
    <t>sirop de glucose d orge</t>
  </si>
  <si>
    <t>sirops de glucose d’orge</t>
  </si>
  <si>
    <t>sirops de glucose d orge</t>
  </si>
  <si>
    <t>Exclusion du contrôle œuf/lait propre au vin.</t>
  </si>
  <si>
    <t>vinaigre au vin</t>
  </si>
  <si>
    <t>Contrôler l’étiquette : œuf, lait et sulfites peuvent être déclarés s’ils sont détectables.</t>
  </si>
  <si>
    <t>Fin du document cellule &gt;End of the “cell” document &gt;Fin del documento “celda” &gt;</t>
  </si>
  <si>
    <t>Le mot « farine » tout seul est  trop imprécis. je préfère le classer ? à vérifier, sauf si la fiche recette désigne clairement une farine contenant du gluten.</t>
  </si>
  <si>
    <t>Ail haché</t>
  </si>
  <si>
    <t>Ail hachée surgelé</t>
  </si>
  <si>
    <t>Bulbes de fenouil</t>
  </si>
  <si>
    <t>Chorizo</t>
  </si>
  <si>
    <t>Choux-fleurs</t>
  </si>
  <si>
    <t>Citrons</t>
  </si>
  <si>
    <t>Cive (botte)</t>
  </si>
  <si>
    <t xml:space="preserve">Cocktail de fruits de mer surgelés crus </t>
  </si>
  <si>
    <t xml:space="preserve">Crème fraîche </t>
  </si>
  <si>
    <t>Crème fraîche double</t>
  </si>
  <si>
    <t xml:space="preserve">Crevettes décortiquées </t>
  </si>
  <si>
    <t>Cuisses de poulet</t>
  </si>
  <si>
    <t>Dos de colin</t>
  </si>
  <si>
    <t>Echalotes fraîches ou émincées surgelées</t>
  </si>
  <si>
    <t xml:space="preserve">Farine </t>
  </si>
  <si>
    <t>Filets de morue dessalés</t>
  </si>
  <si>
    <t>Fond blanc de veau</t>
  </si>
  <si>
    <t xml:space="preserve">Fumet de crustacés </t>
  </si>
  <si>
    <t xml:space="preserve">Glace de poisson </t>
  </si>
  <si>
    <t>Haricots plats d’Espagne surgelés</t>
  </si>
  <si>
    <t>Jaune d’œuf pasteurisé</t>
  </si>
  <si>
    <t>Laurier ou bois d’Inde</t>
  </si>
  <si>
    <t>Morue (filets dessalés)</t>
  </si>
  <si>
    <t>Moules «pleine eau»</t>
  </si>
  <si>
    <t>farine de blé dur</t>
  </si>
  <si>
    <t>farine de ble dur</t>
  </si>
  <si>
    <t>Blé dur : céréale contenant du gluten.</t>
  </si>
  <si>
    <t>Piment (man jack)</t>
  </si>
  <si>
    <t>Poivrons en lanières surgelés</t>
  </si>
  <si>
    <t>Pommes de terre BF 15</t>
  </si>
  <si>
    <t>Pommes de terre sautées en rondelles précuites surgelées</t>
  </si>
  <si>
    <t>Purée de pomme de terre</t>
  </si>
  <si>
    <t>Spigol, rizdor, etc</t>
  </si>
  <si>
    <t>Tomates fraîches ou en cubes surgelés</t>
  </si>
  <si>
    <t xml:space="preserve">Vin blanc </t>
  </si>
  <si>
    <t>colin</t>
  </si>
  <si>
    <t>Dénomination usuelle générique de poisson. Détecte notamment dos de colin, filet de colin et colin surgelé.</t>
  </si>
  <si>
    <t>Terme générique : la céréale n’est pas précisée. Vérifier la nature de la farine avant de conclure à la présence de gluten.</t>
  </si>
  <si>
    <t>FIN</t>
  </si>
  <si>
    <t>Vin : ? tant que l’étiquette n’est pas contrôlée (Œufs, Lait, Sulfites possibles). Voir lignes 103 à 116.</t>
  </si>
  <si>
    <t>INTITULÉ DU PLAT / BOISSON / PRODUIT  Texte saisi ou à coller dans cette colonne</t>
  </si>
  <si>
    <t>AFFICHAGE CARTE Texte à Copier / coller (collage spécial 1.2.3.Valeur)</t>
  </si>
  <si>
    <t>ALLERGÈNES À VÉRIFIER</t>
  </si>
  <si>
    <t>sucre glace</t>
  </si>
  <si>
    <t>dos de colin</t>
  </si>
  <si>
    <t xml:space="preserve"> Anhydride sulfureux et sulfites </t>
  </si>
  <si>
    <t xml:space="preserve">Lupin </t>
  </si>
  <si>
    <t>huile d'arachide</t>
  </si>
  <si>
    <t xml:space="preserve">Pour un libellé générique comme « vin rouge » ou « vin blanc », le ? signifie : vérifier la bouteille ou la fiche technique. </t>
  </si>
  <si>
    <t>Si l’étiquette indique « contient des sulfites », « œuf » ou « lait », l’allergène concerné devient certain (*) pour le produit réellement utilisé.</t>
  </si>
  <si>
    <t>Composition variable selon la recette ou le fabricant → ? tant que la fiche technique n’a pas confirmé les allergènes.</t>
  </si>
  <si>
    <t xml:space="preserve"> Après contrôle, les allergènes réellement présents doivent être considérés comme certains (*).</t>
  </si>
  <si>
    <t>Dans la base actuelle, il est classé * pour les sulfites. En pratique, ce statut doit correspondre au produit réellement utilisé :</t>
  </si>
  <si>
    <t xml:space="preserve"> si l’étiquette ou la fiche technique confirme les sulfites, * ; sinon la règle doit être réévaluée.</t>
  </si>
  <si>
    <t>LES 14 ALLERGÈNES — OÙ PEUT-ON LES TROUVER ?</t>
  </si>
  <si>
    <t>Objectif CFA</t>
  </si>
  <si>
    <t>Savoir reconnaître un allergène évident, repérer un produit à risque, vérifier l'information disponible, décider avant le service et conserver une traçabilité exploitable.</t>
  </si>
  <si>
    <t>Dans notre outil</t>
  </si>
  <si>
    <t>* = allergène identifié avec certitude pour le produit tel qu'il est décrit.</t>
  </si>
  <si>
    <t>? = la dénomination ou les informations disponibles ne permettent pas de conclure : contrôle obligatoire avant de considérer le produit comme compatible.</t>
  </si>
  <si>
    <t>Point essentiel</t>
  </si>
  <si>
    <t xml:space="preserve">Lire l'étiquette et la fiche technique est indispensable, mais ce n'est pas une garantie absolue. </t>
  </si>
  <si>
    <t>Il faut contrôler le produit réellement livré et servi, sa référence, son lot, sa version de fiche technique et toute modification de composition.</t>
  </si>
  <si>
    <t>ALLERGÈNE</t>
  </si>
  <si>
    <t>ON LE TROUVE ÉVIDEMMENT DANS…</t>
  </si>
  <si>
    <t>1. Céréales contenant du gluten</t>
  </si>
  <si>
    <t>Blé, seigle, orge, avoine, épeautre, kamut.</t>
  </si>
  <si>
    <t>2. Crustacés</t>
  </si>
  <si>
    <t>Crevette, crabe, homard, langouste, langoustine, écrevisse.</t>
  </si>
  <si>
    <t>3. Œufs</t>
  </si>
  <si>
    <t>Œuf entier, jaune d'œuf, blanc d'œuf.</t>
  </si>
  <si>
    <t>4. Poissons</t>
  </si>
  <si>
    <t>Saumon, thon, cabillaud, colin, merlu, sardine, anchois, sole, truite, etc.</t>
  </si>
  <si>
    <t>5. Arachides</t>
  </si>
  <si>
    <t>Cacahuètes, pâte et beurre d'arachide.</t>
  </si>
  <si>
    <t>6. Soja</t>
  </si>
  <si>
    <t>Graines de soja, tofu, tempeh.</t>
  </si>
  <si>
    <t>7. Lait</t>
  </si>
  <si>
    <t>Lait, crème, beurre, fromage, yaourt.</t>
  </si>
  <si>
    <t>8. Fruits à coque</t>
  </si>
  <si>
    <t>Amande, noisette, noix, noix de cajou, noix de pécan, noix du Brésil, pistache, noix de Macadamia.</t>
  </si>
  <si>
    <t>9. Céleri</t>
  </si>
  <si>
    <t>Céleri-branche, céleri-rave, graines de céleri.</t>
  </si>
  <si>
    <t>10. Moutarde</t>
  </si>
  <si>
    <t>Moutarde, graines de moutarde.</t>
  </si>
  <si>
    <t>11. Graines de sésame</t>
  </si>
  <si>
    <t>Sésame blanc, blond ou noir.</t>
  </si>
  <si>
    <t>12. Anhydride sulfureux et sulfites</t>
  </si>
  <si>
    <t>Produits portant la mention sulfites, dioxyde de soufre ou E220 à E228.</t>
  </si>
  <si>
    <t>13. Lupin</t>
  </si>
  <si>
    <t>Graines de lupin, farine de lupin.</t>
  </si>
  <si>
    <t>14. Mollusques</t>
  </si>
  <si>
    <t>Moule, huître, coquille Saint-Jacques, palourde, escargot, calmar, seiche, poulpe.</t>
  </si>
  <si>
    <t>IL PEUT AUSSI SE CACHER DANS…</t>
  </si>
  <si>
    <t>Farines, chapelure, pâtes, semoule, boulgour, couscous, biscuits, pâtisseries, panures, roux et certaines sauces liées.</t>
  </si>
  <si>
    <t>Fumets, bisques, sauces, soupes de poissons, préparations asiatiques et mélanges de fruits de mer.</t>
  </si>
  <si>
    <t>Mayonnaise, sauces émulsionnées, pâtisseries, biscuits, pâtes fraîches, panures, farces et certaines charcuteries.</t>
  </si>
  <si>
    <t>Fumet de poisson, sauce poisson, nuoc-mâm, anchois dans certaines sauces, condiments et préparations.</t>
  </si>
  <si>
    <t>Sauces exotiques, préparations asiatiques ou africaines, confiseries, pâtisseries, assaisonnements ou produits composés.</t>
  </si>
  <si>
    <t>Sauce soja, miso, protéines de soja, boissons végétales au soja, lécithine de soja et certains produits végétaux transformés.</t>
  </si>
  <si>
    <t>Lactose, lactosérum, caséine, poudre de lait, chocolat au lait, purées, sauces, pâtisseries et certaines margarines.</t>
  </si>
  <si>
    <t>Praliné, pâte d'amande, nougat, pesto, chocolats, pâtisseries et desserts.</t>
  </si>
  <si>
    <t>Fonds, bouillons, potages, sauces, jus, mélanges d'épices et certaines préparations industrielles.</t>
  </si>
  <si>
    <t>Mayonnaises, vinaigrettes, sauces, marinades, charcuteries et condiments.</t>
  </si>
  <si>
    <t>Tahini, pains spéciaux, houmous, sauces et préparations orientales ou asiatiques.</t>
  </si>
  <si>
    <t>Vin, certains vinaigres, fruits secs, fruits confits, certaines préparations de pommes de terre et autres produits transformés.</t>
  </si>
  <si>
    <t>Farines composées, certains pains, biscuits, pâtisseries et produits de boulangerie.</t>
  </si>
  <si>
    <t>Sauces, soupes, fumets et préparations de fruits de mer.</t>
  </si>
  <si>
    <t>EXEMPLES EN CUISINE</t>
  </si>
  <si>
    <t>Roux, béchamel, pâte à tarte, pain, croûtons, panures, certaines sauces liées.</t>
  </si>
  <si>
    <t>Bisque de homard, sauce américaine, crevettes sautées, fumet de crustacés.</t>
  </si>
  <si>
    <t>Mayonnaise, crème anglaise, génoise, quiche, pâte à choux, dorure.</t>
  </si>
  <si>
    <t>Dos de colin, brandade, soupe de poisson, sauce aux anchois, fumet.</t>
  </si>
  <si>
    <t>Sauce satay, cacahuètes grillées, beurre de cacahuète.</t>
  </si>
  <si>
    <t>Tofu, sauce soja, desserts au soja, certaines préparations végétales.</t>
  </si>
  <si>
    <t>Crème fraîche, beurre, béchamel, gratin, mozzarella, parmesan, crème glacée.</t>
  </si>
  <si>
    <t>Paris-Brest, frangipane, praliné, pesto contenant des fruits à coque.</t>
  </si>
  <si>
    <t>Céleri rémoulade, mirepoix, fond brun, bouillon, potage.</t>
  </si>
  <si>
    <t>Vinaigrette, sauce moutarde, mayonnaise contenant de la moutarde, marinade.</t>
  </si>
  <si>
    <t>Houmous au tahini, pain au sésame, sauce sésame.</t>
  </si>
  <si>
    <t>Vin, raisins secs, fruits confits : vérifier le produit réellement utilisé et sa documentation.</t>
  </si>
  <si>
    <t>Pain ou pâtisserie contenant de la farine de lupin.</t>
  </si>
  <si>
    <t>Moules marinières, encornets, seiche, poulpe, escargots, coquilles Saint-Jacques.</t>
  </si>
  <si>
    <t>ATTENTION AUX PRODUITS COMPOSÉS, AUX SUBSTITUTIONS ET AUX PAI</t>
  </si>
  <si>
    <t>Principe</t>
  </si>
  <si>
    <t xml:space="preserve">Le nom d'un produit ne suffit pas toujours pour connaître son profil allergène. </t>
  </si>
  <si>
    <t>Une charcuterie, une sauce, un fond, une saumure, une marinade ou un produit industriel peut contenir un allergène qui n'est pas évident dans son nom.</t>
  </si>
  <si>
    <t>Limite de la fiche technique</t>
  </si>
  <si>
    <t xml:space="preserve">La fiche technique est une référence indispensable, mais elle peut être ancienne, mal associée au produit réellement livré, ne plus correspondre à une nouvelle formulation </t>
  </si>
  <si>
    <t>ou ne pas permettre à elle seule d'exclure une contamination croisée.</t>
  </si>
  <si>
    <t>CAS PROFESSIONNEL CFA — PAI : L'ALLERGÈNE N'ÉTAIT PAS VISIBLE</t>
  </si>
  <si>
    <t>Contexte</t>
  </si>
  <si>
    <t>Cuisine centrale municipale servant notamment des enfants et des résidents d'EHPAD. Un enfant dispose d'un PAI pour allergie alimentaire.</t>
  </si>
  <si>
    <t>Menu prévu</t>
  </si>
  <si>
    <t>Poisson et purée. Pour respecter le PAI, le menu de l'enfant est remplacé par jambon blanc et salade composée.</t>
  </si>
  <si>
    <t>Au moment du repas</t>
  </si>
  <si>
    <t>Réaction allergique grave : appel des secours, prise en charge hospitalière et diagnostic d'œdème de Quincke.</t>
  </si>
  <si>
    <t>Première réaction autour de l'incident</t>
  </si>
  <si>
    <t>Le changement de menu fait immédiatement suspecter un non-respect du PAI. Le menu, la recette et les ingrédients utilisés en cuisine sont contrôlés :</t>
  </si>
  <si>
    <t xml:space="preserve"> aucune arachide n'a été volontairement employée par l'équipe.</t>
  </si>
  <si>
    <t>Enquête</t>
  </si>
  <si>
    <t>Les services compétents et le laboratoire sont saisis. L'analyse met en évidence la présence d'arachide dans le produit de jambon utilisé, via sa saumure selon le résultat de l'enquête.</t>
  </si>
  <si>
    <t>Leçon essentielle</t>
  </si>
  <si>
    <t>L'absence d'arachide dans la recette de la cuisine et l'absence d'utilisation volontaire par l'équipe ne suffisaient pas à garantir l'absence d'arachide dans un produit industriel composé.</t>
  </si>
  <si>
    <t>Pourquoi ce cas est important</t>
  </si>
  <si>
    <t xml:space="preserve">Il montre qu'une substitution décidée pour protéger un convive peut introduire un risque différent. </t>
  </si>
  <si>
    <t>Le produit de remplacement doit donc être contrôlé comme un nouveau produit, même s'il paraît simple ou habituel.</t>
  </si>
  <si>
    <t>Conséquence professionnelle</t>
  </si>
  <si>
    <t xml:space="preserve">Un incident allergique entraîne immédiatement une enquête et peut mettre en cause l'organisation, les personnes et la réputation de l'établissement </t>
  </si>
  <si>
    <t>avant même que la cause réelle soit connue. Une traçabilité précise est donc indispensable.</t>
  </si>
  <si>
    <t>CE QUE L'APPRENANT DOIT RETENIR</t>
  </si>
  <si>
    <t>Un PAI ne se gère pas seulement avec une liste d'aliments interdits : chaque produit réellement servi doit être compatible avec le PAI.</t>
  </si>
  <si>
    <t>Un changement de menu = une nouvelle analyse du risque allergène. Ne jamais considérer le produit de remplacement comme automatiquement sûr.</t>
  </si>
  <si>
    <t>Le nom commercial n'est pas une preuve. « Jambon blanc », « fond brun », « margarine », « sauce », « dessert », etc. peuvent être des produits composés.</t>
  </si>
  <si>
    <t>Contrôler l'étiquette du produit réellement livré, puis la fiche technique correspondant à la bonne référence et, si possible, à la formulation en vigueur.</t>
  </si>
  <si>
    <t>Conserver les éléments de traçabilité : fournisseur, marque, référence, numéro de lot, date de livraison, emballage ou photo de l'étiquette et fiche technique utilisée.</t>
  </si>
  <si>
    <t xml:space="preserve">Si la composition est incertaine, contradictoire ou impossible à vérifier pour un convive allergique : ne pas improviser. </t>
  </si>
  <si>
    <t>Utiliser une solution de remplacement validée selon le protocole de l'établissement.</t>
  </si>
  <si>
    <t>La traçabilité protège d'abord le convive, mais elle permet aussi de reconstituer les faits et de déterminer l'origine réelle d'un incident.</t>
  </si>
  <si>
    <t>AVANT DE SERVIR UN REPAS DE REMPLACEMENT PAI</t>
  </si>
  <si>
    <t>1. Identifier</t>
  </si>
  <si>
    <t>Relire le PAI : allergène(s) concerné(s), consignes particulières, procédure prévue et conduite à tenir en urgence.</t>
  </si>
  <si>
    <t>2. Refaire le contrôle</t>
  </si>
  <si>
    <t>Considérer le produit de substitution comme une nouvelle matière première : vérifier tous ses ingrédients et allergènes.</t>
  </si>
  <si>
    <t>3. Contrôler le produit réel</t>
  </si>
  <si>
    <t>Ne pas se contenter d'une fiche générique. Vérifier la marque, la référence et l'étiquette du conditionnement réellement utilisé.</t>
  </si>
  <si>
    <t>4. Vérifier la documentation</t>
  </si>
  <si>
    <t>Comparer l'étiquette et la fiche technique. En cas d'écart, d'ancienne version ou de doute, arrêter la décision et demander confirmation.</t>
  </si>
  <si>
    <t>5. Tracer</t>
  </si>
  <si>
    <t>Conserver le lot, le fournisseur, la date, le document contrôlé et la personne ayant réalisé la vérification selon l'organisation de l'établissement.</t>
  </si>
  <si>
    <t>6. Décider</t>
  </si>
  <si>
    <t>Si la sécurité ne peut pas être établie, ne pas servir ce produit au convive concerné et appliquer la solution de remplacement prévue.</t>
  </si>
  <si>
    <t>EN CAS D'INCIDENT ALLERGIQUE</t>
  </si>
  <si>
    <t>Priorité absolue</t>
  </si>
  <si>
    <t>Appliquer immédiatement le protocole d'urgence prévu pour le convive et alerter les secours selon la situation. La recherche de responsabilité vient après la prise en charge.</t>
  </si>
  <si>
    <t>Préserver les preuves</t>
  </si>
  <si>
    <t>Mettre de côté l'emballage, le numéro de lot, le produit restant si le protocole le permet, le bon de livraison, la fiche technique,</t>
  </si>
  <si>
    <t xml:space="preserve"> le menu, la fiche de production et les enregistrements de traçabilité.</t>
  </si>
  <si>
    <t>Reconstituer les faits</t>
  </si>
  <si>
    <t>Noter l'heure, le produit servi, la quantité, les opérations réalisées, les personnes présentes et les informations transmises.</t>
  </si>
  <si>
    <t>Éviter les conclusions hâtives</t>
  </si>
  <si>
    <t>Ne pas attribuer immédiatement l'incident à une erreur de cuisine ou, inversement, au fournisseur. Les analyses et la traçabilité doivent établir les faits.</t>
  </si>
  <si>
    <t>PROTÉGER LE CONVIVE ET LE PROFESSIONNEL</t>
  </si>
  <si>
    <t>Sécurité</t>
  </si>
  <si>
    <t>La vigilance allergène doit couvrir toute la chaîne : achat, réception, stockage, production, substitution, service et traçabilité.</t>
  </si>
  <si>
    <t>Responsabilité</t>
  </si>
  <si>
    <t>Une information fournisseur incomplète ou un changement de composition peut placer la cuisine en difficulté même si la recette interne est correctement maîtrisée.</t>
  </si>
  <si>
    <t>Traçabilité</t>
  </si>
  <si>
    <t>Une fiche technique explique ce que le produit est censé contenir ; la traçabilité permet de démontrer quel produit et quel lot ont réellement été servis.</t>
  </si>
  <si>
    <t>Réputation professionnelle</t>
  </si>
  <si>
    <t xml:space="preserve">Un incident peut marquer durablement un établissement ou un professionnel. Des preuves factuelles, </t>
  </si>
  <si>
    <t>datées et conservées sont essentielles pour sortir du registre de l'accusation et revenir aux faits.</t>
  </si>
  <si>
    <t>EXEMPLES À INTERPRÉTER CORRECTEMENT</t>
  </si>
  <si>
    <t>Fond brun de veau ?</t>
  </si>
  <si>
    <t>Produit composé : vérifier notamment gluten, céleri et tout autre allergène déclaré par le fabricant.</t>
  </si>
  <si>
    <t>Farine ?</t>
  </si>
  <si>
    <t>Le mot « farine » seul ne précise pas la céréale. Farine de blé = gluten certain ; farine de riz ou de maïs ≠ gluten automatiquement.</t>
  </si>
  <si>
    <t>Vin ?</t>
  </si>
  <si>
    <t>Vérifier notamment les sulfites et les mentions allergènes réellement portées par le produit utilisé.</t>
  </si>
  <si>
    <t>Sucre glace</t>
  </si>
  <si>
    <t>Le mot « glace » ne signifie pas crème glacée : il ne doit pas déclencher automatiquement l'allergène lait.</t>
  </si>
  <si>
    <t>Raisins secs ? / Fruits confits ?</t>
  </si>
  <si>
    <t>Les sulfites peuvent être présents : vérifier l'étiquette et la fiche du produit réellement utilisé.</t>
  </si>
  <si>
    <t>Produit avec « ou »</t>
  </si>
  <si>
    <t>Exemple « beurre ou margarine » : le produit réellement utilisé doit être identifié avant de conclure sur les allergènes.</t>
  </si>
  <si>
    <t>RÉFLEXE PROFESSIONNEL</t>
  </si>
  <si>
    <t>Question 1</t>
  </si>
  <si>
    <t>L'allergène est-il évident dans le nom ? Exemple : beurre → lait ; crevettes → crustacés ; dos de colin → poisson. Si oui : *.</t>
  </si>
  <si>
    <t>Question 2</t>
  </si>
  <si>
    <t>Le produit est-il composé ou sa dénomination est-elle imprécise ? Exemple : farine, fond, margarine, vin, charcuterie industrielle. Si oui : vérifier avant de conclure.</t>
  </si>
  <si>
    <t>Question 3</t>
  </si>
  <si>
    <t>Ai-je contrôlé le produit réellement utilisé, et pas seulement une recette théorique ou une ancienne fiche technique ?</t>
  </si>
  <si>
    <t>Question 4</t>
  </si>
  <si>
    <t>Puis-je retrouver après le service la marque, la référence, le lot et le document qui ont servi à ma décision ?</t>
  </si>
  <si>
    <t>Question 5</t>
  </si>
  <si>
    <t>Pour un PAI, la substitution a-t-elle été vérifiée comme un nouveau risque avant d'être servie ?</t>
  </si>
  <si>
    <t>À RETENIR</t>
  </si>
  <si>
    <t>On ne devine jamais un allergène et on ne déclare jamais « absence garantie » sur la seule apparence d'un produit.</t>
  </si>
  <si>
    <t>*</t>
  </si>
  <si>
    <t>JE SAIS : l'allergène est présent dans le produit identifié.</t>
  </si>
  <si>
    <t>JE DOIS VÉRIFIER avant de conclure.</t>
  </si>
  <si>
    <t>Aucun symbole</t>
  </si>
  <si>
    <t>Le moteur n'a rien identifié avec les informations disponibles ; cela ne prouve pas l'absence absolue d'allergène dans un produit composé.</t>
  </si>
  <si>
    <t>Fiche technique</t>
  </si>
  <si>
    <t>Document de référence indispensable, à rapprocher du produit, de la référence et de la version réellement utilisés.</t>
  </si>
  <si>
    <t>Preuve du produit réellement reçu, utilisé et servi.</t>
  </si>
  <si>
    <t>PAI</t>
  </si>
  <si>
    <t>Toute substitution doit être considérée comme une nouvelle décision de sécurité alimentaire.</t>
  </si>
  <si>
    <t>MESSAGE CFA</t>
  </si>
  <si>
    <t>La sécurité allergène ne repose pas sur une seule personne ni sur un seul document.</t>
  </si>
  <si>
    <t xml:space="preserve"> Elle repose sur une chaîne de contrôles, une décision prudente et une traçabilité capable de démontrer les faits.</t>
  </si>
  <si>
    <t>Règle à retenir</t>
  </si>
  <si>
    <t>Raisins secs → ? Sulfites</t>
  </si>
  <si>
    <t>Pour raisins secs et fruits confits, dès que la fiche technique indique sulfites / E220 à E228 au-dessus du seuil réglementaire, le statut devient *.</t>
  </si>
  <si>
    <t>Fruits confits en cubes → ? Sulfites</t>
  </si>
  <si>
    <t>Sucre glace → aucun ? à cause du mot “glace”</t>
  </si>
  <si>
    <t>Sucre glace ? → faux positif du moteur. Le document ne possède aucune règle sucre glace. Il trouve simplement le mot glace, enregistré en Lait – SUSPICION</t>
  </si>
  <si>
    <t>Il comprend donc à tort sucre glace comme s’il s’agissait d’une glace alimentaire pouvant contenir du lait.</t>
  </si>
  <si>
    <t xml:space="preserve">Le défaut « sucre glace » montre surtout qu’il faut corriger le mot-clé générique glace : il est trop large. </t>
  </si>
  <si>
    <t>Il vaut mieux reconnaître crème glacée, glace artisanale, glace au lait, etc., ou neutraliser explicitement sucre glace.</t>
  </si>
  <si>
    <t>Ces changements ont été fait</t>
  </si>
  <si>
    <t>Exclusion contextuelle : ici « glace » qualifie le sucre et ne désigne pas une glace alimentaire. Neutraliser avant les recherches Œufs/Lait.</t>
  </si>
  <si>
    <t>2026-08</t>
  </si>
  <si>
    <t>Gluten</t>
  </si>
  <si>
    <t>*glu</t>
  </si>
  <si>
    <t>*ara</t>
  </si>
  <si>
    <t>*cel</t>
  </si>
  <si>
    <t>*lup</t>
  </si>
  <si>
    <t>Saisir uniquement les cellules fond blanc en colonne B.              Résultat colonne C   * = allergène certain ;                                   ? = composition à contrôler.</t>
  </si>
  <si>
    <t>*cru</t>
  </si>
  <si>
    <t>*soj</t>
  </si>
  <si>
    <t>*mou</t>
  </si>
  <si>
    <t>*mol</t>
  </si>
  <si>
    <t>*oeu</t>
  </si>
  <si>
    <t>*lai</t>
  </si>
  <si>
    <t>*ses</t>
  </si>
  <si>
    <t>Auteur : Joel Leboucher • Rochefort sur Mer | Version actualisée : 9 août 2026 | Document réalisé avec l'aide de ChatGPT</t>
  </si>
  <si>
    <t xml:space="preserve">*poi </t>
  </si>
  <si>
    <t>*noi</t>
  </si>
  <si>
    <t>*sul</t>
  </si>
  <si>
    <t>Auteur : Joel Leboucher • Rochefort sur Mer |  Date : 16 Août 2026  |  heure : 16h30 |  Document réalisé avec l'aide de ChatGPT  |</t>
  </si>
  <si>
    <t>bac(s) GN 2/1 H 250 en polycarbonate</t>
  </si>
  <si>
    <t>Allergènes *</t>
  </si>
  <si>
    <t xml:space="preserve">? = Rechercher - Vérifier    |  Exemple &gt;    Margarine ? &gt; soja* | fonds = céléri * gluten*  |   Vin = sulfites*  </t>
  </si>
  <si>
    <t>Polycarbonate GN 2/1</t>
  </si>
  <si>
    <t>Polycarbonate GN 1/1</t>
  </si>
  <si>
    <t>bac(s) GN 1/1 H 65 en polycarbonate</t>
  </si>
  <si>
    <t>bac(s) GN 1/1 H 150 en polycarbonate</t>
  </si>
  <si>
    <t xml:space="preserve">Bacs pleins en inox GN 2/1 </t>
  </si>
  <si>
    <t>bac(s) GN 2/1 H 20 plein(s)</t>
  </si>
  <si>
    <t>bac(s) GN 2/1 H 40 plein(s)</t>
  </si>
  <si>
    <t>bac(s) GN 2/1 H 55 plein(s)</t>
  </si>
  <si>
    <t>bac(s) GN 2/1 H 65 plein(s)</t>
  </si>
  <si>
    <t>bac(s) GN 2/1 H 100 plein(s)</t>
  </si>
  <si>
    <t>bac(s) GN 2/1 H 150 plein(s)</t>
  </si>
  <si>
    <t>bac(s) GN 2/1 H 200 plein(s)</t>
  </si>
  <si>
    <t>bac(s) GN 2/1 H 250 plein(s)</t>
  </si>
  <si>
    <t xml:space="preserve">Bacs pleins en inox GN 1/1 </t>
  </si>
  <si>
    <t>bac(s) GN 1/1 H 40 plein(s)</t>
  </si>
  <si>
    <t>bac(s) GN 1/1 H 55 plein(s)</t>
  </si>
  <si>
    <t>bac(s) GN 1/1 H 150 plein(s)</t>
  </si>
  <si>
    <t>bac(s) GN 1/1 H 250 plein(s)</t>
  </si>
  <si>
    <t xml:space="preserve">Bacs perforés en inox GN 1/1 </t>
  </si>
  <si>
    <t>Divers</t>
  </si>
  <si>
    <t>REFERENCE_MESURE</t>
  </si>
  <si>
    <t>PRODUIT_OU_REFERENCE</t>
  </si>
  <si>
    <t>VALEUR_ORIGINALE</t>
  </si>
  <si>
    <t>UNITE_ORIGINALE</t>
  </si>
  <si>
    <t>EQUIVALENCE_ORIGINALE</t>
  </si>
  <si>
    <t>Petite cuillère légèrement bombée</t>
  </si>
  <si>
    <t>Poivre noir moulu</t>
  </si>
  <si>
    <t>2.5 g</t>
  </si>
  <si>
    <t>Graines de cumin</t>
  </si>
  <si>
    <t>1,4 g</t>
  </si>
  <si>
    <t>Cumin moulu</t>
  </si>
  <si>
    <t>3</t>
  </si>
  <si>
    <t>3 g</t>
  </si>
  <si>
    <t>Poudre de curry</t>
  </si>
  <si>
    <t>Poudre de Colombo</t>
  </si>
  <si>
    <t>2,5 g</t>
  </si>
  <si>
    <t>Gingembre moulu</t>
  </si>
  <si>
    <t>1,6 g</t>
  </si>
  <si>
    <t>Graines de coriandre</t>
  </si>
  <si>
    <t>2</t>
  </si>
  <si>
    <t>Poivre de setchouan</t>
  </si>
  <si>
    <t>0,9 g</t>
  </si>
  <si>
    <t>Cannelle moulue</t>
  </si>
  <si>
    <t>Piment moulu</t>
  </si>
  <si>
    <t>Graines de cardamome</t>
  </si>
  <si>
    <t>1,3 g</t>
  </si>
  <si>
    <t>Cardamome moulue</t>
  </si>
  <si>
    <t>1,8 g</t>
  </si>
  <si>
    <t>5,5 g</t>
  </si>
  <si>
    <t>Muscade moulue</t>
  </si>
  <si>
    <t>5 épices</t>
  </si>
  <si>
    <t>1,5 g</t>
  </si>
  <si>
    <t>Cuillère à soupe légèrement bombée</t>
  </si>
  <si>
    <t>20</t>
  </si>
  <si>
    <t>20 g</t>
  </si>
  <si>
    <t>30</t>
  </si>
  <si>
    <t>30 g</t>
  </si>
  <si>
    <t>15</t>
  </si>
  <si>
    <t>15 g</t>
  </si>
  <si>
    <t>4</t>
  </si>
  <si>
    <t>4 g</t>
  </si>
  <si>
    <t>16</t>
  </si>
  <si>
    <t>16 g</t>
  </si>
  <si>
    <t>Fécule de pomme de terre</t>
  </si>
  <si>
    <t>10</t>
  </si>
  <si>
    <t>10 g</t>
  </si>
  <si>
    <t>Maïzéna</t>
  </si>
  <si>
    <t>12 g</t>
  </si>
  <si>
    <t>5 g</t>
  </si>
  <si>
    <t>Roux déshydraté</t>
  </si>
  <si>
    <t>Équivalence des œufs en poids et volume</t>
  </si>
  <si>
    <t>1 blanc d’œuf</t>
  </si>
  <si>
    <t>1 jaune d’œuf</t>
  </si>
  <si>
    <t>1 œuf moyen</t>
  </si>
  <si>
    <t>50 g</t>
  </si>
  <si>
    <t>1 litre de blancs d’œufs</t>
  </si>
  <si>
    <t>32 blancs</t>
  </si>
  <si>
    <t>1 litre de jaunes d’œufs</t>
  </si>
  <si>
    <t>48 jaunes</t>
  </si>
  <si>
    <t>1 litre d’œufs</t>
  </si>
  <si>
    <t>20/22 œufs</t>
  </si>
  <si>
    <t>1 kg de blancs d’œufs</t>
  </si>
  <si>
    <t>1 kg de jaunes d’œufs</t>
  </si>
  <si>
    <t>50 jaunes</t>
  </si>
  <si>
    <t>1 kg d’œufs</t>
  </si>
  <si>
    <t>50 œufs</t>
  </si>
  <si>
    <t>INTRODUCTION</t>
  </si>
  <si>
    <t>Produits alimentaires élaborés</t>
  </si>
  <si>
    <t>Fonds de cuisson non liés</t>
  </si>
  <si>
    <t>Fonds liés</t>
  </si>
  <si>
    <t>Roux déshydratés</t>
  </si>
  <si>
    <t>Gélifiants</t>
  </si>
  <si>
    <t>Jus de fruits</t>
  </si>
  <si>
    <t>Légumes élaborés</t>
  </si>
  <si>
    <t>Famille de produits</t>
  </si>
  <si>
    <t>Utilisation et caractéristiques</t>
  </si>
  <si>
    <t>Jus de viande</t>
  </si>
  <si>
    <t>Concentrés, extraits et glaces</t>
  </si>
  <si>
    <t>Réductions culinaires</t>
  </si>
  <si>
    <t>Sauces élaborées</t>
  </si>
  <si>
    <t>Bases pour sauces froides</t>
  </si>
  <si>
    <t>Marinades et préparations d’assaisonnement</t>
  </si>
  <si>
    <t>Aides au marquage et à la coloration</t>
  </si>
  <si>
    <t>Duxelles élaborées</t>
  </si>
  <si>
    <t>Amidons et fécules</t>
  </si>
  <si>
    <t>Liants instantanés</t>
  </si>
  <si>
    <t>Épaississants et texturants</t>
  </si>
  <si>
    <t>Bases pour potages et veloutés</t>
  </si>
  <si>
    <t>Purées de légumes</t>
  </si>
  <si>
    <t>Flocons et préparations déshydratées</t>
  </si>
  <si>
    <t>Flocons de pomme de terre, légumes ou légumineuses utilisés notamment pour la réalisation rapide de purées, potages et garnitures.</t>
  </si>
  <si>
    <t>Légumes prêts à cuire</t>
  </si>
  <si>
    <t>Légumes épluchés, lavés, découpés, sous vide, réfrigérés ou surgelés directement utilisables pour les cuissons, garnitures et préparations culinaires.</t>
  </si>
  <si>
    <t>Légumes secs précuits</t>
  </si>
  <si>
    <t>Lentilles, pois chiches, haricots, pois et autres légumineuses appertisés, sous vide ou surgelés permettant de réduire fortement les temps de trempage et de cuisson.</t>
  </si>
  <si>
    <t>Féculents précuits</t>
  </si>
  <si>
    <t>Riz, pâtes, semoule, céréales ou pommes de terre précuits ou prêts à remettre en température, particulièrement adaptés aux productions à effectifs importants.</t>
  </si>
  <si>
    <t>Pommes de terre élaborées</t>
  </si>
  <si>
    <t>Fruits élaborés</t>
  </si>
  <si>
    <t>Purées et coulis de fruits</t>
  </si>
  <si>
    <t>Purées et coulis prêts à l’emploi destinés à la réalisation de mousses, bavarois, sorbets, entremets, sauces, décors et desserts.</t>
  </si>
  <si>
    <t>Citron et acidifiants</t>
  </si>
  <si>
    <t>Aromates</t>
  </si>
  <si>
    <t>Épices</t>
  </si>
  <si>
    <t>Épices entières, moulues ou en mélanges : curry, paprika, cumin, curcuma, muscade, poivre, etc. Elles permettent de diversifier et personnaliser les préparations.</t>
  </si>
  <si>
    <t>Condiments</t>
  </si>
  <si>
    <t>Moutardes, cornichons, câpres, raifort, sauces condimentaires, chutneys et autres préparations destinées à relever ou accompagner les plats.</t>
  </si>
  <si>
    <t>Assaisonnements composés</t>
  </si>
  <si>
    <t>Ovoproduits</t>
  </si>
  <si>
    <t>Produits laitiers élaborés</t>
  </si>
  <si>
    <t>Crèmes et bases pâtissières</t>
  </si>
  <si>
    <t>Préparations pour desserts</t>
  </si>
  <si>
    <t>Pâtes élaborées</t>
  </si>
  <si>
    <t>Appareils et préparations prêts à l’emploi</t>
  </si>
  <si>
    <t>Panures et chapelures élaborées</t>
  </si>
  <si>
    <t>Farces élaborées</t>
  </si>
  <si>
    <t>Produits carnés élaborés</t>
  </si>
  <si>
    <t>Produits de la mer élaborés</t>
  </si>
  <si>
    <t>Produits panés ou enrobés</t>
  </si>
  <si>
    <t>Poissons, viandes, volailles, légumes ou préparations végétales panés prêts à cuire ou à remettre en température.</t>
  </si>
  <si>
    <t>Produits végétariens élaborés</t>
  </si>
  <si>
    <t>Garnitures et décors culinaires</t>
  </si>
  <si>
    <t>Produits prêts à servir ou à remettre en température</t>
  </si>
  <si>
    <t xml:space="preserve">Le cuisinier dispose d’une large gamme de produits élaborés par l’industrie agroalimentaire, prêts ou semi-prêts à l’emploi. </t>
  </si>
  <si>
    <t xml:space="preserve">Ils permettent de rationaliser la production, de réduire certaines tâches répétitives, de maîtriser les rendements et d’obtenir une qualité plus régulière, </t>
  </si>
  <si>
    <t>sous réserve du respect des conditions de stockage, de remise en œuvre et des fiches techniques fabricants.</t>
  </si>
  <si>
    <t xml:space="preserve">Fonds blancs de volaille ou de veau, fonds bruns, fumets de poisson ou de crustacés : utilisés pour le mouillement, le déglaçage, </t>
  </si>
  <si>
    <t>le braisage et l’élaboration de sauces, potages et préparations cuisinées.</t>
  </si>
  <si>
    <t xml:space="preserve">Fonds bruns liés, demi-glaces et jus liés constituent des bases prêtes à l’emploi pour la réalisation ou la finition des sauces, </t>
  </si>
  <si>
    <t>jus, fonds de poêlage, braisés et sautés en sauce.</t>
  </si>
  <si>
    <t xml:space="preserve">Jus d’agneau, de bœuf, de veau, de canard, de volaille ou de porc : utilisés pour réaliser rapidement des jus d’accompagnement, </t>
  </si>
  <si>
    <t>déglacer les plaques et renforcer la saveur des fonds et sauces.</t>
  </si>
  <si>
    <t>Concentrés de viande, volaille, poisson, crustacés ou légumes destinés à renforcer la saveur d’un fond, d’une sauce, d’un potage ou d’une préparation cuisinée.</t>
  </si>
  <si>
    <t xml:space="preserve"> Leur dosage doit être maîtrisé en raison de leur concentration aromatique et parfois de leur teneur en sel.</t>
  </si>
  <si>
    <t>Réductions de vin, vinaigre, échalote, fond ou jus permettant d’apporter rapidement concentration aromatique,</t>
  </si>
  <si>
    <t xml:space="preserve"> acidité et puissance gustative aux sauces et préparations.</t>
  </si>
  <si>
    <t xml:space="preserve">Sauces tomate, béchamel, hollandaise, poivre, madère, curry, américaine, etc. Elles peuvent constituer une base à personnaliser </t>
  </si>
  <si>
    <t>et permettent de sécuriser et standardiser certaines productions en quantité importante.</t>
  </si>
  <si>
    <t xml:space="preserve">Mayonnaises, sauces émulsionnées, vinaigrettes et préparations condimentaires prêtes à l’emploi ou à personnaliser </t>
  </si>
  <si>
    <t>pour les entrées, salades, sandwiches et buffets.</t>
  </si>
  <si>
    <t>Mélanges liquides, poudres ou pâtes aromatiques destinés à assaisonner, parfumer et parfois attendrir viandes,</t>
  </si>
  <si>
    <t xml:space="preserve"> volailles, poissons ou légumes avant cuisson.</t>
  </si>
  <si>
    <t>Certaines préparations professionnelles permettent de favoriser la coloration ou l’aspect grillé de produits cuits au four,</t>
  </si>
  <si>
    <t xml:space="preserve"> en cuisson mixte ou à la vapeur. Elles doivent être employées conformément aux indications du fabricant.</t>
  </si>
  <si>
    <t xml:space="preserve">Préparations à base de champignons hachés, parfois accompagnés d’échalotes et d’aromates, </t>
  </si>
  <si>
    <t>utilisées notamment pour les farces, garnitures, sauces et préparations feuilletées.</t>
  </si>
  <si>
    <t xml:space="preserve">Roux blancs, blonds ou bruns permettant d’épaissir rapidement sauces, fonds de braisage, potages et sautés en sauce. </t>
  </si>
  <si>
    <t>Leur utilisation facilite le réglage progressif de la consistance.</t>
  </si>
  <si>
    <t xml:space="preserve">Fécule de maïs, pomme de terre, tapioca et amidons modifiés sont utilisés pour épaissir sauces, crèmes, </t>
  </si>
  <si>
    <t>potages et préparations culinaires, à chaud ou parfois à froid selon le produit.</t>
  </si>
  <si>
    <t xml:space="preserve">Produits destinés à épaissir rapidement les préparations sans réaliser de roux traditionnel. </t>
  </si>
  <si>
    <t>Ils sont particulièrement utiles pour ajuster la texture d’une sauce ou d’un potage en fin de préparation.</t>
  </si>
  <si>
    <t xml:space="preserve">Gélatine, agar-agar et autres gélifiants sont utilisés pour les gelées, terrines, mousses, entremets et préparations froides. </t>
  </si>
  <si>
    <t xml:space="preserve">L’agar-agar est un gélifiant d’origine végétale dont le dosage et les températures de mise en œuvre doivent être adaptés </t>
  </si>
  <si>
    <t>au résultat recherché et aux préconisations du fabricant.</t>
  </si>
  <si>
    <t xml:space="preserve">Gommes, amidons spécifiques, fibres et autres texturants permettent d’adapter la viscosité et la texture des préparations. </t>
  </si>
  <si>
    <t>Ils sont notamment employés dans certaines préparations mixées ou à texture modifiée.</t>
  </si>
  <si>
    <t>Préparations déshydratées, concentrées, surgelées ou prêtes à l’emploi servant de base à la fabrication de potages,</t>
  </si>
  <si>
    <t xml:space="preserve"> crèmes et veloutés, pouvant être enrichis avec des légumes, herbes et garnitures fraîches.</t>
  </si>
  <si>
    <t xml:space="preserve">Purées de légumes surgelées, réfrigérées ou appertisées permettant de réaliser rapidement garnitures, </t>
  </si>
  <si>
    <t>mousselines, potages, sauces, farces et préparations à texture modifiée.</t>
  </si>
  <si>
    <t>Légumes surgelés, appertisés ou de quatrième gamme, lavés, épluchés et parfois taillés ou précuits.</t>
  </si>
  <si>
    <t xml:space="preserve"> Ils permettent de réduire les opérations préliminaires, les pertes au parage et le temps de préparation tout en facilitant l’organisation et la maîtrise sanitaire.</t>
  </si>
  <si>
    <t xml:space="preserve">Pommes de terre épluchées, sous vide, précuites, surgelées ou transformées en frites, cubes, quartiers, rösti, </t>
  </si>
  <si>
    <t>purées ou gratins permettant de réduire les opérations de préparation.</t>
  </si>
  <si>
    <t xml:space="preserve">Fruits surgelés, appertisés, sous vide, en purée, en compote ou de quatrième gamme pouvant être utilisés en pâtisserie, </t>
  </si>
  <si>
    <t>restauration collective, desserts et préparations sucrées-salées.</t>
  </si>
  <si>
    <t xml:space="preserve">Jus et concentrés de fruits prêts à l’emploi utilisés dans les préparations pâtissières, sauces, marinades, </t>
  </si>
  <si>
    <t>boissons et préparations culinaires sucrées ou sucrées-salées.</t>
  </si>
  <si>
    <t xml:space="preserve">Jus de citron et acidifiants alimentaires peuvent limiter l’oxydation de certains fruits et légumes. </t>
  </si>
  <si>
    <t>L’acide ascorbique (E300) est notamment utilisé comme antioxydant sans apporter la même saveur acidulée que le jus de citron.</t>
  </si>
  <si>
    <t>Ail, échalote, oignon, persil, ciboulette, basilic et autres aromates disponibles frais, surgelés, déshydratés, lyophilisés</t>
  </si>
  <si>
    <t>, hachés ou en pâte. Ils réduisent les opérations de préparation et facilitent le dosage.</t>
  </si>
  <si>
    <t xml:space="preserve">Mélanges d’épices, d’aromates et de condiments prêts à l’emploi permettant de standardiser l’assaisonnement. </t>
  </si>
  <si>
    <t>Leur composition, notamment en sel et en allergènes, doit être vérifiée sur la fiche produit.</t>
  </si>
  <si>
    <t xml:space="preserve">Œufs entiers, jaunes ou blancs pasteurisés, liquides, congelés ou déshydratés. </t>
  </si>
  <si>
    <t>Ils facilitent le dosage et peuvent apporter une sécurité sanitaire et une régularité intéressantes pour les productions importantes.</t>
  </si>
  <si>
    <t>Crèmes culinaires, préparations fromagères, fromages râpés, sauces fromagères et autres produits prêts à l’emploi destinés aux sauces,</t>
  </si>
  <si>
    <t xml:space="preserve"> gratins, appareils, farces et préparations pâtissières.</t>
  </si>
  <si>
    <t xml:space="preserve">Crème pâtissière, crème anglaise, mousse, bavarois ou autres préparations prêtes à réaliser permettant </t>
  </si>
  <si>
    <t>de simplifier et standardiser certaines productions pâtissières.</t>
  </si>
  <si>
    <t xml:space="preserve">Entremets, flans, mousses, crèmes, génoises ou autres bases déshydratées ou prêtes à l’emploi </t>
  </si>
  <si>
    <t>destinées aux productions de desserts en quantité.</t>
  </si>
  <si>
    <t>Pâtes feuilletées, brisées, sablées, pâtes à pizza et autres pâtons frais, surgelés ou prêts à cuire</t>
  </si>
  <si>
    <t xml:space="preserve"> facilitant la production tout en assurant une régularité de poids et de format.</t>
  </si>
  <si>
    <t xml:space="preserve">Appareils à quiche, gratin, flan, crêpe ou autres préparations semi-finies </t>
  </si>
  <si>
    <t>pouvant être utilisés directement ou personnalisés avant cuisson.</t>
  </si>
  <si>
    <t>Chapelures, panures anglaises, panures assaisonnées, céréalières ou spécifiques destinées à enrober viandes,</t>
  </si>
  <si>
    <t xml:space="preserve"> poissons, légumes et préparations façonnées.</t>
  </si>
  <si>
    <t xml:space="preserve">Farces de viande, poisson, légumes ou préparations végétales utilisées pour terrines, légumes farcis, pâtes, </t>
  </si>
  <si>
    <t>volailles et autres fabrications. Leur composition et les allergènes doivent être précisément identifiés.</t>
  </si>
  <si>
    <t xml:space="preserve">Viandes portionnées, calibrées, marinées, cuites, précuites ou sous vide permettant de réduire </t>
  </si>
  <si>
    <t>les opérations de découpe, de préparation et parfois les temps de cuisson.</t>
  </si>
  <si>
    <t>Poissons en portions, filets désarêtés, produits décortiqués, précuits ou surgelés facilitant le portionnement,</t>
  </si>
  <si>
    <t xml:space="preserve"> la maîtrise des rendements et la mise en œuvre.</t>
  </si>
  <si>
    <t xml:space="preserve">Galettes, boulettes, steaks végétaux et préparations à base de légumes, céréales, </t>
  </si>
  <si>
    <t>légumineuses ou protéines végétales permettant de diversifier les plats sans viande ni poisson.</t>
  </si>
  <si>
    <t xml:space="preserve">Croûtons, oignons frits, graines, fruits secs, décors de pâtisserie et autres produits destinés à compléter la présentation, </t>
  </si>
  <si>
    <t>la texture ou la saveur d’un plat.</t>
  </si>
  <si>
    <t>ou une finition avant le service. Leur utilisation exige le respect strict des températures, durées de conservation et consignes du fabricant.</t>
  </si>
  <si>
    <t xml:space="preserve">Préparations culinaires entièrement élaborées nécessitant seulement un dressage, une remise en température </t>
  </si>
  <si>
    <t>DENOMINATION_ORIGINALE</t>
  </si>
  <si>
    <t>CHARGE_PAR_BAC</t>
  </si>
  <si>
    <t>BAC_GN_ORIGINAL</t>
  </si>
  <si>
    <t>TEMPS_CUISSON</t>
  </si>
  <si>
    <t>MODE_CUISSON</t>
  </si>
  <si>
    <t>Brocoli surgelé</t>
  </si>
  <si>
    <t>5 kg</t>
  </si>
  <si>
    <t>GN 1/1 H 100 perforé</t>
  </si>
  <si>
    <t>13 à 15 mn</t>
  </si>
  <si>
    <t>Four vapeur préchauffé</t>
  </si>
  <si>
    <t>Carotte rondelle surgelée</t>
  </si>
  <si>
    <t>15 mn</t>
  </si>
  <si>
    <t>Céleri-rave frais en cubes de 20 x 20</t>
  </si>
  <si>
    <t>8 kg</t>
  </si>
  <si>
    <t>30 mn</t>
  </si>
  <si>
    <t>Chou vert frais</t>
  </si>
  <si>
    <t>35 mn</t>
  </si>
  <si>
    <t>Chou de Bruxelles surgelé</t>
  </si>
  <si>
    <t>Chou-fleur surgelé</t>
  </si>
  <si>
    <t>15 à 20 mn</t>
  </si>
  <si>
    <t>Cœur de blé</t>
  </si>
  <si>
    <t>5 mn</t>
  </si>
  <si>
    <t>Marmite — cuisson à l’anglaise</t>
  </si>
  <si>
    <t>Courgette rondelle surgelée</t>
  </si>
  <si>
    <t>4 kg</t>
  </si>
  <si>
    <t>GN 1/1 H 65 perforé</t>
  </si>
  <si>
    <t>20 mn</t>
  </si>
  <si>
    <t>Endive fraîche</t>
  </si>
  <si>
    <t>50 mn</t>
  </si>
  <si>
    <t>Épinards en branches surgelés</t>
  </si>
  <si>
    <t>45 mn</t>
  </si>
  <si>
    <t>Fenouil frais</t>
  </si>
  <si>
    <t>Fond d’artichaut surgelé</t>
  </si>
  <si>
    <t>Haricot plat surgelé</t>
  </si>
  <si>
    <t>40 mn</t>
  </si>
  <si>
    <t>Haricot vert surgelé</t>
  </si>
  <si>
    <t>7 kg</t>
  </si>
  <si>
    <t>Navet en cubes frais 20 x 20</t>
  </si>
  <si>
    <t>Petit oignon grelot surgelé — glacé à brun</t>
  </si>
  <si>
    <t>GN 1/1 H 45</t>
  </si>
  <si>
    <t>25 mn</t>
  </si>
  <si>
    <t>Chaleur sèche +175 °C</t>
  </si>
  <si>
    <t>Poireau surgelé</t>
  </si>
  <si>
    <t>Pomme de terre entière grosse avec peau</t>
  </si>
  <si>
    <t>Chaleur mixte +180 °C</t>
  </si>
  <si>
    <t>Pomme de terre fraîche en cubes 20 x 20</t>
  </si>
  <si>
    <t>Pomme de terre ronde fraîche</t>
  </si>
  <si>
    <t>6 kg</t>
  </si>
  <si>
    <t>Riz pilaf</t>
  </si>
  <si>
    <t>2,5 kg</t>
  </si>
  <si>
    <t>GN 1/1 H 100</t>
  </si>
  <si>
    <t>Chaleur mixte +175 °C</t>
  </si>
  <si>
    <t>Asperges vertes surgelées</t>
  </si>
  <si>
    <t>12 à 15 mn</t>
  </si>
  <si>
    <t>Aubergine fraîche en cubes</t>
  </si>
  <si>
    <t>GN 1/1 H 65</t>
  </si>
  <si>
    <t>20 à 25 mn</t>
  </si>
  <si>
    <t>Betterave rouge crue entière</t>
  </si>
  <si>
    <t>60 à 90 mn</t>
  </si>
  <si>
    <t>Betterave rouge cuite en cubes</t>
  </si>
  <si>
    <t>Blette fraîche émincée</t>
  </si>
  <si>
    <t>Brocoli frais en fleurettes</t>
  </si>
  <si>
    <t>Butternut fraîche en cubes</t>
  </si>
  <si>
    <t>25 à 30 mn</t>
  </si>
  <si>
    <t>Carotte fraîche en bâtonnets</t>
  </si>
  <si>
    <t>Carotte surgelée en bâtonnets</t>
  </si>
  <si>
    <t>Céleri branche frais émincé</t>
  </si>
  <si>
    <t>Champignon de Paris frais émincé</t>
  </si>
  <si>
    <t>3 kg</t>
  </si>
  <si>
    <t>Chaleur sèche +180 °C</t>
  </si>
  <si>
    <t>Chou blanc frais émincé</t>
  </si>
  <si>
    <t>30 à 35 mn</t>
  </si>
  <si>
    <t>Chou rouge frais émincé</t>
  </si>
  <si>
    <t>45 à 60 mn</t>
  </si>
  <si>
    <t>Chaleur mixte +160 °C</t>
  </si>
  <si>
    <t>Chou-fleur frais en fleurettes</t>
  </si>
  <si>
    <t>Courge musquée fraîche en cubes</t>
  </si>
  <si>
    <t>Courgette fraîche en cubes</t>
  </si>
  <si>
    <t>Épinards hachés surgelés</t>
  </si>
  <si>
    <t>35 à 40 mn</t>
  </si>
  <si>
    <t>Flageolets cuits</t>
  </si>
  <si>
    <t>Chaleur mixte +140 °C</t>
  </si>
  <si>
    <t>Haricot beurre surgelé</t>
  </si>
  <si>
    <t>Lentilles cuites</t>
  </si>
  <si>
    <t>Maïs doux en grains surgelé</t>
  </si>
  <si>
    <t>Mélange de légumes grillés surgelé</t>
  </si>
  <si>
    <t>Oignon émincé surgelé</t>
  </si>
  <si>
    <t>Patate douce fraîche en cubes</t>
  </si>
  <si>
    <t>Pois gourmands surgelés</t>
  </si>
  <si>
    <t>10 à 12 mn</t>
  </si>
  <si>
    <t>Poireau frais en rondelles</t>
  </si>
  <si>
    <t>Poivron frais en lanières</t>
  </si>
  <si>
    <t>Potimarron frais en cubes</t>
  </si>
  <si>
    <t>Potiron frais en cubes</t>
  </si>
  <si>
    <t>Ratatouille surgelée</t>
  </si>
  <si>
    <t>Salsifis surgelés</t>
  </si>
  <si>
    <t>Tomate fraîche demi — provençale</t>
  </si>
  <si>
    <t>18 à 22 mn</t>
  </si>
  <si>
    <t>Topinambour frais en cubes</t>
  </si>
  <si>
    <t>Pomme de terre grenaille avec peau</t>
  </si>
  <si>
    <t>35 à 45 mn</t>
  </si>
  <si>
    <t>Pomme de terre en quartiers rôtis</t>
  </si>
  <si>
    <t>Chaleur sèche +185 °C</t>
  </si>
  <si>
    <t>Pomme de terre en lamelles pour gratin</t>
  </si>
  <si>
    <t>45 à 55 mn</t>
  </si>
  <si>
    <t>Chaleur mixte +165 °C</t>
  </si>
  <si>
    <t>Pomme fraîche entière au four</t>
  </si>
  <si>
    <t>Chaleur mixte +170 °C</t>
  </si>
  <si>
    <t>Pomme fraîche en quartiers</t>
  </si>
  <si>
    <t>Pomme — compote</t>
  </si>
  <si>
    <t>30 à 40 mn</t>
  </si>
  <si>
    <t>Poire fraîche en demi-fruits</t>
  </si>
  <si>
    <t>Poire — compote</t>
  </si>
  <si>
    <t>Coing frais en morceaux</t>
  </si>
  <si>
    <t>Rhubarbe fraîche en tronçons</t>
  </si>
  <si>
    <t>Chaleur mixte +150 °C</t>
  </si>
  <si>
    <t>Abricot surgelé en demi-fruits</t>
  </si>
  <si>
    <t>Pêche surgelée en demi-fruits</t>
  </si>
  <si>
    <t>Prune fraîche en demi-fruits</t>
  </si>
  <si>
    <t>Ananas frais en tranches</t>
  </si>
  <si>
    <t>Ananas frais en cubes</t>
  </si>
  <si>
    <t>15 à 18 mn</t>
  </si>
  <si>
    <t>Banane fraîche en demi-fruits</t>
  </si>
  <si>
    <t>Chaleur sèche +170 °C</t>
  </si>
  <si>
    <t>Fruits rouges surgelés — compotée</t>
  </si>
  <si>
    <t>Blanc de poulet portionné</t>
  </si>
  <si>
    <t>18 à 25 mn</t>
  </si>
  <si>
    <t>Cuisse de poulet</t>
  </si>
  <si>
    <t>Poulet entier</t>
  </si>
  <si>
    <t>50 à 65 mn</t>
  </si>
  <si>
    <t>Escalope de dinde</t>
  </si>
  <si>
    <t>Sauté de dinde en morceaux</t>
  </si>
  <si>
    <t>Chaleur mixte +155 °C</t>
  </si>
  <si>
    <t>Rôti de dinde</t>
  </si>
  <si>
    <t>50 à 70 mn</t>
  </si>
  <si>
    <t>Magret de canard</t>
  </si>
  <si>
    <t>Cuisse de canard</t>
  </si>
  <si>
    <t>60 à 75 mn</t>
  </si>
  <si>
    <t>Rôti de porc</t>
  </si>
  <si>
    <t>60 à 80 mn</t>
  </si>
  <si>
    <t>Côte de porc</t>
  </si>
  <si>
    <t>Sauté de porc en morceaux</t>
  </si>
  <si>
    <t>Chipolata</t>
  </si>
  <si>
    <t>Rôti de bœuf</t>
  </si>
  <si>
    <t>45 à 70 mn</t>
  </si>
  <si>
    <t>Chaleur sèche +160 °C</t>
  </si>
  <si>
    <t>Bœuf bourguignon en morceaux</t>
  </si>
  <si>
    <t>2 h 30 à 3 h</t>
  </si>
  <si>
    <t>Steak haché</t>
  </si>
  <si>
    <t>3,5 kg</t>
  </si>
  <si>
    <t>Boulettes de bœuf</t>
  </si>
  <si>
    <t>Rôti de veau</t>
  </si>
  <si>
    <t>Sauté de veau en morceaux</t>
  </si>
  <si>
    <t>Escalope de veau</t>
  </si>
  <si>
    <t>Gigot d’agneau</t>
  </si>
  <si>
    <t>4,5 kg</t>
  </si>
  <si>
    <t>Épaule d’agneau</t>
  </si>
  <si>
    <t>90 à 120 mn</t>
  </si>
  <si>
    <t>Sauté d’agneau en morceaux</t>
  </si>
  <si>
    <t>Cuisse de lapin</t>
  </si>
  <si>
    <t>Saumon en portions</t>
  </si>
  <si>
    <t>10 à 15 mn</t>
  </si>
  <si>
    <t>Four vapeur 85 à 90 °C</t>
  </si>
  <si>
    <t>Cabillaud en portions</t>
  </si>
  <si>
    <t>Colin en portions</t>
  </si>
  <si>
    <t>Four vapeur 90 °C</t>
  </si>
  <si>
    <t>Merlu en portions</t>
  </si>
  <si>
    <t>Lieu noir en portions</t>
  </si>
  <si>
    <t>Lieu jaune en portions</t>
  </si>
  <si>
    <t>Hoki en portions</t>
  </si>
  <si>
    <t>Églefin en portions</t>
  </si>
  <si>
    <t>Haddock en portions</t>
  </si>
  <si>
    <t>Truite en filets</t>
  </si>
  <si>
    <t>GN 1/1 H 45 perforé</t>
  </si>
  <si>
    <t>8 à 12 mn</t>
  </si>
  <si>
    <t>Maquereau en filets</t>
  </si>
  <si>
    <t>Dorade en filets</t>
  </si>
  <si>
    <t>Bar en filets</t>
  </si>
  <si>
    <t>Sole en filets</t>
  </si>
  <si>
    <t>7 à 10 mn</t>
  </si>
  <si>
    <t>Sébaste en portions</t>
  </si>
  <si>
    <t>Lingue en portions</t>
  </si>
  <si>
    <t>Lotte en médaillons</t>
  </si>
  <si>
    <t>12 à 18 mn</t>
  </si>
  <si>
    <t>Thon en pavés</t>
  </si>
  <si>
    <t>Espadon en pavés</t>
  </si>
  <si>
    <t>10 à 14 mn</t>
  </si>
  <si>
    <t>Sardine en filets</t>
  </si>
  <si>
    <t>8 à 10 mn</t>
  </si>
  <si>
    <t>PROCEDURE</t>
  </si>
  <si>
    <t>ORDRE_PROCEDURE</t>
  </si>
  <si>
    <t>RÈGLE / CONSIGNE</t>
  </si>
  <si>
    <t>EXEMPLE CONCRET – CUISINE CENTRALE</t>
  </si>
  <si>
    <t>APPLICATION – SITE SATELLITE</t>
  </si>
  <si>
    <t>À CONTRÔLER / À TRACER (CFA)</t>
  </si>
  <si>
    <t>SOURCE / RÉFÉRENCE</t>
  </si>
  <si>
    <t>Au cours de la réalisation d’une préparation culinaire ou pâtissière, certaines étapes ont une importance particulière dans la maîtrise de la salubrité des produits alimentaires.</t>
  </si>
  <si>
    <t>Ex. sur une fiche de sauté de bœuf, repérer les étapes où une erreur de temps, de température ou de manipulation peut rendre le plat non conforme.</t>
  </si>
  <si>
    <t>Au site, repérer les étapes encore sous sa responsabilité : réception, stockage, remise en température et service.</t>
  </si>
  <si>
    <t>L’apprenant doit savoir relier chaque étape au danger maîtrisé et au document prévu par le PMS.</t>
  </si>
  <si>
    <t>https://www.legifrance.gouv.fr/loda/id/LEGITEXT000021676844/</t>
  </si>
  <si>
    <t>Dans l’énoncé des fiches techniques de fabrication, lors du déroulement chronologique de leur mise en œuvre, il est fait référence aux mesures de contrôle et de surveillance liées aux différentes opérations qu’impose une démarche qualité du type HACCP.</t>
  </si>
  <si>
    <t>Ex. pendant la fabrication, noter sur la fiche les contrôles réellement effectués : cuisson, refroidissement, stockage et départ de tournée.</t>
  </si>
  <si>
    <t>Le site complète la chaîne de surveillance avec ses propres contrôles à la réception et avant le service.</t>
  </si>
  <si>
    <t>Comparer « règle prévue », « mesure réalisée » et « action corrective » en cas d’écart.</t>
  </si>
  <si>
    <t>Un bref rappel des mesures à prendre précise les points essentiels à respecter.</t>
  </si>
  <si>
    <t>Ex. avant de commencer une production, relire les trois ou quatre points critiques de la fiche plutôt que travailler de mémoire.</t>
  </si>
  <si>
    <t>Avant le service, l’agent du satellite consulte les consignes utiles au repas du jour.</t>
  </si>
  <si>
    <t>Vérifier que la consigne est comprise, applicable et associée à une trace quand le PMS l’exige.</t>
  </si>
  <si>
    <t>LES PROCÉDURES DE FONCTIONNEMENT</t>
  </si>
  <si>
    <t>Lors d’une même période de fabrication, depuis le déstockage jusqu’au service, peuvent se succéder des tâches nécessitant des manipulations de produits de niveaux sanitaires différents. En passant d’une phase à l’autre, le personnel peut être le vecteur de contaminations diverses.</t>
  </si>
  <si>
    <t>Ex. terminer le déconditionnement des cartons, évacuer les déchets puis nettoyer le poste avant de conditionner les plats refroidis.</t>
  </si>
  <si>
    <t>Au satellite, organiser les déplacements pour que chariot repas, vaisselle sale et déchets ne se croisent pas inutilement.</t>
  </si>
  <si>
    <t>Observer le circuit réel des personnes, denrées, matériels propres et déchets ; repérer un croisement à risque.</t>
  </si>
  <si>
    <t>PMS de l’établissement</t>
  </si>
  <si>
    <t>Le personnel doit être informé sur les règles d’hygiène essentielles à respecter et le comportement à tenir à chaque étape, par l’existence de procédures et d’instructions de travail.</t>
  </si>
  <si>
    <t>Ex. une fiche de poste précise quand changer de gants, se laver les mains, désinfecter la sonde et enregistrer une température.</t>
  </si>
  <si>
    <t>Le personnel du site dispose de consignes simples pour réceptionner, stocker, réchauffer et distribuer les repas.</t>
  </si>
  <si>
    <t>Demander à l’apprenant d’expliquer la consigne avec ses mots et d’indiquer quand elle s’applique.</t>
  </si>
  <si>
    <t>Déconditionnement</t>
  </si>
  <si>
    <t>Organiser le travail dans l’espace ou dans le temps, selon le principe de la marche en avant.</t>
  </si>
  <si>
    <t>Ex. ouvrir les cartons en zone de déconditionnement, puis transférer les poches fermées vers la zone propre seulement après évacuation des emballages.</t>
  </si>
  <si>
    <t>Le site évite d’ouvrir les conditionnements de repas dans la zone de réception sale.</t>
  </si>
  <si>
    <t>Repérer la séparation dans l’espace ou dans le temps entre emballages extérieurs et denrées propres.</t>
  </si>
  <si>
    <t>Veiller à la propreté des ustensiles employés, des locaux, de la tenue et des mains.</t>
  </si>
  <si>
    <t>Ex. avant d’ouvrir des poches de viande, désinfecter le plan de travail et utiliser un couteau propre ; refaire l’hygiène des mains après l’opération.</t>
  </si>
  <si>
    <t>Sur le satellite, utiliser un ouvre-barquette et des mains propres juste avant la remise en température ou le service.</t>
  </si>
  <si>
    <t>Contrôler état du poste, ustensiles, tenue et lavage des mains au bon moment.</t>
  </si>
  <si>
    <t>Contrôler l’intégrité de l’emballage, du produit et l’estampille de salubrité ; garder l’identité du produit jusqu’à la date de sa consommation.</t>
  </si>
  <si>
    <t>Ex. conserver l’étiquette du carton de poisson après ouverture et vérifier qu’aucune poche n’est percée ou souillée.</t>
  </si>
  <si>
    <t>À réception, le site refuse ou isole une barquette dont l’opercule est rompu ou l’étiquette illisible.</t>
  </si>
  <si>
    <t>Vérifier intégrité, lot, DLC et identification sanitaire lorsque celle-ci est applicable.</t>
  </si>
  <si>
    <t>Déconditionner les produits au fur et à mesure des besoins.</t>
  </si>
  <si>
    <t>Ex. ne sortir que les 20 kg de viande nécessaires au premier lot de fabrication ; laisser le reste protégé au froid.</t>
  </si>
  <si>
    <t>Le satellite n’ouvre que le nombre de barquettes nécessaire au service en cours.</t>
  </si>
  <si>
    <t>Observer si la quantité déconditionnée correspond au besoin immédiat.</t>
  </si>
  <si>
    <t>Se laver les mains après ce type d’opération.</t>
  </si>
  <si>
    <t>Ex. après avoir manipulé cartons et poches extérieures, se laver les mains avant de toucher un bac alimentaire propre.</t>
  </si>
  <si>
    <t>Même principe sur site après manipulation des caisses de transport avant le dressage.</t>
  </si>
  <si>
    <t>Identifier le moment précis où le lavage des mains doit interrompre le passage du sale au propre.</t>
  </si>
  <si>
    <t>Ne pas mettre le produit au contact de l’extérieur de l’emballage.</t>
  </si>
  <si>
    <t>Ex. découper la poche sans laisser la face extérieure toucher la viande ou le bord intérieur du bac propre.</t>
  </si>
  <si>
    <t>Sur site, retirer l’opercule sans le faire tomber dans le plat ni toucher l’aliment avec sa face externe.</t>
  </si>
  <si>
    <t>Observer le geste : aucune surface extérieure de l’emballage ne doit contaminer la denrée.</t>
  </si>
  <si>
    <t>Transférer les marchandises dépourvues d’emballage dans les locaux de traitement, au besoin protégées par des récipients hygiéniquement propres.</t>
  </si>
  <si>
    <t>Ex. après retrait du carton, déposer les poches propres dans un bac identifié avant leur transfert en préparation.</t>
  </si>
  <si>
    <t>Si un produit est transvasé sur site, utiliser immédiatement un récipient alimentaire propre et protégé.</t>
  </si>
  <si>
    <t>Contrôler propreté du récipient, protection du produit et identification après transfert.</t>
  </si>
  <si>
    <t>Filmer, identifier — date de déconditionnement et estampille de salubrité — et réfrigérer les produits non traités dans l’immédiat.</t>
  </si>
  <si>
    <t>Ex. une poche de jambon ouverte mais non utilisée immédiatement est protégée, datée et replacée au froid selon le PMS.</t>
  </si>
  <si>
    <t>Le site identifie toute barquette ouverte conservée temporairement, si cette conservation est autorisée.</t>
  </si>
  <si>
    <t>Vérifier date/heure d’ouverture, identité du produit, conditions de conservation et durée autorisée.</t>
  </si>
  <si>
    <t>Pour les produits appertisés, décontaminer la boîte et veiller à la propreté de l’ouvre-boîte et de son poinçon.</t>
  </si>
  <si>
    <t>Ex. avant d’ouvrir une boîte 5/1 de tomates, nettoyer l’extérieur et vérifier la propreté de la lame de l’ouvre-boîte.</t>
  </si>
  <si>
    <t>Même exigence si le satellite ouvre une conserve pour une préparation réalisée sur place.</t>
  </si>
  <si>
    <t>Observer boîte, couvercle, ouvre-boîte et absence de débris métalliques dans le produit.</t>
  </si>
  <si>
    <t>Pour les produits sous vide, décontaminer les poches par immersion dans un bain bactéricide ou par aspersion de produit désinfectant ; respecter le temps d’action et rincer.</t>
  </si>
  <si>
    <t>Ex. appliquer exactement le protocole interne prévu pour le traitement extérieur des poches sous vide avant ouverture.</t>
  </si>
  <si>
    <t>Le site ne reproduit cette opération que si son PMS la prévoit et s’il dispose du produit et du mode opératoire adaptés.</t>
  </si>
  <si>
    <t>Contrôler produit utilisé, dosage, temps de contact, éventuel rinçage et conformité au protocole du PMS.</t>
  </si>
  <si>
    <t>Respecter le plan de nettoyage et de désinfection à la fin du déconditionnement.</t>
  </si>
  <si>
    <t>Ex. à la fin du déconditionnement, évacuer cartons et déchets puis nettoyer-désinfecter table, poignées et matériel utilisé.</t>
  </si>
  <si>
    <t>Le satellite nettoie sa zone de réception ou d’ouverture avant de passer à une activité propre.</t>
  </si>
  <si>
    <t>Vérifier que le nettoyage de fin d’opération est tracé lorsque le plan de nettoyage le prévoit.</t>
  </si>
  <si>
    <t>Stockage au froid positif et négatif</t>
  </si>
  <si>
    <t>Contrôler et relever régulièrement les températures des enceintes frigorifiques.</t>
  </si>
  <si>
    <t>Ex. relever matin et après-midi la température de la chambre froide produits finis et comparer la valeur au seuil du PMS.</t>
  </si>
  <si>
    <t>Le satellite relève la température de son enceinte de repas dès la prise de poste ou selon sa fréquence définie.</t>
  </si>
  <si>
    <t>Savoir lire l’affichage, contrôler avec un moyen indépendant si besoin et noter l’action en cas d’écart.</t>
  </si>
  <si>
    <t>https://agriculture.gouv.fr/securite-sanitaire-des-aliments-tout-sur-la-chaine-du-froid</t>
  </si>
  <si>
    <t>Utiliser la chambre froide correspondant au type du produit et au degré de température nécessaire.</t>
  </si>
  <si>
    <t>Ex. ranger les produits finis réfrigérés dans l’enceinte dédiée et les surgelés dans le stockage négatif adapté.</t>
  </si>
  <si>
    <t>Le site place chaque livraison dans l’enceinte correspondant à sa température de conservation.</t>
  </si>
  <si>
    <t>Vérifier que la denrée se trouve dans la bonne enceinte et que le rangement respecte le PMS.</t>
  </si>
  <si>
    <t>Stocker les produits protégés par des récipients fermés ou par un film alimentaire.</t>
  </si>
  <si>
    <t>Ex. une garniture entamée est placée dans un bac fermé et identifié, jamais laissée découverte sur une clayette.</t>
  </si>
  <si>
    <t>Au satellite, toute préparation conservée temporairement reste couverte et protégée.</t>
  </si>
  <si>
    <t>Contrôler fermeture, propreté du contenant et absence d’exposition aux condensats ou souillures.</t>
  </si>
  <si>
    <t>Indiquer l’identité du produit sur son emballage de protection : date de stockage, de décongélation, de déconditionnement, de mise en marinade, D.L.C. et étiquetage du produit.</t>
  </si>
  <si>
    <t>Ex. identifier un bac avec nom du produit, lot, date d’ouverture ou de préparation et date limite interne.</t>
  </si>
  <si>
    <t>Le site conserve l’étiquette de la cuisine centrale lisible jusqu’au service ou à l’élimination.</t>
  </si>
  <si>
    <t>Demander à l’apprenant de retrouver rapidement l’identité, le lot et la date utile d’un produit stocké.</t>
  </si>
  <si>
    <t>Respecter les zones de rangement pour éviter les contaminations croisées.</t>
  </si>
  <si>
    <t>Ex. séparer matières premières crues, produits prêts à consommer et repas spécifiques dans les zones prévues.</t>
  </si>
  <si>
    <t>Le satellite évite de mélanger repas livrés, produits personnels ou matières premières non maîtrisées.</t>
  </si>
  <si>
    <t>Repérer un risque de contamination croisée dû au rangement.</t>
  </si>
  <si>
    <t>Gérer l’ouverture des portes afin de maintenir une température constante et d’éviter la formation de givre.</t>
  </si>
  <si>
    <t>Ex. préparer le prélèvement des produits avant d’ouvrir la chambre froide pour éviter une porte ouverte plusieurs minutes.</t>
  </si>
  <si>
    <t>Le site regroupe ce dont il a besoin avant d’ouvrir son enceinte de stockage.</t>
  </si>
  <si>
    <t>Vérifier durée d’ouverture, état des joints et présence éventuelle de givre anormal.</t>
  </si>
  <si>
    <t>Ne rien déposer à même le sol.</t>
  </si>
  <si>
    <t>Ex. utiliser rayonnages ou socles adaptés ; aucun carton ni bac alimentaire n’est posé directement au sol.</t>
  </si>
  <si>
    <t>Même règle dans l’enceinte du site satellite et dans la réserve.</t>
  </si>
  <si>
    <t>Contrôler visuellement l’absence de denrées au sol et la possibilité de nettoyer sous les rayonnages.</t>
  </si>
  <si>
    <t>Pré-élaboration des végétaux</t>
  </si>
  <si>
    <t>Respecter le circuit des denrées.</t>
  </si>
  <si>
    <t>Ex. les légumes terreux entrent en légumerie et les légumes lavés en sortent vers la zone propre sans retour en arrière.</t>
  </si>
  <si>
    <t>Au satellite, une salade prête à l’emploi reste dans le circuit propre jusqu’au dressage.</t>
  </si>
  <si>
    <t>Faire dessiner à l’apprenant le sens de circulation du produit du sale vers le propre.</t>
  </si>
  <si>
    <t>Vérifier l’état de fraîcheur des denrées et les D.L.C. pour les végétaux conservés en IVe et Ve gamme.</t>
  </si>
  <si>
    <t>Ex. écarter une salade IVe gamme flétrie ou hors DLC avant ouverture du sachet.</t>
  </si>
  <si>
    <t>Le site vérifie l’aspect et la DLC des végétaux livrés prêts à servir.</t>
  </si>
  <si>
    <t>Contrôler fraîcheur, emballage et date avant toute transformation.</t>
  </si>
  <si>
    <t>Respecter l’hygiène du secteur, des matériels et des mains.</t>
  </si>
  <si>
    <t>Ex. nettoyer le coupe-légumes avant production et refaire l’hygiène des mains après manipulation des déchets d’épluchage.</t>
  </si>
  <si>
    <t>Sur site, planche, bac et ustensile servant aux crudités doivent être propres avant dressage.</t>
  </si>
  <si>
    <t>Observer hygiène du poste, du matériel et des mains pendant toute l’opération.</t>
  </si>
  <si>
    <t>Éliminer les emballages, les enveloppes de protection et les déchets en respectant le circuit.</t>
  </si>
  <si>
    <t>Ex. évacuer rapidement cartons, cagettes, fanes et épluchures sans les faire traverser la zone où sont stockés les légumes lavés.</t>
  </si>
  <si>
    <t>Le satellite évacue emballages et déchets sans croiser les préparations prêtes à consommer.</t>
  </si>
  <si>
    <t>Repérer le circuit des déchets et les points de croisement possibles.</t>
  </si>
  <si>
    <t>Peler, éplucher ou tailler les végétaux et les laver une première fois à grande eau.</t>
  </si>
  <si>
    <t>Ex. éplucher les carottes, les tailler puis réaliser le premier lavage à grande eau avant l’étape suivante.</t>
  </si>
  <si>
    <t>Si le site travaille un végétal brut, il suit le même ordre prévu dans son protocole.</t>
  </si>
  <si>
    <t>Contrôler ordre des opérations, qualité de l’eau et élimination visible des souillures.</t>
  </si>
  <si>
    <t>Si une désinfection des végétaux est prévue par le PMS, utiliser un produit autorisé pour cet usage, au dosage et pendant le temps de contact définis par le protocole.</t>
  </si>
  <si>
    <t>Ex. pour une salade destinée à être consommée crue, appliquer le produit de désinfection uniquement si le PMS le prévoit, au dosage défini.</t>
  </si>
  <si>
    <t>Le satellite n’improvise jamais un bain désinfectant : il suit son propre protocole validé.</t>
  </si>
  <si>
    <t>Vérifier nom du produit, dosage, temps de contact et mode opératoire affiché.</t>
  </si>
  <si>
    <t>Rincer à l’eau potable lorsque la notice du produit de désinfection l’exige, puis égoutter et protéger les végétaux selon le protocole validé par le PMS.</t>
  </si>
  <si>
    <t>Ex. après désinfection, rincer uniquement si la notice l’exige puis égoutter dans un matériel propre.</t>
  </si>
  <si>
    <t>Le site applique la même consigne du fabricant s’il réalise cette opération sur place.</t>
  </si>
  <si>
    <t>Contrôler besoin de rinçage, eau potable, égouttage et protection après traitement.</t>
  </si>
  <si>
    <t>Égoutter et protéger les denrées dans des récipients en attente d’utilisation.</t>
  </si>
  <si>
    <t>Ex. déposer les carottes lavées dans un bac propre couvert en attendant le taillage final.</t>
  </si>
  <si>
    <t>Au satellite, protéger les crudités dressées en attente de distribution.</t>
  </si>
  <si>
    <t>Vérifier contenant propre, protection et temps d’attente limité.</t>
  </si>
  <si>
    <t>Stocker au froid en attente d’utilisation.</t>
  </si>
  <si>
    <t>Ex. replacer immédiatement les végétaux préparés en chambre froide quand ils ne sont pas utilisés de suite.</t>
  </si>
  <si>
    <t>Le site maintient les entrées végétales au froid jusqu’au plus près du service.</t>
  </si>
  <si>
    <t>Contrôler température de conservation et durée hors enceinte.</t>
  </si>
  <si>
    <t>Respecter le plan de nettoyage et de désinfection à la fin des opérations.</t>
  </si>
  <si>
    <t>Ex. après la série de légumes, démonter le coupe-légumes puis nettoyer et désinfecter selon le plan.</t>
  </si>
  <si>
    <t>Le satellite nettoie table, bac et petit matériel après sa préparation de crudités.</t>
  </si>
  <si>
    <t>Faire retrouver sur le plan de nettoyage : quoi, avec quoi, comment, quand et par qui.</t>
  </si>
  <si>
    <t>Décongélation</t>
  </si>
  <si>
    <t>Effectuer la décongélation dans une enceinte réfrigérée à une température située entre 0 et 3 °C.</t>
  </si>
  <si>
    <t>Ex. placer la veille les filets de poisson dans une enceinte à 0/+3 °C, dans un bac adapté.</t>
  </si>
  <si>
    <t>Le satellite ne décongèle un produit que si cette opération fait partie de son activité et de son PMS.</t>
  </si>
  <si>
    <t>Contrôler température de l’enceinte, date/heure de début et identification du produit.</t>
  </si>
  <si>
    <t>Vérifier et conserver les références du produit : D.L.C., numéro du lot et estampille de salubrité.</t>
  </si>
  <si>
    <t>Ex. conserver avec le lot de poisson l’étiquette indiquant fournisseur, lot et DLC jusqu’à utilisation.</t>
  </si>
  <si>
    <t>Le site vérifie que l’identification reçue reste lisible jusqu’au service.</t>
  </si>
  <si>
    <t>Retrouver sans hésiter lot, DLC et référence fournisseur du produit en décongélation.</t>
  </si>
  <si>
    <t>Noter le jour de la mise en décongélation.</t>
  </si>
  <si>
    <t>Ex. écrire « mise en décongélation 16/08 – 14 h » sur l’étiquette interne ou la fiche prévue.</t>
  </si>
  <si>
    <t>Sur site, toute décongélation réalisée localement est datée de la même manière.</t>
  </si>
  <si>
    <t>Vérifier présence d’une date et d’une heure exploitables pour calculer la durée.</t>
  </si>
  <si>
    <t>Protéger des contaminations les produits en cours de décongélation par un bac muni d’un couvercle ou un film alimentaire.</t>
  </si>
  <si>
    <t>Ex. couvrir le bac de poisson en décongélation pour éviter gouttes, poussières ou contacts avec d’autres denrées.</t>
  </si>
  <si>
    <t>Le site protège de la même façon toute denrée en cours de décongélation.</t>
  </si>
  <si>
    <t>Contrôler couvercle/film, emplacement dans l’enceinte et absence de contamination croisée.</t>
  </si>
  <si>
    <t>Isoler le produit de son exsudat.</t>
  </si>
  <si>
    <t>Ex. utiliser une grille ou un bac perforé au-dessus d’un bac plein afin que le poisson ne baigne pas dans son exsudat.</t>
  </si>
  <si>
    <t>Même principe sur site lorsque la décongélation y est autorisée.</t>
  </si>
  <si>
    <t>Observer si l’exsudat est séparé de la denrée et éliminé proprement.</t>
  </si>
  <si>
    <t>Après décongélation, utiliser le produit dans le délai défini par les instructions du fabricant et le PMS ; identifier la date de mise en décongélation et ne pas dépasser la durée de vie validée.</t>
  </si>
  <si>
    <t>Ex. utiliser le poisson décongelé dans le délai fixé par sa fiche fabricant et le PMS ; ne jamais inventer une durée.</t>
  </si>
  <si>
    <t>Le satellite respecte la durée transmise par la cuisine centrale ou son propre protocole.</t>
  </si>
  <si>
    <t>Comparer date de mise en décongélation, délai autorisé et date réelle d’utilisation.</t>
  </si>
  <si>
    <t>La cuisson et la fin de cuisson</t>
  </si>
  <si>
    <t>Le barème des cuissons est défini en fonction des caractères organoleptiques souhaités du produit.</t>
  </si>
  <si>
    <t>Ex. choisir pour un rôti un couple temps/température compatible avec le résultat culinaire recherché et le barème validé.</t>
  </si>
  <si>
    <t>Le satellite reçoit ce plat déjà cuit ; il n’a pas à redéfinir le barème de cuisson.</t>
  </si>
  <si>
    <t>Distinguer qualité culinaire recherchée et exigence sanitaire du barème.</t>
  </si>
  <si>
    <t>Rapprocher le plus possible la phase de cuisson de la consommation.</t>
  </si>
  <si>
    <t>Ex. planifier la cuisson d’un plat destiné au service chaud pour limiter une longue attente avant maintien ou refroidissement.</t>
  </si>
  <si>
    <t>Le site programme sa remise en température pour terminer peu avant le service.</t>
  </si>
  <si>
    <t>Comparer heure de fin de traitement et heure prévue de consommation.</t>
  </si>
  <si>
    <t>Limiter la phase d’attente à température ambiante aux produits à cuire, avant la cuisson.</t>
  </si>
  <si>
    <t>Ex. sortir du froid seulement les bacs de viande correspondant à la prochaine fournée.</t>
  </si>
  <si>
    <t>Le satellite ne laisse pas les barquettes froides attendre sur un chariot avant traitement.</t>
  </si>
  <si>
    <t>Mesurer ou estimer la durée d’attente hors maîtrise thermique.</t>
  </si>
  <si>
    <t>Respecter la température et le temps indiqués par le barème de cuisson pour permettre l’assainissement du produit.</t>
  </si>
  <si>
    <t>Ex. appliquer le programme de cuisson prévu sans diminuer arbitrairement temps ou température pour gagner du temps.</t>
  </si>
  <si>
    <t>Le site respecte le programme de remise en température transmis, sans le remplacer par une cuisson improvisée.</t>
  </si>
  <si>
    <t>Vérifier programme utilisé et conformité au barème validé.</t>
  </si>
  <si>
    <t>Contrôler, noter et consigner la température à cœur du produit en fin de cuisson.</t>
  </si>
  <si>
    <t>Ex. mesurer la température au cœur d’une portion représentative avec une sonde propre puis noter la valeur.</t>
  </si>
  <si>
    <t>Le site contrôle à cœur lors de la remise en température, pas la cuisson initiale.</t>
  </si>
  <si>
    <t>Contrôler emplacement de la sonde, désinfection et valeur enregistrée.</t>
  </si>
  <si>
    <t>Indiquer l’heure et la date de la fin de la cuisson.</t>
  </si>
  <si>
    <t>Ex. noter « fin cuisson 10 h 42 – lot SVE-1608 » sur la fiche de fabrication.</t>
  </si>
  <si>
    <t>Le satellite utilise l’heure de fin de remise en température pour organiser le maintien et le service.</t>
  </si>
  <si>
    <t>Vérifier que date, heure et lot permettent de reconstituer la chronologie.</t>
  </si>
  <si>
    <t>Stockage au chaud des plats cuisinés en attente de consommation</t>
  </si>
  <si>
    <t>Aucune attente ne doit intervenir entre la fin de cuisson du produit et la mise en œuvre de l’étape supérieure, quelle que soit sa destination.</t>
  </si>
  <si>
    <t>Ex. à la sortie du four, transférer sans attente un plat destiné au chaud dans l’équipement de maintien prévu.</t>
  </si>
  <si>
    <t>Après remise en température, le site place immédiatement les bacs en maintien chaud.</t>
  </si>
  <si>
    <t>Repérer tout temps mort entre fin du traitement thermique et mise en maintien.</t>
  </si>
  <si>
    <t>Dès la cuisson terminée, maintenir les produits consommés chauds à une température minimale de +63 °C jusqu’à la distribution.</t>
  </si>
  <si>
    <t>Ex. contrôler qu’un bac de légumes reste à au moins +63 °C jusqu’à son envoi ou sa distribution.</t>
  </si>
  <si>
    <t>Le satellite conserve son plat chaud à au moins +63 °C jusqu’au dernier service.</t>
  </si>
  <si>
    <t>Relever température du produit et heure du contrôle.</t>
  </si>
  <si>
    <t>Prévoir un équipement de maintien au chaud avec un volume de stockage suffisant.</t>
  </si>
  <si>
    <t>Ex. vérifier avant production que l’armoire chaude peut contenir tous les bacs prévus sans surcharge.</t>
  </si>
  <si>
    <t>Le site dimensionne son équipement pour l’effectif réellement servi.</t>
  </si>
  <si>
    <t>Comparer capacité de l’appareil, nombre de bacs et circulation correcte de la chaleur.</t>
  </si>
  <si>
    <t>Préchauffer l’équipement de maintien au chaud selon les consignes du constructeur afin qu’il permette de maintenir les préparations à une température au moins égale à +63 °C.</t>
  </si>
  <si>
    <t>Ex. mettre l’armoire chaude en fonctionnement assez tôt pour qu’elle soit prête quand sort la première production.</t>
  </si>
  <si>
    <t>Le satellite préchauffe son équipement selon la notice avant d’y placer les plats chauds.</t>
  </si>
  <si>
    <t>Contrôler température de l’équipement avant chargement.</t>
  </si>
  <si>
    <t>Contrôler et noter la température de l’appareil avant son utilisation.</t>
  </si>
  <si>
    <t>Ex. inscrire la température affichée ou mesurée de l’armoire avant d’y ranger les premiers bacs.</t>
  </si>
  <si>
    <t>Le site effectue le même contrôle avant le début du maintien chaud.</t>
  </si>
  <si>
    <t>Vérifier heure, température et signature/identification de l’opérateur selon le PMS.</t>
  </si>
  <si>
    <t>Stockage des préparations froides en attente de consommation</t>
  </si>
  <si>
    <t>Prévoir un équipement de maintien au froid avec un volume de stockage suffisant.</t>
  </si>
  <si>
    <t>Ex. réserver assez de place en chambre froide pour les 40 bacs d’entrées sans les empiler de façon anarchique.</t>
  </si>
  <si>
    <t>Le satellite dispose d’un volume froid suffisant pour recevoir tous les repas livrés.</t>
  </si>
  <si>
    <t>Comparer capacité disponible et volume réel à stocker.</t>
  </si>
  <si>
    <t>Veiller à l’hygiène de l’enceinte.</t>
  </si>
  <si>
    <t>Ex. nettoyer l’enceinte avant la production et ne pas y stocker emballages sales ou produits fuyants.</t>
  </si>
  <si>
    <t>Le site maintient son enceinte de repas propre et organisée.</t>
  </si>
  <si>
    <t>Contrôler visuellement propreté, absence d’écoulement et état des clayettes.</t>
  </si>
  <si>
    <t>Amener l’enceinte à la température de +3 °C avant son utilisation.</t>
  </si>
  <si>
    <t>Ex. vérifier que l’enceinte est déjà à la température attendue avant d’y introduire les préparations froides.</t>
  </si>
  <si>
    <t>Le satellite met son enceinte en régime avant l’arrivée de la livraison.</t>
  </si>
  <si>
    <t>Relever la température avant chargement de l’enceinte.</t>
  </si>
  <si>
    <t>Contrôler et inscrire la température de l’appareil avant son utilisation.</t>
  </si>
  <si>
    <t>Ex. noter la température de la chambre froide à 7 h 30 avant le début de l’allotissement.</t>
  </si>
  <si>
    <t>Le site consigne la valeur selon la fréquence de son PMS.</t>
  </si>
  <si>
    <t>Vérifier valeur, heure et action corrective si seuil dépassé.</t>
  </si>
  <si>
    <t>Contrôler par sondage la température du produit en cours de stockage ; au besoin, refroidir à l’aide de la cellule de refroidissement.</t>
  </si>
  <si>
    <t>Ex. sonder un bac témoin de salade composée ; si le produit est trop chaud, appliquer la conduite prévue plutôt que simplement baisser le thermostat.</t>
  </si>
  <si>
    <t>Le site contrôle un produit représentatif si son plan de surveillance le prévoit et alerte en cas d’écart.</t>
  </si>
  <si>
    <t>Distinguer température d’air et température de denrée ; tracer la décision prise.</t>
  </si>
  <si>
    <t>Refroidissement rapide</t>
  </si>
  <si>
    <t>Limiter la durée du passage d’un produit dans les plages favorables à la multiplication microbienne : de +63 °C à +10 °C en moins de deux heures.</t>
  </si>
  <si>
    <t>Ex. un sauté passe de +68 °C à +8 °C en 1 h 35 : le couple temps/température respecte le barème de refroidissement.</t>
  </si>
  <si>
    <t>Le satellite reçoit le plat déjà refroidi ; il vérifie surtout le maintien de la chaîne du froid.</t>
  </si>
  <si>
    <t>Calculer la durée entre température de départ et température de fin et conclure conforme/non conforme.</t>
  </si>
  <si>
    <t>Le refroidissement rapide peut également s’appliquer à des préparations froides préparées à température ambiante.</t>
  </si>
  <si>
    <t>Ex. une crème dessert préparée tiède à température ambiante est placée en refroidissement rapide pour réduire son temps en zone à risque.</t>
  </si>
  <si>
    <t>Le site n’utilise ce procédé que s’il fabrique localement une préparation concernée et si son PMS le prévoit.</t>
  </si>
  <si>
    <t>Identifier les préparations froides qui peuvent néanmoins nécessiter un refroidissement rapide.</t>
  </si>
  <si>
    <t>Protéger le produit à refroidir lors de son transfert du lieu de cuisson à celui du refroidissement.</t>
  </si>
  <si>
    <t>Ex. couvrir ou protéger un bac pendant son court transfert du four vers la cellule sans enfermer inutilement la chaleur selon le protocole choisi.</t>
  </si>
  <si>
    <t>Le site n’a normalement pas ce transfert pour un plat livré en liaison froide.</t>
  </si>
  <si>
    <t>Observer protection du produit et durée du transfert.</t>
  </si>
  <si>
    <t>Disposer la sonde désinfectée au cœur du produit et régler l’appareil.</t>
  </si>
  <si>
    <t>Ex. piquer la sonde désinfectée au cœur du bac le plus défavorable et sélectionner le programme adapté.</t>
  </si>
  <si>
    <t>Si le site utilise une cellule, il applique la même logique avec sa sonde propre.</t>
  </si>
  <si>
    <t>Vérifier désinfection, position de la sonde et choix du programme.</t>
  </si>
  <si>
    <t>Refroidir le produit immédiatement après sa cuisson, sans phase d’attente, d’une température égale ou supérieure à +63 °C à une température égale ou inférieure à +10 °C.</t>
  </si>
  <si>
    <t>Ex. dès la fin de cuisson, envoyer les bacs en cellule sans les laisser 30 minutes sur une table.</t>
  </si>
  <si>
    <t>Le site ne laisse pas non plus une préparation chaude en attente avant un traitement prévu.</t>
  </si>
  <si>
    <t>Mesurer le temps entre fin de cuisson et début de refroidissement.</t>
  </si>
  <si>
    <t>À la sortie de la cellule, protéger le produit par un film alimentaire ou un couvercle.</t>
  </si>
  <si>
    <t>Ex. à la sortie de cellule, fermer les bacs refroidis avec leur couvercle propre avant stockage.</t>
  </si>
  <si>
    <t>Le satellite conserve fermés les contenants reçus jusqu’à l’étape prévue.</t>
  </si>
  <si>
    <t>Contrôler protection après refroidissement et intégrité du couvercle/opercule.</t>
  </si>
  <si>
    <t>Étiqueter le produit en mentionnant sa dénomination, la date et l’heure de fabrication.</t>
  </si>
  <si>
    <t>Ex. étiqueter « gratin de courgettes – fabriqué le 16/08 à 9 h 40 – lot GC1608 ».</t>
  </si>
  <si>
    <t>Le site garde cette identification lisible jusqu’à la consommation.</t>
  </si>
  <si>
    <t>Vérifier dénomination, date/heure et identifiant de production.</t>
  </si>
  <si>
    <t>Stocker et maintenir le produit en chambre froide à une température égale ou inférieure à +3 °C.</t>
  </si>
  <si>
    <t>Ex. déplacer les produits refroidis en chambre froide à 0/+3 °C immédiatement après la cellule.</t>
  </si>
  <si>
    <t>Le satellite place la livraison acceptée dans son enceinte à 0/+3 °C.</t>
  </si>
  <si>
    <t>Contrôler température du stockage et absence d’attente après refroidissement/réception.</t>
  </si>
  <si>
    <t>Enregistrer les informations sur la fiche de surveillance de refroidissement.</t>
  </si>
  <si>
    <t>Ex. inscrire heure et température de départ, heure et température de fin, lot et opérateur sur la fiche.</t>
  </si>
  <si>
    <t>Le site conserve les documents qui lui sont attribués ; il ne recrée pas la fiche de refroidissement centrale.</t>
  </si>
  <si>
    <t>Être capable de lire une fiche et de vérifier que toutes les données nécessaires sont présentes.</t>
  </si>
  <si>
    <t>Dressage et service</t>
  </si>
  <si>
    <t>Rapprocher le dressage le plus possible du service.</t>
  </si>
  <si>
    <t>Ex. dresser 20 assiettes de hors-d’œuvre à la fois plutôt que préparer les 200 portions une heure en avance.</t>
  </si>
  <si>
    <t>Le satellite sort les préparations du froid par petites quantités au rythme du service.</t>
  </si>
  <si>
    <t>Observer durée entre dressage et consommation.</t>
  </si>
  <si>
    <t>Le personnel de service est soumis aux mêmes règles d’hygiène que le personnel de production.</t>
  </si>
  <si>
    <t>Ex. l’agent qui sert change de tâche avec les mêmes exigences de tenue et d’hygiène des mains qu’en production.</t>
  </si>
  <si>
    <t>Même exigence au satellite pour personnel de service, AESH ou agent de restauration intervenant sur les repas.</t>
  </si>
  <si>
    <t>Repérer une rupture d’hygiène liée au passage caisse, vaisselle, téléphone ou déchets.</t>
  </si>
  <si>
    <t>Maintenir les plats chauds à +63 °C durant tout le service.</t>
  </si>
  <si>
    <t>Ex. mesurer un bac de plat chaud en cours de distribution et vérifier qu’il reste à au moins +63 °C.</t>
  </si>
  <si>
    <t>Le site effectue ce contrôle pendant son propre service selon le PMS.</t>
  </si>
  <si>
    <t>Relever température, heure et action engagée en cas d’écart.</t>
  </si>
  <si>
    <t>Maintenir les préparations froides à +3 °C ou à +10 °C maximum pendant moins de deux heures.</t>
  </si>
  <si>
    <t>Ex. conserver les entrées au froid et ne sortir qu’un plateau à la fois pour éviter une longue exposition.</t>
  </si>
  <si>
    <t>Le satellite suit le couple temps/température prévu pour les préparations froides sorties de l’enceinte.</t>
  </si>
  <si>
    <t>Contrôler heure de sortie, température et durée d’exposition.</t>
  </si>
  <si>
    <t>Réception des matières premières</t>
  </si>
  <si>
    <t>Organiser les réceptions de façon à limiter l’attente des denrées sur le quai et les croisements entre flux propres et flux sales.</t>
  </si>
  <si>
    <t>Ex. planifier le fournisseur de surgelés à 8 h 30, quand le quai et l’équipe sont disponibles pour ranger immédiatement.</t>
  </si>
  <si>
    <t>Le satellite applique la même logique lors de la réception des repas de la cuisine centrale.</t>
  </si>
  <si>
    <t>Chronométrer le temps entre arrivée et rangement d’une denrée sensible.</t>
  </si>
  <si>
    <t>Contrôler l’état de propreté du véhicule et l’adéquation du transport aux denrées livrées.</t>
  </si>
  <si>
    <t>Ex. avant déchargement, vérifier propreté de la caisse du véhicule, absence d’odeur et séparation correcte des marchandises.</t>
  </si>
  <si>
    <t>Le site contrôle l’état du véhicule ou des caisses de livraison des repas.</t>
  </si>
  <si>
    <t>Utiliser une grille simple : propre, adapté, portes fermées, produits protégés.</t>
  </si>
  <si>
    <t>Contrôler la température d’un échantillon représentatif des denrées sensibles selon la fréquence définie au PMS.</t>
  </si>
  <si>
    <t>Ex. sonder un colis représentatif de produits réfrigérés conformément au plan d’échantillonnage du PMS.</t>
  </si>
  <si>
    <t>Le satellite contrôle la température d’un repas représentatif selon son plan de surveillance.</t>
  </si>
  <si>
    <t>Vérifier méthode de mesure, produit choisi, résultat et seuil d’acceptation.</t>
  </si>
  <si>
    <t>Vérifier l’intégrité des emballages, l’absence de souillure, de gonflement, de fuite ou de rupture de conditionnement.</t>
  </si>
  <si>
    <t>Ex. refuser une poche de viande percée ou une boîte gonflée au lieu de la ranger pour « voir plus tard ».</t>
  </si>
  <si>
    <t>Le site isole une barquette de repas dont l’opercule fuit.</t>
  </si>
  <si>
    <t>Repérer défaut d’intégrité et appliquer immédiatement la décision prévue.</t>
  </si>
  <si>
    <t>Vérifier la dénomination, la DLC ou DDM, le numéro de lot et, lorsqu’elle est applicable, l’identification sanitaire du fournisseur.</t>
  </si>
  <si>
    <t>Ex. comparer sur le colis : désignation, DLC, numéro de lot et identification sanitaire avec le bon de livraison.</t>
  </si>
  <si>
    <t>Le satellite vérifie au minimum identité du repas, DLC et informations utiles reçues.</t>
  </si>
  <si>
    <t>Savoir retrouver les informations de traçabilité sur l’étiquette.</t>
  </si>
  <si>
    <t>Vérifier les quantités et la conformité avec la commande, notamment pour les repas spéciaux, produits sans allergène ciblé et denrées sous cahier des charges.</t>
  </si>
  <si>
    <t>Ex. compter les 12 cartons attendus et contrôler séparément les 8 repas spécifiques commandés.</t>
  </si>
  <si>
    <t>Le site compare le nombre de portions reçues avec son effectif validé.</t>
  </si>
  <si>
    <t>Comparer commande, livraison réelle et besoins spécifiques.</t>
  </si>
  <si>
    <t>Isoler, identifier et traiter immédiatement toute non-conformité : refus, réserve, retour ou mise en attente selon la procédure interne.</t>
  </si>
  <si>
    <t>Ex. placer un lot douteux dans la zone « en attente » avec étiquette NON CONFORME jusqu’à décision du responsable.</t>
  </si>
  <si>
    <t>Le site ne sert pas le produit litigieux et contacte la cuisine centrale.</t>
  </si>
  <si>
    <t>Tracer nature de l’écart, quantité, lot, décision et personne informée.</t>
  </si>
  <si>
    <t>Hygiène du personnel et maîtrise des flux</t>
  </si>
  <si>
    <t>Définir les tenues par zone et changer ou protéger la tenue lorsqu’un passage d’une activité sale vers une activité propre l’exige.</t>
  </si>
  <si>
    <t>Ex. retirer le tablier de déconditionnement avant d’entrer en zone de conditionnement propre et mettre la tenue prévue.</t>
  </si>
  <si>
    <t>Le satellite protège ou change sa tenue après une tâche sale avant le service.</t>
  </si>
  <si>
    <t>Vérifier adéquation tenue/zone et procédure de changement.</t>
  </si>
  <si>
    <t>Réaliser un lavage hygiénique des mains aux moments prévus par le PMS et après toute opération contaminante.</t>
  </si>
  <si>
    <t>Ex. lavage des mains après déchets, passage aux toilettes, manipulation d’emballages sales ou avant reprise d’une tâche propre.</t>
  </si>
  <si>
    <t>Même exigence sur site entre réception des caisses et manipulation des repas.</t>
  </si>
  <si>
    <t>Faire citer à l’apprenant au moins cinq moments où l’hygiène des mains est indispensable.</t>
  </si>
  <si>
    <t>Interdire bijoux, objets personnels et comportements susceptibles de contaminer les denrées dans les zones de production.</t>
  </si>
  <si>
    <t>Ex. alliance, montre et téléphone restent hors de la zone de production selon les règles de l’établissement.</t>
  </si>
  <si>
    <t>Le personnel du site applique les mêmes interdictions lors du dressage et du service.</t>
  </si>
  <si>
    <t>Observation du poste : bijoux, téléphone, boisson, gestes visage/cheveux.</t>
  </si>
  <si>
    <t>Écarter de la manipulation des denrées toute personne présentant des symptômes incompatibles avec le poste, selon la procédure de l’établissement.</t>
  </si>
  <si>
    <t>Ex. un agent présentant vomissements ou diarrhée prévient son responsable et n’est pas maintenu à un poste exposant les denrées.</t>
  </si>
  <si>
    <t>Le responsable du satellite applique la procédure interne avec son personnel.</t>
  </si>
  <si>
    <t>Savoir à qui signaler les symptômes et quelle conduite de poste est prévue.</t>
  </si>
  <si>
    <t>Organiser les déplacements des personnes, chariots, déchets et matériels pour éviter les contaminations croisées.</t>
  </si>
  <si>
    <t>Ex. tracer un sens de circulation différent pour chariots de produits finis et retours de bacs sales.</t>
  </si>
  <si>
    <t>Au satellite, organiser le retour de vaisselle sale sans croiser les repas en cours de distribution.</t>
  </si>
  <si>
    <t>Faire repérer sur plan un croisement de flux et proposer une correction.</t>
  </si>
  <si>
    <t>Gestion des allergènes, PAI et repas spécifiques</t>
  </si>
  <si>
    <t>Identifier les allergènes présents dans les matières premières à partir des étiquettes et fiches techniques à jour.</t>
  </si>
  <si>
    <t>Ex. avant de fabriquer une sauce, vérifier la fiche du fond déshydraté et relever les allergènes réellement présents.</t>
  </si>
  <si>
    <t>Le site garde disponible l’information allergènes transmise avec le menu ou les repas.</t>
  </si>
  <si>
    <t>Apprendre à lire une étiquette complète, y compris changements de recette et mentions de traces selon le PMS.</t>
  </si>
  <si>
    <t>Séparer physiquement ou dans le temps la fabrication des repas spécifiques lorsque l’analyse des risques le prévoit.</t>
  </si>
  <si>
    <t>Ex. fabriquer les repas PAI dans un créneau dédié après nettoyage complet lorsque l’analyse des risques l’exige.</t>
  </si>
  <si>
    <t>Le satellite sert le repas spécifique dans un temps ou un espace limitant les erreurs de distribution.</t>
  </si>
  <si>
    <t>Vérifier séparation prévue, ordre de fabrication et nettoyage entre productions.</t>
  </si>
  <si>
    <t>Utiliser des contenants, ustensiles et zones clairement identifiés pour limiter les contaminations croisées.</t>
  </si>
  <si>
    <t>Ex. utiliser un bac et une spatule identifiés pour le repas sans lait, sans réutiliser l’ustensile de la sauce standard.</t>
  </si>
  <si>
    <t>Le site conserve le contenant identifié jusqu’au bénéficiaire.</t>
  </si>
  <si>
    <t>Contrôler matériel dédié/identifié et absence de contact croisé.</t>
  </si>
  <si>
    <t>Étiqueter sans ambiguïté chaque repas PAI ou spécifique avec le nom ou code du bénéficiaire, le site destinataire et les consignes utiles.</t>
  </si>
  <si>
    <t>Ex. étiqueter « PAI – site A – élève code 042 – sans lait » selon la procédure autorisée.</t>
  </si>
  <si>
    <t>Le satellite vérifie l’identité du bénéficiaire avant remise du plateau.</t>
  </si>
  <si>
    <t>Faire un contrôle croisé : personne, site, repas, allergène exclu, consigne particulière.</t>
  </si>
  <si>
    <t>Vérifier les repas spécifiques lors de l’allotissement et à nouveau lors de la réception sur le site.</t>
  </si>
  <si>
    <t>Ex. lors de l’allotissement, une seconde personne vérifie que le repas PAI est dans le bon chariot.</t>
  </si>
  <si>
    <t>À réception, le site recompte et contrôle chaque repas spécifique avant rangement.</t>
  </si>
  <si>
    <t>Tracer le double contrôle prévu et traiter immédiatement toute absence ou inversion.</t>
  </si>
  <si>
    <t>Interdire toute substitution improvisée d’un produit pour un PAI sans validation de la procédure prévue.</t>
  </si>
  <si>
    <t>Ex. si le dessert PAI manque, ne pas remplacer par un yaourt « qui semble convenir » sans validation.</t>
  </si>
  <si>
    <t>Le site contacte la cuisine centrale ou applique la solution prévue dans le PAI.</t>
  </si>
  <si>
    <t>Évaluer une situation de substitution et expliquer pourquoi l’improvisation est interdite.</t>
  </si>
  <si>
    <t>Préparations et assemblages à froid</t>
  </si>
  <si>
    <t>Préparer les entrées froides, desserts et assemblages dans une zone propre avec des matériels désinfectés et des denrées maintenues au froid.</t>
  </si>
  <si>
    <t>Ex. préparer une salade de pâtes sur un plan désinfecté avec composants réfrigérés sortis au dernier moment.</t>
  </si>
  <si>
    <t>Le satellite effectue tout assemblage local dans une zone propre avec les mêmes exigences.</t>
  </si>
  <si>
    <t>Contrôler propreté, température des composants et organisation du poste.</t>
  </si>
  <si>
    <t>Travailler par petites séries afin de limiter le temps de séjour des denrées sensibles hors enceinte réfrigérée.</t>
  </si>
  <si>
    <t>Ex. assembler 30 portions, les remettre au froid puis commencer la série suivante.</t>
  </si>
  <si>
    <t>Le site dresse par petits lots adaptés à son rythme de service.</t>
  </si>
  <si>
    <t>Mesurer le temps passé hors enceinte pour une série.</t>
  </si>
  <si>
    <t>Remettre rapidement au froid les composants entre deux opérations lorsque la fabrication comporte plusieurs étapes.</t>
  </si>
  <si>
    <t>Ex. remettre jambon, fromage et sauce au froid entre deux phases de montage si l’opération se prolonge.</t>
  </si>
  <si>
    <t>Le satellite replace immédiatement les composants non utilisés.</t>
  </si>
  <si>
    <t>Identifier quel ingrédient est le plus sensible et vérifier sa remise au froid.</t>
  </si>
  <si>
    <t>Éviter les manipulations inutiles après la dernière étape assainissante et protéger immédiatement les préparations terminées.</t>
  </si>
  <si>
    <t>Ex. après l’assaisonnement final d’une salade, fermer le bac pour éviter toute manipulation supplémentaire.</t>
  </si>
  <si>
    <t>Le site évite de retravailler une préparation prête à servir.</t>
  </si>
  <si>
    <t>Observer nombre de manipulations après dernière étape et qualité de la protection.</t>
  </si>
  <si>
    <t>Entreposer les préparations froides terminées entre 0 et +3 °C jusqu’à leur utilisation finale, sauf protocole validé différent.</t>
  </si>
  <si>
    <t>Ex. une entrée terminée est stockée en chambre froide 0/+3 °C jusqu’à l’allotissement.</t>
  </si>
  <si>
    <t>Le site maintient la préparation reçue à 0/+3 °C jusqu’au service.</t>
  </si>
  <si>
    <t>Relever température et heure de mise en stockage.</t>
  </si>
  <si>
    <t>Conditionnement et operculage</t>
  </si>
  <si>
    <t>Utiliser des barquettes, couvercles et films adaptés au contact alimentaire, stockés à l’abri des contaminations.</t>
  </si>
  <si>
    <t>Ex. stocker barquettes et films dans leur emballage protecteur jusqu’au moment de les utiliser.</t>
  </si>
  <si>
    <t>Le site conserve propres les contenants éventuellement utilisés pour un reconditionnement autorisé.</t>
  </si>
  <si>
    <t>Contrôler aptitude contact alimentaire, propreté et stockage des emballages.</t>
  </si>
  <si>
    <t>Conditionner dans une zone propre en évitant les temps d’attente inutiles entre cuisson, portionnement et refroidissement.</t>
  </si>
  <si>
    <t>Ex. portionner le bœuf dès la fin de cuisson ou au moment prévu dans le process, sans laisser la production attendre.</t>
  </si>
  <si>
    <t>Le satellite ne laisse pas des barquettes ouvertes inutilement avant traitement.</t>
  </si>
  <si>
    <t>Chronométrer l’attente entre étapes et repérer les goulots d’étranglement.</t>
  </si>
  <si>
    <t>Adapter la hauteur et la masse de produit par contenant afin de permettre un refroidissement rapide et homogène.</t>
  </si>
  <si>
    <t>Ex. répartir un gratin dans des bacs de hauteur compatible avec le refroidissement prévu au lieu d’un bac trop profond.</t>
  </si>
  <si>
    <t>Le site respecte la charge des bacs lors de la remise en température pour obtenir un chauffage homogène.</t>
  </si>
  <si>
    <t>Comparer masse/hauteur par bac avec le protocole validé.</t>
  </si>
  <si>
    <t>Vérifier la propreté des soudures, l’intégrité de l’operculage et l’absence de fuite avant stockage.</t>
  </si>
  <si>
    <t>Ex. après operculage, retourner visuellement la barquette et vérifier soudure continue, sans aliment dans la zone de collage.</t>
  </si>
  <si>
    <t>À réception, le satellite recherche fuite, opercule décollé ou barquette déformée.</t>
  </si>
  <si>
    <t>Contrôler 3 points : soudure, fuite, propreté du bord.</t>
  </si>
  <si>
    <t>Éviter de superposer ou d’empiler des contenants d’une manière qui gêne le refroidissement ou endommage l’operculage.</t>
  </si>
  <si>
    <t>Ex. laisser circuler l’air autour des barquettes en cellule au lieu de constituer une pile compacte.</t>
  </si>
  <si>
    <t>Le site évite d’écraser les barquettes pendant stockage ou manutention.</t>
  </si>
  <si>
    <t>Observer empilage, circulation d’air et intégrité des contenants.</t>
  </si>
  <si>
    <t>Séparer clairement les productions standards, textures modifiées et repas spécifiques.</t>
  </si>
  <si>
    <t>Ex. utiliser des caisses distinctes pour standard, mixé et PAI dès la sortie du conditionnement.</t>
  </si>
  <si>
    <t>Le site garde ces catégories séparées jusqu’au service.</t>
  </si>
  <si>
    <t>Vérifier codage, séparation physique et absence d’inversion.</t>
  </si>
  <si>
    <t>Étiquetage des préparations et informations aux sites</t>
  </si>
  <si>
    <t>Identifier chaque préparation avec une dénomination claire et un identifiant de lot ou de fabrication permettant la traçabilité.</t>
  </si>
  <si>
    <t>Ex. chaque bac porte « lasagnes bolognaises – lot LB1608-02 » plutôt qu’une étiquette vague « plat chaud ».</t>
  </si>
  <si>
    <t>Le site peut identifier immédiatement le contenu sans ouvrir le bac.</t>
  </si>
  <si>
    <t>Contrôler dénomination précise et identifiant permettant de remonter à la fabrication.</t>
  </si>
  <si>
    <t>Indiquer la date de fabrication et la DLC définie par l’exploitant ; en l’absence d’étude de durée de vie, une préparation culinaire réfrigérée ne dépasse pas le troisième jour après celui de sa fabrication.</t>
  </si>
  <si>
    <t>Ex. inscrire date de fabrication et DLC calculée selon la durée de vie validée du produit.</t>
  </si>
  <si>
    <t>Le site vérifie que le repas est encore dans sa période d’utilisation au jour du service.</t>
  </si>
  <si>
    <t>Comparer date de fabrication, DLC et date prévue de consommation.</t>
  </si>
  <si>
    <t>Indiquer les conditions de conservation, notamment le maintien entre 0 et +3 °C pour les préparations culinaires élaborées à l’avance en liaison froide.</t>
  </si>
  <si>
    <t>Ex. ajouter « conserver entre 0 et +3 °C » sur l’étiquette ou le document de livraison.</t>
  </si>
  <si>
    <t>Le site range le produit dans l’enceinte correspondant à cette consigne.</t>
  </si>
  <si>
    <t>Vérifier que la condition de conservation est visible et comprise.</t>
  </si>
  <si>
    <t>Joindre les consignes de remise en température lorsque le plat doit être servi chaud.</t>
  </si>
  <si>
    <t>Ex. joindre au bourguignon la consigne « remise en température selon barème site, atteindre ≥ +63 °C dans le délai prévu ».</t>
  </si>
  <si>
    <t>Le site suit cette consigne et enregistre son contrôle.</t>
  </si>
  <si>
    <t>Contrôler présence du mode opératoire et concordance avec le plat livré.</t>
  </si>
  <si>
    <t>Faire apparaître ou transmettre les informations nécessaires sur les allergènes conformément à l’organisation retenue par l’établissement.</t>
  </si>
  <si>
    <t>Ex. le menu ou la fiche accompagnatrice indique les allergènes selon le système retenu par l’établissement.</t>
  </si>
  <si>
    <t>Le site rend l’information accessible au personnel chargé du service.</t>
  </si>
  <si>
    <t>Vérifier mise à jour, lisibilité et correspondance entre produit et information allergène.</t>
  </si>
  <si>
    <t>Identifier le site destinataire, le nombre de portions et les particularités utiles à la distribution lorsque l’organisation l’exige.</t>
  </si>
  <si>
    <t>Ex. identifier « Site des Tilleuls – 84 portions – dont 2 mixés » sur la caisse ou le bon de livraison.</t>
  </si>
  <si>
    <t>Le satellite vérifie que le colis reçu lui est bien destiné.</t>
  </si>
  <si>
    <t>Comparer site, effectif, textures/régimes et contenu réel.</t>
  </si>
  <si>
    <t>Stockage des produits finis en liaison froide</t>
  </si>
  <si>
    <t>Réserver une zone identifiée aux préparations culinaires refroidies afin de limiter les contaminations croisées avec les matières premières.</t>
  </si>
  <si>
    <t>Ex. réserver des rayonnages « produits finis » séparés des cartons de matières premières.</t>
  </si>
  <si>
    <t>Le site dispose lui aussi d’une zone claire pour les repas livrés.</t>
  </si>
  <si>
    <t>Repérer physiquement la séparation et un éventuel risque de contamination.</t>
  </si>
  <si>
    <t>Maintenir les préparations culinaires élaborées à l’avance entre 0 et +3 °C après refroidissement.</t>
  </si>
  <si>
    <t>Ex. après refroidissement, placer les préparations entre 0 et +3 °C sans période d’attente en zone de conditionnement.</t>
  </si>
  <si>
    <t>Le site maintient la même plage de conservation jusqu’au traitement final.</t>
  </si>
  <si>
    <t>Contrôler température de l’enceinte et température produit selon le PMS.</t>
  </si>
  <si>
    <t>Organiser le rangement selon les dates de fabrication, les DLC et les tournées afin d’éviter les erreurs de sortie.</t>
  </si>
  <si>
    <t>Ex. ranger les bacs du service de lundi devant ceux de mardi tout en respectant les tournées et DLC.</t>
  </si>
  <si>
    <t>Le site applique l’ordre de consommation indiqué par les dates.</t>
  </si>
  <si>
    <t>Vérifier rotation, DLC et absence de produit oublié au fond de l’enceinte.</t>
  </si>
  <si>
    <t>Limiter les ouvertures de portes et vérifier le bon fonctionnement des enceintes selon la fréquence prévue au PMS.</t>
  </si>
  <si>
    <t>Ex. préparer la liste de prélèvement avant d’ouvrir la chambre froide et vérifier les alarmes de l’enceinte.</t>
  </si>
  <si>
    <t>Le site limite aussi les ouvertures inutiles.</t>
  </si>
  <si>
    <t>Observer durée d’ouverture et consulter les enregistrements/alertes disponibles.</t>
  </si>
  <si>
    <t>Prévoir une conduite à tenir en cas de panne ou de dérive de température : transfert, mise en attente, évaluation et traçabilité.</t>
  </si>
  <si>
    <t>Ex. si la chambre monte à +8 °C, isoler les lots concernés, les transférer si possible et faire évaluer la situation.</t>
  </si>
  <si>
    <t>Le site contacte la cuisine centrale avant toute décision de service en cas de dérive.</t>
  </si>
  <si>
    <t>Tracer heure, températures, produits concernés, action et décision finale.</t>
  </si>
  <si>
    <t>Allotissement par site et préparation des tournées</t>
  </si>
  <si>
    <t>Constituer les commandes par site à partir des effectifs validés et des éventuelles modifications de dernière minute.</t>
  </si>
  <si>
    <t>Ex. préparer 120 repas pour Site A, 180 pour Site B et 300 pour Site C à partir des effectifs validés le matin.</t>
  </si>
  <si>
    <t>Chaque satellite retrouve la quantité correspondant à son dernier effectif transmis.</t>
  </si>
  <si>
    <t>Comparer effectif commandé, quantité allotie et éventuelle modification de dernière minute.</t>
  </si>
  <si>
    <t>https://eur-lex.europa.eu/legal-content/FR/TXT/?uri=CELEX:32011R0931</t>
  </si>
  <si>
    <t>Contrôler la concordance entre menu, nombre de portions, textures, régimes et repas spécifiques.</t>
  </si>
  <si>
    <t>Ex. contrôler dans chaque chariot : plat standard, mixés, sans porc et PAI avant fermeture.</t>
  </si>
  <si>
    <t>Le site recompte ces catégories à l’arrivée.</t>
  </si>
  <si>
    <t>Utiliser une check-list par catégorie plutôt qu’un simple total de repas.</t>
  </si>
  <si>
    <t>Séparer et identifier les caisses ou chariots par site afin d’éviter les inversions de livraison.</t>
  </si>
  <si>
    <t>Ex. poser une identification visible « SITE B » sur le chariot et les caisses associées.</t>
  </si>
  <si>
    <t>Le satellite refuse un chariot manifestement destiné à un autre site.</t>
  </si>
  <si>
    <t>Contrôler nom/code site sur contenant et document de tournée.</t>
  </si>
  <si>
    <t>Préparer les documents accompagnant la livraison : menu, quantités, lots, consignes de stockage et de remise en température selon l’organisation.</t>
  </si>
  <si>
    <t>Ex. joindre menu, quantités, consigne de stockage et barème de remise en température dans la pochette du site.</t>
  </si>
  <si>
    <t>Le site consulte ces documents avant de commencer le traitement.</t>
  </si>
  <si>
    <t>Vérifier que chaque information opérationnelle nécessaire accompagne la livraison.</t>
  </si>
  <si>
    <t>Planifier les tournées en tenant compte des horaires d’ouverture, des temps de transport et des contraintes de service.</t>
  </si>
  <si>
    <t>Ex. charger d’abord le site livré en dernier pour éviter des manipulations supplémentaires en tournée.</t>
  </si>
  <si>
    <t>Le satellite connaît son créneau de livraison et organise la présence d’un réceptionnaire.</t>
  </si>
  <si>
    <t>Comparer tournée prévue, horaires d’ouverture et temps de transport.</t>
  </si>
  <si>
    <t>Réaliser un contrôle final avant fermeture de la tournée et tracer les écarts corrigés.</t>
  </si>
  <si>
    <t>Ex. avant départ, un dernier contrôle constate 2 desserts manquants ; l’écart est corrigé et noté.</t>
  </si>
  <si>
    <t>Le site signale immédiatement toute différence restante à la réception.</t>
  </si>
  <si>
    <t>Tracer le contrôle final et la correction d’une anomalie réelle ou simulée.</t>
  </si>
  <si>
    <t>Chargement et transport en liaison froide</t>
  </si>
  <si>
    <t>Utiliser un véhicule ou équipement de transport propre, adapté et capable de maintenir les préparations à la température requise.</t>
  </si>
  <si>
    <t>Ex. vérifier propreté et fonctionnement du véhicule frigorifique avant d’introduire les chariots de repas.</t>
  </si>
  <si>
    <t>Le satellite observe l’état des caisses/chariots reçus et signale toute anomalie.</t>
  </si>
  <si>
    <t>Contrôler propreté, état de l’équipement et aptitude au maintien thermique.</t>
  </si>
  <si>
    <t>Préchauffer ou prérefroidir l’équipement de transport lorsque cela est nécessaire pour assurer la maîtrise de la température dès le chargement.</t>
  </si>
  <si>
    <t>Ex. prérefroidir la caisse du véhicule avant chargement si le plan de transport le prévoit.</t>
  </si>
  <si>
    <t>Le site prépare son enceinte de stockage avant l’arrivée des repas.</t>
  </si>
  <si>
    <t>Vérifier température de l’équipement avant mise en charge.</t>
  </si>
  <si>
    <t>Limiter le temps d’ouverture des portes pendant le chargement et organiser l’ordre des colis selon la tournée.</t>
  </si>
  <si>
    <t>Ex. organiser les chariots dans l’ordre inverse des livraisons et refermer les portes entre deux phases de chargement.</t>
  </si>
  <si>
    <t>Le site réceptionne sans laisser les portes de l’enceinte ou du véhicule ouvertes inutilement.</t>
  </si>
  <si>
    <t>Observer durée d’ouverture et ordre logique de chargement.</t>
  </si>
  <si>
    <t>Protéger les préparations des contaminations, chocs, écrasements et fuites pendant le transport.</t>
  </si>
  <si>
    <t>Ex. sangler ou caler les bacs pour éviter qu’un virage ne déforme un opercule ou provoque une fuite.</t>
  </si>
  <si>
    <t>À réception, le satellite contrôle l’absence de choc et de renversement.</t>
  </si>
  <si>
    <t>Vérifier stabilité des charges et intégrité après transport.</t>
  </si>
  <si>
    <t>Maintenir les préparations culinaires élaborées à l’avance à la température définie, généralement entre 0 et +3 °C en liaison froide.</t>
  </si>
  <si>
    <t>Ex. charger des produits finis déjà stabilisés entre 0 et +3 °C et maintenir cette maîtrise pendant la tournée.</t>
  </si>
  <si>
    <t>Le site vérifie immédiatement la température des produits selon son plan de surveillance.</t>
  </si>
  <si>
    <t>Comparer valeur départ, valeur arrivée et seuils du PMS.</t>
  </si>
  <si>
    <t>Contrôler les températures selon le plan de surveillance du PMS et enregistrer les valeurs prévues.</t>
  </si>
  <si>
    <t>Ex. relever la température au départ du premier site et sur un point de tournée défini par le PMS.</t>
  </si>
  <si>
    <t>Le site effectue son propre contrôle à l’arrivée.</t>
  </si>
  <si>
    <t>Tracer heure, lieu, produit/enceinte contrôlé et valeur obtenue.</t>
  </si>
  <si>
    <t>En cas de panne, accident, retard important ou dérive de température, appliquer la procédure d’urgence et informer les sites concernés.</t>
  </si>
  <si>
    <t>Ex. en cas de panne du groupe froid, appeler le responsable, sécuriser la marchandise et déclencher le plan prévu.</t>
  </si>
  <si>
    <t>Le satellite informé met en attente la livraison si sa conformité n’est pas démontrée.</t>
  </si>
  <si>
    <t>Faire jouer un scénario panne : qui appeler, quoi isoler, quelles données transmettre.</t>
  </si>
  <si>
    <t>Réception sur site satellite</t>
  </si>
  <si>
    <t>Réceptionner les repas sans délai et éviter leur stationnement prolongé à température ambiante.</t>
  </si>
  <si>
    <t>Ex. la cuisine centrale annonce une arrivée à 9 h 15 et livre directement au point de réception prévu.</t>
  </si>
  <si>
    <t>Le réceptionnaire est présent et range les produits sensibles sans les laisser attendre.</t>
  </si>
  <si>
    <t>Mesurer le délai arrivée-rangement.</t>
  </si>
  <si>
    <t>Vérifier le site destinataire, le menu, les quantités, les régimes, les textures et les repas spécifiques.</t>
  </si>
  <si>
    <t>Ex. le bon indique 96 standards, 4 mixés et 1 PAI ; le site compare avec son effectif du jour.</t>
  </si>
  <si>
    <t>Le satellite corrige ou signale immédiatement tout écart.</t>
  </si>
  <si>
    <t>Comparer bon, menu, effectif et contenu livré.</t>
  </si>
  <si>
    <t>Contrôler l’intégrité des barquettes, opercules, caisses et contenants avant rangement.</t>
  </si>
  <si>
    <t>Ex. la cuisine centrale expédie des barquettes operculées et protégées dans des caisses propres.</t>
  </si>
  <si>
    <t>Le site inspecte opercules, caisses et barquettes avant acceptation.</t>
  </si>
  <si>
    <t>Repérer fuite, déformation, souillure ou rupture de fermeture.</t>
  </si>
  <si>
    <t>Contrôler les températures selon le plan de surveillance défini par le PMS du site et la cuisine centrale.</t>
  </si>
  <si>
    <t>Ex. la cuisine centrale fournit des repas à température maîtrisée et une procédure de contrôle convenue.</t>
  </si>
  <si>
    <t>Le site mesure un produit représentatif selon cette procédure.</t>
  </si>
  <si>
    <t>Contrôler sonde, méthode, emplacement, valeur et seuil.</t>
  </si>
  <si>
    <t>Vérifier les étiquettes, la DLC et les consignes de stockage ou de remise en température.</t>
  </si>
  <si>
    <t>Ex. chaque barquette comporte DLC et consigne « 0/+3 °C – remise en température avant service ».</t>
  </si>
  <si>
    <t>Le site lit l’étiquette avant de ranger ou traiter le produit.</t>
  </si>
  <si>
    <t>Vérifier que l’étiquette correspond au repas du jour et reste lisible.</t>
  </si>
  <si>
    <t>En cas de non-conformité, isoler les produits concernés, ne pas les servir et contacter la cuisine centrale pour décision.</t>
  </si>
  <si>
    <t>Ex. si la centrale est avertie d’une température non conforme, elle donne la conduite à tenir selon son PMS.</t>
  </si>
  <si>
    <t>Le site isole le lot, bloque le service et attend la décision.</t>
  </si>
  <si>
    <t>Tracer produit, température, heure, interlocuteur et décision.</t>
  </si>
  <si>
    <t>Ranger immédiatement les préparations acceptées dans l’enceinte adaptée.</t>
  </si>
  <si>
    <t>Ex. les caisses sont livrées dans un ordre permettant au site de ranger immédiatement les produits froids.</t>
  </si>
  <si>
    <t>Le site transfère sans détour les repas conformes dans l’enceinte prévue.</t>
  </si>
  <si>
    <t>Observer absence d’attente sur quai, couloir ou office.</t>
  </si>
  <si>
    <t>Stockage sur site satellite</t>
  </si>
  <si>
    <t>Maintenir les préparations culinaires en liaison froide entre 0 et +3 °C jusqu’à leur utilisation finale.</t>
  </si>
  <si>
    <t>Ex. la cuisine centrale livre des plats déjà refroidis et étiquetés pour conservation à 0/+3 °C.</t>
  </si>
  <si>
    <t>Le site maintient cette température jusqu’à la remise en température ou au service froid.</t>
  </si>
  <si>
    <t>Relever température de l’enceinte et vérifier le rangement réel des repas.</t>
  </si>
  <si>
    <t>Réserver une enceinte ou une zone clairement organisée pour les repas livrés et éviter le mélange avec des produits non maîtrisés.</t>
  </si>
  <si>
    <t>Ex. les repas sont regroupés dans des caisses identifiées pour faciliter leur rangement.</t>
  </si>
  <si>
    <t>Le site réserve un espace propre sans mélange avec produits personnels ou denrées non maîtrisées.</t>
  </si>
  <si>
    <t>Contrôler organisation de l’enceinte et séparation des catégories.</t>
  </si>
  <si>
    <t>Conserver les étiquettes lisibles et appliquer l’ordre de service selon la DLC et le planning.</t>
  </si>
  <si>
    <t>Ex. les étiquettes centrales restent sur les barquettes jusqu’au service.</t>
  </si>
  <si>
    <t>Le site place devant les repas à consommer en premier selon le planning et la DLC.</t>
  </si>
  <si>
    <t>Faire retrouver en moins d’une minute le repas dont la DLC est la plus proche.</t>
  </si>
  <si>
    <t>Limiter les ouvertures de portes et surveiller la température de l’enceinte selon le PMS.</t>
  </si>
  <si>
    <t>Ex. la centrale transmet les consignes de conservation en cas d’attente avant service.</t>
  </si>
  <si>
    <t>Le site évite les ouvertures répétées et relève la température selon son PMS.</t>
  </si>
  <si>
    <t>Contrôler affichage, relevé et conduite en cas d’alarme.</t>
  </si>
  <si>
    <t>Conserver les repas PAI ou spécifiques dans une zone identifiée évitant toute confusion.</t>
  </si>
  <si>
    <t>Ex. le repas PAI arrive dans un contenant distinct et clairement identifié.</t>
  </si>
  <si>
    <t>Le site le range dans une zone réservée empêchant toute confusion avec les repas standards.</t>
  </si>
  <si>
    <t>Vérifier identification, séparation et correspondance avec le bénéficiaire.</t>
  </si>
  <si>
    <t>Remise en température sur site satellite</t>
  </si>
  <si>
    <t>Sortir les préparations du froid au plus près du démarrage de la remise en température.</t>
  </si>
  <si>
    <t>Ex. la centrale livre le plat à +3 °C avec un barème de remise en température adapté au conditionnement.</t>
  </si>
  <si>
    <t>Le site ne sort les bacs qu’au moment où le four est prêt.</t>
  </si>
  <si>
    <t>Chronométrer le temps entre sortie du froid et démarrage du cycle.</t>
  </si>
  <si>
    <t>Organiser la remise en température de façon que la préparation ne reste pas plus d’une heure entre +10 °C et la température de remise au consommateur.</t>
  </si>
  <si>
    <t>Ex. la cuisine centrale a validé un process permettant de franchir rapidement la plage +10/+63 °C.</t>
  </si>
  <si>
    <t>Le site organise ses cycles pour respecter le délai prévu.</t>
  </si>
  <si>
    <t>Noter heure de franchissement de +10 °C et heure d’atteinte de la température cible.</t>
  </si>
  <si>
    <t>Atteindre une température de remise au consommateur au moins égale à +63 °C, sauf protocole validé différent par analyse des dangers.</t>
  </si>
  <si>
    <t>Ex. le document de livraison rappelle la température minimale de remise au consommateur prévue par le process.</t>
  </si>
  <si>
    <t>Le site vérifie qu’au moins +63 °C est atteint à cœur lorsque cette exigence s’applique.</t>
  </si>
  <si>
    <t>Contrôler valeur à cœur et conformité au protocole.</t>
  </si>
  <si>
    <t>Contrôler la température à cœur d’un produit représentatif, en privilégiant la zone la plus défavorable.</t>
  </si>
  <si>
    <t>Ex. la centrale précise quel type de bac ou portion représente le point le plus défavorable.</t>
  </si>
  <si>
    <t>Le site sonde ce produit plutôt qu’un bac facile à chauffer placé près de la source de chaleur.</t>
  </si>
  <si>
    <t>Justifier le choix du point de mesure et désinfecter la sonde.</t>
  </si>
  <si>
    <t>Enregistrer l’heure de début, l’heure de fin et la température obtenue selon le plan de surveillance.</t>
  </si>
  <si>
    <t>Ex. le formulaire site comporte colonnes début, fin et température atteinte.</t>
  </si>
  <si>
    <t>L’agent remplit ces données au moment du contrôle, pas de mémoire après le service.</t>
  </si>
  <si>
    <t>Vérifier cohérence chronologique entre les trois informations.</t>
  </si>
  <si>
    <t>Maintenir ensuite les préparations chaudes à au moins +63 °C jusqu’au service.</t>
  </si>
  <si>
    <t>Ex. la centrale planifie une heure de livraison compatible avec maintien chaud et service.</t>
  </si>
  <si>
    <t>Après remise en température, le site maintient le plat à au moins +63 °C jusqu’à distribution.</t>
  </si>
  <si>
    <t>Mesurer une température pendant le maintien et noter l’heure.</t>
  </si>
  <si>
    <t>Consommer les préparations le jour de leur première remise en température ; ne pas les refroidir pour un service ultérieur.</t>
  </si>
  <si>
    <t>Ex. le plat livré pour le déjeuner est dimensionné pour être consommé le jour de sa première remise en température.</t>
  </si>
  <si>
    <t>Le site élimine selon le PMS le reliquat non réutilisable au lieu de le refroidir pour le lendemain.</t>
  </si>
  <si>
    <t>Interroger l’apprenant : « puis-je refroidir ce reste ? » et faire justifier la réponse.</t>
  </si>
  <si>
    <t>Distribution des préparations chaudes et froides</t>
  </si>
  <si>
    <t>Maintenir les plats chauds à une température au moins égale à +63 °C pendant la distribution.</t>
  </si>
  <si>
    <t>Ex. le plat chaud quitte la cuisine centrale avec une consigne de service garantissant le maintien après réchauffage.</t>
  </si>
  <si>
    <t>Le site contrôle qu’il reste à au moins +63 °C pendant la distribution.</t>
  </si>
  <si>
    <t>Relever une température en cours de service et vérifier l’action si elle baisse.</t>
  </si>
  <si>
    <t>Conserver les préparations froides entre 0 et +3 °C jusqu’au plus près de leur consommation.</t>
  </si>
  <si>
    <t>Ex. les entrées arrivent à 0/+3 °C et sont prévues pour rester au froid jusqu’au dernier moment.</t>
  </si>
  <si>
    <t>Le site ne sort qu’un petit nombre de portions à la fois.</t>
  </si>
  <si>
    <t>Contrôler température de stockage et heure de première sortie.</t>
  </si>
  <si>
    <t>Lorsqu’une préparation froide est sortie de l’enceinte, respecter le couple temps/température prévu : au maximum +10 °C pendant moins de deux heures en l’absence de protocole validé différent.</t>
  </si>
  <si>
    <t>Ex. la cuisine centrale transmet le couple temps/température applicable aux préparations froides sorties du froid.</t>
  </si>
  <si>
    <t>Le site démarre le suivi dès la sortie de l’enceinte.</t>
  </si>
  <si>
    <t>Calculer durée d’exposition et comparer à la limite prévue.</t>
  </si>
  <si>
    <t>Présenter de petites quantités et réapprovisionner plutôt que d’exposer tout le volume dès le début du service.</t>
  </si>
  <si>
    <t>Ex. pour 150 convives, préparer des plateaux de 25 entrées renouvelés au fur et à mesure.</t>
  </si>
  <si>
    <t>Le site réapprovisionne plutôt que d’exposer les 150 portions en une seule fois.</t>
  </si>
  <si>
    <t>Observer taille des lots et temps d’attente du dernier plateau.</t>
  </si>
  <si>
    <t>Utiliser des ustensiles propres et dédiés, notamment pour les régimes et repas spécifiques.</t>
  </si>
  <si>
    <t>Ex. prévoir une louche identifiée pour une préparation spécifique afin d’éviter un échange d’ustensile.</t>
  </si>
  <si>
    <t>Le site conserve l’ustensile dédié pendant tout le service.</t>
  </si>
  <si>
    <t>Contrôler propreté, affectation et absence de changement entre plats.</t>
  </si>
  <si>
    <t>Tracer les anomalies observées au service et les quantités non distribuées lorsque le PMS le prévoit.</t>
  </si>
  <si>
    <t>Ex. la centrale demande le retour des écarts de service utiles à l’analyse des pertes et non-conformités.</t>
  </si>
  <si>
    <t>Le site note température anormale, rupture de barquette ou quantité non distribuée selon le PMS.</t>
  </si>
  <si>
    <t>Vérifier que l’anomalie est décrite, datée et transmise au bon responsable.</t>
  </si>
  <si>
    <t>Plats témoins</t>
  </si>
  <si>
    <t>Prélever des plats témoins représentatifs, clairement identifiés et réservés au contrôle officiel.</t>
  </si>
  <si>
    <t>Ex. prélever un échantillon représentatif du bourguignon effectivement servi, dans un contenant identifié réservé à cet usage.</t>
  </si>
  <si>
    <t>Le satellite prélève uniquement ce qui relève de sa responsabilité selon l’organisation retenue.</t>
  </si>
  <si>
    <t>Contrôler représentativité, identification et stockage du témoin.</t>
  </si>
  <si>
    <t>La cuisine centrale réalise les plats témoins des denrées qu’elle prépare, transforme ou manipule puis expédie vers les restaurants satellites.</t>
  </si>
  <si>
    <t>Ex. la cuisine centrale garde un témoin des préparations qu’elle a fabriquées avant expédition aux trois sites.</t>
  </si>
  <si>
    <t>Le site n’a pas à dupliquer systématiquement le témoin central si le cadre applicable ne l’exige pas.</t>
  </si>
  <si>
    <t>Distinguer responsabilité de la cuisine centrale et celle du restaurant satellite.</t>
  </si>
  <si>
    <t>Le restaurant satellite peut limiter ses plats témoins aux préparations qu’il transforme ou manipule sur place, notamment découpe, hachage, mixage ou moulinage.</t>
  </si>
  <si>
    <t>Ex. si le satellite mixe sur place une portion de viande, il peut devoir conserver un témoin de cette préparation localement manipulée.</t>
  </si>
  <si>
    <t>Le site identifie clairement le témoin de la préparation qu’il a modifiée.</t>
  </si>
  <si>
    <t>Faire classer des exemples : témoin central / témoin satellite / non concerné.</t>
  </si>
  <si>
    <t>Conserver les plats témoins au moins cinq jours en froid positif entre 0 et +3 °C après leur présentation au consommateur.</t>
  </si>
  <si>
    <t>Ex. placer les témoins identifiés dans une zone réservée entre 0 et +3 °C pendant au moins cinq jours.</t>
  </si>
  <si>
    <t>Le satellite applique la même durée à ses propres témoins lorsqu’il en réalise.</t>
  </si>
  <si>
    <t>Vérifier date de prélèvement, température et date minimale de destruction.</t>
  </si>
  <si>
    <t>Assurer une identification permettant de relier chaque témoin au menu, à la date et au lot ou à la production concernée.</t>
  </si>
  <si>
    <t>Ex. étiquette « 16/08 – déjeuner – bourguignon – lot B1608 – sites A/B/C ».</t>
  </si>
  <si>
    <t>Le site précise menu, date et préparation locale concernée.</t>
  </si>
  <si>
    <t>Tester la traçabilité : retrouver le menu et la production à partir d’un témoin choisi.</t>
  </si>
  <si>
    <t>Gestion des excédents et restes</t>
  </si>
  <si>
    <t>Distinguer un excédent non présenté au consommateur d’un reste ayant été exposé ou servi.</t>
  </si>
  <si>
    <t>Ex. identifier séparément 10 barquettes non envoyées et un bac revenu après service : leur statut sanitaire n’est pas le même.</t>
  </si>
  <si>
    <t>Le site distingue un produit resté fermé au froid d’un plat déjà présenté aux convives.</t>
  </si>
  <si>
    <t>Faire classer plusieurs situations en « excédent » ou « reste » avant décision.</t>
  </si>
  <si>
    <t>Après le service, ne pas réutiliser pour l’alimentation humaine les denrées d’origine animale qui ne répondent pas aux conditions réglementaires de conservation des excédents.</t>
  </si>
  <si>
    <t>Ex. un plat ayant été exposé au service ne retourne pas dans le stock de production pour un nouveau repas.</t>
  </si>
  <si>
    <t>Le site écarte les restes non réutilisables selon son PMS.</t>
  </si>
  <si>
    <t>Vérifier historique temps/température et exposition avant toute décision.</t>
  </si>
  <si>
    <t>Dans un restaurant satellite, une préparation non déconditionnée et maintenue entre 0 et +3 °C sans rupture de la chaîne du froid peut être gérée selon la DLC et le PMS ; les préparations ouvertes ou servies sont écartées.</t>
  </si>
  <si>
    <t>Ex. une barquette non déconditionnée, correctement identifiée et restée sous maîtrise thermique est évaluée selon DLC et PMS.</t>
  </si>
  <si>
    <t>Le satellite ne conserve que les préparations répondant strictement aux conditions prévues.</t>
  </si>
  <si>
    <t>Contrôler scellé, température, DLC et absence de première remise en température.</t>
  </si>
  <si>
    <t>Ne pas remettre au froid pour un service ultérieur une préparation qui a déjà fait l’objet d’une première remise en température.</t>
  </si>
  <si>
    <t>Ex. un plat déjà remis en température pour le service n’est pas renvoyé en cellule pour être resservi le lendemain.</t>
  </si>
  <si>
    <t>Le site élimine le reliquat selon la procédure.</t>
  </si>
  <si>
    <t>Demander à l’apprenant d’identifier la première remise en température dans l’historique du produit.</t>
  </si>
  <si>
    <t>Identifier et tracer les produits éventuellement conservés ou donnés lorsqu’ils répondent aux conditions prévues.</t>
  </si>
  <si>
    <t>Ex. toute denrée exceptionnellement conservée ou donnée garde son étiquette et sa traçabilité.</t>
  </si>
  <si>
    <t>Le site complète les documents prévus avant transfert ou élimination.</t>
  </si>
  <si>
    <t>Vérifier identité, lot, date, quantité et destination.</t>
  </si>
  <si>
    <t>Éliminer les restes selon la filière déchets de l’établissement et nettoyer les contenants avant retour.</t>
  </si>
  <si>
    <t>Ex. les restes sont évacués, puis les bacs de transport sales suivent le circuit retour prévu.</t>
  </si>
  <si>
    <t>Le site racle/évacue selon la procédure et remet les contenants dans le circuit sale.</t>
  </si>
  <si>
    <t>Observer séparation déchets/contenants sales et déclenchement du nettoyage.</t>
  </si>
  <si>
    <t>Non-conformités, retrait-rappel et suspicion de TIAC</t>
  </si>
  <si>
    <t>Définir des critères d’acceptation et de refus pour température, intégrité, étiquetage, DLC, quantités et repas spécifiques.</t>
  </si>
  <si>
    <t>Ex. la fiche réception précise : température hors critère, opercule rompu, DLC dépassée ou mauvais PAI = décision à appliquer.</t>
  </si>
  <si>
    <t>Le site utilise les mêmes critères adaptés à la réception des repas.</t>
  </si>
  <si>
    <t>Faire décider « accepter / isoler / refuser / appeler » sur plusieurs cas pratiques.</t>
  </si>
  <si>
    <t>Isoler physiquement et identifier tout lot non conforme afin d’empêcher son utilisation accidentelle.</t>
  </si>
  <si>
    <t>Ex. placer immédiatement le lot litigieux dans une zone identifiée avec mention « NE PAS UTILISER ».</t>
  </si>
  <si>
    <t>Le site fait de même pour empêcher une distribution accidentelle.</t>
  </si>
  <si>
    <t>Vérifier séparation physique, étiquette d’alerte et blocage informatique/documentaire si prévu.</t>
  </si>
  <si>
    <t>Informer rapidement la cuisine centrale et les sites concernés lorsqu’une anomalie peut toucher plusieurs livraisons.</t>
  </si>
  <si>
    <t>Ex. si un défaut d’étiquetage touche toute une production, la centrale appelle chaque site avant le service.</t>
  </si>
  <si>
    <t>Le site accuse réception de l’alerte et bloque les lots concernés.</t>
  </si>
  <si>
    <t>Tester la chaîne d’appel : qui alerte qui, dans quel ordre, avec quelles informations.</t>
  </si>
  <si>
    <t>Être capable d’identifier les sites ayant reçu un lot afin d’organiser un retrait ou un rappel.</t>
  </si>
  <si>
    <t>Ex. à partir du lot B1608-03, retrouver quels chariots et quels sites l’ont reçu.</t>
  </si>
  <si>
    <t>Chaque satellite doit pouvoir confirmer ce qu’il a reçu et ce qu’il reste en stock.</t>
  </si>
  <si>
    <t>Réaliser un exercice de traçabilité descendante à partir d’un numéro de lot.</t>
  </si>
  <si>
    <t>Conserver les menus, lots, bons de livraison, relevés de température et plats témoins nécessaires à une enquête.</t>
  </si>
  <si>
    <t>Ex. conserver ensemble fiche de fabrication, lots fournisseurs, températures, tournée et témoin du repas concerné.</t>
  </si>
  <si>
    <t>Le site conserve bon de livraison, relevés locaux et témoin éventuel.</t>
  </si>
  <si>
    <t>Demander à l’apprenant de constituer le dossier documentaire d’un repas donné.</t>
  </si>
  <si>
    <t>En cas d’effet indésirable inhabituel pouvant être lié aux aliments chez au moins deux consommateurs, appliquer sans délai la procédure d’alerte vers les autorités compétentes.</t>
  </si>
  <si>
    <t>Ex. plusieurs convives présentent des symptômes inhabituels : le responsable bloque les restes, conserve les preuves et déclenche la procédure d’alerte.</t>
  </si>
  <si>
    <t>Le site avertit immédiatement sa hiérarchie et la cuisine centrale, sans attendre de « voir si ça passe ».</t>
  </si>
  <si>
    <t>Connaître les premières actions : protéger les preuves, identifier les repas, informer selon la procédure.</t>
  </si>
  <si>
    <t>Nettoyage, désinfection et retour des contenants</t>
  </si>
  <si>
    <t>Définir pour chaque local, matériel et véhicule les opérations de nettoyage et désinfection, fréquences, produits, concentrations et responsabilités.</t>
  </si>
  <si>
    <t>Ex. le plan précise pour la cellule : détergent, concentration, méthode, fréquence, responsable et vérification.</t>
  </si>
  <si>
    <t>Le satellite dispose du même niveau de précision pour son four, son office et ses chariots.</t>
  </si>
  <si>
    <t>Faire lire une ligne du plan de nettoyage et retrouver les six informations essentielles.</t>
  </si>
  <si>
    <t>Séparer le circuit des contenants sales retournés des sites de celui des contenants propres et des produits finis.</t>
  </si>
  <si>
    <t>Ex. les bacs sales revenant des sites entrent par le circuit sale et ne traversent jamais la zone de conditionnement des repas.</t>
  </si>
  <si>
    <t>Le site regroupe les contenants sales dans la zone de retour prévue.</t>
  </si>
  <si>
    <t>Observer le circuit retour et repérer un croisement avec les produits finis.</t>
  </si>
  <si>
    <t>Vérifier visuellement la propreté et réaliser les contrôles de vérification prévus par le PMS.</t>
  </si>
  <si>
    <t>Ex. après lavage, contrôler visuellement un bac GN et réaliser les vérifications prévues par le PMS.</t>
  </si>
  <si>
    <t>Le site vérifie la propreté avant de remettre les contenants dans le circuit retour ou propre.</t>
  </si>
  <si>
    <t>Distinguer contrôle visuel et méthode de vérification complémentaire prévue.</t>
  </si>
  <si>
    <t>Nettoyer et désinfecter les sondes de température avant et après contact avec les aliments.</t>
  </si>
  <si>
    <t>Ex. avant de sonder un gratin puis après le contrôle, nettoyer et désinfecter la sonde selon le protocole.</t>
  </si>
  <si>
    <t>Le site fait de même entre deux plats et avant un repas spécifique.</t>
  </si>
  <si>
    <t>Observer tout le cycle : nettoyage/désinfection, mesure, nouvelle désinfection.</t>
  </si>
  <si>
    <t>Stocker les contenants propres, films, couvercles et matériels dans une zone protégée jusqu’à leur réutilisation.</t>
  </si>
  <si>
    <t>Ex. stocker les bacs propres retournés, films et couvercles fermés à l’abri des éclaboussures et poussières.</t>
  </si>
  <si>
    <t>Le satellite protège son petit matériel propre jusqu’à utilisation.</t>
  </si>
  <si>
    <t>Contrôler lieu de stockage, protection et séparation avec le sale.</t>
  </si>
  <si>
    <t>Maîtrise des températures, métrologie et traçabilité documentaire</t>
  </si>
  <si>
    <t>Identifier les thermomètres, sondes et enregistreurs utilisés pour les contrôles et vérifier périodiquement leur exactitude selon le PMS.</t>
  </si>
  <si>
    <t>Ex. chaque sonde porte un numéro et sa vérification périodique est enregistrée sur une fiche métrologie.</t>
  </si>
  <si>
    <t>Le satellite sait quelle sonde utiliser et où trouver sa dernière vérification.</t>
  </si>
  <si>
    <t>Vérifier identification de l’appareil, date de contrôle et résultat.</t>
  </si>
  <si>
    <t>Définir qui mesure, où mesurer, à quelle fréquence, quels seuils appliquer et quelles actions correctives réaliser en cas d’écart.</t>
  </si>
  <si>
    <t>Ex. le PMS indique « réception : agent X, 1 produit par famille, seuil défini, appeler responsable si écart ».</t>
  </si>
  <si>
    <t>Le site dispose d’une instruction équivalente pour ses contrôles de repas.</t>
  </si>
  <si>
    <t>Faire compléter les cinq questions : qui ? où ? quand ? seuil ? action ?</t>
  </si>
  <si>
    <t>Éviter de mesurer uniquement l’air : lorsque le contrôle porte sur la denrée, choisir une méthode représentative et limiter les contaminations lors du sondage.</t>
  </si>
  <si>
    <t>Ex. pour contrôler une barquette, mesurer la denrée selon la méthode prévue au lieu de se contenter de l’afficheur de la chambre froide.</t>
  </si>
  <si>
    <t>Le site choisit une mesure représentative sans contaminer le produit.</t>
  </si>
  <si>
    <t>Distinguer température d’air, de surface et à cœur ; justifier le choix de la méthode.</t>
  </si>
  <si>
    <t>Archiver les relevés de réception, cuisson, refroidissement, stockage, transport, remise en température et service pendant la durée définie par le PMS et les obligations applicables.</t>
  </si>
  <si>
    <t>Ex. classer les relevés cuisson, refroidissement, stockage et transport du 16/08 dans le dossier de production prévu.</t>
  </si>
  <si>
    <t>Le site archive réception, remise en température et service selon sa durée de conservation documentaire.</t>
  </si>
  <si>
    <t>Retrouver rapidement un relevé ancien à partir d’une date, d’un site ou d’un lot.</t>
  </si>
  <si>
    <t>Assurer la continuité d’information entre cuisine centrale, chauffeur et sites : consignes, anomalies, actions correctives et validation de réception.</t>
  </si>
  <si>
    <t>Ex. une anomalie de transport est écrite sur le bon et transmise au site avant l’arrivée du véhicule.</t>
  </si>
  <si>
    <t>Le chauffeur et le satellite complètent la chaîne d’information jusqu’à la décision finale.</t>
  </si>
  <si>
    <t>Vérifier que l’information circule dans les deux sens et qu’une action corrective est clôturée.</t>
  </si>
  <si>
    <t>EXEMPLES – CUISINE CENTRALE EN LIAISON FROIDE AVEC SITES SATELLITES</t>
  </si>
  <si>
    <t>IMPORTANT</t>
  </si>
  <si>
    <t>Valeurs d’exemple uniquement. Les critères réglementaires et le PMS de l’établissement priment.</t>
  </si>
  <si>
    <t>Circuit couvert : cuisine centrale → transport → site satellite.</t>
  </si>
  <si>
    <t>Adapter les fréquences de contrôle au PMS.</t>
  </si>
  <si>
    <t>CAS 1</t>
  </si>
  <si>
    <t>Plat chaud fabriqué J-1</t>
  </si>
  <si>
    <t>Bœuf bourguignon + purée</t>
  </si>
  <si>
    <t>600 repas</t>
  </si>
  <si>
    <t>3 sites satellites</t>
  </si>
  <si>
    <t>Liaison froide</t>
  </si>
  <si>
    <t>ÉTAPE</t>
  </si>
  <si>
    <t>CUISINE CENTRALE</t>
  </si>
  <si>
    <t>SITE SATELLITE</t>
  </si>
  <si>
    <t>EXEMPLE DE VALEUR</t>
  </si>
  <si>
    <t>TRACE</t>
  </si>
  <si>
    <t>Fin de cuisson</t>
  </si>
  <si>
    <t>Cuisson terminée et contrôle à cœur selon barème validé.</t>
  </si>
  <si>
    <t>Sonde désinfectée.</t>
  </si>
  <si>
    <t>—</t>
  </si>
  <si>
    <t>Ex. viande à +78 °C en fin de cuisson.</t>
  </si>
  <si>
    <t>Fiche cuisson</t>
  </si>
  <si>
    <t>Refroidissement</t>
  </si>
  <si>
    <t>Passage immédiat en cellule.</t>
  </si>
  <si>
    <t>+63 → +10 °C en ≤ 2 h.</t>
  </si>
  <si>
    <t>Ex. +63 → +8 °C en 1 h 25.</t>
  </si>
  <si>
    <t>Fiche refroidissement</t>
  </si>
  <si>
    <t>Conditionnement / étiquetage</t>
  </si>
  <si>
    <t>Bacs adaptés, operculés, identifiés.</t>
  </si>
  <si>
    <t>Lot, fabrication, DLC, conservation.</t>
  </si>
  <si>
    <t>Ex. lot BOURG-1608-01 ; 0/+3 °C.</t>
  </si>
  <si>
    <t>Étiquette lot</t>
  </si>
  <si>
    <t>Stockage central</t>
  </si>
  <si>
    <t>Produits finis en chambre froide dédiée.</t>
  </si>
  <si>
    <t>Enceinte 0/+3 °C.</t>
  </si>
  <si>
    <t>Ex. chambre à +2,0 °C.</t>
  </si>
  <si>
    <t>Relevé enceinte</t>
  </si>
  <si>
    <t>Transport</t>
  </si>
  <si>
    <t>Chargement en véhicule froid et tournée par site.</t>
  </si>
  <si>
    <t>Température selon PMS.</t>
  </si>
  <si>
    <t>Réception sans attente.</t>
  </si>
  <si>
    <t>Ex. départ +2,1 °C ; arrivée +2,7 °C.</t>
  </si>
  <si>
    <t>Bon de tournée</t>
  </si>
  <si>
    <t>Réception site</t>
  </si>
  <si>
    <t>Intégrité, quantité, DLC, température.</t>
  </si>
  <si>
    <t>Rangement immédiat.</t>
  </si>
  <si>
    <t>Ex. 120 repas conformes.</t>
  </si>
  <si>
    <t>Fiche réception</t>
  </si>
  <si>
    <t>Remise en température</t>
  </si>
  <si>
    <t>Barème communiqué au site.</t>
  </si>
  <si>
    <t>+10 → ≥+63 °C en ≤ 1 h.</t>
  </si>
  <si>
    <t>Four de remise en température.</t>
  </si>
  <si>
    <t>Ex. +4 → +66 °C en 48 min.</t>
  </si>
  <si>
    <t>Fiche remise T°</t>
  </si>
  <si>
    <t>Service</t>
  </si>
  <si>
    <t>Maintien chaud ≥+63 °C.</t>
  </si>
  <si>
    <t>Sortie des bacs au fur et à mesure.</t>
  </si>
  <si>
    <t>Ex. service à +65 °C.</t>
  </si>
  <si>
    <t>Relevé service</t>
  </si>
  <si>
    <t>Fin de service</t>
  </si>
  <si>
    <t>Gestion des restes selon PMS.</t>
  </si>
  <si>
    <t>Pas de refroidissement d’un plat déjà réchauffé.</t>
  </si>
  <si>
    <t>Ex. bac ouvert non resservi.</t>
  </si>
  <si>
    <t>Fiche pertes</t>
  </si>
  <si>
    <t>CAS 2</t>
  </si>
  <si>
    <t>Préparation froide</t>
  </si>
  <si>
    <t>Salade composée + compote</t>
  </si>
  <si>
    <t>Production centrale</t>
  </si>
  <si>
    <t>Livraison réfrigérée</t>
  </si>
  <si>
    <t>Service froid</t>
  </si>
  <si>
    <t>Assemblage</t>
  </si>
  <si>
    <t>Travail par petites séries et remise au froid.</t>
  </si>
  <si>
    <t>Limiter l’exposition hors froid.</t>
  </si>
  <si>
    <t>Ex. lots de 80 portions.</t>
  </si>
  <si>
    <t>Fiche fabrication</t>
  </si>
  <si>
    <t>Stockage</t>
  </si>
  <si>
    <t>Préparation terminée entre 0 et +3 °C.</t>
  </si>
  <si>
    <t>Enceinte contrôlée.</t>
  </si>
  <si>
    <t>Idem après réception.</t>
  </si>
  <si>
    <t>Ex. +2,3 °C.</t>
  </si>
  <si>
    <t>Transport / réception</t>
  </si>
  <si>
    <t>Expédition protégée.</t>
  </si>
  <si>
    <t>Température + intégrité.</t>
  </si>
  <si>
    <t>Ex. réception +2,8 °C.</t>
  </si>
  <si>
    <t>Bon livraison</t>
  </si>
  <si>
    <t>Sortie au plus près du repas.</t>
  </si>
  <si>
    <t>Réapprovisionnement par petites quantités.</t>
  </si>
  <si>
    <t>Ex. préparation reste ≤+10 °C et &lt;2 h hors enceinte.</t>
  </si>
  <si>
    <t>Fiche service</t>
  </si>
  <si>
    <t>CAS 3</t>
  </si>
  <si>
    <t>Repas PAI</t>
  </si>
  <si>
    <t>Allergie au lait</t>
  </si>
  <si>
    <t>Contrôle renforcé</t>
  </si>
  <si>
    <t>Site satellite</t>
  </si>
  <si>
    <t>Aucune substitution improvisée</t>
  </si>
  <si>
    <t>Validation ingrédients</t>
  </si>
  <si>
    <t>Lecture des fiches techniques et allergènes.</t>
  </si>
  <si>
    <t>Pas de substitution non validée.</t>
  </si>
  <si>
    <t>Ex. vérifier aussi sauces, fonds, charcuteries.</t>
  </si>
  <si>
    <t>Fiches produits</t>
  </si>
  <si>
    <t>Fabrication</t>
  </si>
  <si>
    <t>Séparation dans l’espace ou le temps selon PMS.</t>
  </si>
  <si>
    <t>Ustensiles / contenants identifiés.</t>
  </si>
  <si>
    <t>Ex. repas conditionné séparément.</t>
  </si>
  <si>
    <t>Fiche PAI</t>
  </si>
  <si>
    <t>Allotissement</t>
  </si>
  <si>
    <t>Contrôle croisé repas-étiquette-site.</t>
  </si>
  <si>
    <t>Nom/code + site + consigne.</t>
  </si>
  <si>
    <t>Ex. École B – élève 024 – sans lait.</t>
  </si>
  <si>
    <t>Liste PAI</t>
  </si>
  <si>
    <t>Réception / stockage</t>
  </si>
  <si>
    <t>Vérification avant rangement.</t>
  </si>
  <si>
    <t>Repas isolé et identifié.</t>
  </si>
  <si>
    <t>Ex. barquette dédiée dans bac marqué PAI.</t>
  </si>
  <si>
    <t>Vérification ultime du bénéficiaire.</t>
  </si>
  <si>
    <t>Aucune substitution improvisée.</t>
  </si>
  <si>
    <t>Ex. doute sur étiquette = ne pas servir, appeler centrale.</t>
  </si>
  <si>
    <t>Traçabilité incident</t>
  </si>
  <si>
    <t>PESER SANS BALANCE (poids approximatifs) et généralement diffusés sur le net</t>
  </si>
  <si>
    <t>Auteur : Joel Leboucher • Rochefort sur Mer |  Date : 22 Janvier 2026  |  heure : 10h07</t>
  </si>
  <si>
    <t>1 blanc d'œuf :</t>
  </si>
  <si>
    <t>environ 30 g.</t>
  </si>
  <si>
    <t xml:space="preserve">cuil.= cuillère </t>
  </si>
  <si>
    <t xml:space="preserve"> fécule</t>
  </si>
  <si>
    <t>sucre et sel fin</t>
  </si>
  <si>
    <t>beurre </t>
  </si>
  <si>
    <t xml:space="preserve">riz </t>
  </si>
  <si>
    <t xml:space="preserve">semoule </t>
  </si>
  <si>
    <t xml:space="preserve">lait et autres liquides </t>
  </si>
  <si>
    <t>huile</t>
  </si>
  <si>
    <t>cacao</t>
  </si>
  <si>
    <t>Miel liquide</t>
  </si>
  <si>
    <t>poudre d’amande et de coco</t>
  </si>
  <si>
    <t>1 jaune d'œuf :</t>
  </si>
  <si>
    <t>environ 18 g.</t>
  </si>
  <si>
    <t>cuil.Café.</t>
  </si>
  <si>
    <t>cuil.Café.  = à Café</t>
  </si>
  <si>
    <t>bol</t>
  </si>
  <si>
    <t>cuillère Café</t>
  </si>
  <si>
    <t>cuillère Soupe</t>
  </si>
  <si>
    <t>pot à yaourt</t>
  </si>
  <si>
    <t>1 œuf entier :</t>
  </si>
  <si>
    <t>environ 50 g.</t>
  </si>
  <si>
    <t>cuil.C.ras.</t>
  </si>
  <si>
    <t>cuil.C.ras = cuilère à Café rase</t>
  </si>
  <si>
    <t>bol.moy.ras.de farine 210 g</t>
  </si>
  <si>
    <t>bol.moy.ras.de sucre 300 g</t>
  </si>
  <si>
    <t>cuil.C.ras.beurre.5.g</t>
  </si>
  <si>
    <t>cuil.S.bom.riz=20.g</t>
  </si>
  <si>
    <t>cuil.C.ras.semoule.5.g</t>
  </si>
  <si>
    <t>cuil.C.ras.liquide.5.g</t>
  </si>
  <si>
    <t>cuil.C.ras.huile.4.g</t>
  </si>
  <si>
    <t>cuil.C.ras.cacao.5.g</t>
  </si>
  <si>
    <t>cuil.C.ras.miel.10.g</t>
  </si>
  <si>
    <t>pot.ya.ras.amande.poudre.50g</t>
  </si>
  <si>
    <t>cuil.C.bom.</t>
  </si>
  <si>
    <t>cuil.C.bom. = cuilère à Café bombée</t>
  </si>
  <si>
    <t>cuil.C.bom.beurre.9.g</t>
  </si>
  <si>
    <t>cuil.S.ras.riz =18.g</t>
  </si>
  <si>
    <t>pot.ya.ras.coco.rapée.50g</t>
  </si>
  <si>
    <t>1 cuillère à soupe (tbsp ou c. à soupe)</t>
  </si>
  <si>
    <t>15 ml (liquide)</t>
  </si>
  <si>
    <t>14 g de sucre ou 15 g d'huile.</t>
  </si>
  <si>
    <t>1 cuillère à thé (tsp ou c. à thé)</t>
  </si>
  <si>
    <r>
      <t>5 ml</t>
    </r>
    <r>
      <rPr>
        <sz val="11"/>
        <color theme="1"/>
        <rFont val="Calibri"/>
        <family val="2"/>
        <scheme val="minor"/>
      </rPr>
      <t xml:space="preserve"> (liquide)</t>
    </r>
  </si>
  <si>
    <t>Équivaut à 4 g de sel ou 5 g de sucre.</t>
  </si>
  <si>
    <t>cuil.Soup.</t>
  </si>
  <si>
    <t>cuil.Soup. = à Soupe</t>
  </si>
  <si>
    <t>cuil.C.bom..farine.8.g</t>
  </si>
  <si>
    <t>cuil.C.bom.sel.9.g</t>
  </si>
  <si>
    <t>mug</t>
  </si>
  <si>
    <t>cuil.S.bom.semoule=15.g</t>
  </si>
  <si>
    <t>cuil.S.ras.liquide=10.g</t>
  </si>
  <si>
    <t>cuil.S.ras.huile =14.g</t>
  </si>
  <si>
    <t>cuil.S.ras.cacao =10.g</t>
  </si>
  <si>
    <t>cuil.S.ras.miel=18.g</t>
  </si>
  <si>
    <t>cuil.S.ras.</t>
  </si>
  <si>
    <t>cuil.S.ras = cuilère à Soupe.rase</t>
  </si>
  <si>
    <t>cuil.C.ras.farine=3.g</t>
  </si>
  <si>
    <t>cuil.C.bom.sucre.5.g</t>
  </si>
  <si>
    <t>cuil.S.bom.beurre=22.g</t>
  </si>
  <si>
    <t>mug...ras.riz.210.g</t>
  </si>
  <si>
    <t>1 litre (L)</t>
  </si>
  <si>
    <t>1000 ml ou environ 4 1/4 tasses.</t>
  </si>
  <si>
    <t>cuil.S.bom.</t>
  </si>
  <si>
    <t>cuil.S.bom = cuilère à Soupe.bombée</t>
  </si>
  <si>
    <t>cuil.C.bom.sucre.glace.3.g</t>
  </si>
  <si>
    <t>cuil.S.ras.beurre =15.g</t>
  </si>
  <si>
    <t>bol.moyen.</t>
  </si>
  <si>
    <t xml:space="preserve">v e r r e. </t>
  </si>
  <si>
    <t>verre.Moutarde</t>
  </si>
  <si>
    <t>1 once liquide (fl oz)</t>
  </si>
  <si>
    <t>30 ml.</t>
  </si>
  <si>
    <t>cuil.C.ras.sel=6.g</t>
  </si>
  <si>
    <t>cuil.S.ras.beurre fondu=12.g</t>
  </si>
  <si>
    <t>pot.ya.ras.semoule.90g</t>
  </si>
  <si>
    <t>bol.moy.ras.liquide.350g</t>
  </si>
  <si>
    <t>verreM.ras.huile=160g</t>
  </si>
  <si>
    <t>verreM.ras.cacao.90g</t>
  </si>
  <si>
    <t>pot.ya.ras.miel.150g</t>
  </si>
  <si>
    <t>1 pinte (pint) canadienne</t>
  </si>
  <si>
    <t>568 ml (différent de la pinte américaine de 473 ml).</t>
  </si>
  <si>
    <t>cuil.Mout.</t>
  </si>
  <si>
    <t>cuil.Mout.= à Moutarde</t>
  </si>
  <si>
    <t>cuil.S.bom.farine=20.g</t>
  </si>
  <si>
    <t>cuil.C.ras.sucre=4.g</t>
  </si>
  <si>
    <t>pot.ya.ras.riz.100g</t>
  </si>
  <si>
    <t>cuil.M.ras.</t>
  </si>
  <si>
    <t>cuil.M.ras.= cuillère à Moutarde rase</t>
  </si>
  <si>
    <t>cuil.S.ras.farine=10.g</t>
  </si>
  <si>
    <t>1 tasse (cup)</t>
  </si>
  <si>
    <r>
      <t>240 ml</t>
    </r>
    <r>
      <rPr>
        <sz val="11"/>
        <color theme="1"/>
        <rFont val="Calibri"/>
        <family val="2"/>
        <scheme val="minor"/>
      </rPr>
      <t xml:space="preserve"> </t>
    </r>
  </si>
  <si>
    <t>Sucre : 100 g</t>
  </si>
  <si>
    <t>cuil.M..bom.</t>
  </si>
  <si>
    <t>cuil.M.bom.= cuillère à Moutarde bombée</t>
  </si>
  <si>
    <t>mug...ras.beurre fondu.225.g</t>
  </si>
  <si>
    <t>verreM.ras.semoule=150g</t>
  </si>
  <si>
    <t>mug...ras.liquide.150.g</t>
  </si>
  <si>
    <t>pot.ya.ras.huile.120g</t>
  </si>
  <si>
    <t>Farine : 60 g</t>
  </si>
  <si>
    <t>louche</t>
  </si>
  <si>
    <t>cuil.S.bom.sucre=15.g</t>
  </si>
  <si>
    <t>verreM.ras.riz.160g</t>
  </si>
  <si>
    <t>Beurre : 113 g.</t>
  </si>
  <si>
    <t>cuil.Pota.</t>
  </si>
  <si>
    <t>cuil.Pota. = à Potage</t>
  </si>
  <si>
    <t>louch.ras.farine.50.g</t>
  </si>
  <si>
    <t>cuil.S.ras.sucre =10.g</t>
  </si>
  <si>
    <t>noix - noisette</t>
  </si>
  <si>
    <t>cuil.P.ras.</t>
  </si>
  <si>
    <t>cuil.P.ras = cuilère à Potage rase</t>
  </si>
  <si>
    <t>cuil.S.ras.sucre =15.g</t>
  </si>
  <si>
    <t>noi..sette de beurre 4g</t>
  </si>
  <si>
    <t>pot.ya.ras.liquide.150g</t>
  </si>
  <si>
    <t>1/4 tasse</t>
  </si>
  <si>
    <t>Sucre : 50 g</t>
  </si>
  <si>
    <t>cuil.P.bom.</t>
  </si>
  <si>
    <t>cuil.P.bom = cuilère à Potage bombée</t>
  </si>
  <si>
    <t>cuil.S.ras.sucre.glace =10.g</t>
  </si>
  <si>
    <t>n..o..i..x de beurre 15 g</t>
  </si>
  <si>
    <t>Farine : 30 g</t>
  </si>
  <si>
    <t>mug...bom.farine.150.g</t>
  </si>
  <si>
    <t>tasse.Café</t>
  </si>
  <si>
    <t>Beurre : 57 g.</t>
  </si>
  <si>
    <t>Teaspoon</t>
  </si>
  <si>
    <t>Teaspoon = tasse à thé</t>
  </si>
  <si>
    <t>mug...ras.farine.115.g</t>
  </si>
  <si>
    <t>tasse.Café.liquide.100g</t>
  </si>
  <si>
    <t>teasp.ras.</t>
  </si>
  <si>
    <t>teasp.ras.= Teaspoon rase</t>
  </si>
  <si>
    <t>louch.ras.sucre.70.g</t>
  </si>
  <si>
    <t>à quoi correspondent</t>
  </si>
  <si>
    <t>2 lbs</t>
  </si>
  <si>
    <t>1 Kg</t>
  </si>
  <si>
    <t>teasp.bom.</t>
  </si>
  <si>
    <t>teasp.bom= Teaspoon bombée</t>
  </si>
  <si>
    <t>verre.Liqueur</t>
  </si>
  <si>
    <t>pot.ya.bom.farine.150.g</t>
  </si>
  <si>
    <t>verreL.ras.liquide.30g</t>
  </si>
  <si>
    <t>ail en poudre</t>
  </si>
  <si>
    <t>¼ c. t.</t>
  </si>
  <si>
    <t>1 ml</t>
  </si>
  <si>
    <t xml:space="preserve">t a s s e. </t>
  </si>
  <si>
    <t>t a s s e. 10 lettres avec les espaces</t>
  </si>
  <si>
    <t>pot.ya.ras.farine.85.g</t>
  </si>
  <si>
    <t>mug...bom.sucre.220.g</t>
  </si>
  <si>
    <t>1 c.t.</t>
  </si>
  <si>
    <t>5 ml</t>
  </si>
  <si>
    <t>tasse.ras.</t>
  </si>
  <si>
    <t>tasse.ras.= tasse rase</t>
  </si>
  <si>
    <t>mug...ras.sucre.200.g</t>
  </si>
  <si>
    <t>tasse.bom.</t>
  </si>
  <si>
    <t>tasse.bom. = tasse bombée</t>
  </si>
  <si>
    <t>tasse</t>
  </si>
  <si>
    <t>verreM.ras.liquide.200g</t>
  </si>
  <si>
    <t>assaisonnement (mayonnaise légère,</t>
  </si>
  <si>
    <t>2 c. s.</t>
  </si>
  <si>
    <t>30 ml</t>
  </si>
  <si>
    <t xml:space="preserve">tasse.Mug. </t>
  </si>
  <si>
    <t>tasse.Mug. = tasse Mug</t>
  </si>
  <si>
    <t>tasse.bom.farine.60g</t>
  </si>
  <si>
    <t>assaisonnement (mayonnaise légère,Miracle Whip)</t>
  </si>
  <si>
    <t>1 c. s.</t>
  </si>
  <si>
    <t>15 ml</t>
  </si>
  <si>
    <t>tasse.ras.farine.40g</t>
  </si>
  <si>
    <t>pot.ya.ras.sucre.125.g</t>
  </si>
  <si>
    <t>v e r r e.  10 lettres avec les espaces</t>
  </si>
  <si>
    <t>bananes moyennes, écrasées vanille</t>
  </si>
  <si>
    <t>¾ tasse 2</t>
  </si>
  <si>
    <t>175 ml</t>
  </si>
  <si>
    <t>ve r r e.M</t>
  </si>
  <si>
    <t>ve r r e.M = verre à Moutarde</t>
  </si>
  <si>
    <t>verre</t>
  </si>
  <si>
    <t>verreM.ras.</t>
  </si>
  <si>
    <t>verreM.ras =  verre à Moutarde ras 10 lettres avec les espaces</t>
  </si>
  <si>
    <t>verre.M.bom.farine.120.g</t>
  </si>
  <si>
    <t>tasse.bom.sucre.150g</t>
  </si>
  <si>
    <t>basilic séché</t>
  </si>
  <si>
    <t>verreM.bom.</t>
  </si>
  <si>
    <t>verreM.bom =  verre à Moutarde bombé 10 lettres avec les espaces</t>
  </si>
  <si>
    <t>verre.M.ras.farine.100.g</t>
  </si>
  <si>
    <t>tasse.ras.sucre.90g</t>
  </si>
  <si>
    <t>L.ou.ches.</t>
  </si>
  <si>
    <t>Louches 10 lettres avec les points</t>
  </si>
  <si>
    <t>4 plaques standards de 227 g (au Canada et aux États-Unis).</t>
  </si>
  <si>
    <t>louch.ras.</t>
  </si>
  <si>
    <t>louch.ras. = louche rase</t>
  </si>
  <si>
    <t>verreM.bom.sucre.150g</t>
  </si>
  <si>
    <t>louch.bom.</t>
  </si>
  <si>
    <t>louch.bom. = louche bombée</t>
  </si>
  <si>
    <t>verreM.ras.sucre.110g</t>
  </si>
  <si>
    <t>bicarbonate de sodium</t>
  </si>
  <si>
    <t>1 c. t.</t>
  </si>
  <si>
    <t>½ c. t.</t>
  </si>
  <si>
    <t>2 ml</t>
  </si>
  <si>
    <t>pot.yaourt</t>
  </si>
  <si>
    <t>pot.ya.ras.</t>
  </si>
  <si>
    <t>pot à yaourt ras</t>
  </si>
  <si>
    <t>bœuf haché</t>
  </si>
  <si>
    <t>½ lb</t>
  </si>
  <si>
    <t>200 g</t>
  </si>
  <si>
    <t>pot.ya.bom.</t>
  </si>
  <si>
    <t>pot à yaourt bombé</t>
  </si>
  <si>
    <t>bouillon de poule à teneur réduite en sodium</t>
  </si>
  <si>
    <t>4 tasses</t>
  </si>
  <si>
    <t>1 l</t>
  </si>
  <si>
    <t>bol moyen</t>
  </si>
  <si>
    <t>bouillon de poulet à teneur réduite en sodium*</t>
  </si>
  <si>
    <t>3 tasses</t>
  </si>
  <si>
    <t>750 ml</t>
  </si>
  <si>
    <t>bol.moy.ras.</t>
  </si>
  <si>
    <t>bol moyen ras</t>
  </si>
  <si>
    <t>bol.moy.bom.</t>
  </si>
  <si>
    <t>bol moyen bombé</t>
  </si>
  <si>
    <t>branche de céleri (optionnel)</t>
  </si>
  <si>
    <t>m ..u. .g.</t>
  </si>
  <si>
    <t>Mug 10 lettres avec les points</t>
  </si>
  <si>
    <t>brocolis, hachés</t>
  </si>
  <si>
    <t>1 petit bouquet</t>
  </si>
  <si>
    <t>mug...ras.</t>
  </si>
  <si>
    <t>Mug.ras.10 lettres avec les points</t>
  </si>
  <si>
    <t>cannelle</t>
  </si>
  <si>
    <t>mug...bom.</t>
  </si>
  <si>
    <t>Mug.bombé.10 lettres avec les points</t>
  </si>
  <si>
    <t>carotte, coupée en dés jambon, haché</t>
  </si>
  <si>
    <t>céleri, tranché finement</t>
  </si>
  <si>
    <t>1 branche</t>
  </si>
  <si>
    <t>Pourquoi 10 lettres , si vous voulez utiliser ces valeurs avec des fonctions de recherche gauche - droite</t>
  </si>
  <si>
    <t>champignons</t>
  </si>
  <si>
    <t>2 1/2 tasses</t>
  </si>
  <si>
    <t>625 ml</t>
  </si>
  <si>
    <t xml:space="preserve">si vous vouler concatener  ou extraite du texte il faut que ce texte ait le même nombre de lettre ou d'espace </t>
  </si>
  <si>
    <t>(un espace ou un point sont comptés comme une lettre)</t>
  </si>
  <si>
    <t>50 ml</t>
  </si>
  <si>
    <t>t. tasse</t>
  </si>
  <si>
    <t>chapelure ou 1 tranche de pain de blé entier,</t>
  </si>
  <si>
    <t>¼ tasse</t>
  </si>
  <si>
    <t>60 ml</t>
  </si>
  <si>
    <t>c. s. cuillère à soupe</t>
  </si>
  <si>
    <t>(1 portion = 1 tasse ou 250 ml)</t>
  </si>
  <si>
    <t>cheddar, en lanières</t>
  </si>
  <si>
    <t xml:space="preserve"> (1 portion = ½ tasse ou 125 ml</t>
  </si>
  <si>
    <t>chili en poudre</t>
  </si>
  <si>
    <t xml:space="preserve"> 400°F (205°C). </t>
  </si>
  <si>
    <t>chili en poudre (optionnel)</t>
  </si>
  <si>
    <t>d’un demi-pouce (1,5 cm).</t>
  </si>
  <si>
    <t xml:space="preserve"> 350°F (180°C)</t>
  </si>
  <si>
    <t>chou, haché</t>
  </si>
  <si>
    <t>2 tasses</t>
  </si>
  <si>
    <t>500 ml</t>
  </si>
  <si>
    <t>Conversion de base :</t>
  </si>
  <si>
    <t xml:space="preserve">1 lb (livre) </t>
  </si>
  <si>
    <t>453,6 g.</t>
  </si>
  <si>
    <t xml:space="preserve">Guide alimentaire Canadien </t>
  </si>
  <si>
    <t>https://guide-alimentaire.canada.ca/fr/</t>
  </si>
  <si>
    <t xml:space="preserve">2 lbs </t>
  </si>
  <si>
    <t>453,6 g × 2 = 907,2 g.ou 0,907 kilogramme.</t>
  </si>
  <si>
    <t>la bonne cuisine raisonnée</t>
  </si>
  <si>
    <t>https://books.google.fr/books?id=ldcKa0614jAC&amp;newbks=1&amp;newbks_redir=0&amp;printsec=frontcover</t>
  </si>
  <si>
    <t>Publication de DK-Coaching</t>
  </si>
  <si>
    <t>https://www.facebook.com/DKcoaching.prepa/posts/conna%C3%AEtre-les-%C3%A9quivalences-poids-crucuit-voil%C3%A0-un-post-qui-jesp%C3%A8re-te-sembleras-/1103043807120035/</t>
  </si>
  <si>
    <t>crème 10% mg</t>
  </si>
  <si>
    <t>1/2 tasse</t>
  </si>
  <si>
    <t>125 ml</t>
  </si>
  <si>
    <t>EQUIVALENCES CRU//CUIT</t>
  </si>
  <si>
    <t>https://fr.pinterest.com/brigittek80/equivalences-crucuit/</t>
  </si>
  <si>
    <t>crème sure légère</t>
  </si>
  <si>
    <t>Equivalence poids cru et cuit?</t>
  </si>
  <si>
    <t>https://faq.croq-kilos.com/hc/fr/articles/360018894799-Equivalence-poids-cru-et-cuit</t>
  </si>
  <si>
    <t>eau</t>
  </si>
  <si>
    <t>Publication de EcoloSophie</t>
  </si>
  <si>
    <t>https://www.facebook.com/ecolosophie/posts/toujours-int%C3%A9ressant-de-savoir-l%C3%A9quivalence-entre-cuit-et-cru/2819013355067283/</t>
  </si>
  <si>
    <t>eau froide</t>
  </si>
  <si>
    <t>1½ c. s.</t>
  </si>
  <si>
    <t>25 ml</t>
  </si>
  <si>
    <t>Équivalences Cru/Cuit</t>
  </si>
  <si>
    <t>https://fatsecretfrance.fr/astuces-et-conseils/equivalences-cru-cuit/</t>
  </si>
  <si>
    <t>eau tiède</t>
  </si>
  <si>
    <t>1/3 tasse</t>
  </si>
  <si>
    <t>75 ml</t>
  </si>
  <si>
    <t>% pertes viande</t>
  </si>
  <si>
    <t>http://dieteticienne.over-blog.com/article-pourcentage-de-dechets-des-viandes-97921565.html?utm_source=chatgpt.com</t>
  </si>
  <si>
    <t>L'alimentation durable à Bruxelles</t>
  </si>
  <si>
    <t>https://environnement.brussels/citoyen/outils-et-donnees/sites-web-et-outils/lalimentation-durable-bruxelles</t>
  </si>
  <si>
    <t>extrait de vanille</t>
  </si>
  <si>
    <t>Modification du critère  (grammages de viande)</t>
  </si>
  <si>
    <t>https://goodfood.brussels/fr/news/modification-du-critere-de-lassiette-equilibree-grammages-de-viande-du-label-cantine-good-food?domain=cit</t>
  </si>
  <si>
    <t xml:space="preserve">un Vade-mecum Cantine Good Food </t>
  </si>
  <si>
    <t>https://goodfood.brussels/sites/default/files/inline-files/Vademecum%20cantines%20FR%20-%2020240828.pdf</t>
  </si>
  <si>
    <t>farine de blé entier</t>
  </si>
  <si>
    <t>1 tasse</t>
  </si>
  <si>
    <t>250 ml</t>
  </si>
  <si>
    <t>½ tasse</t>
  </si>
  <si>
    <t>Vos portions dans le creux de la main</t>
  </si>
  <si>
    <t xml:space="preserve">Le Guide alimentaire canadien recommande que nous mangions chaque jour un certain nombre </t>
  </si>
  <si>
    <t>farine tous usages</t>
  </si>
  <si>
    <t xml:space="preserve">½ tasse </t>
  </si>
  <si>
    <t>de portions d’aliments appartenant aux quatre groupes alimentaires. Mais qu’est-ce qu’une portion?</t>
  </si>
  <si>
    <t>Les portions recommandées par Le Guide alimentaire canadien sont appelées « portions du Guide alimentaire ».</t>
  </si>
  <si>
    <t xml:space="preserve"> Elles sont de taille différente des portions que nous mangeons en réalité. </t>
  </si>
  <si>
    <t>fécule de maïs</t>
  </si>
  <si>
    <t>Une portion réelle d’un aliment peut être égale à une portion du Guide alimentaire ou plus.</t>
  </si>
  <si>
    <t>flocons d’avoine</t>
  </si>
  <si>
    <t>Votre main est très utile pour comprendre ce que représente une portion du Guide alimentaire.</t>
  </si>
  <si>
    <t>fromage cottage</t>
  </si>
  <si>
    <t>fromage rapé</t>
  </si>
  <si>
    <t>Fruits ou légumes</t>
  </si>
  <si>
    <t>environ 6 à 8 pommes moyennes ou 10 à 12 petites tomates.</t>
  </si>
  <si>
    <t>gingembre (optionnel), haché fin</t>
  </si>
  <si>
    <t>haricots communs rincés</t>
  </si>
  <si>
    <t>28 oz</t>
  </si>
  <si>
    <t>796 ml</t>
  </si>
  <si>
    <t>haricots communs, rincés</t>
  </si>
  <si>
    <t>19 oz (conserve)</t>
  </si>
  <si>
    <t>540 ml</t>
  </si>
  <si>
    <t>14 oz</t>
  </si>
  <si>
    <t>398 ml</t>
  </si>
  <si>
    <t>haricots jaunes, rincés</t>
  </si>
  <si>
    <t>¾ tasse</t>
  </si>
  <si>
    <t>200 ml</t>
  </si>
  <si>
    <t>haricots verts congelés</t>
  </si>
  <si>
    <t>huile de canola</t>
  </si>
  <si>
    <t>1½ c. t.</t>
  </si>
  <si>
    <t>7 ml</t>
  </si>
  <si>
    <t>2c.s.</t>
  </si>
  <si>
    <t>1/8 tasse</t>
  </si>
  <si>
    <t>40 ml</t>
  </si>
  <si>
    <t>ketchup</t>
  </si>
  <si>
    <t>3 c. s.</t>
  </si>
  <si>
    <t>45 ml</t>
  </si>
  <si>
    <t>lait ou eau</t>
  </si>
  <si>
    <t>liquide (choisir parmi l’eau, le jus de tomate, le bouillon de légumes ou le lait)</t>
  </si>
  <si>
    <t>margarine molle non-hydrogénée</t>
  </si>
  <si>
    <t>2 c. t.</t>
  </si>
  <si>
    <t>10 m</t>
  </si>
  <si>
    <t>mélasse</t>
  </si>
  <si>
    <t>mozarella en lanières</t>
  </si>
  <si>
    <t>125 ml 65g</t>
  </si>
  <si>
    <t>nouilles de blé entier non cuites (n’importe quelle sorte)</t>
  </si>
  <si>
    <t>1 L</t>
  </si>
  <si>
    <t>nouilles de blé entier, non cuites petits pois congelés</t>
  </si>
  <si>
    <t>oignon</t>
  </si>
  <si>
    <t xml:space="preserve">Tendez la main, partagez vos savoir-faire : vos essais, vos erreurs et votre ténacité </t>
  </si>
  <si>
    <t>oignon, haché</t>
  </si>
  <si>
    <t>½</t>
  </si>
  <si>
    <t>sont des tremplins pour celles et ceux qui veulent progresser.</t>
  </si>
  <si>
    <t>Avec vos exemples, chacun pourra avancer à son rythme, avec confiance et gagner en autonomie.</t>
  </si>
  <si>
    <t>origan séché</t>
  </si>
  <si>
    <t>persil séché</t>
  </si>
  <si>
    <t xml:space="preserve">Partager ses savoir-faire, c’est une façon de rendre hommage à celles et ceux qui nous ont transmis les leurs, </t>
  </si>
  <si>
    <t>1 c.s.</t>
  </si>
  <si>
    <t>parfois dans le silence ou l’exigence, et grâce à qui nous avançons aujourd’hui.</t>
  </si>
  <si>
    <t>pois cassés secs</t>
  </si>
  <si>
    <t>pois chiches, rincés</t>
  </si>
  <si>
    <t>Reach out, share your know-how: your attempts, mistakes, and determination are stepping stones</t>
  </si>
  <si>
    <t xml:space="preserve"> for those who want to grow.</t>
  </si>
  <si>
    <t>poivre moulu</t>
  </si>
  <si>
    <t>1 /4 c.t.</t>
  </si>
  <si>
    <t>Through your examples, everyone can move forward at their own pace, with confidence, and gain autonomy.</t>
  </si>
  <si>
    <t>poudre à pâte</t>
  </si>
  <si>
    <t>Sharing your know-how is a way to pay tribute to those who passed theirs on to us —</t>
  </si>
  <si>
    <t>10 ml</t>
  </si>
  <si>
    <t>sometimes in silence, sometimes with high expectations — and thanks to whom we move forward today.</t>
  </si>
  <si>
    <t>poulet cuit</t>
  </si>
  <si>
    <t>75 g</t>
  </si>
  <si>
    <t>purée de tomate</t>
  </si>
  <si>
    <t>Tiende la mano, comparte tus saberes: tus intentos, tus errores y tu perseverancia son impulsores</t>
  </si>
  <si>
    <t xml:space="preserve"> para quienes desean avanzar.</t>
  </si>
  <si>
    <t>salsa</t>
  </si>
  <si>
    <t>Con tu ejemplo, cada persona podrá progresar a su ritmo, con confianza y ganar en autonomía.</t>
  </si>
  <si>
    <t>sauce au soja</t>
  </si>
  <si>
    <t>sauce tomate</t>
  </si>
  <si>
    <t>Compartir tus saberes es una forma de rendir homenaje a quienes nos transmitieron los suyos,</t>
  </si>
  <si>
    <t>sauce Worcestershire</t>
  </si>
  <si>
    <t>a veces en silencio, a veces con exigencia, y gracias a quienes seguimos avanzando hoy.</t>
  </si>
  <si>
    <t>saumon en conserve</t>
  </si>
  <si>
    <t>sel</t>
  </si>
  <si>
    <t>1/2 c.t.</t>
  </si>
  <si>
    <t>soupe à la crème de champignon</t>
  </si>
  <si>
    <t>½ boîte de 10,5 oz</t>
  </si>
  <si>
    <t>142 ml</t>
  </si>
  <si>
    <t>sucre</t>
  </si>
  <si>
    <t>sucre blanc</t>
  </si>
  <si>
    <t>3/4 tasse</t>
  </si>
  <si>
    <t>sucre brun</t>
  </si>
  <si>
    <t>1-6 oz</t>
  </si>
  <si>
    <t>170 g</t>
  </si>
  <si>
    <t>thon en conserve</t>
  </si>
  <si>
    <t>thym</t>
  </si>
  <si>
    <t>thym séché</t>
  </si>
  <si>
    <t>tomate en conserve</t>
  </si>
  <si>
    <t>1 1/2 tasses</t>
  </si>
  <si>
    <t>375 ml</t>
  </si>
  <si>
    <t>tomates en conserve</t>
  </si>
  <si>
    <t>Viande ou poisson</t>
  </si>
  <si>
    <t>environ 907 g</t>
  </si>
  <si>
    <t>vinaigre</t>
  </si>
  <si>
    <t>Table de correspondance courante :</t>
  </si>
  <si>
    <t xml:space="preserve">Mesure canadienne </t>
  </si>
  <si>
    <t xml:space="preserve">Beurre (g) </t>
  </si>
  <si>
    <t>227 g</t>
  </si>
  <si>
    <t>Beurre (g)</t>
  </si>
  <si>
    <t xml:space="preserve"> 1/2 tasse</t>
  </si>
  <si>
    <t>113 g</t>
  </si>
  <si>
    <t>57 g</t>
  </si>
  <si>
    <t>Farine (g)</t>
  </si>
  <si>
    <t>120 g</t>
  </si>
  <si>
    <t>60 g</t>
  </si>
  <si>
    <t xml:space="preserve">Farine (g)) </t>
  </si>
  <si>
    <t>1 c. à soupe</t>
  </si>
  <si>
    <t>9 g</t>
  </si>
  <si>
    <t xml:space="preserve">Farine (g) </t>
  </si>
  <si>
    <t>1 c. à thé</t>
  </si>
  <si>
    <t xml:space="preserve">Liquides (ml) </t>
  </si>
  <si>
    <t>240 ml</t>
  </si>
  <si>
    <t>120 ml</t>
  </si>
  <si>
    <t>Sucre (g)</t>
  </si>
  <si>
    <t>100 g</t>
  </si>
  <si>
    <t>14 g</t>
  </si>
  <si>
    <t>ALLERGÈNES — CONTRÔLE QUOTIDIEN ESSENTIEL (VERSION COURTE)</t>
  </si>
  <si>
    <t>PARAMÉTRAGE LOCAL — À ADAPTER AU PMS</t>
  </si>
  <si>
    <t>Cuisine centrale en liaison froide • Crèche • Écoles • Foyers • Restaurant administratif • EHPAD • Hôpital</t>
  </si>
  <si>
    <t>À compléter une fois par l’établissement. Les cellules jaunes alimentent automatiquement la colonne « Responsable PMS ».</t>
  </si>
  <si>
    <t>Date</t>
  </si>
  <si>
    <t>Nombre de repas</t>
  </si>
  <si>
    <t>Établissement / site</t>
  </si>
  <si>
    <t>Menu / service</t>
  </si>
  <si>
    <t>PAI / régimes allergiques</t>
  </si>
  <si>
    <t>Référence du PMS allergènes</t>
  </si>
  <si>
    <t>Site / satellite</t>
  </si>
  <si>
    <t>Heure départ</t>
  </si>
  <si>
    <t>Réception / achats</t>
  </si>
  <si>
    <t>À RENSEIGNER</t>
  </si>
  <si>
    <t>Responsable du contrôle</t>
  </si>
  <si>
    <t>Heure service</t>
  </si>
  <si>
    <t>Production / fabrication</t>
  </si>
  <si>
    <t>Référence production / lot</t>
  </si>
  <si>
    <t>Version liste du jour</t>
  </si>
  <si>
    <t>Conditionnement / double contrôle</t>
  </si>
  <si>
    <t>Barrière essentielle</t>
  </si>
  <si>
    <t>Contrôle du jour</t>
  </si>
  <si>
    <t>Preuve attendue</t>
  </si>
  <si>
    <t>Responsable PMS</t>
  </si>
  <si>
    <t>Moment</t>
  </si>
  <si>
    <t>C</t>
  </si>
  <si>
    <t>NC</t>
  </si>
  <si>
    <t>NA</t>
  </si>
  <si>
    <t>Observation / écart</t>
  </si>
  <si>
    <t>Action corrective</t>
  </si>
  <si>
    <t>Qui ?</t>
  </si>
  <si>
    <t>Heure</t>
  </si>
  <si>
    <t>Visa</t>
  </si>
  <si>
    <t>Saisie</t>
  </si>
  <si>
    <t>Allotissement / transport</t>
  </si>
  <si>
    <t>Liste du jour</t>
  </si>
  <si>
    <t>Liste des PAI, prescriptions et régimes reçue, à jour et concordante avec les sites/convives.</t>
  </si>
  <si>
    <t>Version datée ; effectifs et identités vérifiés.</t>
  </si>
  <si>
    <t>Avant production</t>
  </si>
  <si>
    <t>Satellite / service</t>
  </si>
  <si>
    <t>Menu et lots</t>
  </si>
  <si>
    <t>Menu, fiches recettes, produits réellement disponibles et matrice allergènes concordants.</t>
  </si>
  <si>
    <t>Recettes + étiquettes des lots + information INCO.</t>
  </si>
  <si>
    <t>Libération / qualité / alerte</t>
  </si>
  <si>
    <t>Substitution</t>
  </si>
  <si>
    <t>Aucun produit de dépannage ou remplacement utilisé sans relecture de l’étiquette du lot.</t>
  </si>
  <si>
    <t>Validation écrite de la nouvelle composition.</t>
  </si>
  <si>
    <t>Réception</t>
  </si>
  <si>
    <t>Durée de conservation de la grille</t>
  </si>
  <si>
    <t>Selon PMS local</t>
  </si>
  <si>
    <t>Stockage et poste</t>
  </si>
  <si>
    <t>Produits protégés/séparés ; poste, mains, ustensiles et matériel propres ou dédiés.</t>
  </si>
  <si>
    <t>Absence de résidu ; organisation évitant le contact croisé.</t>
  </si>
  <si>
    <t>Avant fabrication</t>
  </si>
  <si>
    <t>Lieu et support d’archivage</t>
  </si>
  <si>
    <t>Ingrédients contrôlés un par un ; recette suivie sans ajout ni remplacement non autorisé.</t>
  </si>
  <si>
    <t>Étiquettes présentes au poste ; recette du jour respectée.</t>
  </si>
  <si>
    <t>Référence procédure d’urgence</t>
  </si>
  <si>
    <t>Selon protocole local</t>
  </si>
  <si>
    <t>Contact croisé</t>
  </si>
  <si>
    <t>Aucun contact par mains, matériel, huile, eau, vapeur, projections, poudres ou réemploi.</t>
  </si>
  <si>
    <t>Séparation physique/temps ; nettoyage intermédiaire maîtrisé.</t>
  </si>
  <si>
    <t>Version / date de mise à jour</t>
  </si>
  <si>
    <t>Identification</t>
  </si>
  <si>
    <t>Repas spécifique fermé et étiqueté immédiatement : identité, site, régime, date et lot.</t>
  </si>
  <si>
    <t>Étiquette complète, lisible et fixée au bon contenant.</t>
  </si>
  <si>
    <t>Conditionnement</t>
  </si>
  <si>
    <t>Double contrôle</t>
  </si>
  <si>
    <t>Deuxième personne : bon convive, bon régime, bon plat, bon lot, bonne étiquette.</t>
  </si>
  <si>
    <t>Double visa portant sur le produit réel et les documents.</t>
  </si>
  <si>
    <t>Avant fermeture</t>
  </si>
  <si>
    <t>MODE D’EMPLOI RAPIDE</t>
  </si>
  <si>
    <t>Allotissement / départ</t>
  </si>
  <si>
    <t>Quantité, site, séparation, intégrité et traçabilité des repas spécifiques vérifiés.</t>
  </si>
  <si>
    <t>Comptage, bordereau et remise au bon transport.</t>
  </si>
  <si>
    <t>Expédition</t>
  </si>
  <si>
    <t>1. Renseigner les informations du jour en haut de la grille.</t>
  </si>
  <si>
    <t>Réception satellite</t>
  </si>
  <si>
    <t>Identité, régime, quantité, intégrité et température contrôlés puis repas isolé.</t>
  </si>
  <si>
    <t>Visa réception ; stockage spécifique jusqu’au service.</t>
  </si>
  <si>
    <t>2. Lire la preuve attendue avant de saisir X dans C, NC ou NA.</t>
  </si>
  <si>
    <t>Dernier contrôle</t>
  </si>
  <si>
    <t>Bonne personne, bon plateau, bon repas et information allergènes vérifiés au point de remise.</t>
  </si>
  <si>
    <t>Contrôle adulte/soignant ; aucun échange de plateau.</t>
  </si>
  <si>
    <t>3. Une seule case X par ligne ; la colonne O signale toute ligne incomplète ou doublement cochée.</t>
  </si>
  <si>
    <t>Libération et traces</t>
  </si>
  <si>
    <t>Aucune NC non levée ; preuves rassemblées et archivage préparé selon le PMS.</t>
  </si>
  <si>
    <t>Décision signée ; menu, lots, étiquettes et grille disponibles.</t>
  </si>
  <si>
    <t>Fin de contrôle</t>
  </si>
  <si>
    <t>4. Pour chaque NC : écrire l’écart, l’action corrective, la personne, l’heure et le visa.</t>
  </si>
  <si>
    <t>5. Vérifier la synthèse. Une NC impose le blocage jusqu’à sa levée formalisée.</t>
  </si>
  <si>
    <t>SYNTHÈSE AVANT LIBÉRATION</t>
  </si>
  <si>
    <t>6. Archiver selon la durée, le lieu et le support définis dans le PMS local.</t>
  </si>
  <si>
    <t>Conformes</t>
  </si>
  <si>
    <t>Non-conformes</t>
  </si>
  <si>
    <t>Non applicables</t>
  </si>
  <si>
    <t>Lignes à contrôler</t>
  </si>
  <si>
    <t>Total</t>
  </si>
  <si>
    <t>Décision</t>
  </si>
  <si>
    <t>Visa final</t>
  </si>
  <si>
    <t>Cette version courte sert au contrôle quotidien. La version complète reste nécessaire pour la formation approfondie, les audits internes, la révision du PMS et l’analyse détaillée d’un incident.</t>
  </si>
  <si>
    <t>RÈGLE : une seule case X par ligne. Toute NC non levée, toute composition incertaine ou toute rupture d’identification impose le blocage du repas concerné. NE PAS SERVIR avant validation formalisée.</t>
  </si>
  <si>
    <t>AN formule simplifiée scindée en AO: AU</t>
  </si>
  <si>
    <t>À QUOI SERT CE DOCUMENT ?</t>
  </si>
  <si>
    <t>COMMENT SAISIR LES DONNÉES</t>
  </si>
  <si>
    <t>Document pédagogique  — calcul par quantité d’élément principal et/ou par nombre de couverts</t>
  </si>
  <si>
    <t>Transformer les quantités d’une fiche technique de référence en quantités de production. Le calcul peut être piloté par une quantité d’élément principal (Mode A), par un nombre de couverts (Mode B), ou par les deux simultanément afin de comparer les résultats.</t>
  </si>
  <si>
    <t>Guide pédagogique CFA — saisie d'une recette dans la zone technique</t>
  </si>
  <si>
    <t>Auteur : Joel Leboucher • Rochefort sur Mer |  Date : 27 Août 2026  |  heure : 15h20 |  Document réalisé avec l'aide de ChatGPT  |</t>
  </si>
  <si>
    <t>Élément</t>
  </si>
  <si>
    <t>Colonne</t>
  </si>
  <si>
    <t>Exemple</t>
  </si>
  <si>
    <t>Consigne / point de contrôle</t>
  </si>
  <si>
    <t>TABLE DE PILOTAGE DES RECETTES</t>
  </si>
  <si>
    <t>1 — IDENTIFIER LA RECETTE</t>
  </si>
  <si>
    <t>N° de recette</t>
  </si>
  <si>
    <t>Saisir un nombre de 1 à 10. La liste des recettes est intégrée dans la table de pilotage colonne K</t>
  </si>
  <si>
    <t>ID fiche</t>
  </si>
  <si>
    <t>Qté principale</t>
  </si>
  <si>
    <t>Unité</t>
  </si>
  <si>
    <t>V</t>
  </si>
  <si>
    <t>Numéro du bloc de recette. Il correspond à la recette sélectionnée dans le moteur.</t>
  </si>
  <si>
    <t>COMMENT FONCTIONNE LE MOTEUR ?</t>
  </si>
  <si>
    <t>W</t>
  </si>
  <si>
    <t>N° 53</t>
  </si>
  <si>
    <t>Numéro de la fiche dans le livre « 300 fiches techniques — La cuisine de collectivité ».</t>
  </si>
  <si>
    <t>Le classeur contient 10 recettes. Chaque recette dispose d’un bloc de 35 lignes pour les denrées, sous-recettes et matériels. Le numéro choisi en B5 détermine le bloc lu par le moteur.</t>
  </si>
  <si>
    <t>X</t>
  </si>
  <si>
    <t>BLAFF DE POISSON</t>
  </si>
  <si>
    <t>Saisir le nom complet de la recette.</t>
  </si>
  <si>
    <t>.</t>
  </si>
  <si>
    <t>Y</t>
  </si>
  <si>
    <t>72</t>
  </si>
  <si>
    <t>Indiquer la page de la source pour pouvoir contrôler les informations et consulter la méthode de fabrication.</t>
  </si>
  <si>
    <t>MODE A  Coefficient = quantité à produire ÷ quantité principale auteur. Toutes les quantités calculables sont multipliées par ce coefficient.</t>
  </si>
  <si>
    <t>Nb de couverts</t>
  </si>
  <si>
    <t>Z</t>
  </si>
  <si>
    <t>Nombre de couverts prévu par les auteurs pour la recette de référence.</t>
  </si>
  <si>
    <t>MODE A — PAR ÉLÉMENT PRINCIPAL</t>
  </si>
  <si>
    <t>MODE B — PAR NOMBRE DE COUVERTS</t>
  </si>
  <si>
    <t>Mode B : Coefficient = couverts à servir ÷ couverts auteur. Toutes les quantités calculables sont multipliées par ce coefficient.</t>
  </si>
  <si>
    <t>Automatique</t>
  </si>
  <si>
    <t>Ligne</t>
  </si>
  <si>
    <t>AA</t>
  </si>
  <si>
    <t>0, 1, 2…</t>
  </si>
  <si>
    <t>Ne rien saisir : la numérotation est automatique.</t>
  </si>
  <si>
    <t>Couverts</t>
  </si>
  <si>
    <t>2 — SAISIR LES DENRÉES ET LE MATÉRIEL</t>
  </si>
  <si>
    <t>AFFICHAGE DES UNITÉS Conversion Une masse inférieure à 1 kg est affichée en g ; un volume inférieur à 1 L est affiché en cl. Les autres unités métier restent dans leur unité prévue. « Qt. suffisante » n’est pas calculable numériquement.</t>
  </si>
  <si>
    <t>Organisation</t>
  </si>
  <si>
    <t>Groupe / sous-recette</t>
  </si>
  <si>
    <t>AB</t>
  </si>
  <si>
    <t>Sauce / garniture…</t>
  </si>
  <si>
    <t>Facultatif. Permet de regrouper les lignes d'une même préparation ou variante.</t>
  </si>
  <si>
    <t>Kg</t>
  </si>
  <si>
    <t>Les deux modes peuvent être utilisés simultanément pour comparer les résultats.</t>
  </si>
  <si>
    <t>AC</t>
  </si>
  <si>
    <t>Roussette ou vivaneau</t>
  </si>
  <si>
    <t>Saisir le produit ou l'ingrédient tel qu'il doit apparaître dans la fiche.</t>
  </si>
  <si>
    <t>Fumet de poisson *</t>
  </si>
  <si>
    <t>* signale un allergène repéré dans le document.</t>
  </si>
  <si>
    <t>3. CONTRÔLER LA SAISIE</t>
  </si>
  <si>
    <t>Une denrée par ligne.</t>
  </si>
  <si>
    <t>État</t>
  </si>
  <si>
    <t>B5</t>
  </si>
  <si>
    <t>Matériel</t>
  </si>
  <si>
    <t>bac(s) GN 2/1 H 250</t>
  </si>
  <si>
    <t>Le matériel peut être ajouté à la suite des denrées dans la même colonne AC.</t>
  </si>
  <si>
    <t>La zone technique contient uniquement des données fixes. Le moteur situé en haut de la feuille lit ces données avec INDEX. Aucune liaison externe, macro, plage nommée ou fonction dynamique n’est utilisée.</t>
  </si>
  <si>
    <t>Aide</t>
  </si>
  <si>
    <t>Masquage temporaire</t>
  </si>
  <si>
    <t>V:AA</t>
  </si>
  <si>
    <t>Masquer V, W, X, Y et AA</t>
  </si>
  <si>
    <t>Pendant la saisie en AC, vous pouvez masquer ces colonnes. Les colonnes R et T restent visibles pour faciliter la copie des unités et du matériel.</t>
  </si>
  <si>
    <t>B6 / B7 / H7</t>
  </si>
  <si>
    <t>Vérifier le nom de la recette, le numéro de fiche et la page de la source.</t>
  </si>
  <si>
    <t>3 — SAISIR LA QUANTITÉ D'ORIGINE</t>
  </si>
  <si>
    <t>4. COMPARER LES QUANTITÉS</t>
  </si>
  <si>
    <t>Saisie principale</t>
  </si>
  <si>
    <t>Saisie d'origine</t>
  </si>
  <si>
    <t>AD</t>
  </si>
  <si>
    <t>14 KG</t>
  </si>
  <si>
    <t>Format conseillé : nombre + espace + unité. Cette écriture est reconnue automatiquement.</t>
  </si>
  <si>
    <t>B11 / B12:C12 / B13</t>
  </si>
  <si>
    <t>Mode A : lire l’élément principal et la quantité auteur ; saisir en B13 la quantité réellement disponible ou à produire.</t>
  </si>
  <si>
    <t>150 G</t>
  </si>
  <si>
    <t>L'absence de point de séparation ne pose pas de problème si le nombre et l'unité sont clairement identifiables.</t>
  </si>
  <si>
    <t>Qté Mode A</t>
  </si>
  <si>
    <t>Qté Mode B</t>
  </si>
  <si>
    <t>À corriger</t>
  </si>
  <si>
    <t>5. L</t>
  </si>
  <si>
    <t>Le point placé après le nombre rend la saisie ambiguë : corriger la quantité en AE et l'unité en AF.</t>
  </si>
  <si>
    <t>G11 / G12</t>
  </si>
  <si>
    <t>Mode B : lire le nombre de couverts auteur ; saisir en G12 le nombre de couverts à servir.</t>
  </si>
  <si>
    <t>1,5 kg</t>
  </si>
  <si>
    <t>Pour les décimales, utiliser le point : écrire 1.5 KG. La virgule peut être interprétée comme du texte.</t>
  </si>
  <si>
    <t>4 — CORRIGER UNE SAISIE NON RECONNUE</t>
  </si>
  <si>
    <t>Modes A et B</t>
  </si>
  <si>
    <t>Un seul mode peut être utilisé. Les deux peuvent également être actifs pour comparer les besoins.</t>
  </si>
  <si>
    <t>Correction</t>
  </si>
  <si>
    <t>AE</t>
  </si>
  <si>
    <t>Saisir uniquement la valeur numérique lorsque AD n'est pas correctement reconnu.</t>
  </si>
  <si>
    <t>Unité officielle</t>
  </si>
  <si>
    <t>AF</t>
  </si>
  <si>
    <t>L / KG / G / CL…</t>
  </si>
  <si>
    <t>Coller ou saisir une unité présente dans le référentiel AY:BB.</t>
  </si>
  <si>
    <t>6</t>
  </si>
  <si>
    <t>C:D / E:F / G:H / I</t>
  </si>
  <si>
    <t>Lire respectivement : quantité auteur ; résultat Mode A ; résultat Mode B ; contrôle.</t>
  </si>
  <si>
    <t>Référentiel</t>
  </si>
  <si>
    <t>Unités reconnues</t>
  </si>
  <si>
    <t>AY:BB</t>
  </si>
  <si>
    <t>KG ; G ; L ; CL…</t>
  </si>
  <si>
    <t>Le moteur utilise cette table pour identifier la famille, le coefficient et l'unité de base.</t>
  </si>
  <si>
    <t>Règle</t>
  </si>
  <si>
    <t>Décimales</t>
  </si>
  <si>
    <t>AE / AD</t>
  </si>
  <si>
    <t>1.5 et non 1,5</t>
  </si>
  <si>
    <t>Utiliser le point pour les décimales afin d'éviter qu'Excel ne considère certaines saisies comme du texte.</t>
  </si>
  <si>
    <t>7</t>
  </si>
  <si>
    <t>* = allergène repéré. ? = information à rechercher ou à vérifier sur la fiche produit, l’étiquetage ou la documentation fournisseur.</t>
  </si>
  <si>
    <t>5 — LIRE LES COLONNES CALCULÉES</t>
  </si>
  <si>
    <t>Calculée</t>
  </si>
  <si>
    <t>Qté utilisée</t>
  </si>
  <si>
    <t>AG</t>
  </si>
  <si>
    <t>14</t>
  </si>
  <si>
    <t>Quantité retenue par le moteur après lecture de AD ou correction en AE.</t>
  </si>
  <si>
    <t>POINTS DE VIGILANCE</t>
  </si>
  <si>
    <t>Unité utilisée</t>
  </si>
  <si>
    <t>AH</t>
  </si>
  <si>
    <t>Unité retenue après lecture de AD ou correction en AF.</t>
  </si>
  <si>
    <t>Contrôle professionnel</t>
  </si>
  <si>
    <t>Une recette annoncée pour 100 couverts ne correspond pas automatiquement à 100 portions réellement servies : le grammage dépend du public et du contexte.</t>
  </si>
  <si>
    <t>AI</t>
  </si>
  <si>
    <t>MASSE / VOLUME / AUTRE</t>
  </si>
  <si>
    <t>Classe automatiquement l'unité pour appliquer la bonne conversion.</t>
  </si>
  <si>
    <t>Coefficient</t>
  </si>
  <si>
    <t>AJ</t>
  </si>
  <si>
    <t>0.001</t>
  </si>
  <si>
    <t>Coefficient de conversion vers l'unité de base.</t>
  </si>
  <si>
    <t>Qt. suffisante</t>
  </si>
  <si>
    <t>Cette mention exige une appréciation professionnelle ; elle ne peut pas être recalculée comme une quantité numérique.</t>
  </si>
  <si>
    <t>Qté convertie</t>
  </si>
  <si>
    <t>AK</t>
  </si>
  <si>
    <t>0.150</t>
  </si>
  <si>
    <t>Quantité convertie dans l'unité de base.</t>
  </si>
  <si>
    <t>Unité de base</t>
  </si>
  <si>
    <t>AL</t>
  </si>
  <si>
    <t>kg / L / autre</t>
  </si>
  <si>
    <t>Unité de référence utilisée par le moteur.</t>
  </si>
  <si>
    <t>Plausibilité</t>
  </si>
  <si>
    <t>Une quantité aberrante peut être reconnue techniquement et afficher « OK ». Toujours contrôler la fiche source, l’unité et l’ordre de grandeur.</t>
  </si>
  <si>
    <t>AM</t>
  </si>
  <si>
    <t>OK</t>
  </si>
  <si>
    <t>AM est la colonne à surveiller : elle indique si la quantité et l'unité sont techniquement reconnues.</t>
  </si>
  <si>
    <t>6 — INTERPRÉTER LE CONTRÔLE</t>
  </si>
  <si>
    <t>Exemple du classeur</t>
  </si>
  <si>
    <t>La recette 2 contient actuellement « Sucre glace ? — 600 kg ». Le moteur reconnaît l’unité, mais cette valeur doit être vérifiée avec la source : c’est un bon exercice de contrôle CFA.</t>
  </si>
  <si>
    <t>La quantité et l'unité sont reconnues. Cela ne garantit pas que la valeur soit cohérente avec la fiche source.</t>
  </si>
  <si>
    <t>TEXTE</t>
  </si>
  <si>
    <t>La quantité n'a pas été reconnue : contrôler AD, puis utiliser AE et AF si nécessaire.</t>
  </si>
  <si>
    <t>Protection</t>
  </si>
  <si>
    <t>Ne pas remplacer les cellules de calcul par des saisies manuelles. Conserver le référentiel d’unités AY:BB et la zone technique des recettes.</t>
  </si>
  <si>
    <t>UNITÉ À CONTRÔLER</t>
  </si>
  <si>
    <t>La quantité est lisible mais l'unité n'est pas reconnue dans le référentiel.</t>
  </si>
  <si>
    <t>QUANTITÉ À CONTRÔLER</t>
  </si>
  <si>
    <t>L'unité peut être identifiée mais la quantité doit être vérifiée.</t>
  </si>
  <si>
    <t>EXERCICE CFA</t>
  </si>
  <si>
    <t>Métier</t>
  </si>
  <si>
    <t>Contrôle de cohérence</t>
  </si>
  <si>
    <t>Source</t>
  </si>
  <si>
    <t>ex. 600 KG ?</t>
  </si>
  <si>
    <t>Toujours comparer avec la fiche source : « OK » valide le format, pas la vraisemblance métier.</t>
  </si>
  <si>
    <t>Situation</t>
  </si>
  <si>
    <t>Choisir une recette. Effectuer d’abord un calcul par couverts, puis un calcul par élément principal. Comparer les deux résultats et expliquer les écarts éventuels.</t>
  </si>
  <si>
    <t>7 — RÈGLES D'AFFICHAGE</t>
  </si>
  <si>
    <t>Conversion</t>
  </si>
  <si>
    <t>Masse &lt; 1 kg</t>
  </si>
  <si>
    <t>0.250 kg → 250 g</t>
  </si>
  <si>
    <t>Les petites masses sont affichées en grammes.</t>
  </si>
  <si>
    <t>Repérer une ligne marquée ?, vérifier la source ou la fiche produit, puis justifier la décision professionnelle prise.</t>
  </si>
  <si>
    <t>Volume &lt; 1 L</t>
  </si>
  <si>
    <t>0.25 L → 25 cl</t>
  </si>
  <si>
    <t>Les petits volumes sont affichés en centilitres.</t>
  </si>
  <si>
    <t>Autres unités</t>
  </si>
  <si>
    <t>œuf(s), bac(s)…</t>
  </si>
  <si>
    <t>Les unités non convertibles en masse ou volume conservent leur unité métier.</t>
  </si>
  <si>
    <t>Vigilance</t>
  </si>
  <si>
    <t>Cette mention relève de l'appréciation professionnelle et n'est pas calculable numériquement.</t>
  </si>
  <si>
    <t>Pour info &gt; Correspondaces mesures Anglaises</t>
  </si>
  <si>
    <t>Consigne</t>
  </si>
  <si>
    <t xml:space="preserve">Numéro du bloc de recette. </t>
  </si>
  <si>
    <t>Ancienne formule AN</t>
  </si>
  <si>
    <t>ID fiche : saisir le numéro ou identifiant de la fiche source.</t>
  </si>
  <si>
    <t>SI($AE72&lt;&gt;"";$AE72;SI($AD72="";"";SI(ESTNUM($AD72);$AD72;SI(OU(GAUCHE(MAJUSCULE(SUPPRESPACE(SUBSTITUE(SUBSTITUE($AD72&amp;"";CAR(160);" ");" ";" ")));3)="QT.";GAUCHE(MAJUSCULE(SUPPRESPACE(SUBSTITUE(SUBSTITUE($AD72&amp;"";CAR(160);" ");" ";" ")));4)="QUAN");0;SIERREUR(SI(ESTNUM(CHERCHE("/";GAUCHE(SUPPRESPACE(SUBSTITUE(SUBSTITUE($AD72&amp;"";CAR(160);" ");" ";" "));TROUVE(" ";SUPPRESPACE(SUBSTITUE(SUBSTITUE($AD72&amp;"";CAR(160);" ");" ";" "))&amp;" ")-1)));CNUM(GAUCHE(GAUCHE(SUPPRESPACE(SUBSTITUE(SUBSTITUE($AD72&amp;"";CAR(160);" ");" ";" "));TROUVE(" ";SUPPRESPACE(SUBSTITUE(SUBSTITUE($AD72&amp;"";CAR(160);" ");" ";" "))&amp;" ")-1);CHERCHE("/";GAUCHE(SUPPRESPACE(SUBSTITUE(SUBSTITUE($AD72&amp;"";CAR(160);" ");" ";" "));TROUVE(" ";SUPPRESPACE(SUBSTITUE(SUBSTITUE($AD72&amp;"";CAR(160);" ");" ";" "))&amp;" ")-1))-1))/CNUM(STXT(GAUCHE(SUPPRESPACE(SUBSTITUE(SUBSTITUE($AD72&amp;"";CAR(160);" ");" ";" "));TROUVE(" ";SUPPRESPACE(SUBSTITUE(SUBSTITUE($AD72&amp;"";CAR(160);" ");" ";" "))&amp;" ")-1);CHERCHE("/";GAUCHE(SUPPRESPACE(SUBSTITUE(SUBSTITUE($AD72&amp;"";CAR(160);" ");" ";" "));TROUVE(" ";SUPPRESPACE(SUBSTITUE(SUBSTITUE($AD72&amp;"";CAR(160);" ");" ";" "))&amp;" ")-1))+1;99));SI(ESTNUM(CHERCHE(",";GAUCHE(SUPPRESPACE(SUBSTITUE(SUBSTITUE($AD72&amp;"";CAR(160);" ");" ";" "));TROUVE(" ";SUPPRESPACE(SUBSTITUE(SUBSTITUE($AD72&amp;"";CAR(160);" ");" ";" "))&amp;" ")-1)));CNUM(GAUCHE(GAUCHE(SUPPRESPACE(SUBSTITUE(SUBSTITUE($AD72&amp;"";CAR(160);" ");" ";" "));TROUVE(" ";SUPPRESPACE(SUBSTITUE(SUBSTITUE($AD72&amp;"";CAR(160);" ");" ";" "))&amp;" ")-1);CHERCHE(",";GAUCHE(SUPPRESPACE(SUBSTITUE(SUBSTITUE($AD72&amp;"";CAR(160);" ");" ";" "));TROUVE(" ";SUPPRESPACE(SUBSTITUE(SUBSTITUE($AD72&amp;"";CAR(160);" ");" ";" "))&amp;" ")-1))-1))+CNUM(STXT(GAUCHE(SUPPRESPACE(SUBSTITUE(SUBSTITUE($AD72&amp;"";CAR(160);" ");" ";" "));TROUVE(" ";SUPPRESPACE(SUBSTITUE(SUBSTITUE($AD72&amp;"";CAR(160);" ");" ";" "))&amp;" ")-1);CHERCHE(",";GAUCHE(SUPPRESPACE(SUBSTITUE(SUBSTITUE($AD72&amp;"";CAR(160);" ");" ";" "));TROUVE(" ";SUPPRESPACE(SUBSTITUE(SUBSTITUE($AD72&amp;"";CAR(160);" ");" ";" "))&amp;" ")-1))+1;99))/10^NBCAR(STXT(GAUCHE(SUPPRESPACE(SUBSTITUE(SUBSTITUE($AD72&amp;"";CAR(160);" ");" ";" "));TROUVE(" ";SUPPRESPACE(SUBSTITUE(SUBSTITUE($AD72&amp;"";CAR(160);" ");" ";" "))&amp;" ")-1);CHERCHE(",";GAUCHE(SUPPRESPACE(SUBSTITUE(SUBSTITUE($AD72&amp;"";CAR(160);" ");" ";" "));TROUVE(" ";SUPPRESPACE(SUBSTITUE(SUBSTITUE($AD72&amp;"";CAR(160);" ");" ";" "))&amp;" ")-1))+1;99));SI(ESTNUM(CHERCHE(".";GAUCHE(SUPPRESPACE(SUBSTITUE(SUBSTITUE($AD72&amp;"";CAR(160);" ");" ";" "));TROUVE(" ";SUPPRESPACE(SUBSTITUE(SUBSTITUE($AD72&amp;"";CAR(160);" ");" ";" "))&amp;" ")-1)));CNUM(GAUCHE(GAUCHE(SUPPRESPACE(SUBSTITUE(SUBSTITUE($AD72&amp;"";CAR(160);" ");" ";" "));TROUVE(" ";SUPPRESPACE(SUBSTITUE(SUBSTITUE($AD72&amp;"";CAR(160);" ");" ";" "))&amp;" ")-1);CHERCHE(".";GAUCHE(SUPPRESPACE(SUBSTITUE(SUBSTITUE($AD72&amp;"";CAR(160);" ");" ";" "));TROUVE(" ";SUPPRESPACE(SUBSTITUE(SUBSTITUE($AD72&amp;"";CAR(160);" ");" ";" "))&amp;" ")-1))-1))+CNUM(STXT(GAUCHE(SUPPRESPACE(SUBSTITUE(SUBSTITUE($AD72&amp;"";CAR(160);" ");" ";" "));TROUVE(" ";SUPPRESPACE(SUBSTITUE(SUBSTITUE($AD72&amp;"";CAR(160);" ");" ";" "))&amp;" ")-1);CHERCHE(".";GAUCHE(SUPPRESPACE(SUBSTITUE(SUBSTITUE($AD72&amp;"";CAR(160);" ");" ";" "));TROUVE(" ";SUPPRESPACE(SUBSTITUE(SUBSTITUE($AD72&amp;"";CAR(160);" ");" ";" "))&amp;" ")-1))+1;99))/10^NBCAR(STXT(GAUCHE(SUPPRESPACE(SUBSTITUE(SUBSTITUE($AD72&amp;"";CAR(160);" ");" ";" "));TROUVE(" ";SUPPRESPACE(SUBSTITUE(SUBSTITUE($AD72&amp;"";CAR(160);" ");" ";" "))&amp;" ")-1);CHERCHE(".";GAUCHE(SUPPRESPACE(SUBSTITUE(SUBSTITUE($AD72&amp;"";CAR(160);" ");" ";" "));TROUVE(" ";SUPPRESPACE(SUBSTITUE(SUBSTITUE($AD72&amp;"";CAR(160);" ");" ";" "))&amp;" ")-1))+1;99));CNUM(GAUCHE(SUPPRESPACE(SUBSTITUE(SUBSTITUE($AD72&amp;"";CAR(160);" ");" ";" "));TROUVE(" ";SUPPRESPACE(SUBSTITUE(SUBSTITUE($AD72&amp;"";CAR(160);" ");" ";" "))&amp;" ")-1)))));"")))))</t>
  </si>
  <si>
    <t>Recette : saisir le nom complet de la recette.</t>
  </si>
  <si>
    <t>Page : saisir la page de la source afin de permettre un contrôle ultérieur.</t>
  </si>
  <si>
    <t>Contrôle attendu : chaque ligne renseignée doit afficher « OK ». Les mentions « A CONTROLER » correspondent à une donnée source incomplète ou purement textuelle.</t>
  </si>
  <si>
    <t>Nombre de couverts prévu par l’auteur.</t>
  </si>
  <si>
    <t>Numérotation automatique : ne rien saisir.</t>
  </si>
  <si>
    <t>5. VÉRIFIER AVANT UTILISATION OU IMPRESSION</t>
  </si>
  <si>
    <t>Groupe ou sous-recette facultatif, par exemple une variante ou une préparation intermédiaire.</t>
  </si>
  <si>
    <t>1. Vérifier le numéro de recette et le nom affiché.
2. Contrôler la quantité principale ou le nombre de couverts saisi.
3. Comparer les deux modes lorsqu’ils sont utilisés simultanément.
4. Lire la colonne Contrôle avant de préparer la fiche de production.</t>
  </si>
  <si>
    <t>Saisir la denrée ou le matériel. C’est AC —qui contient la denrée.</t>
  </si>
  <si>
    <t>Saisir de préférence « nombre + espace + unité » : 14 KG ; 250 G ; 1.5 L. Pour les décimales, utiliser le point.</t>
  </si>
  <si>
    <t>Si AD n’est pas reconnu, saisir ici uniquement la quantité numérique.</t>
  </si>
  <si>
    <t>Si nécessaire, coller l’unité officielle. Utiliser le référentiel d’unités AY:BB ; les exemples de matériels R:T peuvent servir de base.</t>
  </si>
  <si>
    <t>AG:AL</t>
  </si>
  <si>
    <t>Colonnes calculées : quantité utilisée, unité utilisée, famille, coefficient, quantité convertie et unité de base. Ne pas les écraser.</t>
  </si>
  <si>
    <t>AM est la colonne de contrôle. « OK » signifie que le format et l’unité ont été reconnus ; ce n’est pas une validation de cohérence métier.</t>
  </si>
  <si>
    <t>Nouvelle formule AN =SI($AE72&lt;&gt;"";$AE72;SI($AD72="";"";SI(ESTNUM($AD72);$AD72;SI($AN72="QT";0;SI($AN72="";"";SIERREUR(SI(ESTNUM(CHERCHE("/";$AN72));CNUM(SUPPRESPACE(GAUCHE($AN72;CHERCHE("/";$AN72)-1)))/CNUM(SUPPRESPACE(STXT($AN72;CHERCHE("/";$AN72)+1;99)));CNUM(SUBSTITUE($AN72;".";",")));""))))))</t>
  </si>
  <si>
    <t xml:space="preserve">Colonnes AD et AE  Pour saisir des décimales, utilisez le point (.). </t>
  </si>
  <si>
    <t>A Copier / Coller colonne AC</t>
  </si>
  <si>
    <t>Une virgule (,) sera interprétée comme du texte colonne AM</t>
  </si>
  <si>
    <t>AN formule simplifiée scindée en AO : AU</t>
  </si>
  <si>
    <t>UNITÉ OFFICIELLE</t>
  </si>
  <si>
    <t>ZONE TECHNIQUE — DONNÉES FIXES DES 10 RECETTES — NE PAS MODIFIER</t>
  </si>
  <si>
    <t>VOUS POUVEZ MASQUER CES COLONNES</t>
  </si>
  <si>
    <t>Coller colonne AF</t>
  </si>
  <si>
    <t>Saisie d’origine</t>
  </si>
  <si>
    <t>Qté nettoyée</t>
  </si>
  <si>
    <t>Qté brute extraite</t>
  </si>
  <si>
    <t>Unité extraite de AD</t>
  </si>
  <si>
    <t>RÉFÉRENTIEL</t>
  </si>
  <si>
    <t>UNITÉS</t>
  </si>
  <si>
    <t>N° 00 ?</t>
  </si>
  <si>
    <t>Saisissez votre recette X72</t>
  </si>
  <si>
    <t>ÉLÉMENT PRINCIPAL AC72</t>
  </si>
  <si>
    <t>COEFFICIENT</t>
  </si>
  <si>
    <t>AFFICHAGE BASE</t>
  </si>
  <si>
    <t>BOUTEILLE(S)</t>
  </si>
  <si>
    <t>bouteille(s)</t>
  </si>
  <si>
    <t>BOITE(S)</t>
  </si>
  <si>
    <t>boite(s)</t>
  </si>
  <si>
    <t>BLANC(S) D'ŒUF</t>
  </si>
  <si>
    <t>blanc(s) d'œuf</t>
  </si>
  <si>
    <t>JAUNE(S) D'ŒUF</t>
  </si>
  <si>
    <t>jaune(s) d'œuf</t>
  </si>
  <si>
    <t>Saisissez votre recette X108</t>
  </si>
  <si>
    <t>ÉLÉMENT PRINCIPAL AC108</t>
  </si>
  <si>
    <t>BRANCHE(S)</t>
  </si>
  <si>
    <t>branche(s)</t>
  </si>
  <si>
    <t>GOUSSE(S)</t>
  </si>
  <si>
    <t>gousse(s)</t>
  </si>
  <si>
    <t>TRANCHE(S)</t>
  </si>
  <si>
    <t>tranche(s)</t>
  </si>
  <si>
    <t>PINCÉE(S)</t>
  </si>
  <si>
    <t>pincée(s)</t>
  </si>
  <si>
    <t>ZESTE(S)</t>
  </si>
  <si>
    <t>zeste(s)</t>
  </si>
  <si>
    <t>MOULE(S)</t>
  </si>
  <si>
    <t>moule(s)</t>
  </si>
  <si>
    <t>EGOUTTOIR(S)</t>
  </si>
  <si>
    <t>égouttoir(s)</t>
  </si>
  <si>
    <t>Saisissez votre recette X144</t>
  </si>
  <si>
    <t>ÉLÉMENT PRINCIPAL AC144</t>
  </si>
  <si>
    <t>Saisissez votre recette X180</t>
  </si>
  <si>
    <t>ÉLÉMENT PRINCIPAL AC180</t>
  </si>
  <si>
    <t>Saisissez votre recette X216</t>
  </si>
  <si>
    <t>ÉLÉMENT PRINCIPAL AC216</t>
  </si>
  <si>
    <t>Saisissez votre recette X252</t>
  </si>
  <si>
    <t>ÉLÉMENT PRINCIPAL AC252</t>
  </si>
  <si>
    <t>Saisissez votre recette X288</t>
  </si>
  <si>
    <t>ÉLÉMENT PRINCIPAL AC288</t>
  </si>
  <si>
    <t>N°00 ?</t>
  </si>
  <si>
    <t>Saisissez votre recette X324</t>
  </si>
  <si>
    <t>ÉLÉMENT PRINCIPAL AC324</t>
  </si>
  <si>
    <t>Saisissez votre recette X360</t>
  </si>
  <si>
    <t>ÉLÉMENT PRINCIPAL AC360</t>
  </si>
  <si>
    <t>Saisissez votre recette X396</t>
  </si>
  <si>
    <t>ÉLÉMENT PRINCIPAL AC396</t>
  </si>
  <si>
    <t>Ne pas supprimer</t>
  </si>
  <si>
    <t>Saisir ▲ B13</t>
  </si>
  <si>
    <t xml:space="preserve">Saisir ▲ C13 </t>
  </si>
  <si>
    <t>Saisir G12 ►</t>
  </si>
  <si>
    <t>N° de recette ►</t>
  </si>
  <si>
    <t>Copier dans la barre de formules colonne AD</t>
  </si>
  <si>
    <t>4 terrines jetables en aluminium de 250 x 75 x 75</t>
  </si>
  <si>
    <t>2 bac(s) GN 2/1 H 200 en polycarbonate</t>
  </si>
  <si>
    <t>1 grille(s) égouttoir</t>
  </si>
  <si>
    <t>2 bac(s) GN 1/1 H 45 perforé(s)</t>
  </si>
  <si>
    <t>2 bac(s) GN 1/1 H 25 plein(s)</t>
  </si>
  <si>
    <t>1 bac(s) GN 2/1 H 200 en polycarbonate</t>
  </si>
  <si>
    <t>1 bac(s) GN 1/1 H25 perforé(s)</t>
  </si>
  <si>
    <t>4 bac(s) GN 1/1 H 45 perforé(s)</t>
  </si>
  <si>
    <t>6 bac(s) GN 1/1 H 25 plein(s)</t>
  </si>
  <si>
    <t>1 bac(s) GN 1/1 H 200 plein(s)</t>
  </si>
  <si>
    <t>2 bac(s) GN 1/1 H 100 perforé(s)</t>
  </si>
  <si>
    <t>2 bac(s) GN 1/1 H 45 plein(s)</t>
  </si>
  <si>
    <t>3 bac(s) GN 1/1 H 45 plein(s)</t>
  </si>
  <si>
    <t>2 bac(s) GN 1/1 H 100 plein(s)</t>
  </si>
  <si>
    <t>3 bac(s) GN 1/1 H 65 perforé(s)</t>
  </si>
  <si>
    <t>1 bac(s) GN 1/1 H 65 plein(s)</t>
  </si>
  <si>
    <t>N° 30</t>
  </si>
  <si>
    <t>dorure</t>
  </si>
  <si>
    <t>N° 04</t>
  </si>
  <si>
    <t>R</t>
  </si>
  <si>
    <t>T</t>
  </si>
  <si>
    <t>AN</t>
  </si>
  <si>
    <t>AO</t>
  </si>
  <si>
    <t>AP</t>
  </si>
  <si>
    <t>AQ</t>
  </si>
  <si>
    <t>AR</t>
  </si>
  <si>
    <t>AS</t>
  </si>
  <si>
    <t>AT</t>
  </si>
  <si>
    <t>AU</t>
  </si>
  <si>
    <t>AY70</t>
  </si>
  <si>
    <t>BB120</t>
  </si>
  <si>
    <t>SI($AE72&lt;&gt;"";$AE72;SI($AD72="";"";SI(ESTNUM($AD72);$AD72;SI($AO72="QT";0;SI($AO72="";"";SIERREUR(SI(ESTNUM(CHERCHE("/";$AO72));CNUM(SUPPRESPACE(GAUCHE($AO72;CHERCHE("/";$AO72)-1)))/CNUM(SUPPRESPACE(STXT($AO72;CHERCHE("/";$AO72)+1;99)));CNUM(SUBSTITUE($AO72;".";",")));""))))))</t>
  </si>
  <si>
    <t>SI($AD72="";"";SI(ESTNUM($AD72);$AD72;SI(OU(GAUCHE($AQ72;3)="QT.";GAUCHE($AQ72;4)="QUAN");"QT";SI($AR72=999;$AQ72;SUPPRESPACE(GAUCHE($AQ72;$AR72-1))))))</t>
  </si>
  <si>
    <t>SI($AD72="";"";SI(ESTNUM($AD72);"";SI(OU(GAUCHE($AQ72;3)="QT.";GAUCHE($AQ72;4)="QUAN");"QT. SUFFISANTE";SI($AO72="";"";SUPPRESPACE(STXT($AQ72;NBCAR($AO72&amp;"")+1;999))))))</t>
  </si>
  <si>
    <t>SI($AD72="";"";MAJUSCULE(SUPPRESPACE(SUBSTITUE(SUBSTITUE($AD72&amp;"";CAR(160);" ");" ";" "))))</t>
  </si>
  <si>
    <t>SI($AQ72="";"";MIN($AS72;$AT72;$AU72))</t>
  </si>
  <si>
    <t>SI($AQ72="";"";MIN(SIERREUR(CHERCHE("A";$AQ72);999);SIERREUR(CHERCHE("B";$AQ72);999);SIERREUR(CHERCHE("C";$AQ72);999);SIERREUR(CHERCHE("D";$AQ72);999);SIERREUR(CHERCHE("E";$AQ72);999);SIERREUR(CHERCHE("F";$AQ72);999);SIERREUR(CHERCHE("G";$AQ72);999);SIERREUR(CHERCHE("H";$AQ72);999);SIERREUR(CHERCHE("I";$AQ72);999)))</t>
  </si>
  <si>
    <t>SI($AQ72="";"";MIN(SIERREUR(CHERCHE("J";$AQ72);999);SIERREUR(CHERCHE("K";$AQ72);999);SIERREUR(CHERCHE("L";$AQ72);999);SIERREUR(CHERCHE("M";$AQ72);999);SIERREUR(CHERCHE("N";$AQ72);999);SIERREUR(CHERCHE("O";$AQ72);999);SIERREUR(CHERCHE("P";$AQ72);999);SIERREUR(CHERCHE("Q";$AQ72);999);SIERREUR(CHERCHE("R";$AQ72);999)))</t>
  </si>
  <si>
    <t>SI($AQ72="";"";MIN(SIERREUR(CHERCHE("S";$AQ72);999);SIERREUR(CHERCHE("T";$AQ72);999);SIERREUR(CHERCHE("U";$AQ72);999);SIERREUR(CHERCHE("V";$AQ72);999);SIERREUR(CHERCHE("W";$AQ72);999);SIERREUR(CHERCHE("X";$AQ72);999);SIERREUR(CHERCHE("Y";$AQ72);999);SIERREUR(CHERCHE("Z";$AQ72);999)))</t>
  </si>
  <si>
    <t>SI($AC72="";"";SI(NBCAR($AN72&amp;"")=0;"";$AN72))</t>
  </si>
  <si>
    <t>SI($AC72="";"";SI($AF72&lt;&gt;"";MAJUSCULE(SUPPRESPACE(SUBSTITUE(SUBSTITUE($AF72&amp;"";CAR(160);" ");" ";" ")));$AP72))</t>
  </si>
  <si>
    <t>SI($AC$72="";"";SIERREUR(INDEX($AZ$74:$AZ$119;EQUIV($AH$72;$AY$74:$AY$119;0));"AUTRE"))</t>
  </si>
  <si>
    <t>SI($AC$72="";"";SIERREUR(INDEX($BA$74:$BA$119;EQUIV($AH$72;$AY$74:$AY$119;0));1))</t>
  </si>
  <si>
    <t>SI(OU(AG72="";AJ72="");"";AG72*AJ72)</t>
  </si>
  <si>
    <t>SI($AC$72="";"";SIERREUR(INDEX($BB$74:$BB$119;EQUIV($AH$72;$AY$74:$AY$119;0));$AH$72))</t>
  </si>
  <si>
    <t>SI($AC72="";"";SI($AH72="QT. SUFFISANTE";"OK";SI($AG72="";"TEXTE";SI(NON(ESTNUM($AG72));"QUANTITÉ À CONTRÔLER";SI(NB.SI($AY$74:$AY$119;$AH72)=0;"UNITÉ À CONTRÔLER";"OK")))))</t>
  </si>
  <si>
    <t>COMMENT SAISIR LES DONNÉES - Voir colonne AD</t>
  </si>
  <si>
    <t>⓪①②③④⑤⑥⑦⑧⑨⑩⑪⑫⑬⑭⑮⑯⑰⑱⑲⑳ ' ! " # &amp;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</si>
</sst>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00"/>
  </numFmts>
  <fonts count="117" x14ac:knownFonts="1">
    <font>
      <sz val="11"/>
      <color theme="1"/>
      <name val="Calibri"/>
      <family val="2"/>
      <scheme val="minor"/>
    </font>
    <font>
      <sz val="11"/>
      <color theme="1"/>
      <name val="Calibri"/>
      <family val="2"/>
      <scheme val="minor"/>
    </font>
    <font>
      <sz val="11"/>
      <name val="Carlito"/>
      <family val="2"/>
    </font>
    <font>
      <sz val="11"/>
      <name val="Calibri"/>
      <family val="2"/>
    </font>
    <font>
      <sz val="10"/>
      <name val="Arial"/>
      <family val="2"/>
    </font>
    <font>
      <sz val="12"/>
      <name val="Calibri"/>
      <family val="2"/>
    </font>
    <font>
      <b/>
      <sz val="18"/>
      <color rgb="FFFFFFFF"/>
      <name val="Calibri"/>
      <family val="2"/>
    </font>
    <font>
      <b/>
      <sz val="14"/>
      <color rgb="FFFFFFFF"/>
      <name val="Calibri"/>
      <family val="2"/>
    </font>
    <font>
      <b/>
      <sz val="16"/>
      <color theme="1"/>
      <name val="Calibri"/>
      <family val="2"/>
    </font>
    <font>
      <sz val="12"/>
      <color theme="1"/>
      <name val="Calibri"/>
      <family val="2"/>
      <scheme val="minor"/>
    </font>
    <font>
      <sz val="11"/>
      <color rgb="FF0070C0"/>
      <name val="Calibri"/>
      <family val="2"/>
    </font>
    <font>
      <b/>
      <sz val="14"/>
      <name val="Calibri"/>
      <family val="2"/>
    </font>
    <font>
      <b/>
      <sz val="14"/>
      <color rgb="FF0033CC"/>
      <name val="Calibri"/>
      <family val="2"/>
    </font>
    <font>
      <b/>
      <sz val="16"/>
      <name val="Calibri"/>
      <family val="2"/>
    </font>
    <font>
      <b/>
      <sz val="11"/>
      <name val="Calibri"/>
      <family val="2"/>
    </font>
    <font>
      <b/>
      <sz val="12"/>
      <name val="Calibri"/>
      <family val="2"/>
    </font>
    <font>
      <b/>
      <sz val="12"/>
      <color rgb="FFFFFFFF"/>
      <name val="Calibri"/>
      <family val="2"/>
    </font>
    <font>
      <b/>
      <sz val="11"/>
      <color rgb="FFFFFFFF"/>
      <name val="Calibri"/>
      <family val="2"/>
    </font>
    <font>
      <b/>
      <sz val="18"/>
      <name val="Calibri"/>
      <family val="2"/>
    </font>
    <font>
      <b/>
      <sz val="14"/>
      <color rgb="FF0000FF"/>
      <name val="Calibri"/>
      <family val="2"/>
    </font>
    <font>
      <b/>
      <sz val="14"/>
      <color rgb="FFC00000"/>
      <name val="Calibri"/>
      <family val="2"/>
    </font>
    <font>
      <sz val="11"/>
      <color theme="9" tint="-0.49986266670735802"/>
      <name val="Calibri"/>
      <family val="2"/>
    </font>
    <font>
      <b/>
      <sz val="12"/>
      <color rgb="FF0033CC"/>
      <name val="Calibri"/>
      <family val="2"/>
    </font>
    <font>
      <sz val="10"/>
      <name val="Calibri"/>
      <family val="2"/>
    </font>
    <font>
      <sz val="12"/>
      <color rgb="FF0000FF"/>
      <name val="Calibri"/>
      <family val="2"/>
    </font>
    <font>
      <sz val="10"/>
      <color rgb="FFC00000"/>
      <name val="Calibri"/>
      <family val="2"/>
    </font>
    <font>
      <sz val="11"/>
      <color theme="1"/>
      <name val="Calibri"/>
      <family val="2"/>
    </font>
    <font>
      <b/>
      <sz val="18"/>
      <color theme="0"/>
      <name val="Calibri"/>
      <family val="2"/>
    </font>
    <font>
      <b/>
      <sz val="12"/>
      <color theme="1"/>
      <name val="Calibri"/>
      <family val="2"/>
    </font>
    <font>
      <b/>
      <sz val="9"/>
      <color rgb="FFFFFFFF"/>
      <name val="Calibri"/>
      <family val="2"/>
    </font>
    <font>
      <b/>
      <sz val="12"/>
      <color rgb="FFC00000"/>
      <name val="Calibri"/>
      <family val="2"/>
    </font>
    <font>
      <b/>
      <sz val="12"/>
      <color rgb="FF0000FF"/>
      <name val="Calibri"/>
      <family val="2"/>
    </font>
    <font>
      <b/>
      <sz val="11"/>
      <color theme="1"/>
      <name val="Calibri"/>
      <family val="2"/>
    </font>
    <font>
      <sz val="12"/>
      <color theme="1"/>
      <name val="Calibri"/>
      <family val="2"/>
    </font>
    <font>
      <b/>
      <sz val="12"/>
      <color rgb="FF000000"/>
      <name val="Calibri"/>
      <family val="2"/>
    </font>
    <font>
      <sz val="12"/>
      <color rgb="FF0033CC"/>
      <name val="Calibri"/>
      <family val="2"/>
    </font>
    <font>
      <sz val="11"/>
      <color theme="9" tint="-0.49967955565050204"/>
      <name val="Calibri"/>
      <family val="2"/>
    </font>
    <font>
      <sz val="11"/>
      <color rgb="FF7030A0"/>
      <name val="Calibri"/>
      <family val="2"/>
    </font>
    <font>
      <b/>
      <sz val="20"/>
      <color rgb="FFFFFFFF"/>
      <name val="Calibri"/>
      <family val="2"/>
    </font>
    <font>
      <i/>
      <sz val="12"/>
      <name val="Calibri"/>
      <family val="2"/>
    </font>
    <font>
      <i/>
      <sz val="10"/>
      <name val="Calibri"/>
      <family val="2"/>
    </font>
    <font>
      <b/>
      <sz val="14"/>
      <color theme="0"/>
      <name val="Calibri"/>
      <family val="2"/>
    </font>
    <font>
      <sz val="8"/>
      <color theme="0"/>
      <name val="Calibri"/>
      <family val="2"/>
    </font>
    <font>
      <b/>
      <sz val="11"/>
      <color theme="0"/>
      <name val="Calibri"/>
      <family val="2"/>
    </font>
    <font>
      <b/>
      <sz val="14"/>
      <color theme="6" tint="-0.49986266670735802"/>
      <name val="Calibri"/>
      <family val="2"/>
    </font>
    <font>
      <sz val="14"/>
      <name val="Calibri"/>
      <family val="2"/>
    </font>
    <font>
      <sz val="10"/>
      <color theme="0"/>
      <name val="Calibri"/>
      <family val="2"/>
    </font>
    <font>
      <sz val="12"/>
      <color theme="0"/>
      <name val="Calibri"/>
      <family val="2"/>
    </font>
    <font>
      <sz val="10"/>
      <color theme="1"/>
      <name val="Calibri"/>
      <family val="2"/>
      <scheme val="minor"/>
    </font>
    <font>
      <b/>
      <sz val="11"/>
      <color theme="1"/>
      <name val="Calibri"/>
      <family val="2"/>
      <scheme val="minor"/>
    </font>
    <font>
      <sz val="11"/>
      <color theme="0"/>
      <name val="Calibri"/>
      <family val="2"/>
      <scheme val="minor"/>
    </font>
    <font>
      <sz val="12"/>
      <color rgb="FF1F2937"/>
      <name val="Calibri"/>
      <family val="2"/>
    </font>
    <font>
      <sz val="8"/>
      <color theme="0"/>
      <name val="Calibri"/>
      <family val="2"/>
      <scheme val="minor"/>
    </font>
    <font>
      <b/>
      <sz val="14"/>
      <color rgb="FF9C6500"/>
      <name val="Calibri"/>
      <family val="2"/>
    </font>
    <font>
      <b/>
      <i/>
      <sz val="12"/>
      <color rgb="FFC00000"/>
      <name val="Calibri"/>
      <family val="2"/>
    </font>
    <font>
      <b/>
      <sz val="12"/>
      <color rgb="FF9C6500"/>
      <name val="Calibri"/>
      <family val="2"/>
    </font>
    <font>
      <u/>
      <sz val="11"/>
      <color theme="10"/>
      <name val="Calibri"/>
      <family val="2"/>
      <scheme val="minor"/>
    </font>
    <font>
      <b/>
      <sz val="12"/>
      <color rgb="FFFF0000"/>
      <name val="Calibri"/>
      <family val="2"/>
    </font>
    <font>
      <b/>
      <sz val="11"/>
      <color rgb="FF0033CC"/>
      <name val="Calibri"/>
      <family val="2"/>
      <scheme val="minor"/>
    </font>
    <font>
      <sz val="11"/>
      <color rgb="FF0033CC"/>
      <name val="Carlito"/>
      <family val="2"/>
    </font>
    <font>
      <b/>
      <sz val="16"/>
      <color rgb="FFFFFFFF"/>
      <name val="Calibri"/>
      <family val="2"/>
    </font>
    <font>
      <b/>
      <sz val="12"/>
      <color theme="9" tint="-0.249977111117893"/>
      <name val="Calibri"/>
      <family val="2"/>
      <scheme val="minor"/>
    </font>
    <font>
      <sz val="26"/>
      <name val="Calibri"/>
      <family val="2"/>
      <scheme val="minor"/>
    </font>
    <font>
      <sz val="10"/>
      <color rgb="FF111827"/>
      <name val="Calibri"/>
      <family val="2"/>
    </font>
    <font>
      <sz val="12"/>
      <color rgb="FF0000FF"/>
      <name val="Calibri"/>
      <family val="2"/>
      <scheme val="minor"/>
    </font>
    <font>
      <b/>
      <sz val="12"/>
      <color rgb="FF0000FF"/>
      <name val="Calibri"/>
      <family val="2"/>
      <scheme val="minor"/>
    </font>
    <font>
      <b/>
      <sz val="14"/>
      <color rgb="FF0000FF"/>
      <name val="Calibri"/>
      <family val="2"/>
      <scheme val="minor"/>
    </font>
    <font>
      <b/>
      <sz val="14"/>
      <color theme="9" tint="-0.249977111117893"/>
      <name val="Calibri"/>
      <family val="2"/>
      <scheme val="minor"/>
    </font>
    <font>
      <sz val="11"/>
      <color theme="9" tint="-0.249977111117893"/>
      <name val="Calibri"/>
      <family val="2"/>
      <scheme val="minor"/>
    </font>
    <font>
      <sz val="11"/>
      <color rgb="FF0000FF"/>
      <name val="Calibri"/>
      <family val="2"/>
      <scheme val="minor"/>
    </font>
    <font>
      <sz val="12"/>
      <color rgb="FFC00000"/>
      <name val="Calibri"/>
      <family val="2"/>
      <scheme val="minor"/>
    </font>
    <font>
      <sz val="11"/>
      <color rgb="FFC00000"/>
      <name val="Calibri"/>
      <family val="2"/>
      <scheme val="minor"/>
    </font>
    <font>
      <b/>
      <sz val="12"/>
      <color theme="1" tint="0.499984740745262"/>
      <name val="Calibri"/>
      <family val="2"/>
      <scheme val="minor"/>
    </font>
    <font>
      <b/>
      <sz val="13.5"/>
      <color theme="1"/>
      <name val="Calibri"/>
      <family val="2"/>
      <scheme val="minor"/>
    </font>
    <font>
      <b/>
      <sz val="10"/>
      <name val="Calibri"/>
      <family val="2"/>
      <scheme val="minor"/>
    </font>
    <font>
      <b/>
      <sz val="18"/>
      <color rgb="FF0033CC"/>
      <name val="Calibri"/>
      <family val="2"/>
    </font>
    <font>
      <b/>
      <sz val="18"/>
      <color rgb="FFC00000"/>
      <name val="Calibri"/>
      <family val="2"/>
    </font>
    <font>
      <b/>
      <sz val="13"/>
      <color rgb="FFFFFFFF"/>
      <name val="Calibri"/>
      <family val="2"/>
    </font>
    <font>
      <b/>
      <sz val="12"/>
      <color theme="1"/>
      <name val="Calibri"/>
      <family val="2"/>
      <scheme val="minor"/>
    </font>
    <font>
      <b/>
      <sz val="14"/>
      <color theme="1"/>
      <name val="Calibri"/>
      <family val="2"/>
      <scheme val="minor"/>
    </font>
    <font>
      <b/>
      <sz val="14"/>
      <color rgb="FF0033CC"/>
      <name val="Calibri"/>
      <family val="2"/>
      <scheme val="minor"/>
    </font>
    <font>
      <sz val="12"/>
      <color rgb="FF0033CC"/>
      <name val="Calibri"/>
      <family val="2"/>
      <scheme val="minor"/>
    </font>
    <font>
      <sz val="12"/>
      <color rgb="FF0033CC"/>
      <name val="Carlito"/>
      <family val="2"/>
    </font>
    <font>
      <b/>
      <sz val="16"/>
      <color rgb="FF0000FF"/>
      <name val="Carlito"/>
      <family val="2"/>
    </font>
    <font>
      <b/>
      <i/>
      <sz val="12"/>
      <name val="Calibri"/>
      <family val="2"/>
    </font>
    <font>
      <b/>
      <sz val="12"/>
      <color rgb="FF1F2937"/>
      <name val="Calibri"/>
      <family val="2"/>
    </font>
    <font>
      <b/>
      <sz val="14"/>
      <color rgb="FF8A4E3B"/>
      <name val="Calibri"/>
      <family val="2"/>
    </font>
    <font>
      <b/>
      <sz val="12"/>
      <color rgb="FF8A4E3B"/>
      <name val="Calibri"/>
      <family val="2"/>
    </font>
    <font>
      <b/>
      <sz val="14"/>
      <color rgb="FF002060"/>
      <name val="Calibri"/>
      <family val="2"/>
    </font>
    <font>
      <b/>
      <sz val="13"/>
      <color rgb="FF8A4E3B"/>
      <name val="Calibri"/>
      <family val="2"/>
    </font>
    <font>
      <b/>
      <sz val="10"/>
      <color rgb="FF1F2937"/>
      <name val="Calibri"/>
      <family val="2"/>
    </font>
    <font>
      <sz val="12"/>
      <color rgb="FF333333"/>
      <name val="Calibri"/>
      <family val="2"/>
    </font>
    <font>
      <b/>
      <sz val="12"/>
      <color rgb="FF333333"/>
      <name val="Calibri"/>
      <family val="2"/>
    </font>
    <font>
      <b/>
      <sz val="13"/>
      <color rgb="FF17365D"/>
      <name val="Calibri"/>
      <family val="2"/>
    </font>
    <font>
      <sz val="10"/>
      <color rgb="FF1F2937"/>
      <name val="Calibri"/>
      <family val="2"/>
    </font>
    <font>
      <b/>
      <sz val="12"/>
      <color theme="0"/>
      <name val="Calibri"/>
      <family val="2"/>
    </font>
    <font>
      <b/>
      <sz val="13"/>
      <color rgb="FF0033CC"/>
      <name val="Calibri"/>
      <family val="2"/>
    </font>
    <font>
      <b/>
      <sz val="13"/>
      <color rgb="FFC00000"/>
      <name val="Calibri"/>
      <family val="2"/>
    </font>
    <font>
      <i/>
      <sz val="11"/>
      <color rgb="FF1F2937"/>
      <name val="Calibri"/>
      <family val="2"/>
    </font>
    <font>
      <b/>
      <sz val="12"/>
      <color rgb="FF375623"/>
      <name val="Calibri"/>
      <family val="2"/>
    </font>
    <font>
      <i/>
      <sz val="12"/>
      <color rgb="FF1F2937"/>
      <name val="Calibri"/>
      <family val="2"/>
    </font>
    <font>
      <b/>
      <sz val="12"/>
      <color theme="9" tint="-0.49980162968840602"/>
      <name val="Calibri"/>
      <family val="2"/>
    </font>
    <font>
      <b/>
      <sz val="10"/>
      <name val="Carlito"/>
      <family val="2"/>
    </font>
    <font>
      <sz val="11"/>
      <color rgb="FF1F2937"/>
      <name val="Calibri"/>
      <family val="2"/>
    </font>
    <font>
      <sz val="9"/>
      <color rgb="FF666666"/>
      <name val="Calibri"/>
      <family val="2"/>
    </font>
    <font>
      <b/>
      <sz val="12"/>
      <color theme="9" tint="-0.49967955565050204"/>
      <name val="Calibri"/>
      <family val="2"/>
    </font>
    <font>
      <b/>
      <sz val="12"/>
      <color theme="5" tint="-0.499984740745262"/>
      <name val="Calibri"/>
      <family val="2"/>
    </font>
    <font>
      <b/>
      <sz val="12"/>
      <color rgb="FF7030A0"/>
      <name val="Calibri"/>
      <family val="2"/>
    </font>
    <font>
      <sz val="12"/>
      <color rgb="FFC00000"/>
      <name val="Calibri"/>
      <family val="2"/>
    </font>
    <font>
      <sz val="9"/>
      <name val="Calibri"/>
      <family val="2"/>
    </font>
    <font>
      <b/>
      <sz val="11"/>
      <color rgb="FF1F2937"/>
      <name val="Calibri"/>
      <family val="2"/>
    </font>
    <font>
      <sz val="12"/>
      <color rgb="FF000000"/>
      <name val="Calibri"/>
      <family val="2"/>
    </font>
    <font>
      <b/>
      <sz val="11"/>
      <name val="Carlito"/>
      <family val="2"/>
    </font>
    <font>
      <b/>
      <sz val="12"/>
      <color rgb="FF002060"/>
      <name val="Calibri"/>
      <family val="2"/>
    </font>
    <font>
      <sz val="10"/>
      <color rgb="FF4D4D4D"/>
      <name val="Calibri"/>
      <family val="2"/>
    </font>
    <font>
      <sz val="10"/>
      <color theme="9" tint="-0.49967955565050204"/>
      <name val="Calibri"/>
      <family val="2"/>
    </font>
    <font>
      <sz val="11"/>
      <color rgb="FF000000"/>
      <name val="Calibri"/>
      <family val="2"/>
    </font>
  </fonts>
  <fills count="106">
    <fill>
      <patternFill patternType="none"/>
    </fill>
    <fill>
      <patternFill patternType="gray125"/>
    </fill>
    <fill>
      <patternFill patternType="solid">
        <fgColor rgb="FFF2F2F2"/>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
      <patternFill patternType="solid">
        <fgColor rgb="FF1F4E78"/>
      </patternFill>
    </fill>
    <fill>
      <patternFill patternType="solid">
        <fgColor rgb="FFFFFF9B"/>
        <bgColor indexed="64"/>
      </patternFill>
    </fill>
    <fill>
      <patternFill patternType="solid">
        <fgColor rgb="FFBCE8AA"/>
        <bgColor indexed="64"/>
      </patternFill>
    </fill>
    <fill>
      <patternFill patternType="solid">
        <fgColor rgb="FFE7E6E6"/>
      </patternFill>
    </fill>
    <fill>
      <patternFill patternType="solid">
        <fgColor rgb="FFFFFFD9"/>
        <bgColor indexed="64"/>
      </patternFill>
    </fill>
    <fill>
      <patternFill patternType="solid">
        <fgColor theme="9" tint="0.79985961485641044"/>
        <bgColor indexed="65"/>
      </patternFill>
    </fill>
    <fill>
      <patternFill patternType="solid">
        <fgColor rgb="FF88CFEC"/>
        <bgColor indexed="64"/>
      </patternFill>
    </fill>
    <fill>
      <patternFill patternType="solid">
        <fgColor theme="4" tint="0.79985961485641044"/>
        <bgColor indexed="65"/>
      </patternFill>
    </fill>
    <fill>
      <patternFill patternType="solid">
        <fgColor rgb="FFA2DAF0"/>
        <bgColor indexed="64"/>
      </patternFill>
    </fill>
    <fill>
      <patternFill patternType="solid">
        <fgColor theme="0" tint="-0.14999847407452621"/>
        <bgColor indexed="65"/>
      </patternFill>
    </fill>
    <fill>
      <patternFill patternType="solid">
        <fgColor rgb="FFFFFF9B"/>
      </patternFill>
    </fill>
    <fill>
      <patternFill patternType="solid">
        <fgColor theme="0"/>
      </patternFill>
    </fill>
    <fill>
      <patternFill patternType="solid">
        <fgColor rgb="FFD9EAF7"/>
        <bgColor indexed="64"/>
      </patternFill>
    </fill>
    <fill>
      <patternFill patternType="solid">
        <fgColor rgb="FF8ED973"/>
        <bgColor indexed="64"/>
      </patternFill>
    </fill>
    <fill>
      <patternFill patternType="solid">
        <fgColor rgb="FFFFFF00"/>
      </patternFill>
    </fill>
    <fill>
      <patternFill patternType="solid">
        <fgColor rgb="FF2F75B5"/>
      </patternFill>
    </fill>
    <fill>
      <patternFill patternType="solid">
        <fgColor rgb="FFD9EAF7"/>
      </patternFill>
    </fill>
    <fill>
      <patternFill patternType="solid">
        <fgColor rgb="FFFFF2CC"/>
      </patternFill>
    </fill>
    <fill>
      <patternFill patternType="solid">
        <fgColor rgb="FFA9D18E"/>
      </patternFill>
    </fill>
    <fill>
      <patternFill patternType="solid">
        <fgColor rgb="FFBCE8AA"/>
      </patternFill>
    </fill>
    <fill>
      <patternFill patternType="solid">
        <fgColor rgb="FFE2F0D9"/>
      </patternFill>
    </fill>
    <fill>
      <patternFill patternType="solid">
        <fgColor rgb="FF88CFEC"/>
      </patternFill>
    </fill>
    <fill>
      <patternFill patternType="solid">
        <fgColor rgb="FFA2DAF0"/>
      </patternFill>
    </fill>
    <fill>
      <patternFill patternType="solid">
        <fgColor rgb="FF17365D"/>
      </patternFill>
    </fill>
    <fill>
      <patternFill patternType="solid">
        <fgColor rgb="FF548235"/>
      </patternFill>
    </fill>
    <fill>
      <patternFill patternType="solid">
        <fgColor rgb="FF1AA39A"/>
      </patternFill>
    </fill>
    <fill>
      <patternFill patternType="solid">
        <fgColor rgb="FF609ED6"/>
      </patternFill>
    </fill>
    <fill>
      <patternFill patternType="solid">
        <fgColor rgb="FFC00000"/>
      </patternFill>
    </fill>
    <fill>
      <patternFill patternType="solid">
        <fgColor rgb="FF666666"/>
      </patternFill>
    </fill>
    <fill>
      <patternFill patternType="solid">
        <fgColor rgb="FFFFFFFF"/>
      </patternFill>
    </fill>
    <fill>
      <patternFill patternType="solid">
        <fgColor rgb="FFFCE4D6"/>
      </patternFill>
    </fill>
    <fill>
      <patternFill patternType="solid">
        <fgColor rgb="FF5B9BD5"/>
      </patternFill>
    </fill>
    <fill>
      <patternFill patternType="solid">
        <fgColor rgb="FF92D050"/>
      </patternFill>
    </fill>
    <fill>
      <patternFill patternType="solid">
        <fgColor rgb="FFCC00FF"/>
      </patternFill>
    </fill>
    <fill>
      <patternFill patternType="solid">
        <fgColor theme="0" tint="-0.249977111117893"/>
        <bgColor indexed="65"/>
      </patternFill>
    </fill>
    <fill>
      <patternFill patternType="solid">
        <fgColor rgb="FFF4B740"/>
        <bgColor indexed="64"/>
      </patternFill>
    </fill>
    <fill>
      <patternFill patternType="solid">
        <fgColor rgb="FFB38867"/>
        <bgColor indexed="64"/>
      </patternFill>
    </fill>
    <fill>
      <patternFill patternType="solid">
        <fgColor rgb="FF22C55E"/>
        <bgColor indexed="64"/>
      </patternFill>
    </fill>
    <fill>
      <patternFill patternType="solid">
        <fgColor rgb="FF6366F1"/>
        <bgColor indexed="64"/>
      </patternFill>
    </fill>
    <fill>
      <patternFill patternType="solid">
        <fgColor rgb="FFF97316"/>
        <bgColor indexed="64"/>
      </patternFill>
    </fill>
    <fill>
      <patternFill patternType="solid">
        <fgColor rgb="FF16A34A"/>
        <bgColor indexed="64"/>
      </patternFill>
    </fill>
    <fill>
      <patternFill patternType="solid">
        <fgColor rgb="FFEAB308"/>
        <bgColor indexed="64"/>
      </patternFill>
    </fill>
    <fill>
      <patternFill patternType="solid">
        <fgColor rgb="FF0F766E"/>
        <bgColor indexed="64"/>
      </patternFill>
    </fill>
    <fill>
      <patternFill patternType="solid">
        <fgColor rgb="FFFFD64D"/>
        <bgColor indexed="64"/>
      </patternFill>
    </fill>
    <fill>
      <patternFill patternType="solid">
        <fgColor rgb="FF60A5FA"/>
        <bgColor indexed="64"/>
      </patternFill>
    </fill>
    <fill>
      <patternFill patternType="solid">
        <fgColor rgb="FFD6BFA6"/>
        <bgColor indexed="64"/>
      </patternFill>
    </fill>
    <fill>
      <patternFill patternType="solid">
        <fgColor rgb="FF3B82F6"/>
        <bgColor indexed="64"/>
      </patternFill>
    </fill>
    <fill>
      <patternFill patternType="solid">
        <fgColor rgb="FF8B5CF6"/>
        <bgColor indexed="64"/>
      </patternFill>
    </fill>
    <fill>
      <patternFill patternType="solid">
        <fgColor rgb="FFE3D4C3"/>
        <bgColor indexed="64"/>
      </patternFill>
    </fill>
    <fill>
      <patternFill patternType="solid">
        <fgColor rgb="FF486B00"/>
        <bgColor indexed="64"/>
      </patternFill>
    </fill>
    <fill>
      <patternFill patternType="solid">
        <fgColor rgb="FF6FB98F"/>
        <bgColor indexed="64"/>
      </patternFill>
    </fill>
    <fill>
      <patternFill patternType="solid">
        <fgColor rgb="FF92D050"/>
        <bgColor indexed="64"/>
      </patternFill>
    </fill>
    <fill>
      <patternFill patternType="solid">
        <fgColor rgb="FFE7E6E6"/>
        <bgColor indexed="64"/>
      </patternFill>
    </fill>
    <fill>
      <patternFill patternType="solid">
        <fgColor rgb="FFF3F4F6"/>
      </patternFill>
    </fill>
    <fill>
      <patternFill patternType="solid">
        <fgColor rgb="FFE2F0D9"/>
        <bgColor indexed="64"/>
      </patternFill>
    </fill>
    <fill>
      <patternFill patternType="solid">
        <fgColor theme="0" tint="-0.249977111117893"/>
        <bgColor indexed="64"/>
      </patternFill>
    </fill>
    <fill>
      <patternFill patternType="solid">
        <fgColor rgb="FFFDD475"/>
        <bgColor indexed="64"/>
      </patternFill>
    </fill>
    <fill>
      <patternFill patternType="solid">
        <fgColor rgb="FFF78B2D"/>
        <bgColor indexed="64"/>
      </patternFill>
    </fill>
    <fill>
      <patternFill patternType="solid">
        <fgColor rgb="FFED5752"/>
        <bgColor indexed="64"/>
      </patternFill>
    </fill>
    <fill>
      <patternFill patternType="solid">
        <fgColor rgb="FFE1DD72"/>
        <bgColor indexed="64"/>
      </patternFill>
    </fill>
    <fill>
      <patternFill patternType="solid">
        <fgColor rgb="FFE3B448"/>
        <bgColor indexed="64"/>
      </patternFill>
    </fill>
    <fill>
      <patternFill patternType="solid">
        <fgColor rgb="FFC00000"/>
        <bgColor indexed="64"/>
      </patternFill>
    </fill>
    <fill>
      <patternFill patternType="solid">
        <fgColor rgb="FF0000FF"/>
        <bgColor indexed="64"/>
      </patternFill>
    </fill>
    <fill>
      <patternFill patternType="solid">
        <fgColor rgb="FF0033CC"/>
        <bgColor indexed="64"/>
      </patternFill>
    </fill>
    <fill>
      <patternFill patternType="solid">
        <fgColor rgb="FFA9D18E"/>
        <bgColor indexed="64"/>
      </patternFill>
    </fill>
    <fill>
      <patternFill patternType="solid">
        <fgColor theme="9" tint="0.79998168889431442"/>
        <bgColor indexed="64"/>
      </patternFill>
    </fill>
    <fill>
      <patternFill patternType="solid">
        <fgColor rgb="FFFFF2CC"/>
        <bgColor indexed="64"/>
      </patternFill>
    </fill>
    <fill>
      <patternFill patternType="solid">
        <fgColor theme="7" tint="0.79998168889431442"/>
        <bgColor indexed="64"/>
      </patternFill>
    </fill>
    <fill>
      <patternFill patternType="solid">
        <fgColor rgb="FF1F4E78"/>
        <bgColor indexed="64"/>
      </patternFill>
    </fill>
    <fill>
      <patternFill patternType="solid">
        <fgColor theme="0" tint="-4.9989318521683403E-2"/>
        <bgColor indexed="64"/>
      </patternFill>
    </fill>
    <fill>
      <patternFill patternType="solid">
        <fgColor rgb="FFEAF4E4"/>
        <bgColor indexed="64"/>
      </patternFill>
    </fill>
    <fill>
      <patternFill patternType="solid">
        <fgColor rgb="FFEAF3F8"/>
      </patternFill>
    </fill>
    <fill>
      <patternFill patternType="solid">
        <fgColor rgb="FFF4CCCC"/>
      </patternFill>
    </fill>
    <fill>
      <patternFill patternType="solid">
        <fgColor rgb="FFC9826B"/>
      </patternFill>
    </fill>
    <fill>
      <patternFill patternType="solid">
        <fgColor rgb="FFFFD64D"/>
      </patternFill>
    </fill>
    <fill>
      <patternFill patternType="solid">
        <fgColor rgb="FF0000FF"/>
      </patternFill>
    </fill>
    <fill>
      <patternFill patternType="solid">
        <fgColor rgb="FFF3DDD3"/>
      </patternFill>
    </fill>
    <fill>
      <patternFill patternType="solid">
        <fgColor rgb="FFF3E9D2"/>
      </patternFill>
    </fill>
    <fill>
      <patternFill patternType="solid">
        <fgColor rgb="FFB4C6E7"/>
      </patternFill>
    </fill>
    <fill>
      <patternFill patternType="solid">
        <fgColor rgb="FFFBF7F3"/>
      </patternFill>
    </fill>
    <fill>
      <patternFill patternType="solid">
        <fgColor rgb="FFEEF7E9"/>
      </patternFill>
    </fill>
    <fill>
      <patternFill patternType="solid">
        <fgColor rgb="FFE5EBDD"/>
      </patternFill>
    </fill>
    <fill>
      <patternFill patternType="solid">
        <fgColor rgb="FF00B050"/>
        <bgColor indexed="64"/>
      </patternFill>
    </fill>
    <fill>
      <patternFill patternType="solid">
        <fgColor rgb="FFEEF7E9"/>
        <bgColor indexed="64"/>
      </patternFill>
    </fill>
    <fill>
      <patternFill patternType="solid">
        <fgColor rgb="FFDDEAF2"/>
      </patternFill>
    </fill>
    <fill>
      <patternFill patternType="solid">
        <fgColor rgb="FFC5E292"/>
      </patternFill>
    </fill>
    <fill>
      <patternFill patternType="solid">
        <fgColor rgb="FFF6E2A8"/>
      </patternFill>
    </fill>
    <fill>
      <patternFill patternType="solid">
        <fgColor rgb="FFFFE1E1"/>
      </patternFill>
    </fill>
    <fill>
      <patternFill patternType="solid">
        <fgColor rgb="FFE6F1FA"/>
      </patternFill>
    </fill>
    <fill>
      <patternFill patternType="solid">
        <fgColor rgb="FFEADBF5"/>
        <bgColor indexed="64"/>
      </patternFill>
    </fill>
    <fill>
      <patternFill patternType="solid">
        <fgColor rgb="FFF6E4B8"/>
      </patternFill>
    </fill>
    <fill>
      <patternFill patternType="solid">
        <fgColor rgb="FF7030A0"/>
        <bgColor indexed="64"/>
      </patternFill>
    </fill>
    <fill>
      <patternFill patternType="solid">
        <fgColor rgb="FFF6E2A8"/>
        <bgColor indexed="64"/>
      </patternFill>
    </fill>
    <fill>
      <patternFill patternType="solid">
        <fgColor rgb="FFF3D2CE"/>
      </patternFill>
    </fill>
    <fill>
      <patternFill patternType="solid">
        <fgColor rgb="FFE8DDF0"/>
      </patternFill>
    </fill>
    <fill>
      <patternFill patternType="solid">
        <fgColor rgb="FF7030A0"/>
      </patternFill>
    </fill>
    <fill>
      <patternFill patternType="solid">
        <fgColor rgb="FF2E75B6"/>
      </patternFill>
    </fill>
    <fill>
      <patternFill patternType="solid">
        <fgColor rgb="FF595959"/>
      </patternFill>
    </fill>
    <fill>
      <patternFill patternType="solid">
        <fgColor theme="7" tint="0.79985961485641044"/>
        <bgColor indexed="65"/>
      </patternFill>
    </fill>
    <fill>
      <patternFill patternType="solid">
        <fgColor rgb="FFFFE393"/>
      </patternFill>
    </fill>
  </fills>
  <borders count="109">
    <border>
      <left/>
      <right/>
      <top/>
      <bottom/>
      <diagonal/>
    </border>
    <border>
      <left style="thin">
        <color auto="1"/>
      </left>
      <right style="thin">
        <color auto="1"/>
      </right>
      <top/>
      <bottom style="thin">
        <color auto="1"/>
      </bottom>
      <diagonal/>
    </border>
    <border>
      <left/>
      <right/>
      <top style="thin">
        <color auto="1"/>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rgb="FFD9D9D9"/>
      </left>
      <right style="thin">
        <color rgb="FFD9D9D9"/>
      </right>
      <top style="thin">
        <color rgb="FFD9D9D9"/>
      </top>
      <bottom style="thin">
        <color rgb="FFD9D9D9"/>
      </bottom>
      <diagonal/>
    </border>
    <border>
      <left style="thin">
        <color rgb="FFD9D9D9"/>
      </left>
      <right/>
      <top/>
      <bottom style="thin">
        <color rgb="FFD9D9D9"/>
      </bottom>
      <diagonal/>
    </border>
    <border>
      <left/>
      <right/>
      <top/>
      <bottom style="thin">
        <color rgb="FFD9D9D9"/>
      </bottom>
      <diagonal/>
    </border>
    <border>
      <left/>
      <right/>
      <top style="thin">
        <color rgb="FFD9D9D9"/>
      </top>
      <bottom style="thin">
        <color rgb="FFD9D9D9"/>
      </bottom>
      <diagonal/>
    </border>
    <border>
      <left/>
      <right/>
      <top style="thin">
        <color rgb="FFD9D9D9"/>
      </top>
      <bottom/>
      <diagonal/>
    </border>
    <border>
      <left style="thin">
        <color rgb="FFD9D9D9"/>
      </left>
      <right/>
      <top style="thin">
        <color rgb="FFD9D9D9"/>
      </top>
      <bottom/>
      <diagonal/>
    </border>
    <border>
      <left/>
      <right style="thin">
        <color rgb="FFD9D9D9"/>
      </right>
      <top/>
      <bottom/>
      <diagonal/>
    </border>
    <border>
      <left style="thin">
        <color rgb="FFD9D9D9"/>
      </left>
      <right style="thin">
        <color rgb="FFD9D9D9"/>
      </right>
      <top style="thin">
        <color rgb="FFD9D9D9"/>
      </top>
      <bottom style="thin">
        <color rgb="FFB7B7B7"/>
      </bottom>
      <diagonal/>
    </border>
    <border>
      <left/>
      <right style="hair">
        <color rgb="FFD9D9D9"/>
      </right>
      <top/>
      <bottom/>
      <diagonal/>
    </border>
    <border>
      <left style="thin">
        <color rgb="FFD9E1F2"/>
      </left>
      <right style="thin">
        <color rgb="FFE7E6E6"/>
      </right>
      <top style="thin">
        <color rgb="FFE7E6E6"/>
      </top>
      <bottom style="thin">
        <color rgb="FFE7E6E6"/>
      </bottom>
      <diagonal/>
    </border>
    <border>
      <left style="thin">
        <color rgb="FFE7E6E6"/>
      </left>
      <right style="thin">
        <color rgb="FFE7E6E6"/>
      </right>
      <top style="thin">
        <color rgb="FFE7E6E6"/>
      </top>
      <bottom style="thin">
        <color rgb="FFE7E6E6"/>
      </bottom>
      <diagonal/>
    </border>
    <border>
      <left style="thin">
        <color rgb="FFE7E6E6"/>
      </left>
      <right style="thin">
        <color rgb="FFD9E1F2"/>
      </right>
      <top style="thin">
        <color rgb="FFE7E6E6"/>
      </top>
      <bottom style="thin">
        <color rgb="FFE7E6E6"/>
      </bottom>
      <diagonal/>
    </border>
    <border>
      <left style="thin">
        <color rgb="FFD9E1F2"/>
      </left>
      <right style="thin">
        <color rgb="FFE7E6E6"/>
      </right>
      <top style="thin">
        <color rgb="FFE7E6E6"/>
      </top>
      <bottom style="thin">
        <color rgb="FFD9E1F2"/>
      </bottom>
      <diagonal/>
    </border>
    <border>
      <left style="thin">
        <color rgb="FFE7E6E6"/>
      </left>
      <right style="thin">
        <color rgb="FFE7E6E6"/>
      </right>
      <top style="thin">
        <color rgb="FFE7E6E6"/>
      </top>
      <bottom style="thin">
        <color rgb="FFD9E1F2"/>
      </bottom>
      <diagonal/>
    </border>
    <border>
      <left style="thin">
        <color rgb="FFE7E6E6"/>
      </left>
      <right style="thin">
        <color rgb="FFD9E1F2"/>
      </right>
      <top style="thin">
        <color rgb="FFE7E6E6"/>
      </top>
      <bottom style="thin">
        <color rgb="FFD9E1F2"/>
      </bottom>
      <diagonal/>
    </border>
    <border>
      <left style="thin">
        <color rgb="FFA6A6A6"/>
      </left>
      <right style="thin">
        <color rgb="FFD9D9D9"/>
      </right>
      <top style="thin">
        <color rgb="FFA6A6A6"/>
      </top>
      <bottom style="thin">
        <color rgb="FFD9D9D9"/>
      </bottom>
      <diagonal/>
    </border>
    <border>
      <left style="thin">
        <color rgb="FFD9D9D9"/>
      </left>
      <right style="thin">
        <color rgb="FFD9D9D9"/>
      </right>
      <top style="thin">
        <color rgb="FFA6A6A6"/>
      </top>
      <bottom style="thin">
        <color rgb="FFD9D9D9"/>
      </bottom>
      <diagonal/>
    </border>
    <border>
      <left style="thin">
        <color rgb="FFD9D9D9"/>
      </left>
      <right style="thin">
        <color rgb="FFA6A6A6"/>
      </right>
      <top style="thin">
        <color rgb="FFA6A6A6"/>
      </top>
      <bottom style="thin">
        <color rgb="FFD9D9D9"/>
      </bottom>
      <diagonal/>
    </border>
    <border>
      <left style="thin">
        <color rgb="FFA6A6A6"/>
      </left>
      <right style="thin">
        <color rgb="FFD9D9D9"/>
      </right>
      <top style="thin">
        <color rgb="FFD9D9D9"/>
      </top>
      <bottom style="thin">
        <color rgb="FFD9D9D9"/>
      </bottom>
      <diagonal/>
    </border>
    <border>
      <left style="thin">
        <color rgb="FFD9D9D9"/>
      </left>
      <right style="thin">
        <color rgb="FFA6A6A6"/>
      </right>
      <top style="thin">
        <color rgb="FFD9D9D9"/>
      </top>
      <bottom style="thin">
        <color rgb="FFD9D9D9"/>
      </bottom>
      <diagonal/>
    </border>
    <border>
      <left style="thin">
        <color rgb="FFA6A6A6"/>
      </left>
      <right style="thin">
        <color rgb="FFD9D9D9"/>
      </right>
      <top style="thin">
        <color rgb="FFD9D9D9"/>
      </top>
      <bottom style="thin">
        <color rgb="FFA6A6A6"/>
      </bottom>
      <diagonal/>
    </border>
    <border>
      <left style="thin">
        <color rgb="FFD9D9D9"/>
      </left>
      <right style="thin">
        <color rgb="FFD9D9D9"/>
      </right>
      <top style="thin">
        <color rgb="FFD9D9D9"/>
      </top>
      <bottom style="thin">
        <color rgb="FFA6A6A6"/>
      </bottom>
      <diagonal/>
    </border>
    <border>
      <left style="thin">
        <color rgb="FFD9D9D9"/>
      </left>
      <right style="thin">
        <color rgb="FFA6A6A6"/>
      </right>
      <top style="thin">
        <color rgb="FFD9D9D9"/>
      </top>
      <bottom style="thin">
        <color rgb="FFA6A6A6"/>
      </bottom>
      <diagonal/>
    </border>
    <border>
      <left/>
      <right/>
      <top/>
      <bottom style="hair">
        <color rgb="FFD9D9D9"/>
      </bottom>
      <diagonal/>
    </border>
    <border>
      <left/>
      <right style="hair">
        <color rgb="FFD9D9D9"/>
      </right>
      <top/>
      <bottom style="hair">
        <color rgb="FFD9D9D9"/>
      </bottom>
      <diagonal/>
    </border>
    <border>
      <left style="thin">
        <color rgb="FFA6A6A6"/>
      </left>
      <right/>
      <top/>
      <bottom/>
      <diagonal/>
    </border>
    <border>
      <left/>
      <right/>
      <top style="thin">
        <color rgb="FFA6A6A6"/>
      </top>
      <bottom/>
      <diagonal/>
    </border>
    <border>
      <left style="thin">
        <color rgb="FFA6A6A6"/>
      </left>
      <right style="thin">
        <color rgb="FFD0D0D0"/>
      </right>
      <top style="thin">
        <color rgb="FFA6A6A6"/>
      </top>
      <bottom/>
      <diagonal/>
    </border>
    <border>
      <left style="thin">
        <color rgb="FFA6A6A6"/>
      </left>
      <right style="thin">
        <color rgb="FFD0D0D0"/>
      </right>
      <top/>
      <bottom/>
      <diagonal/>
    </border>
    <border>
      <left style="thin">
        <color rgb="FFA6A6A6"/>
      </left>
      <right style="thin">
        <color rgb="FFA6A6A6"/>
      </right>
      <top/>
      <bottom style="thin">
        <color rgb="FFA6A6A6"/>
      </bottom>
      <diagonal/>
    </border>
    <border>
      <left style="thin">
        <color rgb="FFA6A6A6"/>
      </left>
      <right style="thin">
        <color rgb="FFD0D0D0"/>
      </right>
      <top/>
      <bottom style="thin">
        <color rgb="FFA6A6A6"/>
      </bottom>
      <diagonal/>
    </border>
    <border>
      <left style="thin">
        <color rgb="FFBFBFBF"/>
      </left>
      <right/>
      <top style="thin">
        <color rgb="FFBFBFBF"/>
      </top>
      <bottom/>
      <diagonal/>
    </border>
    <border>
      <left/>
      <right/>
      <top style="thin">
        <color rgb="FFBFBFBF"/>
      </top>
      <bottom/>
      <diagonal/>
    </border>
    <border>
      <left/>
      <right style="thin">
        <color rgb="FFD9D9D9"/>
      </right>
      <top/>
      <bottom style="thin">
        <color rgb="FFD9D9D9"/>
      </bottom>
      <diagonal/>
    </border>
    <border>
      <left style="hair">
        <color auto="1"/>
      </left>
      <right style="hair">
        <color auto="1"/>
      </right>
      <top style="hair">
        <color auto="1"/>
      </top>
      <bottom style="hair">
        <color auto="1"/>
      </bottom>
      <diagonal/>
    </border>
    <border>
      <left style="thin">
        <color rgb="FFB7C9D6"/>
      </left>
      <right/>
      <top style="thin">
        <color rgb="FFB7C9D6"/>
      </top>
      <bottom/>
      <diagonal/>
    </border>
    <border>
      <left/>
      <right/>
      <top style="thin">
        <color rgb="FFB7C9D6"/>
      </top>
      <bottom/>
      <diagonal/>
    </border>
    <border>
      <left/>
      <right style="thin">
        <color rgb="FFB7C9D6"/>
      </right>
      <top style="thin">
        <color rgb="FFB7C9D6"/>
      </top>
      <bottom/>
      <diagonal/>
    </border>
    <border>
      <left style="thin">
        <color rgb="FFB7C9D6"/>
      </left>
      <right style="thin">
        <color rgb="FFB7C9D6"/>
      </right>
      <top style="thin">
        <color rgb="FFB7C9D6"/>
      </top>
      <bottom style="thin">
        <color rgb="FFB7C9D6"/>
      </bottom>
      <diagonal/>
    </border>
    <border>
      <left style="thin">
        <color rgb="FFB7C9D6"/>
      </left>
      <right/>
      <top/>
      <bottom style="thin">
        <color rgb="FFB7C9D6"/>
      </bottom>
      <diagonal/>
    </border>
    <border>
      <left/>
      <right/>
      <top/>
      <bottom style="thin">
        <color rgb="FFB7C9D6"/>
      </bottom>
      <diagonal/>
    </border>
    <border>
      <left/>
      <right style="thin">
        <color rgb="FFB7C9D6"/>
      </right>
      <top/>
      <bottom style="thin">
        <color rgb="FFB7C9D6"/>
      </bottom>
      <diagonal/>
    </border>
    <border>
      <left style="thin">
        <color rgb="FFB7C9D6"/>
      </left>
      <right/>
      <top style="thin">
        <color rgb="FFB7C9D6"/>
      </top>
      <bottom style="thin">
        <color rgb="FFB7C9D6"/>
      </bottom>
      <diagonal/>
    </border>
    <border>
      <left/>
      <right style="thin">
        <color rgb="FFB7C9D6"/>
      </right>
      <top style="thin">
        <color rgb="FFB7C9D6"/>
      </top>
      <bottom style="thin">
        <color rgb="FFB7C9D6"/>
      </bottom>
      <diagonal/>
    </border>
    <border>
      <left style="thin">
        <color rgb="FFB7C9D6"/>
      </left>
      <right style="thin">
        <color rgb="FFB7C9D6"/>
      </right>
      <top style="thin">
        <color rgb="FFB7C9D6"/>
      </top>
      <bottom/>
      <diagonal/>
    </border>
    <border>
      <left style="thin">
        <color rgb="FFB7C9D6"/>
      </left>
      <right style="thin">
        <color rgb="FFB7C9D6"/>
      </right>
      <top/>
      <bottom/>
      <diagonal/>
    </border>
    <border>
      <left/>
      <right style="thin">
        <color rgb="FFB7C9D6"/>
      </right>
      <top/>
      <bottom/>
      <diagonal/>
    </border>
    <border>
      <left style="thin">
        <color rgb="FFB7C9D6"/>
      </left>
      <right style="thin">
        <color rgb="FFB7C9D6"/>
      </right>
      <top/>
      <bottom style="thin">
        <color rgb="FFB7C9D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right style="thin">
        <color rgb="FFD9D9D9"/>
      </right>
      <top style="thin">
        <color rgb="FFD9D9D9"/>
      </top>
      <bottom/>
      <diagonal/>
    </border>
    <border>
      <left style="thin">
        <color rgb="FFD7C9C1"/>
      </left>
      <right/>
      <top/>
      <bottom/>
      <diagonal/>
    </border>
    <border>
      <left style="thin">
        <color rgb="FFD9D9D9"/>
      </left>
      <right/>
      <top style="thin">
        <color rgb="FFA6A6A6"/>
      </top>
      <bottom/>
      <diagonal/>
    </border>
    <border>
      <left/>
      <right style="thin">
        <color rgb="FFD9D9D9"/>
      </right>
      <top style="thin">
        <color rgb="FFA6A6A6"/>
      </top>
      <bottom/>
      <diagonal/>
    </border>
    <border>
      <left style="thin">
        <color rgb="FFD9D9D9"/>
      </left>
      <right/>
      <top/>
      <bottom/>
      <diagonal/>
    </border>
    <border>
      <left style="thin">
        <color rgb="FF8A4E3B"/>
      </left>
      <right/>
      <top style="thin">
        <color rgb="FF8A4E3B"/>
      </top>
      <bottom style="medium">
        <color rgb="FFC9826B"/>
      </bottom>
      <diagonal/>
    </border>
    <border>
      <left/>
      <right/>
      <top style="thin">
        <color rgb="FF8A4E3B"/>
      </top>
      <bottom style="medium">
        <color rgb="FFC9826B"/>
      </bottom>
      <diagonal/>
    </border>
    <border>
      <left/>
      <right/>
      <top style="thin">
        <color rgb="FF8A4E3B"/>
      </top>
      <bottom style="thin">
        <color rgb="FF8A4E3B"/>
      </bottom>
      <diagonal/>
    </border>
    <border>
      <left style="thin">
        <color rgb="FFA6A6A6"/>
      </left>
      <right/>
      <top style="thin">
        <color rgb="FFA6A6A6"/>
      </top>
      <bottom/>
      <diagonal/>
    </border>
    <border>
      <left/>
      <right style="thin">
        <color rgb="FFA6A6A6"/>
      </right>
      <top style="thin">
        <color rgb="FFA6A6A6"/>
      </top>
      <bottom/>
      <diagonal/>
    </border>
    <border>
      <left style="thin">
        <color rgb="FFD9D9D9"/>
      </left>
      <right/>
      <top/>
      <bottom style="thin">
        <color rgb="FFA6A6A6"/>
      </bottom>
      <diagonal/>
    </border>
    <border>
      <left/>
      <right/>
      <top/>
      <bottom style="thin">
        <color rgb="FFA6A6A6"/>
      </bottom>
      <diagonal/>
    </border>
    <border>
      <left/>
      <right style="thin">
        <color rgb="FFD9D9D9"/>
      </right>
      <top/>
      <bottom style="thin">
        <color rgb="FFA6A6A6"/>
      </bottom>
      <diagonal/>
    </border>
    <border>
      <left style="thin">
        <color rgb="FFD7C9C1"/>
      </left>
      <right/>
      <top style="medium">
        <color rgb="FFC9826B"/>
      </top>
      <bottom style="thin">
        <color rgb="FFC9826B"/>
      </bottom>
      <diagonal/>
    </border>
    <border>
      <left/>
      <right/>
      <top style="medium">
        <color rgb="FFC9826B"/>
      </top>
      <bottom style="thin">
        <color rgb="FFC9826B"/>
      </bottom>
      <diagonal/>
    </border>
    <border>
      <left style="thin">
        <color rgb="FFA6A6A6"/>
      </left>
      <right style="thin">
        <color rgb="FFA6A6A6"/>
      </right>
      <top style="thin">
        <color rgb="FFA6A6A6"/>
      </top>
      <bottom style="thin">
        <color rgb="FFA6A6A6"/>
      </bottom>
      <diagonal/>
    </border>
    <border>
      <left/>
      <right style="thin">
        <color rgb="FFA6A6A6"/>
      </right>
      <top/>
      <bottom/>
      <diagonal/>
    </border>
    <border>
      <left style="thin">
        <color rgb="FFD0D0D0"/>
      </left>
      <right style="thin">
        <color rgb="FFD0D0D0"/>
      </right>
      <top style="thin">
        <color rgb="FFD0D0D0"/>
      </top>
      <bottom style="thin">
        <color rgb="FFD0D0D0"/>
      </bottom>
      <diagonal/>
    </border>
    <border>
      <left style="thin">
        <color rgb="FFD0D0D0"/>
      </left>
      <right style="thin">
        <color rgb="FFA6A6A6"/>
      </right>
      <top style="thin">
        <color rgb="FFD0D0D0"/>
      </top>
      <bottom style="thin">
        <color rgb="FFD0D0D0"/>
      </bottom>
      <diagonal/>
    </border>
    <border>
      <left style="thin">
        <color rgb="FFA6A6A6"/>
      </left>
      <right/>
      <top/>
      <bottom style="thin">
        <color rgb="FFA6A6A6"/>
      </bottom>
      <diagonal/>
    </border>
    <border>
      <left/>
      <right style="thin">
        <color rgb="FFA6A6A6"/>
      </right>
      <top/>
      <bottom style="thin">
        <color rgb="FFA6A6A6"/>
      </bottom>
      <diagonal/>
    </border>
    <border>
      <left style="thin">
        <color rgb="FFD0D0D0"/>
      </left>
      <right style="thin">
        <color rgb="FFD0D0D0"/>
      </right>
      <top style="thin">
        <color rgb="FFD0D0D0"/>
      </top>
      <bottom style="thin">
        <color rgb="FFA6A6A6"/>
      </bottom>
      <diagonal/>
    </border>
    <border>
      <left style="thin">
        <color rgb="FFD0D0D0"/>
      </left>
      <right style="thin">
        <color rgb="FFA6A6A6"/>
      </right>
      <top style="thin">
        <color rgb="FFD0D0D0"/>
      </top>
      <bottom style="thin">
        <color rgb="FFA6A6A6"/>
      </bottom>
      <diagonal/>
    </border>
    <border>
      <left style="thin">
        <color rgb="FFD9D9D9"/>
      </left>
      <right/>
      <top style="hair">
        <color rgb="FFA6A6A6"/>
      </top>
      <bottom/>
      <diagonal/>
    </border>
    <border>
      <left/>
      <right/>
      <top style="hair">
        <color rgb="FFA6A6A6"/>
      </top>
      <bottom/>
      <diagonal/>
    </border>
    <border>
      <left/>
      <right style="thin">
        <color rgb="FFD9D9D9"/>
      </right>
      <top style="hair">
        <color rgb="FFA6A6A6"/>
      </top>
      <bottom/>
      <diagonal/>
    </border>
    <border>
      <left style="thin">
        <color rgb="FFD9D9D9"/>
      </left>
      <right/>
      <top/>
      <bottom style="hair">
        <color rgb="FFA6A6A6"/>
      </bottom>
      <diagonal/>
    </border>
    <border>
      <left/>
      <right/>
      <top/>
      <bottom style="hair">
        <color rgb="FFA6A6A6"/>
      </bottom>
      <diagonal/>
    </border>
    <border>
      <left/>
      <right style="thin">
        <color rgb="FFD9D9D9"/>
      </right>
      <top/>
      <bottom style="hair">
        <color rgb="FFA6A6A6"/>
      </bottom>
      <diagonal/>
    </border>
    <border>
      <left style="thin">
        <color rgb="FFFFFFFF"/>
      </left>
      <right/>
      <top/>
      <bottom style="thin">
        <color rgb="FFD0D0D0"/>
      </bottom>
      <diagonal/>
    </border>
    <border>
      <left/>
      <right/>
      <top/>
      <bottom style="thin">
        <color rgb="FFD0D0D0"/>
      </bottom>
      <diagonal/>
    </border>
    <border>
      <left/>
      <right style="thin">
        <color rgb="FFFFFFFF"/>
      </right>
      <top/>
      <bottom style="thin">
        <color rgb="FFD0D0D0"/>
      </bottom>
      <diagonal/>
    </border>
    <border>
      <left style="thin">
        <color rgb="FFD0D0D0"/>
      </left>
      <right/>
      <top style="thin">
        <color rgb="FFD0D0D0"/>
      </top>
      <bottom style="thin">
        <color rgb="FFD0D0D0"/>
      </bottom>
      <diagonal/>
    </border>
    <border>
      <left/>
      <right style="thin">
        <color rgb="FFD0D0D0"/>
      </right>
      <top style="thin">
        <color rgb="FFD0D0D0"/>
      </top>
      <bottom style="thin">
        <color rgb="FFD0D0D0"/>
      </bottom>
      <diagonal/>
    </border>
    <border>
      <left/>
      <right/>
      <top/>
      <bottom style="medium">
        <color rgb="FFC9826B"/>
      </bottom>
      <diagonal/>
    </border>
    <border>
      <left/>
      <right/>
      <top style="thin">
        <color rgb="FFC9826B"/>
      </top>
      <bottom/>
      <diagonal/>
    </border>
    <border>
      <left style="thin">
        <color rgb="FFD7C9C1"/>
      </left>
      <right/>
      <top/>
      <bottom style="thin">
        <color auto="1"/>
      </bottom>
      <diagonal/>
    </border>
    <border>
      <left style="thin">
        <color rgb="FFD7C9C1"/>
      </left>
      <right/>
      <top/>
      <bottom style="thin">
        <color rgb="FFD7C9C1"/>
      </bottom>
      <diagonal/>
    </border>
    <border>
      <left/>
      <right/>
      <top/>
      <bottom style="thin">
        <color rgb="FFD7C9C1"/>
      </bottom>
      <diagonal/>
    </border>
    <border>
      <left/>
      <right style="thin">
        <color rgb="FF7030A0"/>
      </right>
      <top/>
      <bottom/>
      <diagonal/>
    </border>
    <border>
      <left/>
      <right/>
      <top style="thin">
        <color rgb="FF7030A0"/>
      </top>
      <bottom/>
      <diagonal/>
    </border>
    <border>
      <left/>
      <right style="thin">
        <color rgb="FF7030A0"/>
      </right>
      <top style="thin">
        <color rgb="FF7030A0"/>
      </top>
      <bottom/>
      <diagonal/>
    </border>
    <border>
      <left style="thin">
        <color rgb="FFE0E0E0"/>
      </left>
      <right style="thin">
        <color rgb="FFE0E0E0"/>
      </right>
      <top style="thin">
        <color rgb="FFE0E0E0"/>
      </top>
      <bottom style="thin">
        <color rgb="FFE0E0E0"/>
      </bottom>
      <diagonal/>
    </border>
    <border>
      <left style="thin">
        <color rgb="FFD9D9D9"/>
      </left>
      <right style="thin">
        <color rgb="FFD9D9D9"/>
      </right>
      <top style="thin">
        <color rgb="FFA6A6A6"/>
      </top>
      <bottom/>
      <diagonal/>
    </border>
    <border>
      <left style="thin">
        <color rgb="FFD9D9D9"/>
      </left>
      <right style="thin">
        <color rgb="FFD9D9D9"/>
      </right>
      <top/>
      <bottom/>
      <diagonal/>
    </border>
    <border>
      <left/>
      <right style="thin">
        <color rgb="FF7030A0"/>
      </right>
      <top style="thin">
        <color rgb="FFBFBFBF"/>
      </top>
      <bottom/>
      <diagonal/>
    </border>
    <border>
      <left style="thin">
        <color rgb="FFD9D9D9"/>
      </left>
      <right style="thin">
        <color rgb="FFD9D9D9"/>
      </right>
      <top/>
      <bottom style="thin">
        <color rgb="FFA6A6A6"/>
      </bottom>
      <diagonal/>
    </border>
    <border>
      <left style="thin">
        <color rgb="FFE0E0E0"/>
      </left>
      <right/>
      <top/>
      <bottom/>
      <diagonal/>
    </border>
    <border>
      <left/>
      <right style="thin">
        <color rgb="FF7030A0"/>
      </right>
      <top/>
      <bottom style="thin">
        <color rgb="FF7030A0"/>
      </bottom>
      <diagonal/>
    </border>
    <border>
      <left style="thin">
        <color rgb="FFA6A6A6"/>
      </left>
      <right style="thin">
        <color rgb="FFA6A6A6"/>
      </right>
      <top/>
      <bottom/>
      <diagonal/>
    </border>
    <border>
      <left style="thin">
        <color rgb="FFA6A6A6"/>
      </left>
      <right style="thin">
        <color rgb="FFA6A6A6"/>
      </right>
      <top style="thin">
        <color rgb="FFA6A6A6"/>
      </top>
      <bottom/>
      <diagonal/>
    </border>
    <border>
      <left style="thin">
        <color rgb="FFE0E0E0"/>
      </left>
      <right/>
      <top style="thin">
        <color rgb="FFE0E0E0"/>
      </top>
      <bottom style="thin">
        <color rgb="FFE0E0E0"/>
      </bottom>
      <diagonal/>
    </border>
  </borders>
  <cellStyleXfs count="27">
    <xf numFmtId="0" fontId="0" fillId="0" borderId="0"/>
    <xf numFmtId="0" fontId="1" fillId="0" borderId="0"/>
    <xf numFmtId="0" fontId="2" fillId="0" borderId="0"/>
    <xf numFmtId="0" fontId="4" fillId="0" borderId="0"/>
    <xf numFmtId="0" fontId="2" fillId="0" borderId="0"/>
    <xf numFmtId="0" fontId="4" fillId="0" borderId="0"/>
    <xf numFmtId="0" fontId="9" fillId="0" borderId="0"/>
    <xf numFmtId="0" fontId="26" fillId="0" borderId="0"/>
    <xf numFmtId="0" fontId="26" fillId="0" borderId="0"/>
    <xf numFmtId="0" fontId="4" fillId="0" borderId="0"/>
    <xf numFmtId="0" fontId="2" fillId="0" borderId="0"/>
    <xf numFmtId="0" fontId="1" fillId="0" borderId="0"/>
    <xf numFmtId="0" fontId="4" fillId="0" borderId="0"/>
    <xf numFmtId="0" fontId="26" fillId="0" borderId="0"/>
    <xf numFmtId="0" fontId="2" fillId="0" borderId="0"/>
    <xf numFmtId="0" fontId="26" fillId="0" borderId="0"/>
    <xf numFmtId="0" fontId="33" fillId="0" borderId="0"/>
    <xf numFmtId="0" fontId="1" fillId="0" borderId="0"/>
    <xf numFmtId="0" fontId="4" fillId="0" borderId="0"/>
    <xf numFmtId="0" fontId="26" fillId="0" borderId="0"/>
    <xf numFmtId="0" fontId="56" fillId="0" borderId="0" applyNumberFormat="0" applyFill="0" applyBorder="0" applyAlignment="0" applyProtection="0"/>
    <xf numFmtId="0" fontId="1" fillId="0" borderId="0"/>
    <xf numFmtId="0" fontId="4" fillId="0" borderId="0"/>
    <xf numFmtId="0" fontId="26" fillId="0" borderId="0"/>
    <xf numFmtId="0" fontId="26" fillId="0" borderId="0"/>
    <xf numFmtId="0" fontId="2" fillId="0" borderId="0"/>
    <xf numFmtId="0" fontId="2" fillId="0" borderId="0"/>
  </cellStyleXfs>
  <cellXfs count="793">
    <xf numFmtId="0" fontId="0" fillId="0" borderId="0" xfId="0"/>
    <xf numFmtId="0" fontId="8" fillId="5" borderId="0" xfId="5" applyFont="1" applyFill="1" applyAlignment="1">
      <alignment vertical="center"/>
    </xf>
    <xf numFmtId="0" fontId="10" fillId="5" borderId="0" xfId="6" applyFont="1" applyFill="1" applyAlignment="1">
      <alignment horizontal="left" vertical="center"/>
    </xf>
    <xf numFmtId="0" fontId="21" fillId="8" borderId="0" xfId="3" applyFont="1" applyFill="1" applyAlignment="1">
      <alignment horizontal="center" vertical="center"/>
    </xf>
    <xf numFmtId="164" fontId="24" fillId="10" borderId="0" xfId="4" applyNumberFormat="1" applyFont="1" applyFill="1" applyAlignment="1">
      <alignment horizontal="center" vertical="center"/>
    </xf>
    <xf numFmtId="0" fontId="21" fillId="11" borderId="0" xfId="3" applyFont="1" applyFill="1" applyAlignment="1">
      <alignment horizontal="center" vertical="center"/>
    </xf>
    <xf numFmtId="0" fontId="21" fillId="12" borderId="0" xfId="3" applyFont="1" applyFill="1" applyAlignment="1">
      <alignment horizontal="center" vertical="center"/>
    </xf>
    <xf numFmtId="0" fontId="21" fillId="13" borderId="0" xfId="3" applyFont="1" applyFill="1" applyAlignment="1">
      <alignment horizontal="center" vertical="center"/>
    </xf>
    <xf numFmtId="0" fontId="23" fillId="14" borderId="0" xfId="3" applyFont="1" applyFill="1" applyAlignment="1">
      <alignment horizontal="center" vertical="center"/>
    </xf>
    <xf numFmtId="0" fontId="25" fillId="7" borderId="0" xfId="2" applyFont="1" applyFill="1" applyAlignment="1">
      <alignment horizontal="center" vertical="center"/>
    </xf>
    <xf numFmtId="0" fontId="28" fillId="0" borderId="0" xfId="7" applyFont="1" applyAlignment="1">
      <alignment vertical="center"/>
    </xf>
    <xf numFmtId="0" fontId="36" fillId="25" borderId="6" xfId="9" applyFont="1" applyFill="1" applyBorder="1" applyAlignment="1">
      <alignment horizontal="center" vertical="center"/>
    </xf>
    <xf numFmtId="0" fontId="30" fillId="16" borderId="0" xfId="10" applyFont="1" applyFill="1" applyAlignment="1">
      <alignment horizontal="center" vertical="center"/>
    </xf>
    <xf numFmtId="164" fontId="20" fillId="16" borderId="1" xfId="10" applyNumberFormat="1" applyFont="1" applyFill="1" applyBorder="1" applyAlignment="1">
      <alignment horizontal="center" vertical="center" wrapText="1"/>
    </xf>
    <xf numFmtId="0" fontId="36" fillId="25" borderId="0" xfId="9" applyFont="1" applyFill="1" applyAlignment="1">
      <alignment horizontal="center" vertical="center"/>
    </xf>
    <xf numFmtId="1" fontId="22" fillId="16" borderId="0" xfId="10" applyNumberFormat="1" applyFont="1" applyFill="1" applyAlignment="1">
      <alignment horizontal="center" vertical="center" wrapText="1"/>
    </xf>
    <xf numFmtId="0" fontId="36" fillId="11" borderId="6" xfId="9" applyFont="1" applyFill="1" applyBorder="1" applyAlignment="1">
      <alignment horizontal="center" vertical="center"/>
    </xf>
    <xf numFmtId="0" fontId="37" fillId="23" borderId="6" xfId="7" applyFont="1" applyFill="1" applyBorder="1" applyAlignment="1">
      <alignment horizontal="center" vertical="center"/>
    </xf>
    <xf numFmtId="0" fontId="35" fillId="23" borderId="6" xfId="7" applyFont="1" applyFill="1" applyBorder="1" applyAlignment="1">
      <alignment horizontal="center" vertical="center"/>
    </xf>
    <xf numFmtId="0" fontId="26" fillId="23" borderId="6" xfId="7" applyFill="1" applyBorder="1" applyAlignment="1">
      <alignment horizontal="center" vertical="center"/>
    </xf>
    <xf numFmtId="0" fontId="36" fillId="27" borderId="6" xfId="9" applyFont="1" applyFill="1" applyBorder="1" applyAlignment="1">
      <alignment horizontal="center" vertical="center"/>
    </xf>
    <xf numFmtId="0" fontId="36" fillId="13" borderId="6" xfId="9" applyFont="1" applyFill="1" applyBorder="1" applyAlignment="1">
      <alignment horizontal="center" vertical="center"/>
    </xf>
    <xf numFmtId="0" fontId="23" fillId="28" borderId="6" xfId="9" applyFont="1" applyFill="1" applyBorder="1" applyAlignment="1">
      <alignment horizontal="center" vertical="center"/>
    </xf>
    <xf numFmtId="0" fontId="25" fillId="16" borderId="6" xfId="10" applyFont="1" applyFill="1" applyBorder="1" applyAlignment="1">
      <alignment horizontal="center" vertical="center"/>
    </xf>
    <xf numFmtId="0" fontId="26" fillId="23" borderId="13" xfId="7" applyFill="1" applyBorder="1" applyAlignment="1">
      <alignment horizontal="center" vertical="center"/>
    </xf>
    <xf numFmtId="0" fontId="17" fillId="6" borderId="2" xfId="10" applyFont="1" applyFill="1" applyBorder="1" applyAlignment="1">
      <alignment horizontal="center" vertical="center"/>
    </xf>
    <xf numFmtId="0" fontId="25" fillId="7" borderId="0" xfId="4" applyFont="1" applyFill="1" applyAlignment="1">
      <alignment horizontal="center" vertical="center"/>
    </xf>
    <xf numFmtId="0" fontId="36" fillId="11" borderId="0" xfId="9" applyFont="1" applyFill="1" applyAlignment="1">
      <alignment horizontal="center" vertical="center"/>
    </xf>
    <xf numFmtId="0" fontId="23" fillId="3" borderId="0" xfId="9" applyFont="1" applyFill="1" applyAlignment="1">
      <alignment horizontal="center" vertical="center"/>
    </xf>
    <xf numFmtId="0" fontId="36" fillId="27" borderId="0" xfId="9" applyFont="1" applyFill="1" applyAlignment="1">
      <alignment horizontal="center" vertical="center"/>
    </xf>
    <xf numFmtId="0" fontId="36" fillId="13" borderId="0" xfId="9" applyFont="1" applyFill="1" applyAlignment="1">
      <alignment horizontal="center" vertical="center"/>
    </xf>
    <xf numFmtId="0" fontId="23" fillId="28" borderId="0" xfId="9" applyFont="1" applyFill="1" applyAlignment="1">
      <alignment horizontal="center" vertical="center"/>
    </xf>
    <xf numFmtId="0" fontId="25" fillId="16" borderId="0" xfId="10" applyFont="1" applyFill="1" applyAlignment="1">
      <alignment horizontal="center" vertical="center"/>
    </xf>
    <xf numFmtId="0" fontId="23" fillId="4" borderId="0" xfId="10" applyFont="1" applyFill="1" applyAlignment="1">
      <alignment horizontal="center" vertical="center"/>
    </xf>
    <xf numFmtId="0" fontId="24" fillId="23" borderId="6" xfId="10" applyFont="1" applyFill="1" applyBorder="1" applyAlignment="1">
      <alignment horizontal="left" vertical="center"/>
    </xf>
    <xf numFmtId="0" fontId="5" fillId="17" borderId="0" xfId="12" applyFont="1" applyFill="1" applyAlignment="1">
      <alignment horizontal="left" vertical="center"/>
    </xf>
    <xf numFmtId="0" fontId="42" fillId="38" borderId="0" xfId="13" applyFont="1" applyFill="1" applyAlignment="1">
      <alignment horizontal="center" vertical="center"/>
    </xf>
    <xf numFmtId="0" fontId="3" fillId="17" borderId="0" xfId="13" applyFont="1" applyFill="1" applyAlignment="1">
      <alignment horizontal="right" vertical="center"/>
    </xf>
    <xf numFmtId="0" fontId="43" fillId="39" borderId="5" xfId="3" applyFont="1" applyFill="1" applyBorder="1" applyAlignment="1">
      <alignment horizontal="center" vertical="center"/>
    </xf>
    <xf numFmtId="0" fontId="5" fillId="0" borderId="0" xfId="14" applyFont="1" applyAlignment="1">
      <alignment horizontal="center" vertical="center" wrapText="1"/>
    </xf>
    <xf numFmtId="0" fontId="5" fillId="0" borderId="0" xfId="14" applyFont="1" applyAlignment="1">
      <alignment horizontal="left" vertical="center" wrapText="1"/>
    </xf>
    <xf numFmtId="0" fontId="5" fillId="0" borderId="0" xfId="14" applyFont="1" applyAlignment="1">
      <alignment vertical="center" wrapText="1"/>
    </xf>
    <xf numFmtId="0" fontId="45" fillId="0" borderId="0" xfId="14" applyFont="1" applyAlignment="1">
      <alignment vertical="center"/>
    </xf>
    <xf numFmtId="0" fontId="16" fillId="37" borderId="21" xfId="14" applyFont="1" applyFill="1" applyBorder="1" applyAlignment="1">
      <alignment horizontal="center" vertical="center" wrapText="1"/>
    </xf>
    <xf numFmtId="0" fontId="16" fillId="37" borderId="22" xfId="14" applyFont="1" applyFill="1" applyBorder="1" applyAlignment="1">
      <alignment horizontal="left" vertical="center" wrapText="1"/>
    </xf>
    <xf numFmtId="0" fontId="16" fillId="37" borderId="22" xfId="14" applyFont="1" applyFill="1" applyBorder="1" applyAlignment="1">
      <alignment vertical="center" wrapText="1"/>
    </xf>
    <xf numFmtId="0" fontId="16" fillId="37" borderId="23" xfId="14" applyFont="1" applyFill="1" applyBorder="1" applyAlignment="1">
      <alignment vertical="center" wrapText="1"/>
    </xf>
    <xf numFmtId="0" fontId="5" fillId="0" borderId="24" xfId="14" applyFont="1" applyBorder="1" applyAlignment="1">
      <alignment horizontal="center" vertical="center" wrapText="1"/>
    </xf>
    <xf numFmtId="0" fontId="5" fillId="0" borderId="6" xfId="14" applyFont="1" applyBorder="1" applyAlignment="1">
      <alignment horizontal="left" vertical="center" wrapText="1"/>
    </xf>
    <xf numFmtId="0" fontId="5" fillId="0" borderId="6" xfId="14" applyFont="1" applyBorder="1" applyAlignment="1">
      <alignment vertical="center" wrapText="1"/>
    </xf>
    <xf numFmtId="0" fontId="5" fillId="0" borderId="25" xfId="14" applyFont="1" applyBorder="1" applyAlignment="1">
      <alignment vertical="center" wrapText="1"/>
    </xf>
    <xf numFmtId="0" fontId="5" fillId="0" borderId="26" xfId="14" applyFont="1" applyBorder="1" applyAlignment="1">
      <alignment horizontal="center" vertical="center" wrapText="1"/>
    </xf>
    <xf numFmtId="0" fontId="5" fillId="0" borderId="27" xfId="14" applyFont="1" applyBorder="1" applyAlignment="1">
      <alignment horizontal="left" vertical="center" wrapText="1"/>
    </xf>
    <xf numFmtId="0" fontId="5" fillId="0" borderId="27" xfId="14" applyFont="1" applyBorder="1" applyAlignment="1">
      <alignment vertical="center" wrapText="1"/>
    </xf>
    <xf numFmtId="0" fontId="5" fillId="0" borderId="28" xfId="14" applyFont="1" applyBorder="1" applyAlignment="1">
      <alignment vertical="center" wrapText="1"/>
    </xf>
    <xf numFmtId="0" fontId="20" fillId="0" borderId="0" xfId="15" applyFont="1" applyAlignment="1">
      <alignment horizontal="right" vertical="center" wrapText="1"/>
    </xf>
    <xf numFmtId="0" fontId="15" fillId="0" borderId="0" xfId="15" applyFont="1" applyAlignment="1">
      <alignment vertical="center" wrapText="1"/>
    </xf>
    <xf numFmtId="0" fontId="15" fillId="0" borderId="0" xfId="15" applyFont="1" applyAlignment="1">
      <alignment horizontal="right" vertical="center" wrapText="1"/>
    </xf>
    <xf numFmtId="0" fontId="5" fillId="0" borderId="0" xfId="15" applyFont="1" applyAlignment="1">
      <alignment vertical="center"/>
    </xf>
    <xf numFmtId="0" fontId="5" fillId="0" borderId="0" xfId="15" applyFont="1" applyAlignment="1">
      <alignment horizontal="right" vertical="center" wrapText="1"/>
    </xf>
    <xf numFmtId="0" fontId="5" fillId="0" borderId="0" xfId="15" applyFont="1" applyAlignment="1">
      <alignment vertical="center" wrapText="1"/>
    </xf>
    <xf numFmtId="0" fontId="22" fillId="0" borderId="0" xfId="15" applyFont="1" applyAlignment="1">
      <alignment horizontal="left" vertical="center"/>
    </xf>
    <xf numFmtId="0" fontId="5" fillId="0" borderId="0" xfId="14" applyFont="1" applyAlignment="1">
      <alignment vertical="center"/>
    </xf>
    <xf numFmtId="0" fontId="33" fillId="0" borderId="0" xfId="15" applyFont="1" applyAlignment="1">
      <alignment vertical="center"/>
    </xf>
    <xf numFmtId="0" fontId="28" fillId="0" borderId="0" xfId="15" applyFont="1" applyAlignment="1">
      <alignment vertical="center"/>
    </xf>
    <xf numFmtId="0" fontId="28" fillId="0" borderId="0" xfId="15" applyFont="1" applyAlignment="1">
      <alignment horizontal="right" vertical="center" wrapText="1"/>
    </xf>
    <xf numFmtId="0" fontId="5" fillId="0" borderId="0" xfId="15" applyFont="1" applyAlignment="1">
      <alignment horizontal="left" vertical="center" wrapText="1"/>
    </xf>
    <xf numFmtId="0" fontId="30" fillId="0" borderId="0" xfId="15" applyFont="1" applyAlignment="1">
      <alignment horizontal="right" vertical="center"/>
    </xf>
    <xf numFmtId="0" fontId="26" fillId="0" borderId="0" xfId="15"/>
    <xf numFmtId="0" fontId="30" fillId="0" borderId="0" xfId="13" applyFont="1" applyAlignment="1">
      <alignment horizontal="right" vertical="center" wrapText="1"/>
    </xf>
    <xf numFmtId="0" fontId="30" fillId="0" borderId="0" xfId="13" applyFont="1" applyAlignment="1">
      <alignment vertical="center" wrapText="1"/>
    </xf>
    <xf numFmtId="0" fontId="28" fillId="0" borderId="0" xfId="13" applyFont="1" applyAlignment="1">
      <alignment horizontal="right" vertical="center" wrapText="1"/>
    </xf>
    <xf numFmtId="0" fontId="33" fillId="0" borderId="0" xfId="13" applyFont="1" applyAlignment="1">
      <alignment vertical="center"/>
    </xf>
    <xf numFmtId="0" fontId="33" fillId="0" borderId="0" xfId="13" applyFont="1" applyAlignment="1">
      <alignment vertical="center" wrapText="1"/>
    </xf>
    <xf numFmtId="0" fontId="31" fillId="0" borderId="0" xfId="13" applyFont="1" applyAlignment="1">
      <alignment horizontal="center" vertical="center" wrapText="1"/>
    </xf>
    <xf numFmtId="0" fontId="28" fillId="0" borderId="0" xfId="13" applyFont="1" applyAlignment="1">
      <alignment horizontal="right" vertical="center"/>
    </xf>
    <xf numFmtId="0" fontId="31" fillId="0" borderId="0" xfId="13" applyFont="1" applyAlignment="1">
      <alignment vertical="center" wrapText="1"/>
    </xf>
    <xf numFmtId="0" fontId="33" fillId="0" borderId="0" xfId="13" applyFont="1" applyAlignment="1">
      <alignment horizontal="right" vertical="center"/>
    </xf>
    <xf numFmtId="0" fontId="30" fillId="0" borderId="0" xfId="13" applyFont="1" applyAlignment="1">
      <alignment vertical="center"/>
    </xf>
    <xf numFmtId="0" fontId="22" fillId="0" borderId="0" xfId="13" applyFont="1" applyAlignment="1">
      <alignment horizontal="right" vertical="center"/>
    </xf>
    <xf numFmtId="0" fontId="30" fillId="0" borderId="0" xfId="13" applyFont="1" applyAlignment="1">
      <alignment horizontal="right" vertical="center"/>
    </xf>
    <xf numFmtId="0" fontId="31" fillId="0" borderId="0" xfId="13" applyFont="1" applyAlignment="1">
      <alignment vertical="center"/>
    </xf>
    <xf numFmtId="0" fontId="31" fillId="0" borderId="0" xfId="13" applyFont="1" applyAlignment="1">
      <alignment horizontal="right" vertical="center"/>
    </xf>
    <xf numFmtId="0" fontId="28" fillId="0" borderId="0" xfId="13" applyFont="1" applyAlignment="1">
      <alignment vertical="center"/>
    </xf>
    <xf numFmtId="0" fontId="15" fillId="0" borderId="0" xfId="13" applyFont="1" applyAlignment="1">
      <alignment horizontal="right" vertical="center"/>
    </xf>
    <xf numFmtId="0" fontId="5" fillId="0" borderId="0" xfId="13" applyFont="1" applyAlignment="1">
      <alignment vertical="center"/>
    </xf>
    <xf numFmtId="0" fontId="15" fillId="0" borderId="0" xfId="13" applyFont="1" applyAlignment="1">
      <alignment vertical="center"/>
    </xf>
    <xf numFmtId="0" fontId="5" fillId="0" borderId="0" xfId="13" applyFont="1" applyAlignment="1">
      <alignment horizontal="left" vertical="center"/>
    </xf>
    <xf numFmtId="0" fontId="30" fillId="0" borderId="0" xfId="14" applyFont="1" applyAlignment="1">
      <alignment horizontal="left" vertical="center"/>
    </xf>
    <xf numFmtId="0" fontId="5" fillId="0" borderId="0" xfId="14" applyFont="1" applyAlignment="1">
      <alignment horizontal="left" vertical="center"/>
    </xf>
    <xf numFmtId="0" fontId="26" fillId="0" borderId="0" xfId="15" applyAlignment="1">
      <alignment vertical="center"/>
    </xf>
    <xf numFmtId="0" fontId="15" fillId="40" borderId="3" xfId="3" applyFont="1" applyFill="1" applyBorder="1" applyAlignment="1">
      <alignment horizontal="center" vertical="center"/>
    </xf>
    <xf numFmtId="0" fontId="33" fillId="0" borderId="0" xfId="16"/>
    <xf numFmtId="0" fontId="2" fillId="0" borderId="0" xfId="14" applyAlignment="1">
      <alignment vertical="center"/>
    </xf>
    <xf numFmtId="0" fontId="23" fillId="41" borderId="0" xfId="0" applyFont="1" applyFill="1" applyAlignment="1">
      <alignment horizontal="right" vertical="center" wrapText="1"/>
    </xf>
    <xf numFmtId="0" fontId="5" fillId="41" borderId="0" xfId="0" applyFont="1" applyFill="1" applyAlignment="1">
      <alignment horizontal="center" vertical="center"/>
    </xf>
    <xf numFmtId="0" fontId="46" fillId="42" borderId="0" xfId="0" applyFont="1" applyFill="1" applyAlignment="1">
      <alignment horizontal="right" vertical="center"/>
    </xf>
    <xf numFmtId="0" fontId="46" fillId="42" borderId="0" xfId="0" applyFont="1" applyFill="1" applyAlignment="1">
      <alignment horizontal="center" vertical="center"/>
    </xf>
    <xf numFmtId="0" fontId="23" fillId="43" borderId="0" xfId="0" applyFont="1" applyFill="1" applyAlignment="1">
      <alignment horizontal="right" vertical="center"/>
    </xf>
    <xf numFmtId="0" fontId="23" fillId="43" borderId="0" xfId="0" applyFont="1" applyFill="1" applyAlignment="1">
      <alignment horizontal="center" vertical="center"/>
    </xf>
    <xf numFmtId="0" fontId="46" fillId="44" borderId="0" xfId="0" applyFont="1" applyFill="1" applyAlignment="1">
      <alignment horizontal="right" vertical="center"/>
    </xf>
    <xf numFmtId="0" fontId="46" fillId="44" borderId="0" xfId="0" applyFont="1" applyFill="1" applyAlignment="1">
      <alignment horizontal="center" vertical="center"/>
    </xf>
    <xf numFmtId="0" fontId="3" fillId="30" borderId="0" xfId="14" applyFont="1" applyFill="1" applyAlignment="1">
      <alignment vertical="center"/>
    </xf>
    <xf numFmtId="0" fontId="17" fillId="30" borderId="0" xfId="14" applyFont="1" applyFill="1" applyAlignment="1">
      <alignment horizontal="center" vertical="center" wrapText="1"/>
    </xf>
    <xf numFmtId="0" fontId="46" fillId="45" borderId="0" xfId="0" applyFont="1" applyFill="1" applyAlignment="1">
      <alignment horizontal="right" vertical="center"/>
    </xf>
    <xf numFmtId="0" fontId="47" fillId="45" borderId="0" xfId="0" applyFont="1" applyFill="1" applyAlignment="1">
      <alignment horizontal="center" vertical="center"/>
    </xf>
    <xf numFmtId="0" fontId="46" fillId="46" borderId="0" xfId="0" applyFont="1" applyFill="1" applyAlignment="1">
      <alignment horizontal="right" vertical="center"/>
    </xf>
    <xf numFmtId="0" fontId="46" fillId="46" borderId="0" xfId="0" applyFont="1" applyFill="1" applyAlignment="1">
      <alignment horizontal="center" vertical="center"/>
    </xf>
    <xf numFmtId="0" fontId="48" fillId="47" borderId="0" xfId="0" applyFont="1" applyFill="1" applyAlignment="1">
      <alignment horizontal="right" vertical="center"/>
    </xf>
    <xf numFmtId="0" fontId="48" fillId="47" borderId="0" xfId="0" applyFont="1" applyFill="1" applyAlignment="1">
      <alignment horizontal="center" vertical="center"/>
    </xf>
    <xf numFmtId="0" fontId="46" fillId="48" borderId="0" xfId="0" applyFont="1" applyFill="1" applyAlignment="1">
      <alignment horizontal="right" vertical="center"/>
    </xf>
    <xf numFmtId="0" fontId="46" fillId="48" borderId="0" xfId="0" applyFont="1" applyFill="1" applyAlignment="1">
      <alignment horizontal="center" vertical="center"/>
    </xf>
    <xf numFmtId="0" fontId="23" fillId="0" borderId="0" xfId="14" applyFont="1" applyAlignment="1">
      <alignment vertical="center" wrapText="1"/>
    </xf>
    <xf numFmtId="0" fontId="23" fillId="0" borderId="14" xfId="14" applyFont="1" applyBorder="1" applyAlignment="1">
      <alignment vertical="center" wrapText="1"/>
    </xf>
    <xf numFmtId="0" fontId="23" fillId="49" borderId="0" xfId="0" applyFont="1" applyFill="1" applyAlignment="1">
      <alignment horizontal="right" vertical="center"/>
    </xf>
    <xf numFmtId="0" fontId="5" fillId="49" borderId="0" xfId="0" applyFont="1" applyFill="1" applyAlignment="1">
      <alignment horizontal="center" vertical="center"/>
    </xf>
    <xf numFmtId="0" fontId="23" fillId="50" borderId="0" xfId="0" applyFont="1" applyFill="1" applyAlignment="1">
      <alignment horizontal="right" vertical="center"/>
    </xf>
    <xf numFmtId="0" fontId="23" fillId="50" borderId="0" xfId="0" applyFont="1" applyFill="1" applyAlignment="1">
      <alignment horizontal="center" vertical="center"/>
    </xf>
    <xf numFmtId="0" fontId="23" fillId="51" borderId="0" xfId="0" applyFont="1" applyFill="1" applyAlignment="1">
      <alignment horizontal="right" vertical="center"/>
    </xf>
    <xf numFmtId="0" fontId="23" fillId="51" borderId="0" xfId="0" applyFont="1" applyFill="1" applyAlignment="1">
      <alignment horizontal="center" vertical="center"/>
    </xf>
    <xf numFmtId="0" fontId="39" fillId="0" borderId="0" xfId="14" applyFont="1" applyAlignment="1">
      <alignment vertical="center" wrapText="1"/>
    </xf>
    <xf numFmtId="0" fontId="39" fillId="0" borderId="0" xfId="14" applyFont="1" applyAlignment="1">
      <alignment horizontal="left" vertical="center" wrapText="1"/>
    </xf>
    <xf numFmtId="0" fontId="39" fillId="0" borderId="0" xfId="14" applyFont="1" applyAlignment="1">
      <alignment horizontal="left" vertical="center"/>
    </xf>
    <xf numFmtId="0" fontId="40" fillId="0" borderId="0" xfId="14" applyFont="1" applyAlignment="1">
      <alignment horizontal="left" vertical="center" wrapText="1"/>
    </xf>
    <xf numFmtId="0" fontId="46" fillId="52" borderId="0" xfId="0" applyFont="1" applyFill="1" applyAlignment="1">
      <alignment horizontal="right" vertical="center"/>
    </xf>
    <xf numFmtId="0" fontId="47" fillId="52" borderId="0" xfId="0" applyFont="1" applyFill="1" applyAlignment="1">
      <alignment horizontal="center" vertical="center"/>
    </xf>
    <xf numFmtId="0" fontId="46" fillId="53" borderId="0" xfId="0" applyFont="1" applyFill="1" applyAlignment="1">
      <alignment horizontal="right" vertical="center"/>
    </xf>
    <xf numFmtId="0" fontId="46" fillId="53" borderId="0" xfId="0" applyFont="1" applyFill="1" applyAlignment="1">
      <alignment horizontal="center" vertical="center"/>
    </xf>
    <xf numFmtId="0" fontId="23" fillId="54" borderId="0" xfId="0" applyFont="1" applyFill="1" applyAlignment="1">
      <alignment horizontal="right" vertical="center"/>
    </xf>
    <xf numFmtId="0" fontId="23" fillId="54" borderId="0" xfId="0" applyFont="1" applyFill="1" applyAlignment="1">
      <alignment horizontal="center" vertical="center"/>
    </xf>
    <xf numFmtId="0" fontId="15" fillId="0" borderId="0" xfId="14" applyFont="1" applyAlignment="1">
      <alignment horizontal="left" vertical="center"/>
    </xf>
    <xf numFmtId="0" fontId="17" fillId="6" borderId="0" xfId="14" applyFont="1" applyFill="1" applyAlignment="1">
      <alignment horizontal="center" vertical="center" wrapText="1"/>
    </xf>
    <xf numFmtId="0" fontId="41" fillId="32" borderId="0" xfId="14" applyFont="1" applyFill="1" applyAlignment="1">
      <alignment horizontal="center" vertical="center" wrapText="1"/>
    </xf>
    <xf numFmtId="0" fontId="16" fillId="33" borderId="0" xfId="14" applyFont="1" applyFill="1" applyAlignment="1">
      <alignment horizontal="center" vertical="center" wrapText="1"/>
    </xf>
    <xf numFmtId="0" fontId="29" fillId="34" borderId="0" xfId="14" applyFont="1" applyFill="1" applyAlignment="1">
      <alignment horizontal="center" vertical="center" wrapText="1"/>
    </xf>
    <xf numFmtId="0" fontId="5" fillId="2" borderId="15" xfId="14" applyFont="1" applyFill="1" applyBorder="1" applyAlignment="1">
      <alignment horizontal="center" vertical="center" wrapText="1"/>
    </xf>
    <xf numFmtId="0" fontId="5" fillId="35" borderId="16" xfId="14" applyFont="1" applyFill="1" applyBorder="1" applyAlignment="1">
      <alignment horizontal="left" vertical="center" wrapText="1"/>
    </xf>
    <xf numFmtId="0" fontId="5" fillId="23" borderId="16" xfId="14" applyFont="1" applyFill="1" applyBorder="1" applyAlignment="1">
      <alignment vertical="center" wrapText="1"/>
    </xf>
    <xf numFmtId="0" fontId="5" fillId="36" borderId="16" xfId="14" applyFont="1" applyFill="1" applyBorder="1" applyAlignment="1">
      <alignment vertical="center" wrapText="1"/>
    </xf>
    <xf numFmtId="0" fontId="5" fillId="35" borderId="16" xfId="14" applyFont="1" applyFill="1" applyBorder="1" applyAlignment="1">
      <alignment horizontal="center" vertical="center" wrapText="1"/>
    </xf>
    <xf numFmtId="0" fontId="5" fillId="36" borderId="17" xfId="14" applyFont="1" applyFill="1" applyBorder="1" applyAlignment="1">
      <alignment horizontal="center" vertical="center" wrapText="1"/>
    </xf>
    <xf numFmtId="0" fontId="5" fillId="2" borderId="18" xfId="14" applyFont="1" applyFill="1" applyBorder="1" applyAlignment="1">
      <alignment horizontal="center" vertical="center" wrapText="1"/>
    </xf>
    <xf numFmtId="0" fontId="5" fillId="35" borderId="19" xfId="14" applyFont="1" applyFill="1" applyBorder="1" applyAlignment="1">
      <alignment horizontal="left" vertical="center" wrapText="1"/>
    </xf>
    <xf numFmtId="0" fontId="5" fillId="23" borderId="19" xfId="14" applyFont="1" applyFill="1" applyBorder="1" applyAlignment="1">
      <alignment vertical="center" wrapText="1"/>
    </xf>
    <xf numFmtId="0" fontId="5" fillId="36" borderId="19" xfId="14" applyFont="1" applyFill="1" applyBorder="1" applyAlignment="1">
      <alignment vertical="center" wrapText="1"/>
    </xf>
    <xf numFmtId="0" fontId="5" fillId="35" borderId="19" xfId="14" applyFont="1" applyFill="1" applyBorder="1" applyAlignment="1">
      <alignment horizontal="center" vertical="center" wrapText="1"/>
    </xf>
    <xf numFmtId="0" fontId="5" fillId="36" borderId="20" xfId="14" applyFont="1" applyFill="1" applyBorder="1" applyAlignment="1">
      <alignment horizontal="center" vertical="center" wrapText="1"/>
    </xf>
    <xf numFmtId="0" fontId="2" fillId="0" borderId="0" xfId="14" applyAlignment="1">
      <alignment horizontal="left" vertical="center"/>
    </xf>
    <xf numFmtId="0" fontId="3" fillId="0" borderId="0" xfId="14" applyFont="1" applyAlignment="1">
      <alignment vertical="center"/>
    </xf>
    <xf numFmtId="0" fontId="23" fillId="0" borderId="29" xfId="14" applyFont="1" applyBorder="1" applyAlignment="1">
      <alignment vertical="center" wrapText="1"/>
    </xf>
    <xf numFmtId="0" fontId="23" fillId="0" borderId="30" xfId="14" applyFont="1" applyBorder="1" applyAlignment="1">
      <alignment vertical="center" wrapText="1"/>
    </xf>
    <xf numFmtId="0" fontId="2" fillId="0" borderId="0" xfId="10" applyAlignment="1">
      <alignment vertical="center"/>
    </xf>
    <xf numFmtId="0" fontId="5" fillId="17" borderId="0" xfId="12" applyFont="1" applyFill="1" applyAlignment="1">
      <alignment vertical="center"/>
    </xf>
    <xf numFmtId="0" fontId="53" fillId="23" borderId="0" xfId="10" applyFont="1" applyFill="1" applyAlignment="1">
      <alignment horizontal="center" vertical="center"/>
    </xf>
    <xf numFmtId="0" fontId="55" fillId="23" borderId="33" xfId="10" applyFont="1" applyFill="1" applyBorder="1" applyAlignment="1">
      <alignment horizontal="center" vertical="center"/>
    </xf>
    <xf numFmtId="0" fontId="55" fillId="23" borderId="34" xfId="10" applyFont="1" applyFill="1" applyBorder="1" applyAlignment="1">
      <alignment horizontal="center" vertical="center"/>
    </xf>
    <xf numFmtId="0" fontId="2" fillId="5" borderId="0" xfId="10" applyFill="1" applyAlignment="1">
      <alignment vertical="center"/>
    </xf>
    <xf numFmtId="0" fontId="55" fillId="23" borderId="36" xfId="10" applyFont="1" applyFill="1" applyBorder="1" applyAlignment="1">
      <alignment horizontal="center" vertical="center"/>
    </xf>
    <xf numFmtId="0" fontId="2" fillId="0" borderId="0" xfId="2"/>
    <xf numFmtId="0" fontId="49" fillId="0" borderId="0" xfId="0" applyFont="1" applyAlignment="1">
      <alignment horizontal="center" vertical="center"/>
    </xf>
    <xf numFmtId="0" fontId="0" fillId="0" borderId="0" xfId="0" applyAlignment="1">
      <alignment vertical="center"/>
    </xf>
    <xf numFmtId="0" fontId="49" fillId="0" borderId="0" xfId="0" applyFont="1" applyAlignment="1">
      <alignment horizontal="left" vertical="center"/>
    </xf>
    <xf numFmtId="0" fontId="58" fillId="5" borderId="0" xfId="0" applyFont="1" applyFill="1" applyAlignment="1">
      <alignment horizontal="left" vertical="center"/>
    </xf>
    <xf numFmtId="0" fontId="2" fillId="5" borderId="0" xfId="2" applyFill="1"/>
    <xf numFmtId="0" fontId="59" fillId="5" borderId="0" xfId="2" applyFont="1" applyFill="1"/>
    <xf numFmtId="0" fontId="33" fillId="0" borderId="0" xfId="13" applyFont="1" applyAlignment="1">
      <alignment horizontal="left" vertical="center"/>
    </xf>
    <xf numFmtId="0" fontId="33" fillId="0" borderId="0" xfId="13" applyFont="1" applyAlignment="1">
      <alignment horizontal="center" vertical="center"/>
    </xf>
    <xf numFmtId="0" fontId="49" fillId="72" borderId="0" xfId="0" applyFont="1" applyFill="1" applyAlignment="1">
      <alignment horizontal="right" vertical="center" wrapText="1"/>
    </xf>
    <xf numFmtId="0" fontId="41" fillId="69" borderId="0" xfId="13" applyFont="1" applyFill="1" applyAlignment="1">
      <alignment horizontal="left" vertical="center"/>
    </xf>
    <xf numFmtId="0" fontId="41" fillId="69" borderId="0" xfId="13" applyFont="1" applyFill="1" applyAlignment="1">
      <alignment horizontal="center" vertical="center"/>
    </xf>
    <xf numFmtId="0" fontId="7" fillId="6" borderId="0" xfId="13" applyFont="1" applyFill="1" applyAlignment="1">
      <alignment horizontal="center" vertical="center" wrapText="1"/>
    </xf>
    <xf numFmtId="0" fontId="16" fillId="6" borderId="0" xfId="13" applyFont="1" applyFill="1" applyAlignment="1">
      <alignment horizontal="center" vertical="center" wrapText="1"/>
    </xf>
    <xf numFmtId="0" fontId="2" fillId="0" borderId="0" xfId="2" applyAlignment="1">
      <alignment horizontal="center" vertical="center"/>
    </xf>
    <xf numFmtId="0" fontId="2" fillId="0" borderId="0" xfId="2" applyAlignment="1">
      <alignment vertical="center"/>
    </xf>
    <xf numFmtId="0" fontId="5" fillId="73" borderId="0" xfId="2" applyFont="1" applyFill="1" applyAlignment="1">
      <alignment horizontal="right" vertical="center" wrapText="1"/>
    </xf>
    <xf numFmtId="0" fontId="5" fillId="0" borderId="0" xfId="13" applyFont="1" applyAlignment="1">
      <alignment horizontal="center" vertical="center" wrapText="1"/>
    </xf>
    <xf numFmtId="0" fontId="5" fillId="0" borderId="0" xfId="2" applyFont="1" applyAlignment="1">
      <alignment vertical="center" wrapText="1"/>
    </xf>
    <xf numFmtId="0" fontId="5" fillId="4" borderId="0" xfId="2" applyFont="1" applyFill="1" applyAlignment="1">
      <alignment horizontal="right" vertical="center" wrapText="1"/>
    </xf>
    <xf numFmtId="0" fontId="5" fillId="4" borderId="0" xfId="13" applyFont="1" applyFill="1" applyAlignment="1">
      <alignment horizontal="center" vertical="center" wrapText="1"/>
    </xf>
    <xf numFmtId="0" fontId="5" fillId="4" borderId="0" xfId="2" applyFont="1" applyFill="1" applyAlignment="1">
      <alignment vertical="center" wrapText="1"/>
    </xf>
    <xf numFmtId="0" fontId="33" fillId="4" borderId="0" xfId="13" applyFont="1" applyFill="1" applyAlignment="1">
      <alignment vertical="center" wrapText="1"/>
    </xf>
    <xf numFmtId="0" fontId="26" fillId="0" borderId="0" xfId="13" applyAlignment="1">
      <alignment horizontal="center" vertical="center"/>
    </xf>
    <xf numFmtId="0" fontId="26" fillId="0" borderId="0" xfId="13" applyAlignment="1">
      <alignment vertical="center"/>
    </xf>
    <xf numFmtId="0" fontId="5" fillId="71" borderId="0" xfId="2" applyFont="1" applyFill="1" applyAlignment="1">
      <alignment horizontal="right" vertical="center" wrapText="1"/>
    </xf>
    <xf numFmtId="0" fontId="28" fillId="22" borderId="0" xfId="13" applyFont="1" applyFill="1" applyAlignment="1">
      <alignment horizontal="right" vertical="center" wrapText="1"/>
    </xf>
    <xf numFmtId="0" fontId="28" fillId="22" borderId="0" xfId="13" applyFont="1" applyFill="1" applyAlignment="1">
      <alignment horizontal="center" vertical="center" wrapText="1"/>
    </xf>
    <xf numFmtId="0" fontId="28" fillId="22" borderId="0" xfId="13" applyFont="1" applyFill="1" applyAlignment="1">
      <alignment vertical="center" wrapText="1"/>
    </xf>
    <xf numFmtId="0" fontId="33" fillId="71" borderId="0" xfId="13" applyFont="1" applyFill="1" applyAlignment="1">
      <alignment horizontal="right" vertical="center" wrapText="1"/>
    </xf>
    <xf numFmtId="0" fontId="33" fillId="0" borderId="0" xfId="13" applyFont="1" applyAlignment="1">
      <alignment horizontal="center" vertical="center" wrapText="1"/>
    </xf>
    <xf numFmtId="0" fontId="33" fillId="73" borderId="0" xfId="13" applyFont="1" applyFill="1" applyAlignment="1">
      <alignment horizontal="right" vertical="center" wrapText="1"/>
    </xf>
    <xf numFmtId="0" fontId="2" fillId="5" borderId="0" xfId="2" applyFill="1" applyAlignment="1">
      <alignment vertical="center"/>
    </xf>
    <xf numFmtId="0" fontId="32" fillId="23" borderId="0" xfId="13" applyFont="1" applyFill="1" applyAlignment="1">
      <alignment horizontal="center" vertical="center" wrapText="1"/>
    </xf>
    <xf numFmtId="0" fontId="32" fillId="23" borderId="0" xfId="13" applyFont="1" applyFill="1" applyAlignment="1">
      <alignment vertical="center" wrapText="1"/>
    </xf>
    <xf numFmtId="0" fontId="41" fillId="74" borderId="0" xfId="13" applyFont="1" applyFill="1" applyAlignment="1">
      <alignment horizontal="center" vertical="center" wrapText="1"/>
    </xf>
    <xf numFmtId="0" fontId="15" fillId="18" borderId="0" xfId="13" applyFont="1" applyFill="1" applyAlignment="1">
      <alignment horizontal="center" vertical="center" wrapText="1"/>
    </xf>
    <xf numFmtId="0" fontId="61" fillId="5" borderId="0" xfId="3" applyFont="1" applyFill="1" applyAlignment="1" applyProtection="1">
      <alignment horizontal="center" vertical="center"/>
      <protection hidden="1"/>
    </xf>
    <xf numFmtId="0" fontId="52" fillId="57" borderId="0" xfId="11" applyFont="1" applyFill="1" applyAlignment="1">
      <alignment horizontal="center" vertical="center"/>
    </xf>
    <xf numFmtId="0" fontId="50" fillId="67" borderId="0" xfId="21" applyFont="1" applyFill="1" applyAlignment="1">
      <alignment vertical="center"/>
    </xf>
    <xf numFmtId="0" fontId="63" fillId="5" borderId="0" xfId="0" applyFont="1" applyFill="1" applyAlignment="1">
      <alignment horizontal="left" vertical="center"/>
    </xf>
    <xf numFmtId="0" fontId="64" fillId="75" borderId="40" xfId="3" applyFont="1" applyFill="1" applyBorder="1" applyAlignment="1" applyProtection="1">
      <alignment horizontal="left" vertical="center"/>
      <protection hidden="1"/>
    </xf>
    <xf numFmtId="0" fontId="64" fillId="75" borderId="40" xfId="3" applyFont="1" applyFill="1" applyBorder="1" applyAlignment="1" applyProtection="1">
      <alignment horizontal="center" vertical="center"/>
      <protection hidden="1"/>
    </xf>
    <xf numFmtId="0" fontId="65" fillId="5" borderId="40" xfId="3" applyFont="1" applyFill="1" applyBorder="1" applyAlignment="1" applyProtection="1">
      <alignment horizontal="center" vertical="center"/>
      <protection hidden="1"/>
    </xf>
    <xf numFmtId="0" fontId="66" fillId="5" borderId="0" xfId="3" applyFont="1" applyFill="1" applyAlignment="1" applyProtection="1">
      <alignment vertical="center"/>
      <protection hidden="1"/>
    </xf>
    <xf numFmtId="0" fontId="67" fillId="76" borderId="40" xfId="3" applyFont="1" applyFill="1" applyBorder="1" applyAlignment="1" applyProtection="1">
      <alignment horizontal="center" vertical="center"/>
      <protection hidden="1"/>
    </xf>
    <xf numFmtId="0" fontId="65" fillId="76" borderId="40" xfId="3" applyFont="1" applyFill="1" applyBorder="1" applyAlignment="1" applyProtection="1">
      <alignment horizontal="left" vertical="center"/>
      <protection hidden="1"/>
    </xf>
    <xf numFmtId="0" fontId="65" fillId="5" borderId="40" xfId="3" applyFont="1" applyFill="1" applyBorder="1" applyAlignment="1" applyProtection="1">
      <alignment horizontal="left" vertical="center"/>
      <protection hidden="1"/>
    </xf>
    <xf numFmtId="0" fontId="64" fillId="5" borderId="40" xfId="3" applyFont="1" applyFill="1" applyBorder="1" applyAlignment="1" applyProtection="1">
      <alignment horizontal="left" vertical="center"/>
      <protection hidden="1"/>
    </xf>
    <xf numFmtId="0" fontId="61" fillId="5" borderId="40" xfId="3" applyFont="1" applyFill="1" applyBorder="1" applyAlignment="1" applyProtection="1">
      <alignment horizontal="center" vertical="center"/>
      <protection hidden="1"/>
    </xf>
    <xf numFmtId="0" fontId="68" fillId="5" borderId="40" xfId="3" applyFont="1" applyFill="1" applyBorder="1" applyAlignment="1" applyProtection="1">
      <alignment horizontal="center" vertical="center"/>
      <protection hidden="1"/>
    </xf>
    <xf numFmtId="0" fontId="69" fillId="5" borderId="40" xfId="3" applyFont="1" applyFill="1" applyBorder="1" applyAlignment="1" applyProtection="1">
      <alignment horizontal="left" vertical="center"/>
      <protection hidden="1"/>
    </xf>
    <xf numFmtId="0" fontId="70" fillId="75" borderId="0" xfId="3" applyFont="1" applyFill="1" applyAlignment="1" applyProtection="1">
      <alignment horizontal="left" vertical="center"/>
      <protection hidden="1"/>
    </xf>
    <xf numFmtId="0" fontId="0" fillId="0" borderId="0" xfId="0" applyAlignment="1">
      <alignment horizontal="right" vertical="center"/>
    </xf>
    <xf numFmtId="0" fontId="56" fillId="0" borderId="0" xfId="20" applyAlignment="1">
      <alignment vertical="center"/>
    </xf>
    <xf numFmtId="0" fontId="64" fillId="5" borderId="0" xfId="3" applyFont="1" applyFill="1" applyAlignment="1" applyProtection="1">
      <alignment horizontal="left" vertical="center"/>
      <protection locked="0"/>
    </xf>
    <xf numFmtId="0" fontId="72" fillId="5" borderId="0" xfId="3" applyFont="1" applyFill="1" applyAlignment="1" applyProtection="1">
      <alignment horizontal="center" vertical="center"/>
      <protection hidden="1"/>
    </xf>
    <xf numFmtId="0" fontId="73" fillId="0" borderId="0" xfId="0" applyFont="1" applyAlignment="1">
      <alignment vertical="center"/>
    </xf>
    <xf numFmtId="0" fontId="73" fillId="0" borderId="0" xfId="0" applyFont="1" applyAlignment="1">
      <alignment horizontal="center" vertical="center"/>
    </xf>
    <xf numFmtId="0" fontId="74" fillId="75" borderId="0" xfId="3" applyFont="1" applyFill="1" applyAlignment="1">
      <alignment horizontal="center" vertical="center"/>
    </xf>
    <xf numFmtId="0" fontId="6" fillId="29" borderId="42" xfId="10" applyFont="1" applyFill="1" applyBorder="1" applyAlignment="1">
      <alignment vertical="center"/>
    </xf>
    <xf numFmtId="0" fontId="6" fillId="29" borderId="43" xfId="10" applyFont="1" applyFill="1" applyBorder="1" applyAlignment="1">
      <alignment vertical="center"/>
    </xf>
    <xf numFmtId="0" fontId="3" fillId="0" borderId="0" xfId="10" applyFont="1" applyAlignment="1">
      <alignment vertical="center"/>
    </xf>
    <xf numFmtId="0" fontId="6" fillId="29" borderId="46" xfId="10" applyFont="1" applyFill="1" applyBorder="1" applyAlignment="1">
      <alignment vertical="center"/>
    </xf>
    <xf numFmtId="0" fontId="6" fillId="29" borderId="47" xfId="10" applyFont="1" applyFill="1" applyBorder="1" applyAlignment="1">
      <alignment vertical="center"/>
    </xf>
    <xf numFmtId="0" fontId="15" fillId="9" borderId="44" xfId="10" applyFont="1" applyFill="1" applyBorder="1" applyAlignment="1">
      <alignment horizontal="right" vertical="center"/>
    </xf>
    <xf numFmtId="0" fontId="5" fillId="5" borderId="50" xfId="10" applyFont="1" applyFill="1" applyBorder="1" applyAlignment="1">
      <alignment vertical="center"/>
    </xf>
    <xf numFmtId="0" fontId="2" fillId="5" borderId="42" xfId="10" applyFill="1" applyBorder="1" applyAlignment="1">
      <alignment vertical="center"/>
    </xf>
    <xf numFmtId="0" fontId="5" fillId="5" borderId="42" xfId="10" applyFont="1" applyFill="1" applyBorder="1" applyAlignment="1">
      <alignment vertical="center"/>
    </xf>
    <xf numFmtId="0" fontId="5" fillId="5" borderId="43" xfId="10" applyFont="1" applyFill="1" applyBorder="1" applyAlignment="1">
      <alignment vertical="center"/>
    </xf>
    <xf numFmtId="0" fontId="5" fillId="5" borderId="51" xfId="10" applyFont="1" applyFill="1" applyBorder="1" applyAlignment="1">
      <alignment vertical="center"/>
    </xf>
    <xf numFmtId="0" fontId="5" fillId="5" borderId="0" xfId="10" applyFont="1" applyFill="1" applyAlignment="1">
      <alignment vertical="center"/>
    </xf>
    <xf numFmtId="0" fontId="5" fillId="5" borderId="52" xfId="10" applyFont="1" applyFill="1" applyBorder="1" applyAlignment="1">
      <alignment vertical="center"/>
    </xf>
    <xf numFmtId="0" fontId="5" fillId="5" borderId="53" xfId="10" applyFont="1" applyFill="1" applyBorder="1" applyAlignment="1">
      <alignment vertical="center"/>
    </xf>
    <xf numFmtId="0" fontId="2" fillId="5" borderId="46" xfId="10" applyFill="1" applyBorder="1" applyAlignment="1">
      <alignment vertical="center"/>
    </xf>
    <xf numFmtId="0" fontId="5" fillId="5" borderId="46" xfId="10" applyFont="1" applyFill="1" applyBorder="1" applyAlignment="1">
      <alignment vertical="center"/>
    </xf>
    <xf numFmtId="0" fontId="5" fillId="5" borderId="47" xfId="10" applyFont="1" applyFill="1" applyBorder="1" applyAlignment="1">
      <alignment vertical="center"/>
    </xf>
    <xf numFmtId="0" fontId="7" fillId="29" borderId="44" xfId="10" applyFont="1" applyFill="1" applyBorder="1" applyAlignment="1">
      <alignment horizontal="center" vertical="center" wrapText="1"/>
    </xf>
    <xf numFmtId="0" fontId="14" fillId="77" borderId="44" xfId="10" applyFont="1" applyFill="1" applyBorder="1" applyAlignment="1">
      <alignment horizontal="center" vertical="center" wrapText="1"/>
    </xf>
    <xf numFmtId="0" fontId="15" fillId="77" borderId="44" xfId="10" applyFont="1" applyFill="1" applyBorder="1" applyAlignment="1">
      <alignment vertical="center" wrapText="1"/>
    </xf>
    <xf numFmtId="0" fontId="5" fillId="77" borderId="44" xfId="10" applyFont="1" applyFill="1" applyBorder="1" applyAlignment="1">
      <alignment vertical="center" wrapText="1"/>
    </xf>
    <xf numFmtId="0" fontId="5" fillId="77" borderId="44" xfId="10" applyFont="1" applyFill="1" applyBorder="1" applyAlignment="1">
      <alignment horizontal="center" vertical="center" wrapText="1"/>
    </xf>
    <xf numFmtId="0" fontId="75" fillId="23" borderId="44" xfId="10" applyFont="1" applyFill="1" applyBorder="1" applyAlignment="1">
      <alignment horizontal="center" vertical="center" wrapText="1"/>
    </xf>
    <xf numFmtId="0" fontId="76" fillId="23" borderId="44" xfId="10" applyFont="1" applyFill="1" applyBorder="1" applyAlignment="1">
      <alignment horizontal="center" vertical="center" wrapText="1"/>
    </xf>
    <xf numFmtId="0" fontId="22" fillId="23" borderId="44" xfId="10" applyFont="1" applyFill="1" applyBorder="1" applyAlignment="1">
      <alignment vertical="center" wrapText="1"/>
    </xf>
    <xf numFmtId="0" fontId="30" fillId="23" borderId="44" xfId="10" applyFont="1" applyFill="1" applyBorder="1" applyAlignment="1">
      <alignment vertical="center" wrapText="1"/>
    </xf>
    <xf numFmtId="0" fontId="14" fillId="9" borderId="44" xfId="10" applyFont="1" applyFill="1" applyBorder="1" applyAlignment="1">
      <alignment horizontal="center" vertical="center" wrapText="1"/>
    </xf>
    <xf numFmtId="0" fontId="0" fillId="0" borderId="0" xfId="0" applyAlignment="1">
      <alignment horizontal="center" vertical="center"/>
    </xf>
    <xf numFmtId="0" fontId="62" fillId="61" borderId="0" xfId="3" applyFont="1" applyFill="1" applyAlignment="1" applyProtection="1">
      <alignment vertical="center"/>
      <protection hidden="1"/>
    </xf>
    <xf numFmtId="0" fontId="1" fillId="0" borderId="0" xfId="21" applyAlignment="1">
      <alignment vertical="center"/>
    </xf>
    <xf numFmtId="0" fontId="0" fillId="76" borderId="0" xfId="0" applyFill="1" applyAlignment="1">
      <alignment vertical="center"/>
    </xf>
    <xf numFmtId="0" fontId="71" fillId="0" borderId="0" xfId="0" applyFont="1" applyAlignment="1">
      <alignment vertical="center"/>
    </xf>
    <xf numFmtId="0" fontId="1" fillId="5" borderId="0" xfId="1" applyFill="1" applyAlignment="1">
      <alignment vertical="center" wrapText="1"/>
    </xf>
    <xf numFmtId="0" fontId="0" fillId="18" borderId="0" xfId="0" applyFill="1" applyAlignment="1">
      <alignment horizontal="center" vertical="center"/>
    </xf>
    <xf numFmtId="0" fontId="0" fillId="60" borderId="0" xfId="0" applyFill="1" applyAlignment="1">
      <alignment horizontal="center" vertical="center"/>
    </xf>
    <xf numFmtId="0" fontId="0" fillId="72" borderId="0" xfId="0" applyFill="1" applyAlignment="1">
      <alignment horizontal="center" vertical="center"/>
    </xf>
    <xf numFmtId="0" fontId="0" fillId="72" borderId="0" xfId="0" applyFill="1" applyAlignment="1">
      <alignment vertical="center"/>
    </xf>
    <xf numFmtId="0" fontId="78" fillId="18" borderId="0" xfId="0" applyFont="1" applyFill="1" applyAlignment="1">
      <alignment horizontal="center" vertical="center"/>
    </xf>
    <xf numFmtId="0" fontId="78" fillId="60" borderId="0" xfId="0" applyFont="1" applyFill="1" applyAlignment="1">
      <alignment horizontal="center" vertical="center"/>
    </xf>
    <xf numFmtId="0" fontId="78" fillId="72" borderId="0" xfId="0" applyFont="1" applyFill="1" applyAlignment="1">
      <alignment horizontal="center" vertical="center"/>
    </xf>
    <xf numFmtId="0" fontId="78" fillId="60" borderId="0" xfId="0" applyFont="1" applyFill="1" applyAlignment="1">
      <alignment horizontal="left" vertical="center"/>
    </xf>
    <xf numFmtId="0" fontId="0" fillId="60" borderId="0" xfId="0" applyFill="1" applyAlignment="1">
      <alignment horizontal="left" vertical="center"/>
    </xf>
    <xf numFmtId="0" fontId="71" fillId="7" borderId="0" xfId="0" applyFont="1" applyFill="1" applyAlignment="1">
      <alignment horizontal="left" vertical="center"/>
    </xf>
    <xf numFmtId="0" fontId="65" fillId="72" borderId="0" xfId="0" applyFont="1" applyFill="1" applyAlignment="1">
      <alignment horizontal="right" vertical="center"/>
    </xf>
    <xf numFmtId="0" fontId="64" fillId="72" borderId="0" xfId="0" applyFont="1" applyFill="1" applyAlignment="1">
      <alignment horizontal="right" vertical="center"/>
    </xf>
    <xf numFmtId="0" fontId="78" fillId="72" borderId="0" xfId="0" applyFont="1" applyFill="1" applyAlignment="1">
      <alignment horizontal="right" vertical="center"/>
    </xf>
    <xf numFmtId="0" fontId="79" fillId="72" borderId="0" xfId="0" applyFont="1" applyFill="1" applyAlignment="1">
      <alignment horizontal="right" vertical="center"/>
    </xf>
    <xf numFmtId="0" fontId="80" fillId="5" borderId="0" xfId="0" applyFont="1" applyFill="1" applyAlignment="1">
      <alignment horizontal="left" vertical="center"/>
    </xf>
    <xf numFmtId="0" fontId="81" fillId="5" borderId="0" xfId="0" applyFont="1" applyFill="1" applyAlignment="1">
      <alignment vertical="center"/>
    </xf>
    <xf numFmtId="0" fontId="78" fillId="0" borderId="0" xfId="0" applyFont="1" applyAlignment="1">
      <alignment vertical="center"/>
    </xf>
    <xf numFmtId="0" fontId="78" fillId="0" borderId="0" xfId="0" applyFont="1" applyAlignment="1">
      <alignment horizontal="right" vertical="center"/>
    </xf>
    <xf numFmtId="0" fontId="82" fillId="5" borderId="0" xfId="2" applyFont="1" applyFill="1"/>
    <xf numFmtId="0" fontId="5" fillId="4" borderId="0" xfId="2" applyFont="1" applyFill="1" applyAlignment="1">
      <alignment horizontal="left" vertical="center"/>
    </xf>
    <xf numFmtId="0" fontId="51" fillId="0" borderId="0" xfId="10" applyFont="1" applyAlignment="1">
      <alignment vertical="center"/>
    </xf>
    <xf numFmtId="0" fontId="83" fillId="20" borderId="0" xfId="10" applyFont="1" applyFill="1" applyAlignment="1">
      <alignment vertical="center"/>
    </xf>
    <xf numFmtId="0" fontId="2" fillId="20" borderId="0" xfId="10" applyFill="1" applyAlignment="1">
      <alignment vertical="center"/>
    </xf>
    <xf numFmtId="0" fontId="2" fillId="17" borderId="0" xfId="10" applyFill="1" applyAlignment="1">
      <alignment vertical="center"/>
    </xf>
    <xf numFmtId="0" fontId="2" fillId="0" borderId="0" xfId="10"/>
    <xf numFmtId="0" fontId="6" fillId="79" borderId="58" xfId="0" applyFont="1" applyFill="1" applyBorder="1" applyAlignment="1">
      <alignment horizontal="left" vertical="center"/>
    </xf>
    <xf numFmtId="0" fontId="60" fillId="79" borderId="0" xfId="0" applyFont="1" applyFill="1" applyAlignment="1">
      <alignment horizontal="left" vertical="center"/>
    </xf>
    <xf numFmtId="0" fontId="8" fillId="0" borderId="0" xfId="22" applyFont="1" applyAlignment="1">
      <alignment vertical="center"/>
    </xf>
    <xf numFmtId="0" fontId="42" fillId="38" borderId="0" xfId="23" applyFont="1" applyFill="1" applyAlignment="1">
      <alignment horizontal="center" vertical="center"/>
    </xf>
    <xf numFmtId="0" fontId="41" fillId="81" borderId="0" xfId="10" applyFont="1" applyFill="1" applyAlignment="1">
      <alignment horizontal="left" vertical="center"/>
    </xf>
    <xf numFmtId="0" fontId="41" fillId="81" borderId="0" xfId="10" applyFont="1" applyFill="1" applyAlignment="1">
      <alignment horizontal="right" vertical="center"/>
    </xf>
    <xf numFmtId="0" fontId="86" fillId="82" borderId="58" xfId="0" applyFont="1" applyFill="1" applyBorder="1" applyAlignment="1">
      <alignment horizontal="left" vertical="center"/>
    </xf>
    <xf numFmtId="0" fontId="87" fillId="82" borderId="0" xfId="0" applyFont="1" applyFill="1" applyAlignment="1">
      <alignment horizontal="center" vertical="center" wrapText="1"/>
    </xf>
    <xf numFmtId="0" fontId="51" fillId="0" borderId="0" xfId="10" applyFont="1" applyAlignment="1">
      <alignment horizontal="center" vertical="center"/>
    </xf>
    <xf numFmtId="0" fontId="88" fillId="17" borderId="0" xfId="10" applyFont="1" applyFill="1" applyAlignment="1">
      <alignment vertical="center"/>
    </xf>
    <xf numFmtId="0" fontId="87" fillId="83" borderId="62" xfId="0" applyFont="1" applyFill="1" applyBorder="1" applyAlignment="1">
      <alignment horizontal="center" vertical="center" wrapText="1"/>
    </xf>
    <xf numFmtId="0" fontId="87" fillId="83" borderId="63" xfId="0" applyFont="1" applyFill="1" applyBorder="1" applyAlignment="1">
      <alignment horizontal="center" vertical="center" wrapText="1"/>
    </xf>
    <xf numFmtId="0" fontId="87" fillId="83" borderId="63" xfId="0" applyFont="1" applyFill="1" applyBorder="1" applyAlignment="1">
      <alignment horizontal="left" vertical="center"/>
    </xf>
    <xf numFmtId="0" fontId="87" fillId="83" borderId="63" xfId="0" applyFont="1" applyFill="1" applyBorder="1" applyAlignment="1">
      <alignment horizontal="left" vertical="center" wrapText="1"/>
    </xf>
    <xf numFmtId="0" fontId="87" fillId="83" borderId="64" xfId="0" applyFont="1" applyFill="1" applyBorder="1" applyAlignment="1">
      <alignment horizontal="left" vertical="center" wrapText="1"/>
    </xf>
    <xf numFmtId="0" fontId="16" fillId="29" borderId="54" xfId="10" applyFont="1" applyFill="1" applyBorder="1" applyAlignment="1">
      <alignment vertical="center"/>
    </xf>
    <xf numFmtId="0" fontId="16" fillId="29" borderId="55" xfId="10" applyFont="1" applyFill="1" applyBorder="1" applyAlignment="1">
      <alignment vertical="center"/>
    </xf>
    <xf numFmtId="0" fontId="43" fillId="39" borderId="0" xfId="9" applyFont="1" applyFill="1" applyAlignment="1">
      <alignment horizontal="center" vertical="center"/>
    </xf>
    <xf numFmtId="0" fontId="86" fillId="82" borderId="70" xfId="0" applyFont="1" applyFill="1" applyBorder="1" applyAlignment="1">
      <alignment horizontal="left" vertical="center"/>
    </xf>
    <xf numFmtId="0" fontId="89" fillId="82" borderId="71" xfId="0" applyFont="1" applyFill="1" applyBorder="1" applyAlignment="1">
      <alignment horizontal="left" vertical="center"/>
    </xf>
    <xf numFmtId="0" fontId="87" fillId="82" borderId="71" xfId="0" applyFont="1" applyFill="1" applyBorder="1" applyAlignment="1">
      <alignment horizontal="left" vertical="center"/>
    </xf>
    <xf numFmtId="0" fontId="30" fillId="17" borderId="0" xfId="10" applyFont="1" applyFill="1" applyAlignment="1">
      <alignment horizontal="right" vertical="center"/>
    </xf>
    <xf numFmtId="0" fontId="90" fillId="84" borderId="72" xfId="10" applyFont="1" applyFill="1" applyBorder="1" applyAlignment="1">
      <alignment horizontal="center" vertical="center" wrapText="1"/>
    </xf>
    <xf numFmtId="0" fontId="51" fillId="0" borderId="61" xfId="10" applyFont="1" applyBorder="1" applyAlignment="1">
      <alignment vertical="center"/>
    </xf>
    <xf numFmtId="0" fontId="2" fillId="0" borderId="12" xfId="10" applyBorder="1" applyAlignment="1">
      <alignment vertical="center"/>
    </xf>
    <xf numFmtId="0" fontId="91" fillId="85" borderId="58" xfId="0" applyFont="1" applyFill="1" applyBorder="1" applyAlignment="1">
      <alignment horizontal="center" vertical="center" wrapText="1"/>
    </xf>
    <xf numFmtId="0" fontId="92" fillId="58" borderId="72" xfId="0" applyFont="1" applyFill="1" applyBorder="1" applyAlignment="1">
      <alignment horizontal="center" vertical="center" wrapText="1"/>
    </xf>
    <xf numFmtId="0" fontId="87" fillId="85" borderId="0" xfId="0" applyFont="1" applyFill="1" applyAlignment="1">
      <alignment horizontal="center" vertical="center" wrapText="1"/>
    </xf>
    <xf numFmtId="0" fontId="92" fillId="85" borderId="0" xfId="0" applyFont="1" applyFill="1" applyAlignment="1">
      <alignment horizontal="left" vertical="center"/>
    </xf>
    <xf numFmtId="0" fontId="85" fillId="86" borderId="31" xfId="10" applyFont="1" applyFill="1" applyBorder="1" applyAlignment="1">
      <alignment horizontal="right" vertical="center"/>
    </xf>
    <xf numFmtId="0" fontId="94" fillId="0" borderId="74" xfId="10" applyFont="1" applyBorder="1" applyAlignment="1">
      <alignment horizontal="center" vertical="center"/>
    </xf>
    <xf numFmtId="0" fontId="94" fillId="0" borderId="74" xfId="10" applyFont="1" applyBorder="1" applyAlignment="1">
      <alignment horizontal="left" vertical="center"/>
    </xf>
    <xf numFmtId="164" fontId="94" fillId="0" borderId="74" xfId="10" applyNumberFormat="1" applyFont="1" applyBorder="1" applyAlignment="1">
      <alignment horizontal="center" vertical="center"/>
    </xf>
    <xf numFmtId="1" fontId="94" fillId="0" borderId="74" xfId="10" applyNumberFormat="1" applyFont="1" applyBorder="1" applyAlignment="1">
      <alignment horizontal="center" vertical="center"/>
    </xf>
    <xf numFmtId="1" fontId="94" fillId="0" borderId="75" xfId="10" applyNumberFormat="1" applyFont="1" applyBorder="1" applyAlignment="1">
      <alignment horizontal="center" vertical="center"/>
    </xf>
    <xf numFmtId="0" fontId="91" fillId="85" borderId="0" xfId="0" applyFont="1" applyFill="1" applyAlignment="1">
      <alignment horizontal="left" vertical="center"/>
    </xf>
    <xf numFmtId="0" fontId="85" fillId="86" borderId="76" xfId="10" applyFont="1" applyFill="1" applyBorder="1" applyAlignment="1">
      <alignment horizontal="right" vertical="center"/>
    </xf>
    <xf numFmtId="0" fontId="85" fillId="86" borderId="68" xfId="10" applyFont="1" applyFill="1" applyBorder="1" applyAlignment="1">
      <alignment horizontal="right" vertical="center"/>
    </xf>
    <xf numFmtId="0" fontId="24" fillId="35" borderId="61" xfId="10" applyFont="1" applyFill="1" applyBorder="1" applyAlignment="1">
      <alignment horizontal="left" vertical="center"/>
    </xf>
    <xf numFmtId="0" fontId="24" fillId="35" borderId="0" xfId="10" applyFont="1" applyFill="1" applyAlignment="1">
      <alignment horizontal="left" vertical="center"/>
    </xf>
    <xf numFmtId="0" fontId="24" fillId="35" borderId="12" xfId="10" applyFont="1" applyFill="1" applyBorder="1" applyAlignment="1">
      <alignment horizontal="left" vertical="center"/>
    </xf>
    <xf numFmtId="0" fontId="92" fillId="58" borderId="9" xfId="0" applyFont="1" applyFill="1" applyBorder="1" applyAlignment="1">
      <alignment horizontal="center" vertical="center" wrapText="1"/>
    </xf>
    <xf numFmtId="0" fontId="51" fillId="17" borderId="0" xfId="10" applyFont="1" applyFill="1" applyAlignment="1">
      <alignment horizontal="center" vertical="center"/>
    </xf>
    <xf numFmtId="0" fontId="91" fillId="9" borderId="58" xfId="0" applyFont="1" applyFill="1" applyBorder="1" applyAlignment="1">
      <alignment horizontal="center" vertical="center" wrapText="1"/>
    </xf>
    <xf numFmtId="0" fontId="91" fillId="9" borderId="0" xfId="0" applyFont="1" applyFill="1" applyAlignment="1">
      <alignment horizontal="center" vertical="center" wrapText="1"/>
    </xf>
    <xf numFmtId="0" fontId="87" fillId="9" borderId="0" xfId="0" applyFont="1" applyFill="1" applyAlignment="1">
      <alignment horizontal="center" vertical="center" wrapText="1"/>
    </xf>
    <xf numFmtId="0" fontId="91" fillId="85" borderId="0" xfId="0" applyFont="1" applyFill="1" applyAlignment="1">
      <alignment horizontal="center" vertical="center" wrapText="1"/>
    </xf>
    <xf numFmtId="0" fontId="95" fillId="67" borderId="31" xfId="10" applyFont="1" applyFill="1" applyBorder="1" applyAlignment="1">
      <alignment horizontal="right" vertical="center"/>
    </xf>
    <xf numFmtId="0" fontId="15" fillId="86" borderId="65" xfId="10" applyFont="1" applyFill="1" applyBorder="1" applyAlignment="1">
      <alignment horizontal="right" vertical="center"/>
    </xf>
    <xf numFmtId="0" fontId="5" fillId="86" borderId="55" xfId="10" applyFont="1" applyFill="1" applyBorder="1" applyAlignment="1">
      <alignment horizontal="center" vertical="center"/>
    </xf>
    <xf numFmtId="0" fontId="5" fillId="86" borderId="32" xfId="10" applyFont="1" applyFill="1" applyBorder="1" applyAlignment="1">
      <alignment horizontal="center" vertical="center"/>
    </xf>
    <xf numFmtId="0" fontId="5" fillId="86" borderId="66" xfId="10" applyFont="1" applyFill="1" applyBorder="1" applyAlignment="1">
      <alignment horizontal="center" vertical="center"/>
    </xf>
    <xf numFmtId="0" fontId="86" fillId="87" borderId="70" xfId="0" applyFont="1" applyFill="1" applyBorder="1" applyAlignment="1">
      <alignment horizontal="left" vertical="center"/>
    </xf>
    <xf numFmtId="0" fontId="89" fillId="87" borderId="71" xfId="0" applyFont="1" applyFill="1" applyBorder="1" applyAlignment="1">
      <alignment horizontal="left" vertical="center"/>
    </xf>
    <xf numFmtId="0" fontId="87" fillId="87" borderId="71" xfId="0" applyFont="1" applyFill="1" applyBorder="1" applyAlignment="1">
      <alignment horizontal="left" vertical="center"/>
    </xf>
    <xf numFmtId="0" fontId="51" fillId="86" borderId="68" xfId="10" applyFont="1" applyFill="1" applyBorder="1" applyAlignment="1">
      <alignment horizontal="center" vertical="center"/>
    </xf>
    <xf numFmtId="0" fontId="51" fillId="86" borderId="0" xfId="10" applyFont="1" applyFill="1" applyAlignment="1">
      <alignment horizontal="left" vertical="center"/>
    </xf>
    <xf numFmtId="0" fontId="51" fillId="86" borderId="73" xfId="10" applyFont="1" applyFill="1" applyBorder="1" applyAlignment="1">
      <alignment horizontal="center" vertical="center"/>
    </xf>
    <xf numFmtId="0" fontId="22" fillId="17" borderId="35" xfId="10" applyFont="1" applyFill="1" applyBorder="1" applyAlignment="1">
      <alignment horizontal="right" vertical="center"/>
    </xf>
    <xf numFmtId="0" fontId="96" fillId="23" borderId="72" xfId="10" applyFont="1" applyFill="1" applyBorder="1" applyAlignment="1">
      <alignment horizontal="center" vertical="center"/>
    </xf>
    <xf numFmtId="0" fontId="5" fillId="86" borderId="76" xfId="10" applyFont="1" applyFill="1" applyBorder="1" applyAlignment="1">
      <alignment horizontal="center" vertical="center"/>
    </xf>
    <xf numFmtId="0" fontId="5" fillId="86" borderId="77" xfId="10" applyFont="1" applyFill="1" applyBorder="1" applyAlignment="1">
      <alignment horizontal="center" vertical="center"/>
    </xf>
    <xf numFmtId="0" fontId="15" fillId="86" borderId="35" xfId="10" applyFont="1" applyFill="1" applyBorder="1" applyAlignment="1">
      <alignment horizontal="right" vertical="center"/>
    </xf>
    <xf numFmtId="0" fontId="97" fillId="23" borderId="54" xfId="10" applyFont="1" applyFill="1" applyBorder="1" applyAlignment="1">
      <alignment horizontal="center" vertical="center"/>
    </xf>
    <xf numFmtId="0" fontId="97" fillId="23" borderId="56" xfId="10" applyFont="1" applyFill="1" applyBorder="1" applyAlignment="1">
      <alignment horizontal="left" vertical="center"/>
    </xf>
    <xf numFmtId="0" fontId="51" fillId="86" borderId="77" xfId="10" applyFont="1" applyFill="1" applyBorder="1" applyAlignment="1">
      <alignment horizontal="center" vertical="center"/>
    </xf>
    <xf numFmtId="0" fontId="94" fillId="0" borderId="78" xfId="10" applyFont="1" applyBorder="1" applyAlignment="1">
      <alignment horizontal="center" vertical="center"/>
    </xf>
    <xf numFmtId="0" fontId="94" fillId="0" borderId="78" xfId="10" applyFont="1" applyBorder="1" applyAlignment="1">
      <alignment horizontal="left" vertical="center"/>
    </xf>
    <xf numFmtId="164" fontId="94" fillId="0" borderId="78" xfId="10" applyNumberFormat="1" applyFont="1" applyBorder="1" applyAlignment="1">
      <alignment horizontal="center" vertical="center"/>
    </xf>
    <xf numFmtId="1" fontId="94" fillId="0" borderId="78" xfId="10" applyNumberFormat="1" applyFont="1" applyBorder="1" applyAlignment="1">
      <alignment horizontal="center" vertical="center"/>
    </xf>
    <xf numFmtId="1" fontId="94" fillId="0" borderId="79" xfId="10" applyNumberFormat="1" applyFont="1" applyBorder="1" applyAlignment="1">
      <alignment horizontal="center" vertical="center"/>
    </xf>
    <xf numFmtId="0" fontId="85" fillId="26" borderId="0" xfId="10" applyFont="1" applyFill="1" applyAlignment="1">
      <alignment horizontal="right" vertical="center"/>
    </xf>
    <xf numFmtId="0" fontId="15" fillId="49" borderId="31" xfId="10" applyFont="1" applyFill="1" applyBorder="1" applyAlignment="1">
      <alignment horizontal="right" vertical="center"/>
    </xf>
    <xf numFmtId="0" fontId="84" fillId="49" borderId="68" xfId="10" applyFont="1" applyFill="1" applyBorder="1" applyAlignment="1">
      <alignment horizontal="center" vertical="center"/>
    </xf>
    <xf numFmtId="0" fontId="84" fillId="49" borderId="68" xfId="10" applyFont="1" applyFill="1" applyBorder="1" applyAlignment="1">
      <alignment horizontal="left" vertical="center"/>
    </xf>
    <xf numFmtId="0" fontId="39" fillId="49" borderId="68" xfId="10" applyFont="1" applyFill="1" applyBorder="1" applyAlignment="1">
      <alignment horizontal="center" vertical="center"/>
    </xf>
    <xf numFmtId="0" fontId="86" fillId="90" borderId="70" xfId="0" applyFont="1" applyFill="1" applyBorder="1" applyAlignment="1">
      <alignment horizontal="left" vertical="center"/>
    </xf>
    <xf numFmtId="0" fontId="89" fillId="90" borderId="71" xfId="0" applyFont="1" applyFill="1" applyBorder="1" applyAlignment="1">
      <alignment horizontal="left" vertical="center"/>
    </xf>
    <xf numFmtId="0" fontId="87" fillId="90" borderId="71" xfId="0" applyFont="1" applyFill="1" applyBorder="1" applyAlignment="1">
      <alignment horizontal="left" vertical="center"/>
    </xf>
    <xf numFmtId="0" fontId="92" fillId="85" borderId="9" xfId="0" applyFont="1" applyFill="1" applyBorder="1" applyAlignment="1">
      <alignment horizontal="center" vertical="center" wrapText="1"/>
    </xf>
    <xf numFmtId="0" fontId="101" fillId="0" borderId="0" xfId="10" applyFont="1" applyAlignment="1">
      <alignment horizontal="center" vertical="center"/>
    </xf>
    <xf numFmtId="0" fontId="36" fillId="5" borderId="0" xfId="9" applyFont="1" applyFill="1" applyAlignment="1">
      <alignment horizontal="center" vertical="center"/>
    </xf>
    <xf numFmtId="0" fontId="92" fillId="85" borderId="9" xfId="0" applyFont="1" applyFill="1" applyBorder="1" applyAlignment="1">
      <alignment horizontal="left" vertical="center"/>
    </xf>
    <xf numFmtId="0" fontId="2" fillId="91" borderId="32" xfId="10" applyFill="1" applyBorder="1" applyAlignment="1">
      <alignment vertical="center"/>
    </xf>
    <xf numFmtId="0" fontId="14" fillId="91" borderId="32" xfId="15" applyFont="1" applyFill="1" applyBorder="1" applyAlignment="1">
      <alignment horizontal="right" vertical="center"/>
    </xf>
    <xf numFmtId="0" fontId="102" fillId="91" borderId="32" xfId="15" applyFont="1" applyFill="1" applyBorder="1" applyAlignment="1">
      <alignment vertical="center"/>
    </xf>
    <xf numFmtId="164" fontId="92" fillId="85" borderId="0" xfId="0" applyNumberFormat="1" applyFont="1" applyFill="1" applyAlignment="1">
      <alignment horizontal="left" vertical="center"/>
    </xf>
    <xf numFmtId="0" fontId="14" fillId="91" borderId="86" xfId="10" applyFont="1" applyFill="1" applyBorder="1" applyAlignment="1">
      <alignment horizontal="center" vertical="center" wrapText="1"/>
    </xf>
    <xf numFmtId="0" fontId="14" fillId="91" borderId="87" xfId="10" applyFont="1" applyFill="1" applyBorder="1" applyAlignment="1">
      <alignment horizontal="center" vertical="center" wrapText="1"/>
    </xf>
    <xf numFmtId="0" fontId="17" fillId="33" borderId="87" xfId="10" applyFont="1" applyFill="1" applyBorder="1" applyAlignment="1">
      <alignment horizontal="right" vertical="center" wrapText="1"/>
    </xf>
    <xf numFmtId="0" fontId="17" fillId="33" borderId="87" xfId="10" applyFont="1" applyFill="1" applyBorder="1" applyAlignment="1">
      <alignment horizontal="left" vertical="center" wrapText="1"/>
    </xf>
    <xf numFmtId="0" fontId="43" fillId="81" borderId="87" xfId="10" applyFont="1" applyFill="1" applyBorder="1" applyAlignment="1">
      <alignment horizontal="right" vertical="center" wrapText="1"/>
    </xf>
    <xf numFmtId="0" fontId="43" fillId="81" borderId="87" xfId="10" applyFont="1" applyFill="1" applyBorder="1" applyAlignment="1">
      <alignment horizontal="left" vertical="center" wrapText="1"/>
    </xf>
    <xf numFmtId="0" fontId="17" fillId="81" borderId="88" xfId="10" applyFont="1" applyFill="1" applyBorder="1" applyAlignment="1">
      <alignment horizontal="center" vertical="center" wrapText="1"/>
    </xf>
    <xf numFmtId="0" fontId="91" fillId="92" borderId="58" xfId="0" applyFont="1" applyFill="1" applyBorder="1" applyAlignment="1">
      <alignment horizontal="center" vertical="center" wrapText="1"/>
    </xf>
    <xf numFmtId="0" fontId="92" fillId="92" borderId="10" xfId="0" applyFont="1" applyFill="1" applyBorder="1" applyAlignment="1">
      <alignment horizontal="center" vertical="center" wrapText="1"/>
    </xf>
    <xf numFmtId="0" fontId="87" fillId="92" borderId="0" xfId="0" applyFont="1" applyFill="1" applyAlignment="1">
      <alignment horizontal="center" vertical="center" wrapText="1"/>
    </xf>
    <xf numFmtId="0" fontId="92" fillId="92" borderId="0" xfId="0" applyFont="1" applyFill="1" applyAlignment="1">
      <alignment horizontal="left" vertical="center"/>
    </xf>
    <xf numFmtId="0" fontId="51" fillId="59" borderId="74" xfId="10" applyFont="1" applyFill="1" applyBorder="1" applyAlignment="1">
      <alignment horizontal="center" vertical="center"/>
    </xf>
    <xf numFmtId="0" fontId="85" fillId="35" borderId="74" xfId="10" applyFont="1" applyFill="1" applyBorder="1" applyAlignment="1">
      <alignment horizontal="right" vertical="center"/>
    </xf>
    <xf numFmtId="0" fontId="94" fillId="35" borderId="89" xfId="10" applyFont="1" applyFill="1" applyBorder="1" applyAlignment="1">
      <alignment horizontal="right" vertical="center"/>
    </xf>
    <xf numFmtId="0" fontId="94" fillId="35" borderId="90" xfId="10" applyFont="1" applyFill="1" applyBorder="1" applyAlignment="1">
      <alignment horizontal="left" vertical="center"/>
    </xf>
    <xf numFmtId="0" fontId="15" fillId="93" borderId="89" xfId="10" applyFont="1" applyFill="1" applyBorder="1" applyAlignment="1">
      <alignment horizontal="right" vertical="center"/>
    </xf>
    <xf numFmtId="0" fontId="15" fillId="93" borderId="90" xfId="10" applyFont="1" applyFill="1" applyBorder="1" applyAlignment="1">
      <alignment horizontal="left" vertical="center"/>
    </xf>
    <xf numFmtId="0" fontId="15" fillId="94" borderId="89" xfId="10" applyFont="1" applyFill="1" applyBorder="1" applyAlignment="1">
      <alignment horizontal="right" vertical="center"/>
    </xf>
    <xf numFmtId="0" fontId="15" fillId="94" borderId="90" xfId="10" applyFont="1" applyFill="1" applyBorder="1" applyAlignment="1">
      <alignment horizontal="left" vertical="center"/>
    </xf>
    <xf numFmtId="0" fontId="103" fillId="26" borderId="74" xfId="10" applyFont="1" applyFill="1" applyBorder="1" applyAlignment="1">
      <alignment horizontal="center" vertical="center"/>
    </xf>
    <xf numFmtId="0" fontId="104" fillId="59" borderId="6" xfId="10" applyFont="1" applyFill="1" applyBorder="1" applyAlignment="1">
      <alignment horizontal="center" vertical="center"/>
    </xf>
    <xf numFmtId="165" fontId="104" fillId="59" borderId="6" xfId="10" applyNumberFormat="1" applyFont="1" applyFill="1" applyBorder="1" applyAlignment="1">
      <alignment horizontal="center" vertical="center"/>
    </xf>
    <xf numFmtId="0" fontId="92" fillId="92" borderId="91" xfId="0" applyFont="1" applyFill="1" applyBorder="1" applyAlignment="1">
      <alignment horizontal="center" vertical="center" wrapText="1"/>
    </xf>
    <xf numFmtId="0" fontId="86" fillId="83" borderId="70" xfId="0" applyFont="1" applyFill="1" applyBorder="1" applyAlignment="1">
      <alignment horizontal="left" vertical="center"/>
    </xf>
    <xf numFmtId="0" fontId="89" fillId="83" borderId="71" xfId="0" applyFont="1" applyFill="1" applyBorder="1" applyAlignment="1">
      <alignment horizontal="left" vertical="center"/>
    </xf>
    <xf numFmtId="0" fontId="87" fillId="83" borderId="71" xfId="0" applyFont="1" applyFill="1" applyBorder="1" applyAlignment="1">
      <alignment horizontal="left" vertical="center"/>
    </xf>
    <xf numFmtId="164" fontId="30" fillId="7" borderId="0" xfId="10" applyNumberFormat="1" applyFont="1" applyFill="1" applyAlignment="1">
      <alignment horizontal="center" vertical="center" wrapText="1"/>
    </xf>
    <xf numFmtId="164" fontId="30" fillId="16" borderId="0" xfId="10" applyNumberFormat="1" applyFont="1" applyFill="1" applyAlignment="1">
      <alignment horizontal="center" vertical="center" wrapText="1"/>
    </xf>
    <xf numFmtId="0" fontId="105" fillId="25" borderId="0" xfId="9" applyFont="1" applyFill="1" applyAlignment="1">
      <alignment horizontal="center" vertical="center"/>
    </xf>
    <xf numFmtId="0" fontId="15" fillId="49" borderId="0" xfId="10" applyFont="1" applyFill="1" applyAlignment="1">
      <alignment horizontal="right" vertical="center"/>
    </xf>
    <xf numFmtId="0" fontId="5" fillId="49" borderId="68" xfId="10" applyFont="1" applyFill="1" applyBorder="1" applyAlignment="1">
      <alignment vertical="center"/>
    </xf>
    <xf numFmtId="0" fontId="92" fillId="9" borderId="9" xfId="0" applyFont="1" applyFill="1" applyBorder="1" applyAlignment="1">
      <alignment horizontal="center" vertical="center" wrapText="1"/>
    </xf>
    <xf numFmtId="0" fontId="107" fillId="95" borderId="0" xfId="0" applyFont="1" applyFill="1" applyAlignment="1">
      <alignment horizontal="center" vertical="center" wrapText="1"/>
    </xf>
    <xf numFmtId="0" fontId="95" fillId="97" borderId="0" xfId="0" applyFont="1" applyFill="1" applyAlignment="1">
      <alignment horizontal="center" vertical="center" wrapText="1"/>
    </xf>
    <xf numFmtId="0" fontId="91" fillId="72" borderId="0" xfId="0" applyFont="1" applyFill="1" applyAlignment="1">
      <alignment horizontal="center" vertical="center" wrapText="1"/>
    </xf>
    <xf numFmtId="0" fontId="91" fillId="72" borderId="58" xfId="0" applyFont="1" applyFill="1" applyBorder="1" applyAlignment="1">
      <alignment horizontal="center" vertical="center" wrapText="1"/>
    </xf>
    <xf numFmtId="0" fontId="91" fillId="72" borderId="0" xfId="0" applyFont="1" applyFill="1" applyAlignment="1">
      <alignment horizontal="left" vertical="center"/>
    </xf>
    <xf numFmtId="0" fontId="91" fillId="92" borderId="93" xfId="0" applyFont="1" applyFill="1" applyBorder="1" applyAlignment="1">
      <alignment horizontal="center" vertical="center" wrapText="1"/>
    </xf>
    <xf numFmtId="0" fontId="91" fillId="92" borderId="4" xfId="0" applyFont="1" applyFill="1" applyBorder="1" applyAlignment="1">
      <alignment horizontal="center" vertical="center" wrapText="1"/>
    </xf>
    <xf numFmtId="0" fontId="91" fillId="98" borderId="4" xfId="0" applyFont="1" applyFill="1" applyBorder="1" applyAlignment="1">
      <alignment horizontal="left" vertical="center"/>
    </xf>
    <xf numFmtId="0" fontId="91" fillId="92" borderId="4" xfId="0" applyFont="1" applyFill="1" applyBorder="1" applyAlignment="1">
      <alignment horizontal="left" vertical="center"/>
    </xf>
    <xf numFmtId="0" fontId="91" fillId="92" borderId="0" xfId="0" applyFont="1" applyFill="1" applyAlignment="1">
      <alignment horizontal="center" vertical="center" wrapText="1"/>
    </xf>
    <xf numFmtId="0" fontId="91" fillId="98" borderId="0" xfId="0" applyFont="1" applyFill="1" applyAlignment="1">
      <alignment horizontal="left" vertical="center"/>
    </xf>
    <xf numFmtId="0" fontId="91" fillId="92" borderId="0" xfId="0" applyFont="1" applyFill="1" applyAlignment="1">
      <alignment horizontal="left" vertical="center"/>
    </xf>
    <xf numFmtId="0" fontId="91" fillId="92" borderId="0" xfId="0" applyFont="1" applyFill="1" applyAlignment="1">
      <alignment horizontal="center" vertical="center"/>
    </xf>
    <xf numFmtId="0" fontId="91" fillId="99" borderId="58" xfId="0" applyFont="1" applyFill="1" applyBorder="1" applyAlignment="1">
      <alignment horizontal="center" vertical="center" wrapText="1"/>
    </xf>
    <xf numFmtId="0" fontId="91" fillId="99" borderId="0" xfId="0" applyFont="1" applyFill="1" applyAlignment="1">
      <alignment horizontal="center" vertical="center"/>
    </xf>
    <xf numFmtId="0" fontId="87" fillId="99" borderId="0" xfId="0" applyFont="1" applyFill="1" applyAlignment="1">
      <alignment horizontal="center" vertical="center" wrapText="1"/>
    </xf>
    <xf numFmtId="0" fontId="91" fillId="99" borderId="0" xfId="0" applyFont="1" applyFill="1" applyAlignment="1">
      <alignment horizontal="left" vertical="center"/>
    </xf>
    <xf numFmtId="0" fontId="108" fillId="7" borderId="94" xfId="0" applyFont="1" applyFill="1" applyBorder="1" applyAlignment="1">
      <alignment horizontal="center" vertical="center" wrapText="1"/>
    </xf>
    <xf numFmtId="0" fontId="108" fillId="7" borderId="95" xfId="0" applyFont="1" applyFill="1" applyBorder="1" applyAlignment="1">
      <alignment horizontal="center" vertical="center" wrapText="1"/>
    </xf>
    <xf numFmtId="0" fontId="30" fillId="7" borderId="95" xfId="0" applyFont="1" applyFill="1" applyBorder="1" applyAlignment="1">
      <alignment horizontal="center" vertical="center" wrapText="1"/>
    </xf>
    <xf numFmtId="0" fontId="108" fillId="7" borderId="95" xfId="0" applyFont="1" applyFill="1" applyBorder="1" applyAlignment="1">
      <alignment horizontal="left" vertical="center"/>
    </xf>
    <xf numFmtId="0" fontId="5" fillId="0" borderId="0" xfId="10" applyFont="1" applyAlignment="1">
      <alignment vertical="center"/>
    </xf>
    <xf numFmtId="0" fontId="3" fillId="0" borderId="0" xfId="10" applyFont="1" applyAlignment="1">
      <alignment horizontal="center" vertical="center"/>
    </xf>
    <xf numFmtId="0" fontId="5" fillId="0" borderId="0" xfId="10" applyFont="1" applyAlignment="1">
      <alignment horizontal="center" vertical="center"/>
    </xf>
    <xf numFmtId="0" fontId="5" fillId="0" borderId="96" xfId="10" applyFont="1" applyBorder="1" applyAlignment="1">
      <alignment horizontal="center" vertical="center"/>
    </xf>
    <xf numFmtId="0" fontId="95" fillId="68" borderId="0" xfId="0" applyFont="1" applyFill="1" applyAlignment="1">
      <alignment horizontal="left" vertical="center"/>
    </xf>
    <xf numFmtId="0" fontId="95" fillId="68" borderId="0" xfId="0" applyFont="1" applyFill="1" applyAlignment="1">
      <alignment vertical="center"/>
    </xf>
    <xf numFmtId="0" fontId="47" fillId="101" borderId="0" xfId="10" applyFont="1" applyFill="1" applyAlignment="1">
      <alignment horizontal="center" vertical="center"/>
    </xf>
    <xf numFmtId="0" fontId="5" fillId="0" borderId="0" xfId="0" applyFont="1" applyAlignment="1">
      <alignment vertical="center"/>
    </xf>
    <xf numFmtId="0" fontId="85" fillId="0" borderId="0" xfId="10" applyFont="1" applyAlignment="1">
      <alignment horizontal="left" vertical="center"/>
    </xf>
    <xf numFmtId="0" fontId="51" fillId="0" borderId="0" xfId="10" applyFont="1" applyAlignment="1">
      <alignment horizontal="right" vertical="center"/>
    </xf>
    <xf numFmtId="0" fontId="94" fillId="0" borderId="0" xfId="10" applyFont="1" applyAlignment="1">
      <alignment horizontal="center" vertical="center"/>
    </xf>
    <xf numFmtId="0" fontId="51" fillId="0" borderId="68" xfId="10" applyFont="1" applyBorder="1" applyAlignment="1">
      <alignment horizontal="center" vertical="center"/>
    </xf>
    <xf numFmtId="0" fontId="85" fillId="35" borderId="65" xfId="10" applyFont="1" applyFill="1" applyBorder="1" applyAlignment="1">
      <alignment vertical="center" wrapText="1"/>
    </xf>
    <xf numFmtId="0" fontId="85" fillId="35" borderId="31" xfId="10" applyFont="1" applyFill="1" applyBorder="1" applyAlignment="1">
      <alignment vertical="center" wrapText="1"/>
    </xf>
    <xf numFmtId="0" fontId="30" fillId="0" borderId="0" xfId="0" applyFont="1" applyAlignment="1">
      <alignment vertical="center"/>
    </xf>
    <xf numFmtId="0" fontId="85" fillId="35" borderId="76" xfId="10" applyFont="1" applyFill="1" applyBorder="1" applyAlignment="1">
      <alignment vertical="center" wrapText="1"/>
    </xf>
    <xf numFmtId="0" fontId="109" fillId="17" borderId="0" xfId="9" applyFont="1" applyFill="1" applyAlignment="1">
      <alignment horizontal="right" vertical="center"/>
    </xf>
    <xf numFmtId="0" fontId="3" fillId="17" borderId="0" xfId="9" applyFont="1" applyFill="1" applyAlignment="1">
      <alignment vertical="center"/>
    </xf>
    <xf numFmtId="0" fontId="5" fillId="5" borderId="0" xfId="0" applyFont="1" applyFill="1" applyAlignment="1">
      <alignment vertical="center"/>
    </xf>
    <xf numFmtId="0" fontId="51" fillId="5" borderId="0" xfId="10" applyFont="1" applyFill="1" applyAlignment="1">
      <alignment vertical="center"/>
    </xf>
    <xf numFmtId="0" fontId="16" fillId="97" borderId="0" xfId="10" applyFont="1" applyFill="1" applyAlignment="1">
      <alignment vertical="center"/>
    </xf>
    <xf numFmtId="0" fontId="32" fillId="0" borderId="0" xfId="24" applyFont="1" applyAlignment="1">
      <alignment horizontal="center" vertical="center" wrapText="1"/>
    </xf>
    <xf numFmtId="0" fontId="57" fillId="0" borderId="0" xfId="10" applyFont="1" applyAlignment="1">
      <alignment horizontal="left" vertical="center"/>
    </xf>
    <xf numFmtId="0" fontId="47" fillId="97" borderId="0" xfId="10" applyFont="1" applyFill="1" applyAlignment="1">
      <alignment horizontal="center" vertical="center"/>
    </xf>
    <xf numFmtId="0" fontId="34" fillId="24" borderId="37" xfId="10" applyFont="1" applyFill="1" applyBorder="1" applyAlignment="1">
      <alignment horizontal="center" vertical="center" wrapText="1"/>
    </xf>
    <xf numFmtId="0" fontId="16" fillId="103" borderId="54" xfId="10" applyFont="1" applyFill="1" applyBorder="1" applyAlignment="1">
      <alignment vertical="center"/>
    </xf>
    <xf numFmtId="0" fontId="16" fillId="103" borderId="55" xfId="10" applyFont="1" applyFill="1" applyBorder="1" applyAlignment="1">
      <alignment vertical="center"/>
    </xf>
    <xf numFmtId="0" fontId="16" fillId="103" borderId="55" xfId="10" applyFont="1" applyFill="1" applyBorder="1" applyAlignment="1">
      <alignment horizontal="right" vertical="center"/>
    </xf>
    <xf numFmtId="0" fontId="95" fillId="88" borderId="0" xfId="10" applyFont="1" applyFill="1" applyAlignment="1">
      <alignment horizontal="centerContinuous" vertical="center"/>
    </xf>
    <xf numFmtId="0" fontId="51" fillId="88" borderId="0" xfId="10" applyFont="1" applyFill="1" applyAlignment="1">
      <alignment horizontal="centerContinuous" vertical="center"/>
    </xf>
    <xf numFmtId="0" fontId="16" fillId="103" borderId="0" xfId="10" applyFont="1" applyFill="1" applyAlignment="1">
      <alignment vertical="center"/>
    </xf>
    <xf numFmtId="0" fontId="16" fillId="88" borderId="0" xfId="10" applyFont="1" applyFill="1" applyAlignment="1">
      <alignment horizontal="centerContinuous" vertical="center"/>
    </xf>
    <xf numFmtId="0" fontId="16" fillId="30" borderId="0" xfId="10" applyFont="1" applyFill="1" applyAlignment="1">
      <alignment horizontal="center" vertical="center" wrapText="1"/>
    </xf>
    <xf numFmtId="0" fontId="2" fillId="0" borderId="97" xfId="10" applyBorder="1" applyAlignment="1">
      <alignment vertical="center"/>
    </xf>
    <xf numFmtId="0" fontId="2" fillId="0" borderId="98" xfId="10" applyBorder="1" applyAlignment="1">
      <alignment vertical="center"/>
    </xf>
    <xf numFmtId="0" fontId="111" fillId="0" borderId="0" xfId="10" applyFont="1" applyAlignment="1">
      <alignment horizontal="center" vertical="center" wrapText="1"/>
    </xf>
    <xf numFmtId="0" fontId="112" fillId="0" borderId="0" xfId="10" applyFont="1" applyAlignment="1">
      <alignment horizontal="center" vertical="center"/>
    </xf>
    <xf numFmtId="0" fontId="85" fillId="9" borderId="72" xfId="10" applyFont="1" applyFill="1" applyBorder="1" applyAlignment="1">
      <alignment horizontal="center" vertical="center" wrapText="1"/>
    </xf>
    <xf numFmtId="0" fontId="110" fillId="9" borderId="72" xfId="10" applyFont="1" applyFill="1" applyBorder="1" applyAlignment="1">
      <alignment horizontal="center" vertical="center" wrapText="1"/>
    </xf>
    <xf numFmtId="0" fontId="16" fillId="102" borderId="10" xfId="10" applyFont="1" applyFill="1" applyBorder="1" applyAlignment="1">
      <alignment horizontal="center" vertical="center"/>
    </xf>
    <xf numFmtId="0" fontId="85" fillId="9" borderId="35" xfId="10" applyFont="1" applyFill="1" applyBorder="1" applyAlignment="1">
      <alignment horizontal="center" vertical="center" wrapText="1"/>
    </xf>
    <xf numFmtId="0" fontId="16" fillId="21" borderId="0" xfId="10" applyFont="1" applyFill="1" applyAlignment="1">
      <alignment horizontal="center" vertical="center" wrapText="1"/>
    </xf>
    <xf numFmtId="0" fontId="16" fillId="30" borderId="96" xfId="10" applyFont="1" applyFill="1" applyBorder="1" applyAlignment="1">
      <alignment horizontal="center" vertical="center" wrapText="1"/>
    </xf>
    <xf numFmtId="0" fontId="113" fillId="9" borderId="0" xfId="10" applyFont="1" applyFill="1" applyAlignment="1">
      <alignment horizontal="center" vertical="center"/>
    </xf>
    <xf numFmtId="0" fontId="30" fillId="16" borderId="0" xfId="25" applyFont="1" applyFill="1" applyAlignment="1">
      <alignment horizontal="center" vertical="center"/>
    </xf>
    <xf numFmtId="0" fontId="19" fillId="16" borderId="0" xfId="25" applyFont="1" applyFill="1" applyAlignment="1">
      <alignment horizontal="left" vertical="center"/>
    </xf>
    <xf numFmtId="1" fontId="22" fillId="16" borderId="0" xfId="25" applyNumberFormat="1" applyFont="1" applyFill="1" applyAlignment="1">
      <alignment horizontal="center" vertical="center" wrapText="1"/>
    </xf>
    <xf numFmtId="1" fontId="30" fillId="16" borderId="0" xfId="10" applyNumberFormat="1" applyFont="1" applyFill="1" applyAlignment="1">
      <alignment horizontal="center" vertical="center" wrapText="1"/>
    </xf>
    <xf numFmtId="0" fontId="114" fillId="104" borderId="99" xfId="10" applyFont="1" applyFill="1" applyBorder="1" applyAlignment="1">
      <alignment horizontal="center" vertical="center"/>
    </xf>
    <xf numFmtId="0" fontId="20" fillId="16" borderId="7" xfId="25" applyFont="1" applyFill="1" applyBorder="1" applyAlignment="1">
      <alignment horizontal="right" vertical="center"/>
    </xf>
    <xf numFmtId="0" fontId="115" fillId="25" borderId="0" xfId="9" applyFont="1" applyFill="1" applyAlignment="1">
      <alignment horizontal="center" vertical="center"/>
    </xf>
    <xf numFmtId="164" fontId="23" fillId="40" borderId="100" xfId="10" applyNumberFormat="1" applyFont="1" applyFill="1" applyBorder="1" applyAlignment="1">
      <alignment horizontal="center" vertical="center"/>
    </xf>
    <xf numFmtId="0" fontId="23" fillId="40" borderId="11" xfId="10" applyFont="1" applyFill="1" applyBorder="1" applyAlignment="1">
      <alignment horizontal="center" vertical="center"/>
    </xf>
    <xf numFmtId="0" fontId="114" fillId="40" borderId="99" xfId="10" applyFont="1" applyFill="1" applyBorder="1" applyAlignment="1">
      <alignment horizontal="center" vertical="center"/>
    </xf>
    <xf numFmtId="164" fontId="114" fillId="40" borderId="99" xfId="10" applyNumberFormat="1" applyFont="1" applyFill="1" applyBorder="1" applyAlignment="1">
      <alignment horizontal="center" vertical="center"/>
    </xf>
    <xf numFmtId="0" fontId="116" fillId="105" borderId="10" xfId="10" applyFont="1" applyFill="1" applyBorder="1" applyAlignment="1">
      <alignment horizontal="center" vertical="center"/>
    </xf>
    <xf numFmtId="0" fontId="5" fillId="40" borderId="0" xfId="10" applyFont="1" applyFill="1" applyAlignment="1">
      <alignment horizontal="center" vertical="center"/>
    </xf>
    <xf numFmtId="0" fontId="3" fillId="40" borderId="0" xfId="10" applyFont="1" applyFill="1" applyAlignment="1">
      <alignment horizontal="center" vertical="center" wrapText="1"/>
    </xf>
    <xf numFmtId="0" fontId="3" fillId="40" borderId="0" xfId="10" applyFont="1" applyFill="1" applyAlignment="1">
      <alignment horizontal="center" vertical="center"/>
    </xf>
    <xf numFmtId="0" fontId="114" fillId="0" borderId="99" xfId="10" applyFont="1" applyBorder="1" applyAlignment="1">
      <alignment horizontal="center" vertical="center"/>
    </xf>
    <xf numFmtId="0" fontId="114" fillId="0" borderId="99" xfId="10" applyFont="1" applyBorder="1" applyAlignment="1">
      <alignment horizontal="left" vertical="center"/>
    </xf>
    <xf numFmtId="0" fontId="114" fillId="15" borderId="99" xfId="10" applyFont="1" applyFill="1" applyBorder="1" applyAlignment="1">
      <alignment horizontal="center" vertical="center"/>
    </xf>
    <xf numFmtId="0" fontId="37" fillId="23" borderId="6" xfId="24" applyFont="1" applyFill="1" applyBorder="1" applyAlignment="1">
      <alignment horizontal="center" vertical="center"/>
    </xf>
    <xf numFmtId="0" fontId="35" fillId="23" borderId="6" xfId="24" applyFont="1" applyFill="1" applyBorder="1" applyAlignment="1">
      <alignment horizontal="center" vertical="center"/>
    </xf>
    <xf numFmtId="164" fontId="23" fillId="40" borderId="101" xfId="10" applyNumberFormat="1" applyFont="1" applyFill="1" applyBorder="1" applyAlignment="1">
      <alignment horizontal="center" vertical="center"/>
    </xf>
    <xf numFmtId="0" fontId="23" fillId="15" borderId="11" xfId="10" applyFont="1" applyFill="1" applyBorder="1" applyAlignment="1">
      <alignment horizontal="center" vertical="center"/>
    </xf>
    <xf numFmtId="164" fontId="114" fillId="15" borderId="99" xfId="10" applyNumberFormat="1" applyFont="1" applyFill="1" applyBorder="1" applyAlignment="1">
      <alignment horizontal="center" vertical="center"/>
    </xf>
    <xf numFmtId="0" fontId="116" fillId="23" borderId="10" xfId="10" applyFont="1" applyFill="1" applyBorder="1" applyAlignment="1">
      <alignment horizontal="center" vertical="center"/>
    </xf>
    <xf numFmtId="0" fontId="3" fillId="15" borderId="0" xfId="10" applyFont="1" applyFill="1" applyAlignment="1">
      <alignment horizontal="center" vertical="center"/>
    </xf>
    <xf numFmtId="0" fontId="34" fillId="24" borderId="38" xfId="10" applyFont="1" applyFill="1" applyBorder="1" applyAlignment="1">
      <alignment horizontal="center" vertical="center" wrapText="1"/>
    </xf>
    <xf numFmtId="0" fontId="34" fillId="24" borderId="102" xfId="10" applyFont="1" applyFill="1" applyBorder="1" applyAlignment="1">
      <alignment horizontal="center" vertical="center" wrapText="1"/>
    </xf>
    <xf numFmtId="0" fontId="37" fillId="23" borderId="6" xfId="19" applyFont="1" applyFill="1" applyBorder="1" applyAlignment="1">
      <alignment horizontal="center" vertical="center"/>
    </xf>
    <xf numFmtId="0" fontId="0" fillId="0" borderId="0" xfId="0" applyAlignment="1">
      <alignment horizontal="center" vertical="center" wrapText="1"/>
    </xf>
    <xf numFmtId="0" fontId="9" fillId="0" borderId="0" xfId="0" applyFont="1" applyAlignment="1">
      <alignment horizontal="center" vertical="center" wrapText="1"/>
    </xf>
    <xf numFmtId="0" fontId="26" fillId="0" borderId="0" xfId="23" applyAlignment="1">
      <alignment horizontal="right"/>
    </xf>
    <xf numFmtId="164" fontId="23" fillId="40" borderId="103" xfId="10" applyNumberFormat="1" applyFont="1" applyFill="1" applyBorder="1" applyAlignment="1">
      <alignment horizontal="center" vertical="center"/>
    </xf>
    <xf numFmtId="0" fontId="19" fillId="16" borderId="0" xfId="10" applyFont="1" applyFill="1" applyAlignment="1">
      <alignment horizontal="left" vertical="center"/>
    </xf>
    <xf numFmtId="0" fontId="19" fillId="16" borderId="104" xfId="10" applyFont="1" applyFill="1" applyBorder="1" applyAlignment="1">
      <alignment horizontal="left" vertical="center"/>
    </xf>
    <xf numFmtId="0" fontId="20" fillId="7" borderId="0" xfId="10" applyFont="1" applyFill="1" applyAlignment="1">
      <alignment horizontal="right" vertical="center"/>
    </xf>
    <xf numFmtId="164" fontId="20" fillId="7" borderId="0" xfId="10" applyNumberFormat="1" applyFont="1" applyFill="1" applyAlignment="1">
      <alignment horizontal="center" vertical="center" wrapText="1"/>
    </xf>
    <xf numFmtId="0" fontId="21" fillId="8" borderId="12" xfId="9" applyFont="1" applyFill="1" applyBorder="1" applyAlignment="1">
      <alignment horizontal="center" vertical="center"/>
    </xf>
    <xf numFmtId="0" fontId="23" fillId="15" borderId="0" xfId="10" applyFont="1" applyFill="1" applyAlignment="1">
      <alignment horizontal="center" vertical="center"/>
    </xf>
    <xf numFmtId="0" fontId="51" fillId="30" borderId="0" xfId="10" applyFont="1" applyFill="1" applyAlignment="1">
      <alignment vertical="center"/>
    </xf>
    <xf numFmtId="0" fontId="51" fillId="0" borderId="96" xfId="10" applyFont="1" applyBorder="1" applyAlignment="1">
      <alignment vertical="center"/>
    </xf>
    <xf numFmtId="0" fontId="2" fillId="0" borderId="96" xfId="10" applyBorder="1" applyAlignment="1">
      <alignment vertical="center"/>
    </xf>
    <xf numFmtId="0" fontId="16" fillId="102" borderId="9" xfId="10" applyFont="1" applyFill="1" applyBorder="1" applyAlignment="1">
      <alignment horizontal="center" vertical="center"/>
    </xf>
    <xf numFmtId="1" fontId="22" fillId="16" borderId="0" xfId="26" applyNumberFormat="1" applyFont="1" applyFill="1" applyAlignment="1">
      <alignment horizontal="center" vertical="center" wrapText="1"/>
    </xf>
    <xf numFmtId="0" fontId="47" fillId="101" borderId="105" xfId="10" applyFont="1" applyFill="1" applyBorder="1" applyAlignment="1">
      <alignment vertical="center"/>
    </xf>
    <xf numFmtId="0" fontId="15" fillId="40" borderId="3" xfId="9" applyFont="1" applyFill="1" applyBorder="1" applyAlignment="1">
      <alignment horizontal="center" vertical="center"/>
    </xf>
    <xf numFmtId="0" fontId="43" fillId="39" borderId="5" xfId="9" applyFont="1" applyFill="1" applyBorder="1" applyAlignment="1">
      <alignment horizontal="center" vertical="center"/>
    </xf>
    <xf numFmtId="0" fontId="22" fillId="17" borderId="0" xfId="10" applyFont="1" applyFill="1" applyAlignment="1">
      <alignment horizontal="right" vertical="center"/>
    </xf>
    <xf numFmtId="0" fontId="30" fillId="0" borderId="0" xfId="10" applyFont="1" applyAlignment="1">
      <alignment horizontal="center" vertical="center"/>
    </xf>
    <xf numFmtId="0" fontId="3" fillId="17" borderId="0" xfId="23" applyFont="1" applyFill="1" applyAlignment="1">
      <alignment horizontal="right" vertical="center"/>
    </xf>
    <xf numFmtId="0" fontId="3" fillId="5" borderId="0" xfId="10" applyFont="1" applyFill="1" applyAlignment="1">
      <alignment horizontal="center" vertical="center" wrapText="1"/>
    </xf>
    <xf numFmtId="0" fontId="3" fillId="5" borderId="0" xfId="10" applyFont="1" applyFill="1" applyAlignment="1">
      <alignment horizontal="center" vertical="center"/>
    </xf>
    <xf numFmtId="0" fontId="107" fillId="95" borderId="0" xfId="0" applyFont="1" applyFill="1" applyAlignment="1">
      <alignment horizontal="left" vertical="center"/>
    </xf>
    <xf numFmtId="0" fontId="85" fillId="9" borderId="106" xfId="10" applyFont="1" applyFill="1" applyBorder="1" applyAlignment="1">
      <alignment horizontal="center" vertical="center" wrapText="1"/>
    </xf>
    <xf numFmtId="0" fontId="85" fillId="9" borderId="107" xfId="10" applyFont="1" applyFill="1" applyBorder="1" applyAlignment="1">
      <alignment horizontal="center" vertical="center" wrapText="1"/>
    </xf>
    <xf numFmtId="0" fontId="114" fillId="5" borderId="0" xfId="10" applyFont="1" applyFill="1" applyAlignment="1">
      <alignment horizontal="left" vertical="center"/>
    </xf>
    <xf numFmtId="164" fontId="114" fillId="5" borderId="0" xfId="10" applyNumberFormat="1" applyFont="1" applyFill="1" applyAlignment="1">
      <alignment horizontal="left" vertical="center"/>
    </xf>
    <xf numFmtId="0" fontId="114" fillId="0" borderId="108" xfId="10" applyFont="1" applyBorder="1" applyAlignment="1">
      <alignment horizontal="center" vertical="center"/>
    </xf>
    <xf numFmtId="164" fontId="23" fillId="40" borderId="0" xfId="10" applyNumberFormat="1" applyFont="1" applyFill="1" applyAlignment="1">
      <alignment horizontal="left" vertical="center"/>
    </xf>
    <xf numFmtId="0" fontId="23" fillId="5" borderId="0" xfId="10" applyFont="1" applyFill="1" applyAlignment="1">
      <alignment horizontal="left" vertical="center"/>
    </xf>
    <xf numFmtId="0" fontId="23" fillId="40" borderId="0" xfId="10" applyFont="1" applyFill="1" applyAlignment="1">
      <alignment horizontal="left" vertical="center"/>
    </xf>
    <xf numFmtId="0" fontId="116" fillId="5" borderId="0" xfId="10" applyFont="1" applyFill="1" applyAlignment="1">
      <alignment horizontal="left" vertical="center"/>
    </xf>
    <xf numFmtId="0" fontId="2" fillId="5" borderId="0" xfId="10" applyFill="1" applyAlignment="1">
      <alignment horizontal="left" vertical="center"/>
    </xf>
    <xf numFmtId="0" fontId="114" fillId="40" borderId="0" xfId="10" applyFont="1" applyFill="1" applyAlignment="1">
      <alignment horizontal="left" vertical="center"/>
    </xf>
    <xf numFmtId="0" fontId="51" fillId="5" borderId="0" xfId="10" applyFont="1" applyFill="1" applyAlignment="1">
      <alignment horizontal="left" vertical="center"/>
    </xf>
    <xf numFmtId="164" fontId="114" fillId="40" borderId="0" xfId="10" applyNumberFormat="1" applyFont="1" applyFill="1" applyAlignment="1">
      <alignment horizontal="left" vertical="center"/>
    </xf>
    <xf numFmtId="0" fontId="116" fillId="105" borderId="0" xfId="10" applyFont="1" applyFill="1" applyAlignment="1">
      <alignment horizontal="center" vertical="center"/>
    </xf>
    <xf numFmtId="0" fontId="3" fillId="5" borderId="0" xfId="23" applyFont="1" applyFill="1" applyAlignment="1">
      <alignment vertical="top"/>
    </xf>
    <xf numFmtId="0" fontId="32" fillId="5" borderId="0" xfId="24" applyFont="1" applyFill="1" applyAlignment="1">
      <alignment horizontal="center" vertical="center" wrapText="1"/>
    </xf>
    <xf numFmtId="0" fontId="2" fillId="5" borderId="0" xfId="10" applyFill="1"/>
    <xf numFmtId="0" fontId="3" fillId="5" borderId="0" xfId="10" applyFont="1" applyFill="1" applyAlignment="1">
      <alignment vertical="center"/>
    </xf>
    <xf numFmtId="0" fontId="8" fillId="5" borderId="0" xfId="22" applyFont="1" applyFill="1" applyAlignment="1">
      <alignment vertical="center"/>
    </xf>
    <xf numFmtId="0" fontId="85" fillId="5" borderId="0" xfId="10" applyFont="1" applyFill="1" applyAlignment="1">
      <alignment horizontal="left" vertical="center"/>
    </xf>
    <xf numFmtId="0" fontId="28" fillId="5" borderId="0" xfId="7" applyFont="1" applyFill="1" applyAlignment="1">
      <alignment vertical="center"/>
    </xf>
    <xf numFmtId="0" fontId="16" fillId="5" borderId="0" xfId="10" applyFont="1" applyFill="1" applyAlignment="1">
      <alignment vertical="center"/>
    </xf>
    <xf numFmtId="0" fontId="111" fillId="5" borderId="0" xfId="10" applyFont="1" applyFill="1" applyAlignment="1">
      <alignment horizontal="center" vertical="center" wrapText="1"/>
    </xf>
    <xf numFmtId="0" fontId="0" fillId="5" borderId="0" xfId="0" applyFill="1"/>
    <xf numFmtId="0" fontId="5" fillId="5" borderId="0" xfId="10" applyFont="1" applyFill="1" applyAlignment="1">
      <alignment horizontal="center" vertical="center"/>
    </xf>
    <xf numFmtId="0" fontId="5" fillId="5" borderId="96" xfId="10" applyFont="1" applyFill="1" applyBorder="1" applyAlignment="1">
      <alignment horizontal="center" vertical="center"/>
    </xf>
    <xf numFmtId="0" fontId="41" fillId="68" borderId="11" xfId="10" applyFont="1" applyFill="1" applyBorder="1" applyAlignment="1">
      <alignment horizontal="center" vertical="center"/>
    </xf>
    <xf numFmtId="0" fontId="41" fillId="68" borderId="10" xfId="10" applyFont="1" applyFill="1" applyBorder="1" applyAlignment="1">
      <alignment horizontal="center" vertical="center"/>
    </xf>
    <xf numFmtId="0" fontId="41" fillId="68" borderId="57" xfId="10" applyFont="1" applyFill="1" applyBorder="1" applyAlignment="1">
      <alignment horizontal="center" vertical="center"/>
    </xf>
    <xf numFmtId="0" fontId="85" fillId="35" borderId="59" xfId="10" applyFont="1" applyFill="1" applyBorder="1" applyAlignment="1">
      <alignment horizontal="center" vertical="center" wrapText="1"/>
    </xf>
    <xf numFmtId="0" fontId="85" fillId="35" borderId="32" xfId="10" applyFont="1" applyFill="1" applyBorder="1" applyAlignment="1">
      <alignment horizontal="center" vertical="center" wrapText="1"/>
    </xf>
    <xf numFmtId="0" fontId="85" fillId="35" borderId="60" xfId="10" applyFont="1" applyFill="1" applyBorder="1" applyAlignment="1">
      <alignment horizontal="center" vertical="center" wrapText="1"/>
    </xf>
    <xf numFmtId="0" fontId="85" fillId="35" borderId="61" xfId="10" applyFont="1" applyFill="1" applyBorder="1" applyAlignment="1">
      <alignment horizontal="center" vertical="center" wrapText="1"/>
    </xf>
    <xf numFmtId="0" fontId="85" fillId="35" borderId="0" xfId="10" applyFont="1" applyFill="1" applyAlignment="1">
      <alignment horizontal="center" vertical="center" wrapText="1"/>
    </xf>
    <xf numFmtId="0" fontId="85" fillId="35" borderId="12" xfId="10" applyFont="1" applyFill="1" applyBorder="1" applyAlignment="1">
      <alignment horizontal="center" vertical="center" wrapText="1"/>
    </xf>
    <xf numFmtId="0" fontId="85" fillId="35" borderId="67" xfId="10" applyFont="1" applyFill="1" applyBorder="1" applyAlignment="1">
      <alignment horizontal="center" vertical="center" wrapText="1"/>
    </xf>
    <xf numFmtId="0" fontId="85" fillId="35" borderId="68" xfId="10" applyFont="1" applyFill="1" applyBorder="1" applyAlignment="1">
      <alignment horizontal="center" vertical="center" wrapText="1"/>
    </xf>
    <xf numFmtId="0" fontId="85" fillId="35" borderId="69" xfId="10" applyFont="1" applyFill="1" applyBorder="1" applyAlignment="1">
      <alignment horizontal="center" vertical="center" wrapText="1"/>
    </xf>
    <xf numFmtId="0" fontId="87" fillId="83" borderId="63" xfId="0" applyFont="1" applyFill="1" applyBorder="1" applyAlignment="1">
      <alignment horizontal="center" vertical="center" wrapText="1"/>
    </xf>
    <xf numFmtId="0" fontId="30" fillId="7" borderId="0" xfId="0" applyFont="1" applyFill="1" applyAlignment="1">
      <alignment horizontal="center" vertical="center" wrapText="1"/>
    </xf>
    <xf numFmtId="0" fontId="30" fillId="7" borderId="61" xfId="0" applyFont="1" applyFill="1" applyBorder="1" applyAlignment="1">
      <alignment horizontal="center" vertical="center" wrapText="1"/>
    </xf>
    <xf numFmtId="0" fontId="24" fillId="35" borderId="61" xfId="10" applyFont="1" applyFill="1" applyBorder="1" applyAlignment="1">
      <alignment horizontal="left" vertical="center" wrapText="1"/>
    </xf>
    <xf numFmtId="0" fontId="24" fillId="35" borderId="0" xfId="10" applyFont="1" applyFill="1" applyAlignment="1">
      <alignment horizontal="left" vertical="center" wrapText="1"/>
    </xf>
    <xf numFmtId="0" fontId="24" fillId="35" borderId="12" xfId="10" applyFont="1" applyFill="1" applyBorder="1" applyAlignment="1">
      <alignment horizontal="left" vertical="center" wrapText="1"/>
    </xf>
    <xf numFmtId="0" fontId="91" fillId="85" borderId="61" xfId="0" applyFont="1" applyFill="1" applyBorder="1" applyAlignment="1">
      <alignment horizontal="center" vertical="center" wrapText="1"/>
    </xf>
    <xf numFmtId="0" fontId="91" fillId="85" borderId="0" xfId="0" applyFont="1" applyFill="1" applyAlignment="1">
      <alignment horizontal="center" vertical="center" wrapText="1"/>
    </xf>
    <xf numFmtId="0" fontId="41" fillId="81" borderId="61" xfId="10" applyFont="1" applyFill="1" applyBorder="1" applyAlignment="1">
      <alignment horizontal="center" vertical="center"/>
    </xf>
    <xf numFmtId="0" fontId="41" fillId="81" borderId="0" xfId="10" applyFont="1" applyFill="1" applyAlignment="1">
      <alignment horizontal="center" vertical="center"/>
    </xf>
    <xf numFmtId="0" fontId="41" fillId="81" borderId="12" xfId="10" applyFont="1" applyFill="1" applyBorder="1" applyAlignment="1">
      <alignment horizontal="center" vertical="center"/>
    </xf>
    <xf numFmtId="1" fontId="30" fillId="7" borderId="0" xfId="0" applyNumberFormat="1" applyFont="1" applyFill="1" applyAlignment="1">
      <alignment horizontal="center" vertical="center" wrapText="1"/>
    </xf>
    <xf numFmtId="0" fontId="24" fillId="35" borderId="59" xfId="10" applyFont="1" applyFill="1" applyBorder="1" applyAlignment="1">
      <alignment horizontal="left" vertical="center" wrapText="1"/>
    </xf>
    <xf numFmtId="0" fontId="24" fillId="35" borderId="32" xfId="10" applyFont="1" applyFill="1" applyBorder="1" applyAlignment="1">
      <alignment horizontal="left" vertical="center" wrapText="1"/>
    </xf>
    <xf numFmtId="0" fontId="24" fillId="35" borderId="60" xfId="10" applyFont="1" applyFill="1" applyBorder="1" applyAlignment="1">
      <alignment horizontal="left" vertical="center" wrapText="1"/>
    </xf>
    <xf numFmtId="1" fontId="31" fillId="7" borderId="0" xfId="0" applyNumberFormat="1" applyFont="1" applyFill="1" applyAlignment="1">
      <alignment horizontal="center" vertical="center" wrapText="1"/>
    </xf>
    <xf numFmtId="0" fontId="91" fillId="7" borderId="0" xfId="0" applyFont="1" applyFill="1" applyAlignment="1">
      <alignment horizontal="center" vertical="center" wrapText="1"/>
    </xf>
    <xf numFmtId="0" fontId="24" fillId="35" borderId="67" xfId="10" applyFont="1" applyFill="1" applyBorder="1" applyAlignment="1">
      <alignment horizontal="left" vertical="center" wrapText="1"/>
    </xf>
    <xf numFmtId="0" fontId="24" fillId="35" borderId="68" xfId="10" applyFont="1" applyFill="1" applyBorder="1" applyAlignment="1">
      <alignment horizontal="left" vertical="center" wrapText="1"/>
    </xf>
    <xf numFmtId="0" fontId="24" fillId="35" borderId="69" xfId="10" applyFont="1" applyFill="1" applyBorder="1" applyAlignment="1">
      <alignment horizontal="left" vertical="center" wrapText="1"/>
    </xf>
    <xf numFmtId="0" fontId="30" fillId="72" borderId="80" xfId="10" applyFont="1" applyFill="1" applyBorder="1" applyAlignment="1">
      <alignment horizontal="center" vertical="center"/>
    </xf>
    <xf numFmtId="0" fontId="30" fillId="72" borderId="83" xfId="10" applyFont="1" applyFill="1" applyBorder="1" applyAlignment="1">
      <alignment horizontal="center" vertical="center"/>
    </xf>
    <xf numFmtId="0" fontId="30" fillId="72" borderId="81" xfId="10" applyFont="1" applyFill="1" applyBorder="1" applyAlignment="1">
      <alignment horizontal="center" vertical="center"/>
    </xf>
    <xf numFmtId="0" fontId="30" fillId="72" borderId="84" xfId="10" applyFont="1" applyFill="1" applyBorder="1" applyAlignment="1">
      <alignment horizontal="center" vertical="center"/>
    </xf>
    <xf numFmtId="0" fontId="30" fillId="72" borderId="81" xfId="10" applyFont="1" applyFill="1" applyBorder="1" applyAlignment="1">
      <alignment horizontal="left" vertical="center" wrapText="1"/>
    </xf>
    <xf numFmtId="0" fontId="30" fillId="72" borderId="82" xfId="10" applyFont="1" applyFill="1" applyBorder="1" applyAlignment="1">
      <alignment horizontal="left" vertical="center" wrapText="1"/>
    </xf>
    <xf numFmtId="0" fontId="30" fillId="72" borderId="84" xfId="10" applyFont="1" applyFill="1" applyBorder="1" applyAlignment="1">
      <alignment horizontal="left" vertical="center" wrapText="1"/>
    </xf>
    <xf numFmtId="0" fontId="30" fillId="72" borderId="85" xfId="10" applyFont="1" applyFill="1" applyBorder="1" applyAlignment="1">
      <alignment horizontal="left" vertical="center" wrapText="1"/>
    </xf>
    <xf numFmtId="0" fontId="95" fillId="88" borderId="0" xfId="0" applyFont="1" applyFill="1" applyAlignment="1">
      <alignment horizontal="center" vertical="center" wrapText="1"/>
    </xf>
    <xf numFmtId="0" fontId="15" fillId="89" borderId="80" xfId="10" applyFont="1" applyFill="1" applyBorder="1" applyAlignment="1">
      <alignment horizontal="center" vertical="center"/>
    </xf>
    <xf numFmtId="0" fontId="15" fillId="89" borderId="61" xfId="10" applyFont="1" applyFill="1" applyBorder="1" applyAlignment="1">
      <alignment horizontal="center" vertical="center"/>
    </xf>
    <xf numFmtId="0" fontId="15" fillId="89" borderId="81" xfId="10" applyFont="1" applyFill="1" applyBorder="1" applyAlignment="1">
      <alignment horizontal="center" vertical="center"/>
    </xf>
    <xf numFmtId="0" fontId="15" fillId="89" borderId="84" xfId="10" applyFont="1" applyFill="1" applyBorder="1" applyAlignment="1">
      <alignment horizontal="center" vertical="center"/>
    </xf>
    <xf numFmtId="0" fontId="15" fillId="89" borderId="81" xfId="10" applyFont="1" applyFill="1" applyBorder="1" applyAlignment="1">
      <alignment horizontal="left" vertical="center"/>
    </xf>
    <xf numFmtId="0" fontId="15" fillId="89" borderId="82" xfId="10" applyFont="1" applyFill="1" applyBorder="1" applyAlignment="1">
      <alignment horizontal="left" vertical="center"/>
    </xf>
    <xf numFmtId="0" fontId="15" fillId="89" borderId="84" xfId="10" applyFont="1" applyFill="1" applyBorder="1" applyAlignment="1">
      <alignment horizontal="left" vertical="center"/>
    </xf>
    <xf numFmtId="0" fontId="15" fillId="89" borderId="85" xfId="10" applyFont="1" applyFill="1" applyBorder="1" applyAlignment="1">
      <alignment horizontal="left" vertical="center"/>
    </xf>
    <xf numFmtId="0" fontId="15" fillId="5" borderId="61" xfId="10" applyFont="1" applyFill="1" applyBorder="1" applyAlignment="1">
      <alignment horizontal="center" vertical="center"/>
    </xf>
    <xf numFmtId="0" fontId="15" fillId="5" borderId="83" xfId="10" applyFont="1" applyFill="1" applyBorder="1" applyAlignment="1">
      <alignment horizontal="center" vertical="center"/>
    </xf>
    <xf numFmtId="0" fontId="15" fillId="5" borderId="0" xfId="10" applyFont="1" applyFill="1" applyAlignment="1">
      <alignment horizontal="center" vertical="center" wrapText="1"/>
    </xf>
    <xf numFmtId="0" fontId="15" fillId="5" borderId="84" xfId="10" applyFont="1" applyFill="1" applyBorder="1" applyAlignment="1">
      <alignment horizontal="center" vertical="center" wrapText="1"/>
    </xf>
    <xf numFmtId="0" fontId="15" fillId="5" borderId="0" xfId="10" applyFont="1" applyFill="1" applyAlignment="1">
      <alignment horizontal="left" vertical="center" wrapText="1"/>
    </xf>
    <xf numFmtId="0" fontId="15" fillId="5" borderId="12" xfId="10" applyFont="1" applyFill="1" applyBorder="1" applyAlignment="1">
      <alignment horizontal="left" vertical="center" wrapText="1"/>
    </xf>
    <xf numFmtId="0" fontId="15" fillId="5" borderId="84" xfId="10" applyFont="1" applyFill="1" applyBorder="1" applyAlignment="1">
      <alignment horizontal="left" vertical="center" wrapText="1"/>
    </xf>
    <xf numFmtId="0" fontId="15" fillId="5" borderId="85" xfId="10" applyFont="1" applyFill="1" applyBorder="1" applyAlignment="1">
      <alignment horizontal="left" vertical="center" wrapText="1"/>
    </xf>
    <xf numFmtId="0" fontId="15" fillId="49" borderId="61" xfId="10" applyFont="1" applyFill="1" applyBorder="1" applyAlignment="1">
      <alignment horizontal="center" vertical="center"/>
    </xf>
    <xf numFmtId="0" fontId="15" fillId="49" borderId="67" xfId="10" applyFont="1" applyFill="1" applyBorder="1" applyAlignment="1">
      <alignment horizontal="center" vertical="center"/>
    </xf>
    <xf numFmtId="0" fontId="106" fillId="5" borderId="0" xfId="10" applyFont="1" applyFill="1" applyAlignment="1">
      <alignment horizontal="left" vertical="center" wrapText="1"/>
    </xf>
    <xf numFmtId="0" fontId="106" fillId="5" borderId="12" xfId="10" applyFont="1" applyFill="1" applyBorder="1" applyAlignment="1">
      <alignment horizontal="left" vertical="center" wrapText="1"/>
    </xf>
    <xf numFmtId="0" fontId="106" fillId="5" borderId="68" xfId="10" applyFont="1" applyFill="1" applyBorder="1" applyAlignment="1">
      <alignment horizontal="left" vertical="center" wrapText="1"/>
    </xf>
    <xf numFmtId="0" fontId="106" fillId="5" borderId="69" xfId="10" applyFont="1" applyFill="1" applyBorder="1" applyAlignment="1">
      <alignment horizontal="left" vertical="center" wrapText="1"/>
    </xf>
    <xf numFmtId="0" fontId="91" fillId="61" borderId="92" xfId="0" applyFont="1" applyFill="1" applyBorder="1" applyAlignment="1">
      <alignment horizontal="center" vertical="center" wrapText="1"/>
    </xf>
    <xf numFmtId="0" fontId="95" fillId="67" borderId="80" xfId="10" applyFont="1" applyFill="1" applyBorder="1" applyAlignment="1">
      <alignment horizontal="center" vertical="center"/>
    </xf>
    <xf numFmtId="0" fontId="95" fillId="67" borderId="83" xfId="10" applyFont="1" applyFill="1" applyBorder="1" applyAlignment="1">
      <alignment horizontal="center" vertical="center"/>
    </xf>
    <xf numFmtId="0" fontId="95" fillId="67" borderId="81" xfId="10" applyFont="1" applyFill="1" applyBorder="1" applyAlignment="1">
      <alignment horizontal="center" vertical="center"/>
    </xf>
    <xf numFmtId="0" fontId="95" fillId="67" borderId="84" xfId="10" applyFont="1" applyFill="1" applyBorder="1" applyAlignment="1">
      <alignment horizontal="center" vertical="center"/>
    </xf>
    <xf numFmtId="0" fontId="30" fillId="5" borderId="81" xfId="10" applyFont="1" applyFill="1" applyBorder="1" applyAlignment="1">
      <alignment horizontal="left" vertical="center"/>
    </xf>
    <xf numFmtId="0" fontId="30" fillId="5" borderId="82" xfId="10" applyFont="1" applyFill="1" applyBorder="1" applyAlignment="1">
      <alignment horizontal="left" vertical="center"/>
    </xf>
    <xf numFmtId="0" fontId="30" fillId="5" borderId="84" xfId="10" applyFont="1" applyFill="1" applyBorder="1" applyAlignment="1">
      <alignment horizontal="left" vertical="center"/>
    </xf>
    <xf numFmtId="0" fontId="30" fillId="5" borderId="85" xfId="10" applyFont="1" applyFill="1" applyBorder="1" applyAlignment="1">
      <alignment horizontal="left" vertical="center"/>
    </xf>
    <xf numFmtId="0" fontId="95" fillId="68" borderId="80" xfId="10" applyFont="1" applyFill="1" applyBorder="1" applyAlignment="1">
      <alignment horizontal="center" vertical="center"/>
    </xf>
    <xf numFmtId="0" fontId="95" fillId="68" borderId="83" xfId="10" applyFont="1" applyFill="1" applyBorder="1" applyAlignment="1">
      <alignment horizontal="center" vertical="center"/>
    </xf>
    <xf numFmtId="0" fontId="95" fillId="68" borderId="81" xfId="10" applyFont="1" applyFill="1" applyBorder="1" applyAlignment="1">
      <alignment horizontal="center" vertical="center"/>
    </xf>
    <xf numFmtId="0" fontId="95" fillId="68" borderId="84" xfId="10" applyFont="1" applyFill="1" applyBorder="1" applyAlignment="1">
      <alignment horizontal="center" vertical="center"/>
    </xf>
    <xf numFmtId="0" fontId="31" fillId="5" borderId="81" xfId="10" applyFont="1" applyFill="1" applyBorder="1" applyAlignment="1">
      <alignment horizontal="left" vertical="center" wrapText="1"/>
    </xf>
    <xf numFmtId="0" fontId="31" fillId="5" borderId="82" xfId="10" applyFont="1" applyFill="1" applyBorder="1" applyAlignment="1">
      <alignment horizontal="left" vertical="center" wrapText="1"/>
    </xf>
    <xf numFmtId="0" fontId="31" fillId="5" borderId="84" xfId="10" applyFont="1" applyFill="1" applyBorder="1" applyAlignment="1">
      <alignment horizontal="left" vertical="center" wrapText="1"/>
    </xf>
    <xf numFmtId="0" fontId="31" fillId="5" borderId="85" xfId="10" applyFont="1" applyFill="1" applyBorder="1" applyAlignment="1">
      <alignment horizontal="left" vertical="center" wrapText="1"/>
    </xf>
    <xf numFmtId="0" fontId="15" fillId="5" borderId="80" xfId="10" applyFont="1" applyFill="1" applyBorder="1" applyAlignment="1">
      <alignment horizontal="center" vertical="center"/>
    </xf>
    <xf numFmtId="0" fontId="15" fillId="5" borderId="81" xfId="10" applyFont="1" applyFill="1" applyBorder="1" applyAlignment="1">
      <alignment horizontal="center" vertical="center" wrapText="1"/>
    </xf>
    <xf numFmtId="0" fontId="15" fillId="5" borderId="81" xfId="10" applyFont="1" applyFill="1" applyBorder="1" applyAlignment="1">
      <alignment horizontal="left" vertical="center"/>
    </xf>
    <xf numFmtId="0" fontId="15" fillId="5" borderId="82" xfId="10" applyFont="1" applyFill="1" applyBorder="1" applyAlignment="1">
      <alignment horizontal="left" vertical="center"/>
    </xf>
    <xf numFmtId="0" fontId="15" fillId="5" borderId="84" xfId="10" applyFont="1" applyFill="1" applyBorder="1" applyAlignment="1">
      <alignment horizontal="left" vertical="center"/>
    </xf>
    <xf numFmtId="0" fontId="15" fillId="5" borderId="85" xfId="10" applyFont="1" applyFill="1" applyBorder="1" applyAlignment="1">
      <alignment horizontal="left" vertical="center"/>
    </xf>
    <xf numFmtId="0" fontId="92" fillId="85" borderId="0" xfId="0" applyFont="1" applyFill="1" applyAlignment="1">
      <alignment horizontal="center" vertical="center" wrapText="1"/>
    </xf>
    <xf numFmtId="164" fontId="30" fillId="7" borderId="0" xfId="0" applyNumberFormat="1" applyFont="1" applyFill="1" applyAlignment="1">
      <alignment horizontal="center" vertical="center" wrapText="1"/>
    </xf>
    <xf numFmtId="0" fontId="7" fillId="81" borderId="61" xfId="10" applyFont="1" applyFill="1" applyBorder="1" applyAlignment="1">
      <alignment horizontal="center" vertical="center"/>
    </xf>
    <xf numFmtId="0" fontId="7" fillId="81" borderId="0" xfId="10" applyFont="1" applyFill="1" applyAlignment="1">
      <alignment horizontal="center" vertical="center"/>
    </xf>
    <xf numFmtId="0" fontId="7" fillId="81" borderId="12" xfId="10" applyFont="1" applyFill="1" applyBorder="1" applyAlignment="1">
      <alignment horizontal="center" vertical="center"/>
    </xf>
    <xf numFmtId="0" fontId="92" fillId="4" borderId="0" xfId="0" applyFont="1" applyFill="1" applyAlignment="1">
      <alignment horizontal="center" vertical="center" wrapText="1"/>
    </xf>
    <xf numFmtId="0" fontId="15" fillId="96" borderId="61" xfId="0" applyFont="1" applyFill="1" applyBorder="1" applyAlignment="1">
      <alignment horizontal="center" vertical="center" wrapText="1"/>
    </xf>
    <xf numFmtId="0" fontId="15" fillId="96" borderId="0" xfId="0" applyFont="1" applyFill="1" applyAlignment="1">
      <alignment horizontal="center" vertical="center" wrapText="1"/>
    </xf>
    <xf numFmtId="0" fontId="15" fillId="96" borderId="0" xfId="0" applyFont="1" applyFill="1" applyAlignment="1">
      <alignment horizontal="left" vertical="center" wrapText="1"/>
    </xf>
    <xf numFmtId="0" fontId="15" fillId="96" borderId="12" xfId="0" applyFont="1" applyFill="1" applyBorder="1" applyAlignment="1">
      <alignment horizontal="left" vertical="center" wrapText="1"/>
    </xf>
    <xf numFmtId="0" fontId="91" fillId="4" borderId="0" xfId="0" applyFont="1" applyFill="1" applyAlignment="1">
      <alignment horizontal="center" vertical="center" wrapText="1"/>
    </xf>
    <xf numFmtId="0" fontId="5" fillId="5" borderId="61" xfId="0" applyFont="1" applyFill="1" applyBorder="1" applyAlignment="1">
      <alignment horizontal="center" vertical="center" wrapText="1"/>
    </xf>
    <xf numFmtId="0" fontId="5" fillId="5" borderId="0" xfId="0" applyFont="1" applyFill="1" applyAlignment="1">
      <alignment horizontal="center" vertical="center" wrapText="1"/>
    </xf>
    <xf numFmtId="0" fontId="5" fillId="5" borderId="0" xfId="0" applyFont="1" applyFill="1" applyAlignment="1">
      <alignment horizontal="left" vertical="center" wrapText="1"/>
    </xf>
    <xf numFmtId="0" fontId="5" fillId="5" borderId="12" xfId="0" applyFont="1" applyFill="1" applyBorder="1" applyAlignment="1">
      <alignment horizontal="left" vertical="center" wrapText="1"/>
    </xf>
    <xf numFmtId="0" fontId="91" fillId="72" borderId="0" xfId="0" applyFont="1" applyFill="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8" xfId="0" applyFont="1" applyBorder="1" applyAlignment="1">
      <alignment horizontal="left" vertical="center" wrapText="1"/>
    </xf>
    <xf numFmtId="0" fontId="5" fillId="0" borderId="39" xfId="0" applyFont="1" applyBorder="1" applyAlignment="1">
      <alignment horizontal="left" vertical="center" wrapText="1"/>
    </xf>
    <xf numFmtId="0" fontId="91" fillId="98" borderId="4" xfId="0" applyFont="1" applyFill="1" applyBorder="1" applyAlignment="1">
      <alignment horizontal="center" vertical="center"/>
    </xf>
    <xf numFmtId="0" fontId="91" fillId="98" borderId="2" xfId="0" applyFont="1" applyFill="1" applyBorder="1" applyAlignment="1">
      <alignment horizontal="center" vertical="center"/>
    </xf>
    <xf numFmtId="0" fontId="91" fillId="98" borderId="0" xfId="0" applyFont="1" applyFill="1" applyAlignment="1">
      <alignment horizontal="center" vertical="center" wrapText="1"/>
    </xf>
    <xf numFmtId="0" fontId="7" fillId="68" borderId="61" xfId="10" applyFont="1" applyFill="1" applyBorder="1" applyAlignment="1">
      <alignment horizontal="center" vertical="center"/>
    </xf>
    <xf numFmtId="0" fontId="7" fillId="68" borderId="0" xfId="10" applyFont="1" applyFill="1" applyAlignment="1">
      <alignment horizontal="center" vertical="center"/>
    </xf>
    <xf numFmtId="0" fontId="7" fillId="68" borderId="12" xfId="10" applyFont="1" applyFill="1" applyBorder="1" applyAlignment="1">
      <alignment horizontal="center" vertical="center"/>
    </xf>
    <xf numFmtId="0" fontId="91" fillId="99" borderId="0" xfId="0" applyFont="1" applyFill="1" applyAlignment="1">
      <alignment horizontal="center" vertical="center" wrapText="1"/>
    </xf>
    <xf numFmtId="0" fontId="15" fillId="100" borderId="61" xfId="0" applyFont="1" applyFill="1" applyBorder="1" applyAlignment="1">
      <alignment horizontal="center" vertical="center" wrapText="1"/>
    </xf>
    <xf numFmtId="0" fontId="15" fillId="100" borderId="0" xfId="0" applyFont="1" applyFill="1" applyAlignment="1">
      <alignment horizontal="center" vertical="center" wrapText="1"/>
    </xf>
    <xf numFmtId="0" fontId="15" fillId="100" borderId="0" xfId="0" applyFont="1" applyFill="1" applyAlignment="1">
      <alignment horizontal="left" vertical="center" wrapText="1"/>
    </xf>
    <xf numFmtId="0" fontId="15" fillId="100" borderId="12" xfId="0" applyFont="1" applyFill="1" applyBorder="1" applyAlignment="1">
      <alignment horizontal="left" vertical="center" wrapText="1"/>
    </xf>
    <xf numFmtId="0" fontId="41" fillId="102" borderId="0" xfId="10" applyFont="1" applyFill="1" applyAlignment="1">
      <alignment horizontal="center" vertical="center" wrapText="1"/>
    </xf>
    <xf numFmtId="0" fontId="16" fillId="21" borderId="0" xfId="10" applyFont="1" applyFill="1" applyAlignment="1">
      <alignment horizontal="center" vertical="center"/>
    </xf>
    <xf numFmtId="0" fontId="16" fillId="21" borderId="96" xfId="10" applyFont="1" applyFill="1" applyBorder="1" applyAlignment="1">
      <alignment horizontal="center" vertical="center"/>
    </xf>
    <xf numFmtId="0" fontId="108" fillId="7" borderId="0" xfId="0" applyFont="1" applyFill="1" applyAlignment="1">
      <alignment horizontal="center" vertical="center" wrapText="1"/>
    </xf>
    <xf numFmtId="0" fontId="94" fillId="0" borderId="0" xfId="10" applyFont="1" applyAlignment="1">
      <alignment horizontal="left" vertical="top" wrapText="1"/>
    </xf>
    <xf numFmtId="0" fontId="110" fillId="0" borderId="0" xfId="10" applyFont="1" applyAlignment="1">
      <alignment horizontal="left" vertical="top" wrapText="1"/>
    </xf>
    <xf numFmtId="0" fontId="98" fillId="59" borderId="54" xfId="10" applyFont="1" applyFill="1" applyBorder="1" applyAlignment="1">
      <alignment horizontal="left" vertical="center" wrapText="1"/>
    </xf>
    <xf numFmtId="0" fontId="98" fillId="59" borderId="55" xfId="10" applyFont="1" applyFill="1" applyBorder="1" applyAlignment="1">
      <alignment horizontal="left" vertical="center" wrapText="1"/>
    </xf>
    <xf numFmtId="0" fontId="98" fillId="59" borderId="56" xfId="10" applyFont="1" applyFill="1" applyBorder="1" applyAlignment="1">
      <alignment horizontal="left" vertical="center" wrapText="1"/>
    </xf>
    <xf numFmtId="0" fontId="11" fillId="70" borderId="54" xfId="10" applyFont="1" applyFill="1" applyBorder="1" applyAlignment="1">
      <alignment horizontal="center" vertical="center"/>
    </xf>
    <xf numFmtId="0" fontId="11" fillId="70" borderId="55" xfId="10" applyFont="1" applyFill="1" applyBorder="1" applyAlignment="1">
      <alignment horizontal="center" vertical="center"/>
    </xf>
    <xf numFmtId="0" fontId="11" fillId="70" borderId="56" xfId="10" applyFont="1" applyFill="1" applyBorder="1" applyAlignment="1">
      <alignment horizontal="center" vertical="center"/>
    </xf>
    <xf numFmtId="0" fontId="85" fillId="35" borderId="32" xfId="10" applyFont="1" applyFill="1" applyBorder="1" applyAlignment="1">
      <alignment horizontal="left" vertical="center" wrapText="1"/>
    </xf>
    <xf numFmtId="0" fontId="85" fillId="35" borderId="66" xfId="10" applyFont="1" applyFill="1" applyBorder="1" applyAlignment="1">
      <alignment horizontal="left" vertical="center" wrapText="1"/>
    </xf>
    <xf numFmtId="0" fontId="85" fillId="35" borderId="0" xfId="10" applyFont="1" applyFill="1" applyAlignment="1">
      <alignment horizontal="left" vertical="center" wrapText="1"/>
    </xf>
    <xf numFmtId="0" fontId="85" fillId="35" borderId="73" xfId="10" applyFont="1" applyFill="1" applyBorder="1" applyAlignment="1">
      <alignment horizontal="left" vertical="center" wrapText="1"/>
    </xf>
    <xf numFmtId="0" fontId="85" fillId="35" borderId="68" xfId="10" applyFont="1" applyFill="1" applyBorder="1" applyAlignment="1">
      <alignment horizontal="left" vertical="center" wrapText="1"/>
    </xf>
    <xf numFmtId="0" fontId="85" fillId="35" borderId="77" xfId="10" applyFont="1" applyFill="1" applyBorder="1" applyAlignment="1">
      <alignment horizontal="left" vertical="center" wrapText="1"/>
    </xf>
    <xf numFmtId="0" fontId="95" fillId="33" borderId="32" xfId="15" applyFont="1" applyFill="1" applyBorder="1" applyAlignment="1">
      <alignment horizontal="center" vertical="center"/>
    </xf>
    <xf numFmtId="0" fontId="95" fillId="81" borderId="32" xfId="15" applyFont="1" applyFill="1" applyBorder="1" applyAlignment="1">
      <alignment horizontal="center" vertical="center"/>
    </xf>
    <xf numFmtId="0" fontId="95" fillId="81" borderId="66" xfId="15" applyFont="1" applyFill="1" applyBorder="1" applyAlignment="1">
      <alignment horizontal="center" vertical="center"/>
    </xf>
    <xf numFmtId="0" fontId="98" fillId="86" borderId="32" xfId="10" applyFont="1" applyFill="1" applyBorder="1" applyAlignment="1">
      <alignment horizontal="center" vertical="center" wrapText="1"/>
    </xf>
    <xf numFmtId="0" fontId="98" fillId="86" borderId="68" xfId="10" applyFont="1" applyFill="1" applyBorder="1" applyAlignment="1">
      <alignment horizontal="center" vertical="center" wrapText="1"/>
    </xf>
    <xf numFmtId="0" fontId="99" fillId="26" borderId="0" xfId="10" applyFont="1" applyFill="1" applyAlignment="1">
      <alignment horizontal="center" vertical="center"/>
    </xf>
    <xf numFmtId="0" fontId="11" fillId="49" borderId="0" xfId="10" applyFont="1" applyFill="1" applyAlignment="1">
      <alignment horizontal="center" vertical="center"/>
    </xf>
    <xf numFmtId="0" fontId="11" fillId="49" borderId="73" xfId="10" applyFont="1" applyFill="1" applyBorder="1" applyAlignment="1">
      <alignment horizontal="center" vertical="center"/>
    </xf>
    <xf numFmtId="0" fontId="100" fillId="59" borderId="65" xfId="10" applyFont="1" applyFill="1" applyBorder="1" applyAlignment="1">
      <alignment horizontal="center" vertical="center" wrapText="1"/>
    </xf>
    <xf numFmtId="0" fontId="100" fillId="59" borderId="32" xfId="10" applyFont="1" applyFill="1" applyBorder="1" applyAlignment="1">
      <alignment horizontal="center" vertical="center" wrapText="1"/>
    </xf>
    <xf numFmtId="0" fontId="100" fillId="59" borderId="66" xfId="10" applyFont="1" applyFill="1" applyBorder="1" applyAlignment="1">
      <alignment horizontal="center" vertical="center" wrapText="1"/>
    </xf>
    <xf numFmtId="0" fontId="100" fillId="59" borderId="31" xfId="10" applyFont="1" applyFill="1" applyBorder="1" applyAlignment="1">
      <alignment horizontal="center" vertical="center" wrapText="1"/>
    </xf>
    <xf numFmtId="0" fontId="100" fillId="59" borderId="0" xfId="10" applyFont="1" applyFill="1" applyAlignment="1">
      <alignment horizontal="center" vertical="center" wrapText="1"/>
    </xf>
    <xf numFmtId="0" fontId="100" fillId="59" borderId="73" xfId="10" applyFont="1" applyFill="1" applyBorder="1" applyAlignment="1">
      <alignment horizontal="center" vertical="center" wrapText="1"/>
    </xf>
    <xf numFmtId="0" fontId="100" fillId="59" borderId="76" xfId="10" applyFont="1" applyFill="1" applyBorder="1" applyAlignment="1">
      <alignment horizontal="center" vertical="center" wrapText="1"/>
    </xf>
    <xf numFmtId="0" fontId="100" fillId="59" borderId="68" xfId="10" applyFont="1" applyFill="1" applyBorder="1" applyAlignment="1">
      <alignment horizontal="center" vertical="center" wrapText="1"/>
    </xf>
    <xf numFmtId="0" fontId="100" fillId="59" borderId="77" xfId="10" applyFont="1" applyFill="1" applyBorder="1" applyAlignment="1">
      <alignment horizontal="center" vertical="center" wrapText="1"/>
    </xf>
    <xf numFmtId="0" fontId="95" fillId="33" borderId="65" xfId="10" applyFont="1" applyFill="1" applyBorder="1" applyAlignment="1">
      <alignment horizontal="center" vertical="center"/>
    </xf>
    <xf numFmtId="0" fontId="95" fillId="33" borderId="32" xfId="10" applyFont="1" applyFill="1" applyBorder="1" applyAlignment="1">
      <alignment horizontal="center" vertical="center"/>
    </xf>
    <xf numFmtId="0" fontId="95" fillId="33" borderId="66" xfId="10" applyFont="1" applyFill="1" applyBorder="1" applyAlignment="1">
      <alignment horizontal="center" vertical="center"/>
    </xf>
    <xf numFmtId="0" fontId="95" fillId="81" borderId="54" xfId="10" applyFont="1" applyFill="1" applyBorder="1" applyAlignment="1">
      <alignment horizontal="center" vertical="center"/>
    </xf>
    <xf numFmtId="0" fontId="95" fillId="81" borderId="55" xfId="10" applyFont="1" applyFill="1" applyBorder="1" applyAlignment="1">
      <alignment horizontal="center" vertical="center"/>
    </xf>
    <xf numFmtId="0" fontId="95" fillId="81" borderId="56" xfId="10" applyFont="1" applyFill="1" applyBorder="1" applyAlignment="1">
      <alignment horizontal="center" vertical="center"/>
    </xf>
    <xf numFmtId="0" fontId="41" fillId="67" borderId="0" xfId="10" applyFont="1" applyFill="1" applyAlignment="1">
      <alignment horizontal="left" vertical="center"/>
    </xf>
    <xf numFmtId="0" fontId="41" fillId="67" borderId="73" xfId="10" applyFont="1" applyFill="1" applyBorder="1" applyAlignment="1">
      <alignment horizontal="left" vertical="center"/>
    </xf>
    <xf numFmtId="0" fontId="93" fillId="86" borderId="0" xfId="10" applyFont="1" applyFill="1" applyAlignment="1">
      <alignment horizontal="left" vertical="center"/>
    </xf>
    <xf numFmtId="0" fontId="93" fillId="86" borderId="73" xfId="10" applyFont="1" applyFill="1" applyBorder="1" applyAlignment="1">
      <alignment horizontal="left" vertical="center"/>
    </xf>
    <xf numFmtId="0" fontId="85" fillId="86" borderId="68" xfId="10" applyFont="1" applyFill="1" applyBorder="1" applyAlignment="1">
      <alignment horizontal="left" vertical="center"/>
    </xf>
    <xf numFmtId="0" fontId="85" fillId="86" borderId="77" xfId="10" applyFont="1" applyFill="1" applyBorder="1" applyAlignment="1">
      <alignment horizontal="left" vertical="center"/>
    </xf>
    <xf numFmtId="0" fontId="18" fillId="19" borderId="54" xfId="10" applyFont="1" applyFill="1" applyBorder="1" applyAlignment="1">
      <alignment horizontal="center" vertical="center"/>
    </xf>
    <xf numFmtId="0" fontId="18" fillId="19" borderId="55" xfId="10" applyFont="1" applyFill="1" applyBorder="1" applyAlignment="1">
      <alignment horizontal="center" vertical="center"/>
    </xf>
    <xf numFmtId="0" fontId="18" fillId="19" borderId="56" xfId="10" applyFont="1" applyFill="1" applyBorder="1" applyAlignment="1">
      <alignment horizontal="center" vertical="center"/>
    </xf>
    <xf numFmtId="0" fontId="84" fillId="80" borderId="54" xfId="10" applyFont="1" applyFill="1" applyBorder="1" applyAlignment="1">
      <alignment horizontal="center" vertical="center"/>
    </xf>
    <xf numFmtId="0" fontId="84" fillId="80" borderId="55" xfId="10" applyFont="1" applyFill="1" applyBorder="1" applyAlignment="1">
      <alignment horizontal="center" vertical="center"/>
    </xf>
    <xf numFmtId="0" fontId="84" fillId="80" borderId="56" xfId="10" applyFont="1" applyFill="1" applyBorder="1" applyAlignment="1">
      <alignment horizontal="center" vertical="center"/>
    </xf>
    <xf numFmtId="0" fontId="11" fillId="70" borderId="65" xfId="10" applyFont="1" applyFill="1" applyBorder="1" applyAlignment="1">
      <alignment horizontal="center" vertical="center"/>
    </xf>
    <xf numFmtId="0" fontId="11" fillId="70" borderId="32" xfId="10" applyFont="1" applyFill="1" applyBorder="1" applyAlignment="1">
      <alignment horizontal="center" vertical="center"/>
    </xf>
    <xf numFmtId="0" fontId="11" fillId="70" borderId="66" xfId="10" applyFont="1" applyFill="1" applyBorder="1" applyAlignment="1">
      <alignment horizontal="center" vertical="center"/>
    </xf>
    <xf numFmtId="0" fontId="3" fillId="17" borderId="0" xfId="23" applyFont="1" applyFill="1" applyAlignment="1">
      <alignment horizontal="right" vertical="top" wrapText="1"/>
    </xf>
    <xf numFmtId="0" fontId="54" fillId="59" borderId="0" xfId="10" applyFont="1" applyFill="1" applyAlignment="1">
      <alignment horizontal="left" vertical="center" wrapText="1"/>
    </xf>
    <xf numFmtId="0" fontId="54" fillId="59" borderId="3" xfId="10" applyFont="1" applyFill="1" applyBorder="1" applyAlignment="1">
      <alignment horizontal="left" vertical="center" wrapText="1"/>
    </xf>
    <xf numFmtId="0" fontId="11" fillId="49" borderId="54" xfId="10" applyFont="1" applyFill="1" applyBorder="1" applyAlignment="1">
      <alignment horizontal="center" vertical="center"/>
    </xf>
    <xf numFmtId="0" fontId="11" fillId="49" borderId="55" xfId="10" applyFont="1" applyFill="1" applyBorder="1" applyAlignment="1">
      <alignment horizontal="center" vertical="center"/>
    </xf>
    <xf numFmtId="0" fontId="11" fillId="49" borderId="56" xfId="10" applyFont="1" applyFill="1" applyBorder="1" applyAlignment="1">
      <alignment horizontal="center" vertical="center"/>
    </xf>
    <xf numFmtId="0" fontId="18" fillId="49" borderId="54" xfId="10" applyFont="1" applyFill="1" applyBorder="1" applyAlignment="1">
      <alignment horizontal="center" vertical="center"/>
    </xf>
    <xf numFmtId="0" fontId="18" fillId="49" borderId="55" xfId="10" applyFont="1" applyFill="1" applyBorder="1" applyAlignment="1">
      <alignment horizontal="center" vertical="center"/>
    </xf>
    <xf numFmtId="0" fontId="18" fillId="49" borderId="56" xfId="10" applyFont="1" applyFill="1" applyBorder="1" applyAlignment="1">
      <alignment horizontal="center" vertical="center"/>
    </xf>
    <xf numFmtId="0" fontId="11" fillId="49" borderId="65" xfId="10" applyFont="1" applyFill="1" applyBorder="1" applyAlignment="1">
      <alignment horizontal="center" vertical="center"/>
    </xf>
    <xf numFmtId="0" fontId="11" fillId="49" borderId="32" xfId="10" applyFont="1" applyFill="1" applyBorder="1" applyAlignment="1">
      <alignment horizontal="center" vertical="center"/>
    </xf>
    <xf numFmtId="0" fontId="11" fillId="49" borderId="66" xfId="10" applyFont="1" applyFill="1" applyBorder="1" applyAlignment="1">
      <alignment horizontal="center" vertical="center"/>
    </xf>
    <xf numFmtId="0" fontId="41" fillId="63" borderId="54" xfId="10" applyFont="1" applyFill="1" applyBorder="1" applyAlignment="1">
      <alignment horizontal="center" vertical="center"/>
    </xf>
    <xf numFmtId="0" fontId="41" fillId="63" borderId="55" xfId="10" applyFont="1" applyFill="1" applyBorder="1" applyAlignment="1">
      <alignment horizontal="center" vertical="center"/>
    </xf>
    <xf numFmtId="0" fontId="41" fillId="63" borderId="56" xfId="10" applyFont="1" applyFill="1" applyBorder="1" applyAlignment="1">
      <alignment horizontal="center" vertical="center"/>
    </xf>
    <xf numFmtId="0" fontId="27" fillId="64" borderId="54" xfId="10" applyFont="1" applyFill="1" applyBorder="1" applyAlignment="1">
      <alignment horizontal="center" vertical="center"/>
    </xf>
    <xf numFmtId="0" fontId="27" fillId="64" borderId="55" xfId="10" applyFont="1" applyFill="1" applyBorder="1" applyAlignment="1">
      <alignment horizontal="center" vertical="center"/>
    </xf>
    <xf numFmtId="0" fontId="27" fillId="64" borderId="56" xfId="10" applyFont="1" applyFill="1" applyBorder="1" applyAlignment="1">
      <alignment horizontal="center" vertical="center"/>
    </xf>
    <xf numFmtId="0" fontId="41" fillId="63" borderId="65" xfId="10" applyFont="1" applyFill="1" applyBorder="1" applyAlignment="1">
      <alignment horizontal="center" vertical="center"/>
    </xf>
    <xf numFmtId="0" fontId="41" fillId="63" borderId="32" xfId="10" applyFont="1" applyFill="1" applyBorder="1" applyAlignment="1">
      <alignment horizontal="center" vertical="center"/>
    </xf>
    <xf numFmtId="0" fontId="41" fillId="63" borderId="66" xfId="10" applyFont="1" applyFill="1" applyBorder="1" applyAlignment="1">
      <alignment horizontal="center" vertical="center"/>
    </xf>
    <xf numFmtId="0" fontId="11" fillId="62" borderId="54" xfId="10" applyFont="1" applyFill="1" applyBorder="1" applyAlignment="1">
      <alignment horizontal="center" vertical="center"/>
    </xf>
    <xf numFmtId="0" fontId="11" fillId="62" borderId="55" xfId="10" applyFont="1" applyFill="1" applyBorder="1" applyAlignment="1">
      <alignment horizontal="center" vertical="center"/>
    </xf>
    <xf numFmtId="0" fontId="11" fillId="62" borderId="56" xfId="10" applyFont="1" applyFill="1" applyBorder="1" applyAlignment="1">
      <alignment horizontal="center" vertical="center"/>
    </xf>
    <xf numFmtId="0" fontId="27" fillId="42" borderId="54" xfId="10" applyFont="1" applyFill="1" applyBorder="1" applyAlignment="1">
      <alignment horizontal="center" vertical="center"/>
    </xf>
    <xf numFmtId="0" fontId="27" fillId="42" borderId="55" xfId="10" applyFont="1" applyFill="1" applyBorder="1" applyAlignment="1">
      <alignment horizontal="center" vertical="center"/>
    </xf>
    <xf numFmtId="0" fontId="27" fillId="42" borderId="56" xfId="10" applyFont="1" applyFill="1" applyBorder="1" applyAlignment="1">
      <alignment horizontal="center" vertical="center"/>
    </xf>
    <xf numFmtId="0" fontId="11" fillId="62" borderId="65" xfId="10" applyFont="1" applyFill="1" applyBorder="1" applyAlignment="1">
      <alignment horizontal="center" vertical="center"/>
    </xf>
    <xf numFmtId="0" fontId="11" fillId="62" borderId="32" xfId="10" applyFont="1" applyFill="1" applyBorder="1" applyAlignment="1">
      <alignment horizontal="center" vertical="center"/>
    </xf>
    <xf numFmtId="0" fontId="11" fillId="62" borderId="66" xfId="10" applyFont="1" applyFill="1" applyBorder="1" applyAlignment="1">
      <alignment horizontal="center" vertical="center"/>
    </xf>
    <xf numFmtId="0" fontId="41" fillId="56" borderId="54" xfId="10" applyFont="1" applyFill="1" applyBorder="1" applyAlignment="1">
      <alignment horizontal="center" vertical="center"/>
    </xf>
    <xf numFmtId="0" fontId="41" fillId="56" borderId="55" xfId="10" applyFont="1" applyFill="1" applyBorder="1" applyAlignment="1">
      <alignment horizontal="center" vertical="center"/>
    </xf>
    <xf numFmtId="0" fontId="41" fillId="56" borderId="56" xfId="10" applyFont="1" applyFill="1" applyBorder="1" applyAlignment="1">
      <alignment horizontal="center" vertical="center"/>
    </xf>
    <xf numFmtId="0" fontId="27" fillId="55" borderId="54" xfId="10" applyFont="1" applyFill="1" applyBorder="1" applyAlignment="1">
      <alignment horizontal="center" vertical="center"/>
    </xf>
    <xf numFmtId="0" fontId="27" fillId="55" borderId="55" xfId="10" applyFont="1" applyFill="1" applyBorder="1" applyAlignment="1">
      <alignment horizontal="center" vertical="center"/>
    </xf>
    <xf numFmtId="0" fontId="27" fillId="55" borderId="56" xfId="10" applyFont="1" applyFill="1" applyBorder="1" applyAlignment="1">
      <alignment horizontal="center" vertical="center"/>
    </xf>
    <xf numFmtId="0" fontId="41" fillId="56" borderId="65" xfId="10" applyFont="1" applyFill="1" applyBorder="1" applyAlignment="1">
      <alignment horizontal="center" vertical="center"/>
    </xf>
    <xf numFmtId="0" fontId="41" fillId="56" borderId="32" xfId="10" applyFont="1" applyFill="1" applyBorder="1" applyAlignment="1">
      <alignment horizontal="center" vertical="center"/>
    </xf>
    <xf numFmtId="0" fontId="41" fillId="56" borderId="66" xfId="10" applyFont="1" applyFill="1" applyBorder="1" applyAlignment="1">
      <alignment horizontal="center" vertical="center"/>
    </xf>
    <xf numFmtId="0" fontId="11" fillId="65" borderId="54" xfId="10" applyFont="1" applyFill="1" applyBorder="1" applyAlignment="1">
      <alignment horizontal="center" vertical="center"/>
    </xf>
    <xf numFmtId="0" fontId="11" fillId="65" borderId="55" xfId="10" applyFont="1" applyFill="1" applyBorder="1" applyAlignment="1">
      <alignment horizontal="center" vertical="center"/>
    </xf>
    <xf numFmtId="0" fontId="11" fillId="65" borderId="56" xfId="10" applyFont="1" applyFill="1" applyBorder="1" applyAlignment="1">
      <alignment horizontal="center" vertical="center"/>
    </xf>
    <xf numFmtId="0" fontId="18" fillId="66" borderId="54" xfId="10" applyFont="1" applyFill="1" applyBorder="1" applyAlignment="1">
      <alignment horizontal="center" vertical="center"/>
    </xf>
    <xf numFmtId="0" fontId="18" fillId="66" borderId="55" xfId="10" applyFont="1" applyFill="1" applyBorder="1" applyAlignment="1">
      <alignment horizontal="center" vertical="center"/>
    </xf>
    <xf numFmtId="0" fontId="18" fillId="66" borderId="56" xfId="10" applyFont="1" applyFill="1" applyBorder="1" applyAlignment="1">
      <alignment horizontal="center" vertical="center"/>
    </xf>
    <xf numFmtId="0" fontId="11" fillId="65" borderId="65" xfId="10" applyFont="1" applyFill="1" applyBorder="1" applyAlignment="1">
      <alignment horizontal="center" vertical="center"/>
    </xf>
    <xf numFmtId="0" fontId="11" fillId="65" borderId="32" xfId="10" applyFont="1" applyFill="1" applyBorder="1" applyAlignment="1">
      <alignment horizontal="center" vertical="center"/>
    </xf>
    <xf numFmtId="0" fontId="11" fillId="65" borderId="66" xfId="10" applyFont="1" applyFill="1" applyBorder="1" applyAlignment="1">
      <alignment horizontal="center" vertical="center"/>
    </xf>
    <xf numFmtId="0" fontId="78" fillId="72" borderId="0" xfId="0" applyFont="1" applyFill="1" applyAlignment="1">
      <alignment horizontal="right" vertical="center" wrapText="1"/>
    </xf>
    <xf numFmtId="0" fontId="78" fillId="72" borderId="0" xfId="0" applyFont="1" applyFill="1" applyAlignment="1">
      <alignment horizontal="right" vertical="center"/>
    </xf>
    <xf numFmtId="0" fontId="60" fillId="6" borderId="0" xfId="13" applyFont="1" applyFill="1" applyAlignment="1">
      <alignment horizontal="center" vertical="center"/>
    </xf>
    <xf numFmtId="0" fontId="7" fillId="29" borderId="0" xfId="14" applyFont="1" applyFill="1" applyAlignment="1">
      <alignment horizontal="center" vertical="center" wrapText="1"/>
    </xf>
    <xf numFmtId="0" fontId="38" fillId="29" borderId="0" xfId="14" applyFont="1" applyFill="1" applyAlignment="1">
      <alignment horizontal="center" vertical="center" wrapText="1"/>
    </xf>
    <xf numFmtId="0" fontId="7" fillId="21" borderId="0" xfId="14" applyFont="1" applyFill="1" applyAlignment="1">
      <alignment horizontal="center" vertical="center" wrapText="1"/>
    </xf>
    <xf numFmtId="0" fontId="16" fillId="31" borderId="0" xfId="14" applyFont="1" applyFill="1" applyAlignment="1">
      <alignment horizontal="center" vertical="center" wrapText="1"/>
    </xf>
    <xf numFmtId="0" fontId="44" fillId="26" borderId="0" xfId="14" applyFont="1" applyFill="1" applyAlignment="1">
      <alignment horizontal="center" vertical="center"/>
    </xf>
    <xf numFmtId="0" fontId="11" fillId="36" borderId="44" xfId="10" applyFont="1" applyFill="1" applyBorder="1" applyAlignment="1">
      <alignment vertical="center" wrapText="1"/>
    </xf>
    <xf numFmtId="0" fontId="13" fillId="78" borderId="44" xfId="10" applyFont="1" applyFill="1" applyBorder="1" applyAlignment="1">
      <alignment horizontal="center" vertical="center" wrapText="1"/>
    </xf>
    <xf numFmtId="0" fontId="14" fillId="9" borderId="44" xfId="10" applyFont="1" applyFill="1" applyBorder="1" applyAlignment="1">
      <alignment horizontal="center" vertical="center" wrapText="1"/>
    </xf>
    <xf numFmtId="0" fontId="5" fillId="0" borderId="44" xfId="10" applyFont="1" applyBorder="1" applyAlignment="1">
      <alignment horizontal="center" vertical="center" wrapText="1"/>
    </xf>
    <xf numFmtId="0" fontId="11" fillId="26" borderId="44" xfId="10" applyFont="1" applyFill="1" applyBorder="1" applyAlignment="1">
      <alignment horizontal="center" vertical="center" wrapText="1"/>
    </xf>
    <xf numFmtId="0" fontId="15" fillId="36" borderId="44" xfId="10" applyFont="1" applyFill="1" applyBorder="1" applyAlignment="1">
      <alignment horizontal="center" vertical="center" wrapText="1"/>
    </xf>
    <xf numFmtId="0" fontId="5" fillId="23" borderId="44" xfId="10" applyFont="1" applyFill="1" applyBorder="1" applyAlignment="1">
      <alignment horizontal="center" vertical="center" wrapText="1"/>
    </xf>
    <xf numFmtId="0" fontId="45" fillId="77" borderId="44" xfId="10" applyFont="1" applyFill="1" applyBorder="1" applyAlignment="1">
      <alignment vertical="center" wrapText="1"/>
    </xf>
    <xf numFmtId="0" fontId="77" fillId="29" borderId="44" xfId="10" applyFont="1" applyFill="1" applyBorder="1" applyAlignment="1">
      <alignment horizontal="center" vertical="center"/>
    </xf>
    <xf numFmtId="0" fontId="14" fillId="9" borderId="44" xfId="10" applyFont="1" applyFill="1" applyBorder="1" applyAlignment="1">
      <alignment horizontal="right" vertical="center" wrapText="1"/>
    </xf>
    <xf numFmtId="0" fontId="5" fillId="23" borderId="44" xfId="10" applyFont="1" applyFill="1" applyBorder="1" applyAlignment="1">
      <alignment vertical="center" wrapText="1"/>
    </xf>
    <xf numFmtId="0" fontId="60" fillId="29" borderId="44" xfId="10" applyFont="1" applyFill="1" applyBorder="1" applyAlignment="1">
      <alignment horizontal="center" vertical="center"/>
    </xf>
    <xf numFmtId="14" fontId="12" fillId="23" borderId="48" xfId="10" applyNumberFormat="1" applyFont="1" applyFill="1" applyBorder="1" applyAlignment="1">
      <alignment horizontal="center" vertical="center"/>
    </xf>
    <xf numFmtId="14" fontId="12" fillId="23" borderId="49" xfId="10" applyNumberFormat="1" applyFont="1" applyFill="1" applyBorder="1" applyAlignment="1">
      <alignment horizontal="center" vertical="center"/>
    </xf>
    <xf numFmtId="0" fontId="15" fillId="9" borderId="48" xfId="10" applyFont="1" applyFill="1" applyBorder="1" applyAlignment="1">
      <alignment horizontal="right" vertical="center"/>
    </xf>
    <xf numFmtId="0" fontId="15" fillId="9" borderId="49" xfId="10" applyFont="1" applyFill="1" applyBorder="1" applyAlignment="1">
      <alignment horizontal="right" vertical="center"/>
    </xf>
    <xf numFmtId="0" fontId="12" fillId="23" borderId="41" xfId="10" applyFont="1" applyFill="1" applyBorder="1" applyAlignment="1">
      <alignment horizontal="center" vertical="center"/>
    </xf>
    <xf numFmtId="0" fontId="12" fillId="23" borderId="43" xfId="10" applyFont="1" applyFill="1" applyBorder="1" applyAlignment="1">
      <alignment horizontal="center" vertical="center"/>
    </xf>
    <xf numFmtId="0" fontId="12" fillId="23" borderId="48" xfId="10" applyFont="1" applyFill="1" applyBorder="1" applyAlignment="1">
      <alignment horizontal="center" vertical="center"/>
    </xf>
    <xf numFmtId="0" fontId="12" fillId="23" borderId="49" xfId="10" applyFont="1" applyFill="1" applyBorder="1" applyAlignment="1">
      <alignment horizontal="center" vertical="center"/>
    </xf>
    <xf numFmtId="0" fontId="6" fillId="29" borderId="41" xfId="10" applyFont="1" applyFill="1" applyBorder="1" applyAlignment="1">
      <alignment horizontal="center" vertical="center"/>
    </xf>
    <xf numFmtId="0" fontId="6" fillId="29" borderId="42" xfId="10" applyFont="1" applyFill="1" applyBorder="1" applyAlignment="1">
      <alignment horizontal="center" vertical="center"/>
    </xf>
    <xf numFmtId="0" fontId="6" fillId="29" borderId="45" xfId="10" applyFont="1" applyFill="1" applyBorder="1" applyAlignment="1">
      <alignment horizontal="center" vertical="center"/>
    </xf>
    <xf numFmtId="0" fontId="6" fillId="29" borderId="46" xfId="10" applyFont="1" applyFill="1" applyBorder="1" applyAlignment="1">
      <alignment horizontal="center" vertical="center"/>
    </xf>
    <xf numFmtId="0" fontId="11" fillId="22" borderId="44" xfId="10" applyFont="1" applyFill="1" applyBorder="1" applyAlignment="1">
      <alignment horizontal="center" vertical="center"/>
    </xf>
    <xf numFmtId="0" fontId="14" fillId="22" borderId="44" xfId="10" applyFont="1" applyFill="1" applyBorder="1" applyAlignment="1">
      <alignment vertical="center" wrapText="1"/>
    </xf>
  </cellXfs>
  <cellStyles count="27">
    <cellStyle name="Lien hypertexte" xfId="20" builtinId="8"/>
    <cellStyle name="Normal" xfId="0" builtinId="0"/>
    <cellStyle name="Normal 10 2 2 2 2 3 2 3 2 2 4 2" xfId="11" xr:uid="{F6941FA5-9147-40B4-A610-95B4FE189823}"/>
    <cellStyle name="Normal 10 2 2 2 2 3 2 3 2 2 4 2 2" xfId="13" xr:uid="{FC09C547-5E83-4A45-A31C-D772381C7D0A}"/>
    <cellStyle name="Normal 10 2 2 2 2 3 2 3 2 2 4 2 5" xfId="17" xr:uid="{17B19F32-85BD-4832-9A2A-173078EAE40E}"/>
    <cellStyle name="Normal 10 2 2 2 2 3 2 3 2 2 4 2 5 2" xfId="23" xr:uid="{FBF8816A-A1EE-4FA6-ABF6-9A698522C212}"/>
    <cellStyle name="Normal 2 2" xfId="2" xr:uid="{9D7F41E7-D8AA-4FEA-A5CF-9F2A61019C58}"/>
    <cellStyle name="Normal 2 2 2" xfId="4" xr:uid="{8680A9B3-7A66-4449-BBEC-F2460F44B201}"/>
    <cellStyle name="Normal 2 2 2 2 2" xfId="3" xr:uid="{D91AC6A9-1906-47DC-A1E2-3C56A7725BDC}"/>
    <cellStyle name="Normal 2 2 2 2 2 2 2" xfId="9" xr:uid="{55435726-64A5-4236-930F-7F847DB6344C}"/>
    <cellStyle name="Normal 2 2 2 2 2 3" xfId="10" xr:uid="{A502AF1E-8EF3-4CE7-B2FC-1F51682D1039}"/>
    <cellStyle name="Normal 2 2 2 2 2 3 2" xfId="14" xr:uid="{AFAB56AD-B298-4787-A05F-541260D5753B}"/>
    <cellStyle name="Normal 2 2 2 2 2 3 3" xfId="25" xr:uid="{49900A83-B8F9-4B73-B846-9FB05C6DDA2D}"/>
    <cellStyle name="Normal 2 2 2 2 2 3 3 2" xfId="26" xr:uid="{41DC7FC2-C510-49C5-9D5F-4C55671AF31D}"/>
    <cellStyle name="Normal 2 2 4" xfId="15" xr:uid="{85A4F41B-7EFD-4AA6-A466-2AEF4812523A}"/>
    <cellStyle name="Normal 2 2 5" xfId="6" xr:uid="{A3BFF28C-20BF-466F-9B76-D1F2AF65B1BA}"/>
    <cellStyle name="Normal 2 2 5 2" xfId="16" xr:uid="{B74DAE25-2FAC-4496-86F8-54271DBBCE5E}"/>
    <cellStyle name="Normal 2 3" xfId="5" xr:uid="{DD5C5AAB-BA9A-458B-B002-365BB080431A}"/>
    <cellStyle name="Normal 2 3 2" xfId="18" xr:uid="{8FC72EBB-6069-4ECD-8024-E4995C89D111}"/>
    <cellStyle name="Normal 2 3 2 2" xfId="22" xr:uid="{812E6523-640F-418D-BD92-AE40A9F4A521}"/>
    <cellStyle name="Normal 2 4 2" xfId="7" xr:uid="{53C211D0-13F8-43E0-A651-BBD6423CB340}"/>
    <cellStyle name="Normal 2 4 2 2" xfId="19" xr:uid="{00D3FADF-5CBD-44C6-B631-FDB432E4114E}"/>
    <cellStyle name="Normal 2 4 2 2 2" xfId="24" xr:uid="{1C958A19-2BA8-4DEF-A111-29979451EBA7}"/>
    <cellStyle name="Normal 4 2 2 2 2 2 2 2 3 3 2" xfId="21" xr:uid="{F4ABA54E-CFB6-4FC7-B78E-7505989E9975}"/>
    <cellStyle name="Normal 4 3 4 2 2 2 3" xfId="1" xr:uid="{C57B8BC7-34AA-4F7F-8D4B-53282B1886D1}"/>
    <cellStyle name="Normal 4 3 4 2 2 2 3 2 2" xfId="8" xr:uid="{D867B965-051C-4278-BA46-962371730D5B}"/>
    <cellStyle name="Normal_Comparer recettes 2009 OK 2 2 2 2" xfId="12" xr:uid="{32B83A76-F72C-43C7-934E-920D58ACBEDF}"/>
  </cellStyles>
  <dxfs count="20">
    <dxf>
      <font>
        <b/>
        <color rgb="FF006100"/>
      </font>
      <fill>
        <patternFill patternType="solid">
          <bgColor rgb="FFE2F0D9"/>
        </patternFill>
      </fill>
    </dxf>
    <dxf>
      <font>
        <b/>
        <color rgb="FF9C0006"/>
      </font>
      <fill>
        <patternFill patternType="solid">
          <bgColor rgb="FFF4CCCC"/>
        </patternFill>
      </fill>
    </dxf>
    <dxf>
      <font>
        <b/>
        <color rgb="FF7F6000"/>
      </font>
      <fill>
        <patternFill>
          <bgColor rgb="FFF4B183"/>
        </patternFill>
      </fill>
    </dxf>
    <dxf>
      <font>
        <b/>
        <color rgb="FFFFFFFF"/>
      </font>
      <fill>
        <patternFill>
          <bgColor rgb="FFC00000"/>
        </patternFill>
      </fill>
    </dxf>
    <dxf>
      <font>
        <b/>
        <color rgb="FF375623"/>
      </font>
      <fill>
        <patternFill>
          <bgColor rgb="FFE2F0D9"/>
        </patternFill>
      </fill>
    </dxf>
    <dxf>
      <font>
        <b/>
        <color rgb="FF9C0006"/>
      </font>
      <fill>
        <patternFill>
          <bgColor rgb="FFF4CCCC"/>
        </patternFill>
      </fill>
    </dxf>
    <dxf>
      <font>
        <b/>
        <color rgb="FF375623"/>
      </font>
      <fill>
        <patternFill>
          <bgColor rgb="FFE2F0D9"/>
        </patternFill>
      </fill>
    </dxf>
    <dxf>
      <font>
        <b/>
        <color rgb="FF9C0006"/>
      </font>
      <fill>
        <patternFill>
          <bgColor rgb="FFF4CCCC"/>
        </patternFill>
      </fill>
    </dxf>
    <dxf>
      <font>
        <b/>
        <color rgb="FF375623"/>
      </font>
      <fill>
        <patternFill>
          <bgColor rgb="FFE2F0D9"/>
        </patternFill>
      </fill>
    </dxf>
    <dxf>
      <font>
        <b/>
        <color rgb="FF9C0006"/>
      </font>
      <fill>
        <patternFill>
          <bgColor rgb="FFF4CCCC"/>
        </patternFill>
      </fill>
    </dxf>
    <dxf>
      <font>
        <b/>
        <color rgb="FF375623"/>
      </font>
      <fill>
        <patternFill>
          <bgColor rgb="FFE2F0D9"/>
        </patternFill>
      </fill>
    </dxf>
    <dxf>
      <font>
        <b/>
        <color rgb="FF9C0006"/>
      </font>
      <fill>
        <patternFill>
          <bgColor rgb="FFF4CCCC"/>
        </patternFill>
      </fill>
    </dxf>
    <dxf>
      <font>
        <b/>
        <color rgb="FF375623"/>
      </font>
      <fill>
        <patternFill>
          <bgColor rgb="FFE2F0D9"/>
        </patternFill>
      </fill>
    </dxf>
    <dxf>
      <font>
        <b/>
        <color rgb="FF9C0006"/>
      </font>
      <fill>
        <patternFill>
          <bgColor rgb="FFF4CCCC"/>
        </patternFill>
      </fill>
    </dxf>
    <dxf>
      <font>
        <b/>
        <color rgb="FF375623"/>
      </font>
      <fill>
        <patternFill>
          <bgColor rgb="FFE2F0D9"/>
        </patternFill>
      </fill>
    </dxf>
    <dxf>
      <font>
        <b/>
        <color rgb="FF9C0006"/>
      </font>
      <fill>
        <patternFill>
          <bgColor rgb="FFF4CCCC"/>
        </patternFill>
      </fill>
    </dxf>
    <dxf>
      <font>
        <b/>
        <color rgb="FF375623"/>
      </font>
      <fill>
        <patternFill>
          <bgColor rgb="FFE2F0D9"/>
        </patternFill>
      </fill>
    </dxf>
    <dxf>
      <font>
        <b/>
        <color rgb="FF9C0006"/>
      </font>
      <fill>
        <patternFill>
          <bgColor rgb="FFF4CCCC"/>
        </patternFill>
      </fill>
    </dxf>
    <dxf>
      <font>
        <b/>
        <color rgb="FF375623"/>
      </font>
      <fill>
        <patternFill>
          <bgColor rgb="FFE2F0D9"/>
        </patternFill>
      </fill>
    </dxf>
    <dxf>
      <font>
        <b/>
        <color rgb="FF9C0006"/>
      </font>
      <fill>
        <patternFill>
          <bgColor rgb="FFF4CCCC"/>
        </patternFill>
      </fill>
    </dxf>
  </dxfs>
  <tableStyles count="0" defaultTableStyle="TableStyleMedium2" defaultPivotStyle="PivotStyleLight16"/>
  <colors>
    <mruColors>
      <color rgb="FFE1DD72"/>
      <color rgb="FFE3B448"/>
      <color rgb="FF6FB98F"/>
      <color rgb="FF486B00"/>
      <color rgb="FFFDD475"/>
      <color rgb="FFB38867"/>
      <color rgb="FFF78B2D"/>
      <color rgb="FFED5752"/>
      <color rgb="FFFFD64D"/>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5</xdr:col>
      <xdr:colOff>476250</xdr:colOff>
      <xdr:row>82</xdr:row>
      <xdr:rowOff>28575</xdr:rowOff>
    </xdr:from>
    <xdr:ext cx="2791215" cy="3553321"/>
    <xdr:pic>
      <xdr:nvPicPr>
        <xdr:cNvPr id="2" name="Image 1">
          <a:extLst>
            <a:ext uri="{FF2B5EF4-FFF2-40B4-BE49-F238E27FC236}">
              <a16:creationId xmlns:a16="http://schemas.microsoft.com/office/drawing/2014/main" id="{C5B5F244-80C4-4DA3-B830-982FFB67E60E}"/>
            </a:ext>
          </a:extLst>
        </xdr:cNvPr>
        <xdr:cNvPicPr>
          <a:picLocks noChangeAspect="1"/>
        </xdr:cNvPicPr>
      </xdr:nvPicPr>
      <xdr:blipFill>
        <a:blip xmlns:r="http://schemas.openxmlformats.org/officeDocument/2006/relationships" r:embed="rId1"/>
        <a:stretch>
          <a:fillRect/>
        </a:stretch>
      </xdr:blipFill>
      <xdr:spPr>
        <a:xfrm>
          <a:off x="8639175" y="16659225"/>
          <a:ext cx="2791215" cy="3553321"/>
        </a:xfrm>
        <a:prstGeom prst="rect">
          <a:avLst/>
        </a:prstGeom>
      </xdr:spPr>
    </xdr:pic>
    <xdr:clientData/>
  </xdr:oneCellAnchor>
  <xdr:oneCellAnchor>
    <xdr:from>
      <xdr:col>6</xdr:col>
      <xdr:colOff>2990850</xdr:colOff>
      <xdr:row>82</xdr:row>
      <xdr:rowOff>142875</xdr:rowOff>
    </xdr:from>
    <xdr:ext cx="2543530" cy="3057952"/>
    <xdr:pic>
      <xdr:nvPicPr>
        <xdr:cNvPr id="3" name="Image 2">
          <a:extLst>
            <a:ext uri="{FF2B5EF4-FFF2-40B4-BE49-F238E27FC236}">
              <a16:creationId xmlns:a16="http://schemas.microsoft.com/office/drawing/2014/main" id="{7DCD748E-2A62-484E-A50B-D6F5ABC61340}"/>
            </a:ext>
          </a:extLst>
        </xdr:cNvPr>
        <xdr:cNvPicPr>
          <a:picLocks noChangeAspect="1"/>
        </xdr:cNvPicPr>
      </xdr:nvPicPr>
      <xdr:blipFill>
        <a:blip xmlns:r="http://schemas.openxmlformats.org/officeDocument/2006/relationships" r:embed="rId2"/>
        <a:stretch>
          <a:fillRect/>
        </a:stretch>
      </xdr:blipFill>
      <xdr:spPr>
        <a:xfrm>
          <a:off x="13687425" y="16773525"/>
          <a:ext cx="2543530" cy="3057952"/>
        </a:xfrm>
        <a:prstGeom prst="rect">
          <a:avLst/>
        </a:prstGeom>
      </xdr:spPr>
    </xdr:pic>
    <xdr:clientData/>
  </xdr:oneCellAnchor>
  <xdr:oneCellAnchor>
    <xdr:from>
      <xdr:col>5</xdr:col>
      <xdr:colOff>371475</xdr:colOff>
      <xdr:row>101</xdr:row>
      <xdr:rowOff>171450</xdr:rowOff>
    </xdr:from>
    <xdr:ext cx="2619741" cy="3458058"/>
    <xdr:pic>
      <xdr:nvPicPr>
        <xdr:cNvPr id="4" name="Image 3">
          <a:extLst>
            <a:ext uri="{FF2B5EF4-FFF2-40B4-BE49-F238E27FC236}">
              <a16:creationId xmlns:a16="http://schemas.microsoft.com/office/drawing/2014/main" id="{5AF691BD-82BF-4389-BFE5-65729761226E}"/>
            </a:ext>
          </a:extLst>
        </xdr:cNvPr>
        <xdr:cNvPicPr>
          <a:picLocks noChangeAspect="1"/>
        </xdr:cNvPicPr>
      </xdr:nvPicPr>
      <xdr:blipFill>
        <a:blip xmlns:r="http://schemas.openxmlformats.org/officeDocument/2006/relationships" r:embed="rId3"/>
        <a:stretch>
          <a:fillRect/>
        </a:stretch>
      </xdr:blipFill>
      <xdr:spPr>
        <a:xfrm>
          <a:off x="8534400" y="20564475"/>
          <a:ext cx="2619741" cy="3458058"/>
        </a:xfrm>
        <a:prstGeom prst="rect">
          <a:avLst/>
        </a:prstGeom>
      </xdr:spPr>
    </xdr:pic>
    <xdr:clientData/>
  </xdr:oneCellAnchor>
  <xdr:oneCellAnchor>
    <xdr:from>
      <xdr:col>6</xdr:col>
      <xdr:colOff>2009775</xdr:colOff>
      <xdr:row>101</xdr:row>
      <xdr:rowOff>19050</xdr:rowOff>
    </xdr:from>
    <xdr:ext cx="3629532" cy="2953162"/>
    <xdr:pic>
      <xdr:nvPicPr>
        <xdr:cNvPr id="5" name="Image 4">
          <a:extLst>
            <a:ext uri="{FF2B5EF4-FFF2-40B4-BE49-F238E27FC236}">
              <a16:creationId xmlns:a16="http://schemas.microsoft.com/office/drawing/2014/main" id="{8274DED9-0D03-4AB0-961A-5249CE26944E}"/>
            </a:ext>
          </a:extLst>
        </xdr:cNvPr>
        <xdr:cNvPicPr>
          <a:picLocks noChangeAspect="1"/>
        </xdr:cNvPicPr>
      </xdr:nvPicPr>
      <xdr:blipFill>
        <a:blip xmlns:r="http://schemas.openxmlformats.org/officeDocument/2006/relationships" r:embed="rId4"/>
        <a:stretch>
          <a:fillRect/>
        </a:stretch>
      </xdr:blipFill>
      <xdr:spPr>
        <a:xfrm>
          <a:off x="12706350" y="20412075"/>
          <a:ext cx="3629532" cy="2953162"/>
        </a:xfrm>
        <a:prstGeom prst="rect">
          <a:avLst/>
        </a:prstGeom>
      </xdr:spPr>
    </xdr:pic>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8" Type="http://schemas.openxmlformats.org/officeDocument/2006/relationships/hyperlink" Target="http://dieteticienne.over-blog.com/article-pourcentage-de-dechets-des-viandes-97921565.html?utm_source=chatgpt.com" TargetMode="External"/><Relationship Id="rId3" Type="http://schemas.openxmlformats.org/officeDocument/2006/relationships/hyperlink" Target="https://www.facebook.com/DKcoaching.prepa/posts/conna%C3%AEtre-les-%C3%A9quivalences-poids-crucuit-voil%C3%A0-un-post-qui-jesp%C3%A8re-te-sembleras-/1103043807120035/" TargetMode="External"/><Relationship Id="rId7" Type="http://schemas.openxmlformats.org/officeDocument/2006/relationships/hyperlink" Target="https://fatsecretfrance.fr/astuces-et-conseils/equivalences-cru-cuit/" TargetMode="External"/><Relationship Id="rId12" Type="http://schemas.openxmlformats.org/officeDocument/2006/relationships/drawing" Target="../drawings/drawing1.xml"/><Relationship Id="rId2" Type="http://schemas.openxmlformats.org/officeDocument/2006/relationships/hyperlink" Target="https://guide-alimentaire.canada.ca/fr/" TargetMode="External"/><Relationship Id="rId1" Type="http://schemas.openxmlformats.org/officeDocument/2006/relationships/hyperlink" Target="https://books.google.fr/books?id=ldcKa0614jAC&amp;newbks=1&amp;newbks_redir=0&amp;printsec=frontcover" TargetMode="External"/><Relationship Id="rId6" Type="http://schemas.openxmlformats.org/officeDocument/2006/relationships/hyperlink" Target="https://www.facebook.com/ecolosophie/posts/toujours-int%C3%A9ressant-de-savoir-l%C3%A9quivalence-entre-cuit-et-cru/2819013355067283/" TargetMode="External"/><Relationship Id="rId11" Type="http://schemas.openxmlformats.org/officeDocument/2006/relationships/hyperlink" Target="https://goodfood.brussels/sites/default/files/inline-files/Vademecum%20cantines%20FR%20-%2020240828.pdf" TargetMode="External"/><Relationship Id="rId5" Type="http://schemas.openxmlformats.org/officeDocument/2006/relationships/hyperlink" Target="https://faq.croq-kilos.com/hc/fr/articles/360018894799-Equivalence-poids-cru-et-cuit" TargetMode="External"/><Relationship Id="rId10" Type="http://schemas.openxmlformats.org/officeDocument/2006/relationships/hyperlink" Target="https://goodfood.brussels/fr/news/modification-du-critere-de-lassiette-equilibree-grammages-de-viande-du-label-cantine-good-food?domain=cit" TargetMode="External"/><Relationship Id="rId4" Type="http://schemas.openxmlformats.org/officeDocument/2006/relationships/hyperlink" Target="https://fr.pinterest.com/brigittek80/equivalences-crucuit/" TargetMode="External"/><Relationship Id="rId9" Type="http://schemas.openxmlformats.org/officeDocument/2006/relationships/hyperlink" Target="https://environnement.brussels/citoyen/outils-et-donnees/sites-web-et-outils/lalimentation-durable-bruxel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14AFF-23AC-4D18-A874-ABF541F53BBB}">
  <dimension ref="A1:DG454"/>
  <sheetViews>
    <sheetView topLeftCell="A17" workbookViewId="0">
      <selection activeCell="G32" sqref="G32"/>
    </sheetView>
  </sheetViews>
  <sheetFormatPr baseColWidth="10" defaultColWidth="10.28515625" defaultRowHeight="15.75" x14ac:dyDescent="0.25"/>
  <cols>
    <col min="1" max="1" width="23.7109375" style="151" customWidth="1"/>
    <col min="2" max="2" width="40.28515625" style="151" customWidth="1"/>
    <col min="3" max="3" width="13.140625" style="151" customWidth="1"/>
    <col min="4" max="4" width="16.28515625" style="151" customWidth="1"/>
    <col min="5" max="5" width="15.140625" style="151" customWidth="1"/>
    <col min="6" max="6" width="18.85546875" style="151" customWidth="1"/>
    <col min="7" max="7" width="15.42578125" style="151" customWidth="1"/>
    <col min="8" max="8" width="13.140625" style="151" customWidth="1"/>
    <col min="9" max="9" width="19.7109375" style="151" customWidth="1"/>
    <col min="10" max="12" width="10.28515625" style="151"/>
    <col min="13" max="13" width="31.140625" style="151" customWidth="1"/>
    <col min="14" max="14" width="14.85546875" style="151" customWidth="1"/>
    <col min="15" max="15" width="10.28515625" style="151"/>
    <col min="16" max="17" width="14.85546875" style="151" customWidth="1"/>
    <col min="18" max="18" width="41.7109375" style="151" customWidth="1"/>
    <col min="19" max="19" width="10.5703125" style="151" customWidth="1"/>
    <col min="20" max="20" width="18.85546875" style="151" customWidth="1"/>
    <col min="21" max="21" width="7.42578125" style="151" customWidth="1"/>
    <col min="22" max="22" width="16.85546875" style="151" customWidth="1"/>
    <col min="23" max="23" width="17.7109375" style="151" customWidth="1"/>
    <col min="24" max="24" width="55.7109375" style="151" customWidth="1"/>
    <col min="25" max="25" width="12" style="151" customWidth="1"/>
    <col min="26" max="26" width="10.85546875" style="151" customWidth="1"/>
    <col min="27" max="27" width="11.42578125" style="151" customWidth="1"/>
    <col min="28" max="28" width="23.7109375" style="151" customWidth="1"/>
    <col min="29" max="29" width="46.5703125" style="151" customWidth="1"/>
    <col min="30" max="30" width="25.7109375" style="151" customWidth="1"/>
    <col min="31" max="31" width="18.5703125" style="151" customWidth="1"/>
    <col min="32" max="34" width="18.28515625" style="151" customWidth="1"/>
    <col min="35" max="35" width="16.85546875" style="151" customWidth="1"/>
    <col min="36" max="38" width="16" style="151" customWidth="1"/>
    <col min="39" max="39" width="32.28515625" style="151" customWidth="1"/>
    <col min="40" max="40" width="16" style="151" customWidth="1"/>
    <col min="41" max="41" width="24.5703125" style="151" customWidth="1"/>
    <col min="42" max="42" width="20.5703125" style="151" customWidth="1"/>
    <col min="43" max="50" width="10.28515625" style="151"/>
    <col min="51" max="51" width="20.28515625" style="151" customWidth="1"/>
    <col min="52" max="52" width="16" style="151" customWidth="1"/>
    <col min="53" max="53" width="35.42578125" style="151" customWidth="1"/>
    <col min="54" max="54" width="17.140625" style="151" customWidth="1"/>
    <col min="55" max="55" width="13.7109375" style="151" customWidth="1"/>
    <col min="56" max="56" width="10.28515625" style="92"/>
    <col min="57" max="57" width="11.42578125" style="151" customWidth="1"/>
    <col min="58" max="58" width="14.85546875" style="151" customWidth="1"/>
    <col min="59" max="59" width="3.42578125" style="151" customWidth="1"/>
    <col min="60" max="60" width="11.42578125" style="151" customWidth="1"/>
    <col min="61" max="61" width="13.7109375" style="151" customWidth="1"/>
    <col min="62" max="62" width="11.42578125" style="151" customWidth="1"/>
    <col min="63" max="64" width="14.85546875" style="151" customWidth="1"/>
    <col min="65" max="16384" width="10.28515625" style="151"/>
  </cols>
  <sheetData>
    <row r="1" spans="1:111" ht="48" customHeight="1" x14ac:dyDescent="0.25">
      <c r="A1" s="702" t="str">
        <f>"RECETTES DE COLLECTIVITÉ &gt; HORS D'ŒUVRES FROIDS"&amp;" - "&amp;B6</f>
        <v>RECETTES DE COLLECTIVITÉ &gt; HORS D'ŒUVRES FROIDS - Saisissez votre recette X72</v>
      </c>
      <c r="B1" s="703"/>
      <c r="C1" s="703"/>
      <c r="D1" s="703"/>
      <c r="E1" s="703"/>
      <c r="F1" s="703"/>
      <c r="G1" s="703"/>
      <c r="H1" s="703"/>
      <c r="I1" s="704"/>
      <c r="J1" s="271"/>
      <c r="K1" s="272" t="s">
        <v>7897</v>
      </c>
      <c r="L1" s="273"/>
      <c r="M1" s="273"/>
      <c r="N1" s="273"/>
      <c r="O1" s="273"/>
      <c r="P1" s="274"/>
      <c r="Q1" s="274"/>
      <c r="R1" s="274"/>
      <c r="S1" s="274"/>
      <c r="T1" s="274"/>
      <c r="U1" s="538" t="s">
        <v>7898</v>
      </c>
      <c r="V1" s="539"/>
      <c r="W1" s="539"/>
      <c r="X1" s="539"/>
      <c r="Y1" s="539"/>
      <c r="Z1" s="539"/>
      <c r="AA1" s="540"/>
      <c r="AC1" s="275"/>
      <c r="AD1" s="276" t="s">
        <v>7899</v>
      </c>
      <c r="AE1" s="277"/>
      <c r="AF1" s="277"/>
      <c r="AG1" s="277"/>
      <c r="AH1" s="277"/>
      <c r="AI1" s="277"/>
      <c r="AJ1" s="277"/>
      <c r="AK1" s="277"/>
      <c r="AL1" s="277"/>
      <c r="AM1" s="277"/>
      <c r="AN1" s="277"/>
      <c r="AO1" s="277"/>
      <c r="AP1" s="277"/>
      <c r="AQ1" s="277"/>
      <c r="AS1" s="278" t="s">
        <v>0</v>
      </c>
      <c r="BB1" s="271"/>
      <c r="BC1" s="271"/>
      <c r="BD1" s="279">
        <v>1</v>
      </c>
      <c r="BE1" s="271"/>
      <c r="BF1" s="271"/>
      <c r="BG1" s="271"/>
      <c r="BH1" s="271"/>
      <c r="BI1" s="271"/>
      <c r="BJ1" s="271"/>
      <c r="BK1" s="271"/>
      <c r="BL1" s="271"/>
    </row>
    <row r="2" spans="1:111" ht="21.95" customHeight="1" x14ac:dyDescent="0.25">
      <c r="A2" s="705" t="s">
        <v>7900</v>
      </c>
      <c r="B2" s="706"/>
      <c r="C2" s="706"/>
      <c r="D2" s="706"/>
      <c r="E2" s="706"/>
      <c r="F2" s="706"/>
      <c r="G2" s="706"/>
      <c r="H2" s="706"/>
      <c r="I2" s="707"/>
      <c r="J2" s="271"/>
      <c r="K2" s="280"/>
      <c r="L2" s="280"/>
      <c r="M2" s="280"/>
      <c r="N2" s="281" t="s">
        <v>8218</v>
      </c>
      <c r="O2" s="280"/>
      <c r="P2" s="274"/>
      <c r="Q2" s="274"/>
      <c r="R2" s="274"/>
      <c r="S2" s="274"/>
      <c r="T2" s="274"/>
      <c r="U2" s="541" t="s">
        <v>7901</v>
      </c>
      <c r="V2" s="542"/>
      <c r="W2" s="542"/>
      <c r="X2" s="542"/>
      <c r="Y2" s="542"/>
      <c r="Z2" s="542"/>
      <c r="AA2" s="543"/>
      <c r="AC2" s="275"/>
      <c r="AD2" s="282" t="s">
        <v>7902</v>
      </c>
      <c r="AE2" s="283"/>
      <c r="AF2" s="283"/>
      <c r="AG2" s="283"/>
      <c r="AH2" s="283"/>
      <c r="AI2" s="283"/>
      <c r="AJ2" s="283"/>
      <c r="AK2" s="283"/>
      <c r="AL2" s="283"/>
      <c r="AM2" s="283"/>
      <c r="AN2" s="283"/>
      <c r="AO2" s="283"/>
      <c r="AP2" s="283"/>
      <c r="AQ2" s="283"/>
      <c r="BC2" s="271"/>
      <c r="BD2" s="279">
        <v>1</v>
      </c>
      <c r="BE2" s="271"/>
      <c r="BF2" s="271"/>
      <c r="BG2" s="271"/>
      <c r="BH2" s="271"/>
      <c r="BI2" s="271"/>
      <c r="BJ2" s="271"/>
      <c r="BK2" s="271"/>
      <c r="BL2" s="271"/>
    </row>
    <row r="3" spans="1:111" ht="21.95" customHeight="1" thickBot="1" x14ac:dyDescent="0.3">
      <c r="A3" s="152" t="s">
        <v>7903</v>
      </c>
      <c r="B3" s="284"/>
      <c r="C3" s="284"/>
      <c r="D3" s="284"/>
      <c r="E3" s="284"/>
      <c r="F3" s="284"/>
      <c r="G3" s="284"/>
      <c r="H3" s="284"/>
      <c r="I3" s="284"/>
      <c r="J3" s="271"/>
      <c r="K3" s="285" t="s">
        <v>344</v>
      </c>
      <c r="R3" s="274"/>
      <c r="S3" s="274"/>
      <c r="T3" s="274"/>
      <c r="U3" s="544"/>
      <c r="V3" s="545"/>
      <c r="W3" s="545"/>
      <c r="X3" s="545"/>
      <c r="Y3" s="545"/>
      <c r="Z3" s="545"/>
      <c r="AA3" s="546"/>
      <c r="AC3" s="275"/>
      <c r="AD3" s="286" t="s">
        <v>5975</v>
      </c>
      <c r="AE3" s="287" t="s">
        <v>7904</v>
      </c>
      <c r="AF3" s="287" t="s">
        <v>7905</v>
      </c>
      <c r="AG3" s="550" t="s">
        <v>7906</v>
      </c>
      <c r="AH3" s="550"/>
      <c r="AI3" s="288" t="s">
        <v>7907</v>
      </c>
      <c r="AJ3" s="289"/>
      <c r="AK3" s="289"/>
      <c r="AL3" s="289"/>
      <c r="AM3" s="290"/>
      <c r="AN3" s="290"/>
      <c r="AO3" s="290"/>
      <c r="AP3" s="290"/>
      <c r="AQ3" s="290"/>
      <c r="BC3" s="271"/>
      <c r="BD3" s="279">
        <v>1</v>
      </c>
      <c r="BE3" s="271"/>
      <c r="BF3" s="271"/>
      <c r="BG3" s="271"/>
      <c r="BH3" s="271"/>
      <c r="BI3" s="271"/>
      <c r="BJ3" s="271"/>
      <c r="BK3" s="271"/>
      <c r="BL3" s="271"/>
    </row>
    <row r="4" spans="1:111" ht="21.95" customHeight="1" x14ac:dyDescent="0.25">
      <c r="A4" s="708" t="s">
        <v>328</v>
      </c>
      <c r="B4" s="709"/>
      <c r="C4" s="709"/>
      <c r="D4" s="709"/>
      <c r="E4" s="709"/>
      <c r="F4" s="709"/>
      <c r="G4" s="709"/>
      <c r="H4" s="709"/>
      <c r="I4" s="710"/>
      <c r="J4" s="271"/>
      <c r="K4" s="291" t="s">
        <v>7908</v>
      </c>
      <c r="L4" s="292"/>
      <c r="M4" s="292"/>
      <c r="N4" s="292"/>
      <c r="O4" s="292"/>
      <c r="P4" s="292"/>
      <c r="Q4" s="292"/>
      <c r="R4" s="711" t="s">
        <v>5849</v>
      </c>
      <c r="S4" s="711"/>
      <c r="T4" s="293" t="str">
        <f>$BD$432</f>
        <v>BD432</v>
      </c>
      <c r="U4" s="547"/>
      <c r="V4" s="548"/>
      <c r="W4" s="548"/>
      <c r="X4" s="548"/>
      <c r="Y4" s="548"/>
      <c r="Z4" s="548"/>
      <c r="AA4" s="549"/>
      <c r="AC4" s="275"/>
      <c r="AD4" s="294" t="s">
        <v>7909</v>
      </c>
      <c r="AE4" s="295"/>
      <c r="AF4" s="296"/>
      <c r="AG4" s="295"/>
      <c r="AH4" s="295"/>
      <c r="AI4" s="295"/>
      <c r="AJ4" s="295"/>
      <c r="AK4" s="295"/>
      <c r="AL4" s="295"/>
      <c r="AM4" s="295"/>
      <c r="AN4" s="295"/>
      <c r="AO4" s="295"/>
      <c r="AP4" s="295"/>
      <c r="AQ4" s="295"/>
      <c r="BC4" s="271"/>
      <c r="BD4" s="279">
        <v>1</v>
      </c>
      <c r="BE4" s="271"/>
      <c r="BF4" s="271"/>
      <c r="BG4" s="271"/>
    </row>
    <row r="5" spans="1:111" ht="21.95" customHeight="1" x14ac:dyDescent="0.25">
      <c r="A5" s="297" t="s">
        <v>8170</v>
      </c>
      <c r="B5" s="153">
        <v>1</v>
      </c>
      <c r="C5" s="712" t="s">
        <v>7911</v>
      </c>
      <c r="D5" s="712"/>
      <c r="E5" s="712"/>
      <c r="F5" s="712"/>
      <c r="G5" s="712"/>
      <c r="H5" s="712"/>
      <c r="I5" s="713"/>
      <c r="J5" s="271"/>
      <c r="K5" s="298" t="s">
        <v>324</v>
      </c>
      <c r="L5" s="298" t="s">
        <v>7912</v>
      </c>
      <c r="M5" s="298" t="s">
        <v>326</v>
      </c>
      <c r="N5" s="298" t="s">
        <v>7913</v>
      </c>
      <c r="O5" s="298" t="s">
        <v>7914</v>
      </c>
      <c r="P5" s="298" t="s">
        <v>333</v>
      </c>
      <c r="Q5" s="298" t="s">
        <v>327</v>
      </c>
      <c r="R5" s="711"/>
      <c r="S5" s="711"/>
      <c r="U5" s="299"/>
      <c r="V5" s="271"/>
      <c r="W5" s="271"/>
      <c r="X5" s="271"/>
      <c r="Y5" s="271"/>
      <c r="Z5" s="271"/>
      <c r="AA5" s="300"/>
      <c r="AC5" s="275"/>
      <c r="AD5" s="301" t="s">
        <v>7858</v>
      </c>
      <c r="AE5" s="302" t="s">
        <v>7910</v>
      </c>
      <c r="AF5" s="303" t="s">
        <v>7915</v>
      </c>
      <c r="AG5" s="551" t="s">
        <v>281</v>
      </c>
      <c r="AH5" s="551"/>
      <c r="AI5" s="304" t="s">
        <v>7916</v>
      </c>
      <c r="AJ5" s="304"/>
      <c r="AK5" s="304"/>
      <c r="AL5" s="304"/>
      <c r="AM5" s="304"/>
      <c r="AN5" s="304"/>
      <c r="AO5" s="304"/>
      <c r="AP5" s="304"/>
      <c r="AQ5" s="304"/>
      <c r="BC5" s="271"/>
      <c r="BD5" s="279">
        <v>1</v>
      </c>
      <c r="BE5" s="271"/>
      <c r="BF5" s="271"/>
      <c r="BG5" s="271"/>
    </row>
    <row r="6" spans="1:111" ht="21.95" customHeight="1" x14ac:dyDescent="0.25">
      <c r="A6" s="305" t="s">
        <v>329</v>
      </c>
      <c r="B6" s="698" t="str" cm="1">
        <f t="array" ref="B6">IFERROR(INDEX($M$6:$M$15,$B$5),"")</f>
        <v>Saisissez votre recette X72</v>
      </c>
      <c r="C6" s="698"/>
      <c r="D6" s="698"/>
      <c r="E6" s="698"/>
      <c r="F6" s="698"/>
      <c r="G6" s="698"/>
      <c r="H6" s="698"/>
      <c r="I6" s="699"/>
      <c r="J6" s="271"/>
      <c r="K6" s="154">
        <f>$V$72</f>
        <v>1</v>
      </c>
      <c r="L6" s="306" t="str">
        <f>$W$72</f>
        <v>N° 00 ?</v>
      </c>
      <c r="M6" s="307" t="str">
        <f>$X$72</f>
        <v>Saisissez votre recette X72</v>
      </c>
      <c r="N6" s="308" t="str">
        <f>IF(AK72="","",AK72)</f>
        <v/>
      </c>
      <c r="O6" s="308" t="str">
        <f>IF(AL72="","",AL72)</f>
        <v/>
      </c>
      <c r="P6" s="309">
        <f>$Z$72</f>
        <v>100</v>
      </c>
      <c r="Q6" s="310">
        <f>$Y$72</f>
        <v>0</v>
      </c>
      <c r="U6" s="558" t="s">
        <v>7917</v>
      </c>
      <c r="V6" s="559"/>
      <c r="W6" s="559"/>
      <c r="X6" s="559"/>
      <c r="Y6" s="559"/>
      <c r="Z6" s="559"/>
      <c r="AA6" s="560"/>
      <c r="AC6" s="275"/>
      <c r="AD6" s="301" t="s">
        <v>7858</v>
      </c>
      <c r="AE6" s="302" t="s">
        <v>7912</v>
      </c>
      <c r="AF6" s="303" t="s">
        <v>7918</v>
      </c>
      <c r="AG6" s="561" t="s">
        <v>7919</v>
      </c>
      <c r="AH6" s="561"/>
      <c r="AI6" s="311" t="s">
        <v>7920</v>
      </c>
      <c r="AJ6" s="311"/>
      <c r="AK6" s="311"/>
      <c r="AL6" s="311"/>
      <c r="AM6" s="311"/>
      <c r="AN6" s="311"/>
      <c r="AO6" s="311"/>
      <c r="AP6" s="311"/>
      <c r="AQ6" s="311"/>
      <c r="BC6" s="271"/>
      <c r="BD6" s="279">
        <v>1</v>
      </c>
      <c r="BE6" s="271"/>
      <c r="BF6" s="271"/>
      <c r="BG6" s="271"/>
    </row>
    <row r="7" spans="1:111" ht="15.75" customHeight="1" x14ac:dyDescent="0.25">
      <c r="A7" s="312" t="s">
        <v>325</v>
      </c>
      <c r="B7" s="700" t="str" cm="1">
        <f t="array" ref="B7">IFERROR(INDEX($L$6:$L$15,$B$5),"")</f>
        <v>N° 00 ?</v>
      </c>
      <c r="C7" s="700"/>
      <c r="D7" s="313" t="s">
        <v>330</v>
      </c>
      <c r="E7" s="700" t="s">
        <v>3</v>
      </c>
      <c r="F7" s="700"/>
      <c r="G7" s="313" t="s">
        <v>327</v>
      </c>
      <c r="H7" s="700" cm="1">
        <f t="array" ref="H7">IFERROR(INDEX($Y$72:$Y$430,1+($B$5-1)*36),"")</f>
        <v>0</v>
      </c>
      <c r="I7" s="701"/>
      <c r="J7" s="271"/>
      <c r="K7" s="155">
        <f>$V$108</f>
        <v>2</v>
      </c>
      <c r="L7" s="306" t="str">
        <f>$W$108</f>
        <v>N° 00 ?</v>
      </c>
      <c r="M7" s="307" t="str">
        <f>$X$108</f>
        <v>Saisissez votre recette X108</v>
      </c>
      <c r="N7" s="308" t="str">
        <f>IF(AK108="","",AK108)</f>
        <v/>
      </c>
      <c r="O7" s="308" t="str">
        <f>IF(AL108="","",AL108)</f>
        <v/>
      </c>
      <c r="P7" s="309">
        <f>$Z$108</f>
        <v>100</v>
      </c>
      <c r="Q7" s="310">
        <f>$Y$108</f>
        <v>0</v>
      </c>
      <c r="U7" s="562" t="s">
        <v>7921</v>
      </c>
      <c r="V7" s="563"/>
      <c r="W7" s="563"/>
      <c r="X7" s="563"/>
      <c r="Y7" s="563"/>
      <c r="Z7" s="563"/>
      <c r="AA7" s="564"/>
      <c r="AC7" s="275"/>
      <c r="AD7" s="301" t="s">
        <v>7858</v>
      </c>
      <c r="AE7" s="302" t="s">
        <v>326</v>
      </c>
      <c r="AF7" s="303" t="s">
        <v>7922</v>
      </c>
      <c r="AG7" s="565" t="s">
        <v>7923</v>
      </c>
      <c r="AH7" s="565"/>
      <c r="AI7" s="311" t="s">
        <v>7924</v>
      </c>
      <c r="AJ7" s="311"/>
      <c r="AK7" s="311"/>
      <c r="AL7" s="311"/>
      <c r="AM7" s="311"/>
      <c r="AN7" s="311"/>
      <c r="AO7" s="311"/>
      <c r="AP7" s="311"/>
      <c r="AQ7" s="311"/>
      <c r="BC7" s="271"/>
      <c r="BD7" s="279">
        <v>1</v>
      </c>
      <c r="BE7" s="271"/>
      <c r="BF7" s="271"/>
      <c r="BG7" s="271"/>
    </row>
    <row r="8" spans="1:111" ht="23.1" customHeight="1" x14ac:dyDescent="0.25">
      <c r="A8" s="284"/>
      <c r="B8" s="284"/>
      <c r="C8" s="284"/>
      <c r="D8" s="284"/>
      <c r="E8" s="284"/>
      <c r="F8" s="284"/>
      <c r="G8" s="284"/>
      <c r="H8" s="284"/>
      <c r="I8" s="284"/>
      <c r="J8" s="271" t="s">
        <v>7925</v>
      </c>
      <c r="K8" s="155">
        <f>$V$144</f>
        <v>3</v>
      </c>
      <c r="L8" s="306" t="str">
        <f>$W$144</f>
        <v>N° 00 ?</v>
      </c>
      <c r="M8" s="307" t="str">
        <f>$X$144</f>
        <v>Saisissez votre recette X144</v>
      </c>
      <c r="N8" s="308" t="str">
        <f>IF(AK144="","",AK144)</f>
        <v/>
      </c>
      <c r="O8" s="308" t="str">
        <f>IF(AL144="","",AL144)</f>
        <v/>
      </c>
      <c r="P8" s="309">
        <f>$Z$144</f>
        <v>100</v>
      </c>
      <c r="Q8" s="310">
        <f>$Y$144</f>
        <v>0</v>
      </c>
      <c r="U8" s="553"/>
      <c r="V8" s="554"/>
      <c r="W8" s="554"/>
      <c r="X8" s="554"/>
      <c r="Y8" s="554"/>
      <c r="Z8" s="554"/>
      <c r="AA8" s="555"/>
      <c r="AC8" s="275"/>
      <c r="AD8" s="301" t="s">
        <v>7858</v>
      </c>
      <c r="AE8" s="302" t="s">
        <v>327</v>
      </c>
      <c r="AF8" s="303" t="s">
        <v>7926</v>
      </c>
      <c r="AG8" s="566" t="s">
        <v>7927</v>
      </c>
      <c r="AH8" s="566"/>
      <c r="AI8" s="311" t="s">
        <v>7928</v>
      </c>
      <c r="AJ8" s="311"/>
      <c r="AK8" s="311"/>
      <c r="AL8" s="311"/>
      <c r="AM8" s="311"/>
      <c r="AN8" s="311"/>
      <c r="AO8" s="311"/>
      <c r="AP8" s="311"/>
      <c r="AQ8" s="311"/>
      <c r="BC8" s="271"/>
      <c r="BD8" s="279">
        <v>1</v>
      </c>
      <c r="BE8" s="271"/>
      <c r="BF8" s="271"/>
      <c r="BG8" s="271"/>
    </row>
    <row r="9" spans="1:111" ht="23.1" customHeight="1" x14ac:dyDescent="0.25">
      <c r="A9" s="664" t="s">
        <v>331</v>
      </c>
      <c r="B9" s="665"/>
      <c r="C9" s="665"/>
      <c r="D9" s="665"/>
      <c r="E9" s="665"/>
      <c r="F9" s="665"/>
      <c r="G9" s="665"/>
      <c r="H9" s="665"/>
      <c r="I9" s="666"/>
      <c r="J9" s="271"/>
      <c r="K9" s="155">
        <f>$V$180</f>
        <v>4</v>
      </c>
      <c r="L9" s="306" t="str">
        <f>$W$180</f>
        <v>N° 00 ?</v>
      </c>
      <c r="M9" s="307" t="str">
        <f>$X$180</f>
        <v>Saisissez votre recette X180</v>
      </c>
      <c r="N9" s="308" t="str">
        <f>IF(AK180="","",AK180)</f>
        <v/>
      </c>
      <c r="O9" s="308" t="str">
        <f>IF(AL180="","",AL180)</f>
        <v/>
      </c>
      <c r="P9" s="309">
        <f>$Z$180</f>
        <v>100</v>
      </c>
      <c r="Q9" s="310">
        <f>$Y$180</f>
        <v>0</v>
      </c>
      <c r="U9" s="314" t="s">
        <v>7929</v>
      </c>
      <c r="V9" s="315"/>
      <c r="W9" s="315"/>
      <c r="X9" s="315"/>
      <c r="Y9" s="315"/>
      <c r="Z9" s="315"/>
      <c r="AA9" s="316"/>
      <c r="AC9" s="275"/>
      <c r="AD9" s="301" t="s">
        <v>7858</v>
      </c>
      <c r="AE9" s="317" t="s">
        <v>7930</v>
      </c>
      <c r="AF9" s="303" t="s">
        <v>7931</v>
      </c>
      <c r="AG9" s="552" t="s">
        <v>239</v>
      </c>
      <c r="AH9" s="551"/>
      <c r="AI9" s="304" t="s">
        <v>7932</v>
      </c>
      <c r="AJ9" s="304"/>
      <c r="AK9" s="304"/>
      <c r="AL9" s="304"/>
      <c r="AM9" s="304"/>
      <c r="AN9" s="304"/>
      <c r="AO9" s="304"/>
      <c r="AP9" s="304"/>
      <c r="AQ9" s="304"/>
      <c r="BC9" s="271"/>
      <c r="BD9" s="279">
        <v>1</v>
      </c>
      <c r="BE9" s="271"/>
      <c r="BF9" s="271"/>
      <c r="BG9" s="271"/>
      <c r="CL9" s="151">
        <v>1</v>
      </c>
      <c r="CM9" s="151">
        <v>2</v>
      </c>
      <c r="CN9" s="151">
        <v>3</v>
      </c>
      <c r="CO9" s="151">
        <v>4</v>
      </c>
      <c r="CP9" s="151">
        <v>5</v>
      </c>
      <c r="CQ9" s="151">
        <v>6</v>
      </c>
      <c r="CR9" s="151">
        <v>7</v>
      </c>
      <c r="CS9" s="151">
        <v>8</v>
      </c>
      <c r="CT9" s="151">
        <v>9</v>
      </c>
      <c r="CU9" s="151">
        <v>10</v>
      </c>
      <c r="CV9" s="151">
        <v>11</v>
      </c>
      <c r="CW9" s="151">
        <v>12</v>
      </c>
      <c r="CX9" s="151">
        <v>13</v>
      </c>
      <c r="CY9" s="151">
        <v>14</v>
      </c>
      <c r="CZ9" s="151">
        <v>15</v>
      </c>
      <c r="DA9" s="151">
        <v>16</v>
      </c>
      <c r="DB9" s="151">
        <v>17</v>
      </c>
      <c r="DC9" s="151">
        <v>18</v>
      </c>
      <c r="DD9" s="151">
        <v>19</v>
      </c>
      <c r="DE9" s="151">
        <v>20</v>
      </c>
      <c r="DF9" s="151">
        <v>21</v>
      </c>
      <c r="DG9" s="151">
        <v>22</v>
      </c>
    </row>
    <row r="10" spans="1:111" ht="23.1" customHeight="1" thickBot="1" x14ac:dyDescent="0.3">
      <c r="A10" s="690" t="s">
        <v>7933</v>
      </c>
      <c r="B10" s="691"/>
      <c r="C10" s="691"/>
      <c r="D10" s="692"/>
      <c r="E10" s="318"/>
      <c r="F10" s="693" t="s">
        <v>7934</v>
      </c>
      <c r="G10" s="694"/>
      <c r="H10" s="694"/>
      <c r="I10" s="695"/>
      <c r="J10" s="271"/>
      <c r="K10" s="155">
        <f>$V$216</f>
        <v>5</v>
      </c>
      <c r="L10" s="306" t="str">
        <f>$W$216</f>
        <v>N° 00 ?</v>
      </c>
      <c r="M10" s="307" t="str">
        <f>$X$216</f>
        <v>Saisissez votre recette X216</v>
      </c>
      <c r="N10" s="308" t="str">
        <f>IF(AK216="","",AK216)</f>
        <v/>
      </c>
      <c r="O10" s="308" t="str">
        <f>IF(AL216="","",AL216)</f>
        <v/>
      </c>
      <c r="P10" s="309">
        <f>$Z$216</f>
        <v>100</v>
      </c>
      <c r="Q10" s="310">
        <f>$Y$216</f>
        <v>0</v>
      </c>
      <c r="U10" s="553" t="s">
        <v>7935</v>
      </c>
      <c r="V10" s="554"/>
      <c r="W10" s="554"/>
      <c r="X10" s="554"/>
      <c r="Y10" s="554"/>
      <c r="Z10" s="554"/>
      <c r="AA10" s="555"/>
      <c r="AC10" s="275"/>
      <c r="AD10" s="319" t="s">
        <v>7936</v>
      </c>
      <c r="AE10" s="320" t="s">
        <v>7937</v>
      </c>
      <c r="AF10" s="321" t="s">
        <v>7938</v>
      </c>
      <c r="AG10" s="556" t="s">
        <v>7939</v>
      </c>
      <c r="AH10" s="557"/>
      <c r="AI10" s="311" t="s">
        <v>7940</v>
      </c>
      <c r="AJ10" s="311"/>
      <c r="AK10" s="311"/>
      <c r="AL10" s="311"/>
      <c r="AM10" s="311"/>
      <c r="AN10" s="311"/>
      <c r="AO10" s="311"/>
      <c r="AP10" s="311"/>
      <c r="AQ10" s="311"/>
      <c r="BC10" s="271"/>
      <c r="BD10" s="279">
        <v>1</v>
      </c>
      <c r="BE10" s="271"/>
      <c r="BF10" s="271"/>
      <c r="BG10" s="271"/>
    </row>
    <row r="11" spans="1:111" ht="23.1" customHeight="1" x14ac:dyDescent="0.25">
      <c r="A11" s="323" t="s">
        <v>332</v>
      </c>
      <c r="B11" s="696" t="str" cm="1">
        <f t="array" ref="B11">IFERROR(INDEX($AC$72:$AC$430,1+($B$5-1)*36),"")</f>
        <v>ÉLÉMENT PRINCIPAL AC72</v>
      </c>
      <c r="C11" s="696"/>
      <c r="D11" s="697"/>
      <c r="E11" s="318"/>
      <c r="F11" s="324" t="s">
        <v>333</v>
      </c>
      <c r="G11" s="325" cm="1">
        <f t="array" ref="G11">IFERROR(INDEX($Z$72:$Z$430,1+($B$5-1)*36),"")</f>
        <v>100</v>
      </c>
      <c r="H11" s="326" t="s">
        <v>7941</v>
      </c>
      <c r="I11" s="327"/>
      <c r="J11" s="271"/>
      <c r="K11" s="155">
        <f>$V$252</f>
        <v>6</v>
      </c>
      <c r="L11" s="306" t="str">
        <f>$W$252</f>
        <v>N° 00 ?</v>
      </c>
      <c r="M11" s="307" t="str">
        <f>$X$252</f>
        <v>Saisissez votre recette X252</v>
      </c>
      <c r="N11" s="308" t="str">
        <f>IF(AK252="","",AK252)</f>
        <v/>
      </c>
      <c r="O11" s="308" t="str">
        <f>IF(AL252="","",AL252)</f>
        <v/>
      </c>
      <c r="P11" s="309">
        <f>$Z$252</f>
        <v>100</v>
      </c>
      <c r="Q11" s="310">
        <f>$Y$252</f>
        <v>0</v>
      </c>
      <c r="U11" s="553"/>
      <c r="V11" s="554"/>
      <c r="W11" s="554"/>
      <c r="X11" s="554"/>
      <c r="Y11" s="554"/>
      <c r="Z11" s="554"/>
      <c r="AA11" s="555"/>
      <c r="AC11" s="275"/>
      <c r="AD11" s="328" t="s">
        <v>7942</v>
      </c>
      <c r="AE11" s="329"/>
      <c r="AF11" s="330"/>
      <c r="AG11" s="329"/>
      <c r="AH11" s="329"/>
      <c r="AI11" s="329"/>
      <c r="AJ11" s="329"/>
      <c r="AK11" s="329"/>
      <c r="AL11" s="329"/>
      <c r="AM11" s="329"/>
      <c r="AN11" s="329"/>
      <c r="AO11" s="329"/>
      <c r="AP11" s="329"/>
      <c r="AQ11" s="329"/>
      <c r="BC11" s="271"/>
      <c r="BD11" s="279">
        <v>1</v>
      </c>
      <c r="BE11" s="271"/>
      <c r="BF11" s="271"/>
      <c r="BG11" s="271"/>
    </row>
    <row r="12" spans="1:111" ht="23.1" customHeight="1" x14ac:dyDescent="0.25">
      <c r="A12" s="305" t="s">
        <v>334</v>
      </c>
      <c r="B12" s="331" t="str" cm="1">
        <f t="array" ref="B12">IFERROR(INDEX($N$6:$N$15,$B$5),"")</f>
        <v/>
      </c>
      <c r="C12" s="332" t="str" cm="1">
        <f t="array" ref="C12">IFERROR(INDEX($O$6:$O$15,$B$5),"")</f>
        <v/>
      </c>
      <c r="D12" s="333"/>
      <c r="E12" s="506" t="s">
        <v>8169</v>
      </c>
      <c r="F12" s="334" t="s">
        <v>335</v>
      </c>
      <c r="G12" s="335">
        <v>200</v>
      </c>
      <c r="H12" s="336" t="s">
        <v>7941</v>
      </c>
      <c r="I12" s="337"/>
      <c r="J12" s="271"/>
      <c r="K12" s="155">
        <f>$V$288</f>
        <v>7</v>
      </c>
      <c r="L12" s="306" t="str">
        <f>$W$288</f>
        <v>N° 00 ?</v>
      </c>
      <c r="M12" s="307" t="str">
        <f>$X$288</f>
        <v>Saisissez votre recette X288</v>
      </c>
      <c r="N12" s="308" t="str">
        <f>IF(AK288="","",AK288)</f>
        <v/>
      </c>
      <c r="O12" s="308" t="str">
        <f>IF(AL288="","",AL288)</f>
        <v/>
      </c>
      <c r="P12" s="309">
        <f>$Z$288</f>
        <v>100</v>
      </c>
      <c r="Q12" s="310">
        <f>$Y$288</f>
        <v>0</v>
      </c>
      <c r="U12" s="553" t="s">
        <v>7943</v>
      </c>
      <c r="V12" s="554"/>
      <c r="W12" s="554"/>
      <c r="X12" s="554"/>
      <c r="Y12" s="554"/>
      <c r="Z12" s="554"/>
      <c r="AA12" s="555"/>
      <c r="AC12" s="275"/>
      <c r="AD12" s="301" t="s">
        <v>7944</v>
      </c>
      <c r="AE12" s="311" t="s">
        <v>7945</v>
      </c>
      <c r="AF12" s="303" t="s">
        <v>7946</v>
      </c>
      <c r="AG12" s="17" t="s">
        <v>7947</v>
      </c>
      <c r="AH12" s="17"/>
      <c r="AI12" s="311" t="s">
        <v>7948</v>
      </c>
      <c r="AJ12" s="311"/>
      <c r="AK12" s="311"/>
      <c r="AL12" s="311"/>
      <c r="AM12" s="311"/>
      <c r="AN12" s="311"/>
      <c r="AO12" s="311"/>
      <c r="AP12" s="311"/>
      <c r="AQ12" s="311"/>
      <c r="BC12" s="271"/>
      <c r="BD12" s="279">
        <v>1</v>
      </c>
      <c r="BE12" s="271"/>
      <c r="BF12" s="271"/>
      <c r="BG12" s="271"/>
    </row>
    <row r="13" spans="1:111" ht="23.1" customHeight="1" x14ac:dyDescent="0.25">
      <c r="A13" s="338" t="s">
        <v>336</v>
      </c>
      <c r="B13" s="339">
        <v>2</v>
      </c>
      <c r="C13" s="340" t="s">
        <v>7949</v>
      </c>
      <c r="D13" s="341"/>
      <c r="E13" s="318"/>
      <c r="F13" s="676" t="s">
        <v>7950</v>
      </c>
      <c r="G13" s="676"/>
      <c r="H13" s="676"/>
      <c r="I13" s="676"/>
      <c r="J13" s="271"/>
      <c r="K13" s="155">
        <f>$V$324</f>
        <v>8</v>
      </c>
      <c r="L13" s="306" t="str">
        <f>$W$324</f>
        <v>N°00 ?</v>
      </c>
      <c r="M13" s="307" t="str">
        <f>$X$324</f>
        <v>Saisissez votre recette X324</v>
      </c>
      <c r="N13" s="308" t="str">
        <f>IF(AK324="","",AK324)</f>
        <v/>
      </c>
      <c r="O13" s="308" t="str">
        <f>IF(AL324="","",AL324)</f>
        <v/>
      </c>
      <c r="P13" s="309">
        <f>$Z$324</f>
        <v>100</v>
      </c>
      <c r="Q13" s="310">
        <f>$Y$324</f>
        <v>0</v>
      </c>
      <c r="U13" s="567"/>
      <c r="V13" s="568"/>
      <c r="W13" s="568"/>
      <c r="X13" s="568"/>
      <c r="Y13" s="568"/>
      <c r="Z13" s="568"/>
      <c r="AA13" s="569"/>
      <c r="AC13" s="275"/>
      <c r="AD13" s="301" t="s">
        <v>7828</v>
      </c>
      <c r="AE13" s="322" t="s">
        <v>338</v>
      </c>
      <c r="AF13" s="303" t="s">
        <v>7951</v>
      </c>
      <c r="AG13" s="34" t="s">
        <v>7952</v>
      </c>
      <c r="AH13" s="34"/>
      <c r="AI13" s="311" t="s">
        <v>7953</v>
      </c>
      <c r="AJ13" s="311"/>
      <c r="AK13" s="311"/>
      <c r="AL13" s="311"/>
      <c r="AM13" s="311"/>
      <c r="AN13" s="311"/>
      <c r="AO13" s="311"/>
      <c r="AP13" s="311"/>
      <c r="AQ13" s="311"/>
      <c r="BC13" s="271"/>
      <c r="BD13" s="279">
        <v>1</v>
      </c>
      <c r="BE13" s="271"/>
      <c r="BF13" s="271"/>
      <c r="BG13" s="271"/>
    </row>
    <row r="14" spans="1:111" ht="23.1" customHeight="1" x14ac:dyDescent="0.25">
      <c r="A14" s="284"/>
      <c r="B14" s="507" t="s">
        <v>8167</v>
      </c>
      <c r="C14" s="507" t="s">
        <v>8168</v>
      </c>
      <c r="D14" s="284"/>
      <c r="E14" s="318"/>
      <c r="F14" s="677"/>
      <c r="G14" s="677"/>
      <c r="H14" s="677"/>
      <c r="I14" s="677"/>
      <c r="J14" s="271"/>
      <c r="K14" s="155">
        <f>$V$360</f>
        <v>9</v>
      </c>
      <c r="L14" s="306" t="str">
        <f>$W$360</f>
        <v>N°00 ?</v>
      </c>
      <c r="M14" s="307" t="str">
        <f>$X$360</f>
        <v>Saisissez votre recette X360</v>
      </c>
      <c r="N14" s="308" t="str">
        <f>IF(AK360="","",AK360)</f>
        <v/>
      </c>
      <c r="O14" s="308" t="str">
        <f>IF(AL360="","",AL360)</f>
        <v/>
      </c>
      <c r="P14" s="309">
        <f>$Z$360</f>
        <v>100</v>
      </c>
      <c r="Q14" s="310">
        <f>$Y$360</f>
        <v>0</v>
      </c>
      <c r="U14" s="299"/>
      <c r="V14" s="271"/>
      <c r="W14" s="271"/>
      <c r="X14" s="271"/>
      <c r="Y14" s="271"/>
      <c r="Z14" s="271"/>
      <c r="AA14" s="300"/>
      <c r="AC14" s="275"/>
      <c r="AD14" s="301" t="s">
        <v>7828</v>
      </c>
      <c r="AE14" s="322" t="s">
        <v>338</v>
      </c>
      <c r="AF14" s="303" t="s">
        <v>7951</v>
      </c>
      <c r="AG14" s="34" t="s">
        <v>7954</v>
      </c>
      <c r="AH14" s="34"/>
      <c r="AI14" s="311" t="s">
        <v>7955</v>
      </c>
      <c r="AJ14" s="311"/>
      <c r="AK14" s="311"/>
      <c r="AL14" s="311"/>
      <c r="AM14" s="311"/>
      <c r="AN14" s="311"/>
      <c r="AO14" s="311"/>
      <c r="AP14" s="311"/>
      <c r="AQ14" s="311"/>
      <c r="BC14" s="271"/>
      <c r="BD14" s="279">
        <v>1</v>
      </c>
      <c r="BE14" s="271"/>
      <c r="BF14" s="271"/>
      <c r="BG14" s="271"/>
    </row>
    <row r="15" spans="1:111" ht="23.1" customHeight="1" x14ac:dyDescent="0.25">
      <c r="A15" s="664" t="s">
        <v>7956</v>
      </c>
      <c r="B15" s="665"/>
      <c r="C15" s="665"/>
      <c r="D15" s="665"/>
      <c r="E15" s="665"/>
      <c r="F15" s="665"/>
      <c r="G15" s="665"/>
      <c r="H15" s="665"/>
      <c r="I15" s="666"/>
      <c r="J15" s="271"/>
      <c r="K15" s="157">
        <f>$V$396</f>
        <v>10</v>
      </c>
      <c r="L15" s="342" t="str">
        <f>$W$396</f>
        <v>N°00 ?</v>
      </c>
      <c r="M15" s="343" t="str">
        <f>$X$396</f>
        <v>Saisissez votre recette X396</v>
      </c>
      <c r="N15" s="344" t="str">
        <f>IF(AK396="","",AK396)</f>
        <v/>
      </c>
      <c r="O15" s="344" t="str">
        <f>IF(AL396="","",AL396)</f>
        <v/>
      </c>
      <c r="P15" s="345">
        <f>$Z$396</f>
        <v>100</v>
      </c>
      <c r="Q15" s="346">
        <f>$Y$396</f>
        <v>0</v>
      </c>
      <c r="U15" s="558" t="s">
        <v>7899</v>
      </c>
      <c r="V15" s="559"/>
      <c r="W15" s="559"/>
      <c r="X15" s="559"/>
      <c r="Y15" s="559"/>
      <c r="Z15" s="559"/>
      <c r="AA15" s="560"/>
      <c r="AC15" s="275"/>
      <c r="AD15" s="301" t="s">
        <v>7828</v>
      </c>
      <c r="AE15" s="322" t="s">
        <v>338</v>
      </c>
      <c r="AF15" s="303" t="s">
        <v>7951</v>
      </c>
      <c r="AG15" s="34" t="s">
        <v>139</v>
      </c>
      <c r="AH15" s="34"/>
      <c r="AI15" s="311" t="s">
        <v>7957</v>
      </c>
      <c r="AJ15" s="311"/>
      <c r="AK15" s="311"/>
      <c r="AL15" s="311"/>
      <c r="AM15" s="311"/>
      <c r="AN15" s="311"/>
      <c r="AO15" s="311"/>
      <c r="AP15" s="311"/>
      <c r="AQ15" s="311"/>
      <c r="BC15" s="271"/>
      <c r="BD15" s="279">
        <v>1</v>
      </c>
      <c r="BE15" s="271"/>
      <c r="BF15" s="271"/>
      <c r="BG15" s="271"/>
    </row>
    <row r="16" spans="1:111" ht="23.1" customHeight="1" x14ac:dyDescent="0.25">
      <c r="A16" s="347" t="s">
        <v>7958</v>
      </c>
      <c r="B16" s="678" t="str">
        <f>IF(AND($B$13&lt;&gt;"",$G$12&lt;&gt;""),"DEUX CALCULS ACTIFS — A ET B",IF($B$13&lt;&gt;"","MODE A ACTIF — ÉLÉMENT PRINCIPAL",IF($G$12&lt;&gt;"","MODE B ACTIF — COUVERTS","AUCUN CALCUL ACTIF")))</f>
        <v>DEUX CALCULS ACTIFS — A ET B</v>
      </c>
      <c r="C16" s="678"/>
      <c r="D16" s="678"/>
      <c r="E16" s="678"/>
      <c r="F16" s="678"/>
      <c r="G16" s="678"/>
      <c r="H16" s="678"/>
      <c r="I16" s="678"/>
      <c r="J16" s="271"/>
      <c r="K16" s="271"/>
      <c r="L16" s="271"/>
      <c r="M16" s="271"/>
      <c r="N16" s="271"/>
      <c r="O16" s="271"/>
      <c r="P16" s="271"/>
      <c r="Q16" s="271"/>
      <c r="U16" s="570" t="s">
        <v>281</v>
      </c>
      <c r="V16" s="572" t="s">
        <v>7959</v>
      </c>
      <c r="W16" s="574" t="s">
        <v>7911</v>
      </c>
      <c r="X16" s="574"/>
      <c r="Y16" s="574"/>
      <c r="Z16" s="574"/>
      <c r="AA16" s="575"/>
      <c r="AC16" s="275"/>
      <c r="AD16" s="301" t="s">
        <v>7828</v>
      </c>
      <c r="AE16" s="322" t="s">
        <v>7960</v>
      </c>
      <c r="AF16" s="303" t="s">
        <v>7951</v>
      </c>
      <c r="AG16" s="34" t="s">
        <v>7961</v>
      </c>
      <c r="AH16" s="34"/>
      <c r="AI16" s="311" t="s">
        <v>7962</v>
      </c>
      <c r="AJ16" s="311"/>
      <c r="AK16" s="311"/>
      <c r="AL16" s="311"/>
      <c r="AM16" s="311"/>
      <c r="AN16" s="311"/>
      <c r="AO16" s="311"/>
      <c r="AP16" s="311"/>
      <c r="AQ16" s="311"/>
      <c r="BC16" s="271"/>
      <c r="BD16" s="279">
        <v>1</v>
      </c>
      <c r="BE16" s="271"/>
      <c r="BF16" s="271"/>
      <c r="BG16" s="271"/>
    </row>
    <row r="17" spans="1:59" ht="23.1" customHeight="1" thickBot="1" x14ac:dyDescent="0.3">
      <c r="A17" s="348" t="s">
        <v>6113</v>
      </c>
      <c r="B17" s="679" t="str">
        <f>IF(AND(COUNTIF(B22:B57,"*~**")=0,COUNTIF(B22:B57,"*~?*")=0),"",IF(COUNTIF(B22:B57,"*~**")&gt;0,COUNTIF(B22:B57,"*~**")&amp;" allergène"&amp;IF(COUNTIF(B22:B57,"*~**")&gt;1,"s","")&amp;" repéré"&amp;IF(COUNTIF(B22:B57,"*~**")&gt;1,"s","")&amp;" par *","")&amp;IF(AND(COUNTIF(B22:B57,"*~**")&gt;0,COUNTIF(B22:B57,"*~?*")&gt;0)," | ","")&amp;IF(COUNTIF(B22:B57,"*~?*")&gt;0,COUNTIF(B22:B57,"*~?*")&amp;" produit"&amp;IF(COUNTIF(B22:B57,"*~?*")&gt;1,"s","")&amp;" à vérifier par ?",""))</f>
        <v/>
      </c>
      <c r="C17" s="679"/>
      <c r="D17" s="679"/>
      <c r="E17" s="679"/>
      <c r="F17" s="679"/>
      <c r="G17" s="679"/>
      <c r="H17" s="679"/>
      <c r="I17" s="680"/>
      <c r="J17" s="271"/>
      <c r="K17" s="681" t="s">
        <v>7963</v>
      </c>
      <c r="L17" s="682"/>
      <c r="M17" s="682"/>
      <c r="N17" s="682"/>
      <c r="O17" s="682"/>
      <c r="P17" s="682"/>
      <c r="Q17" s="683"/>
      <c r="U17" s="571"/>
      <c r="V17" s="573"/>
      <c r="W17" s="576"/>
      <c r="X17" s="576"/>
      <c r="Y17" s="576"/>
      <c r="Z17" s="576"/>
      <c r="AA17" s="577"/>
      <c r="AC17" s="275"/>
      <c r="AD17" s="301" t="s">
        <v>7964</v>
      </c>
      <c r="AE17" s="322" t="s">
        <v>7965</v>
      </c>
      <c r="AF17" s="303" t="s">
        <v>7966</v>
      </c>
      <c r="AG17" s="578" t="s">
        <v>7967</v>
      </c>
      <c r="AH17" s="578"/>
      <c r="AI17" s="311" t="s">
        <v>7968</v>
      </c>
      <c r="AJ17" s="311"/>
      <c r="AK17" s="311"/>
      <c r="AL17" s="311"/>
      <c r="AM17" s="311"/>
      <c r="AN17" s="311"/>
      <c r="AO17" s="311"/>
      <c r="AP17" s="311"/>
      <c r="AQ17" s="311"/>
      <c r="BC17" s="271"/>
      <c r="BD17" s="279">
        <v>1</v>
      </c>
      <c r="BE17" s="271"/>
      <c r="BF17" s="271"/>
      <c r="BG17" s="271"/>
    </row>
    <row r="18" spans="1:59" ht="18.75" x14ac:dyDescent="0.25">
      <c r="A18" s="349"/>
      <c r="B18" s="350" t="s">
        <v>6114</v>
      </c>
      <c r="C18" s="351"/>
      <c r="D18" s="351"/>
      <c r="E18" s="351"/>
      <c r="F18" s="351"/>
      <c r="G18" s="351"/>
      <c r="H18" s="351"/>
      <c r="I18" s="351"/>
      <c r="J18" s="271"/>
      <c r="K18" s="684"/>
      <c r="L18" s="685"/>
      <c r="M18" s="685"/>
      <c r="N18" s="685"/>
      <c r="O18" s="685"/>
      <c r="P18" s="685"/>
      <c r="Q18" s="686"/>
      <c r="U18" s="579" t="s">
        <v>6154</v>
      </c>
      <c r="V18" s="581" t="s">
        <v>7969</v>
      </c>
      <c r="W18" s="583" t="s">
        <v>7970</v>
      </c>
      <c r="X18" s="583"/>
      <c r="Y18" s="583"/>
      <c r="Z18" s="583"/>
      <c r="AA18" s="584"/>
      <c r="AC18" s="275"/>
      <c r="AD18" s="352" t="s">
        <v>7971</v>
      </c>
      <c r="AE18" s="353"/>
      <c r="AF18" s="354"/>
      <c r="AG18" s="353"/>
      <c r="AH18" s="353"/>
      <c r="AI18" s="353"/>
      <c r="AJ18" s="353"/>
      <c r="AK18" s="353"/>
      <c r="AL18" s="353"/>
      <c r="AM18" s="353"/>
      <c r="AN18" s="353"/>
      <c r="AO18" s="353"/>
      <c r="AP18" s="353"/>
      <c r="AQ18" s="353"/>
      <c r="BC18" s="271"/>
      <c r="BD18" s="279">
        <v>1</v>
      </c>
      <c r="BE18" s="271"/>
      <c r="BF18" s="271"/>
      <c r="BG18" s="271"/>
    </row>
    <row r="19" spans="1:59" ht="23.1" customHeight="1" x14ac:dyDescent="0.25">
      <c r="A19" s="664" t="s">
        <v>7972</v>
      </c>
      <c r="B19" s="665"/>
      <c r="C19" s="665"/>
      <c r="D19" s="665"/>
      <c r="E19" s="665"/>
      <c r="F19" s="665"/>
      <c r="G19" s="665"/>
      <c r="H19" s="665"/>
      <c r="I19" s="666"/>
      <c r="J19" s="271"/>
      <c r="K19" s="684"/>
      <c r="L19" s="685"/>
      <c r="M19" s="685"/>
      <c r="N19" s="685"/>
      <c r="O19" s="685"/>
      <c r="P19" s="685"/>
      <c r="Q19" s="686"/>
      <c r="U19" s="580"/>
      <c r="V19" s="582"/>
      <c r="W19" s="585"/>
      <c r="X19" s="585"/>
      <c r="Y19" s="585"/>
      <c r="Z19" s="585"/>
      <c r="AA19" s="586"/>
      <c r="AC19" s="275"/>
      <c r="AD19" s="301" t="s">
        <v>7973</v>
      </c>
      <c r="AE19" s="355" t="s">
        <v>7974</v>
      </c>
      <c r="AF19" s="303" t="s">
        <v>7975</v>
      </c>
      <c r="AG19" s="356" t="s">
        <v>7976</v>
      </c>
      <c r="AH19" s="357"/>
      <c r="AI19" s="358" t="s">
        <v>7977</v>
      </c>
      <c r="AJ19" s="358"/>
      <c r="AK19" s="358"/>
      <c r="AL19" s="358"/>
      <c r="AM19" s="358"/>
      <c r="AN19" s="358"/>
      <c r="AO19" s="358"/>
      <c r="AP19" s="358"/>
      <c r="AQ19" s="358"/>
      <c r="BC19" s="271"/>
      <c r="BD19" s="279">
        <v>1</v>
      </c>
      <c r="BE19" s="271"/>
      <c r="BF19" s="271"/>
      <c r="BG19" s="271"/>
    </row>
    <row r="20" spans="1:59" ht="21.95" customHeight="1" x14ac:dyDescent="0.25">
      <c r="A20" s="359"/>
      <c r="B20" s="359"/>
      <c r="C20" s="360" cm="1">
        <f t="array" ref="C20">IFERROR(INDEX($P$6:$P$15,$B$5),"")</f>
        <v>100</v>
      </c>
      <c r="D20" s="361" t="s">
        <v>7941</v>
      </c>
      <c r="E20" s="673" t="str">
        <f>IF($B$13="","MODE A NON RENSEIGNÉ","MODE A — "&amp;$B$13&amp;" "&amp;$C$13)</f>
        <v>MODE A — 2 Kg</v>
      </c>
      <c r="F20" s="673"/>
      <c r="G20" s="674" t="str">
        <f>IF($G$12="","MODE B NON RENSEIGNÉ","MODE B — "&amp;$G$12&amp;" COUVERTS")</f>
        <v>MODE B — 200 COUVERTS</v>
      </c>
      <c r="H20" s="674"/>
      <c r="I20" s="675"/>
      <c r="J20" s="271"/>
      <c r="K20" s="684"/>
      <c r="L20" s="685"/>
      <c r="M20" s="685"/>
      <c r="N20" s="685"/>
      <c r="O20" s="685"/>
      <c r="P20" s="685"/>
      <c r="Q20" s="686"/>
      <c r="U20" s="587" t="s">
        <v>6146</v>
      </c>
      <c r="V20" s="589" t="s">
        <v>7978</v>
      </c>
      <c r="W20" s="591" t="s">
        <v>7979</v>
      </c>
      <c r="X20" s="591"/>
      <c r="Y20" s="591"/>
      <c r="Z20" s="591"/>
      <c r="AA20" s="592"/>
      <c r="AC20" s="275"/>
      <c r="AD20" s="301" t="s">
        <v>7973</v>
      </c>
      <c r="AE20" s="355" t="s">
        <v>7974</v>
      </c>
      <c r="AF20" s="303" t="s">
        <v>7975</v>
      </c>
      <c r="AG20" s="356" t="s">
        <v>7980</v>
      </c>
      <c r="AH20" s="357"/>
      <c r="AI20" s="362" t="s">
        <v>7981</v>
      </c>
      <c r="AJ20" s="362"/>
      <c r="AK20" s="362"/>
      <c r="AL20" s="362"/>
      <c r="AM20" s="362"/>
      <c r="AN20" s="362"/>
      <c r="AO20" s="362"/>
      <c r="AP20" s="362"/>
      <c r="AQ20" s="362"/>
      <c r="BC20" s="271"/>
      <c r="BD20" s="279">
        <v>1</v>
      </c>
      <c r="BE20" s="271"/>
      <c r="BF20" s="271"/>
      <c r="BG20" s="271"/>
    </row>
    <row r="21" spans="1:59" ht="21.95" customHeight="1" x14ac:dyDescent="0.25">
      <c r="A21" s="363" t="s">
        <v>337</v>
      </c>
      <c r="B21" s="364" t="s">
        <v>338</v>
      </c>
      <c r="C21" s="364" t="s">
        <v>339</v>
      </c>
      <c r="D21" s="364" t="s">
        <v>340</v>
      </c>
      <c r="E21" s="365" t="s">
        <v>7982</v>
      </c>
      <c r="F21" s="366" t="s">
        <v>341</v>
      </c>
      <c r="G21" s="367" t="s">
        <v>7983</v>
      </c>
      <c r="H21" s="368" t="s">
        <v>342</v>
      </c>
      <c r="I21" s="369" t="s">
        <v>343</v>
      </c>
      <c r="J21" s="271"/>
      <c r="K21" s="687"/>
      <c r="L21" s="688"/>
      <c r="M21" s="688"/>
      <c r="N21" s="688"/>
      <c r="O21" s="688"/>
      <c r="P21" s="688"/>
      <c r="Q21" s="689"/>
      <c r="U21" s="588"/>
      <c r="V21" s="590"/>
      <c r="W21" s="593"/>
      <c r="X21" s="593"/>
      <c r="Y21" s="593"/>
      <c r="Z21" s="593"/>
      <c r="AA21" s="594"/>
      <c r="AC21" s="275"/>
      <c r="AD21" s="370" t="s">
        <v>7984</v>
      </c>
      <c r="AE21" s="371" t="s">
        <v>7974</v>
      </c>
      <c r="AF21" s="372" t="s">
        <v>7975</v>
      </c>
      <c r="AG21" s="356" t="s">
        <v>7985</v>
      </c>
      <c r="AH21" s="357"/>
      <c r="AI21" s="373" t="s">
        <v>7986</v>
      </c>
      <c r="AJ21" s="373"/>
      <c r="AK21" s="373"/>
      <c r="AL21" s="373"/>
      <c r="AM21" s="373"/>
      <c r="AN21" s="373"/>
      <c r="AO21" s="373"/>
      <c r="AP21" s="373"/>
      <c r="AQ21" s="373"/>
      <c r="BC21" s="271"/>
      <c r="BD21" s="279">
        <v>1</v>
      </c>
      <c r="BE21" s="271"/>
      <c r="BF21" s="271"/>
      <c r="BG21" s="271"/>
    </row>
    <row r="22" spans="1:59" ht="21.95" customHeight="1" thickBot="1" x14ac:dyDescent="0.3">
      <c r="A22" s="374">
        <f>IF($B22="","",0)</f>
        <v>0</v>
      </c>
      <c r="B22" s="375" t="str" cm="1">
        <f t="array" ref="B22">IFERROR(IF(INDEX($AC$72:$AC$430,$K22)="","",INDEX($AC$72:$AC$430,$K22)),"")</f>
        <v>ÉLÉMENT PRINCIPAL AC72</v>
      </c>
      <c r="C22" s="376" t="str" cm="1">
        <f t="array" ref="C22">IF($B22="","",INDEX($AG$72:$AG$430,$K22))</f>
        <v/>
      </c>
      <c r="D22" s="377" t="str" cm="1">
        <f t="array" ref="D22">IF($B22="","",INDEX($AH$72:$AH$430,$K22))</f>
        <v/>
      </c>
      <c r="E22" s="378" t="str">
        <f t="shared" ref="E22:E56" si="0">IF($B22="","",IF(UPPER(TRIM($D22))="QT. SUFFISANTE","",IF($N22="","",IF($L22="MASSE",IF($N22&gt;=1,ROUND($N22,2),ROUND($N22*1000,0)),IF($L22="VOLUME",IF($N22&gt;=1,ROUND($N22,2),ROUND($N22*100,0)),ROUND($N22,0))))))</f>
        <v/>
      </c>
      <c r="F22" s="379" t="str" cm="1">
        <f t="array" ref="F22">IF($B22="","",IF(UPPER(TRIM($D22))="QT. SUFFISANTE","Qt. suffisante",IF($N22="","",IF($L22="MASSE",IF($N22&gt;=1,"Kg","g"),IF($L22="VOLUME",IF($N22&gt;=1,"L","cl"),INDEX($AL$72:$AL$430,$K22))))))</f>
        <v/>
      </c>
      <c r="G22" s="380" t="str">
        <f t="shared" ref="G22:G56" si="1">IF($B22="","",IF(UPPER(TRIM($D22))="QT. SUFFISANTE","",IF($O22="","",IF($L22="MASSE",IF($O22&gt;=1,ROUND($O22,2),ROUND($O22*1000,0)),IF($L22="VOLUME",IF($O22&gt;=1,ROUND($O22,2),ROUND($O22*100,0)),ROUND($O22,0))))))</f>
        <v/>
      </c>
      <c r="H22" s="381" t="str" cm="1">
        <f t="array" ref="H22">IF($B22="","",IF(UPPER(TRIM($D22))="QT. SUFFISANTE","Qt. suffisante",IF($O22="","",IF($L22="MASSE",IF($O22&gt;=1,"Kg","g"),IF($L22="VOLUME",IF($O22&gt;=1,"L","cl"),INDEX($AL$72:$AL$430,$K22))))))</f>
        <v/>
      </c>
      <c r="I22" s="382" t="str" cm="1">
        <f t="array" ref="I22">IF($B22="","",INDEX($AM$72:$AM$430,$K22))</f>
        <v>TEXTE</v>
      </c>
      <c r="J22" s="271"/>
      <c r="K22" s="383">
        <f>1+($B$5-1)*36+0</f>
        <v>1</v>
      </c>
      <c r="L22" s="383" t="str" cm="1">
        <f t="array" ref="L22">IF($B22="","",INDEX($AI$72:$AI$430,$K22))</f>
        <v>AUTRE</v>
      </c>
      <c r="M22" s="383" cm="1">
        <f t="array" ref="M22">IF($B22="","",INDEX($AJ$72:$AJ$430,$K22))</f>
        <v>1</v>
      </c>
      <c r="N22" s="384" t="str" cm="1">
        <f t="array" ref="N22">IF(OR($B22="",$B$13="",$B$12="",$B$12=0),"",IF($L$22="AUTRE",IFERROR(INDEX($AK$72:$AK$430,$K22)*($B$13/$B$12),""),IF(OR($C$12="",$C$13=""),"",IFERROR(INDEX($AK$72:$AK$430,$K22)*(($B$13*VLOOKUP($C$13,$AY$74:$BA$119,3,FALSE))/($B$12*VLOOKUP($C$12,$AY$74:$BA$119,3,FALSE))),""))))</f>
        <v/>
      </c>
      <c r="O22" s="384" t="str" cm="1">
        <f t="array" ref="O22">IF(OR($B22="",$G$12="",$G$11="",$G$11=0),"",IFERROR(INDEX($AK$72:$AK$430,$K22)*($G$12/$G$11),""))</f>
        <v/>
      </c>
      <c r="U22" s="602" t="s">
        <v>6174</v>
      </c>
      <c r="V22" s="604" t="s">
        <v>7987</v>
      </c>
      <c r="W22" s="606" t="s">
        <v>7988</v>
      </c>
      <c r="X22" s="606"/>
      <c r="Y22" s="606"/>
      <c r="Z22" s="606"/>
      <c r="AA22" s="607"/>
      <c r="AC22" s="275"/>
      <c r="AD22" s="370" t="s">
        <v>7984</v>
      </c>
      <c r="AE22" s="385" t="s">
        <v>7974</v>
      </c>
      <c r="AF22" s="372" t="s">
        <v>7975</v>
      </c>
      <c r="AG22" s="356" t="s">
        <v>7989</v>
      </c>
      <c r="AH22" s="357"/>
      <c r="AI22" s="373" t="s">
        <v>7990</v>
      </c>
      <c r="AJ22" s="373"/>
      <c r="AK22" s="373"/>
      <c r="AL22" s="373"/>
      <c r="AM22" s="373"/>
      <c r="AN22" s="373"/>
      <c r="AO22" s="373"/>
      <c r="AP22" s="373"/>
      <c r="AQ22" s="373"/>
      <c r="BC22" s="271"/>
      <c r="BD22" s="279">
        <v>1</v>
      </c>
      <c r="BE22" s="271"/>
      <c r="BF22" s="271"/>
      <c r="BG22" s="271"/>
    </row>
    <row r="23" spans="1:59" ht="21.95" customHeight="1" x14ac:dyDescent="0.25">
      <c r="A23" s="374" t="str">
        <f>IF($B23="","",1)</f>
        <v/>
      </c>
      <c r="B23" s="375" t="str" cm="1">
        <f t="array" ref="B23">IFERROR(IF(INDEX($AC$72:$AC$430,$K23)="","",INDEX($AC$72:$AC$430,$K23)),"")</f>
        <v/>
      </c>
      <c r="C23" s="376" t="str" cm="1">
        <f t="array" ref="C23">IF($B23="","",INDEX($AG$72:$AG$430,$K23))</f>
        <v/>
      </c>
      <c r="D23" s="377" t="str" cm="1">
        <f t="array" ref="D23">IF($B23="","",INDEX($AH$72:$AH$430,$K23))</f>
        <v/>
      </c>
      <c r="E23" s="378" t="str">
        <f t="shared" si="0"/>
        <v/>
      </c>
      <c r="F23" s="379" t="str" cm="1">
        <f t="array" ref="F23">IF($B23="","",IF(UPPER(TRIM($D23))="QT. SUFFISANTE","Qt. suffisante",IF($N23="","",IF($L23="MASSE",IF($N23&gt;=1,"Kg","g"),IF($L23="VOLUME",IF($N23&gt;=1,"L","cl"),INDEX($AL$72:$AL$430,$K23))))))</f>
        <v/>
      </c>
      <c r="G23" s="380" t="str">
        <f t="shared" si="1"/>
        <v/>
      </c>
      <c r="H23" s="381" t="str" cm="1">
        <f t="array" ref="H23">IF($B23="","",IF(UPPER(TRIM($D23))="QT. SUFFISANTE","Qt. suffisante",IF($O23="","",IF($L23="MASSE",IF($O23&gt;=1,"Kg","g"),IF($L23="VOLUME",IF($O23&gt;=1,"L","cl"),INDEX($AL$72:$AL$430,$K23))))))</f>
        <v/>
      </c>
      <c r="I23" s="382" t="str" cm="1">
        <f t="array" ref="I23">IF($B23="","",INDEX($AM$72:$AM$430,$K23))</f>
        <v/>
      </c>
      <c r="J23" s="271"/>
      <c r="K23" s="383">
        <f>1+($B$5-1)*36+1</f>
        <v>2</v>
      </c>
      <c r="L23" s="383" t="str" cm="1">
        <f t="array" ref="L23">IF($B23="","",INDEX($AI$72:$AI$430,$K23))</f>
        <v/>
      </c>
      <c r="M23" s="383" t="str" cm="1">
        <f t="array" ref="M23">IF($B23="","",INDEX($AJ$72:$AJ$430,$K23))</f>
        <v/>
      </c>
      <c r="N23" s="384" t="str" cm="1">
        <f t="array" ref="N23">IF(OR($B23="",$B$13="",$B$12="",$B$12=0),"",IF($L$22="AUTRE",IFERROR(INDEX($AK$72:$AK$430,$K23)*($B$13/$B$12),""),IF(OR($C$12="",$C$13=""),"",IFERROR(INDEX($AK$72:$AK$430,$K23)*(($B$13*VLOOKUP($C$13,$AY$74:$BA$119,3,FALSE))/($B$12*VLOOKUP($C$12,$AY$74:$BA$119,3,FALSE))),""))))</f>
        <v/>
      </c>
      <c r="O23" s="384" t="str" cm="1">
        <f t="array" ref="O23">IF(OR($B23="",$G$12="",$G$11="",$G$11=0),"",IFERROR(INDEX($AK$72:$AK$430,$K23)*($G$12/$G$11),""))</f>
        <v/>
      </c>
      <c r="U23" s="603"/>
      <c r="V23" s="605"/>
      <c r="W23" s="608"/>
      <c r="X23" s="608"/>
      <c r="Y23" s="608"/>
      <c r="Z23" s="608"/>
      <c r="AA23" s="609"/>
      <c r="AC23" s="275"/>
      <c r="AD23" s="386" t="s">
        <v>7991</v>
      </c>
      <c r="AE23" s="387"/>
      <c r="AF23" s="388"/>
      <c r="AG23" s="387"/>
      <c r="AH23" s="387"/>
      <c r="AI23" s="387"/>
      <c r="AJ23" s="387"/>
      <c r="AK23" s="387"/>
      <c r="AL23" s="387"/>
      <c r="AM23" s="387"/>
      <c r="AN23" s="387"/>
      <c r="AO23" s="387"/>
      <c r="AP23" s="387"/>
      <c r="AQ23" s="387"/>
      <c r="BB23" s="271"/>
      <c r="BC23" s="271"/>
      <c r="BD23" s="279">
        <v>1</v>
      </c>
      <c r="BE23" s="271"/>
      <c r="BF23" s="271"/>
      <c r="BG23" s="271"/>
    </row>
    <row r="24" spans="1:59" ht="21.95" customHeight="1" x14ac:dyDescent="0.25">
      <c r="A24" s="374" t="str">
        <f>IF($B24="","",2)</f>
        <v/>
      </c>
      <c r="B24" s="375" t="str" cm="1">
        <f t="array" ref="B24">IFERROR(IF(INDEX($AC$72:$AC$430,$K24)="","",INDEX($AC$72:$AC$430,$K24)),"")</f>
        <v/>
      </c>
      <c r="C24" s="376" t="str" cm="1">
        <f t="array" ref="C24">IF($B24="","",INDEX($AG$72:$AG$430,$K24))</f>
        <v/>
      </c>
      <c r="D24" s="377" t="str" cm="1">
        <f t="array" ref="D24">IF($B24="","",INDEX($AH$72:$AH$430,$K24))</f>
        <v/>
      </c>
      <c r="E24" s="378" t="str">
        <f t="shared" si="0"/>
        <v/>
      </c>
      <c r="F24" s="379" t="str" cm="1">
        <f t="array" ref="F24">IF($B24="","",IF(UPPER(TRIM($D24))="QT. SUFFISANTE","Qt. suffisante",IF($N24="","",IF($L24="MASSE",IF($N24&gt;=1,"Kg","g"),IF($L24="VOLUME",IF($N24&gt;=1,"L","cl"),INDEX($AL$72:$AL$430,$K24))))))</f>
        <v/>
      </c>
      <c r="G24" s="380" t="str">
        <f t="shared" si="1"/>
        <v/>
      </c>
      <c r="H24" s="381" t="str" cm="1">
        <f t="array" ref="H24">IF($B24="","",IF(UPPER(TRIM($D24))="QT. SUFFISANTE","Qt. suffisante",IF($O24="","",IF($L24="MASSE",IF($O24&gt;=1,"Kg","g"),IF($L24="VOLUME",IF($O24&gt;=1,"L","cl"),INDEX($AL$72:$AL$430,$K24))))))</f>
        <v/>
      </c>
      <c r="I24" s="382" t="str" cm="1">
        <f t="array" ref="I24">IF($B24="","",INDEX($AM$72:$AM$430,$K24))</f>
        <v/>
      </c>
      <c r="J24" s="271"/>
      <c r="K24" s="383">
        <f>1+($B$5-1)*36+2</f>
        <v>3</v>
      </c>
      <c r="L24" s="383" t="str" cm="1">
        <f t="array" ref="L24">IF($B24="","",INDEX($AI$72:$AI$430,$K24))</f>
        <v/>
      </c>
      <c r="M24" s="383" t="str" cm="1">
        <f t="array" ref="M24">IF($B24="","",INDEX($AJ$72:$AJ$430,$K24))</f>
        <v/>
      </c>
      <c r="N24" s="384" t="str" cm="1">
        <f t="array" ref="N24">IF(OR($B24="",$B$13="",$B$12="",$B$12=0),"",IF($L$22="AUTRE",IFERROR(INDEX($AK$72:$AK$430,$K24)*($B$13/$B$12),""),IF(OR($C$12="",$C$13=""),"",IFERROR(INDEX($AK$72:$AK$430,$K24)*(($B$13*VLOOKUP($C$13,$AY$74:$BA$119,3,FALSE))/($B$12*VLOOKUP($C$12,$AY$74:$BA$119,3,FALSE))),""))))</f>
        <v/>
      </c>
      <c r="O24" s="384" t="str" cm="1">
        <f t="array" ref="O24">IF(OR($B24="",$G$12="",$G$11="",$G$11=0),"",IFERROR(INDEX($AK$72:$AK$430,$K24)*($G$12/$G$11),""))</f>
        <v/>
      </c>
      <c r="U24" s="610" t="s">
        <v>136</v>
      </c>
      <c r="V24" s="612" t="s">
        <v>7992</v>
      </c>
      <c r="W24" s="614" t="s">
        <v>7993</v>
      </c>
      <c r="X24" s="614"/>
      <c r="Y24" s="614"/>
      <c r="Z24" s="614"/>
      <c r="AA24" s="615"/>
      <c r="AC24" s="275"/>
      <c r="AD24" s="301" t="s">
        <v>7994</v>
      </c>
      <c r="AE24" s="322" t="s">
        <v>339</v>
      </c>
      <c r="AF24" s="303" t="s">
        <v>7995</v>
      </c>
      <c r="AG24" s="389" t="s">
        <v>136</v>
      </c>
      <c r="AH24" s="14"/>
      <c r="AI24" s="304" t="s">
        <v>7996</v>
      </c>
      <c r="AJ24" s="304"/>
      <c r="AK24" s="304"/>
      <c r="AL24" s="304"/>
      <c r="AM24" s="304"/>
      <c r="AN24" s="304"/>
      <c r="AO24" s="304"/>
      <c r="AP24" s="304"/>
      <c r="AQ24" s="304"/>
      <c r="BB24" s="271"/>
      <c r="BC24" s="271"/>
      <c r="BD24" s="279">
        <v>1</v>
      </c>
      <c r="BE24" s="271"/>
      <c r="BF24" s="271"/>
      <c r="BG24" s="271"/>
    </row>
    <row r="25" spans="1:59" ht="21.95" customHeight="1" x14ac:dyDescent="0.25">
      <c r="A25" s="374" t="str">
        <f>IF($B25="","",3)</f>
        <v/>
      </c>
      <c r="B25" s="375" t="str" cm="1">
        <f t="array" ref="B25">IFERROR(IF(INDEX($AC$72:$AC$430,$K25)="","",INDEX($AC$72:$AC$430,$K25)),"")</f>
        <v/>
      </c>
      <c r="C25" s="376" t="str" cm="1">
        <f t="array" ref="C25">IF($B25="","",INDEX($AG$72:$AG$430,$K25))</f>
        <v/>
      </c>
      <c r="D25" s="377" t="str" cm="1">
        <f t="array" ref="D25">IF($B25="","",INDEX($AH$72:$AH$430,$K25))</f>
        <v/>
      </c>
      <c r="E25" s="378" t="str">
        <f t="shared" si="0"/>
        <v/>
      </c>
      <c r="F25" s="379" t="str" cm="1">
        <f t="array" ref="F25">IF($B25="","",IF(UPPER(TRIM($D25))="QT. SUFFISANTE","Qt. suffisante",IF($N25="","",IF($L25="MASSE",IF($N25&gt;=1,"Kg","g"),IF($L25="VOLUME",IF($N25&gt;=1,"L","cl"),INDEX($AL$72:$AL$430,$K25))))))</f>
        <v/>
      </c>
      <c r="G25" s="380" t="str">
        <f t="shared" si="1"/>
        <v/>
      </c>
      <c r="H25" s="381" t="str" cm="1">
        <f t="array" ref="H25">IF($B25="","",IF(UPPER(TRIM($D25))="QT. SUFFISANTE","Qt. suffisante",IF($O25="","",IF($L25="MASSE",IF($O25&gt;=1,"Kg","g"),IF($L25="VOLUME",IF($O25&gt;=1,"L","cl"),INDEX($AL$72:$AL$430,$K25))))))</f>
        <v/>
      </c>
      <c r="I25" s="382" t="str" cm="1">
        <f t="array" ref="I25">IF($B25="","",INDEX($AM$72:$AM$430,$K25))</f>
        <v/>
      </c>
      <c r="J25" s="271"/>
      <c r="K25" s="383">
        <f>1+($B$5-1)*36+3</f>
        <v>4</v>
      </c>
      <c r="L25" s="383" t="str" cm="1">
        <f t="array" ref="L25">IF($B25="","",INDEX($AI$72:$AI$430,$K25))</f>
        <v/>
      </c>
      <c r="M25" s="383" t="str" cm="1">
        <f t="array" ref="M25">IF($B25="","",INDEX($AJ$72:$AJ$430,$K25))</f>
        <v/>
      </c>
      <c r="N25" s="384" t="str" cm="1">
        <f t="array" ref="N25">IF(OR($B25="",$B$13="",$B$12="",$B$12=0),"",IF($L$22="AUTRE",IFERROR(INDEX($AK$72:$AK$430,$K25)*($B$13/$B$12),""),IF(OR($C$12="",$C$13=""),"",IFERROR(INDEX($AK$72:$AK$430,$K25)*(($B$13*VLOOKUP($C$13,$AY$74:$BA$119,3,FALSE))/($B$12*VLOOKUP($C$12,$AY$74:$BA$119,3,FALSE))),""))))</f>
        <v/>
      </c>
      <c r="O25" s="384" t="str" cm="1">
        <f t="array" ref="O25">IF(OR($B25="",$G$12="",$G$11="",$G$11=0),"",IFERROR(INDEX($AK$72:$AK$430,$K25)*($G$12/$G$11),""))</f>
        <v/>
      </c>
      <c r="U25" s="611"/>
      <c r="V25" s="613"/>
      <c r="W25" s="616"/>
      <c r="X25" s="616"/>
      <c r="Y25" s="616"/>
      <c r="Z25" s="616"/>
      <c r="AA25" s="617"/>
      <c r="AC25" s="275"/>
      <c r="AD25" s="301" t="s">
        <v>7994</v>
      </c>
      <c r="AE25" s="322" t="s">
        <v>7997</v>
      </c>
      <c r="AF25" s="303" t="s">
        <v>7998</v>
      </c>
      <c r="AG25" s="390"/>
      <c r="AH25" s="391" t="s">
        <v>7999</v>
      </c>
      <c r="AI25" s="311" t="s">
        <v>8000</v>
      </c>
      <c r="AJ25" s="311"/>
      <c r="AK25" s="311"/>
      <c r="AL25" s="311"/>
      <c r="AM25" s="311"/>
      <c r="AN25" s="311"/>
      <c r="AO25" s="311"/>
      <c r="AP25" s="311"/>
      <c r="AQ25" s="311"/>
      <c r="BB25" s="271"/>
      <c r="BC25" s="271"/>
      <c r="BD25" s="279">
        <v>1</v>
      </c>
      <c r="BE25" s="271"/>
      <c r="BF25" s="271"/>
      <c r="BG25" s="271"/>
    </row>
    <row r="26" spans="1:59" ht="21.95" customHeight="1" x14ac:dyDescent="0.25">
      <c r="A26" s="374" t="str">
        <f>IF($B26="","",4)</f>
        <v/>
      </c>
      <c r="B26" s="375" t="str" cm="1">
        <f t="array" ref="B26">IFERROR(IF(INDEX($AC$72:$AC$430,$K26)="","",INDEX($AC$72:$AC$430,$K26)),"")</f>
        <v/>
      </c>
      <c r="C26" s="376" t="str" cm="1">
        <f t="array" ref="C26">IF($B26="","",INDEX($AG$72:$AG$430,$K26))</f>
        <v/>
      </c>
      <c r="D26" s="377" t="str" cm="1">
        <f t="array" ref="D26">IF($B26="","",INDEX($AH$72:$AH$430,$K26))</f>
        <v/>
      </c>
      <c r="E26" s="378" t="str">
        <f t="shared" si="0"/>
        <v/>
      </c>
      <c r="F26" s="379" t="str" cm="1">
        <f t="array" ref="F26">IF($B26="","",IF(UPPER(TRIM($D26))="QT. SUFFISANTE","Qt. suffisante",IF($N26="","",IF($L26="MASSE",IF($N26&gt;=1,"Kg","g"),IF($L26="VOLUME",IF($N26&gt;=1,"L","cl"),INDEX($AL$72:$AL$430,$K26))))))</f>
        <v/>
      </c>
      <c r="G26" s="380" t="str">
        <f t="shared" si="1"/>
        <v/>
      </c>
      <c r="H26" s="381" t="str" cm="1">
        <f t="array" ref="H26">IF($B26="","",IF(UPPER(TRIM($D26))="QT. SUFFISANTE","Qt. suffisante",IF($O26="","",IF($L26="MASSE",IF($O26&gt;=1,"Kg","g"),IF($L26="VOLUME",IF($O26&gt;=1,"L","cl"),INDEX($AL$72:$AL$430,$K26))))))</f>
        <v/>
      </c>
      <c r="I26" s="382" t="str" cm="1">
        <f t="array" ref="I26">IF($B26="","",INDEX($AM$72:$AM$430,$K26))</f>
        <v/>
      </c>
      <c r="J26" s="271"/>
      <c r="K26" s="383">
        <f>1+($B$5-1)*36+4</f>
        <v>5</v>
      </c>
      <c r="L26" s="383" t="str" cm="1">
        <f t="array" ref="L26">IF($B26="","",INDEX($AI$72:$AI$430,$K26))</f>
        <v/>
      </c>
      <c r="M26" s="383" t="str" cm="1">
        <f t="array" ref="M26">IF($B26="","",INDEX($AJ$72:$AJ$430,$K26))</f>
        <v/>
      </c>
      <c r="N26" s="384" t="str" cm="1">
        <f t="array" ref="N26">IF(OR($B26="",$B$13="",$B$12="",$B$12=0),"",IF($L$22="AUTRE",IFERROR(INDEX($AK$72:$AK$430,$K26)*($B$13/$B$12),""),IF(OR($C$12="",$C$13=""),"",IFERROR(INDEX($AK$72:$AK$430,$K26)*(($B$13*VLOOKUP($C$13,$AY$74:$BA$119,3,FALSE))/($B$12*VLOOKUP($C$12,$AY$74:$BA$119,3,FALSE))),""))))</f>
        <v/>
      </c>
      <c r="O26" s="384" t="str" cm="1">
        <f t="array" ref="O26">IF(OR($B26="",$G$12="",$G$11="",$G$11=0),"",IFERROR(INDEX($AK$72:$AK$430,$K26)*($G$12/$G$11),""))</f>
        <v/>
      </c>
      <c r="U26" s="618" t="s">
        <v>8001</v>
      </c>
      <c r="V26" s="619" t="s">
        <v>8002</v>
      </c>
      <c r="W26" s="620" t="s">
        <v>8003</v>
      </c>
      <c r="X26" s="620"/>
      <c r="Y26" s="620"/>
      <c r="Z26" s="620"/>
      <c r="AA26" s="621"/>
      <c r="AC26" s="275"/>
      <c r="AD26" s="301" t="s">
        <v>8004</v>
      </c>
      <c r="AE26" s="322" t="s">
        <v>8005</v>
      </c>
      <c r="AF26" s="303" t="s">
        <v>8006</v>
      </c>
      <c r="AG26" s="624" t="s">
        <v>8007</v>
      </c>
      <c r="AH26" s="624"/>
      <c r="AI26" s="311" t="s">
        <v>8008</v>
      </c>
      <c r="AJ26" s="311"/>
      <c r="AK26" s="311"/>
      <c r="AL26" s="311"/>
      <c r="AM26" s="311"/>
      <c r="AN26" s="311"/>
      <c r="AO26" s="311"/>
      <c r="AP26" s="311"/>
      <c r="AQ26" s="311"/>
      <c r="BB26" s="271"/>
      <c r="BC26" s="271"/>
      <c r="BD26" s="279">
        <v>1</v>
      </c>
      <c r="BE26" s="271"/>
      <c r="BF26" s="271"/>
      <c r="BG26" s="271"/>
    </row>
    <row r="27" spans="1:59" ht="21.95" customHeight="1" thickBot="1" x14ac:dyDescent="0.3">
      <c r="A27" s="374" t="str">
        <f>IF($B27="","",5)</f>
        <v/>
      </c>
      <c r="B27" s="375" t="str" cm="1">
        <f t="array" ref="B27">IFERROR(IF(INDEX($AC$72:$AC$430,$K27)="","",INDEX($AC$72:$AC$430,$K27)),"")</f>
        <v/>
      </c>
      <c r="C27" s="376" t="str" cm="1">
        <f t="array" ref="C27">IF($B27="","",INDEX($AG$72:$AG$430,$K27))</f>
        <v/>
      </c>
      <c r="D27" s="377" t="str" cm="1">
        <f t="array" ref="D27">IF($B27="","",INDEX($AH$72:$AH$430,$K27))</f>
        <v/>
      </c>
      <c r="E27" s="378" t="str">
        <f t="shared" si="0"/>
        <v/>
      </c>
      <c r="F27" s="379" t="str" cm="1">
        <f t="array" ref="F27">IF($B27="","",IF(UPPER(TRIM($D27))="QT. SUFFISANTE","Qt. suffisante",IF($N27="","",IF($L27="MASSE",IF($N27&gt;=1,"Kg","g"),IF($L27="VOLUME",IF($N27&gt;=1,"L","cl"),INDEX($AL$72:$AL$430,$K27))))))</f>
        <v/>
      </c>
      <c r="G27" s="380" t="str">
        <f t="shared" si="1"/>
        <v/>
      </c>
      <c r="H27" s="381" t="str" cm="1">
        <f t="array" ref="H27">IF($B27="","",IF(UPPER(TRIM($D27))="QT. SUFFISANTE","Qt. suffisante",IF($O27="","",IF($L27="MASSE",IF($O27&gt;=1,"Kg","g"),IF($L27="VOLUME",IF($O27&gt;=1,"L","cl"),INDEX($AL$72:$AL$430,$K27))))))</f>
        <v/>
      </c>
      <c r="I27" s="382" t="str" cm="1">
        <f t="array" ref="I27">IF($B27="","",INDEX($AM$72:$AM$430,$K27))</f>
        <v/>
      </c>
      <c r="J27" s="271"/>
      <c r="K27" s="383">
        <f>1+($B$5-1)*36+5</f>
        <v>6</v>
      </c>
      <c r="L27" s="383" t="str" cm="1">
        <f t="array" ref="L27">IF($B27="","",INDEX($AI$72:$AI$430,$K27))</f>
        <v/>
      </c>
      <c r="M27" s="383" t="str" cm="1">
        <f t="array" ref="M27">IF($B27="","",INDEX($AJ$72:$AJ$430,$K27))</f>
        <v/>
      </c>
      <c r="N27" s="384" t="str" cm="1">
        <f t="array" ref="N27">IF(OR($B27="",$B$13="",$B$12="",$B$12=0),"",IF($L$22="AUTRE",IFERROR(INDEX($AK$72:$AK$430,$K27)*($B$13/$B$12),""),IF(OR($C$12="",$C$13=""),"",IFERROR(INDEX($AK$72:$AK$430,$K27)*(($B$13*VLOOKUP($C$13,$AY$74:$BA$119,3,FALSE))/($B$12*VLOOKUP($C$12,$AY$74:$BA$119,3,FALSE))),""))))</f>
        <v/>
      </c>
      <c r="O27" s="384" t="str" cm="1">
        <f t="array" ref="O27">IF(OR($B27="",$G$12="",$G$11="",$G$11=0),"",IFERROR(INDEX($AK$72:$AK$430,$K27)*($G$12/$G$11),""))</f>
        <v/>
      </c>
      <c r="U27" s="588"/>
      <c r="V27" s="590"/>
      <c r="W27" s="622"/>
      <c r="X27" s="622"/>
      <c r="Y27" s="622"/>
      <c r="Z27" s="622"/>
      <c r="AA27" s="623"/>
      <c r="AC27" s="275"/>
      <c r="AD27" s="301" t="s">
        <v>8009</v>
      </c>
      <c r="AE27" s="355" t="s">
        <v>8010</v>
      </c>
      <c r="AF27" s="303" t="s">
        <v>8011</v>
      </c>
      <c r="AG27" s="625" t="s">
        <v>8012</v>
      </c>
      <c r="AH27" s="625"/>
      <c r="AI27" s="304" t="s">
        <v>8013</v>
      </c>
      <c r="AJ27" s="304"/>
      <c r="AK27" s="304"/>
      <c r="AL27" s="304"/>
      <c r="AM27" s="304"/>
      <c r="AN27" s="304"/>
      <c r="AO27" s="304"/>
      <c r="AP27" s="304"/>
      <c r="AQ27" s="304"/>
      <c r="BB27" s="271"/>
      <c r="BC27" s="271"/>
      <c r="BD27" s="279">
        <v>1</v>
      </c>
      <c r="BE27" s="271"/>
      <c r="BF27" s="271"/>
      <c r="BG27" s="271"/>
    </row>
    <row r="28" spans="1:59" ht="21.95" customHeight="1" x14ac:dyDescent="0.25">
      <c r="A28" s="374" t="str">
        <f>IF($B28="","",6)</f>
        <v/>
      </c>
      <c r="B28" s="375" t="str" cm="1">
        <f t="array" ref="B28">IFERROR(IF(INDEX($AC$72:$AC$430,$K28)="","",INDEX($AC$72:$AC$430,$K28)),"")</f>
        <v/>
      </c>
      <c r="C28" s="376" t="str" cm="1">
        <f t="array" ref="C28">IF($B28="","",INDEX($AG$72:$AG$430,$K28))</f>
        <v/>
      </c>
      <c r="D28" s="377" t="str" cm="1">
        <f t="array" ref="D28">IF($B28="","",INDEX($AH$72:$AH$430,$K28))</f>
        <v/>
      </c>
      <c r="E28" s="378" t="str">
        <f t="shared" si="0"/>
        <v/>
      </c>
      <c r="F28" s="379" t="str" cm="1">
        <f t="array" ref="F28">IF($B28="","",IF(UPPER(TRIM($D28))="QT. SUFFISANTE","Qt. suffisante",IF($N28="","",IF($L28="MASSE",IF($N28&gt;=1,"Kg","g"),IF($L28="VOLUME",IF($N28&gt;=1,"L","cl"),INDEX($AL$72:$AL$430,$K28))))))</f>
        <v/>
      </c>
      <c r="G28" s="380" t="str">
        <f t="shared" si="1"/>
        <v/>
      </c>
      <c r="H28" s="381" t="str" cm="1">
        <f t="array" ref="H28">IF($B28="","",IF(UPPER(TRIM($D28))="QT. SUFFISANTE","Qt. suffisante",IF($O28="","",IF($L28="MASSE",IF($O28&gt;=1,"Kg","g"),IF($L28="VOLUME",IF($O28&gt;=1,"L","cl"),INDEX($AL$72:$AL$430,$K28))))))</f>
        <v/>
      </c>
      <c r="I28" s="382" t="str" cm="1">
        <f t="array" ref="I28">IF($B28="","",INDEX($AM$72:$AM$430,$K28))</f>
        <v/>
      </c>
      <c r="J28" s="271"/>
      <c r="K28" s="383">
        <f>1+($B$5-1)*36+6</f>
        <v>7</v>
      </c>
      <c r="L28" s="383" t="str" cm="1">
        <f t="array" ref="L28">IF($B28="","",INDEX($AI$72:$AI$430,$K28))</f>
        <v/>
      </c>
      <c r="M28" s="383" t="str" cm="1">
        <f t="array" ref="M28">IF($B28="","",INDEX($AJ$72:$AJ$430,$K28))</f>
        <v/>
      </c>
      <c r="N28" s="384" t="str" cm="1">
        <f t="array" ref="N28">IF(OR($B28="",$B$13="",$B$12="",$B$12=0),"",IF($L$22="AUTRE",IFERROR(INDEX($AK$72:$AK$430,$K28)*($B$13/$B$12),""),IF(OR($C$12="",$C$13=""),"",IFERROR(INDEX($AK$72:$AK$430,$K28)*(($B$13*VLOOKUP($C$13,$AY$74:$BA$119,3,FALSE))/($B$12*VLOOKUP($C$12,$AY$74:$BA$119,3,FALSE))),""))))</f>
        <v/>
      </c>
      <c r="O28" s="384" t="str" cm="1">
        <f t="array" ref="O28">IF(OR($B28="",$G$12="",$G$11="",$G$11=0),"",IFERROR(INDEX($AK$72:$AK$430,$K28)*($G$12/$G$11),""))</f>
        <v/>
      </c>
      <c r="U28" s="595" t="s">
        <v>8014</v>
      </c>
      <c r="V28" s="392" t="s">
        <v>4</v>
      </c>
      <c r="W28" s="597" t="s">
        <v>8015</v>
      </c>
      <c r="X28" s="597"/>
      <c r="Y28" s="597"/>
      <c r="Z28" s="597"/>
      <c r="AA28" s="598"/>
      <c r="AC28" s="275"/>
      <c r="AD28" s="328" t="s">
        <v>8016</v>
      </c>
      <c r="AE28" s="329"/>
      <c r="AF28" s="330"/>
      <c r="AG28" s="329"/>
      <c r="AH28" s="329"/>
      <c r="AI28" s="329"/>
      <c r="AJ28" s="329"/>
      <c r="AK28" s="329"/>
      <c r="AL28" s="329"/>
      <c r="AM28" s="329"/>
      <c r="AN28" s="329"/>
      <c r="AO28" s="329"/>
      <c r="AP28" s="329"/>
      <c r="AQ28" s="329"/>
      <c r="BB28" s="271"/>
      <c r="BC28" s="271"/>
      <c r="BD28" s="279">
        <v>1</v>
      </c>
      <c r="BE28" s="271"/>
      <c r="BF28" s="271"/>
      <c r="BG28" s="271"/>
    </row>
    <row r="29" spans="1:59" ht="21.95" customHeight="1" x14ac:dyDescent="0.25">
      <c r="A29" s="374" t="str">
        <f>IF($B29="","",7)</f>
        <v/>
      </c>
      <c r="B29" s="375" t="str" cm="1">
        <f t="array" ref="B29">IFERROR(IF(INDEX($AC$72:$AC$430,$K29)="","",INDEX($AC$72:$AC$430,$K29)),"")</f>
        <v/>
      </c>
      <c r="C29" s="376" t="str" cm="1">
        <f t="array" ref="C29">IF($B29="","",INDEX($AG$72:$AG$430,$K29))</f>
        <v/>
      </c>
      <c r="D29" s="377" t="str" cm="1">
        <f t="array" ref="D29">IF($B29="","",INDEX($AH$72:$AH$430,$K29))</f>
        <v/>
      </c>
      <c r="E29" s="378" t="str">
        <f t="shared" si="0"/>
        <v/>
      </c>
      <c r="F29" s="379" t="str" cm="1">
        <f t="array" ref="F29">IF($B29="","",IF(UPPER(TRIM($D29))="QT. SUFFISANTE","Qt. suffisante",IF($N29="","",IF($L29="MASSE",IF($N29&gt;=1,"Kg","g"),IF($L29="VOLUME",IF($N29&gt;=1,"L","cl"),INDEX($AL$72:$AL$430,$K29))))))</f>
        <v/>
      </c>
      <c r="G29" s="380" t="str">
        <f t="shared" si="1"/>
        <v/>
      </c>
      <c r="H29" s="381" t="str" cm="1">
        <f t="array" ref="H29">IF($B29="","",IF(UPPER(TRIM($D29))="QT. SUFFISANTE","Qt. suffisante",IF($O29="","",IF($L29="MASSE",IF($O29&gt;=1,"Kg","g"),IF($L29="VOLUME",IF($O29&gt;=1,"L","cl"),INDEX($AL$72:$AL$430,$K29))))))</f>
        <v/>
      </c>
      <c r="I29" s="382" t="str" cm="1">
        <f t="array" ref="I29">IF($B29="","",INDEX($AM$72:$AM$430,$K29))</f>
        <v/>
      </c>
      <c r="J29" s="271"/>
      <c r="K29" s="383">
        <f>1+($B$5-1)*36+7</f>
        <v>8</v>
      </c>
      <c r="L29" s="383" t="str" cm="1">
        <f t="array" ref="L29">IF($B29="","",INDEX($AI$72:$AI$430,$K29))</f>
        <v/>
      </c>
      <c r="M29" s="383" t="str" cm="1">
        <f t="array" ref="M29">IF($B29="","",INDEX($AJ$72:$AJ$430,$K29))</f>
        <v/>
      </c>
      <c r="N29" s="384" t="str" cm="1">
        <f t="array" ref="N29">IF(OR($B29="",$B$13="",$B$12="",$B$12=0),"",IF($L$22="AUTRE",IFERROR(INDEX($AK$72:$AK$430,$K29)*($B$13/$B$12),""),IF(OR($C$12="",$C$13=""),"",IFERROR(INDEX($AK$72:$AK$430,$K29)*(($B$13*VLOOKUP($C$13,$AY$74:$BA$119,3,FALSE))/($B$12*VLOOKUP($C$12,$AY$74:$BA$119,3,FALSE))),""))))</f>
        <v/>
      </c>
      <c r="O29" s="384" t="str" cm="1">
        <f t="array" ref="O29">IF(OR($B29="",$G$12="",$G$11="",$G$11=0),"",IFERROR(INDEX($AK$72:$AK$430,$K29)*($G$12/$G$11),""))</f>
        <v/>
      </c>
      <c r="U29" s="596"/>
      <c r="V29" s="393"/>
      <c r="W29" s="599"/>
      <c r="X29" s="599"/>
      <c r="Y29" s="599"/>
      <c r="Z29" s="599"/>
      <c r="AA29" s="600"/>
      <c r="AC29" s="275"/>
      <c r="AD29" s="319" t="s">
        <v>8017</v>
      </c>
      <c r="AE29" s="394" t="s">
        <v>8018</v>
      </c>
      <c r="AF29" s="395" t="s">
        <v>8019</v>
      </c>
      <c r="AG29" s="601" t="s">
        <v>8020</v>
      </c>
      <c r="AH29" s="601"/>
      <c r="AI29" s="304" t="s">
        <v>8021</v>
      </c>
      <c r="AJ29" s="304"/>
      <c r="AK29" s="304"/>
      <c r="AL29" s="304"/>
      <c r="AM29" s="304"/>
      <c r="AN29" s="304"/>
      <c r="AO29" s="304"/>
      <c r="AP29" s="304"/>
      <c r="AQ29" s="304"/>
      <c r="BB29" s="271"/>
      <c r="BC29" s="271"/>
      <c r="BD29" s="279">
        <v>1</v>
      </c>
      <c r="BE29" s="271"/>
      <c r="BF29" s="271"/>
      <c r="BG29" s="271"/>
    </row>
    <row r="30" spans="1:59" ht="21.95" customHeight="1" x14ac:dyDescent="0.25">
      <c r="A30" s="374" t="str">
        <f>IF($B30="","",8)</f>
        <v/>
      </c>
      <c r="B30" s="375" t="str" cm="1">
        <f t="array" ref="B30">IFERROR(IF(INDEX($AC$72:$AC$430,$K30)="","",INDEX($AC$72:$AC$430,$K30)),"")</f>
        <v/>
      </c>
      <c r="C30" s="376" t="str" cm="1">
        <f t="array" ref="C30">IF($B30="","",INDEX($AG$72:$AG$430,$K30))</f>
        <v/>
      </c>
      <c r="D30" s="377" t="str" cm="1">
        <f t="array" ref="D30">IF($B30="","",INDEX($AH$72:$AH$430,$K30))</f>
        <v/>
      </c>
      <c r="E30" s="378" t="str">
        <f t="shared" si="0"/>
        <v/>
      </c>
      <c r="F30" s="379" t="str" cm="1">
        <f t="array" ref="F30">IF($B30="","",IF(UPPER(TRIM($D30))="QT. SUFFISANTE","Qt. suffisante",IF($N30="","",IF($L30="MASSE",IF($N30&gt;=1,"Kg","g"),IF($L30="VOLUME",IF($N30&gt;=1,"L","cl"),INDEX($AL$72:$AL$430,$K30))))))</f>
        <v/>
      </c>
      <c r="G30" s="380" t="str">
        <f t="shared" si="1"/>
        <v/>
      </c>
      <c r="H30" s="381" t="str" cm="1">
        <f t="array" ref="H30">IF($B30="","",IF(UPPER(TRIM($D30))="QT. SUFFISANTE","Qt. suffisante",IF($O30="","",IF($L30="MASSE",IF($O30&gt;=1,"Kg","g"),IF($L30="VOLUME",IF($O30&gt;=1,"L","cl"),INDEX($AL$72:$AL$430,$K30))))))</f>
        <v/>
      </c>
      <c r="I30" s="382" t="str" cm="1">
        <f t="array" ref="I30">IF($B30="","",INDEX($AM$72:$AM$430,$K30))</f>
        <v/>
      </c>
      <c r="J30" s="271"/>
      <c r="K30" s="383">
        <f>1+($B$5-1)*36+8</f>
        <v>9</v>
      </c>
      <c r="L30" s="383" t="str" cm="1">
        <f t="array" ref="L30">IF($B30="","",INDEX($AI$72:$AI$430,$K30))</f>
        <v/>
      </c>
      <c r="M30" s="383" t="str" cm="1">
        <f t="array" ref="M30">IF($B30="","",INDEX($AJ$72:$AJ$430,$K30))</f>
        <v/>
      </c>
      <c r="N30" s="384" t="str" cm="1">
        <f t="array" ref="N30">IF(OR($B30="",$B$13="",$B$12="",$B$12=0),"",IF($L$22="AUTRE",IFERROR(INDEX($AK$72:$AK$430,$K30)*($B$13/$B$12),""),IF(OR($C$12="",$C$13=""),"",IFERROR(INDEX($AK$72:$AK$430,$K30)*(($B$13*VLOOKUP($C$13,$AY$74:$BA$119,3,FALSE))/($B$12*VLOOKUP($C$12,$AY$74:$BA$119,3,FALSE))),""))))</f>
        <v/>
      </c>
      <c r="O30" s="384" t="str" cm="1">
        <f t="array" ref="O30">IF(OR($B30="",$G$12="",$G$11="",$G$11=0),"",IFERROR(INDEX($AK$72:$AK$430,$K30)*($G$12/$G$11),""))</f>
        <v/>
      </c>
      <c r="U30" s="626" t="s">
        <v>8022</v>
      </c>
      <c r="V30" s="627"/>
      <c r="W30" s="627"/>
      <c r="X30" s="627"/>
      <c r="Y30" s="627"/>
      <c r="Z30" s="627"/>
      <c r="AA30" s="628"/>
      <c r="AC30" s="275"/>
      <c r="AD30" s="319" t="s">
        <v>8017</v>
      </c>
      <c r="AE30" s="320" t="s">
        <v>8023</v>
      </c>
      <c r="AF30" s="395" t="s">
        <v>8024</v>
      </c>
      <c r="AG30" s="629" t="s">
        <v>7</v>
      </c>
      <c r="AH30" s="629"/>
      <c r="AI30" s="304" t="s">
        <v>8025</v>
      </c>
      <c r="AJ30" s="304"/>
      <c r="AK30" s="304"/>
      <c r="AL30" s="304"/>
      <c r="AM30" s="304"/>
      <c r="AN30" s="304"/>
      <c r="AO30" s="304"/>
      <c r="AP30" s="304"/>
      <c r="AQ30" s="304"/>
      <c r="BB30" s="271"/>
      <c r="BC30" s="271"/>
      <c r="BD30" s="279">
        <v>1</v>
      </c>
      <c r="BE30" s="271"/>
      <c r="BF30" s="271"/>
      <c r="BG30" s="271"/>
    </row>
    <row r="31" spans="1:59" ht="21.95" customHeight="1" x14ac:dyDescent="0.25">
      <c r="A31" s="374" t="str">
        <f>IF($B31="","",9)</f>
        <v/>
      </c>
      <c r="B31" s="375" t="str" cm="1">
        <f t="array" ref="B31">IFERROR(IF(INDEX($AC$72:$AC$430,$K31)="","",INDEX($AC$72:$AC$430,$K31)),"")</f>
        <v/>
      </c>
      <c r="C31" s="376" t="str" cm="1">
        <f t="array" ref="C31">IF($B31="","",INDEX($AG$72:$AG$430,$K31))</f>
        <v/>
      </c>
      <c r="D31" s="377" t="str" cm="1">
        <f t="array" ref="D31">IF($B31="","",INDEX($AH$72:$AH$430,$K31))</f>
        <v/>
      </c>
      <c r="E31" s="378" t="str">
        <f t="shared" si="0"/>
        <v/>
      </c>
      <c r="F31" s="379" t="str" cm="1">
        <f t="array" ref="F31">IF($B31="","",IF(UPPER(TRIM($D31))="QT. SUFFISANTE","Qt. suffisante",IF($N31="","",IF($L31="MASSE",IF($N31&gt;=1,"Kg","g"),IF($L31="VOLUME",IF($N31&gt;=1,"L","cl"),INDEX($AL$72:$AL$430,$K31))))))</f>
        <v/>
      </c>
      <c r="G31" s="380" t="str">
        <f t="shared" si="1"/>
        <v/>
      </c>
      <c r="H31" s="381" t="str" cm="1">
        <f t="array" ref="H31">IF($B31="","",IF(UPPER(TRIM($D31))="QT. SUFFISANTE","Qt. suffisante",IF($O31="","",IF($L31="MASSE",IF($O31&gt;=1,"Kg","g"),IF($L31="VOLUME",IF($O31&gt;=1,"L","cl"),INDEX($AL$72:$AL$430,$K31))))))</f>
        <v/>
      </c>
      <c r="I31" s="382" t="str" cm="1">
        <f t="array" ref="I31">IF($B31="","",INDEX($AM$72:$AM$430,$K31))</f>
        <v/>
      </c>
      <c r="J31" s="271"/>
      <c r="K31" s="383">
        <f>1+($B$5-1)*36+9</f>
        <v>10</v>
      </c>
      <c r="L31" s="383" t="str" cm="1">
        <f t="array" ref="L31">IF($B31="","",INDEX($AI$72:$AI$430,$K31))</f>
        <v/>
      </c>
      <c r="M31" s="383" t="str" cm="1">
        <f t="array" ref="M31">IF($B31="","",INDEX($AJ$72:$AJ$430,$K31))</f>
        <v/>
      </c>
      <c r="N31" s="384" t="str" cm="1">
        <f t="array" ref="N31">IF(OR($B31="",$B$13="",$B$12="",$B$12=0),"",IF($L$22="AUTRE",IFERROR(INDEX($AK$72:$AK$430,$K31)*($B$13/$B$12),""),IF(OR($C$12="",$C$13=""),"",IFERROR(INDEX($AK$72:$AK$430,$K31)*(($B$13*VLOOKUP($C$13,$AY$74:$BA$119,3,FALSE))/($B$12*VLOOKUP($C$12,$AY$74:$BA$119,3,FALSE))),""))))</f>
        <v/>
      </c>
      <c r="O31" s="384" t="str" cm="1">
        <f t="array" ref="O31">IF(OR($B31="",$G$12="",$G$11="",$G$11=0),"",IFERROR(INDEX($AK$72:$AK$430,$K31)*($G$12/$G$11),""))</f>
        <v/>
      </c>
      <c r="U31" s="630" t="s">
        <v>8026</v>
      </c>
      <c r="V31" s="631"/>
      <c r="W31" s="632" t="s">
        <v>8027</v>
      </c>
      <c r="X31" s="632"/>
      <c r="Y31" s="632"/>
      <c r="Z31" s="632"/>
      <c r="AA31" s="633"/>
      <c r="AC31" s="275"/>
      <c r="AD31" s="319" t="s">
        <v>8017</v>
      </c>
      <c r="AE31" s="320" t="s">
        <v>330</v>
      </c>
      <c r="AF31" s="395" t="s">
        <v>8028</v>
      </c>
      <c r="AG31" s="634" t="s">
        <v>8029</v>
      </c>
      <c r="AH31" s="634"/>
      <c r="AI31" s="304" t="s">
        <v>8030</v>
      </c>
      <c r="AJ31" s="304"/>
      <c r="AK31" s="304"/>
      <c r="AL31" s="304"/>
      <c r="AM31" s="304"/>
      <c r="AN31" s="304"/>
      <c r="AO31" s="304"/>
      <c r="AP31" s="304"/>
      <c r="AQ31" s="304"/>
      <c r="BB31" s="271"/>
      <c r="BC31" s="271"/>
      <c r="BD31" s="279">
        <v>1</v>
      </c>
      <c r="BE31" s="271"/>
      <c r="BF31" s="271"/>
      <c r="BG31" s="271"/>
    </row>
    <row r="32" spans="1:59" ht="21.95" customHeight="1" x14ac:dyDescent="0.25">
      <c r="A32" s="374" t="str">
        <f>IF($B32="","",10)</f>
        <v/>
      </c>
      <c r="B32" s="375" t="str" cm="1">
        <f t="array" ref="B32">IFERROR(IF(INDEX($AC$72:$AC$430,$K32)="","",INDEX($AC$72:$AC$430,$K32)),"")</f>
        <v/>
      </c>
      <c r="C32" s="376" t="str" cm="1">
        <f t="array" ref="C32">IF($B32="","",INDEX($AG$72:$AG$430,$K32))</f>
        <v/>
      </c>
      <c r="D32" s="377" t="str" cm="1">
        <f t="array" ref="D32">IF($B32="","",INDEX($AH$72:$AH$430,$K32))</f>
        <v/>
      </c>
      <c r="E32" s="378" t="str">
        <f t="shared" si="0"/>
        <v/>
      </c>
      <c r="F32" s="379" t="str" cm="1">
        <f t="array" ref="F32">IF($B32="","",IF(UPPER(TRIM($D32))="QT. SUFFISANTE","Qt. suffisante",IF($N32="","",IF($L32="MASSE",IF($N32&gt;=1,"Kg","g"),IF($L32="VOLUME",IF($N32&gt;=1,"L","cl"),INDEX($AL$72:$AL$430,$K32))))))</f>
        <v/>
      </c>
      <c r="G32" s="380" t="str">
        <f t="shared" si="1"/>
        <v/>
      </c>
      <c r="H32" s="381" t="str" cm="1">
        <f t="array" ref="H32">IF($B32="","",IF(UPPER(TRIM($D32))="QT. SUFFISANTE","Qt. suffisante",IF($O32="","",IF($L32="MASSE",IF($O32&gt;=1,"Kg","g"),IF($L32="VOLUME",IF($O32&gt;=1,"L","cl"),INDEX($AL$72:$AL$430,$K32))))))</f>
        <v/>
      </c>
      <c r="I32" s="382" t="str" cm="1">
        <f t="array" ref="I32">IF($B32="","",INDEX($AM$72:$AM$430,$K32))</f>
        <v/>
      </c>
      <c r="J32" s="271"/>
      <c r="K32" s="383">
        <f>1+($B$5-1)*36+10</f>
        <v>11</v>
      </c>
      <c r="L32" s="383" t="str" cm="1">
        <f t="array" ref="L32">IF($B32="","",INDEX($AI$72:$AI$430,$K32))</f>
        <v/>
      </c>
      <c r="M32" s="383" t="str" cm="1">
        <f t="array" ref="M32">IF($B32="","",INDEX($AJ$72:$AJ$430,$K32))</f>
        <v/>
      </c>
      <c r="N32" s="384" t="str" cm="1">
        <f t="array" ref="N32">IF(OR($B32="",$B$13="",$B$12="",$B$12=0),"",IF($L$22="AUTRE",IFERROR(INDEX($AK$72:$AK$430,$K32)*($B$13/$B$12),""),IF(OR($C$12="",$C$13=""),"",IFERROR(INDEX($AK$72:$AK$430,$K32)*(($B$13*VLOOKUP($C$13,$AY$74:$BA$119,3,FALSE))/($B$12*VLOOKUP($C$12,$AY$74:$BA$119,3,FALSE))),""))))</f>
        <v/>
      </c>
      <c r="O32" s="384" t="str" cm="1">
        <f t="array" ref="O32">IF(OR($B32="",$G$12="",$G$11="",$G$11=0),"",IFERROR(INDEX($AK$72:$AK$430,$K32)*($G$12/$G$11),""))</f>
        <v/>
      </c>
      <c r="U32" s="630"/>
      <c r="V32" s="631"/>
      <c r="W32" s="632"/>
      <c r="X32" s="632"/>
      <c r="Y32" s="632"/>
      <c r="Z32" s="632"/>
      <c r="AA32" s="633"/>
      <c r="AC32" s="275"/>
      <c r="AD32" s="319" t="s">
        <v>8017</v>
      </c>
      <c r="AE32" s="320" t="s">
        <v>8031</v>
      </c>
      <c r="AF32" s="395" t="s">
        <v>8032</v>
      </c>
      <c r="AG32" s="634" t="s">
        <v>8033</v>
      </c>
      <c r="AH32" s="634"/>
      <c r="AI32" s="311" t="s">
        <v>8034</v>
      </c>
      <c r="AJ32" s="311"/>
      <c r="AK32" s="311"/>
      <c r="AL32" s="311"/>
      <c r="AM32" s="311"/>
      <c r="AN32" s="311"/>
      <c r="AO32" s="311"/>
      <c r="AP32" s="311"/>
      <c r="AQ32" s="311"/>
      <c r="BB32" s="271"/>
      <c r="BC32" s="271"/>
      <c r="BD32" s="279">
        <v>1</v>
      </c>
      <c r="BE32" s="271"/>
      <c r="BF32" s="271"/>
      <c r="BG32" s="271"/>
    </row>
    <row r="33" spans="1:59" ht="21.95" customHeight="1" x14ac:dyDescent="0.25">
      <c r="A33" s="374" t="str">
        <f>IF($B33="","",11)</f>
        <v/>
      </c>
      <c r="B33" s="375" t="str" cm="1">
        <f t="array" ref="B33">IFERROR(IF(INDEX($AC$72:$AC$430,$K33)="","",INDEX($AC$72:$AC$430,$K33)),"")</f>
        <v/>
      </c>
      <c r="C33" s="376" t="str" cm="1">
        <f t="array" ref="C33">IF($B33="","",INDEX($AG$72:$AG$430,$K33))</f>
        <v/>
      </c>
      <c r="D33" s="377" t="str" cm="1">
        <f t="array" ref="D33">IF($B33="","",INDEX($AH$72:$AH$430,$K33))</f>
        <v/>
      </c>
      <c r="E33" s="378" t="str">
        <f t="shared" si="0"/>
        <v/>
      </c>
      <c r="F33" s="379" t="str" cm="1">
        <f t="array" ref="F33">IF($B33="","",IF(UPPER(TRIM($D33))="QT. SUFFISANTE","Qt. suffisante",IF($N33="","",IF($L33="MASSE",IF($N33&gt;=1,"Kg","g"),IF($L33="VOLUME",IF($N33&gt;=1,"L","cl"),INDEX($AL$72:$AL$430,$K33))))))</f>
        <v/>
      </c>
      <c r="G33" s="380" t="str">
        <f t="shared" si="1"/>
        <v/>
      </c>
      <c r="H33" s="381" t="str" cm="1">
        <f t="array" ref="H33">IF($B33="","",IF(UPPER(TRIM($D33))="QT. SUFFISANTE","Qt. suffisante",IF($O33="","",IF($L33="MASSE",IF($O33&gt;=1,"Kg","g"),IF($L33="VOLUME",IF($O33&gt;=1,"L","cl"),INDEX($AL$72:$AL$430,$K33))))))</f>
        <v/>
      </c>
      <c r="I33" s="382" t="str" cm="1">
        <f t="array" ref="I33">IF($B33="","",INDEX($AM$72:$AM$430,$K33))</f>
        <v/>
      </c>
      <c r="J33" s="271"/>
      <c r="K33" s="383">
        <f>1+($B$5-1)*36+11</f>
        <v>12</v>
      </c>
      <c r="L33" s="383" t="str" cm="1">
        <f t="array" ref="L33">IF($B33="","",INDEX($AI$72:$AI$430,$K33))</f>
        <v/>
      </c>
      <c r="M33" s="383" t="str" cm="1">
        <f t="array" ref="M33">IF($B33="","",INDEX($AJ$72:$AJ$430,$K33))</f>
        <v/>
      </c>
      <c r="N33" s="384" t="str" cm="1">
        <f t="array" ref="N33">IF(OR($B33="",$B$13="",$B$12="",$B$12=0),"",IF($L$22="AUTRE",IFERROR(INDEX($AK$72:$AK$430,$K33)*($B$13/$B$12),""),IF(OR($C$12="",$C$13=""),"",IFERROR(INDEX($AK$72:$AK$430,$K33)*(($B$13*VLOOKUP($C$13,$AY$74:$BA$119,3,FALSE))/($B$12*VLOOKUP($C$12,$AY$74:$BA$119,3,FALSE))),""))))</f>
        <v/>
      </c>
      <c r="O33" s="384" t="str" cm="1">
        <f t="array" ref="O33">IF(OR($B33="",$G$12="",$G$11="",$G$11=0),"",IFERROR(INDEX($AK$72:$AK$430,$K33)*($G$12/$G$11),""))</f>
        <v/>
      </c>
      <c r="U33" s="635" t="s">
        <v>8035</v>
      </c>
      <c r="V33" s="636"/>
      <c r="W33" s="637" t="s">
        <v>8036</v>
      </c>
      <c r="X33" s="637"/>
      <c r="Y33" s="637"/>
      <c r="Z33" s="637"/>
      <c r="AA33" s="638"/>
      <c r="AC33" s="275"/>
      <c r="AD33" s="319" t="s">
        <v>8017</v>
      </c>
      <c r="AE33" s="394" t="s">
        <v>8037</v>
      </c>
      <c r="AF33" s="395" t="s">
        <v>8038</v>
      </c>
      <c r="AG33" s="634" t="s">
        <v>8039</v>
      </c>
      <c r="AH33" s="634"/>
      <c r="AI33" s="311" t="s">
        <v>8040</v>
      </c>
      <c r="AJ33" s="311"/>
      <c r="AK33" s="311"/>
      <c r="AL33" s="311"/>
      <c r="AM33" s="311"/>
      <c r="AN33" s="311"/>
      <c r="AO33" s="311"/>
      <c r="AP33" s="311"/>
      <c r="AQ33" s="311"/>
      <c r="BB33" s="271"/>
      <c r="BC33" s="271"/>
      <c r="BD33" s="279">
        <v>1</v>
      </c>
      <c r="BE33" s="271"/>
      <c r="BF33" s="271"/>
      <c r="BG33" s="271"/>
    </row>
    <row r="34" spans="1:59" ht="21.95" customHeight="1" x14ac:dyDescent="0.25">
      <c r="A34" s="374" t="str">
        <f>IF($B34="","",12)</f>
        <v/>
      </c>
      <c r="B34" s="375" t="str" cm="1">
        <f t="array" ref="B34">IFERROR(IF(INDEX($AC$72:$AC$430,$K34)="","",INDEX($AC$72:$AC$430,$K34)),"")</f>
        <v/>
      </c>
      <c r="C34" s="376" t="str" cm="1">
        <f t="array" ref="C34">IF($B34="","",INDEX($AG$72:$AG$430,$K34))</f>
        <v/>
      </c>
      <c r="D34" s="377" t="str" cm="1">
        <f t="array" ref="D34">IF($B34="","",INDEX($AH$72:$AH$430,$K34))</f>
        <v/>
      </c>
      <c r="E34" s="378" t="str">
        <f t="shared" si="0"/>
        <v/>
      </c>
      <c r="F34" s="379" t="str" cm="1">
        <f t="array" ref="F34">IF($B34="","",IF(UPPER(TRIM($D34))="QT. SUFFISANTE","Qt. suffisante",IF($N34="","",IF($L34="MASSE",IF($N34&gt;=1,"Kg","g"),IF($L34="VOLUME",IF($N34&gt;=1,"L","cl"),INDEX($AL$72:$AL$430,$K34))))))</f>
        <v/>
      </c>
      <c r="G34" s="380" t="str">
        <f t="shared" si="1"/>
        <v/>
      </c>
      <c r="H34" s="381" t="str" cm="1">
        <f t="array" ref="H34">IF($B34="","",IF(UPPER(TRIM($D34))="QT. SUFFISANTE","Qt. suffisante",IF($O34="","",IF($L34="MASSE",IF($O34&gt;=1,"Kg","g"),IF($L34="VOLUME",IF($O34&gt;=1,"L","cl"),INDEX($AL$72:$AL$430,$K34))))))</f>
        <v/>
      </c>
      <c r="I34" s="382" t="str" cm="1">
        <f t="array" ref="I34">IF($B34="","",INDEX($AM$72:$AM$430,$K34))</f>
        <v/>
      </c>
      <c r="J34" s="271"/>
      <c r="K34" s="383">
        <f>1+($B$5-1)*36+12</f>
        <v>13</v>
      </c>
      <c r="L34" s="383" t="str" cm="1">
        <f t="array" ref="L34">IF($B34="","",INDEX($AI$72:$AI$430,$K34))</f>
        <v/>
      </c>
      <c r="M34" s="383" t="str" cm="1">
        <f t="array" ref="M34">IF($B34="","",INDEX($AJ$72:$AJ$430,$K34))</f>
        <v/>
      </c>
      <c r="N34" s="384" t="str" cm="1">
        <f t="array" ref="N34">IF(OR($B34="",$B$13="",$B$12="",$B$12=0),"",IF($L$22="AUTRE",IFERROR(INDEX($AK$72:$AK$430,$K34)*($B$13/$B$12),""),IF(OR($C$12="",$C$13=""),"",IFERROR(INDEX($AK$72:$AK$430,$K34)*(($B$13*VLOOKUP($C$13,$AY$74:$BA$119,3,FALSE))/($B$12*VLOOKUP($C$12,$AY$74:$BA$119,3,FALSE))),""))))</f>
        <v/>
      </c>
      <c r="O34" s="384" t="str" cm="1">
        <f t="array" ref="O34">IF(OR($B34="",$G$12="",$G$11="",$G$11=0),"",IFERROR(INDEX($AK$72:$AK$430,$K34)*($G$12/$G$11),""))</f>
        <v/>
      </c>
      <c r="U34" s="635"/>
      <c r="V34" s="636"/>
      <c r="W34" s="637"/>
      <c r="X34" s="637"/>
      <c r="Y34" s="637"/>
      <c r="Z34" s="637"/>
      <c r="AA34" s="638"/>
      <c r="AC34" s="275"/>
      <c r="AD34" s="319" t="s">
        <v>8017</v>
      </c>
      <c r="AE34" s="320" t="s">
        <v>8041</v>
      </c>
      <c r="AF34" s="395" t="s">
        <v>8042</v>
      </c>
      <c r="AG34" s="634" t="s">
        <v>8043</v>
      </c>
      <c r="AH34" s="634"/>
      <c r="AI34" s="311" t="s">
        <v>8044</v>
      </c>
      <c r="AJ34" s="311"/>
      <c r="AK34" s="311"/>
      <c r="AL34" s="311"/>
      <c r="AM34" s="311"/>
      <c r="AN34" s="311"/>
      <c r="AO34" s="311"/>
      <c r="AP34" s="311"/>
      <c r="AQ34" s="311"/>
      <c r="BB34" s="271"/>
      <c r="BC34" s="271"/>
      <c r="BD34" s="279">
        <v>1</v>
      </c>
      <c r="BE34" s="271"/>
      <c r="BF34" s="271"/>
      <c r="BG34" s="271"/>
    </row>
    <row r="35" spans="1:59" ht="21.95" customHeight="1" thickBot="1" x14ac:dyDescent="0.3">
      <c r="A35" s="374" t="str">
        <f>IF($B35="","",13)</f>
        <v/>
      </c>
      <c r="B35" s="375" t="str" cm="1">
        <f t="array" ref="B35">IFERROR(IF(INDEX($AC$72:$AC$430,$K35)="","",INDEX($AC$72:$AC$430,$K35)),"")</f>
        <v/>
      </c>
      <c r="C35" s="376" t="str" cm="1">
        <f t="array" ref="C35">IF($B35="","",INDEX($AG$72:$AG$430,$K35))</f>
        <v/>
      </c>
      <c r="D35" s="377" t="str" cm="1">
        <f t="array" ref="D35">IF($B35="","",INDEX($AH$72:$AH$430,$K35))</f>
        <v/>
      </c>
      <c r="E35" s="378" t="str">
        <f t="shared" si="0"/>
        <v/>
      </c>
      <c r="F35" s="379" t="str" cm="1">
        <f t="array" ref="F35">IF($B35="","",IF(UPPER(TRIM($D35))="QT. SUFFISANTE","Qt. suffisante",IF($N35="","",IF($L35="MASSE",IF($N35&gt;=1,"Kg","g"),IF($L35="VOLUME",IF($N35&gt;=1,"L","cl"),INDEX($AL$72:$AL$430,$K35))))))</f>
        <v/>
      </c>
      <c r="G35" s="380" t="str">
        <f t="shared" si="1"/>
        <v/>
      </c>
      <c r="H35" s="381" t="str" cm="1">
        <f t="array" ref="H35">IF($B35="","",IF(UPPER(TRIM($D35))="QT. SUFFISANTE","Qt. suffisante",IF($O35="","",IF($L35="MASSE",IF($O35&gt;=1,"Kg","g"),IF($L35="VOLUME",IF($O35&gt;=1,"L","cl"),INDEX($AL$72:$AL$430,$K35))))))</f>
        <v/>
      </c>
      <c r="I35" s="382" t="str" cm="1">
        <f t="array" ref="I35">IF($B35="","",INDEX($AM$72:$AM$430,$K35))</f>
        <v/>
      </c>
      <c r="J35" s="271"/>
      <c r="K35" s="383">
        <f>1+($B$5-1)*36+13</f>
        <v>14</v>
      </c>
      <c r="L35" s="383" t="str" cm="1">
        <f t="array" ref="L35">IF($B35="","",INDEX($AI$72:$AI$430,$K35))</f>
        <v/>
      </c>
      <c r="M35" s="383" t="str" cm="1">
        <f t="array" ref="M35">IF($B35="","",INDEX($AJ$72:$AJ$430,$K35))</f>
        <v/>
      </c>
      <c r="N35" s="384" t="str" cm="1">
        <f t="array" ref="N35">IF(OR($B35="",$B$13="",$B$12="",$B$12=0),"",IF($L$22="AUTRE",IFERROR(INDEX($AK$72:$AK$430,$K35)*($B$13/$B$12),""),IF(OR($C$12="",$C$13=""),"",IFERROR(INDEX($AK$72:$AK$430,$K35)*(($B$13*VLOOKUP($C$13,$AY$74:$BA$119,3,FALSE))/($B$12*VLOOKUP($C$12,$AY$74:$BA$119,3,FALSE))),""))))</f>
        <v/>
      </c>
      <c r="O35" s="384" t="str" cm="1">
        <f t="array" ref="O35">IF(OR($B35="",$G$12="",$G$11="",$G$11=0),"",IFERROR(INDEX($AK$72:$AK$430,$K35)*($G$12/$G$11),""))</f>
        <v/>
      </c>
      <c r="U35" s="635" t="s">
        <v>8045</v>
      </c>
      <c r="V35" s="636"/>
      <c r="W35" s="637" t="s">
        <v>8046</v>
      </c>
      <c r="X35" s="637"/>
      <c r="Y35" s="637"/>
      <c r="Z35" s="637"/>
      <c r="AA35" s="638"/>
      <c r="AC35" s="275"/>
      <c r="AD35" s="301" t="s">
        <v>343</v>
      </c>
      <c r="AE35" s="322" t="s">
        <v>343</v>
      </c>
      <c r="AF35" s="396" t="s">
        <v>8047</v>
      </c>
      <c r="AG35" s="639" t="s">
        <v>8048</v>
      </c>
      <c r="AH35" s="639"/>
      <c r="AI35" s="311" t="s">
        <v>8049</v>
      </c>
      <c r="AJ35" s="311"/>
      <c r="AK35" s="311"/>
      <c r="AL35" s="311"/>
      <c r="AM35" s="311"/>
      <c r="AN35" s="311"/>
      <c r="AO35" s="311"/>
      <c r="AP35" s="311"/>
      <c r="AQ35" s="311"/>
      <c r="BB35" s="271"/>
      <c r="BC35" s="271"/>
      <c r="BD35" s="279">
        <v>1</v>
      </c>
      <c r="BE35" s="271"/>
      <c r="BF35" s="271"/>
      <c r="BG35" s="271"/>
    </row>
    <row r="36" spans="1:59" ht="20.100000000000001" customHeight="1" x14ac:dyDescent="0.25">
      <c r="A36" s="374" t="str">
        <f>IF($B36="","",14)</f>
        <v/>
      </c>
      <c r="B36" s="375" t="str" cm="1">
        <f t="array" ref="B36">IFERROR(IF(INDEX($AC$72:$AC$430,$K36)="","",INDEX($AC$72:$AC$430,$K36)),"")</f>
        <v/>
      </c>
      <c r="C36" s="376" t="str" cm="1">
        <f t="array" ref="C36">IF($B36="","",INDEX($AG$72:$AG$430,$K36))</f>
        <v/>
      </c>
      <c r="D36" s="377" t="str" cm="1">
        <f t="array" ref="D36">IF($B36="","",INDEX($AH$72:$AH$430,$K36))</f>
        <v/>
      </c>
      <c r="E36" s="378" t="str">
        <f t="shared" si="0"/>
        <v/>
      </c>
      <c r="F36" s="379" t="str" cm="1">
        <f t="array" ref="F36">IF($B36="","",IF(UPPER(TRIM($D36))="QT. SUFFISANTE","Qt. suffisante",IF($N36="","",IF($L36="MASSE",IF($N36&gt;=1,"Kg","g"),IF($L36="VOLUME",IF($N36&gt;=1,"L","cl"),INDEX($AL$72:$AL$430,$K36))))))</f>
        <v/>
      </c>
      <c r="G36" s="380" t="str">
        <f t="shared" si="1"/>
        <v/>
      </c>
      <c r="H36" s="381" t="str" cm="1">
        <f t="array" ref="H36">IF($B36="","",IF(UPPER(TRIM($D36))="QT. SUFFISANTE","Qt. suffisante",IF($O36="","",IF($L36="MASSE",IF($O36&gt;=1,"Kg","g"),IF($L36="VOLUME",IF($O36&gt;=1,"L","cl"),INDEX($AL$72:$AL$430,$K36))))))</f>
        <v/>
      </c>
      <c r="I36" s="382" t="str" cm="1">
        <f t="array" ref="I36">IF($B36="","",INDEX($AM$72:$AM$430,$K36))</f>
        <v/>
      </c>
      <c r="J36" s="271"/>
      <c r="K36" s="383">
        <f>1+($B$5-1)*36+14</f>
        <v>15</v>
      </c>
      <c r="L36" s="383" t="str" cm="1">
        <f t="array" ref="L36">IF($B36="","",INDEX($AI$72:$AI$430,$K36))</f>
        <v/>
      </c>
      <c r="M36" s="383" t="str" cm="1">
        <f t="array" ref="M36">IF($B36="","",INDEX($AJ$72:$AJ$430,$K36))</f>
        <v/>
      </c>
      <c r="N36" s="384" t="str" cm="1">
        <f t="array" ref="N36">IF(OR($B36="",$B$13="",$B$12="",$B$12=0),"",IF($L$22="AUTRE",IFERROR(INDEX($AK$72:$AK$430,$K36)*($B$13/$B$12),""),IF(OR($C$12="",$C$13=""),"",IFERROR(INDEX($AK$72:$AK$430,$K36)*(($B$13*VLOOKUP($C$13,$AY$74:$BA$119,3,FALSE))/($B$12*VLOOKUP($C$12,$AY$74:$BA$119,3,FALSE))),""))))</f>
        <v/>
      </c>
      <c r="O36" s="384" t="str" cm="1">
        <f t="array" ref="O36">IF(OR($B36="",$G$12="",$G$11="",$G$11=0),"",IFERROR(INDEX($AK$72:$AK$430,$K36)*($G$12/$G$11),""))</f>
        <v/>
      </c>
      <c r="U36" s="635"/>
      <c r="V36" s="636"/>
      <c r="W36" s="637"/>
      <c r="X36" s="637"/>
      <c r="Y36" s="637"/>
      <c r="Z36" s="637"/>
      <c r="AA36" s="638"/>
      <c r="AC36" s="275"/>
      <c r="AD36" s="352" t="s">
        <v>8050</v>
      </c>
      <c r="AE36" s="353"/>
      <c r="AF36" s="354"/>
      <c r="AG36" s="353"/>
      <c r="AH36" s="353"/>
      <c r="AI36" s="353"/>
      <c r="AJ36" s="353"/>
      <c r="AK36" s="353"/>
      <c r="AL36" s="353"/>
      <c r="AM36" s="353"/>
      <c r="AN36" s="353"/>
      <c r="AO36" s="353"/>
      <c r="AP36" s="353"/>
      <c r="AQ36" s="353"/>
      <c r="BB36" s="271"/>
      <c r="BC36" s="271"/>
      <c r="BD36" s="279">
        <v>1</v>
      </c>
      <c r="BE36" s="271"/>
      <c r="BF36" s="271"/>
      <c r="BG36" s="271"/>
    </row>
    <row r="37" spans="1:59" ht="23.1" customHeight="1" x14ac:dyDescent="0.25">
      <c r="A37" s="374" t="str">
        <f>IF($B37="","",15)</f>
        <v/>
      </c>
      <c r="B37" s="375" t="str" cm="1">
        <f t="array" ref="B37">IFERROR(IF(INDEX($AC$72:$AC$430,$K37)="","",INDEX($AC$72:$AC$430,$K37)),"")</f>
        <v/>
      </c>
      <c r="C37" s="376" t="str" cm="1">
        <f t="array" ref="C37">IF($B37="","",INDEX($AG$72:$AG$430,$K37))</f>
        <v/>
      </c>
      <c r="D37" s="377" t="str" cm="1">
        <f t="array" ref="D37">IF($B37="","",INDEX($AH$72:$AH$430,$K37))</f>
        <v/>
      </c>
      <c r="E37" s="378" t="str">
        <f t="shared" si="0"/>
        <v/>
      </c>
      <c r="F37" s="379" t="str" cm="1">
        <f t="array" ref="F37">IF($B37="","",IF(UPPER(TRIM($D37))="QT. SUFFISANTE","Qt. suffisante",IF($N37="","",IF($L37="MASSE",IF($N37&gt;=1,"Kg","g"),IF($L37="VOLUME",IF($N37&gt;=1,"L","cl"),INDEX($AL$72:$AL$430,$K37))))))</f>
        <v/>
      </c>
      <c r="G37" s="380" t="str">
        <f t="shared" si="1"/>
        <v/>
      </c>
      <c r="H37" s="381" t="str" cm="1">
        <f t="array" ref="H37">IF($B37="","",IF(UPPER(TRIM($D37))="QT. SUFFISANTE","Qt. suffisante",IF($O37="","",IF($L37="MASSE",IF($O37&gt;=1,"Kg","g"),IF($L37="VOLUME",IF($O37&gt;=1,"L","cl"),INDEX($AL$72:$AL$430,$K37))))))</f>
        <v/>
      </c>
      <c r="I37" s="382" t="str" cm="1">
        <f t="array" ref="I37">IF($B37="","",INDEX($AM$72:$AM$430,$K37))</f>
        <v/>
      </c>
      <c r="J37" s="271"/>
      <c r="K37" s="383">
        <f>1+($B$5-1)*36+15</f>
        <v>16</v>
      </c>
      <c r="L37" s="383" t="str" cm="1">
        <f t="array" ref="L37">IF($B37="","",INDEX($AI$72:$AI$430,$K37))</f>
        <v/>
      </c>
      <c r="M37" s="383" t="str" cm="1">
        <f t="array" ref="M37">IF($B37="","",INDEX($AJ$72:$AJ$430,$K37))</f>
        <v/>
      </c>
      <c r="N37" s="384" t="str" cm="1">
        <f t="array" ref="N37">IF(OR($B37="",$B$13="",$B$12="",$B$12=0),"",IF($L$22="AUTRE",IFERROR(INDEX($AK$72:$AK$430,$K37)*($B$13/$B$12),""),IF(OR($C$12="",$C$13=""),"",IFERROR(INDEX($AK$72:$AK$430,$K37)*(($B$13*VLOOKUP($C$13,$AY$74:$BA$119,3,FALSE))/($B$12*VLOOKUP($C$12,$AY$74:$BA$119,3,FALSE))),""))))</f>
        <v/>
      </c>
      <c r="O37" s="384" t="str" cm="1">
        <f t="array" ref="O37">IF(OR($B37="",$G$12="",$G$11="",$G$11=0),"",IFERROR(INDEX($AK$72:$AK$430,$K37)*($G$12/$G$11),""))</f>
        <v/>
      </c>
      <c r="U37" s="635" t="s">
        <v>8051</v>
      </c>
      <c r="V37" s="636"/>
      <c r="W37" s="637" t="s">
        <v>8052</v>
      </c>
      <c r="X37" s="637"/>
      <c r="Y37" s="637"/>
      <c r="Z37" s="637"/>
      <c r="AA37" s="638"/>
      <c r="AC37" s="275"/>
      <c r="AD37" s="398" t="s">
        <v>343</v>
      </c>
      <c r="AE37" s="397" t="s">
        <v>8048</v>
      </c>
      <c r="AF37" s="396" t="s">
        <v>8047</v>
      </c>
      <c r="AG37" s="639" t="s">
        <v>8048</v>
      </c>
      <c r="AH37" s="639"/>
      <c r="AI37" s="399" t="s">
        <v>8053</v>
      </c>
      <c r="AJ37" s="399"/>
      <c r="AK37" s="399"/>
      <c r="AL37" s="399"/>
      <c r="AM37" s="399"/>
      <c r="AN37" s="399"/>
      <c r="AO37" s="399"/>
      <c r="AP37" s="399"/>
      <c r="AQ37" s="399"/>
      <c r="BB37" s="271"/>
      <c r="BC37" s="271"/>
      <c r="BD37" s="279">
        <v>1</v>
      </c>
      <c r="BE37" s="271"/>
      <c r="BF37" s="271"/>
      <c r="BG37" s="271"/>
    </row>
    <row r="38" spans="1:59" ht="20.100000000000001" customHeight="1" x14ac:dyDescent="0.25">
      <c r="A38" s="374" t="str">
        <f>IF($B38="","",16)</f>
        <v/>
      </c>
      <c r="B38" s="375" t="str" cm="1">
        <f t="array" ref="B38">IFERROR(IF(INDEX($AC$72:$AC$430,$K38)="","",INDEX($AC$72:$AC$430,$K38)),"")</f>
        <v/>
      </c>
      <c r="C38" s="376" t="str" cm="1">
        <f t="array" ref="C38">IF($B38="","",INDEX($AG$72:$AG$430,$K38))</f>
        <v/>
      </c>
      <c r="D38" s="377" t="str" cm="1">
        <f t="array" ref="D38">IF($B38="","",INDEX($AH$72:$AH$430,$K38))</f>
        <v/>
      </c>
      <c r="E38" s="378" t="str">
        <f t="shared" si="0"/>
        <v/>
      </c>
      <c r="F38" s="379" t="str" cm="1">
        <f t="array" ref="F38">IF($B38="","",IF(UPPER(TRIM($D38))="QT. SUFFISANTE","Qt. suffisante",IF($N38="","",IF($L38="MASSE",IF($N38&gt;=1,"Kg","g"),IF($L38="VOLUME",IF($N38&gt;=1,"L","cl"),INDEX($AL$72:$AL$430,$K38))))))</f>
        <v/>
      </c>
      <c r="G38" s="380" t="str">
        <f t="shared" si="1"/>
        <v/>
      </c>
      <c r="H38" s="381" t="str" cm="1">
        <f t="array" ref="H38">IF($B38="","",IF(UPPER(TRIM($D38))="QT. SUFFISANTE","Qt. suffisante",IF($O38="","",IF($L38="MASSE",IF($O38&gt;=1,"Kg","g"),IF($L38="VOLUME",IF($O38&gt;=1,"L","cl"),INDEX($AL$72:$AL$430,$K38))))))</f>
        <v/>
      </c>
      <c r="I38" s="382" t="str" cm="1">
        <f t="array" ref="I38">IF($B38="","",INDEX($AM$72:$AM$430,$K38))</f>
        <v/>
      </c>
      <c r="J38" s="271"/>
      <c r="K38" s="383">
        <f>1+($B$5-1)*36+16</f>
        <v>17</v>
      </c>
      <c r="L38" s="383" t="str" cm="1">
        <f t="array" ref="L38">IF($B38="","",INDEX($AI$72:$AI$430,$K38))</f>
        <v/>
      </c>
      <c r="M38" s="383" t="str" cm="1">
        <f t="array" ref="M38">IF($B38="","",INDEX($AJ$72:$AJ$430,$K38))</f>
        <v/>
      </c>
      <c r="N38" s="384" t="str" cm="1">
        <f t="array" ref="N38">IF(OR($B38="",$B$13="",$B$12="",$B$12=0),"",IF($L$22="AUTRE",IFERROR(INDEX($AK$72:$AK$430,$K38)*($B$13/$B$12),""),IF(OR($C$12="",$C$13=""),"",IFERROR(INDEX($AK$72:$AK$430,$K38)*(($B$13*VLOOKUP($C$13,$AY$74:$BA$119,3,FALSE))/($B$12*VLOOKUP($C$12,$AY$74:$BA$119,3,FALSE))),""))))</f>
        <v/>
      </c>
      <c r="O38" s="384" t="str" cm="1">
        <f t="array" ref="O38">IF(OR($B38="",$G$12="",$G$11="",$G$11=0),"",IFERROR(INDEX($AK$72:$AK$430,$K38)*($G$12/$G$11),""))</f>
        <v/>
      </c>
      <c r="U38" s="635"/>
      <c r="V38" s="636"/>
      <c r="W38" s="637"/>
      <c r="X38" s="637"/>
      <c r="Y38" s="637"/>
      <c r="Z38" s="637"/>
      <c r="AA38" s="638"/>
      <c r="AC38" s="275"/>
      <c r="AD38" s="400" t="s">
        <v>343</v>
      </c>
      <c r="AE38" s="401" t="s">
        <v>8054</v>
      </c>
      <c r="AF38" s="396" t="s">
        <v>8047</v>
      </c>
      <c r="AG38" s="644" t="s">
        <v>8054</v>
      </c>
      <c r="AH38" s="644"/>
      <c r="AI38" s="402" t="s">
        <v>8055</v>
      </c>
      <c r="AJ38" s="403"/>
      <c r="AK38" s="403"/>
      <c r="AL38" s="403"/>
      <c r="AM38" s="403"/>
      <c r="AN38" s="403"/>
      <c r="AO38" s="403"/>
      <c r="AP38" s="403"/>
      <c r="AQ38" s="403"/>
      <c r="BB38" s="271"/>
      <c r="BC38" s="271"/>
      <c r="BD38" s="279">
        <v>1</v>
      </c>
      <c r="BE38" s="271"/>
      <c r="BF38" s="271"/>
      <c r="BG38" s="271"/>
    </row>
    <row r="39" spans="1:59" ht="20.100000000000001" customHeight="1" x14ac:dyDescent="0.25">
      <c r="A39" s="374" t="str">
        <f>IF($B39="","",17)</f>
        <v/>
      </c>
      <c r="B39" s="375" t="str" cm="1">
        <f t="array" ref="B39">IFERROR(IF(INDEX($AC$72:$AC$430,$K39)="","",INDEX($AC$72:$AC$430,$K39)),"")</f>
        <v/>
      </c>
      <c r="C39" s="376" t="str" cm="1">
        <f t="array" ref="C39">IF($B39="","",INDEX($AG$72:$AG$430,$K39))</f>
        <v/>
      </c>
      <c r="D39" s="377" t="str" cm="1">
        <f t="array" ref="D39">IF($B39="","",INDEX($AH$72:$AH$430,$K39))</f>
        <v/>
      </c>
      <c r="E39" s="378" t="str">
        <f t="shared" si="0"/>
        <v/>
      </c>
      <c r="F39" s="379" t="str" cm="1">
        <f t="array" ref="F39">IF($B39="","",IF(UPPER(TRIM($D39))="QT. SUFFISANTE","Qt. suffisante",IF($N39="","",IF($L39="MASSE",IF($N39&gt;=1,"Kg","g"),IF($L39="VOLUME",IF($N39&gt;=1,"L","cl"),INDEX($AL$72:$AL$430,$K39))))))</f>
        <v/>
      </c>
      <c r="G39" s="380" t="str">
        <f t="shared" si="1"/>
        <v/>
      </c>
      <c r="H39" s="381" t="str" cm="1">
        <f t="array" ref="H39">IF($B39="","",IF(UPPER(TRIM($D39))="QT. SUFFISANTE","Qt. suffisante",IF($O39="","",IF($L39="MASSE",IF($O39&gt;=1,"Kg","g"),IF($L39="VOLUME",IF($O39&gt;=1,"L","cl"),INDEX($AL$72:$AL$430,$K39))))))</f>
        <v/>
      </c>
      <c r="I39" s="382" t="str" cm="1">
        <f t="array" ref="I39">IF($B39="","",INDEX($AM$72:$AM$430,$K39))</f>
        <v/>
      </c>
      <c r="J39" s="271"/>
      <c r="K39" s="383">
        <f>1+($B$5-1)*36+17</f>
        <v>18</v>
      </c>
      <c r="L39" s="383" t="str" cm="1">
        <f t="array" ref="L39">IF($B39="","",INDEX($AI$72:$AI$430,$K39))</f>
        <v/>
      </c>
      <c r="M39" s="383" t="str" cm="1">
        <f t="array" ref="M39">IF($B39="","",INDEX($AJ$72:$AJ$430,$K39))</f>
        <v/>
      </c>
      <c r="N39" s="384" t="str" cm="1">
        <f t="array" ref="N39">IF(OR($B39="",$B$13="",$B$12="",$B$12=0),"",IF($L$22="AUTRE",IFERROR(INDEX($AK$72:$AK$430,$K39)*($B$13/$B$12),""),IF(OR($C$12="",$C$13=""),"",IFERROR(INDEX($AK$72:$AK$430,$K39)*(($B$13*VLOOKUP($C$13,$AY$74:$BA$119,3,FALSE))/($B$12*VLOOKUP($C$12,$AY$74:$BA$119,3,FALSE))),""))))</f>
        <v/>
      </c>
      <c r="O39" s="384" t="str" cm="1">
        <f t="array" ref="O39">IF(OR($B39="",$G$12="",$G$11="",$G$11=0),"",IFERROR(INDEX($AK$72:$AK$430,$K39)*($G$12/$G$11),""))</f>
        <v/>
      </c>
      <c r="U39" s="635" t="s">
        <v>8056</v>
      </c>
      <c r="V39" s="636"/>
      <c r="W39" s="637" t="s">
        <v>8057</v>
      </c>
      <c r="X39" s="637"/>
      <c r="Y39" s="637"/>
      <c r="Z39" s="637"/>
      <c r="AA39" s="638"/>
      <c r="AC39" s="275"/>
      <c r="AD39" s="370" t="s">
        <v>343</v>
      </c>
      <c r="AE39" s="404" t="s">
        <v>8058</v>
      </c>
      <c r="AF39" s="396" t="s">
        <v>8047</v>
      </c>
      <c r="AG39" s="645" t="s">
        <v>8058</v>
      </c>
      <c r="AH39" s="645"/>
      <c r="AI39" s="405" t="s">
        <v>8059</v>
      </c>
      <c r="AJ39" s="406"/>
      <c r="AK39" s="406"/>
      <c r="AL39" s="406"/>
      <c r="AM39" s="406"/>
      <c r="AN39" s="406"/>
      <c r="AO39" s="406"/>
      <c r="AP39" s="406"/>
      <c r="AQ39" s="406"/>
      <c r="BB39" s="271"/>
      <c r="BC39" s="271"/>
      <c r="BD39" s="279">
        <v>1</v>
      </c>
      <c r="BE39" s="271"/>
      <c r="BF39" s="271"/>
      <c r="BG39" s="271"/>
    </row>
    <row r="40" spans="1:59" ht="20.100000000000001" customHeight="1" x14ac:dyDescent="0.25">
      <c r="A40" s="374" t="str">
        <f>IF($B40="","",18)</f>
        <v/>
      </c>
      <c r="B40" s="375" t="str" cm="1">
        <f t="array" ref="B40">IFERROR(IF(INDEX($AC$72:$AC$430,$K40)="","",INDEX($AC$72:$AC$430,$K40)),"")</f>
        <v/>
      </c>
      <c r="C40" s="376" t="str" cm="1">
        <f t="array" ref="C40">IF($B40="","",INDEX($AG$72:$AG$430,$K40))</f>
        <v/>
      </c>
      <c r="D40" s="377" t="str" cm="1">
        <f t="array" ref="D40">IF($B40="","",INDEX($AH$72:$AH$430,$K40))</f>
        <v/>
      </c>
      <c r="E40" s="378" t="str">
        <f t="shared" si="0"/>
        <v/>
      </c>
      <c r="F40" s="379" t="str" cm="1">
        <f t="array" ref="F40">IF($B40="","",IF(UPPER(TRIM($D40))="QT. SUFFISANTE","Qt. suffisante",IF($N40="","",IF($L40="MASSE",IF($N40&gt;=1,"Kg","g"),IF($L40="VOLUME",IF($N40&gt;=1,"L","cl"),INDEX($AL$72:$AL$430,$K40))))))</f>
        <v/>
      </c>
      <c r="G40" s="380" t="str">
        <f t="shared" si="1"/>
        <v/>
      </c>
      <c r="H40" s="381" t="str" cm="1">
        <f t="array" ref="H40">IF($B40="","",IF(UPPER(TRIM($D40))="QT. SUFFISANTE","Qt. suffisante",IF($O40="","",IF($L40="MASSE",IF($O40&gt;=1,"Kg","g"),IF($L40="VOLUME",IF($O40&gt;=1,"L","cl"),INDEX($AL$72:$AL$430,$K40))))))</f>
        <v/>
      </c>
      <c r="I40" s="382" t="str" cm="1">
        <f t="array" ref="I40">IF($B40="","",INDEX($AM$72:$AM$430,$K40))</f>
        <v/>
      </c>
      <c r="J40" s="271"/>
      <c r="K40" s="383">
        <f>1+($B$5-1)*36+18</f>
        <v>19</v>
      </c>
      <c r="L40" s="383" t="str" cm="1">
        <f t="array" ref="L40">IF($B40="","",INDEX($AI$72:$AI$430,$K40))</f>
        <v/>
      </c>
      <c r="M40" s="383" t="str" cm="1">
        <f t="array" ref="M40">IF($B40="","",INDEX($AJ$72:$AJ$430,$K40))</f>
        <v/>
      </c>
      <c r="N40" s="384" t="str" cm="1">
        <f t="array" ref="N40">IF(OR($B40="",$B$13="",$B$12="",$B$12=0),"",IF($L$22="AUTRE",IFERROR(INDEX($AK$72:$AK$430,$K40)*($B$13/$B$12),""),IF(OR($C$12="",$C$13=""),"",IFERROR(INDEX($AK$72:$AK$430,$K40)*(($B$13*VLOOKUP($C$13,$AY$74:$BA$119,3,FALSE))/($B$12*VLOOKUP($C$12,$AY$74:$BA$119,3,FALSE))),""))))</f>
        <v/>
      </c>
      <c r="O40" s="384" t="str" cm="1">
        <f t="array" ref="O40">IF(OR($B40="",$G$12="",$G$11="",$G$11=0),"",IFERROR(INDEX($AK$72:$AK$430,$K40)*($G$12/$G$11),""))</f>
        <v/>
      </c>
      <c r="U40" s="635"/>
      <c r="V40" s="636"/>
      <c r="W40" s="637"/>
      <c r="X40" s="637"/>
      <c r="Y40" s="637"/>
      <c r="Z40" s="637"/>
      <c r="AA40" s="638"/>
      <c r="AC40" s="275"/>
      <c r="AD40" s="370" t="s">
        <v>343</v>
      </c>
      <c r="AE40" s="407" t="s">
        <v>8060</v>
      </c>
      <c r="AF40" s="396" t="s">
        <v>8047</v>
      </c>
      <c r="AG40" s="646" t="s">
        <v>8060</v>
      </c>
      <c r="AH40" s="646"/>
      <c r="AI40" s="406" t="s">
        <v>8061</v>
      </c>
      <c r="AJ40" s="406"/>
      <c r="AK40" s="406"/>
      <c r="AL40" s="406"/>
      <c r="AM40" s="406"/>
      <c r="AN40" s="406"/>
      <c r="AO40" s="406"/>
      <c r="AP40" s="406"/>
      <c r="AQ40" s="406"/>
      <c r="BB40" s="271"/>
      <c r="BC40" s="271"/>
      <c r="BD40" s="279">
        <v>1</v>
      </c>
      <c r="BE40" s="271"/>
      <c r="BF40" s="271"/>
      <c r="BG40" s="271"/>
    </row>
    <row r="41" spans="1:59" ht="20.100000000000001" customHeight="1" thickBot="1" x14ac:dyDescent="0.3">
      <c r="A41" s="374" t="str">
        <f>IF($B41="","",19)</f>
        <v/>
      </c>
      <c r="B41" s="375" t="str" cm="1">
        <f t="array" ref="B41">IFERROR(IF(INDEX($AC$72:$AC$430,$K41)="","",INDEX($AC$72:$AC$430,$K41)),"")</f>
        <v/>
      </c>
      <c r="C41" s="376" t="str" cm="1">
        <f t="array" ref="C41">IF($B41="","",INDEX($AG$72:$AG$430,$K41))</f>
        <v/>
      </c>
      <c r="D41" s="377" t="str" cm="1">
        <f t="array" ref="D41">IF($B41="","",INDEX($AH$72:$AH$430,$K41))</f>
        <v/>
      </c>
      <c r="E41" s="378" t="str">
        <f t="shared" si="0"/>
        <v/>
      </c>
      <c r="F41" s="379" t="str" cm="1">
        <f t="array" ref="F41">IF($B41="","",IF(UPPER(TRIM($D41))="QT. SUFFISANTE","Qt. suffisante",IF($N41="","",IF($L41="MASSE",IF($N41&gt;=1,"Kg","g"),IF($L41="VOLUME",IF($N41&gt;=1,"L","cl"),INDEX($AL$72:$AL$430,$K41))))))</f>
        <v/>
      </c>
      <c r="G41" s="380" t="str">
        <f t="shared" si="1"/>
        <v/>
      </c>
      <c r="H41" s="381" t="str" cm="1">
        <f t="array" ref="H41">IF($B41="","",IF(UPPER(TRIM($D41))="QT. SUFFISANTE","Qt. suffisante",IF($O41="","",IF($L41="MASSE",IF($O41&gt;=1,"Kg","g"),IF($L41="VOLUME",IF($O41&gt;=1,"L","cl"),INDEX($AL$72:$AL$430,$K41))))))</f>
        <v/>
      </c>
      <c r="I41" s="382" t="str" cm="1">
        <f t="array" ref="I41">IF($B41="","",INDEX($AM$72:$AM$430,$K41))</f>
        <v/>
      </c>
      <c r="J41" s="271"/>
      <c r="K41" s="383">
        <f>1+($B$5-1)*36+19</f>
        <v>20</v>
      </c>
      <c r="L41" s="383" t="str" cm="1">
        <f t="array" ref="L41">IF($B41="","",INDEX($AI$72:$AI$430,$K41))</f>
        <v/>
      </c>
      <c r="M41" s="383" t="str" cm="1">
        <f t="array" ref="M41">IF($B41="","",INDEX($AJ$72:$AJ$430,$K41))</f>
        <v/>
      </c>
      <c r="N41" s="384" t="str" cm="1">
        <f t="array" ref="N41">IF(OR($B41="",$B$13="",$B$12="",$B$12=0),"",IF($L$22="AUTRE",IFERROR(INDEX($AK$72:$AK$430,$K41)*($B$13/$B$12),""),IF(OR($C$12="",$C$13=""),"",IFERROR(INDEX($AK$72:$AK$430,$K41)*(($B$13*VLOOKUP($C$13,$AY$74:$BA$119,3,FALSE))/($B$12*VLOOKUP($C$12,$AY$74:$BA$119,3,FALSE))),""))))</f>
        <v/>
      </c>
      <c r="O41" s="384" t="str" cm="1">
        <f t="array" ref="O41">IF(OR($B41="",$G$12="",$G$11="",$G$11=0),"",IFERROR(INDEX($AK$72:$AK$430,$K41)*($G$12/$G$11),""))</f>
        <v/>
      </c>
      <c r="U41" s="647" t="s">
        <v>8062</v>
      </c>
      <c r="V41" s="648"/>
      <c r="W41" s="648"/>
      <c r="X41" s="648"/>
      <c r="Y41" s="648"/>
      <c r="Z41" s="648"/>
      <c r="AA41" s="649"/>
      <c r="AD41" s="408" t="s">
        <v>8063</v>
      </c>
      <c r="AE41" s="409" t="s">
        <v>8064</v>
      </c>
      <c r="AF41" s="410" t="s">
        <v>8065</v>
      </c>
      <c r="AG41" s="650" t="s">
        <v>8066</v>
      </c>
      <c r="AH41" s="650"/>
      <c r="AI41" s="411" t="s">
        <v>8067</v>
      </c>
      <c r="AJ41" s="411"/>
      <c r="AK41" s="411"/>
      <c r="AL41" s="411"/>
      <c r="AM41" s="411"/>
      <c r="AN41" s="411"/>
      <c r="AO41" s="411"/>
      <c r="AP41" s="411"/>
      <c r="AQ41" s="411"/>
      <c r="BB41" s="271"/>
      <c r="BC41" s="271"/>
      <c r="BD41" s="279">
        <v>1</v>
      </c>
      <c r="BE41" s="271"/>
      <c r="BF41" s="271"/>
      <c r="BG41" s="271"/>
    </row>
    <row r="42" spans="1:59" ht="20.100000000000001" customHeight="1" x14ac:dyDescent="0.25">
      <c r="A42" s="374" t="str">
        <f>IF($B42="","",20)</f>
        <v/>
      </c>
      <c r="B42" s="375" t="str" cm="1">
        <f t="array" ref="B42">IFERROR(IF(INDEX($AC$72:$AC$430,$K42)="","",INDEX($AC$72:$AC$430,$K42)),"")</f>
        <v/>
      </c>
      <c r="C42" s="376" t="str" cm="1">
        <f t="array" ref="C42">IF($B42="","",INDEX($AG$72:$AG$430,$K42))</f>
        <v/>
      </c>
      <c r="D42" s="377" t="str" cm="1">
        <f t="array" ref="D42">IF($B42="","",INDEX($AH$72:$AH$430,$K42))</f>
        <v/>
      </c>
      <c r="E42" s="378" t="str">
        <f t="shared" si="0"/>
        <v/>
      </c>
      <c r="F42" s="379" t="str" cm="1">
        <f t="array" ref="F42">IF($B42="","",IF(UPPER(TRIM($D42))="QT. SUFFISANTE","Qt. suffisante",IF($N42="","",IF($L42="MASSE",IF($N42&gt;=1,"Kg","g"),IF($L42="VOLUME",IF($N42&gt;=1,"L","cl"),INDEX($AL$72:$AL$430,$K42))))))</f>
        <v/>
      </c>
      <c r="G42" s="380" t="str">
        <f t="shared" si="1"/>
        <v/>
      </c>
      <c r="H42" s="381" t="str" cm="1">
        <f t="array" ref="H42">IF($B42="","",IF(UPPER(TRIM($D42))="QT. SUFFISANTE","Qt. suffisante",IF($O42="","",IF($L42="MASSE",IF($O42&gt;=1,"Kg","g"),IF($L42="VOLUME",IF($O42&gt;=1,"L","cl"),INDEX($AL$72:$AL$430,$K42))))))</f>
        <v/>
      </c>
      <c r="I42" s="382" t="str" cm="1">
        <f t="array" ref="I42">IF($B42="","",INDEX($AM$72:$AM$430,$K42))</f>
        <v/>
      </c>
      <c r="J42" s="271"/>
      <c r="K42" s="383">
        <f>1+($B$5-1)*36+20</f>
        <v>21</v>
      </c>
      <c r="L42" s="383" t="str" cm="1">
        <f t="array" ref="L42">IF($B42="","",INDEX($AI$72:$AI$430,$K42))</f>
        <v/>
      </c>
      <c r="M42" s="383" t="str" cm="1">
        <f t="array" ref="M42">IF($B42="","",INDEX($AJ$72:$AJ$430,$K42))</f>
        <v/>
      </c>
      <c r="N42" s="384" t="str" cm="1">
        <f t="array" ref="N42">IF(OR($B42="",$B$13="",$B$12="",$B$12=0),"",IF($L$22="AUTRE",IFERROR(INDEX($AK$72:$AK$430,$K42)*($B$13/$B$12),""),IF(OR($C$12="",$C$13=""),"",IFERROR(INDEX($AK$72:$AK$430,$K42)*(($B$13*VLOOKUP($C$13,$AY$74:$BA$119,3,FALSE))/($B$12*VLOOKUP($C$12,$AY$74:$BA$119,3,FALSE))),""))))</f>
        <v/>
      </c>
      <c r="O42" s="384" t="str" cm="1">
        <f t="array" ref="O42">IF(OR($B42="",$G$12="",$G$11="",$G$11=0),"",IFERROR(INDEX($AK$72:$AK$430,$K42)*($G$12/$G$11),""))</f>
        <v/>
      </c>
      <c r="U42" s="651" t="s">
        <v>8068</v>
      </c>
      <c r="V42" s="652"/>
      <c r="W42" s="653" t="s">
        <v>8069</v>
      </c>
      <c r="X42" s="653"/>
      <c r="Y42" s="653"/>
      <c r="Z42" s="653"/>
      <c r="AA42" s="654"/>
      <c r="AD42" s="294" t="s">
        <v>8070</v>
      </c>
      <c r="AE42" s="295"/>
      <c r="AF42" s="296"/>
      <c r="AG42" s="295"/>
      <c r="AH42" s="295"/>
      <c r="AI42" s="295"/>
      <c r="AJ42" s="295"/>
      <c r="AK42" s="295"/>
      <c r="AL42" s="295"/>
      <c r="AM42" s="295"/>
      <c r="AN42" s="295"/>
      <c r="AO42" s="295"/>
      <c r="AP42" s="295"/>
      <c r="AQ42" s="295"/>
      <c r="BB42" s="271"/>
      <c r="BC42" s="271"/>
      <c r="BD42" s="279">
        <v>1</v>
      </c>
      <c r="BE42" s="271"/>
      <c r="BF42" s="271"/>
      <c r="BG42" s="271"/>
    </row>
    <row r="43" spans="1:59" ht="20.100000000000001" customHeight="1" x14ac:dyDescent="0.25">
      <c r="A43" s="374" t="str">
        <f>IF($B43="","",21)</f>
        <v/>
      </c>
      <c r="B43" s="375" t="str" cm="1">
        <f t="array" ref="B43">IFERROR(IF(INDEX($AC$72:$AC$430,$K43)="","",INDEX($AC$72:$AC$430,$K43)),"")</f>
        <v/>
      </c>
      <c r="C43" s="376" t="str" cm="1">
        <f t="array" ref="C43">IF($B43="","",INDEX($AG$72:$AG$430,$K43))</f>
        <v/>
      </c>
      <c r="D43" s="377" t="str" cm="1">
        <f t="array" ref="D43">IF($B43="","",INDEX($AH$72:$AH$430,$K43))</f>
        <v/>
      </c>
      <c r="E43" s="378" t="str">
        <f t="shared" si="0"/>
        <v/>
      </c>
      <c r="F43" s="379" t="str" cm="1">
        <f t="array" ref="F43">IF($B43="","",IF(UPPER(TRIM($D43))="QT. SUFFISANTE","Qt. suffisante",IF($N43="","",IF($L43="MASSE",IF($N43&gt;=1,"Kg","g"),IF($L43="VOLUME",IF($N43&gt;=1,"L","cl"),INDEX($AL$72:$AL$430,$K43))))))</f>
        <v/>
      </c>
      <c r="G43" s="380" t="str">
        <f t="shared" si="1"/>
        <v/>
      </c>
      <c r="H43" s="381" t="str" cm="1">
        <f t="array" ref="H43">IF($B43="","",IF(UPPER(TRIM($D43))="QT. SUFFISANTE","Qt. suffisante",IF($O43="","",IF($L43="MASSE",IF($O43&gt;=1,"Kg","g"),IF($L43="VOLUME",IF($O43&gt;=1,"L","cl"),INDEX($AL$72:$AL$430,$K43))))))</f>
        <v/>
      </c>
      <c r="I43" s="382" t="str" cm="1">
        <f t="array" ref="I43">IF($B43="","",INDEX($AM$72:$AM$430,$K43))</f>
        <v/>
      </c>
      <c r="J43" s="271"/>
      <c r="K43" s="383">
        <f>1+($B$5-1)*36+21</f>
        <v>22</v>
      </c>
      <c r="L43" s="383" t="str" cm="1">
        <f t="array" ref="L43">IF($B43="","",INDEX($AI$72:$AI$430,$K43))</f>
        <v/>
      </c>
      <c r="M43" s="383" t="str" cm="1">
        <f t="array" ref="M43">IF($B43="","",INDEX($AJ$72:$AJ$430,$K43))</f>
        <v/>
      </c>
      <c r="N43" s="384" t="str" cm="1">
        <f t="array" ref="N43">IF(OR($B43="",$B$13="",$B$12="",$B$12=0),"",IF($L$22="AUTRE",IFERROR(INDEX($AK$72:$AK$430,$K43)*($B$13/$B$12),""),IF(OR($C$12="",$C$13=""),"",IFERROR(INDEX($AK$72:$AK$430,$K43)*(($B$13*VLOOKUP($C$13,$AY$74:$BA$119,3,FALSE))/($B$12*VLOOKUP($C$12,$AY$74:$BA$119,3,FALSE))),""))))</f>
        <v/>
      </c>
      <c r="O43" s="384" t="str" cm="1">
        <f t="array" ref="O43">IF(OR($B43="",$G$12="",$G$11="",$G$11=0),"",IFERROR(INDEX($AK$72:$AK$430,$K43)*($G$12/$G$11),""))</f>
        <v/>
      </c>
      <c r="U43" s="651"/>
      <c r="V43" s="652"/>
      <c r="W43" s="653"/>
      <c r="X43" s="653"/>
      <c r="Y43" s="653"/>
      <c r="Z43" s="653"/>
      <c r="AA43" s="654"/>
      <c r="AD43" s="301" t="s">
        <v>8071</v>
      </c>
      <c r="AE43" s="322" t="s">
        <v>8072</v>
      </c>
      <c r="AF43" s="303"/>
      <c r="AG43" s="557" t="s">
        <v>8073</v>
      </c>
      <c r="AH43" s="557"/>
      <c r="AI43" s="311" t="s">
        <v>8074</v>
      </c>
      <c r="AJ43" s="311"/>
      <c r="AK43" s="311"/>
      <c r="AL43" s="311"/>
      <c r="AM43" s="311"/>
      <c r="AN43" s="311"/>
      <c r="AO43" s="311"/>
      <c r="AP43" s="311"/>
      <c r="AQ43" s="311"/>
      <c r="BB43" s="271"/>
      <c r="BC43" s="271"/>
      <c r="BD43" s="279">
        <v>1</v>
      </c>
      <c r="BE43" s="271"/>
      <c r="BF43" s="271"/>
      <c r="BG43" s="271"/>
    </row>
    <row r="44" spans="1:59" ht="20.100000000000001" customHeight="1" x14ac:dyDescent="0.25">
      <c r="A44" s="374" t="str">
        <f>IF($B44="","",22)</f>
        <v/>
      </c>
      <c r="B44" s="375" t="str" cm="1">
        <f t="array" ref="B44">IFERROR(IF(INDEX($AC$72:$AC$430,$K44)="","",INDEX($AC$72:$AC$430,$K44)),"")</f>
        <v/>
      </c>
      <c r="C44" s="376" t="str" cm="1">
        <f t="array" ref="C44">IF($B44="","",INDEX($AG$72:$AG$430,$K44))</f>
        <v/>
      </c>
      <c r="D44" s="377" t="str" cm="1">
        <f t="array" ref="D44">IF($B44="","",INDEX($AH$72:$AH$430,$K44))</f>
        <v/>
      </c>
      <c r="E44" s="378" t="str">
        <f t="shared" si="0"/>
        <v/>
      </c>
      <c r="F44" s="379" t="str" cm="1">
        <f t="array" ref="F44">IF($B44="","",IF(UPPER(TRIM($D44))="QT. SUFFISANTE","Qt. suffisante",IF($N44="","",IF($L44="MASSE",IF($N44&gt;=1,"Kg","g"),IF($L44="VOLUME",IF($N44&gt;=1,"L","cl"),INDEX($AL$72:$AL$430,$K44))))))</f>
        <v/>
      </c>
      <c r="G44" s="380" t="str">
        <f t="shared" si="1"/>
        <v/>
      </c>
      <c r="H44" s="381" t="str" cm="1">
        <f t="array" ref="H44">IF($B44="","",IF(UPPER(TRIM($D44))="QT. SUFFISANTE","Qt. suffisante",IF($O44="","",IF($L44="MASSE",IF($O44&gt;=1,"Kg","g"),IF($L44="VOLUME",IF($O44&gt;=1,"L","cl"),INDEX($AL$72:$AL$430,$K44))))))</f>
        <v/>
      </c>
      <c r="I44" s="382" t="str" cm="1">
        <f t="array" ref="I44">IF($B44="","",INDEX($AM$72:$AM$430,$K44))</f>
        <v/>
      </c>
      <c r="J44" s="271"/>
      <c r="K44" s="383">
        <f>1+($B$5-1)*36+22</f>
        <v>23</v>
      </c>
      <c r="L44" s="383" t="str" cm="1">
        <f t="array" ref="L44">IF($B44="","",INDEX($AI$72:$AI$430,$K44))</f>
        <v/>
      </c>
      <c r="M44" s="383" t="str" cm="1">
        <f t="array" ref="M44">IF($B44="","",INDEX($AJ$72:$AJ$430,$K44))</f>
        <v/>
      </c>
      <c r="N44" s="384" t="str" cm="1">
        <f t="array" ref="N44">IF(OR($B44="",$B$13="",$B$12="",$B$12=0),"",IF($L$22="AUTRE",IFERROR(INDEX($AK$72:$AK$430,$K44)*($B$13/$B$12),""),IF(OR($C$12="",$C$13=""),"",IFERROR(INDEX($AK$72:$AK$430,$K44)*(($B$13*VLOOKUP($C$13,$AY$74:$BA$119,3,FALSE))/($B$12*VLOOKUP($C$12,$AY$74:$BA$119,3,FALSE))),""))))</f>
        <v/>
      </c>
      <c r="O44" s="384" t="str" cm="1">
        <f t="array" ref="O44">IF(OR($B44="",$G$12="",$G$11="",$G$11=0),"",IFERROR(INDEX($AK$72:$AK$430,$K44)*($G$12/$G$11),""))</f>
        <v/>
      </c>
      <c r="U44" s="640" t="s">
        <v>343</v>
      </c>
      <c r="V44" s="641"/>
      <c r="W44" s="642" t="s">
        <v>8075</v>
      </c>
      <c r="X44" s="642"/>
      <c r="Y44" s="642"/>
      <c r="Z44" s="642"/>
      <c r="AA44" s="643"/>
      <c r="AD44" s="301" t="s">
        <v>8071</v>
      </c>
      <c r="AE44" s="322" t="s">
        <v>8076</v>
      </c>
      <c r="AF44" s="303"/>
      <c r="AG44" s="557" t="s">
        <v>8077</v>
      </c>
      <c r="AH44" s="557"/>
      <c r="AI44" s="311" t="s">
        <v>8078</v>
      </c>
      <c r="AJ44" s="311"/>
      <c r="AK44" s="311"/>
      <c r="AL44" s="311"/>
      <c r="AM44" s="311"/>
      <c r="AN44" s="311"/>
      <c r="AO44" s="311"/>
      <c r="AP44" s="311"/>
      <c r="AQ44" s="311"/>
      <c r="BB44" s="271"/>
      <c r="BC44" s="271"/>
      <c r="BD44" s="279">
        <v>1</v>
      </c>
      <c r="BE44" s="271"/>
      <c r="BF44" s="271"/>
      <c r="BG44" s="271"/>
    </row>
    <row r="45" spans="1:59" ht="20.100000000000001" customHeight="1" x14ac:dyDescent="0.25">
      <c r="A45" s="374" t="str">
        <f>IF($B45="","",23)</f>
        <v/>
      </c>
      <c r="B45" s="375" t="str" cm="1">
        <f t="array" ref="B45">IFERROR(IF(INDEX($AC$72:$AC$430,$K45)="","",INDEX($AC$72:$AC$430,$K45)),"")</f>
        <v/>
      </c>
      <c r="C45" s="376" t="str" cm="1">
        <f t="array" ref="C45">IF($B45="","",INDEX($AG$72:$AG$430,$K45))</f>
        <v/>
      </c>
      <c r="D45" s="377" t="str" cm="1">
        <f t="array" ref="D45">IF($B45="","",INDEX($AH$72:$AH$430,$K45))</f>
        <v/>
      </c>
      <c r="E45" s="378" t="str">
        <f t="shared" si="0"/>
        <v/>
      </c>
      <c r="F45" s="379" t="str" cm="1">
        <f t="array" ref="F45">IF($B45="","",IF(UPPER(TRIM($D45))="QT. SUFFISANTE","Qt. suffisante",IF($N45="","",IF($L45="MASSE",IF($N45&gt;=1,"Kg","g"),IF($L45="VOLUME",IF($N45&gt;=1,"L","cl"),INDEX($AL$72:$AL$430,$K45))))))</f>
        <v/>
      </c>
      <c r="G45" s="380" t="str">
        <f t="shared" si="1"/>
        <v/>
      </c>
      <c r="H45" s="381" t="str" cm="1">
        <f t="array" ref="H45">IF($B45="","",IF(UPPER(TRIM($D45))="QT. SUFFISANTE","Qt. suffisante",IF($O45="","",IF($L45="MASSE",IF($O45&gt;=1,"Kg","g"),IF($L45="VOLUME",IF($O45&gt;=1,"L","cl"),INDEX($AL$72:$AL$430,$K45))))))</f>
        <v/>
      </c>
      <c r="I45" s="382" t="str" cm="1">
        <f t="array" ref="I45">IF($B45="","",INDEX($AM$72:$AM$430,$K45))</f>
        <v/>
      </c>
      <c r="J45" s="271"/>
      <c r="K45" s="383">
        <f>1+($B$5-1)*36+23</f>
        <v>24</v>
      </c>
      <c r="L45" s="383" t="str" cm="1">
        <f t="array" ref="L45">IF($B45="","",INDEX($AI$72:$AI$430,$K45))</f>
        <v/>
      </c>
      <c r="M45" s="383" t="str" cm="1">
        <f t="array" ref="M45">IF($B45="","",INDEX($AJ$72:$AJ$430,$K45))</f>
        <v/>
      </c>
      <c r="N45" s="384" t="str" cm="1">
        <f t="array" ref="N45">IF(OR($B45="",$B$13="",$B$12="",$B$12=0),"",IF($L$22="AUTRE",IFERROR(INDEX($AK$72:$AK$430,$K45)*($B$13/$B$12),""),IF(OR($C$12="",$C$13=""),"",IFERROR(INDEX($AK$72:$AK$430,$K45)*(($B$13*VLOOKUP($C$13,$AY$74:$BA$119,3,FALSE))/($B$12*VLOOKUP($C$12,$AY$74:$BA$119,3,FALSE))),""))))</f>
        <v/>
      </c>
      <c r="O45" s="384" t="str" cm="1">
        <f t="array" ref="O45">IF(OR($B45="",$G$12="",$G$11="",$G$11=0),"",IFERROR(INDEX($AK$72:$AK$430,$K45)*($G$12/$G$11),""))</f>
        <v/>
      </c>
      <c r="U45" s="640"/>
      <c r="V45" s="641"/>
      <c r="W45" s="642"/>
      <c r="X45" s="642"/>
      <c r="Y45" s="642"/>
      <c r="Z45" s="642"/>
      <c r="AA45" s="643"/>
      <c r="AD45" s="301" t="s">
        <v>8071</v>
      </c>
      <c r="AE45" s="322" t="s">
        <v>8079</v>
      </c>
      <c r="AF45" s="303"/>
      <c r="AG45" s="557" t="s">
        <v>8080</v>
      </c>
      <c r="AH45" s="557"/>
      <c r="AI45" s="311" t="s">
        <v>8081</v>
      </c>
      <c r="AJ45" s="311"/>
      <c r="AK45" s="311"/>
      <c r="AL45" s="311"/>
      <c r="AM45" s="311"/>
      <c r="AN45" s="311"/>
      <c r="AO45" s="311"/>
      <c r="AP45" s="311"/>
      <c r="AQ45" s="311"/>
      <c r="BB45" s="271"/>
      <c r="BC45" s="271"/>
      <c r="BD45" s="279">
        <v>1</v>
      </c>
      <c r="BE45" s="271"/>
      <c r="BF45" s="271"/>
      <c r="BG45" s="271"/>
    </row>
    <row r="46" spans="1:59" ht="20.100000000000001" customHeight="1" x14ac:dyDescent="0.25">
      <c r="A46" s="374" t="str">
        <f>IF($B46="","",24)</f>
        <v/>
      </c>
      <c r="B46" s="375" t="str" cm="1">
        <f t="array" ref="B46">IFERROR(IF(INDEX($AC$72:$AC$430,$K46)="","",INDEX($AC$72:$AC$430,$K46)),"")</f>
        <v/>
      </c>
      <c r="C46" s="376" t="str" cm="1">
        <f t="array" ref="C46">IF($B46="","",INDEX($AG$72:$AG$430,$K46))</f>
        <v/>
      </c>
      <c r="D46" s="377" t="str" cm="1">
        <f t="array" ref="D46">IF($B46="","",INDEX($AH$72:$AH$430,$K46))</f>
        <v/>
      </c>
      <c r="E46" s="378" t="str">
        <f t="shared" si="0"/>
        <v/>
      </c>
      <c r="F46" s="379" t="str" cm="1">
        <f t="array" ref="F46">IF($B46="","",IF(UPPER(TRIM($D46))="QT. SUFFISANTE","Qt. suffisante",IF($N46="","",IF($L46="MASSE",IF($N46&gt;=1,"Kg","g"),IF($L46="VOLUME",IF($N46&gt;=1,"L","cl"),INDEX($AL$72:$AL$430,$K46))))))</f>
        <v/>
      </c>
      <c r="G46" s="380" t="str">
        <f t="shared" si="1"/>
        <v/>
      </c>
      <c r="H46" s="381" t="str" cm="1">
        <f t="array" ref="H46">IF($B46="","",IF(UPPER(TRIM($D46))="QT. SUFFISANTE","Qt. suffisante",IF($O46="","",IF($L46="MASSE",IF($O46&gt;=1,"Kg","g"),IF($L46="VOLUME",IF($O46&gt;=1,"L","cl"),INDEX($AL$72:$AL$430,$K46))))))</f>
        <v/>
      </c>
      <c r="I46" s="382" t="str" cm="1">
        <f t="array" ref="I46">IF($B46="","",INDEX($AM$72:$AM$430,$K46))</f>
        <v/>
      </c>
      <c r="J46" s="271"/>
      <c r="K46" s="383">
        <f>1+($B$5-1)*36+24</f>
        <v>25</v>
      </c>
      <c r="L46" s="383" t="str" cm="1">
        <f t="array" ref="L46">IF($B46="","",INDEX($AI$72:$AI$430,$K46))</f>
        <v/>
      </c>
      <c r="M46" s="383" t="str" cm="1">
        <f t="array" ref="M46">IF($B46="","",INDEX($AJ$72:$AJ$430,$K46))</f>
        <v/>
      </c>
      <c r="N46" s="384" t="str" cm="1">
        <f t="array" ref="N46">IF(OR($B46="",$B$13="",$B$12="",$B$12=0),"",IF($L$22="AUTRE",IFERROR(INDEX($AK$72:$AK$430,$K46)*($B$13/$B$12),""),IF(OR($C$12="",$C$13=""),"",IFERROR(INDEX($AK$72:$AK$430,$K46)*(($B$13*VLOOKUP($C$13,$AY$74:$BA$119,3,FALSE))/($B$12*VLOOKUP($C$12,$AY$74:$BA$119,3,FALSE))),""))))</f>
        <v/>
      </c>
      <c r="O46" s="384" t="str" cm="1">
        <f t="array" ref="O46">IF(OR($B46="",$G$12="",$G$11="",$G$11=0),"",IFERROR(INDEX($AK$72:$AK$430,$K46)*($G$12/$G$11),""))</f>
        <v/>
      </c>
      <c r="U46" s="156"/>
      <c r="V46" s="156"/>
      <c r="W46" s="156"/>
      <c r="X46" s="156"/>
      <c r="Y46" s="156"/>
      <c r="Z46" s="156"/>
      <c r="AA46" s="156"/>
      <c r="AD46" s="412" t="s">
        <v>8082</v>
      </c>
      <c r="AE46" s="413" t="s">
        <v>8035</v>
      </c>
      <c r="AF46" s="414"/>
      <c r="AG46" s="658" t="s">
        <v>33</v>
      </c>
      <c r="AH46" s="658"/>
      <c r="AI46" s="415" t="s">
        <v>8083</v>
      </c>
      <c r="AJ46" s="415"/>
      <c r="AK46" s="415"/>
      <c r="AL46" s="415"/>
      <c r="AM46" s="415"/>
      <c r="AN46" s="415"/>
      <c r="AO46" s="415"/>
      <c r="AP46" s="415"/>
      <c r="AQ46" s="415"/>
      <c r="AY46" s="416" t="s">
        <v>8084</v>
      </c>
      <c r="AZ46" s="220"/>
      <c r="BA46" s="220"/>
      <c r="BB46" s="220"/>
      <c r="BC46" s="271"/>
      <c r="BD46" s="279">
        <v>1</v>
      </c>
      <c r="BE46" s="271"/>
      <c r="BF46" s="271"/>
      <c r="BG46" s="271"/>
    </row>
    <row r="47" spans="1:59" ht="20.100000000000001" customHeight="1" x14ac:dyDescent="0.25">
      <c r="A47" s="374" t="str">
        <f>IF($B47="","",25)</f>
        <v/>
      </c>
      <c r="B47" s="375" t="str" cm="1">
        <f t="array" ref="B47">IFERROR(IF(INDEX($AC$72:$AC$430,$K47)="","",INDEX($AC$72:$AC$430,$K47)),"")</f>
        <v/>
      </c>
      <c r="C47" s="376" t="str" cm="1">
        <f t="array" ref="C47">IF($B47="","",INDEX($AG$72:$AG$430,$K47))</f>
        <v/>
      </c>
      <c r="D47" s="377" t="str" cm="1">
        <f t="array" ref="D47">IF($B47="","",INDEX($AH$72:$AH$430,$K47))</f>
        <v/>
      </c>
      <c r="E47" s="378" t="str">
        <f t="shared" si="0"/>
        <v/>
      </c>
      <c r="F47" s="379" t="str" cm="1">
        <f t="array" ref="F47">IF($B47="","",IF(UPPER(TRIM($D47))="QT. SUFFISANTE","Qt. suffisante",IF($N47="","",IF($L47="MASSE",IF($N47&gt;=1,"Kg","g"),IF($L47="VOLUME",IF($N47&gt;=1,"L","cl"),INDEX($AL$72:$AL$430,$K47))))))</f>
        <v/>
      </c>
      <c r="G47" s="380" t="str">
        <f t="shared" si="1"/>
        <v/>
      </c>
      <c r="H47" s="381" t="str" cm="1">
        <f t="array" ref="H47">IF($B47="","",IF(UPPER(TRIM($D47))="QT. SUFFISANTE","Qt. suffisante",IF($O47="","",IF($L47="MASSE",IF($O47&gt;=1,"Kg","g"),IF($L47="VOLUME",IF($O47&gt;=1,"L","cl"),INDEX($AL$72:$AL$430,$K47))))))</f>
        <v/>
      </c>
      <c r="I47" s="382" t="str" cm="1">
        <f t="array" ref="I47">IF($B47="","",INDEX($AM$72:$AM$430,$K47))</f>
        <v/>
      </c>
      <c r="J47" s="271"/>
      <c r="K47" s="383">
        <f>1+($B$5-1)*36+25</f>
        <v>26</v>
      </c>
      <c r="L47" s="383" t="str" cm="1">
        <f t="array" ref="L47">IF($B47="","",INDEX($AI$72:$AI$430,$K47))</f>
        <v/>
      </c>
      <c r="M47" s="383" t="str" cm="1">
        <f t="array" ref="M47">IF($B47="","",INDEX($AJ$72:$AJ$430,$K47))</f>
        <v/>
      </c>
      <c r="N47" s="384" t="str" cm="1">
        <f t="array" ref="N47">IF(OR($B47="",$B$13="",$B$12="",$B$12=0),"",IF($L$22="AUTRE",IFERROR(INDEX($AK$72:$AK$430,$K47)*($B$13/$B$12),""),IF(OR($C$12="",$C$13=""),"",IFERROR(INDEX($AK$72:$AK$430,$K47)*(($B$13*VLOOKUP($C$13,$AY$74:$BA$119,3,FALSE))/($B$12*VLOOKUP($C$12,$AY$74:$BA$119,3,FALSE))),""))))</f>
        <v/>
      </c>
      <c r="O47" s="384" t="str" cm="1">
        <f t="array" ref="O47">IF(OR($B47="",$G$12="",$G$11="",$G$11=0),"",IFERROR(INDEX($AK$72:$AK$430,$K47)*($G$12/$G$11),""))</f>
        <v/>
      </c>
      <c r="U47" s="156"/>
      <c r="V47" s="156"/>
      <c r="W47" s="156"/>
      <c r="X47" s="156"/>
      <c r="Y47" s="156"/>
      <c r="Z47" s="156"/>
      <c r="AA47" s="156"/>
      <c r="AY47" s="28" t="s">
        <v>21</v>
      </c>
      <c r="AZ47" s="417" t="s">
        <v>35</v>
      </c>
      <c r="BA47" s="418">
        <v>2.835E-2</v>
      </c>
      <c r="BB47" s="419" t="s">
        <v>36</v>
      </c>
      <c r="BC47" s="271"/>
      <c r="BD47" s="279">
        <v>1</v>
      </c>
      <c r="BE47" s="271"/>
      <c r="BF47" s="271"/>
      <c r="BG47" s="271"/>
    </row>
    <row r="48" spans="1:59" ht="20.100000000000001" customHeight="1" x14ac:dyDescent="0.25">
      <c r="A48" s="374" t="str">
        <f>IF($B48="","",26)</f>
        <v/>
      </c>
      <c r="B48" s="375" t="str" cm="1">
        <f t="array" ref="B48">IFERROR(IF(INDEX($AC$72:$AC$430,$K48)="","",INDEX($AC$72:$AC$430,$K48)),"")</f>
        <v/>
      </c>
      <c r="C48" s="376" t="str" cm="1">
        <f t="array" ref="C48">IF($B48="","",INDEX($AG$72:$AG$430,$K48))</f>
        <v/>
      </c>
      <c r="D48" s="377" t="str" cm="1">
        <f t="array" ref="D48">IF($B48="","",INDEX($AH$72:$AH$430,$K48))</f>
        <v/>
      </c>
      <c r="E48" s="378" t="str">
        <f t="shared" si="0"/>
        <v/>
      </c>
      <c r="F48" s="379" t="str" cm="1">
        <f t="array" ref="F48">IF($B48="","",IF(UPPER(TRIM($D48))="QT. SUFFISANTE","Qt. suffisante",IF($N48="","",IF($L48="MASSE",IF($N48&gt;=1,"Kg","g"),IF($L48="VOLUME",IF($N48&gt;=1,"L","cl"),INDEX($AL$72:$AL$430,$K48))))))</f>
        <v/>
      </c>
      <c r="G48" s="380" t="str">
        <f t="shared" si="1"/>
        <v/>
      </c>
      <c r="H48" s="381" t="str" cm="1">
        <f t="array" ref="H48">IF($B48="","",IF(UPPER(TRIM($D48))="QT. SUFFISANTE","Qt. suffisante",IF($O48="","",IF($L48="MASSE",IF($O48&gt;=1,"Kg","g"),IF($L48="VOLUME",IF($O48&gt;=1,"L","cl"),INDEX($AL$72:$AL$430,$K48))))))</f>
        <v/>
      </c>
      <c r="I48" s="382" t="str" cm="1">
        <f t="array" ref="I48">IF($B48="","",INDEX($AM$72:$AM$430,$K48))</f>
        <v/>
      </c>
      <c r="J48" s="271"/>
      <c r="K48" s="383">
        <f>1+($B$5-1)*36+26</f>
        <v>27</v>
      </c>
      <c r="L48" s="383" t="str" cm="1">
        <f t="array" ref="L48">IF($B48="","",INDEX($AI$72:$AI$430,$K48))</f>
        <v/>
      </c>
      <c r="M48" s="383" t="str" cm="1">
        <f t="array" ref="M48">IF($B48="","",INDEX($AJ$72:$AJ$430,$K48))</f>
        <v/>
      </c>
      <c r="N48" s="384" t="str" cm="1">
        <f t="array" ref="N48">IF(OR($B48="",$B$13="",$B$12="",$B$12=0),"",IF($L$22="AUTRE",IFERROR(INDEX($AK$72:$AK$430,$K48)*($B$13/$B$12),""),IF(OR($C$12="",$C$13=""),"",IFERROR(INDEX($AK$72:$AK$430,$K48)*(($B$13*VLOOKUP($C$13,$AY$74:$BA$119,3,FALSE))/($B$12*VLOOKUP($C$12,$AY$74:$BA$119,3,FALSE))),""))))</f>
        <v/>
      </c>
      <c r="O48" s="384" t="str" cm="1">
        <f t="array" ref="O48">IF(OR($B48="",$G$12="",$G$11="",$G$11=0),"",IFERROR(INDEX($AK$72:$AK$430,$K48)*($G$12/$G$11),""))</f>
        <v/>
      </c>
      <c r="U48" s="156"/>
      <c r="V48" s="156"/>
      <c r="W48" s="156"/>
      <c r="X48" s="156"/>
      <c r="Y48" s="156"/>
      <c r="Z48" s="156"/>
      <c r="AA48" s="156"/>
      <c r="AD48" s="10" t="s">
        <v>8171</v>
      </c>
      <c r="AY48" s="28" t="s">
        <v>22</v>
      </c>
      <c r="AZ48" s="417" t="s">
        <v>35</v>
      </c>
      <c r="BA48" s="418">
        <v>0.13</v>
      </c>
      <c r="BB48" s="419" t="s">
        <v>36</v>
      </c>
      <c r="BC48" s="271"/>
      <c r="BD48" s="279">
        <v>1</v>
      </c>
      <c r="BE48" s="271"/>
      <c r="BF48" s="271"/>
      <c r="BG48" s="271"/>
    </row>
    <row r="49" spans="1:64" ht="20.100000000000001" customHeight="1" x14ac:dyDescent="0.25">
      <c r="A49" s="374" t="str">
        <f>IF($B49="","",27)</f>
        <v/>
      </c>
      <c r="B49" s="375" t="str" cm="1">
        <f t="array" ref="B49">IFERROR(IF(INDEX($AC$72:$AC$430,$K49)="","",INDEX($AC$72:$AC$430,$K49)),"")</f>
        <v/>
      </c>
      <c r="C49" s="376" t="str" cm="1">
        <f t="array" ref="C49">IF($B49="","",INDEX($AG$72:$AG$430,$K49))</f>
        <v/>
      </c>
      <c r="D49" s="377" t="str" cm="1">
        <f t="array" ref="D49">IF($B49="","",INDEX($AH$72:$AH$430,$K49))</f>
        <v/>
      </c>
      <c r="E49" s="378" t="str">
        <f t="shared" si="0"/>
        <v/>
      </c>
      <c r="F49" s="379" t="str" cm="1">
        <f t="array" ref="F49">IF($B49="","",IF(UPPER(TRIM($D49))="QT. SUFFISANTE","Qt. suffisante",IF($N49="","",IF($L49="MASSE",IF($N49&gt;=1,"Kg","g"),IF($L49="VOLUME",IF($N49&gt;=1,"L","cl"),INDEX($AL$72:$AL$430,$K49))))))</f>
        <v/>
      </c>
      <c r="G49" s="380" t="str">
        <f t="shared" si="1"/>
        <v/>
      </c>
      <c r="H49" s="381" t="str" cm="1">
        <f t="array" ref="H49">IF($B49="","",IF(UPPER(TRIM($D49))="QT. SUFFISANTE","Qt. suffisante",IF($O49="","",IF($L49="MASSE",IF($O49&gt;=1,"Kg","g"),IF($L49="VOLUME",IF($O49&gt;=1,"L","cl"),INDEX($AL$72:$AL$430,$K49))))))</f>
        <v/>
      </c>
      <c r="I49" s="382" t="str" cm="1">
        <f t="array" ref="I49">IF($B49="","",INDEX($AM$72:$AM$430,$K49))</f>
        <v/>
      </c>
      <c r="J49" s="271"/>
      <c r="K49" s="383">
        <f>1+($B$5-1)*36+27</f>
        <v>28</v>
      </c>
      <c r="L49" s="383" t="str" cm="1">
        <f t="array" ref="L49">IF($B49="","",INDEX($AI$72:$AI$430,$K49))</f>
        <v/>
      </c>
      <c r="M49" s="383" t="str" cm="1">
        <f t="array" ref="M49">IF($B49="","",INDEX($AJ$72:$AJ$430,$K49))</f>
        <v/>
      </c>
      <c r="N49" s="384" t="str" cm="1">
        <f t="array" ref="N49">IF(OR($B49="",$B$13="",$B$12="",$B$12=0),"",IF($L$22="AUTRE",IFERROR(INDEX($AK$72:$AK$430,$K49)*($B$13/$B$12),""),IF(OR($C$12="",$C$13=""),"",IFERROR(INDEX($AK$72:$AK$430,$K49)*(($B$13*VLOOKUP($C$13,$AY$74:$BA$119,3,FALSE))/($B$12*VLOOKUP($C$12,$AY$74:$BA$119,3,FALSE))),""))))</f>
        <v/>
      </c>
      <c r="O49" s="384" t="str" cm="1">
        <f t="array" ref="O49">IF(OR($B49="",$G$12="",$G$11="",$G$11=0),"",IFERROR(INDEX($AK$72:$AK$430,$K49)*($G$12/$G$11),""))</f>
        <v/>
      </c>
      <c r="U49" s="156"/>
      <c r="V49" s="156"/>
      <c r="W49" s="156"/>
      <c r="X49" s="156"/>
      <c r="Y49" s="156"/>
      <c r="Z49" s="156"/>
      <c r="AA49" s="156"/>
      <c r="AD49" s="2" t="s">
        <v>1</v>
      </c>
      <c r="AY49" s="28" t="s">
        <v>23</v>
      </c>
      <c r="AZ49" s="417" t="s">
        <v>35</v>
      </c>
      <c r="BA49" s="418">
        <v>0.2</v>
      </c>
      <c r="BB49" s="419" t="s">
        <v>36</v>
      </c>
      <c r="BC49" s="271"/>
      <c r="BD49" s="279">
        <v>1</v>
      </c>
      <c r="BE49" s="271"/>
      <c r="BF49" s="271"/>
      <c r="BG49" s="271"/>
    </row>
    <row r="50" spans="1:64" ht="20.100000000000001" customHeight="1" x14ac:dyDescent="0.25">
      <c r="A50" s="374" t="str">
        <f>IF($B50="","",28)</f>
        <v/>
      </c>
      <c r="B50" s="375" t="str" cm="1">
        <f t="array" ref="B50">IFERROR(IF(INDEX($AC$72:$AC$430,$K50)="","",INDEX($AC$72:$AC$430,$K50)),"")</f>
        <v/>
      </c>
      <c r="C50" s="376" t="str" cm="1">
        <f t="array" ref="C50">IF($B50="","",INDEX($AG$72:$AG$430,$K50))</f>
        <v/>
      </c>
      <c r="D50" s="377" t="str" cm="1">
        <f t="array" ref="D50">IF($B50="","",INDEX($AH$72:$AH$430,$K50))</f>
        <v/>
      </c>
      <c r="E50" s="378" t="str">
        <f t="shared" si="0"/>
        <v/>
      </c>
      <c r="F50" s="379" t="str" cm="1">
        <f t="array" ref="F50">IF($B50="","",IF(UPPER(TRIM($D50))="QT. SUFFISANTE","Qt. suffisante",IF($N50="","",IF($L50="MASSE",IF($N50&gt;=1,"Kg","g"),IF($L50="VOLUME",IF($N50&gt;=1,"L","cl"),INDEX($AL$72:$AL$430,$K50))))))</f>
        <v/>
      </c>
      <c r="G50" s="380" t="str">
        <f t="shared" si="1"/>
        <v/>
      </c>
      <c r="H50" s="381" t="str" cm="1">
        <f t="array" ref="H50">IF($B50="","",IF(UPPER(TRIM($D50))="QT. SUFFISANTE","Qt. suffisante",IF($O50="","",IF($L50="MASSE",IF($O50&gt;=1,"Kg","g"),IF($L50="VOLUME",IF($O50&gt;=1,"L","cl"),INDEX($AL$72:$AL$430,$K50))))))</f>
        <v/>
      </c>
      <c r="I50" s="382" t="str" cm="1">
        <f t="array" ref="I50">IF($B50="","",INDEX($AM$72:$AM$430,$K50))</f>
        <v/>
      </c>
      <c r="J50" s="271"/>
      <c r="K50" s="383">
        <f>1+($B$5-1)*36+28</f>
        <v>29</v>
      </c>
      <c r="L50" s="383" t="str" cm="1">
        <f t="array" ref="L50">IF($B50="","",INDEX($AI$72:$AI$430,$K50))</f>
        <v/>
      </c>
      <c r="M50" s="383" t="str" cm="1">
        <f t="array" ref="M50">IF($B50="","",INDEX($AJ$72:$AJ$430,$K50))</f>
        <v/>
      </c>
      <c r="N50" s="384" t="str" cm="1">
        <f t="array" ref="N50">IF(OR($B50="",$B$13="",$B$12="",$B$12=0),"",IF($L$22="AUTRE",IFERROR(INDEX($AK$72:$AK$430,$K50)*($B$13/$B$12),""),IF(OR($C$12="",$C$13=""),"",IFERROR(INDEX($AK$72:$AK$430,$K50)*(($B$13*VLOOKUP($C$13,$AY$74:$BA$119,3,FALSE))/($B$12*VLOOKUP($C$12,$AY$74:$BA$119,3,FALSE))),""))))</f>
        <v/>
      </c>
      <c r="O50" s="384" t="str" cm="1">
        <f t="array" ref="O50">IF(OR($B50="",$G$12="",$G$11="",$G$11=0),"",IFERROR(INDEX($AK$72:$AK$430,$K50)*($G$12/$G$11),""))</f>
        <v/>
      </c>
      <c r="U50" s="156"/>
      <c r="V50" s="156"/>
      <c r="W50" s="156"/>
      <c r="X50" s="156"/>
      <c r="Y50" s="156"/>
      <c r="Z50" s="156"/>
      <c r="AA50" s="156"/>
      <c r="AD50" s="2" t="s">
        <v>8219</v>
      </c>
      <c r="AY50" s="28" t="s">
        <v>24</v>
      </c>
      <c r="AZ50" s="417" t="s">
        <v>35</v>
      </c>
      <c r="BA50" s="418">
        <v>0.23</v>
      </c>
      <c r="BB50" s="419" t="s">
        <v>36</v>
      </c>
      <c r="BC50" s="271"/>
      <c r="BD50" s="279">
        <v>1</v>
      </c>
      <c r="BE50" s="271"/>
      <c r="BF50" s="271"/>
      <c r="BG50" s="271"/>
    </row>
    <row r="51" spans="1:64" ht="23.1" customHeight="1" x14ac:dyDescent="0.25">
      <c r="A51" s="374" t="str">
        <f>IF($B51="","",29)</f>
        <v/>
      </c>
      <c r="B51" s="375" t="str" cm="1">
        <f t="array" ref="B51">IFERROR(IF(INDEX($AC$72:$AC$430,$K51)="","",INDEX($AC$72:$AC$430,$K51)),"")</f>
        <v/>
      </c>
      <c r="C51" s="376" t="str" cm="1">
        <f t="array" ref="C51">IF($B51="","",INDEX($AG$72:$AG$430,$K51))</f>
        <v/>
      </c>
      <c r="D51" s="377" t="str" cm="1">
        <f t="array" ref="D51">IF($B51="","",INDEX($AH$72:$AH$430,$K51))</f>
        <v/>
      </c>
      <c r="E51" s="378" t="str">
        <f t="shared" si="0"/>
        <v/>
      </c>
      <c r="F51" s="379" t="str" cm="1">
        <f t="array" ref="F51">IF($B51="","",IF(UPPER(TRIM($D51))="QT. SUFFISANTE","Qt. suffisante",IF($N51="","",IF($L51="MASSE",IF($N51&gt;=1,"Kg","g"),IF($L51="VOLUME",IF($N51&gt;=1,"L","cl"),INDEX($AL$72:$AL$430,$K51))))))</f>
        <v/>
      </c>
      <c r="G51" s="380" t="str">
        <f t="shared" si="1"/>
        <v/>
      </c>
      <c r="H51" s="381" t="str" cm="1">
        <f t="array" ref="H51">IF($B51="","",IF(UPPER(TRIM($D51))="QT. SUFFISANTE","Qt. suffisante",IF($O51="","",IF($L51="MASSE",IF($O51&gt;=1,"Kg","g"),IF($L51="VOLUME",IF($O51&gt;=1,"L","cl"),INDEX($AL$72:$AL$430,$K51))))))</f>
        <v/>
      </c>
      <c r="I51" s="382" t="str" cm="1">
        <f t="array" ref="I51">IF($B51="","",INDEX($AM$72:$AM$430,$K51))</f>
        <v/>
      </c>
      <c r="J51" s="271"/>
      <c r="K51" s="383">
        <f>1+($B$5-1)*36+29</f>
        <v>30</v>
      </c>
      <c r="L51" s="383" t="str" cm="1">
        <f t="array" ref="L51">IF($B51="","",INDEX($AI$72:$AI$430,$K51))</f>
        <v/>
      </c>
      <c r="M51" s="383" t="str" cm="1">
        <f t="array" ref="M51">IF($B51="","",INDEX($AJ$72:$AJ$430,$K51))</f>
        <v/>
      </c>
      <c r="N51" s="384" t="str" cm="1">
        <f t="array" ref="N51">IF(OR($B51="",$B$13="",$B$12="",$B$12=0),"",IF($L$22="AUTRE",IFERROR(INDEX($AK$72:$AK$430,$K51)*($B$13/$B$12),""),IF(OR($C$12="",$C$13=""),"",IFERROR(INDEX($AK$72:$AK$430,$K51)*(($B$13*VLOOKUP($C$13,$AY$74:$BA$119,3,FALSE))/($B$12*VLOOKUP($C$12,$AY$74:$BA$119,3,FALSE))),""))))</f>
        <v/>
      </c>
      <c r="O51" s="384" t="str" cm="1">
        <f t="array" ref="O51">IF(OR($B51="",$G$12="",$G$11="",$G$11=0),"",IFERROR(INDEX($AK$72:$AK$430,$K51)*($G$12/$G$11),""))</f>
        <v/>
      </c>
      <c r="U51" s="156"/>
      <c r="V51" s="156"/>
      <c r="W51" s="156"/>
      <c r="X51" s="156"/>
      <c r="Y51" s="156"/>
      <c r="Z51" s="156"/>
      <c r="AA51" s="156"/>
      <c r="AY51" s="31" t="s">
        <v>25</v>
      </c>
      <c r="AZ51" s="417" t="s">
        <v>37</v>
      </c>
      <c r="BA51" s="418">
        <v>0.22500000000000001</v>
      </c>
      <c r="BB51" s="419" t="s">
        <v>9</v>
      </c>
      <c r="BC51" s="271"/>
      <c r="BD51" s="279">
        <v>1</v>
      </c>
      <c r="BE51" s="271"/>
      <c r="BF51" s="271"/>
      <c r="BG51" s="271"/>
    </row>
    <row r="52" spans="1:64" ht="21" customHeight="1" x14ac:dyDescent="0.25">
      <c r="A52" s="374" t="str">
        <f>IF($B52="","",30)</f>
        <v/>
      </c>
      <c r="B52" s="375" t="str" cm="1">
        <f t="array" ref="B52">IFERROR(IF(INDEX($AC$72:$AC$430,$K52)="","",INDEX($AC$72:$AC$430,$K52)),"")</f>
        <v/>
      </c>
      <c r="C52" s="376" t="str" cm="1">
        <f t="array" ref="C52">IF($B52="","",INDEX($AG$72:$AG$430,$K52))</f>
        <v/>
      </c>
      <c r="D52" s="377" t="str" cm="1">
        <f t="array" ref="D52">IF($B52="","",INDEX($AH$72:$AH$430,$K52))</f>
        <v/>
      </c>
      <c r="E52" s="378" t="str">
        <f t="shared" si="0"/>
        <v/>
      </c>
      <c r="F52" s="379" t="str" cm="1">
        <f t="array" ref="F52">IF($B52="","",IF(UPPER(TRIM($D52))="QT. SUFFISANTE","Qt. suffisante",IF($N52="","",IF($L52="MASSE",IF($N52&gt;=1,"Kg","g"),IF($L52="VOLUME",IF($N52&gt;=1,"L","cl"),INDEX($AL$72:$AL$430,$K52))))))</f>
        <v/>
      </c>
      <c r="G52" s="380" t="str">
        <f t="shared" si="1"/>
        <v/>
      </c>
      <c r="H52" s="381" t="str" cm="1">
        <f t="array" ref="H52">IF($B52="","",IF(UPPER(TRIM($D52))="QT. SUFFISANTE","Qt. suffisante",IF($O52="","",IF($L52="MASSE",IF($O52&gt;=1,"Kg","g"),IF($L52="VOLUME",IF($O52&gt;=1,"L","cl"),INDEX($AL$72:$AL$430,$K52))))))</f>
        <v/>
      </c>
      <c r="I52" s="382" t="str" cm="1">
        <f t="array" ref="I52">IF($B52="","",INDEX($AM$72:$AM$430,$K52))</f>
        <v/>
      </c>
      <c r="J52" s="271"/>
      <c r="K52" s="383">
        <f>1+($B$5-1)*36+30</f>
        <v>31</v>
      </c>
      <c r="L52" s="383" t="str" cm="1">
        <f t="array" ref="L52">IF($B52="","",INDEX($AI$72:$AI$430,$K52))</f>
        <v/>
      </c>
      <c r="M52" s="383" t="str" cm="1">
        <f t="array" ref="M52">IF($B52="","",INDEX($AJ$72:$AJ$430,$K52))</f>
        <v/>
      </c>
      <c r="N52" s="384" t="str" cm="1">
        <f t="array" ref="N52">IF(OR($B52="",$B$13="",$B$12="",$B$12=0),"",IF($L$22="AUTRE",IFERROR(INDEX($AK$72:$AK$430,$K52)*($B$13/$B$12),""),IF(OR($C$12="",$C$13=""),"",IFERROR(INDEX($AK$72:$AK$430,$K52)*(($B$13*VLOOKUP($C$13,$AY$74:$BA$119,3,FALSE))/($B$12*VLOOKUP($C$12,$AY$74:$BA$119,3,FALSE))),""))))</f>
        <v/>
      </c>
      <c r="O52" s="384" t="str" cm="1">
        <f t="array" ref="O52">IF(OR($B52="",$G$12="",$G$11="",$G$11=0),"",IFERROR(INDEX($AK$72:$AK$430,$K52)*($G$12/$G$11),""))</f>
        <v/>
      </c>
      <c r="U52" s="156"/>
      <c r="V52" s="156"/>
      <c r="W52" s="156"/>
      <c r="X52" s="156"/>
      <c r="Y52" s="156"/>
      <c r="Z52" s="156"/>
      <c r="AA52" s="156"/>
      <c r="AY52" s="31" t="s">
        <v>26</v>
      </c>
      <c r="AZ52" s="417" t="s">
        <v>37</v>
      </c>
      <c r="BA52" s="418">
        <v>0.35</v>
      </c>
      <c r="BB52" s="419" t="s">
        <v>9</v>
      </c>
      <c r="BC52" s="271"/>
      <c r="BD52" s="279">
        <v>1</v>
      </c>
      <c r="BE52" s="271"/>
      <c r="BF52" s="271"/>
      <c r="BG52" s="271"/>
    </row>
    <row r="53" spans="1:64" ht="21" customHeight="1" x14ac:dyDescent="0.25">
      <c r="A53" s="374" t="str">
        <f>IF($B53="","",31)</f>
        <v/>
      </c>
      <c r="B53" s="375" t="str" cm="1">
        <f t="array" ref="B53">IFERROR(IF(INDEX($AC$72:$AC$430,$K53)="","",INDEX($AC$72:$AC$430,$K53)),"")</f>
        <v/>
      </c>
      <c r="C53" s="376" t="str" cm="1">
        <f t="array" ref="C53">IF($B53="","",INDEX($AG$72:$AG$430,$K53))</f>
        <v/>
      </c>
      <c r="D53" s="377" t="str" cm="1">
        <f t="array" ref="D53">IF($B53="","",INDEX($AH$72:$AH$430,$K53))</f>
        <v/>
      </c>
      <c r="E53" s="378" t="str">
        <f t="shared" si="0"/>
        <v/>
      </c>
      <c r="F53" s="379" t="str" cm="1">
        <f t="array" ref="F53">IF($B53="","",IF(UPPER(TRIM($D53))="QT. SUFFISANTE","Qt. suffisante",IF($N53="","",IF($L53="MASSE",IF($N53&gt;=1,"Kg","g"),IF($L53="VOLUME",IF($N53&gt;=1,"L","cl"),INDEX($AL$72:$AL$430,$K53))))))</f>
        <v/>
      </c>
      <c r="G53" s="380" t="str">
        <f t="shared" si="1"/>
        <v/>
      </c>
      <c r="H53" s="381" t="str" cm="1">
        <f t="array" ref="H53">IF($B53="","",IF(UPPER(TRIM($D53))="QT. SUFFISANTE","Qt. suffisante",IF($O53="","",IF($L53="MASSE",IF($O53&gt;=1,"Kg","g"),IF($L53="VOLUME",IF($O53&gt;=1,"L","cl"),INDEX($AL$72:$AL$430,$K53))))))</f>
        <v/>
      </c>
      <c r="I53" s="382" t="str" cm="1">
        <f t="array" ref="I53">IF($B53="","",INDEX($AM$72:$AM$430,$K53))</f>
        <v/>
      </c>
      <c r="J53" s="271"/>
      <c r="K53" s="383">
        <f>1+($B$5-1)*36+31</f>
        <v>32</v>
      </c>
      <c r="L53" s="383" t="str" cm="1">
        <f t="array" ref="L53">IF($B53="","",INDEX($AI$72:$AI$430,$K53))</f>
        <v/>
      </c>
      <c r="M53" s="383" t="str" cm="1">
        <f t="array" ref="M53">IF($B53="","",INDEX($AJ$72:$AJ$430,$K53))</f>
        <v/>
      </c>
      <c r="N53" s="384" t="str" cm="1">
        <f t="array" ref="N53">IF(OR($B53="",$B$13="",$B$12="",$B$12=0),"",IF($L$22="AUTRE",IFERROR(INDEX($AK$72:$AK$430,$K53)*($B$13/$B$12),""),IF(OR($C$12="",$C$13=""),"",IFERROR(INDEX($AK$72:$AK$430,$K53)*(($B$13*VLOOKUP($C$13,$AY$74:$BA$119,3,FALSE))/($B$12*VLOOKUP($C$12,$AY$74:$BA$119,3,FALSE))),""))))</f>
        <v/>
      </c>
      <c r="O53" s="384" t="str" cm="1">
        <f t="array" ref="O53">IF(OR($B53="",$G$12="",$G$11="",$G$11=0),"",IFERROR(INDEX($AK$72:$AK$430,$K53)*($G$12/$G$11),""))</f>
        <v/>
      </c>
      <c r="U53" s="420" t="s">
        <v>7905</v>
      </c>
      <c r="V53" s="421"/>
      <c r="W53" s="421" t="s">
        <v>8085</v>
      </c>
      <c r="X53" s="421"/>
      <c r="Y53" s="421"/>
      <c r="Z53" s="421"/>
      <c r="AA53" s="421"/>
      <c r="AY53" s="31" t="s">
        <v>31</v>
      </c>
      <c r="AZ53" s="417" t="s">
        <v>37</v>
      </c>
      <c r="BA53" s="418">
        <v>0.22500000000000001</v>
      </c>
      <c r="BB53" s="419" t="s">
        <v>9</v>
      </c>
      <c r="BC53" s="271"/>
      <c r="BD53" s="279">
        <v>1</v>
      </c>
      <c r="BE53" s="271"/>
      <c r="BF53" s="271"/>
      <c r="BG53" s="271"/>
    </row>
    <row r="54" spans="1:64" ht="21" customHeight="1" x14ac:dyDescent="0.25">
      <c r="A54" s="374" t="str">
        <f>IF($B54="","",32)</f>
        <v/>
      </c>
      <c r="B54" s="375" t="str" cm="1">
        <f t="array" ref="B54">IFERROR(IF(INDEX($AC$72:$AC$430,$K54)="","",INDEX($AC$72:$AC$430,$K54)),"")</f>
        <v/>
      </c>
      <c r="C54" s="376" t="str" cm="1">
        <f t="array" ref="C54">IF($B54="","",INDEX($AG$72:$AG$430,$K54))</f>
        <v/>
      </c>
      <c r="D54" s="377" t="str" cm="1">
        <f t="array" ref="D54">IF($B54="","",INDEX($AH$72:$AH$430,$K54))</f>
        <v/>
      </c>
      <c r="E54" s="378" t="str">
        <f t="shared" si="0"/>
        <v/>
      </c>
      <c r="F54" s="379" t="str" cm="1">
        <f t="array" ref="F54">IF($B54="","",IF(UPPER(TRIM($D54))="QT. SUFFISANTE","Qt. suffisante",IF($N54="","",IF($L54="MASSE",IF($N54&gt;=1,"Kg","g"),IF($L54="VOLUME",IF($N54&gt;=1,"L","cl"),INDEX($AL$72:$AL$430,$K54))))))</f>
        <v/>
      </c>
      <c r="G54" s="380" t="str">
        <f t="shared" si="1"/>
        <v/>
      </c>
      <c r="H54" s="381" t="str" cm="1">
        <f t="array" ref="H54">IF($B54="","",IF(UPPER(TRIM($D54))="QT. SUFFISANTE","Qt. suffisante",IF($O54="","",IF($L54="MASSE",IF($O54&gt;=1,"Kg","g"),IF($L54="VOLUME",IF($O54&gt;=1,"L","cl"),INDEX($AL$72:$AL$430,$K54))))))</f>
        <v/>
      </c>
      <c r="I54" s="382" t="str" cm="1">
        <f t="array" ref="I54">IF($B54="","",INDEX($AM$72:$AM$430,$K54))</f>
        <v/>
      </c>
      <c r="J54" s="271"/>
      <c r="K54" s="383">
        <f>1+($B$5-1)*36+32</f>
        <v>33</v>
      </c>
      <c r="L54" s="383" t="str" cm="1">
        <f t="array" ref="L54">IF($B54="","",INDEX($AI$72:$AI$430,$K54))</f>
        <v/>
      </c>
      <c r="M54" s="383" t="str" cm="1">
        <f t="array" ref="M54">IF($B54="","",INDEX($AJ$72:$AJ$430,$K54))</f>
        <v/>
      </c>
      <c r="N54" s="384" t="str" cm="1">
        <f t="array" ref="N54">IF(OR($B54="",$B$13="",$B$12="",$B$12=0),"",IF($L$22="AUTRE",IFERROR(INDEX($AK$72:$AK$430,$K54)*($B$13/$B$12),""),IF(OR($C$12="",$C$13=""),"",IFERROR(INDEX($AK$72:$AK$430,$K54)*(($B$13*VLOOKUP($C$13,$AY$74:$BA$119,3,FALSE))/($B$12*VLOOKUP($C$12,$AY$74:$BA$119,3,FALSE))),""))))</f>
        <v/>
      </c>
      <c r="O54" s="384" t="str" cm="1">
        <f t="array" ref="O54">IF(OR($B54="",$G$12="",$G$11="",$G$11=0),"",IFERROR(INDEX($AK$72:$AK$430,$K54)*($G$12/$G$11),""))</f>
        <v/>
      </c>
      <c r="U54" s="422" t="s">
        <v>7915</v>
      </c>
      <c r="V54" s="423" t="s">
        <v>8086</v>
      </c>
      <c r="W54" s="156"/>
      <c r="X54" s="156"/>
      <c r="Y54" s="156"/>
      <c r="Z54" s="156"/>
      <c r="AA54" s="156"/>
      <c r="AN54" s="424" t="s">
        <v>8087</v>
      </c>
      <c r="BD54" s="279">
        <v>1</v>
      </c>
    </row>
    <row r="55" spans="1:64" ht="21" customHeight="1" x14ac:dyDescent="0.25">
      <c r="A55" s="374" t="str">
        <f>IF($B55="","",33)</f>
        <v/>
      </c>
      <c r="B55" s="375" t="str" cm="1">
        <f t="array" ref="B55">IFERROR(IF(INDEX($AC$72:$AC$430,$K55)="","",INDEX($AC$72:$AC$430,$K55)),"")</f>
        <v/>
      </c>
      <c r="C55" s="376" t="str" cm="1">
        <f t="array" ref="C55">IF($B55="","",INDEX($AG$72:$AG$430,$K55))</f>
        <v/>
      </c>
      <c r="D55" s="377" t="str" cm="1">
        <f t="array" ref="D55">IF($B55="","",INDEX($AH$72:$AH$430,$K55))</f>
        <v/>
      </c>
      <c r="E55" s="378" t="str">
        <f t="shared" si="0"/>
        <v/>
      </c>
      <c r="F55" s="379" t="str" cm="1">
        <f t="array" ref="F55">IF($B55="","",IF(UPPER(TRIM($D55))="QT. SUFFISANTE","Qt. suffisante",IF($N55="","",IF($L55="MASSE",IF($N55&gt;=1,"Kg","g"),IF($L55="VOLUME",IF($N55&gt;=1,"L","cl"),INDEX($AL$72:$AL$430,$K55))))))</f>
        <v/>
      </c>
      <c r="G55" s="380" t="str">
        <f t="shared" si="1"/>
        <v/>
      </c>
      <c r="H55" s="381" t="str" cm="1">
        <f t="array" ref="H55">IF($B55="","",IF(UPPER(TRIM($D55))="QT. SUFFISANTE","Qt. suffisante",IF($O55="","",IF($L55="MASSE",IF($O55&gt;=1,"Kg","g"),IF($L55="VOLUME",IF($O55&gt;=1,"L","cl"),INDEX($AL$72:$AL$430,$K55))))))</f>
        <v/>
      </c>
      <c r="I55" s="382" t="str" cm="1">
        <f t="array" ref="I55">IF($B55="","",INDEX($AM$72:$AM$430,$K55))</f>
        <v/>
      </c>
      <c r="J55" s="271"/>
      <c r="K55" s="383">
        <f>1+($B$5-1)*36+33</f>
        <v>34</v>
      </c>
      <c r="L55" s="383" t="str" cm="1">
        <f t="array" ref="L55">IF($B55="","",INDEX($AI$72:$AI$430,$K55))</f>
        <v/>
      </c>
      <c r="M55" s="383" t="str" cm="1">
        <f t="array" ref="M55">IF($B55="","",INDEX($AJ$72:$AJ$430,$K55))</f>
        <v/>
      </c>
      <c r="N55" s="384" t="str" cm="1">
        <f t="array" ref="N55">IF(OR($B55="",$B$13="",$B$12="",$B$12=0),"",IF($L$22="AUTRE",IFERROR(INDEX($AK$72:$AK$430,$K55)*($B$13/$B$12),""),IF(OR($C$12="",$C$13=""),"",IFERROR(INDEX($AK$72:$AK$430,$K55)*(($B$13*VLOOKUP($C$13,$AY$74:$BA$119,3,FALSE))/($B$12*VLOOKUP($C$12,$AY$74:$BA$119,3,FALSE))),""))))</f>
        <v/>
      </c>
      <c r="O55" s="384" t="str" cm="1">
        <f t="array" ref="O55">IF(OR($B55="",$G$12="",$G$11="",$G$11=0),"",IFERROR(INDEX($AK$72:$AK$430,$K55)*($G$12/$G$11),""))</f>
        <v/>
      </c>
      <c r="U55" s="422" t="s">
        <v>7918</v>
      </c>
      <c r="V55" s="423" t="s">
        <v>8088</v>
      </c>
      <c r="W55" s="156"/>
      <c r="X55" s="156"/>
      <c r="Y55" s="156"/>
      <c r="Z55" s="156"/>
      <c r="AA55" s="156"/>
      <c r="AN55" s="659" t="s">
        <v>8089</v>
      </c>
      <c r="AO55" s="659"/>
      <c r="AP55" s="659"/>
      <c r="AQ55" s="659"/>
      <c r="AR55" s="659"/>
      <c r="AS55" s="659"/>
      <c r="AT55" s="659"/>
      <c r="AU55" s="659"/>
      <c r="AV55" s="659"/>
      <c r="AW55" s="659"/>
      <c r="AX55" s="659"/>
      <c r="AY55" s="659"/>
      <c r="AZ55" s="659"/>
      <c r="BA55" s="659"/>
      <c r="BB55" s="659"/>
      <c r="BD55" s="279">
        <v>1</v>
      </c>
    </row>
    <row r="56" spans="1:64" ht="21" customHeight="1" x14ac:dyDescent="0.25">
      <c r="A56" s="374" t="str">
        <f>IF($B56="","",34)</f>
        <v/>
      </c>
      <c r="B56" s="375" t="str" cm="1">
        <f t="array" ref="B56">IFERROR(IF(INDEX($AC$72:$AC$430,$K56)="","",INDEX($AC$72:$AC$430,$K56)),"")</f>
        <v/>
      </c>
      <c r="C56" s="376" t="str" cm="1">
        <f t="array" ref="C56">IF($B56="","",INDEX($AG$72:$AG$430,$K56))</f>
        <v/>
      </c>
      <c r="D56" s="377" t="str" cm="1">
        <f t="array" ref="D56">IF($B56="","",INDEX($AH$72:$AH$430,$K56))</f>
        <v/>
      </c>
      <c r="E56" s="378" t="str">
        <f t="shared" si="0"/>
        <v/>
      </c>
      <c r="F56" s="379" t="str" cm="1">
        <f t="array" ref="F56">IF($B56="","",IF(UPPER(TRIM($D56))="QT. SUFFISANTE","Qt. suffisante",IF($N56="","",IF($L56="MASSE",IF($N56&gt;=1,"Kg","g"),IF($L56="VOLUME",IF($N56&gt;=1,"L","cl"),INDEX($AL$72:$AL$430,$K56))))))</f>
        <v/>
      </c>
      <c r="G56" s="380" t="str">
        <f t="shared" si="1"/>
        <v/>
      </c>
      <c r="H56" s="381" t="str" cm="1">
        <f t="array" ref="H56">IF($B56="","",IF(UPPER(TRIM($D56))="QT. SUFFISANTE","Qt. suffisante",IF($O56="","",IF($L56="MASSE",IF($O56&gt;=1,"Kg","g"),IF($L56="VOLUME",IF($O56&gt;=1,"L","cl"),INDEX($AL$72:$AL$430,$K56))))))</f>
        <v/>
      </c>
      <c r="I56" s="382" t="str" cm="1">
        <f t="array" ref="I56">IF($B56="","",INDEX($AM$72:$AM$430,$K56))</f>
        <v/>
      </c>
      <c r="J56" s="271"/>
      <c r="K56" s="383">
        <f>1+($B$5-1)*36+34</f>
        <v>35</v>
      </c>
      <c r="L56" s="383" t="str" cm="1">
        <f t="array" ref="L56">IF($B56="","",INDEX($AI$72:$AI$430,$K56))</f>
        <v/>
      </c>
      <c r="M56" s="383" t="str" cm="1">
        <f t="array" ref="M56">IF($B56="","",INDEX($AJ$72:$AJ$430,$K56))</f>
        <v/>
      </c>
      <c r="N56" s="384" t="str" cm="1">
        <f t="array" ref="N56">IF(OR($B56="",$B$13="",$B$12="",$B$12=0),"",IF($L$22="AUTRE",IFERROR(INDEX($AK$72:$AK$430,$K56)*($B$13/$B$12),""),IF(OR($C$12="",$C$13=""),"",IFERROR(INDEX($AK$72:$AK$430,$K56)*(($B$13*VLOOKUP($C$13,$AY$74:$BA$119,3,FALSE))/($B$12*VLOOKUP($C$12,$AY$74:$BA$119,3,FALSE))),""))))</f>
        <v/>
      </c>
      <c r="O56" s="384" t="str" cm="1">
        <f t="array" ref="O56">IF(OR($B56="",$G$12="",$G$11="",$G$11=0),"",IFERROR(INDEX($AK$72:$AK$430,$K56)*($G$12/$G$11),""))</f>
        <v/>
      </c>
      <c r="U56" s="422" t="s">
        <v>7922</v>
      </c>
      <c r="V56" s="423" t="s">
        <v>8090</v>
      </c>
      <c r="W56" s="156"/>
      <c r="X56" s="156"/>
      <c r="Y56" s="156"/>
      <c r="Z56" s="156"/>
      <c r="AA56" s="156"/>
      <c r="AN56" s="659"/>
      <c r="AO56" s="659"/>
      <c r="AP56" s="659"/>
      <c r="AQ56" s="659"/>
      <c r="AR56" s="659"/>
      <c r="AS56" s="659"/>
      <c r="AT56" s="659"/>
      <c r="AU56" s="659"/>
      <c r="AV56" s="659"/>
      <c r="AW56" s="659"/>
      <c r="AX56" s="659"/>
      <c r="AY56" s="659"/>
      <c r="AZ56" s="659"/>
      <c r="BA56" s="659"/>
      <c r="BB56" s="659"/>
      <c r="BD56" s="279">
        <v>1</v>
      </c>
    </row>
    <row r="57" spans="1:64" ht="21" customHeight="1" x14ac:dyDescent="0.25">
      <c r="A57" s="284"/>
      <c r="B57" s="425"/>
      <c r="C57" s="426"/>
      <c r="D57" s="426"/>
      <c r="E57" s="427"/>
      <c r="F57" s="427"/>
      <c r="G57" s="427"/>
      <c r="H57" s="427"/>
      <c r="I57" s="284"/>
      <c r="J57" s="271"/>
      <c r="U57" s="422" t="s">
        <v>7926</v>
      </c>
      <c r="V57" s="423" t="s">
        <v>8091</v>
      </c>
      <c r="W57" s="156"/>
      <c r="X57" s="156"/>
      <c r="Y57" s="156"/>
      <c r="Z57" s="156"/>
      <c r="AA57" s="156"/>
      <c r="AN57" s="659"/>
      <c r="AO57" s="659"/>
      <c r="AP57" s="659"/>
      <c r="AQ57" s="659"/>
      <c r="AR57" s="659"/>
      <c r="AS57" s="659"/>
      <c r="AT57" s="659"/>
      <c r="AU57" s="659"/>
      <c r="AV57" s="659"/>
      <c r="AW57" s="659"/>
      <c r="AX57" s="659"/>
      <c r="AY57" s="659"/>
      <c r="AZ57" s="659"/>
      <c r="BA57" s="659"/>
      <c r="BB57" s="659"/>
      <c r="BD57" s="279">
        <v>1</v>
      </c>
      <c r="BI57" s="271"/>
      <c r="BJ57" s="271"/>
      <c r="BK57" s="271"/>
      <c r="BL57" s="271"/>
    </row>
    <row r="58" spans="1:64" ht="21" customHeight="1" x14ac:dyDescent="0.25">
      <c r="A58" s="661" t="s">
        <v>8092</v>
      </c>
      <c r="B58" s="662"/>
      <c r="C58" s="662"/>
      <c r="D58" s="662"/>
      <c r="E58" s="662"/>
      <c r="F58" s="662"/>
      <c r="G58" s="662"/>
      <c r="H58" s="662"/>
      <c r="I58" s="663"/>
      <c r="J58" s="271"/>
      <c r="U58" s="422" t="s">
        <v>7931</v>
      </c>
      <c r="V58" s="423" t="s">
        <v>8093</v>
      </c>
      <c r="W58" s="156"/>
      <c r="X58" s="156"/>
      <c r="Y58" s="156"/>
      <c r="Z58" s="156"/>
      <c r="AA58" s="156"/>
      <c r="AN58" s="659"/>
      <c r="AO58" s="659"/>
      <c r="AP58" s="659"/>
      <c r="AQ58" s="659"/>
      <c r="AR58" s="659"/>
      <c r="AS58" s="659"/>
      <c r="AT58" s="659"/>
      <c r="AU58" s="659"/>
      <c r="AV58" s="659"/>
      <c r="AW58" s="659"/>
      <c r="AX58" s="659"/>
      <c r="AY58" s="659"/>
      <c r="AZ58" s="659"/>
      <c r="BA58" s="659"/>
      <c r="BB58" s="659"/>
      <c r="BD58" s="279">
        <v>1</v>
      </c>
      <c r="BI58" s="271"/>
      <c r="BJ58" s="271"/>
      <c r="BK58" s="271"/>
      <c r="BL58" s="271"/>
    </row>
    <row r="59" spans="1:64" ht="21" customHeight="1" x14ac:dyDescent="0.25">
      <c r="A59" s="284"/>
      <c r="B59" s="284"/>
      <c r="C59" s="284"/>
      <c r="D59" s="284"/>
      <c r="E59" s="284"/>
      <c r="F59" s="284"/>
      <c r="G59" s="284"/>
      <c r="H59" s="284"/>
      <c r="I59" s="284"/>
      <c r="J59" s="271"/>
      <c r="U59" s="422" t="s">
        <v>7938</v>
      </c>
      <c r="V59" s="423" t="s">
        <v>8094</v>
      </c>
      <c r="W59" s="156"/>
      <c r="X59" s="156"/>
      <c r="Y59" s="156"/>
      <c r="Z59" s="156"/>
      <c r="AA59" s="156"/>
      <c r="AN59" s="659"/>
      <c r="AO59" s="659"/>
      <c r="AP59" s="659"/>
      <c r="AQ59" s="659"/>
      <c r="AR59" s="659"/>
      <c r="AS59" s="659"/>
      <c r="AT59" s="659"/>
      <c r="AU59" s="659"/>
      <c r="AV59" s="659"/>
      <c r="AW59" s="659"/>
      <c r="AX59" s="659"/>
      <c r="AY59" s="659"/>
      <c r="AZ59" s="659"/>
      <c r="BA59" s="659"/>
      <c r="BB59" s="659"/>
      <c r="BD59" s="279">
        <v>1</v>
      </c>
      <c r="BI59" s="271"/>
      <c r="BJ59" s="271"/>
      <c r="BK59" s="271"/>
      <c r="BL59" s="271"/>
    </row>
    <row r="60" spans="1:64" ht="21" customHeight="1" x14ac:dyDescent="0.25">
      <c r="A60" s="664" t="s">
        <v>8095</v>
      </c>
      <c r="B60" s="665"/>
      <c r="C60" s="665"/>
      <c r="D60" s="665"/>
      <c r="E60" s="665"/>
      <c r="F60" s="665"/>
      <c r="G60" s="665"/>
      <c r="H60" s="665"/>
      <c r="I60" s="666"/>
      <c r="J60" s="271"/>
      <c r="U60" s="422" t="s">
        <v>7946</v>
      </c>
      <c r="V60" s="423" t="s">
        <v>8096</v>
      </c>
      <c r="W60" s="156"/>
      <c r="X60" s="156"/>
      <c r="Y60" s="156"/>
      <c r="Z60" s="156"/>
      <c r="AA60" s="156"/>
      <c r="AN60" s="659"/>
      <c r="AO60" s="659"/>
      <c r="AP60" s="659"/>
      <c r="AQ60" s="659"/>
      <c r="AR60" s="659"/>
      <c r="AS60" s="659"/>
      <c r="AT60" s="659"/>
      <c r="AU60" s="659"/>
      <c r="AV60" s="659"/>
      <c r="AW60" s="659"/>
      <c r="AX60" s="659"/>
      <c r="AY60" s="659"/>
      <c r="AZ60" s="659"/>
      <c r="BA60" s="659"/>
      <c r="BB60" s="659"/>
      <c r="BD60" s="279">
        <v>1</v>
      </c>
      <c r="BI60" s="271"/>
      <c r="BJ60" s="271"/>
      <c r="BK60" s="271"/>
      <c r="BL60" s="271"/>
    </row>
    <row r="61" spans="1:64" ht="21" customHeight="1" x14ac:dyDescent="0.25">
      <c r="A61" s="428"/>
      <c r="B61" s="667" t="s">
        <v>8097</v>
      </c>
      <c r="C61" s="667"/>
      <c r="D61" s="667"/>
      <c r="E61" s="667"/>
      <c r="F61" s="667"/>
      <c r="G61" s="667"/>
      <c r="H61" s="667"/>
      <c r="I61" s="668"/>
      <c r="J61" s="271"/>
      <c r="U61" s="422" t="s">
        <v>7951</v>
      </c>
      <c r="V61" s="423" t="s">
        <v>8098</v>
      </c>
      <c r="W61" s="156"/>
      <c r="X61" s="156"/>
      <c r="Y61" s="156"/>
      <c r="Z61" s="156"/>
      <c r="AA61" s="156"/>
      <c r="AN61" s="659"/>
      <c r="AO61" s="659"/>
      <c r="AP61" s="659"/>
      <c r="AQ61" s="659"/>
      <c r="AR61" s="659"/>
      <c r="AS61" s="659"/>
      <c r="AT61" s="659"/>
      <c r="AU61" s="659"/>
      <c r="AV61" s="659"/>
      <c r="AW61" s="659"/>
      <c r="AX61" s="659"/>
      <c r="AY61" s="659"/>
      <c r="AZ61" s="659"/>
      <c r="BA61" s="659"/>
      <c r="BB61" s="659"/>
      <c r="BD61" s="279">
        <v>1</v>
      </c>
      <c r="BI61" s="271"/>
      <c r="BJ61" s="271"/>
      <c r="BK61" s="271"/>
      <c r="BL61" s="271"/>
    </row>
    <row r="62" spans="1:64" ht="21" customHeight="1" x14ac:dyDescent="0.25">
      <c r="A62" s="429"/>
      <c r="B62" s="669"/>
      <c r="C62" s="669"/>
      <c r="D62" s="669"/>
      <c r="E62" s="669"/>
      <c r="F62" s="669"/>
      <c r="G62" s="669"/>
      <c r="H62" s="669"/>
      <c r="I62" s="670"/>
      <c r="J62" s="271"/>
      <c r="U62" s="422" t="s">
        <v>7975</v>
      </c>
      <c r="V62" s="430" t="s">
        <v>8099</v>
      </c>
      <c r="W62" s="156"/>
      <c r="X62" s="156"/>
      <c r="Y62" s="156"/>
      <c r="Z62" s="156"/>
      <c r="AA62" s="156"/>
      <c r="AN62" s="659"/>
      <c r="AO62" s="659"/>
      <c r="AP62" s="659"/>
      <c r="AQ62" s="659"/>
      <c r="AR62" s="659"/>
      <c r="AS62" s="659"/>
      <c r="AT62" s="659"/>
      <c r="AU62" s="659"/>
      <c r="AV62" s="659"/>
      <c r="AW62" s="659"/>
      <c r="AX62" s="659"/>
      <c r="AY62" s="659"/>
      <c r="AZ62" s="659"/>
      <c r="BA62" s="659"/>
      <c r="BB62" s="659"/>
      <c r="BD62" s="279">
        <v>1</v>
      </c>
      <c r="BI62" s="271"/>
      <c r="BJ62" s="271"/>
      <c r="BK62" s="271"/>
      <c r="BL62" s="271"/>
    </row>
    <row r="63" spans="1:64" ht="21" customHeight="1" x14ac:dyDescent="0.25">
      <c r="A63" s="431"/>
      <c r="B63" s="671"/>
      <c r="C63" s="671"/>
      <c r="D63" s="671"/>
      <c r="E63" s="671"/>
      <c r="F63" s="671"/>
      <c r="G63" s="671"/>
      <c r="H63" s="671"/>
      <c r="I63" s="672"/>
      <c r="J63" s="271"/>
      <c r="U63" s="422" t="s">
        <v>7995</v>
      </c>
      <c r="V63" s="423" t="s">
        <v>8100</v>
      </c>
      <c r="W63" s="156"/>
      <c r="X63" s="156"/>
      <c r="Y63" s="156"/>
      <c r="Z63" s="156"/>
      <c r="AA63" s="156"/>
      <c r="AN63" s="659"/>
      <c r="AO63" s="659"/>
      <c r="AP63" s="659"/>
      <c r="AQ63" s="659"/>
      <c r="AR63" s="659"/>
      <c r="AS63" s="659"/>
      <c r="AT63" s="659"/>
      <c r="AU63" s="659"/>
      <c r="AV63" s="659"/>
      <c r="AW63" s="659"/>
      <c r="AX63" s="659"/>
      <c r="AY63" s="659"/>
      <c r="AZ63" s="659"/>
      <c r="BA63" s="659"/>
      <c r="BB63" s="659"/>
      <c r="BC63" s="271"/>
      <c r="BD63" s="279">
        <v>1</v>
      </c>
      <c r="BE63" s="271"/>
      <c r="BF63" s="271"/>
      <c r="BG63" s="271"/>
      <c r="BH63" s="271"/>
      <c r="BI63" s="271"/>
      <c r="BJ63" s="271"/>
      <c r="BK63" s="271"/>
      <c r="BL63" s="271"/>
    </row>
    <row r="64" spans="1:64" ht="15.75" customHeight="1" x14ac:dyDescent="0.25">
      <c r="A64" s="432" t="s">
        <v>2</v>
      </c>
      <c r="B64" s="433" t="str" cm="1">
        <f t="array" aca="1" ref="B64" ca="1">CELL("nomfichier")</f>
        <v>D:\Données\1.UPRT\0-UPRT.fait\1-UPRT.FR-SITE-WEB\ff-fiches-fabrications\ff.fiches.fabrication.2023\ffr-restaurant-2026\[02-06-recettes-entrees-cuisine-collective-fiches-techniques.xlsx]H.O.FROIDS.11.à.20</v>
      </c>
      <c r="C64" s="271"/>
      <c r="D64" s="271"/>
      <c r="E64" s="271"/>
      <c r="F64" s="271"/>
      <c r="G64" s="271"/>
      <c r="H64" s="271"/>
      <c r="I64" s="271"/>
      <c r="J64" s="271"/>
      <c r="K64" s="271"/>
      <c r="L64" s="271"/>
      <c r="M64" s="271"/>
      <c r="N64" s="271"/>
      <c r="O64" s="271"/>
      <c r="P64" s="271"/>
      <c r="Q64" s="271"/>
      <c r="R64" s="271"/>
      <c r="S64" s="271"/>
      <c r="U64" s="422" t="s">
        <v>7998</v>
      </c>
      <c r="V64" s="423" t="s">
        <v>8101</v>
      </c>
      <c r="W64" s="156"/>
      <c r="X64" s="156"/>
      <c r="Y64" s="156"/>
      <c r="Z64" s="156"/>
      <c r="AA64" s="156"/>
      <c r="AB64" s="220"/>
      <c r="AC64" s="220"/>
      <c r="AD64" s="220"/>
      <c r="AE64" s="220"/>
      <c r="AF64" s="220"/>
      <c r="AG64" s="220"/>
      <c r="AH64" s="220"/>
      <c r="AI64" s="220"/>
      <c r="AJ64" s="220"/>
      <c r="AK64" s="220"/>
      <c r="AL64" s="220"/>
      <c r="AN64" s="659"/>
      <c r="AO64" s="659"/>
      <c r="AP64" s="659"/>
      <c r="AQ64" s="659"/>
      <c r="AR64" s="659"/>
      <c r="AS64" s="659"/>
      <c r="AT64" s="659"/>
      <c r="AU64" s="659"/>
      <c r="AV64" s="659"/>
      <c r="AW64" s="659"/>
      <c r="AX64" s="659"/>
      <c r="AY64" s="659"/>
      <c r="AZ64" s="659"/>
      <c r="BA64" s="659"/>
      <c r="BB64" s="659"/>
      <c r="BC64" s="271"/>
      <c r="BD64" s="279">
        <v>1</v>
      </c>
      <c r="BE64" s="271"/>
      <c r="BF64" s="271"/>
      <c r="BG64" s="271"/>
      <c r="BH64" s="271"/>
      <c r="BI64" s="271"/>
      <c r="BJ64" s="271"/>
      <c r="BK64" s="271"/>
      <c r="BL64" s="271"/>
    </row>
    <row r="65" spans="1:111" x14ac:dyDescent="0.25">
      <c r="A65" s="271"/>
      <c r="B65" s="271"/>
      <c r="C65" s="271"/>
      <c r="D65" s="271"/>
      <c r="E65" s="271"/>
      <c r="F65" s="271"/>
      <c r="G65" s="271"/>
      <c r="H65" s="271"/>
      <c r="I65" s="271"/>
      <c r="J65" s="271"/>
      <c r="K65" s="271"/>
      <c r="L65" s="271"/>
      <c r="M65" s="271"/>
      <c r="N65" s="271"/>
      <c r="O65" s="271"/>
      <c r="P65" s="271"/>
      <c r="Q65" s="271"/>
      <c r="R65" s="271"/>
      <c r="S65" s="271"/>
      <c r="T65" s="271"/>
      <c r="U65" s="422" t="s">
        <v>8102</v>
      </c>
      <c r="V65" s="434" t="s">
        <v>8103</v>
      </c>
      <c r="W65" s="156"/>
      <c r="X65" s="156"/>
      <c r="Y65" s="156"/>
      <c r="Z65" s="156"/>
      <c r="AA65" s="156"/>
      <c r="AB65" s="220"/>
      <c r="AC65" s="220"/>
      <c r="AD65" s="220"/>
      <c r="AE65" s="220"/>
      <c r="AF65" s="220"/>
      <c r="AG65" s="220"/>
      <c r="AH65" s="220"/>
      <c r="AI65" s="220"/>
      <c r="AJ65" s="220"/>
      <c r="AK65" s="271"/>
      <c r="AL65" s="271"/>
      <c r="AN65" s="659"/>
      <c r="AO65" s="659"/>
      <c r="AP65" s="659"/>
      <c r="AQ65" s="659"/>
      <c r="AR65" s="659"/>
      <c r="AS65" s="659"/>
      <c r="AT65" s="659"/>
      <c r="AU65" s="659"/>
      <c r="AV65" s="659"/>
      <c r="AW65" s="659"/>
      <c r="AX65" s="659"/>
      <c r="AY65" s="659"/>
      <c r="AZ65" s="659"/>
      <c r="BA65" s="659"/>
      <c r="BB65" s="659"/>
      <c r="BC65" s="271"/>
      <c r="BD65" s="279">
        <v>1</v>
      </c>
      <c r="BE65" s="271"/>
      <c r="BF65" s="271"/>
      <c r="BG65" s="271"/>
      <c r="BH65" s="271"/>
      <c r="BI65" s="271"/>
      <c r="BJ65" s="271"/>
      <c r="BK65" s="271"/>
      <c r="BL65" s="271"/>
      <c r="BM65" s="271"/>
      <c r="BN65" s="271"/>
      <c r="BO65" s="271"/>
      <c r="BP65" s="271"/>
      <c r="BQ65" s="271"/>
      <c r="BR65" s="271"/>
      <c r="BS65" s="271"/>
      <c r="BT65" s="271"/>
      <c r="BU65" s="271"/>
      <c r="BV65" s="271"/>
      <c r="BW65" s="271"/>
      <c r="BX65" s="271"/>
      <c r="BY65" s="271"/>
      <c r="BZ65" s="271"/>
      <c r="CA65" s="271"/>
      <c r="CB65" s="271"/>
      <c r="CC65" s="271"/>
      <c r="CD65" s="271"/>
      <c r="CE65" s="271"/>
      <c r="CF65" s="271"/>
      <c r="CG65" s="271"/>
      <c r="CH65" s="271"/>
      <c r="CI65" s="271"/>
      <c r="CJ65" s="271"/>
      <c r="CK65" s="271"/>
      <c r="CL65" s="271"/>
      <c r="CM65" s="271"/>
      <c r="CN65" s="271"/>
      <c r="CO65" s="271"/>
      <c r="CP65" s="271"/>
      <c r="CQ65" s="271"/>
      <c r="CR65" s="271"/>
      <c r="CS65" s="271"/>
      <c r="CT65" s="271"/>
      <c r="CU65" s="271"/>
      <c r="CV65" s="271"/>
      <c r="CW65" s="271"/>
      <c r="CX65" s="271"/>
      <c r="CY65" s="271"/>
      <c r="CZ65" s="271"/>
      <c r="DA65" s="271"/>
      <c r="DB65" s="271"/>
      <c r="DC65" s="271"/>
      <c r="DD65" s="271"/>
      <c r="DE65" s="271"/>
      <c r="DF65" s="271"/>
      <c r="DG65" s="271"/>
    </row>
    <row r="66" spans="1:111" ht="15.75" customHeight="1" x14ac:dyDescent="0.25">
      <c r="U66" s="422" t="s">
        <v>8047</v>
      </c>
      <c r="V66" s="434" t="s">
        <v>8104</v>
      </c>
      <c r="W66" s="435"/>
      <c r="X66" s="435"/>
      <c r="Y66" s="435"/>
      <c r="Z66" s="435"/>
      <c r="AA66" s="435"/>
      <c r="AB66" s="271"/>
      <c r="AC66" s="271"/>
      <c r="AD66" s="220"/>
      <c r="AE66" s="220"/>
      <c r="AF66" s="220"/>
      <c r="AG66" s="220"/>
      <c r="AH66" s="220"/>
      <c r="AI66" s="220"/>
      <c r="AJ66" s="220"/>
      <c r="AK66" s="271"/>
      <c r="AL66" s="271"/>
      <c r="AM66" s="271"/>
      <c r="AN66" s="660" t="s">
        <v>8105</v>
      </c>
      <c r="AO66" s="660"/>
      <c r="AP66" s="660"/>
      <c r="AQ66" s="660"/>
      <c r="AR66" s="660"/>
      <c r="AS66" s="660"/>
      <c r="AT66" s="660"/>
      <c r="AU66" s="660"/>
      <c r="AV66" s="660"/>
      <c r="AW66" s="660"/>
      <c r="AX66" s="660"/>
      <c r="AY66" s="660"/>
      <c r="AZ66" s="660"/>
      <c r="BA66" s="660"/>
      <c r="BB66" s="660"/>
      <c r="BC66" s="271"/>
      <c r="BD66" s="279">
        <v>1</v>
      </c>
      <c r="BE66" s="271"/>
      <c r="BF66" s="271"/>
      <c r="BG66" s="271"/>
      <c r="BH66" s="271"/>
      <c r="BI66" s="271"/>
      <c r="BJ66" s="271"/>
      <c r="BK66" s="271"/>
      <c r="BL66" s="271"/>
    </row>
    <row r="67" spans="1:111" ht="15.75" customHeight="1" x14ac:dyDescent="0.25">
      <c r="U67" s="156"/>
      <c r="V67" s="435"/>
      <c r="W67" s="435"/>
      <c r="X67" s="435"/>
      <c r="Y67" s="435"/>
      <c r="Z67" s="435"/>
      <c r="AA67" s="435"/>
      <c r="AB67" s="655" t="str">
        <f>IF(AND(COUNTIF(AC72:AC430,"*~**")=0,COUNTIF(AC72:AC430,"*~?*")=0),"",IF(COUNTIF(AC72:AC430,"*~**")&gt;0,COUNTIF(AC72:AC430,"*~**")&amp;" allergène"&amp;IF(COUNTIF(AC72:AC430,"*~**")&gt;1,"s","")&amp;" repéré"&amp;IF(COUNTIF(AC72:AC430,"*~**")&gt;1,"s","")&amp;" par *","")&amp;IF(AND(COUNTIF(AC72:AC430,"*~**")&gt;0,COUNTIF(AC72:AC430,"*~?*")&gt;0)," | ","")&amp;IF(COUNTIF(AC72:AC430,"*~?*")&gt;0,COUNTIF(AC72:AC430,"*~?*")&amp;" produit"&amp;IF(COUNTIF(AC72:AC430,"*~?*")&gt;1,"s","")&amp;" à vérifier par ?",""))</f>
        <v/>
      </c>
      <c r="AC67" s="655"/>
      <c r="AD67" s="436" t="s">
        <v>8106</v>
      </c>
      <c r="AE67" s="436"/>
      <c r="AF67" s="436"/>
      <c r="AG67" s="271"/>
      <c r="AH67" s="271"/>
      <c r="AI67" s="271"/>
      <c r="AJ67" s="271"/>
      <c r="AK67" s="271"/>
      <c r="AL67" s="271"/>
      <c r="AM67" s="271"/>
      <c r="AN67" s="660"/>
      <c r="AO67" s="660"/>
      <c r="AP67" s="660"/>
      <c r="AQ67" s="660"/>
      <c r="AR67" s="660"/>
      <c r="AS67" s="660"/>
      <c r="AT67" s="660"/>
      <c r="AU67" s="660"/>
      <c r="AV67" s="660"/>
      <c r="AW67" s="660"/>
      <c r="AX67" s="660"/>
      <c r="AY67" s="660"/>
      <c r="AZ67" s="660"/>
      <c r="BA67" s="660"/>
      <c r="BB67" s="660"/>
      <c r="BC67" s="271"/>
      <c r="BD67" s="279"/>
      <c r="BE67" s="271"/>
      <c r="BF67" s="271"/>
      <c r="BG67" s="271"/>
      <c r="BH67" s="271"/>
      <c r="BI67" s="271"/>
      <c r="BJ67" s="271"/>
      <c r="BK67" s="271"/>
      <c r="BL67" s="271"/>
    </row>
    <row r="68" spans="1:111" ht="15.75" customHeight="1" x14ac:dyDescent="0.25">
      <c r="R68" s="437" t="s">
        <v>8107</v>
      </c>
      <c r="U68" s="156"/>
      <c r="V68" s="435"/>
      <c r="W68" s="435"/>
      <c r="X68" s="435"/>
      <c r="Y68" s="435"/>
      <c r="Z68" s="435"/>
      <c r="AA68" s="435"/>
      <c r="AB68" s="655"/>
      <c r="AC68" s="655"/>
      <c r="AD68" s="436" t="s">
        <v>8108</v>
      </c>
      <c r="AE68" s="436"/>
      <c r="AF68" s="436"/>
      <c r="AG68" s="271"/>
      <c r="AH68" s="271"/>
      <c r="AI68" s="271"/>
      <c r="AJ68" s="271"/>
      <c r="AK68" s="271"/>
      <c r="AL68" s="271"/>
      <c r="AM68" s="271"/>
      <c r="AN68" s="438" t="s">
        <v>8109</v>
      </c>
      <c r="AO68" s="438"/>
      <c r="AP68" s="271"/>
      <c r="BC68" s="271"/>
      <c r="BD68" s="279">
        <v>1</v>
      </c>
      <c r="BE68" s="271"/>
      <c r="BF68" s="271"/>
      <c r="BG68" s="271"/>
      <c r="BH68" s="271"/>
      <c r="BI68" s="271"/>
      <c r="BJ68" s="271"/>
      <c r="BK68" s="271"/>
      <c r="BL68" s="271"/>
    </row>
    <row r="69" spans="1:111" x14ac:dyDescent="0.25">
      <c r="R69" s="422" t="str">
        <f>SUBSTITUTE(ADDRESS(1,COLUMN(),4),"1","")</f>
        <v>R</v>
      </c>
      <c r="T69" s="422" t="str">
        <f>SUBSTITUTE(ADDRESS(1,COLUMN(),4),"1","")</f>
        <v>T</v>
      </c>
      <c r="V69" s="422" t="str">
        <f t="shared" ref="V69:AF69" si="2">SUBSTITUTE(ADDRESS(1,COLUMN(),4),"1","")</f>
        <v>V</v>
      </c>
      <c r="W69" s="422" t="str">
        <f t="shared" si="2"/>
        <v>W</v>
      </c>
      <c r="X69" s="422" t="str">
        <f t="shared" si="2"/>
        <v>X</v>
      </c>
      <c r="Y69" s="422" t="str">
        <f t="shared" si="2"/>
        <v>Y</v>
      </c>
      <c r="Z69" s="422" t="str">
        <f t="shared" si="2"/>
        <v>Z</v>
      </c>
      <c r="AA69" s="422" t="str">
        <f t="shared" si="2"/>
        <v>AA</v>
      </c>
      <c r="AB69" s="422" t="str">
        <f t="shared" si="2"/>
        <v>AB</v>
      </c>
      <c r="AC69" s="422" t="str">
        <f t="shared" si="2"/>
        <v>AC</v>
      </c>
      <c r="AD69" s="422" t="str">
        <f t="shared" si="2"/>
        <v>AD</v>
      </c>
      <c r="AE69" s="422" t="str">
        <f t="shared" si="2"/>
        <v>AE</v>
      </c>
      <c r="AF69" s="422" t="str">
        <f t="shared" si="2"/>
        <v>AF</v>
      </c>
      <c r="AG69" s="395"/>
      <c r="AH69" s="395"/>
      <c r="AI69" s="395"/>
      <c r="AJ69" s="395"/>
      <c r="AK69" s="395"/>
      <c r="AL69" s="395"/>
      <c r="AM69" s="439" t="str">
        <f>SUBSTITUTE(ADDRESS(1,COLUMN(),4),"1","")</f>
        <v>AM</v>
      </c>
      <c r="AN69" s="395" t="str">
        <f>SUBSTITUTE(ADDRESS(1,COLUMN(),4),"1","")</f>
        <v>AN</v>
      </c>
      <c r="AO69" s="395" t="str">
        <f>SUBSTITUTE(ADDRESS(1,COLUMN(),4),"1","")</f>
        <v>AO</v>
      </c>
      <c r="AP69" s="395" t="str">
        <f t="shared" ref="AP69:AU69" si="3">SUBSTITUTE(ADDRESS(1,COLUMN(),4),"1","")</f>
        <v>AP</v>
      </c>
      <c r="AQ69" s="395" t="str">
        <f t="shared" si="3"/>
        <v>AQ</v>
      </c>
      <c r="AR69" s="395" t="str">
        <f t="shared" si="3"/>
        <v>AR</v>
      </c>
      <c r="AS69" s="395" t="str">
        <f t="shared" si="3"/>
        <v>AS</v>
      </c>
      <c r="AT69" s="395" t="str">
        <f t="shared" si="3"/>
        <v>AT</v>
      </c>
      <c r="AU69" s="395" t="str">
        <f t="shared" si="3"/>
        <v>AU</v>
      </c>
      <c r="BC69" s="271"/>
      <c r="BD69" s="279">
        <v>1</v>
      </c>
      <c r="BE69" s="271"/>
      <c r="BF69" s="271"/>
      <c r="BG69" s="271"/>
      <c r="BH69" s="271"/>
      <c r="BI69" s="271"/>
      <c r="BJ69" s="271"/>
      <c r="BK69" s="271"/>
      <c r="BL69" s="271"/>
    </row>
    <row r="70" spans="1:111" ht="35.25" customHeight="1" x14ac:dyDescent="0.25">
      <c r="R70" s="440" t="s">
        <v>484</v>
      </c>
      <c r="T70" s="440" t="s">
        <v>8110</v>
      </c>
      <c r="V70" s="441" t="s">
        <v>8111</v>
      </c>
      <c r="W70" s="442"/>
      <c r="X70" s="442"/>
      <c r="Y70" s="442"/>
      <c r="Z70" s="442"/>
      <c r="AA70" s="442"/>
      <c r="AB70" s="442"/>
      <c r="AC70" s="442"/>
      <c r="AD70" s="443"/>
      <c r="AE70" s="442"/>
      <c r="AF70" s="442"/>
      <c r="AG70" s="444" t="s">
        <v>8112</v>
      </c>
      <c r="AH70" s="445"/>
      <c r="AI70" s="445"/>
      <c r="AJ70" s="445"/>
      <c r="AK70" s="445"/>
      <c r="AL70" s="445"/>
      <c r="AM70" s="446"/>
      <c r="AN70" s="444" t="s">
        <v>8112</v>
      </c>
      <c r="AO70" s="447"/>
      <c r="AP70" s="447"/>
      <c r="AQ70" s="447"/>
      <c r="AR70" s="447"/>
      <c r="AS70" s="447"/>
      <c r="AT70" s="447"/>
      <c r="AU70" s="447"/>
      <c r="AY70" s="448" t="str">
        <f>ADDRESS(ROW(),COLUMN(),4)</f>
        <v>AY70</v>
      </c>
      <c r="AZ70" s="449"/>
      <c r="BA70" s="449"/>
      <c r="BB70" s="450"/>
      <c r="BD70" s="279">
        <v>1</v>
      </c>
      <c r="BG70" s="271"/>
      <c r="BH70" s="271"/>
      <c r="BI70" s="271"/>
      <c r="BJ70" s="271"/>
      <c r="BK70" s="271"/>
      <c r="BL70" s="271"/>
    </row>
    <row r="71" spans="1:111" ht="34.5" customHeight="1" x14ac:dyDescent="0.25">
      <c r="R71" s="25" t="s">
        <v>6115</v>
      </c>
      <c r="S71" s="451"/>
      <c r="T71" s="452" t="s">
        <v>8113</v>
      </c>
      <c r="V71" s="453" t="s">
        <v>324</v>
      </c>
      <c r="W71" s="453" t="s">
        <v>7912</v>
      </c>
      <c r="X71" s="453" t="s">
        <v>326</v>
      </c>
      <c r="Y71" s="453" t="s">
        <v>327</v>
      </c>
      <c r="Z71" s="454" t="s">
        <v>7930</v>
      </c>
      <c r="AA71" s="453" t="s">
        <v>7937</v>
      </c>
      <c r="AB71" s="455" t="s">
        <v>39</v>
      </c>
      <c r="AC71" s="455" t="s">
        <v>338</v>
      </c>
      <c r="AD71" s="455" t="s">
        <v>8114</v>
      </c>
      <c r="AE71" s="455" t="s">
        <v>339</v>
      </c>
      <c r="AF71" s="455" t="s">
        <v>7997</v>
      </c>
      <c r="AG71" s="456" t="s">
        <v>8018</v>
      </c>
      <c r="AH71" s="456" t="s">
        <v>8023</v>
      </c>
      <c r="AI71" s="456" t="s">
        <v>330</v>
      </c>
      <c r="AJ71" s="456" t="s">
        <v>8031</v>
      </c>
      <c r="AK71" s="453" t="s">
        <v>8037</v>
      </c>
      <c r="AL71" s="453" t="s">
        <v>8041</v>
      </c>
      <c r="AM71" s="456" t="s">
        <v>343</v>
      </c>
      <c r="AN71" s="457" t="s">
        <v>8115</v>
      </c>
      <c r="AO71" s="457" t="s">
        <v>8116</v>
      </c>
      <c r="AP71" s="656" t="s">
        <v>8117</v>
      </c>
      <c r="AQ71" s="656"/>
      <c r="AR71" s="656"/>
      <c r="AS71" s="656"/>
      <c r="AT71" s="656"/>
      <c r="AU71" s="657"/>
      <c r="AY71" s="448" t="s">
        <v>8118</v>
      </c>
      <c r="AZ71" s="448" t="s">
        <v>8119</v>
      </c>
      <c r="BA71" s="448"/>
      <c r="BB71" s="458"/>
      <c r="BD71" s="279">
        <v>1</v>
      </c>
      <c r="BG71" s="271"/>
      <c r="BH71" s="271"/>
      <c r="BI71" s="271"/>
      <c r="BJ71" s="271"/>
      <c r="BK71" s="271"/>
      <c r="BL71" s="271"/>
    </row>
    <row r="72" spans="1:111" ht="30" customHeight="1" x14ac:dyDescent="0.25">
      <c r="R72" s="34" t="s">
        <v>471</v>
      </c>
      <c r="S72" s="451"/>
      <c r="T72" s="14" t="s">
        <v>7</v>
      </c>
      <c r="V72" s="459">
        <v>1</v>
      </c>
      <c r="W72" s="460" t="s">
        <v>8120</v>
      </c>
      <c r="X72" s="461" t="s">
        <v>8121</v>
      </c>
      <c r="Y72" s="462"/>
      <c r="Z72" s="463">
        <v>100</v>
      </c>
      <c r="AA72" s="464">
        <f>IF($AC$396="","",ROW($A$396)-ROW($A$396))</f>
        <v>0</v>
      </c>
      <c r="AB72" s="461"/>
      <c r="AC72" s="465" t="s">
        <v>8122</v>
      </c>
      <c r="AD72" s="390"/>
      <c r="AE72" s="390"/>
      <c r="AF72" s="466"/>
      <c r="AG72" s="467" t="str">
        <f>IF($AC72="","",IF(LEN($AN72&amp;"")=0,"",$AN72))</f>
        <v/>
      </c>
      <c r="AH72" s="468" t="str">
        <f>IF($AC72="","",IF($AF72&lt;&gt;"",UPPER(TRIM(SUBSTITUTE(SUBSTITUTE($AF72&amp;"",CHAR(160)," ")," "," "))),$AP72))</f>
        <v/>
      </c>
      <c r="AI72" s="469" t="str">
        <f>IF($AC$72="","",IFERROR(INDEX($AZ$74:$AZ$119,MATCH($AH$72,$AY$74:$AY$119,0)),"AUTRE"))</f>
        <v>AUTRE</v>
      </c>
      <c r="AJ72" s="470">
        <f>IF($AC$72="","",IFERROR(INDEX($BA$74:$BA$119,MATCH($AH$72,$AY$74:$AY$119,0)),1))</f>
        <v>1</v>
      </c>
      <c r="AK72" s="470" t="str">
        <f>IF(OR(AG72="",AJ72=""),"",AG72*AJ72)</f>
        <v/>
      </c>
      <c r="AL72" s="469" t="str">
        <f>IF($AC$72="","",IFERROR(INDEX($BB$74:$BB$119,MATCH($AH$72,$AY$74:$AY$119,0)),$AH$72))</f>
        <v/>
      </c>
      <c r="AM72" s="471" t="str">
        <f>IF($AC72="","",IF($AH72="QT. SUFFISANTE","OK",IF($AG72="","TEXTE",IF(NOT(ISNUMBER($AG72)),"QUANTITÉ À CONTRÔLER",IF(COUNTIF($AY$74:$AY$119,$AH72)=0,"UNITÉ À CONTRÔLER","OK")))))</f>
        <v>TEXTE</v>
      </c>
      <c r="AN72" s="472" t="str">
        <f>IF($AE72&lt;&gt;"",$AE72,IF($AD72="","",IF(ISNUMBER($AD72),$AD72,IF($AO72="QT",0,IF($AO72="","",IFERROR(IF(ISNUMBER(SEARCH("/",$AO72)),VALUE(TRIM(LEFT($AO72,SEARCH("/",$AO72)-1)))/VALUE(TRIM(MID($AO72,SEARCH("/",$AO72)+1,99))),VALUE(SUBSTITUTE($AO72,".",","))),""))))))</f>
        <v/>
      </c>
      <c r="AO72" s="473" t="str">
        <f>IF($AD72="","",IF(ISNUMBER($AD72),$AD72,IF(OR(LEFT($AQ72,3)="QT.",LEFT($AQ72,4)="QUAN"),"QT",IF($AR72=999,$AQ72,TRIM(LEFT($AQ72,$AR72-1))))))</f>
        <v/>
      </c>
      <c r="AP72" s="473" t="str">
        <f>IF($AD72="","",IF(ISNUMBER($AD72),"",IF(OR(LEFT($AQ72,3)="QT.",LEFT($AQ72,4)="QUAN"),"QT. SUFFISANTE",IF($AO72="","",TRIM(MID($AQ72,LEN($AO72&amp;"")+1,999))))))</f>
        <v/>
      </c>
      <c r="AQ72" s="474" t="str">
        <f>IF($AD72="","",UPPER(TRIM(SUBSTITUTE(SUBSTITUTE($AD72&amp;"",CHAR(160)," ")," "," "))))</f>
        <v/>
      </c>
      <c r="AR72" s="474" t="str">
        <f>IF($AQ72="","",MIN($AS72,$AT72,$AU72))</f>
        <v/>
      </c>
      <c r="AS72" s="474" t="str">
        <f>IF($AQ72="","",MIN(IFERROR(SEARCH("A",$AQ72),999),IFERROR(SEARCH("B",$AQ72),999),IFERROR(SEARCH("C",$AQ72),999),IFERROR(SEARCH("D",$AQ72),999),IFERROR(SEARCH("E",$AQ72),999),IFERROR(SEARCH("F",$AQ72),999),IFERROR(SEARCH("G",$AQ72),999),IFERROR(SEARCH("H",$AQ72),999),IFERROR(SEARCH("I",$AQ72),999)))</f>
        <v/>
      </c>
      <c r="AT72" s="474" t="str">
        <f>IF($AQ72="","",MIN(IFERROR(SEARCH("J",$AQ72),999),IFERROR(SEARCH("K",$AQ72),999),IFERROR(SEARCH("L",$AQ72),999),IFERROR(SEARCH("M",$AQ72),999),IFERROR(SEARCH("N",$AQ72),999),IFERROR(SEARCH("O",$AQ72),999),IFERROR(SEARCH("P",$AQ72),999),IFERROR(SEARCH("Q",$AQ72),999),IFERROR(SEARCH("R",$AQ72),999)))</f>
        <v/>
      </c>
      <c r="AU72" s="474" t="str">
        <f>IF($AQ72="","",MIN(IFERROR(SEARCH("S",$AQ72),999),IFERROR(SEARCH("T",$AQ72),999),IFERROR(SEARCH("U",$AQ72),999),IFERROR(SEARCH("V",$AQ72),999),IFERROR(SEARCH("W",$AQ72),999),IFERROR(SEARCH("X",$AQ72),999),IFERROR(SEARCH("Y",$AQ72),999),IFERROR(SEARCH("Z",$AQ72),999)))</f>
        <v/>
      </c>
      <c r="AY72" s="418"/>
      <c r="AZ72" s="418"/>
      <c r="BA72" s="418"/>
      <c r="BB72" s="419"/>
      <c r="BD72" s="279">
        <v>1</v>
      </c>
      <c r="BG72" s="271"/>
      <c r="BH72" s="271"/>
      <c r="BI72" s="271"/>
      <c r="BJ72" s="271"/>
      <c r="BK72" s="271"/>
      <c r="BL72" s="271"/>
    </row>
    <row r="73" spans="1:111" ht="21" customHeight="1" x14ac:dyDescent="0.25">
      <c r="R73" s="34" t="s">
        <v>472</v>
      </c>
      <c r="S73" s="451"/>
      <c r="T73" s="27" t="s">
        <v>8</v>
      </c>
      <c r="V73" s="475">
        <f>$V$72</f>
        <v>1</v>
      </c>
      <c r="W73" s="475" t="str">
        <f>IF($AC$73="","",$W$72)</f>
        <v/>
      </c>
      <c r="X73" s="476" t="str">
        <f>IF($AC$73="","",$X$72)</f>
        <v/>
      </c>
      <c r="Y73" s="477" t="str">
        <f>IF($X$73="","",$Y$72)</f>
        <v/>
      </c>
      <c r="Z73" s="477" t="str">
        <f>IF($X$73="","",$Z$72)</f>
        <v/>
      </c>
      <c r="AA73" s="477" t="str">
        <f>IF($AC$73="","",ROW($A$73)-ROW($A$72))</f>
        <v/>
      </c>
      <c r="AB73" s="478"/>
      <c r="AC73" s="34"/>
      <c r="AD73" s="356"/>
      <c r="AE73" s="479"/>
      <c r="AF73" s="475"/>
      <c r="AG73" s="480" t="str">
        <f t="shared" ref="AG73:AG106" si="4">IF($AC73="","",IF(LEN($AN73&amp;"")=0,"",$AN73))</f>
        <v/>
      </c>
      <c r="AH73" s="481" t="str">
        <f t="shared" ref="AH73:AH106" si="5">IF($AC73="","",IF($AF73&lt;&gt;"",UPPER(TRIM(SUBSTITUTE(SUBSTITUTE($AF73&amp;"",CHAR(160)," ")," "," "))),$AP73))</f>
        <v/>
      </c>
      <c r="AI73" s="477" t="str">
        <f>IF($AC$73="","",IFERROR(INDEX($AZ$74:$AZ$119,MATCH($AH$73,$AY$74:$AY$119,0)),"AUTRE"))</f>
        <v/>
      </c>
      <c r="AJ73" s="482" t="str">
        <f>IF($AC$73="","",IFERROR(INDEX($BA$74:$BA$119,MATCH($AH$73,$AY$74:$AY$119,0)),1))</f>
        <v/>
      </c>
      <c r="AK73" s="482" t="str">
        <f t="shared" ref="AK73:AK106" si="6">IF(OR(AG73="",AJ73=""),"",AG73*AJ73)</f>
        <v/>
      </c>
      <c r="AL73" s="477" t="str">
        <f>IF($AC$73="","",IFERROR(INDEX($BB$74:$BB$119,MATCH($AH$73,$AY$74:$AY$119,0)),$AH$73))</f>
        <v/>
      </c>
      <c r="AM73" s="483" t="str">
        <f t="shared" ref="AM73:AM106" si="7">IF($AC73="","",IF($AH73="QT. SUFFISANTE","OK",IF($AG73="","TEXTE",IF(NOT(ISNUMBER($AG73)),"QUANTITÉ À CONTRÔLER",IF(COUNTIF($AY$74:$AY$119,$AH73)=0,"UNITÉ À CONTRÔLER","OK")))))</f>
        <v/>
      </c>
      <c r="AN73" s="484" t="str">
        <f t="shared" ref="AN73:AN106" si="8">IF($AE73&lt;&gt;"",$AE73,IF($AD73="","",IF(ISNUMBER($AD73),$AD73,IF($AO73="QT",0,IF($AO73="","",IFERROR(IF(ISNUMBER(SEARCH("/",$AO73)),VALUE(TRIM(LEFT($AO73,SEARCH("/",$AO73)-1)))/VALUE(TRIM(MID($AO73,SEARCH("/",$AO73)+1,99))),VALUE(SUBSTITUTE($AO73,".",","))),""))))))</f>
        <v/>
      </c>
      <c r="AO73" s="473" t="str">
        <f t="shared" ref="AO73:AO106" si="9">IF($AD73="","",IF(ISNUMBER($AD73),$AD73,IF(OR(LEFT($AQ73,3)="QT.",LEFT($AQ73,4)="QUAN"),"QT",IF($AR73=999,$AQ73,TRIM(LEFT($AQ73,$AR73-1))))))</f>
        <v/>
      </c>
      <c r="AP73" s="473" t="str">
        <f t="shared" ref="AP73:AP106" si="10">IF($AD73="","",IF(ISNUMBER($AD73),"",IF(OR(LEFT($AQ73,3)="QT.",LEFT($AQ73,4)="QUAN"),"QT. SUFFISANTE",IF($AO73="","",TRIM(MID($AQ73,LEN($AO73&amp;"")+1,999))))))</f>
        <v/>
      </c>
      <c r="AQ73" s="473" t="str">
        <f t="shared" ref="AQ73:AQ106" si="11">IF($AD73="","",UPPER(TRIM(SUBSTITUTE(SUBSTITUTE($AD73&amp;"",CHAR(160)," ")," "," "))))</f>
        <v/>
      </c>
      <c r="AR73" s="473" t="str">
        <f t="shared" ref="AR73:AR106" si="12">IF($AQ73="","",MIN($AS73,$AT73,$AU73))</f>
        <v/>
      </c>
      <c r="AS73" s="473" t="str">
        <f t="shared" ref="AS73:AS106" si="13">IF($AQ73="","",MIN(IFERROR(SEARCH("A",$AQ73),999),IFERROR(SEARCH("B",$AQ73),999),IFERROR(SEARCH("C",$AQ73),999),IFERROR(SEARCH("D",$AQ73),999),IFERROR(SEARCH("E",$AQ73),999),IFERROR(SEARCH("F",$AQ73),999),IFERROR(SEARCH("G",$AQ73),999),IFERROR(SEARCH("H",$AQ73),999),IFERROR(SEARCH("I",$AQ73),999)))</f>
        <v/>
      </c>
      <c r="AT73" s="473" t="str">
        <f t="shared" ref="AT73:AT106" si="14">IF($AQ73="","",MIN(IFERROR(SEARCH("J",$AQ73),999),IFERROR(SEARCH("K",$AQ73),999),IFERROR(SEARCH("L",$AQ73),999),IFERROR(SEARCH("M",$AQ73),999),IFERROR(SEARCH("N",$AQ73),999),IFERROR(SEARCH("O",$AQ73),999),IFERROR(SEARCH("P",$AQ73),999),IFERROR(SEARCH("Q",$AQ73),999),IFERROR(SEARCH("R",$AQ73),999)))</f>
        <v/>
      </c>
      <c r="AU73" s="473" t="str">
        <f t="shared" ref="AU73:AU106" si="15">IF($AQ73="","",MIN(IFERROR(SEARCH("S",$AQ73),999),IFERROR(SEARCH("T",$AQ73),999),IFERROR(SEARCH("U",$AQ73),999),IFERROR(SEARCH("V",$AQ73),999),IFERROR(SEARCH("W",$AQ73),999),IFERROR(SEARCH("X",$AQ73),999),IFERROR(SEARCH("Y",$AQ73),999),IFERROR(SEARCH("Z",$AQ73),999)))</f>
        <v/>
      </c>
      <c r="AY73" s="440" t="s">
        <v>8110</v>
      </c>
      <c r="AZ73" s="485" t="s">
        <v>34</v>
      </c>
      <c r="BA73" s="485" t="s">
        <v>8123</v>
      </c>
      <c r="BB73" s="486" t="s">
        <v>8124</v>
      </c>
      <c r="BD73" s="279">
        <v>1</v>
      </c>
      <c r="BG73" s="271"/>
      <c r="BH73" s="271"/>
      <c r="BI73" s="271"/>
      <c r="BJ73" s="271"/>
      <c r="BK73" s="271"/>
      <c r="BL73" s="271"/>
    </row>
    <row r="74" spans="1:111" ht="21" customHeight="1" x14ac:dyDescent="0.25">
      <c r="R74" s="34" t="s">
        <v>6112</v>
      </c>
      <c r="S74" s="451"/>
      <c r="T74" s="28" t="s">
        <v>13</v>
      </c>
      <c r="V74" s="475">
        <v>1</v>
      </c>
      <c r="W74" s="475" t="str">
        <f>IF($AC$74="","",$W$72)</f>
        <v/>
      </c>
      <c r="X74" s="476" t="str">
        <f>IF($AC$74="","",$X$72)</f>
        <v/>
      </c>
      <c r="Y74" s="477" t="str">
        <f>IF($X$74="","",$Y$72)</f>
        <v/>
      </c>
      <c r="Z74" s="477" t="str">
        <f>IF($X$74="","",$Z$72)</f>
        <v/>
      </c>
      <c r="AA74" s="477" t="str">
        <f>IF($AC$74="","",ROW($A$74)-ROW($A$72))</f>
        <v/>
      </c>
      <c r="AB74" s="487"/>
      <c r="AC74" s="34"/>
      <c r="AD74" s="356"/>
      <c r="AE74" s="479"/>
      <c r="AF74" s="475"/>
      <c r="AG74" s="480" t="str">
        <f t="shared" si="4"/>
        <v/>
      </c>
      <c r="AH74" s="481" t="str">
        <f t="shared" si="5"/>
        <v/>
      </c>
      <c r="AI74" s="477" t="str">
        <f>IF($AC$74="","",IFERROR(INDEX($AZ$74:$AZ$119,MATCH($AH$74,$AY$74:$AY$119,0)),"AUTRE"))</f>
        <v/>
      </c>
      <c r="AJ74" s="482" t="str">
        <f>IF($AC$74="","",IFERROR(INDEX($BA$74:$BA$119,MATCH($AH$74,$AY$74:$AY$119,0)),1))</f>
        <v/>
      </c>
      <c r="AK74" s="482" t="str">
        <f t="shared" si="6"/>
        <v/>
      </c>
      <c r="AL74" s="477" t="str">
        <f>IF($AC$74="","",IFERROR(INDEX($BB$74:$BB$119,MATCH($AH$74,$AY$74:$AY$119,0)),$AH$74))</f>
        <v/>
      </c>
      <c r="AM74" s="483" t="str">
        <f t="shared" si="7"/>
        <v/>
      </c>
      <c r="AN74" s="484" t="str">
        <f t="shared" si="8"/>
        <v/>
      </c>
      <c r="AO74" s="473" t="str">
        <f t="shared" si="9"/>
        <v/>
      </c>
      <c r="AP74" s="473" t="str">
        <f t="shared" si="10"/>
        <v/>
      </c>
      <c r="AQ74" s="473" t="str">
        <f t="shared" si="11"/>
        <v/>
      </c>
      <c r="AR74" s="473" t="str">
        <f t="shared" si="12"/>
        <v/>
      </c>
      <c r="AS74" s="473" t="str">
        <f t="shared" si="13"/>
        <v/>
      </c>
      <c r="AT74" s="473" t="str">
        <f t="shared" si="14"/>
        <v/>
      </c>
      <c r="AU74" s="473" t="str">
        <f t="shared" si="15"/>
        <v/>
      </c>
      <c r="AY74" s="14" t="s">
        <v>7</v>
      </c>
      <c r="AZ74" s="488" t="s">
        <v>35</v>
      </c>
      <c r="BA74" s="418">
        <v>1</v>
      </c>
      <c r="BB74" s="419" t="s">
        <v>36</v>
      </c>
      <c r="BD74" s="279">
        <v>1</v>
      </c>
      <c r="BG74" s="271"/>
      <c r="BH74" s="271"/>
      <c r="BI74" s="271"/>
      <c r="BJ74" s="271"/>
      <c r="BK74" s="271"/>
      <c r="BL74" s="271"/>
    </row>
    <row r="75" spans="1:111" ht="21" customHeight="1" x14ac:dyDescent="0.25">
      <c r="R75" s="25" t="s">
        <v>6116</v>
      </c>
      <c r="S75" s="451"/>
      <c r="T75" s="28" t="s">
        <v>14</v>
      </c>
      <c r="V75" s="475">
        <v>1</v>
      </c>
      <c r="W75" s="475" t="str">
        <f>IF($AC$75="","",$W$72)</f>
        <v/>
      </c>
      <c r="X75" s="476" t="str">
        <f>IF($AC$75="","",$X$72)</f>
        <v/>
      </c>
      <c r="Y75" s="477" t="str">
        <f>IF($X$75="","",$Y$72)</f>
        <v/>
      </c>
      <c r="Z75" s="477" t="str">
        <f>IF($X$75="","",$Z$72)</f>
        <v/>
      </c>
      <c r="AA75" s="477" t="str">
        <f>IF($AC$75="","",ROW($A$75)-ROW($A$72))</f>
        <v/>
      </c>
      <c r="AB75" s="478"/>
      <c r="AC75" s="34"/>
      <c r="AD75" s="356"/>
      <c r="AE75" s="479"/>
      <c r="AF75" s="475"/>
      <c r="AG75" s="480" t="str">
        <f t="shared" si="4"/>
        <v/>
      </c>
      <c r="AH75" s="481" t="str">
        <f t="shared" si="5"/>
        <v/>
      </c>
      <c r="AI75" s="477" t="str">
        <f>IF($AC$75="","",IFERROR(INDEX($AZ$74:$AZ$119,MATCH($AH$75,$AY$74:$AY$119,0)),"AUTRE"))</f>
        <v/>
      </c>
      <c r="AJ75" s="482" t="str">
        <f>IF($AC$75="","",IFERROR(INDEX($BA$74:$BA$119,MATCH($AH$75,$AY$74:$AY$119,0)),1))</f>
        <v/>
      </c>
      <c r="AK75" s="482" t="str">
        <f t="shared" si="6"/>
        <v/>
      </c>
      <c r="AL75" s="477" t="str">
        <f>IF($AC$75="","",IFERROR(INDEX($BB$74:$BB$119,MATCH($AH$75,$AY$74:$AY$119,0)),$AH$75))</f>
        <v/>
      </c>
      <c r="AM75" s="483" t="str">
        <f t="shared" si="7"/>
        <v/>
      </c>
      <c r="AN75" s="484" t="str">
        <f t="shared" si="8"/>
        <v/>
      </c>
      <c r="AO75" s="473" t="str">
        <f t="shared" si="9"/>
        <v/>
      </c>
      <c r="AP75" s="473" t="str">
        <f t="shared" si="10"/>
        <v/>
      </c>
      <c r="AQ75" s="473" t="str">
        <f t="shared" si="11"/>
        <v/>
      </c>
      <c r="AR75" s="473" t="str">
        <f t="shared" si="12"/>
        <v/>
      </c>
      <c r="AS75" s="473" t="str">
        <f t="shared" si="13"/>
        <v/>
      </c>
      <c r="AT75" s="473" t="str">
        <f t="shared" si="14"/>
        <v/>
      </c>
      <c r="AU75" s="473" t="str">
        <f t="shared" si="15"/>
        <v/>
      </c>
      <c r="AY75" s="27" t="s">
        <v>8</v>
      </c>
      <c r="AZ75" s="488" t="s">
        <v>35</v>
      </c>
      <c r="BA75" s="489">
        <v>1E-3</v>
      </c>
      <c r="BB75" s="419" t="s">
        <v>36</v>
      </c>
      <c r="BD75" s="279">
        <v>1</v>
      </c>
      <c r="BG75" s="271"/>
      <c r="BH75" s="271"/>
      <c r="BI75" s="271"/>
      <c r="BJ75" s="271"/>
      <c r="BK75" s="271"/>
      <c r="BL75" s="271"/>
    </row>
    <row r="76" spans="1:111" ht="21" customHeight="1" x14ac:dyDescent="0.25">
      <c r="R76" s="34" t="s">
        <v>6117</v>
      </c>
      <c r="S76" s="451"/>
      <c r="T76" s="28" t="s">
        <v>15</v>
      </c>
      <c r="V76" s="475">
        <v>1</v>
      </c>
      <c r="W76" s="475" t="str">
        <f>IF($AC$76="","",$W$72)</f>
        <v/>
      </c>
      <c r="X76" s="476" t="str">
        <f>IF($AC$76="","",$X$72)</f>
        <v/>
      </c>
      <c r="Y76" s="477" t="str">
        <f>IF($X$76="","",$Y$72)</f>
        <v/>
      </c>
      <c r="Z76" s="477" t="str">
        <f>IF($X$76="","",$Z$72)</f>
        <v/>
      </c>
      <c r="AA76" s="477" t="str">
        <f>IF($AC$76="","",ROW($A$76)-ROW($A$72))</f>
        <v/>
      </c>
      <c r="AB76" s="478"/>
      <c r="AC76" s="34"/>
      <c r="AD76" s="356"/>
      <c r="AE76" s="479"/>
      <c r="AF76" s="475"/>
      <c r="AG76" s="480" t="str">
        <f t="shared" si="4"/>
        <v/>
      </c>
      <c r="AH76" s="481" t="str">
        <f t="shared" si="5"/>
        <v/>
      </c>
      <c r="AI76" s="477" t="str">
        <f>IF($AC$76="","",IFERROR(INDEX($AZ$74:$AZ$119,MATCH($AH$76,$AY$74:$AY$119,0)),"AUTRE"))</f>
        <v/>
      </c>
      <c r="AJ76" s="482" t="str">
        <f>IF($AC$76="","",IFERROR(INDEX($BA$74:$BA$119,MATCH($AH$76,$AY$74:$AY$119,0)),1))</f>
        <v/>
      </c>
      <c r="AK76" s="482" t="str">
        <f t="shared" si="6"/>
        <v/>
      </c>
      <c r="AL76" s="477" t="str">
        <f>IF($AC$76="","",IFERROR(INDEX($BB$74:$BB$119,MATCH($AH$76,$AY$74:$AY$119,0)),$AH$76))</f>
        <v/>
      </c>
      <c r="AM76" s="483" t="str">
        <f t="shared" si="7"/>
        <v/>
      </c>
      <c r="AN76" s="484" t="str">
        <f t="shared" si="8"/>
        <v/>
      </c>
      <c r="AO76" s="473" t="str">
        <f t="shared" si="9"/>
        <v/>
      </c>
      <c r="AP76" s="473" t="str">
        <f t="shared" si="10"/>
        <v/>
      </c>
      <c r="AQ76" s="473" t="str">
        <f t="shared" si="11"/>
        <v/>
      </c>
      <c r="AR76" s="473" t="str">
        <f t="shared" si="12"/>
        <v/>
      </c>
      <c r="AS76" s="473" t="str">
        <f t="shared" si="13"/>
        <v/>
      </c>
      <c r="AT76" s="473" t="str">
        <f t="shared" si="14"/>
        <v/>
      </c>
      <c r="AU76" s="473" t="str">
        <f t="shared" si="15"/>
        <v/>
      </c>
      <c r="AY76" s="28" t="s">
        <v>13</v>
      </c>
      <c r="AZ76" s="488" t="s">
        <v>35</v>
      </c>
      <c r="BA76" s="489">
        <v>0.25</v>
      </c>
      <c r="BB76" s="419" t="s">
        <v>36</v>
      </c>
      <c r="BD76" s="279">
        <v>1</v>
      </c>
      <c r="BG76" s="271"/>
      <c r="BH76" s="271"/>
      <c r="BI76" s="271"/>
      <c r="BJ76" s="271"/>
      <c r="BK76" s="271"/>
      <c r="BL76" s="271"/>
    </row>
    <row r="77" spans="1:111" ht="21" customHeight="1" x14ac:dyDescent="0.25">
      <c r="R77" s="34" t="s">
        <v>469</v>
      </c>
      <c r="S77" s="451"/>
      <c r="T77" s="28" t="s">
        <v>21</v>
      </c>
      <c r="V77" s="475">
        <v>1</v>
      </c>
      <c r="W77" s="475" t="str">
        <f>IF($AC$77="","",$W$72)</f>
        <v/>
      </c>
      <c r="X77" s="476" t="str">
        <f>IF($AC$77="","",$X$72)</f>
        <v/>
      </c>
      <c r="Y77" s="477" t="str">
        <f>IF($X$77="","",$Y$72)</f>
        <v/>
      </c>
      <c r="Z77" s="477" t="str">
        <f>IF($X$77="","",$Z$72)</f>
        <v/>
      </c>
      <c r="AA77" s="477" t="str">
        <f>IF($AC$77="","",ROW($A$77)-ROW($A$72))</f>
        <v/>
      </c>
      <c r="AB77" s="478"/>
      <c r="AC77" s="34"/>
      <c r="AD77" s="356"/>
      <c r="AE77" s="479"/>
      <c r="AF77" s="475"/>
      <c r="AG77" s="480" t="str">
        <f t="shared" si="4"/>
        <v/>
      </c>
      <c r="AH77" s="481" t="str">
        <f t="shared" si="5"/>
        <v/>
      </c>
      <c r="AI77" s="477" t="str">
        <f>IF($AC$77="","",IFERROR(INDEX($AZ$74:$AZ$119,MATCH($AH$77,$AY$74:$AY$119,0)),"AUTRE"))</f>
        <v/>
      </c>
      <c r="AJ77" s="482" t="str">
        <f>IF($AC$77="","",IFERROR(INDEX($BA$74:$BA$119,MATCH($AH$77,$AY$74:$AY$119,0)),1))</f>
        <v/>
      </c>
      <c r="AK77" s="482" t="str">
        <f t="shared" si="6"/>
        <v/>
      </c>
      <c r="AL77" s="477" t="str">
        <f>IF($AC$77="","",IFERROR(INDEX($BB$74:$BB$119,MATCH($AH$77,$AY$74:$AY$119,0)),$AH$77))</f>
        <v/>
      </c>
      <c r="AM77" s="483" t="str">
        <f t="shared" si="7"/>
        <v/>
      </c>
      <c r="AN77" s="484" t="str">
        <f t="shared" si="8"/>
        <v/>
      </c>
      <c r="AO77" s="473" t="str">
        <f t="shared" si="9"/>
        <v/>
      </c>
      <c r="AP77" s="473" t="str">
        <f t="shared" si="10"/>
        <v/>
      </c>
      <c r="AQ77" s="473" t="str">
        <f t="shared" si="11"/>
        <v/>
      </c>
      <c r="AR77" s="473" t="str">
        <f t="shared" si="12"/>
        <v/>
      </c>
      <c r="AS77" s="473" t="str">
        <f t="shared" si="13"/>
        <v/>
      </c>
      <c r="AT77" s="473" t="str">
        <f t="shared" si="14"/>
        <v/>
      </c>
      <c r="AU77" s="473" t="str">
        <f t="shared" si="15"/>
        <v/>
      </c>
      <c r="AY77" s="28" t="s">
        <v>14</v>
      </c>
      <c r="AZ77" s="488" t="s">
        <v>35</v>
      </c>
      <c r="BA77" s="489">
        <v>0.33333333300000001</v>
      </c>
      <c r="BB77" s="419" t="s">
        <v>36</v>
      </c>
      <c r="BD77" s="279">
        <v>1</v>
      </c>
      <c r="BG77" s="271"/>
      <c r="BH77" s="271"/>
      <c r="BI77" s="271"/>
      <c r="BJ77" s="271"/>
      <c r="BK77" s="271"/>
      <c r="BL77" s="271"/>
    </row>
    <row r="78" spans="1:111" ht="21" customHeight="1" x14ac:dyDescent="0.25">
      <c r="R78" s="34" t="s">
        <v>6118</v>
      </c>
      <c r="S78" s="451"/>
      <c r="T78" s="28" t="s">
        <v>22</v>
      </c>
      <c r="V78" s="475">
        <v>1</v>
      </c>
      <c r="W78" s="475" t="str">
        <f>IF($AC$78="","",$W$72)</f>
        <v/>
      </c>
      <c r="X78" s="476" t="str">
        <f>IF($AC$78="","",$X$72)</f>
        <v/>
      </c>
      <c r="Y78" s="477" t="str">
        <f>IF($X$78="","",$Y$72)</f>
        <v/>
      </c>
      <c r="Z78" s="477" t="str">
        <f>IF($X$78="","",$Z$72)</f>
        <v/>
      </c>
      <c r="AA78" s="477" t="str">
        <f>IF($AC$78="","",ROW($A$78)-ROW($A$72))</f>
        <v/>
      </c>
      <c r="AB78" s="478"/>
      <c r="AC78" s="34"/>
      <c r="AD78" s="356"/>
      <c r="AE78" s="479"/>
      <c r="AF78" s="475"/>
      <c r="AG78" s="480" t="str">
        <f t="shared" si="4"/>
        <v/>
      </c>
      <c r="AH78" s="481" t="str">
        <f t="shared" si="5"/>
        <v/>
      </c>
      <c r="AI78" s="477" t="str">
        <f>IF($AC$78="","",IFERROR(INDEX($AZ$74:$AZ$119,MATCH($AH$78,$AY$74:$AY$119,0)),"AUTRE"))</f>
        <v/>
      </c>
      <c r="AJ78" s="482" t="str">
        <f>IF($AC$78="","",IFERROR(INDEX($BA$74:$BA$119,MATCH($AH$78,$AY$74:$AY$119,0)),1))</f>
        <v/>
      </c>
      <c r="AK78" s="482" t="str">
        <f t="shared" si="6"/>
        <v/>
      </c>
      <c r="AL78" s="477" t="str">
        <f>IF($AC$78="","",IFERROR(INDEX($BB$74:$BB$119,MATCH($AH$78,$AY$74:$AY$119,0)),$AH$78))</f>
        <v/>
      </c>
      <c r="AM78" s="483" t="str">
        <f t="shared" si="7"/>
        <v/>
      </c>
      <c r="AN78" s="484" t="str">
        <f t="shared" si="8"/>
        <v/>
      </c>
      <c r="AO78" s="473" t="str">
        <f t="shared" si="9"/>
        <v/>
      </c>
      <c r="AP78" s="473" t="str">
        <f t="shared" si="10"/>
        <v/>
      </c>
      <c r="AQ78" s="473" t="str">
        <f t="shared" si="11"/>
        <v/>
      </c>
      <c r="AR78" s="473" t="str">
        <f t="shared" si="12"/>
        <v/>
      </c>
      <c r="AS78" s="473" t="str">
        <f t="shared" si="13"/>
        <v/>
      </c>
      <c r="AT78" s="473" t="str">
        <f t="shared" si="14"/>
        <v/>
      </c>
      <c r="AU78" s="473" t="str">
        <f t="shared" si="15"/>
        <v/>
      </c>
      <c r="AY78" s="28" t="s">
        <v>15</v>
      </c>
      <c r="AZ78" s="488" t="s">
        <v>35</v>
      </c>
      <c r="BA78" s="489">
        <v>0.5</v>
      </c>
      <c r="BB78" s="419" t="s">
        <v>36</v>
      </c>
      <c r="BD78" s="279">
        <v>1</v>
      </c>
      <c r="BG78" s="271"/>
      <c r="BH78" s="271"/>
      <c r="BI78" s="271"/>
      <c r="BJ78" s="271"/>
      <c r="BK78" s="271"/>
      <c r="BL78" s="271"/>
    </row>
    <row r="79" spans="1:111" ht="21" customHeight="1" x14ac:dyDescent="0.25">
      <c r="R79" s="34" t="s">
        <v>492</v>
      </c>
      <c r="S79" s="451"/>
      <c r="T79" s="28" t="s">
        <v>23</v>
      </c>
      <c r="V79" s="475">
        <v>1</v>
      </c>
      <c r="W79" s="475" t="str">
        <f>IF($AC$79="","",$W$72)</f>
        <v/>
      </c>
      <c r="X79" s="476" t="str">
        <f>IF($AC$79="","",$X$72)</f>
        <v/>
      </c>
      <c r="Y79" s="477" t="str">
        <f>IF($X$79="","",$Y$72)</f>
        <v/>
      </c>
      <c r="Z79" s="477" t="str">
        <f>IF($X$79="","",$Z$72)</f>
        <v/>
      </c>
      <c r="AA79" s="477" t="str">
        <f>IF($AC$79="","",ROW($A$79)-ROW($A$72))</f>
        <v/>
      </c>
      <c r="AB79" s="478"/>
      <c r="AC79" s="34"/>
      <c r="AD79" s="356"/>
      <c r="AE79" s="479"/>
      <c r="AF79" s="475"/>
      <c r="AG79" s="480" t="str">
        <f t="shared" si="4"/>
        <v/>
      </c>
      <c r="AH79" s="481" t="str">
        <f t="shared" si="5"/>
        <v/>
      </c>
      <c r="AI79" s="477" t="str">
        <f>IF($AC$79="","",IFERROR(INDEX($AZ$74:$AZ$119,MATCH($AH$79,$AY$74:$AY$119,0)),"AUTRE"))</f>
        <v/>
      </c>
      <c r="AJ79" s="482" t="str">
        <f>IF($AC$79="","",IFERROR(INDEX($BA$74:$BA$119,MATCH($AH$79,$AY$74:$AY$119,0)),1))</f>
        <v/>
      </c>
      <c r="AK79" s="482" t="str">
        <f t="shared" si="6"/>
        <v/>
      </c>
      <c r="AL79" s="477" t="str">
        <f>IF($AC$79="","",IFERROR(INDEX($BB$74:$BB$119,MATCH($AH$79,$AY$74:$AY$119,0)),$AH$79))</f>
        <v/>
      </c>
      <c r="AM79" s="483" t="str">
        <f t="shared" si="7"/>
        <v/>
      </c>
      <c r="AN79" s="484" t="str">
        <f t="shared" si="8"/>
        <v/>
      </c>
      <c r="AO79" s="473" t="str">
        <f t="shared" si="9"/>
        <v/>
      </c>
      <c r="AP79" s="473" t="str">
        <f t="shared" si="10"/>
        <v/>
      </c>
      <c r="AQ79" s="473" t="str">
        <f t="shared" si="11"/>
        <v/>
      </c>
      <c r="AR79" s="473" t="str">
        <f t="shared" si="12"/>
        <v/>
      </c>
      <c r="AS79" s="473" t="str">
        <f t="shared" si="13"/>
        <v/>
      </c>
      <c r="AT79" s="473" t="str">
        <f t="shared" si="14"/>
        <v/>
      </c>
      <c r="AU79" s="473" t="str">
        <f t="shared" si="15"/>
        <v/>
      </c>
      <c r="AY79" s="29" t="s">
        <v>9</v>
      </c>
      <c r="AZ79" s="488" t="s">
        <v>37</v>
      </c>
      <c r="BA79" s="489">
        <v>1</v>
      </c>
      <c r="BB79" s="419" t="s">
        <v>9</v>
      </c>
      <c r="BD79" s="279">
        <v>1</v>
      </c>
      <c r="BG79" s="271"/>
      <c r="BH79" s="271"/>
      <c r="BI79" s="271"/>
      <c r="BJ79" s="271"/>
      <c r="BK79" s="271"/>
      <c r="BL79" s="271"/>
    </row>
    <row r="80" spans="1:111" ht="21" customHeight="1" x14ac:dyDescent="0.25">
      <c r="R80" s="34" t="s">
        <v>458</v>
      </c>
      <c r="S80" s="451"/>
      <c r="T80" s="28" t="s">
        <v>24</v>
      </c>
      <c r="V80" s="475">
        <v>1</v>
      </c>
      <c r="W80" s="475" t="str">
        <f>IF($AC$80="","",$W$72)</f>
        <v/>
      </c>
      <c r="X80" s="476" t="str">
        <f>IF($AC$80="","",$X$72)</f>
        <v/>
      </c>
      <c r="Y80" s="477" t="str">
        <f>IF($X$80="","",$Y$72)</f>
        <v/>
      </c>
      <c r="Z80" s="477" t="str">
        <f>IF($X$80="","",$Z$72)</f>
        <v/>
      </c>
      <c r="AA80" s="477" t="str">
        <f>IF($AC$80="","",ROW($A$80)-ROW($A$72))</f>
        <v/>
      </c>
      <c r="AB80" s="478"/>
      <c r="AC80" s="34"/>
      <c r="AD80" s="356"/>
      <c r="AE80" s="479"/>
      <c r="AF80" s="475"/>
      <c r="AG80" s="480" t="str">
        <f t="shared" si="4"/>
        <v/>
      </c>
      <c r="AH80" s="481" t="str">
        <f t="shared" si="5"/>
        <v/>
      </c>
      <c r="AI80" s="477" t="str">
        <f>IF($AC$80="","",IFERROR(INDEX($AZ$74:$AZ$119,MATCH($AH$80,$AY$74:$AY$119,0)),"AUTRE"))</f>
        <v/>
      </c>
      <c r="AJ80" s="482" t="str">
        <f>IF($AC$80="","",IFERROR(INDEX($BA$74:$BA$119,MATCH($AH$80,$AY$74:$AY$119,0)),1))</f>
        <v/>
      </c>
      <c r="AK80" s="482" t="str">
        <f t="shared" si="6"/>
        <v/>
      </c>
      <c r="AL80" s="477" t="str">
        <f>IF($AC$80="","",IFERROR(INDEX($BB$74:$BB$119,MATCH($AH$80,$AY$74:$AY$119,0)),$AH$80))</f>
        <v/>
      </c>
      <c r="AM80" s="483" t="str">
        <f t="shared" si="7"/>
        <v/>
      </c>
      <c r="AN80" s="484" t="str">
        <f t="shared" si="8"/>
        <v/>
      </c>
      <c r="AO80" s="473" t="str">
        <f t="shared" si="9"/>
        <v/>
      </c>
      <c r="AP80" s="473" t="str">
        <f t="shared" si="10"/>
        <v/>
      </c>
      <c r="AQ80" s="473" t="str">
        <f t="shared" si="11"/>
        <v/>
      </c>
      <c r="AR80" s="473" t="str">
        <f t="shared" si="12"/>
        <v/>
      </c>
      <c r="AS80" s="473" t="str">
        <f t="shared" si="13"/>
        <v/>
      </c>
      <c r="AT80" s="473" t="str">
        <f t="shared" si="14"/>
        <v/>
      </c>
      <c r="AU80" s="473" t="str">
        <f t="shared" si="15"/>
        <v/>
      </c>
      <c r="AY80" s="30" t="s">
        <v>10</v>
      </c>
      <c r="AZ80" s="488" t="s">
        <v>37</v>
      </c>
      <c r="BA80" s="489">
        <v>0.1</v>
      </c>
      <c r="BB80" s="419" t="s">
        <v>9</v>
      </c>
      <c r="BD80" s="279">
        <v>1</v>
      </c>
      <c r="BG80" s="271"/>
      <c r="BH80" s="271"/>
      <c r="BI80" s="271"/>
      <c r="BJ80" s="271"/>
      <c r="BK80" s="271"/>
      <c r="BL80" s="271"/>
    </row>
    <row r="81" spans="18:64" ht="21" customHeight="1" x14ac:dyDescent="0.25">
      <c r="R81" s="490"/>
      <c r="S81" s="451"/>
      <c r="T81" s="29" t="s">
        <v>9</v>
      </c>
      <c r="V81" s="475">
        <v>1</v>
      </c>
      <c r="W81" s="475" t="str">
        <f>IF($AC$81="","",$W$72)</f>
        <v/>
      </c>
      <c r="X81" s="476" t="str">
        <f>IF($AC$81="","",$X$72)</f>
        <v/>
      </c>
      <c r="Y81" s="477" t="str">
        <f>IF($X$81="","",$Y$72)</f>
        <v/>
      </c>
      <c r="Z81" s="477" t="str">
        <f>IF($X$81="","",$Z$72)</f>
        <v/>
      </c>
      <c r="AA81" s="477" t="str">
        <f>IF($AC$81="","",ROW($A$81)-ROW($A$72))</f>
        <v/>
      </c>
      <c r="AB81" s="478"/>
      <c r="AC81" s="34"/>
      <c r="AD81" s="356"/>
      <c r="AE81" s="479"/>
      <c r="AF81" s="475"/>
      <c r="AG81" s="480" t="str">
        <f t="shared" si="4"/>
        <v/>
      </c>
      <c r="AH81" s="481" t="str">
        <f t="shared" si="5"/>
        <v/>
      </c>
      <c r="AI81" s="477" t="str">
        <f>IF($AC$81="","",IFERROR(INDEX($AZ$74:$AZ$119,MATCH($AH$81,$AY$74:$AY$119,0)),"AUTRE"))</f>
        <v/>
      </c>
      <c r="AJ81" s="482" t="str">
        <f>IF($AC$81="","",IFERROR(INDEX($BA$74:$BA$119,MATCH($AH$81,$AY$74:$AY$119,0)),1))</f>
        <v/>
      </c>
      <c r="AK81" s="482" t="str">
        <f t="shared" si="6"/>
        <v/>
      </c>
      <c r="AL81" s="477" t="str">
        <f>IF($AC$81="","",IFERROR(INDEX($BB$74:$BB$119,MATCH($AH$81,$AY$74:$AY$119,0)),$AH$81))</f>
        <v/>
      </c>
      <c r="AM81" s="483" t="str">
        <f t="shared" si="7"/>
        <v/>
      </c>
      <c r="AN81" s="484" t="str">
        <f t="shared" si="8"/>
        <v/>
      </c>
      <c r="AO81" s="473" t="str">
        <f t="shared" si="9"/>
        <v/>
      </c>
      <c r="AP81" s="473" t="str">
        <f t="shared" si="10"/>
        <v/>
      </c>
      <c r="AQ81" s="473" t="str">
        <f t="shared" si="11"/>
        <v/>
      </c>
      <c r="AR81" s="473" t="str">
        <f t="shared" si="12"/>
        <v/>
      </c>
      <c r="AS81" s="473" t="str">
        <f t="shared" si="13"/>
        <v/>
      </c>
      <c r="AT81" s="473" t="str">
        <f t="shared" si="14"/>
        <v/>
      </c>
      <c r="AU81" s="473" t="str">
        <f t="shared" si="15"/>
        <v/>
      </c>
      <c r="AY81" s="30" t="s">
        <v>11</v>
      </c>
      <c r="AZ81" s="488" t="s">
        <v>37</v>
      </c>
      <c r="BA81" s="489">
        <v>0.01</v>
      </c>
      <c r="BB81" s="419" t="s">
        <v>9</v>
      </c>
      <c r="BD81" s="279">
        <v>1</v>
      </c>
      <c r="BG81" s="271"/>
      <c r="BH81" s="271"/>
      <c r="BI81" s="271"/>
      <c r="BJ81" s="271"/>
      <c r="BK81" s="271"/>
      <c r="BL81" s="271"/>
    </row>
    <row r="82" spans="18:64" ht="21" customHeight="1" x14ac:dyDescent="0.25">
      <c r="R82" s="25" t="s">
        <v>6119</v>
      </c>
      <c r="S82" s="451"/>
      <c r="T82" s="30" t="s">
        <v>10</v>
      </c>
      <c r="V82" s="475">
        <v>1</v>
      </c>
      <c r="W82" s="475" t="str">
        <f>IF($AC$82="","",$W$72)</f>
        <v/>
      </c>
      <c r="X82" s="476" t="str">
        <f>IF($AC$82="","",$X$72)</f>
        <v/>
      </c>
      <c r="Y82" s="477" t="str">
        <f>IF($X$82="","",$Y$72)</f>
        <v/>
      </c>
      <c r="Z82" s="477" t="str">
        <f>IF($X$82="","",$Z$72)</f>
        <v/>
      </c>
      <c r="AA82" s="477" t="str">
        <f>IF($AC$82="","",ROW($A$82)-ROW($A$72))</f>
        <v/>
      </c>
      <c r="AB82" s="478"/>
      <c r="AC82" s="34"/>
      <c r="AD82" s="356"/>
      <c r="AE82" s="479"/>
      <c r="AF82" s="475"/>
      <c r="AG82" s="480" t="str">
        <f t="shared" si="4"/>
        <v/>
      </c>
      <c r="AH82" s="481" t="str">
        <f t="shared" si="5"/>
        <v/>
      </c>
      <c r="AI82" s="477" t="str">
        <f>IF($AC$82="","",IFERROR(INDEX($AZ$74:$AZ$119,MATCH($AH$82,$AY$74:$AY$119,0)),"AUTRE"))</f>
        <v/>
      </c>
      <c r="AJ82" s="482" t="str">
        <f>IF($AC$82="","",IFERROR(INDEX($BA$74:$BA$119,MATCH($AH$82,$AY$74:$AY$119,0)),1))</f>
        <v/>
      </c>
      <c r="AK82" s="482" t="str">
        <f t="shared" si="6"/>
        <v/>
      </c>
      <c r="AL82" s="477" t="str">
        <f>IF($AC$82="","",IFERROR(INDEX($BB$74:$BB$119,MATCH($AH$82,$AY$74:$AY$119,0)),$AH$82))</f>
        <v/>
      </c>
      <c r="AM82" s="483" t="str">
        <f t="shared" si="7"/>
        <v/>
      </c>
      <c r="AN82" s="484" t="str">
        <f t="shared" si="8"/>
        <v/>
      </c>
      <c r="AO82" s="473" t="str">
        <f t="shared" si="9"/>
        <v/>
      </c>
      <c r="AP82" s="473" t="str">
        <f t="shared" si="10"/>
        <v/>
      </c>
      <c r="AQ82" s="473" t="str">
        <f t="shared" si="11"/>
        <v/>
      </c>
      <c r="AR82" s="473" t="str">
        <f t="shared" si="12"/>
        <v/>
      </c>
      <c r="AS82" s="473" t="str">
        <f t="shared" si="13"/>
        <v/>
      </c>
      <c r="AT82" s="473" t="str">
        <f t="shared" si="14"/>
        <v/>
      </c>
      <c r="AU82" s="473" t="str">
        <f t="shared" si="15"/>
        <v/>
      </c>
      <c r="AY82" s="30" t="s">
        <v>12</v>
      </c>
      <c r="AZ82" s="488" t="s">
        <v>37</v>
      </c>
      <c r="BA82" s="489">
        <v>1E-3</v>
      </c>
      <c r="BB82" s="419" t="s">
        <v>9</v>
      </c>
      <c r="BD82" s="279">
        <v>1</v>
      </c>
      <c r="BG82" s="271"/>
      <c r="BH82" s="271"/>
      <c r="BI82" s="271"/>
      <c r="BJ82" s="271"/>
      <c r="BK82" s="271"/>
      <c r="BL82" s="271"/>
    </row>
    <row r="83" spans="18:64" ht="21" customHeight="1" x14ac:dyDescent="0.25">
      <c r="R83" s="34" t="s">
        <v>6120</v>
      </c>
      <c r="S83" s="451"/>
      <c r="T83" s="30" t="s">
        <v>11</v>
      </c>
      <c r="V83" s="475">
        <v>1</v>
      </c>
      <c r="W83" s="475" t="str">
        <f>IF($AC$83="","",$W$72)</f>
        <v/>
      </c>
      <c r="X83" s="476" t="str">
        <f>IF($AC$83="","",$X$72)</f>
        <v/>
      </c>
      <c r="Y83" s="477" t="str">
        <f>IF($X$83="","",$Y$72)</f>
        <v/>
      </c>
      <c r="Z83" s="477" t="str">
        <f>IF($X$83="","",$Z$72)</f>
        <v/>
      </c>
      <c r="AA83" s="477" t="str">
        <f>IF($AC$83="","",ROW($A$83)-ROW($A$72))</f>
        <v/>
      </c>
      <c r="AB83" s="478"/>
      <c r="AC83" s="34"/>
      <c r="AD83" s="356"/>
      <c r="AE83" s="479"/>
      <c r="AF83" s="475"/>
      <c r="AG83" s="480" t="str">
        <f t="shared" si="4"/>
        <v/>
      </c>
      <c r="AH83" s="481" t="str">
        <f t="shared" si="5"/>
        <v/>
      </c>
      <c r="AI83" s="477" t="str">
        <f>IF($AC$83="","",IFERROR(INDEX($AZ$74:$AZ$119,MATCH($AH$83,$AY$74:$AY$119,0)),"AUTRE"))</f>
        <v/>
      </c>
      <c r="AJ83" s="482" t="str">
        <f>IF($AC$83="","",IFERROR(INDEX($BA$74:$BA$119,MATCH($AH$83,$AY$74:$AY$119,0)),1))</f>
        <v/>
      </c>
      <c r="AK83" s="482" t="str">
        <f t="shared" si="6"/>
        <v/>
      </c>
      <c r="AL83" s="477" t="str">
        <f>IF($AC$83="","",IFERROR(INDEX($BB$74:$BB$119,MATCH($AH$83,$AY$74:$AY$119,0)),$AH$83))</f>
        <v/>
      </c>
      <c r="AM83" s="483" t="str">
        <f t="shared" si="7"/>
        <v/>
      </c>
      <c r="AN83" s="484" t="str">
        <f t="shared" si="8"/>
        <v/>
      </c>
      <c r="AO83" s="473" t="str">
        <f t="shared" si="9"/>
        <v/>
      </c>
      <c r="AP83" s="473" t="str">
        <f t="shared" si="10"/>
        <v/>
      </c>
      <c r="AQ83" s="473" t="str">
        <f t="shared" si="11"/>
        <v/>
      </c>
      <c r="AR83" s="473" t="str">
        <f t="shared" si="12"/>
        <v/>
      </c>
      <c r="AS83" s="473" t="str">
        <f t="shared" si="13"/>
        <v/>
      </c>
      <c r="AT83" s="473" t="str">
        <f t="shared" si="14"/>
        <v/>
      </c>
      <c r="AU83" s="473" t="str">
        <f t="shared" si="15"/>
        <v/>
      </c>
      <c r="AY83" s="31" t="s">
        <v>16</v>
      </c>
      <c r="AZ83" s="488" t="s">
        <v>37</v>
      </c>
      <c r="BA83" s="489">
        <v>0.5</v>
      </c>
      <c r="BB83" s="419" t="s">
        <v>9</v>
      </c>
      <c r="BD83" s="279">
        <v>1</v>
      </c>
      <c r="BG83" s="271"/>
      <c r="BH83" s="271"/>
      <c r="BI83" s="271"/>
      <c r="BJ83" s="271"/>
      <c r="BK83" s="271"/>
      <c r="BL83" s="271"/>
    </row>
    <row r="84" spans="18:64" ht="21" customHeight="1" x14ac:dyDescent="0.25">
      <c r="R84" s="34" t="s">
        <v>6121</v>
      </c>
      <c r="S84" s="451"/>
      <c r="T84" s="30" t="s">
        <v>12</v>
      </c>
      <c r="V84" s="475">
        <v>1</v>
      </c>
      <c r="W84" s="475" t="str">
        <f>IF($AC$84="","",$W$72)</f>
        <v/>
      </c>
      <c r="X84" s="476" t="str">
        <f>IF($AC$84="","",$X$72)</f>
        <v/>
      </c>
      <c r="Y84" s="477" t="str">
        <f>IF($X$84="","",$Y$72)</f>
        <v/>
      </c>
      <c r="Z84" s="477" t="str">
        <f>IF($X$84="","",$Z$72)</f>
        <v/>
      </c>
      <c r="AA84" s="477" t="str">
        <f>IF($AC$84="","",ROW($A$84)-ROW($A$72))</f>
        <v/>
      </c>
      <c r="AB84" s="478"/>
      <c r="AC84" s="34"/>
      <c r="AD84" s="356"/>
      <c r="AE84" s="479"/>
      <c r="AF84" s="475"/>
      <c r="AG84" s="480" t="str">
        <f t="shared" si="4"/>
        <v/>
      </c>
      <c r="AH84" s="481" t="str">
        <f t="shared" si="5"/>
        <v/>
      </c>
      <c r="AI84" s="477" t="str">
        <f>IF($AC$84="","",IFERROR(INDEX($AZ$74:$AZ$119,MATCH($AH$84,$AY$74:$AY$119,0)),"AUTRE"))</f>
        <v/>
      </c>
      <c r="AJ84" s="482" t="str">
        <f>IF($AC$84="","",IFERROR(INDEX($BA$74:$BA$119,MATCH($AH$84,$AY$74:$AY$119,0)),1))</f>
        <v/>
      </c>
      <c r="AK84" s="482" t="str">
        <f t="shared" si="6"/>
        <v/>
      </c>
      <c r="AL84" s="477" t="str">
        <f>IF($AC$84="","",IFERROR(INDEX($BB$74:$BB$119,MATCH($AH$84,$AY$74:$AY$119,0)),$AH$84))</f>
        <v/>
      </c>
      <c r="AM84" s="483" t="str">
        <f t="shared" si="7"/>
        <v/>
      </c>
      <c r="AN84" s="484" t="str">
        <f t="shared" si="8"/>
        <v/>
      </c>
      <c r="AO84" s="473" t="str">
        <f t="shared" si="9"/>
        <v/>
      </c>
      <c r="AP84" s="473" t="str">
        <f t="shared" si="10"/>
        <v/>
      </c>
      <c r="AQ84" s="473" t="str">
        <f t="shared" si="11"/>
        <v/>
      </c>
      <c r="AR84" s="473" t="str">
        <f t="shared" si="12"/>
        <v/>
      </c>
      <c r="AS84" s="473" t="str">
        <f t="shared" si="13"/>
        <v/>
      </c>
      <c r="AT84" s="473" t="str">
        <f t="shared" si="14"/>
        <v/>
      </c>
      <c r="AU84" s="473" t="str">
        <f t="shared" si="15"/>
        <v/>
      </c>
      <c r="AY84" s="31" t="s">
        <v>17</v>
      </c>
      <c r="AZ84" s="488" t="s">
        <v>37</v>
      </c>
      <c r="BA84" s="489">
        <v>0.25</v>
      </c>
      <c r="BB84" s="419" t="s">
        <v>9</v>
      </c>
      <c r="BD84" s="279">
        <v>1</v>
      </c>
      <c r="BG84" s="271"/>
      <c r="BH84" s="271"/>
      <c r="BI84" s="271"/>
      <c r="BJ84" s="271"/>
      <c r="BK84" s="271"/>
      <c r="BL84" s="271"/>
    </row>
    <row r="85" spans="18:64" ht="21" customHeight="1" x14ac:dyDescent="0.25">
      <c r="R85" s="34" t="s">
        <v>6122</v>
      </c>
      <c r="S85" s="451"/>
      <c r="T85" s="31" t="s">
        <v>16</v>
      </c>
      <c r="V85" s="475">
        <v>1</v>
      </c>
      <c r="W85" s="475" t="str">
        <f>IF($AC$85="","",$W$72)</f>
        <v/>
      </c>
      <c r="X85" s="476" t="str">
        <f>IF($AC$85="","",$X$72)</f>
        <v/>
      </c>
      <c r="Y85" s="477" t="str">
        <f>IF($X$85="","",$Y$72)</f>
        <v/>
      </c>
      <c r="Z85" s="477" t="str">
        <f>IF($X$85="","",$Z$72)</f>
        <v/>
      </c>
      <c r="AA85" s="477" t="str">
        <f>IF($AC$85="","",ROW($A$85)-ROW($A$72))</f>
        <v/>
      </c>
      <c r="AB85" s="478"/>
      <c r="AC85" s="34"/>
      <c r="AD85" s="356"/>
      <c r="AE85" s="479"/>
      <c r="AF85" s="475"/>
      <c r="AG85" s="480" t="str">
        <f t="shared" si="4"/>
        <v/>
      </c>
      <c r="AH85" s="481" t="str">
        <f t="shared" si="5"/>
        <v/>
      </c>
      <c r="AI85" s="477" t="str">
        <f>IF($AC$85="","",IFERROR(INDEX($AZ$74:$AZ$119,MATCH($AH$85,$AY$74:$AY$119,0)),"AUTRE"))</f>
        <v/>
      </c>
      <c r="AJ85" s="482" t="str">
        <f>IF($AC$85="","",IFERROR(INDEX($BA$74:$BA$119,MATCH($AH$85,$AY$74:$AY$119,0)),1))</f>
        <v/>
      </c>
      <c r="AK85" s="482" t="str">
        <f t="shared" si="6"/>
        <v/>
      </c>
      <c r="AL85" s="477" t="str">
        <f>IF($AC$85="","",IFERROR(INDEX($BB$74:$BB$119,MATCH($AH$85,$AY$74:$AY$119,0)),$AH$85))</f>
        <v/>
      </c>
      <c r="AM85" s="483" t="str">
        <f t="shared" si="7"/>
        <v/>
      </c>
      <c r="AN85" s="484" t="str">
        <f t="shared" si="8"/>
        <v/>
      </c>
      <c r="AO85" s="473" t="str">
        <f t="shared" si="9"/>
        <v/>
      </c>
      <c r="AP85" s="473" t="str">
        <f t="shared" si="10"/>
        <v/>
      </c>
      <c r="AQ85" s="473" t="str">
        <f t="shared" si="11"/>
        <v/>
      </c>
      <c r="AR85" s="473" t="str">
        <f t="shared" si="12"/>
        <v/>
      </c>
      <c r="AS85" s="473" t="str">
        <f t="shared" si="13"/>
        <v/>
      </c>
      <c r="AT85" s="473" t="str">
        <f t="shared" si="14"/>
        <v/>
      </c>
      <c r="AU85" s="473" t="str">
        <f t="shared" si="15"/>
        <v/>
      </c>
      <c r="AY85" s="31" t="s">
        <v>18</v>
      </c>
      <c r="AZ85" s="488" t="s">
        <v>37</v>
      </c>
      <c r="BA85" s="489">
        <v>0.75</v>
      </c>
      <c r="BB85" s="419" t="s">
        <v>9</v>
      </c>
      <c r="BD85" s="279">
        <v>1</v>
      </c>
      <c r="BG85" s="271"/>
      <c r="BH85" s="271"/>
      <c r="BI85" s="271"/>
      <c r="BJ85" s="271"/>
      <c r="BK85" s="271"/>
      <c r="BL85" s="271"/>
    </row>
    <row r="86" spans="18:64" ht="21" customHeight="1" x14ac:dyDescent="0.25">
      <c r="R86" s="34" t="s">
        <v>6123</v>
      </c>
      <c r="S86" s="451"/>
      <c r="T86" s="31" t="s">
        <v>17</v>
      </c>
      <c r="V86" s="475">
        <v>1</v>
      </c>
      <c r="W86" s="475" t="str">
        <f>IF($AC$86="","",$W$72)</f>
        <v/>
      </c>
      <c r="X86" s="476" t="str">
        <f>IF($AC$86="","",$X$72)</f>
        <v/>
      </c>
      <c r="Y86" s="477" t="str">
        <f>IF($X$86="","",$Y$72)</f>
        <v/>
      </c>
      <c r="Z86" s="477" t="str">
        <f>IF($X$86="","",$Z$72)</f>
        <v/>
      </c>
      <c r="AA86" s="477" t="str">
        <f>IF($AC$86="","",ROW($A$86)-ROW($A$72))</f>
        <v/>
      </c>
      <c r="AB86" s="478"/>
      <c r="AC86" s="34"/>
      <c r="AD86" s="356"/>
      <c r="AE86" s="479"/>
      <c r="AF86" s="475"/>
      <c r="AG86" s="480" t="str">
        <f t="shared" si="4"/>
        <v/>
      </c>
      <c r="AH86" s="481" t="str">
        <f t="shared" si="5"/>
        <v/>
      </c>
      <c r="AI86" s="477" t="str">
        <f>IF($AC$86="","",IFERROR(INDEX($AZ$74:$AZ$119,MATCH($AH$86,$AY$74:$AY$119,0)),"AUTRE"))</f>
        <v/>
      </c>
      <c r="AJ86" s="482" t="str">
        <f>IF($AC$86="","",IFERROR(INDEX($BA$74:$BA$119,MATCH($AH$86,$AY$74:$AY$119,0)),1))</f>
        <v/>
      </c>
      <c r="AK86" s="482" t="str">
        <f t="shared" si="6"/>
        <v/>
      </c>
      <c r="AL86" s="477" t="str">
        <f>IF($AC$86="","",IFERROR(INDEX($BB$74:$BB$119,MATCH($AH$86,$AY$74:$AY$119,0)),$AH$86))</f>
        <v/>
      </c>
      <c r="AM86" s="483" t="str">
        <f t="shared" si="7"/>
        <v/>
      </c>
      <c r="AN86" s="484" t="str">
        <f t="shared" si="8"/>
        <v/>
      </c>
      <c r="AO86" s="473" t="str">
        <f t="shared" si="9"/>
        <v/>
      </c>
      <c r="AP86" s="473" t="str">
        <f t="shared" si="10"/>
        <v/>
      </c>
      <c r="AQ86" s="473" t="str">
        <f t="shared" si="11"/>
        <v/>
      </c>
      <c r="AR86" s="473" t="str">
        <f t="shared" si="12"/>
        <v/>
      </c>
      <c r="AS86" s="473" t="str">
        <f t="shared" si="13"/>
        <v/>
      </c>
      <c r="AT86" s="473" t="str">
        <f t="shared" si="14"/>
        <v/>
      </c>
      <c r="AU86" s="473" t="str">
        <f t="shared" si="15"/>
        <v/>
      </c>
      <c r="AY86" s="31" t="s">
        <v>19</v>
      </c>
      <c r="AZ86" s="488" t="s">
        <v>37</v>
      </c>
      <c r="BA86" s="489">
        <v>0.33333333300000001</v>
      </c>
      <c r="BB86" s="419" t="s">
        <v>9</v>
      </c>
      <c r="BD86" s="279">
        <v>1</v>
      </c>
      <c r="BG86" s="271"/>
      <c r="BH86" s="271"/>
      <c r="BI86" s="271"/>
      <c r="BJ86" s="271"/>
      <c r="BK86" s="271"/>
      <c r="BL86" s="271"/>
    </row>
    <row r="87" spans="18:64" ht="21" customHeight="1" x14ac:dyDescent="0.25">
      <c r="R87" s="34" t="s">
        <v>6124</v>
      </c>
      <c r="S87" s="451"/>
      <c r="T87" s="31" t="s">
        <v>18</v>
      </c>
      <c r="V87" s="475">
        <v>1</v>
      </c>
      <c r="W87" s="475" t="str">
        <f>IF($AC$87="","",$W$72)</f>
        <v/>
      </c>
      <c r="X87" s="476" t="str">
        <f>IF($AC$87="","",$X$72)</f>
        <v/>
      </c>
      <c r="Y87" s="477" t="str">
        <f>IF($X$87="","",$Y$72)</f>
        <v/>
      </c>
      <c r="Z87" s="477" t="str">
        <f>IF($X$87="","",$Z$72)</f>
        <v/>
      </c>
      <c r="AA87" s="477" t="str">
        <f>IF($AC$87="","",ROW($A$87)-ROW($A$72))</f>
        <v/>
      </c>
      <c r="AB87" s="478"/>
      <c r="AC87" s="34"/>
      <c r="AD87" s="356"/>
      <c r="AE87" s="479"/>
      <c r="AF87" s="475"/>
      <c r="AG87" s="480" t="str">
        <f t="shared" si="4"/>
        <v/>
      </c>
      <c r="AH87" s="481" t="str">
        <f t="shared" si="5"/>
        <v/>
      </c>
      <c r="AI87" s="477" t="str">
        <f>IF($AC$87="","",IFERROR(INDEX($AZ$74:$AZ$119,MATCH($AH$87,$AY$74:$AY$119,0)),"AUTRE"))</f>
        <v/>
      </c>
      <c r="AJ87" s="482" t="str">
        <f>IF($AC$87="","",IFERROR(INDEX($BA$74:$BA$119,MATCH($AH$87,$AY$74:$AY$119,0)),1))</f>
        <v/>
      </c>
      <c r="AK87" s="482" t="str">
        <f t="shared" si="6"/>
        <v/>
      </c>
      <c r="AL87" s="477" t="str">
        <f>IF($AC$87="","",IFERROR(INDEX($BB$74:$BB$119,MATCH($AH$87,$AY$74:$AY$119,0)),$AH$87))</f>
        <v/>
      </c>
      <c r="AM87" s="483" t="str">
        <f t="shared" si="7"/>
        <v/>
      </c>
      <c r="AN87" s="484" t="str">
        <f t="shared" si="8"/>
        <v/>
      </c>
      <c r="AO87" s="473" t="str">
        <f t="shared" si="9"/>
        <v/>
      </c>
      <c r="AP87" s="473" t="str">
        <f t="shared" si="10"/>
        <v/>
      </c>
      <c r="AQ87" s="473" t="str">
        <f t="shared" si="11"/>
        <v/>
      </c>
      <c r="AR87" s="473" t="str">
        <f t="shared" si="12"/>
        <v/>
      </c>
      <c r="AS87" s="473" t="str">
        <f t="shared" si="13"/>
        <v/>
      </c>
      <c r="AT87" s="473" t="str">
        <f t="shared" si="14"/>
        <v/>
      </c>
      <c r="AU87" s="473" t="str">
        <f t="shared" si="15"/>
        <v/>
      </c>
      <c r="AY87" s="31" t="s">
        <v>211</v>
      </c>
      <c r="AZ87" s="488" t="s">
        <v>37</v>
      </c>
      <c r="BA87" s="489">
        <v>0.66666666699999999</v>
      </c>
      <c r="BB87" s="419" t="s">
        <v>9</v>
      </c>
      <c r="BD87" s="279">
        <v>1</v>
      </c>
      <c r="BG87" s="271"/>
      <c r="BH87" s="271"/>
      <c r="BI87" s="271"/>
      <c r="BJ87" s="271"/>
      <c r="BK87" s="271"/>
      <c r="BL87" s="271"/>
    </row>
    <row r="88" spans="18:64" ht="21" customHeight="1" x14ac:dyDescent="0.25">
      <c r="R88" s="34" t="s">
        <v>6125</v>
      </c>
      <c r="S88" s="451"/>
      <c r="T88" s="31" t="s">
        <v>19</v>
      </c>
      <c r="V88" s="475">
        <v>1</v>
      </c>
      <c r="W88" s="475" t="str">
        <f>IF($AC$88="","",$W$72)</f>
        <v/>
      </c>
      <c r="X88" s="476" t="str">
        <f>IF($AC$88="","",$X$72)</f>
        <v/>
      </c>
      <c r="Y88" s="477" t="str">
        <f>IF($X$88="","",$Y$72)</f>
        <v/>
      </c>
      <c r="Z88" s="477" t="str">
        <f>IF($X$88="","",$Z$72)</f>
        <v/>
      </c>
      <c r="AA88" s="477" t="str">
        <f>IF($AC$88="","",ROW($A$88)-ROW($A$72))</f>
        <v/>
      </c>
      <c r="AB88" s="478"/>
      <c r="AC88" s="34"/>
      <c r="AD88" s="356"/>
      <c r="AE88" s="479"/>
      <c r="AF88" s="475"/>
      <c r="AG88" s="480" t="str">
        <f t="shared" si="4"/>
        <v/>
      </c>
      <c r="AH88" s="481" t="str">
        <f t="shared" si="5"/>
        <v/>
      </c>
      <c r="AI88" s="477" t="str">
        <f>IF($AC$88="","",IFERROR(INDEX($AZ$74:$AZ$119,MATCH($AH$88,$AY$74:$AY$119,0)),"AUTRE"))</f>
        <v/>
      </c>
      <c r="AJ88" s="482" t="str">
        <f>IF($AC$88="","",IFERROR(INDEX($BA$74:$BA$119,MATCH($AH$88,$AY$74:$AY$119,0)),1))</f>
        <v/>
      </c>
      <c r="AK88" s="482" t="str">
        <f t="shared" si="6"/>
        <v/>
      </c>
      <c r="AL88" s="477" t="str">
        <f>IF($AC$88="","",IFERROR(INDEX($BB$74:$BB$119,MATCH($AH$88,$AY$74:$AY$119,0)),$AH$88))</f>
        <v/>
      </c>
      <c r="AM88" s="483" t="str">
        <f t="shared" si="7"/>
        <v/>
      </c>
      <c r="AN88" s="484" t="str">
        <f t="shared" si="8"/>
        <v/>
      </c>
      <c r="AO88" s="473" t="str">
        <f t="shared" si="9"/>
        <v/>
      </c>
      <c r="AP88" s="473" t="str">
        <f t="shared" si="10"/>
        <v/>
      </c>
      <c r="AQ88" s="473" t="str">
        <f t="shared" si="11"/>
        <v/>
      </c>
      <c r="AR88" s="473" t="str">
        <f t="shared" si="12"/>
        <v/>
      </c>
      <c r="AS88" s="473" t="str">
        <f t="shared" si="13"/>
        <v/>
      </c>
      <c r="AT88" s="473" t="str">
        <f t="shared" si="14"/>
        <v/>
      </c>
      <c r="AU88" s="473" t="str">
        <f t="shared" si="15"/>
        <v/>
      </c>
      <c r="AY88" s="31" t="s">
        <v>20</v>
      </c>
      <c r="AZ88" s="488" t="s">
        <v>37</v>
      </c>
      <c r="BA88" s="489">
        <v>0.2</v>
      </c>
      <c r="BB88" s="419" t="s">
        <v>9</v>
      </c>
      <c r="BD88" s="279">
        <v>1</v>
      </c>
      <c r="BG88" s="271"/>
      <c r="BH88" s="271"/>
      <c r="BI88" s="271"/>
      <c r="BJ88" s="271"/>
      <c r="BK88" s="271"/>
      <c r="BL88" s="271"/>
    </row>
    <row r="89" spans="18:64" ht="21" customHeight="1" x14ac:dyDescent="0.25">
      <c r="R89" s="34" t="s">
        <v>6126</v>
      </c>
      <c r="S89" s="451"/>
      <c r="T89" s="31" t="s">
        <v>211</v>
      </c>
      <c r="V89" s="475">
        <v>1</v>
      </c>
      <c r="W89" s="475" t="str">
        <f>IF($AC$89="","",$W$72)</f>
        <v/>
      </c>
      <c r="X89" s="476" t="str">
        <f>IF($AC$89="","",$X$72)</f>
        <v/>
      </c>
      <c r="Y89" s="477" t="str">
        <f>IF($X$89="","",$Y$72)</f>
        <v/>
      </c>
      <c r="Z89" s="477" t="str">
        <f>IF($X$89="","",$Z$72)</f>
        <v/>
      </c>
      <c r="AA89" s="477" t="str">
        <f>IF($AC$89="","",ROW($A$89)-ROW($A$72))</f>
        <v/>
      </c>
      <c r="AB89" s="478"/>
      <c r="AC89" s="34"/>
      <c r="AD89" s="356"/>
      <c r="AE89" s="479"/>
      <c r="AF89" s="475"/>
      <c r="AG89" s="480" t="str">
        <f t="shared" si="4"/>
        <v/>
      </c>
      <c r="AH89" s="481" t="str">
        <f t="shared" si="5"/>
        <v/>
      </c>
      <c r="AI89" s="477" t="str">
        <f>IF($AC$89="","",IFERROR(INDEX($AZ$74:$AZ$119,MATCH($AH$89,$AY$74:$AY$119,0)),"AUTRE"))</f>
        <v/>
      </c>
      <c r="AJ89" s="482" t="str">
        <f>IF($AC$89="","",IFERROR(INDEX($BA$74:$BA$119,MATCH($AH$89,$AY$74:$AY$119,0)),1))</f>
        <v/>
      </c>
      <c r="AK89" s="482" t="str">
        <f t="shared" si="6"/>
        <v/>
      </c>
      <c r="AL89" s="477" t="str">
        <f>IF($AC$89="","",IFERROR(INDEX($BB$74:$BB$119,MATCH($AH$89,$AY$74:$AY$119,0)),$AH$89))</f>
        <v/>
      </c>
      <c r="AM89" s="483" t="str">
        <f t="shared" si="7"/>
        <v/>
      </c>
      <c r="AN89" s="484" t="str">
        <f t="shared" si="8"/>
        <v/>
      </c>
      <c r="AO89" s="473" t="str">
        <f t="shared" si="9"/>
        <v/>
      </c>
      <c r="AP89" s="473" t="str">
        <f t="shared" si="10"/>
        <v/>
      </c>
      <c r="AQ89" s="473" t="str">
        <f t="shared" si="11"/>
        <v/>
      </c>
      <c r="AR89" s="473" t="str">
        <f t="shared" si="12"/>
        <v/>
      </c>
      <c r="AS89" s="473" t="str">
        <f t="shared" si="13"/>
        <v/>
      </c>
      <c r="AT89" s="473" t="str">
        <f t="shared" si="14"/>
        <v/>
      </c>
      <c r="AU89" s="473" t="str">
        <f t="shared" si="15"/>
        <v/>
      </c>
      <c r="AY89" s="31" t="s">
        <v>304</v>
      </c>
      <c r="AZ89" s="488" t="s">
        <v>37</v>
      </c>
      <c r="BA89" s="489">
        <v>0.125</v>
      </c>
      <c r="BB89" s="419" t="s">
        <v>9</v>
      </c>
      <c r="BC89" s="271"/>
      <c r="BD89" s="279">
        <v>1</v>
      </c>
      <c r="BG89" s="271"/>
      <c r="BH89" s="271"/>
      <c r="BI89" s="271"/>
      <c r="BJ89" s="271"/>
      <c r="BK89" s="271"/>
      <c r="BL89" s="271"/>
    </row>
    <row r="90" spans="18:64" ht="21" customHeight="1" x14ac:dyDescent="0.25">
      <c r="R90" s="34" t="s">
        <v>6127</v>
      </c>
      <c r="S90" s="451"/>
      <c r="T90" s="31" t="s">
        <v>20</v>
      </c>
      <c r="V90" s="475">
        <v>1</v>
      </c>
      <c r="W90" s="475" t="str">
        <f>IF($AC$90="","",$W$72)</f>
        <v/>
      </c>
      <c r="X90" s="476" t="str">
        <f>IF($AC$90="","",$X$72)</f>
        <v/>
      </c>
      <c r="Y90" s="477" t="str">
        <f>IF($X$90="","",$Y$72)</f>
        <v/>
      </c>
      <c r="Z90" s="477" t="str">
        <f>IF($X$90="","",$Z$72)</f>
        <v/>
      </c>
      <c r="AA90" s="477" t="str">
        <f>IF($AC$90="","",ROW($A$90)-ROW($A$72))</f>
        <v/>
      </c>
      <c r="AB90" s="478"/>
      <c r="AC90" s="34"/>
      <c r="AD90" s="356"/>
      <c r="AE90" s="479"/>
      <c r="AF90" s="475"/>
      <c r="AG90" s="480" t="str">
        <f t="shared" si="4"/>
        <v/>
      </c>
      <c r="AH90" s="481" t="str">
        <f t="shared" si="5"/>
        <v/>
      </c>
      <c r="AI90" s="477" t="str">
        <f>IF($AC$90="","",IFERROR(INDEX($AZ$74:$AZ$119,MATCH($AH$90,$AY$74:$AY$119,0)),"AUTRE"))</f>
        <v/>
      </c>
      <c r="AJ90" s="482" t="str">
        <f>IF($AC$90="","",IFERROR(INDEX($BA$74:$BA$119,MATCH($AH$90,$AY$74:$AY$119,0)),1))</f>
        <v/>
      </c>
      <c r="AK90" s="482" t="str">
        <f t="shared" si="6"/>
        <v/>
      </c>
      <c r="AL90" s="477" t="str">
        <f>IF($AC$90="","",IFERROR(INDEX($BB$74:$BB$119,MATCH($AH$90,$AY$74:$AY$119,0)),$AH$90))</f>
        <v/>
      </c>
      <c r="AM90" s="483" t="str">
        <f t="shared" si="7"/>
        <v/>
      </c>
      <c r="AN90" s="484" t="str">
        <f t="shared" si="8"/>
        <v/>
      </c>
      <c r="AO90" s="473" t="str">
        <f t="shared" si="9"/>
        <v/>
      </c>
      <c r="AP90" s="473" t="str">
        <f t="shared" si="10"/>
        <v/>
      </c>
      <c r="AQ90" s="473" t="str">
        <f t="shared" si="11"/>
        <v/>
      </c>
      <c r="AR90" s="473" t="str">
        <f t="shared" si="12"/>
        <v/>
      </c>
      <c r="AS90" s="473" t="str">
        <f t="shared" si="13"/>
        <v/>
      </c>
      <c r="AT90" s="473" t="str">
        <f t="shared" si="14"/>
        <v/>
      </c>
      <c r="AU90" s="473" t="str">
        <f t="shared" si="15"/>
        <v/>
      </c>
      <c r="AY90" s="31" t="s">
        <v>352</v>
      </c>
      <c r="AZ90" s="488" t="s">
        <v>37</v>
      </c>
      <c r="BA90" s="489">
        <v>0.125</v>
      </c>
      <c r="BB90" s="419" t="s">
        <v>9</v>
      </c>
      <c r="BC90" s="271"/>
      <c r="BD90" s="279">
        <v>1</v>
      </c>
      <c r="BG90" s="271"/>
      <c r="BH90" s="271"/>
      <c r="BI90" s="271"/>
      <c r="BJ90" s="271"/>
      <c r="BK90" s="271"/>
      <c r="BL90" s="271"/>
    </row>
    <row r="91" spans="18:64" ht="21" customHeight="1" x14ac:dyDescent="0.25">
      <c r="R91" s="25" t="s">
        <v>6128</v>
      </c>
      <c r="S91" s="451"/>
      <c r="T91" s="31" t="s">
        <v>304</v>
      </c>
      <c r="V91" s="475">
        <v>1</v>
      </c>
      <c r="W91" s="475" t="str">
        <f>IF($AC$91="","",$W$72)</f>
        <v/>
      </c>
      <c r="X91" s="476" t="str">
        <f>IF($AC$91="","",$X$72)</f>
        <v/>
      </c>
      <c r="Y91" s="477" t="str">
        <f>IF($X$91="","",$Y$72)</f>
        <v/>
      </c>
      <c r="Z91" s="477" t="str">
        <f>IF($X$91="","",$Z$72)</f>
        <v/>
      </c>
      <c r="AA91" s="477" t="str">
        <f>IF($AC$91="","",ROW($A$91)-ROW($A$72))</f>
        <v/>
      </c>
      <c r="AB91" s="478"/>
      <c r="AC91" s="34"/>
      <c r="AD91" s="356"/>
      <c r="AE91" s="479"/>
      <c r="AF91" s="475"/>
      <c r="AG91" s="480" t="str">
        <f t="shared" si="4"/>
        <v/>
      </c>
      <c r="AH91" s="481" t="str">
        <f t="shared" si="5"/>
        <v/>
      </c>
      <c r="AI91" s="477" t="str">
        <f>IF($AC$91="","",IFERROR(INDEX($AZ$74:$AZ$119,MATCH($AH$91,$AY$74:$AY$119,0)),"AUTRE"))</f>
        <v/>
      </c>
      <c r="AJ91" s="482" t="str">
        <f>IF($AC$91="","",IFERROR(INDEX($BA$74:$BA$119,MATCH($AH$91,$AY$74:$AY$119,0)),1))</f>
        <v/>
      </c>
      <c r="AK91" s="482" t="str">
        <f t="shared" si="6"/>
        <v/>
      </c>
      <c r="AL91" s="477" t="str">
        <f>IF($AC$91="","",IFERROR(INDEX($BB$74:$BB$119,MATCH($AH$91,$AY$74:$AY$119,0)),$AH$91))</f>
        <v/>
      </c>
      <c r="AM91" s="483" t="str">
        <f t="shared" si="7"/>
        <v/>
      </c>
      <c r="AN91" s="484" t="str">
        <f t="shared" si="8"/>
        <v/>
      </c>
      <c r="AO91" s="473" t="str">
        <f t="shared" si="9"/>
        <v/>
      </c>
      <c r="AP91" s="473" t="str">
        <f t="shared" si="10"/>
        <v/>
      </c>
      <c r="AQ91" s="473" t="str">
        <f t="shared" si="11"/>
        <v/>
      </c>
      <c r="AR91" s="473" t="str">
        <f t="shared" si="12"/>
        <v/>
      </c>
      <c r="AS91" s="473" t="str">
        <f t="shared" si="13"/>
        <v/>
      </c>
      <c r="AT91" s="473" t="str">
        <f t="shared" si="14"/>
        <v/>
      </c>
      <c r="AU91" s="473" t="str">
        <f t="shared" si="15"/>
        <v/>
      </c>
      <c r="AY91" s="31" t="s">
        <v>27</v>
      </c>
      <c r="AZ91" s="488" t="s">
        <v>37</v>
      </c>
      <c r="BA91" s="489">
        <v>5.0000000000000001E-3</v>
      </c>
      <c r="BB91" s="419" t="s">
        <v>9</v>
      </c>
      <c r="BC91" s="271"/>
      <c r="BD91" s="279">
        <v>1</v>
      </c>
      <c r="BG91" s="271"/>
      <c r="BH91" s="271"/>
      <c r="BI91" s="271"/>
      <c r="BJ91" s="271"/>
      <c r="BK91" s="271"/>
      <c r="BL91" s="271"/>
    </row>
    <row r="92" spans="18:64" ht="21" customHeight="1" x14ac:dyDescent="0.25">
      <c r="R92" s="34" t="s">
        <v>474</v>
      </c>
      <c r="S92" s="451"/>
      <c r="T92" s="31" t="s">
        <v>352</v>
      </c>
      <c r="V92" s="475">
        <v>1</v>
      </c>
      <c r="W92" s="475" t="str">
        <f>IF($AC$92="","",$W$72)</f>
        <v/>
      </c>
      <c r="X92" s="476" t="str">
        <f>IF($AC$92="","",$X$72)</f>
        <v/>
      </c>
      <c r="Y92" s="477" t="str">
        <f>IF($X$92="","",$Y$72)</f>
        <v/>
      </c>
      <c r="Z92" s="477" t="str">
        <f>IF($X$92="","",$Z$72)</f>
        <v/>
      </c>
      <c r="AA92" s="477" t="str">
        <f>IF($AC$92="","",ROW($A$92)-ROW($A$72))</f>
        <v/>
      </c>
      <c r="AB92" s="478"/>
      <c r="AC92" s="34"/>
      <c r="AD92" s="356"/>
      <c r="AE92" s="479"/>
      <c r="AF92" s="475"/>
      <c r="AG92" s="480" t="str">
        <f t="shared" si="4"/>
        <v/>
      </c>
      <c r="AH92" s="481" t="str">
        <f t="shared" si="5"/>
        <v/>
      </c>
      <c r="AI92" s="477" t="str">
        <f>IF($AC$92="","",IFERROR(INDEX($AZ$74:$AZ$119,MATCH($AH$92,$AY$74:$AY$119,0)),"AUTRE"))</f>
        <v/>
      </c>
      <c r="AJ92" s="482" t="str">
        <f>IF($AC$92="","",IFERROR(INDEX($BA$74:$BA$119,MATCH($AH$92,$AY$74:$AY$119,0)),1))</f>
        <v/>
      </c>
      <c r="AK92" s="482" t="str">
        <f t="shared" si="6"/>
        <v/>
      </c>
      <c r="AL92" s="477" t="str">
        <f>IF($AC$92="","",IFERROR(INDEX($BB$74:$BB$119,MATCH($AH$92,$AY$74:$AY$119,0)),$AH$92))</f>
        <v/>
      </c>
      <c r="AM92" s="483" t="str">
        <f t="shared" si="7"/>
        <v/>
      </c>
      <c r="AN92" s="484" t="str">
        <f t="shared" si="8"/>
        <v/>
      </c>
      <c r="AO92" s="473" t="str">
        <f t="shared" si="9"/>
        <v/>
      </c>
      <c r="AP92" s="473" t="str">
        <f t="shared" si="10"/>
        <v/>
      </c>
      <c r="AQ92" s="473" t="str">
        <f t="shared" si="11"/>
        <v/>
      </c>
      <c r="AR92" s="473" t="str">
        <f t="shared" si="12"/>
        <v/>
      </c>
      <c r="AS92" s="473" t="str">
        <f t="shared" si="13"/>
        <v/>
      </c>
      <c r="AT92" s="473" t="str">
        <f t="shared" si="14"/>
        <v/>
      </c>
      <c r="AU92" s="473" t="str">
        <f t="shared" si="15"/>
        <v/>
      </c>
      <c r="AY92" s="31" t="s">
        <v>28</v>
      </c>
      <c r="AZ92" s="488" t="s">
        <v>37</v>
      </c>
      <c r="BA92" s="489">
        <v>5.0000000000000001E-3</v>
      </c>
      <c r="BB92" s="419" t="s">
        <v>9</v>
      </c>
      <c r="BC92" s="271"/>
      <c r="BD92" s="279">
        <v>1</v>
      </c>
      <c r="BG92" s="271"/>
      <c r="BH92" s="271"/>
      <c r="BI92" s="271"/>
      <c r="BJ92" s="271"/>
      <c r="BK92" s="271"/>
      <c r="BL92" s="271"/>
    </row>
    <row r="93" spans="18:64" ht="21" customHeight="1" x14ac:dyDescent="0.25">
      <c r="R93" s="34" t="s">
        <v>490</v>
      </c>
      <c r="S93" s="451"/>
      <c r="T93" s="31" t="s">
        <v>25</v>
      </c>
      <c r="V93" s="475">
        <v>1</v>
      </c>
      <c r="W93" s="475" t="str">
        <f>IF($AC$93="","",$W$72)</f>
        <v/>
      </c>
      <c r="X93" s="476" t="str">
        <f>IF($AC$93="","",$X$72)</f>
        <v/>
      </c>
      <c r="Y93" s="477" t="str">
        <f>IF($X$93="","",$Y$72)</f>
        <v/>
      </c>
      <c r="Z93" s="477" t="str">
        <f>IF($X$93="","",$Z$72)</f>
        <v/>
      </c>
      <c r="AA93" s="477" t="str">
        <f>IF($AC$93="","",ROW($A$93)-ROW($A$72))</f>
        <v/>
      </c>
      <c r="AB93" s="478"/>
      <c r="AC93" s="34"/>
      <c r="AD93" s="356"/>
      <c r="AE93" s="479"/>
      <c r="AF93" s="475"/>
      <c r="AG93" s="480" t="str">
        <f t="shared" si="4"/>
        <v/>
      </c>
      <c r="AH93" s="481" t="str">
        <f t="shared" si="5"/>
        <v/>
      </c>
      <c r="AI93" s="477" t="str">
        <f>IF($AC$93="","",IFERROR(INDEX($AZ$74:$AZ$119,MATCH($AH$93,$AY$74:$AY$119,0)),"AUTRE"))</f>
        <v/>
      </c>
      <c r="AJ93" s="482" t="str">
        <f>IF($AC$93="","",IFERROR(INDEX($BA$74:$BA$119,MATCH($AH$93,$AY$74:$AY$119,0)),1))</f>
        <v/>
      </c>
      <c r="AK93" s="482" t="str">
        <f t="shared" si="6"/>
        <v/>
      </c>
      <c r="AL93" s="477" t="str">
        <f>IF($AC$93="","",IFERROR(INDEX($BB$74:$BB$119,MATCH($AH$93,$AY$74:$AY$119,0)),$AH$93))</f>
        <v/>
      </c>
      <c r="AM93" s="483" t="str">
        <f t="shared" si="7"/>
        <v/>
      </c>
      <c r="AN93" s="484" t="str">
        <f t="shared" si="8"/>
        <v/>
      </c>
      <c r="AO93" s="473" t="str">
        <f t="shared" si="9"/>
        <v/>
      </c>
      <c r="AP93" s="473" t="str">
        <f t="shared" si="10"/>
        <v/>
      </c>
      <c r="AQ93" s="473" t="str">
        <f t="shared" si="11"/>
        <v/>
      </c>
      <c r="AR93" s="473" t="str">
        <f t="shared" si="12"/>
        <v/>
      </c>
      <c r="AS93" s="473" t="str">
        <f t="shared" si="13"/>
        <v/>
      </c>
      <c r="AT93" s="473" t="str">
        <f t="shared" si="14"/>
        <v/>
      </c>
      <c r="AU93" s="473" t="str">
        <f t="shared" si="15"/>
        <v/>
      </c>
      <c r="AY93" s="31" t="s">
        <v>29</v>
      </c>
      <c r="AZ93" s="488" t="s">
        <v>37</v>
      </c>
      <c r="BA93" s="489">
        <v>1.4999999999999999E-2</v>
      </c>
      <c r="BB93" s="419" t="s">
        <v>9</v>
      </c>
      <c r="BC93" s="271"/>
      <c r="BD93" s="279">
        <v>1</v>
      </c>
      <c r="BG93" s="271"/>
      <c r="BH93" s="271"/>
      <c r="BI93" s="271"/>
      <c r="BJ93" s="271"/>
      <c r="BK93" s="271"/>
      <c r="BL93" s="271"/>
    </row>
    <row r="94" spans="18:64" ht="21" customHeight="1" x14ac:dyDescent="0.25">
      <c r="R94" s="34" t="s">
        <v>6129</v>
      </c>
      <c r="S94" s="451"/>
      <c r="T94" s="31" t="s">
        <v>26</v>
      </c>
      <c r="V94" s="475">
        <v>1</v>
      </c>
      <c r="W94" s="475" t="str">
        <f>IF($AC$94="","",$W$72)</f>
        <v/>
      </c>
      <c r="X94" s="476" t="str">
        <f>IF($AC$94="","",$X$72)</f>
        <v/>
      </c>
      <c r="Y94" s="477" t="str">
        <f>IF($X$94="","",$Y$72)</f>
        <v/>
      </c>
      <c r="Z94" s="477" t="str">
        <f>IF($X$94="","",$Z$72)</f>
        <v/>
      </c>
      <c r="AA94" s="477" t="str">
        <f>IF($AC$94="","",ROW($A$94)-ROW($A$72))</f>
        <v/>
      </c>
      <c r="AB94" s="478"/>
      <c r="AC94" s="34"/>
      <c r="AD94" s="356"/>
      <c r="AE94" s="479"/>
      <c r="AF94" s="475"/>
      <c r="AG94" s="480" t="str">
        <f t="shared" si="4"/>
        <v/>
      </c>
      <c r="AH94" s="481" t="str">
        <f t="shared" si="5"/>
        <v/>
      </c>
      <c r="AI94" s="477" t="str">
        <f>IF($AC$94="","",IFERROR(INDEX($AZ$74:$AZ$119,MATCH($AH$94,$AY$74:$AY$119,0)),"AUTRE"))</f>
        <v/>
      </c>
      <c r="AJ94" s="482" t="str">
        <f>IF($AC$94="","",IFERROR(INDEX($BA$74:$BA$119,MATCH($AH$94,$AY$74:$AY$119,0)),1))</f>
        <v/>
      </c>
      <c r="AK94" s="482" t="str">
        <f t="shared" si="6"/>
        <v/>
      </c>
      <c r="AL94" s="477" t="str">
        <f>IF($AC$94="","",IFERROR(INDEX($BB$74:$BB$119,MATCH($AH$94,$AY$74:$AY$119,0)),$AH$94))</f>
        <v/>
      </c>
      <c r="AM94" s="483" t="str">
        <f t="shared" si="7"/>
        <v/>
      </c>
      <c r="AN94" s="484" t="str">
        <f t="shared" si="8"/>
        <v/>
      </c>
      <c r="AO94" s="473" t="str">
        <f t="shared" si="9"/>
        <v/>
      </c>
      <c r="AP94" s="473" t="str">
        <f t="shared" si="10"/>
        <v/>
      </c>
      <c r="AQ94" s="473" t="str">
        <f t="shared" si="11"/>
        <v/>
      </c>
      <c r="AR94" s="473" t="str">
        <f t="shared" si="12"/>
        <v/>
      </c>
      <c r="AS94" s="473" t="str">
        <f t="shared" si="13"/>
        <v/>
      </c>
      <c r="AT94" s="473" t="str">
        <f t="shared" si="14"/>
        <v/>
      </c>
      <c r="AU94" s="473" t="str">
        <f t="shared" si="15"/>
        <v/>
      </c>
      <c r="AY94" s="31" t="s">
        <v>30</v>
      </c>
      <c r="AZ94" s="488" t="s">
        <v>37</v>
      </c>
      <c r="BA94" s="489">
        <v>0.1</v>
      </c>
      <c r="BB94" s="419" t="s">
        <v>9</v>
      </c>
      <c r="BC94" s="271"/>
      <c r="BD94" s="279">
        <v>1</v>
      </c>
      <c r="BG94" s="271"/>
      <c r="BH94" s="271"/>
      <c r="BI94" s="271"/>
      <c r="BJ94" s="271"/>
      <c r="BK94" s="271"/>
      <c r="BL94" s="271"/>
    </row>
    <row r="95" spans="18:64" ht="21" customHeight="1" x14ac:dyDescent="0.25">
      <c r="R95" s="34" t="s">
        <v>478</v>
      </c>
      <c r="S95" s="451"/>
      <c r="T95" s="31" t="s">
        <v>27</v>
      </c>
      <c r="V95" s="475">
        <v>1</v>
      </c>
      <c r="W95" s="475" t="str">
        <f>IF($AC$95="","",$W$72)</f>
        <v/>
      </c>
      <c r="X95" s="476" t="str">
        <f>IF($AC$95="","",$X$72)</f>
        <v/>
      </c>
      <c r="Y95" s="477" t="str">
        <f>IF($X$95="","",$Y$72)</f>
        <v/>
      </c>
      <c r="Z95" s="477" t="str">
        <f>IF($X$95="","",$Z$72)</f>
        <v/>
      </c>
      <c r="AA95" s="477" t="str">
        <f>IF($AC$95="","",ROW($A$95)-ROW($A$72))</f>
        <v/>
      </c>
      <c r="AB95" s="478"/>
      <c r="AC95" s="34"/>
      <c r="AD95" s="356"/>
      <c r="AE95" s="479"/>
      <c r="AF95" s="475"/>
      <c r="AG95" s="480" t="str">
        <f t="shared" si="4"/>
        <v/>
      </c>
      <c r="AH95" s="481" t="str">
        <f t="shared" si="5"/>
        <v/>
      </c>
      <c r="AI95" s="477" t="str">
        <f>IF($AC$95="","",IFERROR(INDEX($AZ$74:$AZ$119,MATCH($AH$95,$AY$74:$AY$119,0)),"AUTRE"))</f>
        <v/>
      </c>
      <c r="AJ95" s="482" t="str">
        <f>IF($AC$95="","",IFERROR(INDEX($BA$74:$BA$119,MATCH($AH$95,$AY$74:$AY$119,0)),1))</f>
        <v/>
      </c>
      <c r="AK95" s="482" t="str">
        <f t="shared" si="6"/>
        <v/>
      </c>
      <c r="AL95" s="477" t="str">
        <f>IF($AC$95="","",IFERROR(INDEX($BB$74:$BB$119,MATCH($AH$95,$AY$74:$AY$119,0)),$AH$95))</f>
        <v/>
      </c>
      <c r="AM95" s="483" t="str">
        <f t="shared" si="7"/>
        <v/>
      </c>
      <c r="AN95" s="484" t="str">
        <f t="shared" si="8"/>
        <v/>
      </c>
      <c r="AO95" s="473" t="str">
        <f t="shared" si="9"/>
        <v/>
      </c>
      <c r="AP95" s="473" t="str">
        <f t="shared" si="10"/>
        <v/>
      </c>
      <c r="AQ95" s="473" t="str">
        <f t="shared" si="11"/>
        <v/>
      </c>
      <c r="AR95" s="473" t="str">
        <f t="shared" si="12"/>
        <v/>
      </c>
      <c r="AS95" s="473" t="str">
        <f t="shared" si="13"/>
        <v/>
      </c>
      <c r="AT95" s="473" t="str">
        <f t="shared" si="14"/>
        <v/>
      </c>
      <c r="AU95" s="473" t="str">
        <f t="shared" si="15"/>
        <v/>
      </c>
      <c r="AY95" s="32" t="s">
        <v>33</v>
      </c>
      <c r="AZ95" s="488" t="s">
        <v>38</v>
      </c>
      <c r="BA95" s="489">
        <v>1</v>
      </c>
      <c r="BB95" s="419" t="s">
        <v>8035</v>
      </c>
      <c r="BC95" s="271"/>
      <c r="BD95" s="279">
        <v>1</v>
      </c>
      <c r="BG95" s="271"/>
      <c r="BH95" s="271"/>
      <c r="BI95" s="271"/>
      <c r="BJ95" s="271"/>
      <c r="BK95" s="271"/>
      <c r="BL95" s="271"/>
    </row>
    <row r="96" spans="18:64" ht="21" customHeight="1" x14ac:dyDescent="0.25">
      <c r="R96" s="34" t="s">
        <v>6130</v>
      </c>
      <c r="S96" s="451"/>
      <c r="T96" s="31" t="s">
        <v>28</v>
      </c>
      <c r="V96" s="475">
        <v>1</v>
      </c>
      <c r="W96" s="475" t="str">
        <f>IF($AC$96="","",$W$72)</f>
        <v/>
      </c>
      <c r="X96" s="476" t="str">
        <f>IF($AC$96="","",$X$72)</f>
        <v/>
      </c>
      <c r="Y96" s="477" t="str">
        <f>IF($X$96="","",$Y$72)</f>
        <v/>
      </c>
      <c r="Z96" s="477" t="str">
        <f>IF($X$96="","",$Z$72)</f>
        <v/>
      </c>
      <c r="AA96" s="477" t="str">
        <f>IF($AC$96="","",ROW($A$96)-ROW($A$72))</f>
        <v/>
      </c>
      <c r="AB96" s="478"/>
      <c r="AC96" s="34"/>
      <c r="AD96" s="356"/>
      <c r="AE96" s="479"/>
      <c r="AF96" s="475"/>
      <c r="AG96" s="480" t="str">
        <f t="shared" si="4"/>
        <v/>
      </c>
      <c r="AH96" s="481" t="str">
        <f t="shared" si="5"/>
        <v/>
      </c>
      <c r="AI96" s="477" t="str">
        <f>IF($AC$96="","",IFERROR(INDEX($AZ$74:$AZ$119,MATCH($AH$96,$AY$74:$AY$119,0)),"AUTRE"))</f>
        <v/>
      </c>
      <c r="AJ96" s="482" t="str">
        <f>IF($AC$96="","",IFERROR(INDEX($BA$74:$BA$119,MATCH($AH$96,$AY$74:$AY$119,0)),1))</f>
        <v/>
      </c>
      <c r="AK96" s="482" t="str">
        <f t="shared" si="6"/>
        <v/>
      </c>
      <c r="AL96" s="477" t="str">
        <f>IF($AC$96="","",IFERROR(INDEX($BB$74:$BB$119,MATCH($AH$96,$AY$74:$AY$119,0)),$AH$96))</f>
        <v/>
      </c>
      <c r="AM96" s="483" t="str">
        <f t="shared" si="7"/>
        <v/>
      </c>
      <c r="AN96" s="484" t="str">
        <f t="shared" si="8"/>
        <v/>
      </c>
      <c r="AO96" s="473" t="str">
        <f t="shared" si="9"/>
        <v/>
      </c>
      <c r="AP96" s="473" t="str">
        <f t="shared" si="10"/>
        <v/>
      </c>
      <c r="AQ96" s="473" t="str">
        <f t="shared" si="11"/>
        <v/>
      </c>
      <c r="AR96" s="473" t="str">
        <f t="shared" si="12"/>
        <v/>
      </c>
      <c r="AS96" s="473" t="str">
        <f t="shared" si="13"/>
        <v/>
      </c>
      <c r="AT96" s="473" t="str">
        <f t="shared" si="14"/>
        <v/>
      </c>
      <c r="AU96" s="473" t="str">
        <f t="shared" si="15"/>
        <v/>
      </c>
      <c r="AY96" s="32" t="s">
        <v>8125</v>
      </c>
      <c r="AZ96" s="488" t="s">
        <v>38</v>
      </c>
      <c r="BA96" s="489">
        <v>1</v>
      </c>
      <c r="BB96" s="419" t="s">
        <v>8126</v>
      </c>
      <c r="BC96" s="271"/>
      <c r="BD96" s="279">
        <v>1</v>
      </c>
      <c r="BG96" s="271"/>
      <c r="BH96" s="271"/>
      <c r="BI96" s="271"/>
      <c r="BJ96" s="271"/>
      <c r="BK96" s="271"/>
      <c r="BL96" s="271"/>
    </row>
    <row r="97" spans="18:64" ht="21" customHeight="1" x14ac:dyDescent="0.25">
      <c r="R97" s="34" t="s">
        <v>486</v>
      </c>
      <c r="S97" s="451"/>
      <c r="T97" s="31" t="s">
        <v>29</v>
      </c>
      <c r="V97" s="475">
        <v>1</v>
      </c>
      <c r="W97" s="475" t="str">
        <f>IF($AC$97="","",$W$72)</f>
        <v/>
      </c>
      <c r="X97" s="476" t="str">
        <f>IF($AC$97="","",$X$72)</f>
        <v/>
      </c>
      <c r="Y97" s="477" t="str">
        <f>IF($X$97="","",$Y$72)</f>
        <v/>
      </c>
      <c r="Z97" s="477" t="str">
        <f>IF($X$97="","",$Z$72)</f>
        <v/>
      </c>
      <c r="AA97" s="477" t="str">
        <f>IF($AC$97="","",ROW($A$97)-ROW($A$72))</f>
        <v/>
      </c>
      <c r="AB97" s="478"/>
      <c r="AC97" s="34"/>
      <c r="AD97" s="356"/>
      <c r="AE97" s="479"/>
      <c r="AF97" s="475"/>
      <c r="AG97" s="480" t="str">
        <f t="shared" si="4"/>
        <v/>
      </c>
      <c r="AH97" s="481" t="str">
        <f t="shared" si="5"/>
        <v/>
      </c>
      <c r="AI97" s="477" t="str">
        <f>IF($AC$97="","",IFERROR(INDEX($AZ$74:$AZ$119,MATCH($AH$97,$AY$74:$AY$119,0)),"AUTRE"))</f>
        <v/>
      </c>
      <c r="AJ97" s="482" t="str">
        <f>IF($AC$97="","",IFERROR(INDEX($BA$74:$BA$119,MATCH($AH$97,$AY$74:$AY$119,0)),1))</f>
        <v/>
      </c>
      <c r="AK97" s="482" t="str">
        <f t="shared" si="6"/>
        <v/>
      </c>
      <c r="AL97" s="477" t="str">
        <f>IF($AC$97="","",IFERROR(INDEX($BB$74:$BB$119,MATCH($AH$97,$AY$74:$AY$119,0)),$AH$97))</f>
        <v/>
      </c>
      <c r="AM97" s="483" t="str">
        <f t="shared" si="7"/>
        <v/>
      </c>
      <c r="AN97" s="484" t="str">
        <f t="shared" si="8"/>
        <v/>
      </c>
      <c r="AO97" s="473" t="str">
        <f t="shared" si="9"/>
        <v/>
      </c>
      <c r="AP97" s="473" t="str">
        <f t="shared" si="10"/>
        <v/>
      </c>
      <c r="AQ97" s="473" t="str">
        <f t="shared" si="11"/>
        <v/>
      </c>
      <c r="AR97" s="473" t="str">
        <f t="shared" si="12"/>
        <v/>
      </c>
      <c r="AS97" s="473" t="str">
        <f t="shared" si="13"/>
        <v/>
      </c>
      <c r="AT97" s="473" t="str">
        <f t="shared" si="14"/>
        <v/>
      </c>
      <c r="AU97" s="473" t="str">
        <f t="shared" si="15"/>
        <v/>
      </c>
      <c r="AY97" s="32" t="s">
        <v>8127</v>
      </c>
      <c r="AZ97" s="488" t="s">
        <v>38</v>
      </c>
      <c r="BA97" s="489">
        <v>1</v>
      </c>
      <c r="BB97" s="419" t="s">
        <v>8128</v>
      </c>
      <c r="BC97" s="271"/>
      <c r="BD97" s="279">
        <v>1</v>
      </c>
      <c r="BG97" s="271"/>
      <c r="BH97" s="271"/>
      <c r="BI97" s="271"/>
      <c r="BJ97" s="271"/>
      <c r="BK97" s="271"/>
      <c r="BL97" s="271"/>
    </row>
    <row r="98" spans="18:64" ht="21" customHeight="1" x14ac:dyDescent="0.25">
      <c r="R98" s="34" t="s">
        <v>479</v>
      </c>
      <c r="S98" s="451"/>
      <c r="T98" s="31" t="s">
        <v>30</v>
      </c>
      <c r="V98" s="475">
        <v>1</v>
      </c>
      <c r="W98" s="475" t="str">
        <f>IF($AC$98="","",$W$72)</f>
        <v/>
      </c>
      <c r="X98" s="476" t="str">
        <f>IF($AC$98="","",$X$72)</f>
        <v/>
      </c>
      <c r="Y98" s="477" t="str">
        <f>IF($X$98="","",$Y$72)</f>
        <v/>
      </c>
      <c r="Z98" s="477" t="str">
        <f>IF($X$98="","",$Z$72)</f>
        <v/>
      </c>
      <c r="AA98" s="477" t="str">
        <f>IF($AC$98="","",ROW($A$98)-ROW($A$72))</f>
        <v/>
      </c>
      <c r="AB98" s="478"/>
      <c r="AC98" s="34"/>
      <c r="AD98" s="356"/>
      <c r="AE98" s="479"/>
      <c r="AF98" s="475"/>
      <c r="AG98" s="480" t="str">
        <f t="shared" si="4"/>
        <v/>
      </c>
      <c r="AH98" s="481" t="str">
        <f t="shared" si="5"/>
        <v/>
      </c>
      <c r="AI98" s="477" t="str">
        <f>IF($AC$98="","",IFERROR(INDEX($AZ$74:$AZ$119,MATCH($AH$98,$AY$74:$AY$119,0)),"AUTRE"))</f>
        <v/>
      </c>
      <c r="AJ98" s="482" t="str">
        <f>IF($AC$98="","",IFERROR(INDEX($BA$74:$BA$119,MATCH($AH$98,$AY$74:$AY$119,0)),1))</f>
        <v/>
      </c>
      <c r="AK98" s="482" t="str">
        <f t="shared" si="6"/>
        <v/>
      </c>
      <c r="AL98" s="477" t="str">
        <f>IF($AC$98="","",IFERROR(INDEX($BB$74:$BB$119,MATCH($AH$98,$AY$74:$AY$119,0)),$AH$98))</f>
        <v/>
      </c>
      <c r="AM98" s="483" t="str">
        <f t="shared" si="7"/>
        <v/>
      </c>
      <c r="AN98" s="484" t="str">
        <f t="shared" si="8"/>
        <v/>
      </c>
      <c r="AO98" s="473" t="str">
        <f t="shared" si="9"/>
        <v/>
      </c>
      <c r="AP98" s="473" t="str">
        <f t="shared" si="10"/>
        <v/>
      </c>
      <c r="AQ98" s="473" t="str">
        <f t="shared" si="11"/>
        <v/>
      </c>
      <c r="AR98" s="473" t="str">
        <f t="shared" si="12"/>
        <v/>
      </c>
      <c r="AS98" s="473" t="str">
        <f t="shared" si="13"/>
        <v/>
      </c>
      <c r="AT98" s="473" t="str">
        <f t="shared" si="14"/>
        <v/>
      </c>
      <c r="AU98" s="473" t="str">
        <f t="shared" si="15"/>
        <v/>
      </c>
      <c r="AY98" s="32" t="s">
        <v>320</v>
      </c>
      <c r="AZ98" s="488" t="s">
        <v>38</v>
      </c>
      <c r="BA98" s="489">
        <v>1</v>
      </c>
      <c r="BB98" s="419" t="s">
        <v>321</v>
      </c>
      <c r="BC98" s="271"/>
      <c r="BD98" s="279">
        <v>1</v>
      </c>
      <c r="BG98" s="271"/>
      <c r="BH98" s="271"/>
      <c r="BI98" s="271"/>
      <c r="BJ98" s="271"/>
      <c r="BK98" s="271"/>
      <c r="BL98" s="271"/>
    </row>
    <row r="99" spans="18:64" ht="21" customHeight="1" x14ac:dyDescent="0.25">
      <c r="R99" s="34" t="s">
        <v>6131</v>
      </c>
      <c r="S99" s="451"/>
      <c r="T99" s="31" t="s">
        <v>31</v>
      </c>
      <c r="V99" s="475">
        <v>1</v>
      </c>
      <c r="W99" s="475" t="str">
        <f>IF($AC$99="","",$W$72)</f>
        <v/>
      </c>
      <c r="X99" s="476" t="str">
        <f>IF($AC$99="","",$X$72)</f>
        <v/>
      </c>
      <c r="Y99" s="477" t="str">
        <f>IF($X$99="","",$Y$72)</f>
        <v/>
      </c>
      <c r="Z99" s="477" t="str">
        <f>IF($X$99="","",$Z$72)</f>
        <v/>
      </c>
      <c r="AA99" s="477" t="str">
        <f>IF($AC$99="","",ROW($A$99)-ROW($A$72))</f>
        <v/>
      </c>
      <c r="AB99" s="478"/>
      <c r="AC99" s="34"/>
      <c r="AD99" s="356"/>
      <c r="AE99" s="479"/>
      <c r="AF99" s="475"/>
      <c r="AG99" s="480" t="str">
        <f t="shared" si="4"/>
        <v/>
      </c>
      <c r="AH99" s="481" t="str">
        <f t="shared" si="5"/>
        <v/>
      </c>
      <c r="AI99" s="477" t="str">
        <f>IF($AC$99="","",IFERROR(INDEX($AZ$74:$AZ$119,MATCH($AH$99,$AY$74:$AY$119,0)),"AUTRE"))</f>
        <v/>
      </c>
      <c r="AJ99" s="482" t="str">
        <f>IF($AC$99="","",IFERROR(INDEX($BA$74:$BA$119,MATCH($AH$99,$AY$74:$AY$119,0)),1))</f>
        <v/>
      </c>
      <c r="AK99" s="482" t="str">
        <f t="shared" si="6"/>
        <v/>
      </c>
      <c r="AL99" s="477" t="str">
        <f>IF($AC$99="","",IFERROR(INDEX($BB$74:$BB$119,MATCH($AH$99,$AY$74:$AY$119,0)),$AH$99))</f>
        <v/>
      </c>
      <c r="AM99" s="483" t="str">
        <f t="shared" si="7"/>
        <v/>
      </c>
      <c r="AN99" s="484" t="str">
        <f t="shared" si="8"/>
        <v/>
      </c>
      <c r="AO99" s="473" t="str">
        <f t="shared" si="9"/>
        <v/>
      </c>
      <c r="AP99" s="473" t="str">
        <f t="shared" si="10"/>
        <v/>
      </c>
      <c r="AQ99" s="473" t="str">
        <f t="shared" si="11"/>
        <v/>
      </c>
      <c r="AR99" s="473" t="str">
        <f t="shared" si="12"/>
        <v/>
      </c>
      <c r="AS99" s="473" t="str">
        <f t="shared" si="13"/>
        <v/>
      </c>
      <c r="AT99" s="473" t="str">
        <f t="shared" si="14"/>
        <v/>
      </c>
      <c r="AU99" s="473" t="str">
        <f t="shared" si="15"/>
        <v/>
      </c>
      <c r="AY99" s="32" t="s">
        <v>318</v>
      </c>
      <c r="AZ99" s="488" t="s">
        <v>38</v>
      </c>
      <c r="BA99" s="489">
        <v>1</v>
      </c>
      <c r="BB99" s="419" t="s">
        <v>319</v>
      </c>
      <c r="BC99" s="271"/>
      <c r="BD99" s="279">
        <v>1</v>
      </c>
      <c r="BG99" s="271"/>
      <c r="BH99" s="271"/>
      <c r="BI99" s="271"/>
      <c r="BJ99" s="271"/>
      <c r="BK99" s="271"/>
      <c r="BL99" s="271"/>
    </row>
    <row r="100" spans="18:64" ht="21" customHeight="1" x14ac:dyDescent="0.25">
      <c r="R100" s="34" t="s">
        <v>485</v>
      </c>
      <c r="S100" s="451"/>
      <c r="T100" s="32" t="s">
        <v>33</v>
      </c>
      <c r="V100" s="475">
        <v>1</v>
      </c>
      <c r="W100" s="475" t="str">
        <f>IF($AC$100="","",$W$72)</f>
        <v/>
      </c>
      <c r="X100" s="476" t="str">
        <f>IF($AC$100="","",$X$72)</f>
        <v/>
      </c>
      <c r="Y100" s="477" t="str">
        <f>IF($X$100="","",$Y$72)</f>
        <v/>
      </c>
      <c r="Z100" s="477" t="str">
        <f>IF($X$100="","",$Z$72)</f>
        <v/>
      </c>
      <c r="AA100" s="477" t="str">
        <f>IF($AC$100="","",ROW($A$100)-ROW($A$72))</f>
        <v/>
      </c>
      <c r="AB100" s="478"/>
      <c r="AC100" s="34"/>
      <c r="AD100" s="356"/>
      <c r="AE100" s="479"/>
      <c r="AF100" s="475"/>
      <c r="AG100" s="480" t="str">
        <f t="shared" si="4"/>
        <v/>
      </c>
      <c r="AH100" s="481" t="str">
        <f t="shared" si="5"/>
        <v/>
      </c>
      <c r="AI100" s="477" t="str">
        <f>IF($AC$100="","",IFERROR(INDEX($AZ$74:$AZ$119,MATCH($AH$100,$AY$74:$AY$119,0)),"AUTRE"))</f>
        <v/>
      </c>
      <c r="AJ100" s="482" t="str">
        <f>IF($AC$100="","",IFERROR(INDEX($BA$74:$BA$119,MATCH($AH$100,$AY$74:$AY$119,0)),1))</f>
        <v/>
      </c>
      <c r="AK100" s="482" t="str">
        <f t="shared" si="6"/>
        <v/>
      </c>
      <c r="AL100" s="477" t="str">
        <f>IF($AC$100="","",IFERROR(INDEX($BB$74:$BB$119,MATCH($AH$100,$AY$74:$AY$119,0)),$AH$100))</f>
        <v/>
      </c>
      <c r="AM100" s="483" t="str">
        <f t="shared" si="7"/>
        <v/>
      </c>
      <c r="AN100" s="484" t="str">
        <f t="shared" si="8"/>
        <v/>
      </c>
      <c r="AO100" s="473" t="str">
        <f t="shared" si="9"/>
        <v/>
      </c>
      <c r="AP100" s="473" t="str">
        <f t="shared" si="10"/>
        <v/>
      </c>
      <c r="AQ100" s="473" t="str">
        <f t="shared" si="11"/>
        <v/>
      </c>
      <c r="AR100" s="473" t="str">
        <f t="shared" si="12"/>
        <v/>
      </c>
      <c r="AS100" s="473" t="str">
        <f t="shared" si="13"/>
        <v/>
      </c>
      <c r="AT100" s="473" t="str">
        <f t="shared" si="14"/>
        <v/>
      </c>
      <c r="AU100" s="473" t="str">
        <f t="shared" si="15"/>
        <v/>
      </c>
      <c r="AY100" s="32" t="s">
        <v>316</v>
      </c>
      <c r="AZ100" s="488" t="s">
        <v>38</v>
      </c>
      <c r="BA100" s="489">
        <v>1</v>
      </c>
      <c r="BB100" s="419" t="s">
        <v>317</v>
      </c>
      <c r="BC100" s="271"/>
      <c r="BD100" s="279">
        <v>1</v>
      </c>
      <c r="BG100" s="271"/>
      <c r="BH100" s="271"/>
      <c r="BI100" s="271"/>
      <c r="BJ100" s="271"/>
      <c r="BK100" s="271"/>
      <c r="BL100" s="271"/>
    </row>
    <row r="101" spans="18:64" ht="21" customHeight="1" x14ac:dyDescent="0.25">
      <c r="R101" s="34" t="s">
        <v>6132</v>
      </c>
      <c r="S101" s="451"/>
      <c r="T101" s="32" t="s">
        <v>8125</v>
      </c>
      <c r="V101" s="475">
        <v>1</v>
      </c>
      <c r="W101" s="475" t="str">
        <f>IF($AC$101="","",$W$72)</f>
        <v/>
      </c>
      <c r="X101" s="476" t="str">
        <f>IF($AC$101="","",$X$72)</f>
        <v/>
      </c>
      <c r="Y101" s="477" t="str">
        <f>IF($X$101="","",$Y$72)</f>
        <v/>
      </c>
      <c r="Z101" s="477" t="str">
        <f>IF($X$101="","",$Z$72)</f>
        <v/>
      </c>
      <c r="AA101" s="477" t="str">
        <f>IF($AC$101="","",ROW($A$101)-ROW($A$72))</f>
        <v/>
      </c>
      <c r="AB101" s="478"/>
      <c r="AC101" s="34"/>
      <c r="AD101" s="356"/>
      <c r="AE101" s="479"/>
      <c r="AF101" s="475"/>
      <c r="AG101" s="480" t="str">
        <f t="shared" si="4"/>
        <v/>
      </c>
      <c r="AH101" s="481" t="str">
        <f t="shared" si="5"/>
        <v/>
      </c>
      <c r="AI101" s="477" t="str">
        <f>IF($AC$101="","",IFERROR(INDEX($AZ$74:$AZ$119,MATCH($AH$101,$AY$74:$AY$119,0)),"AUTRE"))</f>
        <v/>
      </c>
      <c r="AJ101" s="482" t="str">
        <f>IF($AC$101="","",IFERROR(INDEX($BA$74:$BA$119,MATCH($AH$101,$AY$74:$AY$119,0)),1))</f>
        <v/>
      </c>
      <c r="AK101" s="482" t="str">
        <f t="shared" si="6"/>
        <v/>
      </c>
      <c r="AL101" s="477" t="str">
        <f>IF($AC$101="","",IFERROR(INDEX($BB$74:$BB$119,MATCH($AH$101,$AY$74:$AY$119,0)),$AH$101))</f>
        <v/>
      </c>
      <c r="AM101" s="483" t="str">
        <f t="shared" si="7"/>
        <v/>
      </c>
      <c r="AN101" s="484" t="str">
        <f t="shared" si="8"/>
        <v/>
      </c>
      <c r="AO101" s="473" t="str">
        <f t="shared" si="9"/>
        <v/>
      </c>
      <c r="AP101" s="473" t="str">
        <f t="shared" si="10"/>
        <v/>
      </c>
      <c r="AQ101" s="473" t="str">
        <f t="shared" si="11"/>
        <v/>
      </c>
      <c r="AR101" s="473" t="str">
        <f t="shared" si="12"/>
        <v/>
      </c>
      <c r="AS101" s="473" t="str">
        <f t="shared" si="13"/>
        <v/>
      </c>
      <c r="AT101" s="473" t="str">
        <f t="shared" si="14"/>
        <v/>
      </c>
      <c r="AU101" s="473" t="str">
        <f t="shared" si="15"/>
        <v/>
      </c>
      <c r="AY101" s="32" t="s">
        <v>313</v>
      </c>
      <c r="AZ101" s="488" t="s">
        <v>38</v>
      </c>
      <c r="BA101" s="489">
        <v>1</v>
      </c>
      <c r="BB101" s="419" t="s">
        <v>314</v>
      </c>
      <c r="BC101" s="271"/>
      <c r="BD101" s="279">
        <v>1</v>
      </c>
      <c r="BG101" s="271"/>
      <c r="BH101" s="271"/>
      <c r="BI101" s="271"/>
      <c r="BJ101" s="271"/>
      <c r="BK101" s="271"/>
      <c r="BL101" s="271"/>
    </row>
    <row r="102" spans="18:64" ht="21" customHeight="1" x14ac:dyDescent="0.25">
      <c r="R102" s="25" t="s">
        <v>6133</v>
      </c>
      <c r="S102" s="451"/>
      <c r="T102" s="32" t="s">
        <v>8127</v>
      </c>
      <c r="V102" s="475">
        <v>1</v>
      </c>
      <c r="W102" s="475" t="str">
        <f>IF($AC$102="","",$W$72)</f>
        <v/>
      </c>
      <c r="X102" s="476" t="str">
        <f>IF($AC$102="","",$X$72)</f>
        <v/>
      </c>
      <c r="Y102" s="477" t="str">
        <f>IF($X$102="","",$Y$72)</f>
        <v/>
      </c>
      <c r="Z102" s="477" t="str">
        <f>IF($X$102="","",$Z$72)</f>
        <v/>
      </c>
      <c r="AA102" s="477" t="str">
        <f>IF($AC$102="","",ROW($A$102)-ROW($A$72))</f>
        <v/>
      </c>
      <c r="AB102" s="478"/>
      <c r="AC102" s="34"/>
      <c r="AD102" s="356"/>
      <c r="AE102" s="479"/>
      <c r="AF102" s="475"/>
      <c r="AG102" s="480" t="str">
        <f t="shared" si="4"/>
        <v/>
      </c>
      <c r="AH102" s="481" t="str">
        <f t="shared" si="5"/>
        <v/>
      </c>
      <c r="AI102" s="477" t="str">
        <f>IF($AC$102="","",IFERROR(INDEX($AZ$74:$AZ$119,MATCH($AH$102,$AY$74:$AY$119,0)),"AUTRE"))</f>
        <v/>
      </c>
      <c r="AJ102" s="482" t="str">
        <f>IF($AC$102="","",IFERROR(INDEX($BA$74:$BA$119,MATCH($AH$102,$AY$74:$AY$119,0)),1))</f>
        <v/>
      </c>
      <c r="AK102" s="482" t="str">
        <f t="shared" si="6"/>
        <v/>
      </c>
      <c r="AL102" s="477" t="str">
        <f>IF($AC$102="","",IFERROR(INDEX($BB$74:$BB$119,MATCH($AH$102,$AY$74:$AY$119,0)),$AH$102))</f>
        <v/>
      </c>
      <c r="AM102" s="483" t="str">
        <f t="shared" si="7"/>
        <v/>
      </c>
      <c r="AN102" s="484" t="str">
        <f t="shared" si="8"/>
        <v/>
      </c>
      <c r="AO102" s="473" t="str">
        <f t="shared" si="9"/>
        <v/>
      </c>
      <c r="AP102" s="473" t="str">
        <f t="shared" si="10"/>
        <v/>
      </c>
      <c r="AQ102" s="473" t="str">
        <f t="shared" si="11"/>
        <v/>
      </c>
      <c r="AR102" s="473" t="str">
        <f t="shared" si="12"/>
        <v/>
      </c>
      <c r="AS102" s="473" t="str">
        <f t="shared" si="13"/>
        <v/>
      </c>
      <c r="AT102" s="473" t="str">
        <f t="shared" si="14"/>
        <v/>
      </c>
      <c r="AU102" s="473" t="str">
        <f t="shared" si="15"/>
        <v/>
      </c>
      <c r="AY102" s="32" t="s">
        <v>307</v>
      </c>
      <c r="AZ102" s="488" t="s">
        <v>38</v>
      </c>
      <c r="BA102" s="489">
        <v>1</v>
      </c>
      <c r="BB102" s="419" t="s">
        <v>308</v>
      </c>
      <c r="BC102" s="271"/>
      <c r="BD102" s="279">
        <v>1</v>
      </c>
      <c r="BG102" s="271"/>
      <c r="BH102" s="271"/>
      <c r="BI102" s="271"/>
      <c r="BJ102" s="271"/>
      <c r="BK102" s="271"/>
      <c r="BL102" s="271"/>
    </row>
    <row r="103" spans="18:64" ht="21" customHeight="1" x14ac:dyDescent="0.25">
      <c r="R103" s="34" t="s">
        <v>476</v>
      </c>
      <c r="S103" s="451"/>
      <c r="T103" s="32" t="s">
        <v>320</v>
      </c>
      <c r="V103" s="475">
        <v>1</v>
      </c>
      <c r="W103" s="475" t="str">
        <f>IF($AC$103="","",$W$72)</f>
        <v/>
      </c>
      <c r="X103" s="476" t="str">
        <f>IF($AC$103="","",$X$72)</f>
        <v/>
      </c>
      <c r="Y103" s="477" t="str">
        <f>IF($X$103="","",$Y$72)</f>
        <v/>
      </c>
      <c r="Z103" s="477" t="str">
        <f>IF($X$103="","",$Z$72)</f>
        <v/>
      </c>
      <c r="AA103" s="477" t="str">
        <f>IF($AC$103="","",ROW($A$103)-ROW($A$72))</f>
        <v/>
      </c>
      <c r="AB103" s="478"/>
      <c r="AC103" s="34"/>
      <c r="AD103" s="356"/>
      <c r="AE103" s="479"/>
      <c r="AF103" s="475"/>
      <c r="AG103" s="480" t="str">
        <f t="shared" si="4"/>
        <v/>
      </c>
      <c r="AH103" s="481" t="str">
        <f t="shared" si="5"/>
        <v/>
      </c>
      <c r="AI103" s="477" t="str">
        <f>IF($AC$103="","",IFERROR(INDEX($AZ$74:$AZ$119,MATCH($AH$103,$AY$74:$AY$119,0)),"AUTRE"))</f>
        <v/>
      </c>
      <c r="AJ103" s="482" t="str">
        <f>IF($AC$103="","",IFERROR(INDEX($BA$74:$BA$119,MATCH($AH$103,$AY$74:$AY$119,0)),1))</f>
        <v/>
      </c>
      <c r="AK103" s="482" t="str">
        <f t="shared" si="6"/>
        <v/>
      </c>
      <c r="AL103" s="477" t="str">
        <f>IF($AC$103="","",IFERROR(INDEX($BB$74:$BB$119,MATCH($AH$103,$AY$74:$AY$119,0)),$AH$103))</f>
        <v/>
      </c>
      <c r="AM103" s="483" t="str">
        <f t="shared" si="7"/>
        <v/>
      </c>
      <c r="AN103" s="484" t="str">
        <f t="shared" si="8"/>
        <v/>
      </c>
      <c r="AO103" s="473" t="str">
        <f t="shared" si="9"/>
        <v/>
      </c>
      <c r="AP103" s="473" t="str">
        <f t="shared" si="10"/>
        <v/>
      </c>
      <c r="AQ103" s="473" t="str">
        <f t="shared" si="11"/>
        <v/>
      </c>
      <c r="AR103" s="473" t="str">
        <f t="shared" si="12"/>
        <v/>
      </c>
      <c r="AS103" s="473" t="str">
        <f t="shared" si="13"/>
        <v/>
      </c>
      <c r="AT103" s="473" t="str">
        <f t="shared" si="14"/>
        <v/>
      </c>
      <c r="AU103" s="473" t="str">
        <f t="shared" si="15"/>
        <v/>
      </c>
      <c r="AY103" s="32" t="s">
        <v>322</v>
      </c>
      <c r="AZ103" s="488" t="s">
        <v>38</v>
      </c>
      <c r="BA103" s="489">
        <v>1</v>
      </c>
      <c r="BB103" s="419" t="s">
        <v>323</v>
      </c>
      <c r="BC103" s="271"/>
      <c r="BD103" s="279">
        <v>1</v>
      </c>
      <c r="BG103" s="271"/>
      <c r="BH103" s="271"/>
      <c r="BI103" s="271"/>
      <c r="BJ103" s="271"/>
      <c r="BK103" s="271"/>
      <c r="BL103" s="271"/>
    </row>
    <row r="104" spans="18:64" ht="21" customHeight="1" x14ac:dyDescent="0.25">
      <c r="R104" s="34" t="s">
        <v>468</v>
      </c>
      <c r="S104" s="451"/>
      <c r="T104" s="32" t="s">
        <v>318</v>
      </c>
      <c r="V104" s="475">
        <v>1</v>
      </c>
      <c r="W104" s="475" t="str">
        <f>IF($AC$104="","",$W$72)</f>
        <v/>
      </c>
      <c r="X104" s="476" t="str">
        <f>IF($AC$104="","",$X$72)</f>
        <v/>
      </c>
      <c r="Y104" s="477" t="str">
        <f>IF($X$104="","",$Y$72)</f>
        <v/>
      </c>
      <c r="Z104" s="477" t="str">
        <f>IF($X$104="","",$Z$72)</f>
        <v/>
      </c>
      <c r="AA104" s="477" t="str">
        <f>IF($AC$104="","",ROW($A$104)-ROW($A$72))</f>
        <v/>
      </c>
      <c r="AB104" s="478"/>
      <c r="AC104" s="34"/>
      <c r="AD104" s="356"/>
      <c r="AE104" s="479"/>
      <c r="AF104" s="475"/>
      <c r="AG104" s="480" t="str">
        <f t="shared" si="4"/>
        <v/>
      </c>
      <c r="AH104" s="481" t="str">
        <f t="shared" si="5"/>
        <v/>
      </c>
      <c r="AI104" s="477" t="str">
        <f>IF($AC$104="","",IFERROR(INDEX($AZ$74:$AZ$119,MATCH($AH$104,$AY$74:$AY$119,0)),"AUTRE"))</f>
        <v/>
      </c>
      <c r="AJ104" s="482" t="str">
        <f>IF($AC$104="","",IFERROR(INDEX($BA$74:$BA$119,MATCH($AH$104,$AY$74:$AY$119,0)),1))</f>
        <v/>
      </c>
      <c r="AK104" s="482" t="str">
        <f t="shared" si="6"/>
        <v/>
      </c>
      <c r="AL104" s="477" t="str">
        <f>IF($AC$104="","",IFERROR(INDEX($BB$74:$BB$119,MATCH($AH$104,$AY$74:$AY$119,0)),$AH$104))</f>
        <v/>
      </c>
      <c r="AM104" s="483" t="str">
        <f t="shared" si="7"/>
        <v/>
      </c>
      <c r="AN104" s="484" t="str">
        <f t="shared" si="8"/>
        <v/>
      </c>
      <c r="AO104" s="473" t="str">
        <f t="shared" si="9"/>
        <v/>
      </c>
      <c r="AP104" s="473" t="str">
        <f t="shared" si="10"/>
        <v/>
      </c>
      <c r="AQ104" s="473" t="str">
        <f t="shared" si="11"/>
        <v/>
      </c>
      <c r="AR104" s="473" t="str">
        <f t="shared" si="12"/>
        <v/>
      </c>
      <c r="AS104" s="473" t="str">
        <f t="shared" si="13"/>
        <v/>
      </c>
      <c r="AT104" s="473" t="str">
        <f t="shared" si="14"/>
        <v/>
      </c>
      <c r="AU104" s="473" t="str">
        <f t="shared" si="15"/>
        <v/>
      </c>
      <c r="AY104" s="32" t="s">
        <v>305</v>
      </c>
      <c r="AZ104" s="488" t="s">
        <v>38</v>
      </c>
      <c r="BA104" s="489">
        <v>1</v>
      </c>
      <c r="BB104" s="419" t="s">
        <v>306</v>
      </c>
      <c r="BC104" s="271"/>
      <c r="BD104" s="279">
        <v>1</v>
      </c>
      <c r="BG104" s="271"/>
      <c r="BH104" s="271"/>
      <c r="BI104" s="271"/>
      <c r="BJ104" s="271"/>
      <c r="BK104" s="271"/>
      <c r="BL104" s="271"/>
    </row>
    <row r="105" spans="18:64" ht="21" customHeight="1" x14ac:dyDescent="0.25">
      <c r="R105" s="34" t="s">
        <v>473</v>
      </c>
      <c r="S105" s="451"/>
      <c r="T105" s="32" t="s">
        <v>316</v>
      </c>
      <c r="V105" s="475">
        <v>1</v>
      </c>
      <c r="W105" s="475" t="str">
        <f>IF($AC$105="","",$W$72)</f>
        <v/>
      </c>
      <c r="X105" s="476" t="str">
        <f>IF($AC$105="","",$X$72)</f>
        <v/>
      </c>
      <c r="Y105" s="477" t="str">
        <f>IF($X$105="","",$Y$72)</f>
        <v/>
      </c>
      <c r="Z105" s="477" t="str">
        <f>IF($X$105="","",$Z$72)</f>
        <v/>
      </c>
      <c r="AA105" s="477" t="str">
        <f>IF($AC$105="","",ROW($A$105)-ROW($A$72))</f>
        <v/>
      </c>
      <c r="AB105" s="478"/>
      <c r="AC105" s="34"/>
      <c r="AD105" s="356"/>
      <c r="AE105" s="479"/>
      <c r="AF105" s="475"/>
      <c r="AG105" s="480" t="str">
        <f t="shared" si="4"/>
        <v/>
      </c>
      <c r="AH105" s="481" t="str">
        <f t="shared" si="5"/>
        <v/>
      </c>
      <c r="AI105" s="477" t="str">
        <f>IF($AC$105="","",IFERROR(INDEX($AZ$74:$AZ$119,MATCH($AH$105,$AY$74:$AY$119,0)),"AUTRE"))</f>
        <v/>
      </c>
      <c r="AJ105" s="482" t="str">
        <f>IF($AC$105="","",IFERROR(INDEX($BA$74:$BA$119,MATCH($AH$105,$AY$74:$AY$119,0)),1))</f>
        <v/>
      </c>
      <c r="AK105" s="482" t="str">
        <f t="shared" si="6"/>
        <v/>
      </c>
      <c r="AL105" s="477" t="str">
        <f>IF($AC$105="","",IFERROR(INDEX($BB$74:$BB$119,MATCH($AH$105,$AY$74:$AY$119,0)),$AH$105))</f>
        <v/>
      </c>
      <c r="AM105" s="483" t="str">
        <f t="shared" si="7"/>
        <v/>
      </c>
      <c r="AN105" s="484" t="str">
        <f t="shared" si="8"/>
        <v/>
      </c>
      <c r="AO105" s="473" t="str">
        <f t="shared" si="9"/>
        <v/>
      </c>
      <c r="AP105" s="473" t="str">
        <f t="shared" si="10"/>
        <v/>
      </c>
      <c r="AQ105" s="473" t="str">
        <f t="shared" si="11"/>
        <v/>
      </c>
      <c r="AR105" s="473" t="str">
        <f t="shared" si="12"/>
        <v/>
      </c>
      <c r="AS105" s="473" t="str">
        <f t="shared" si="13"/>
        <v/>
      </c>
      <c r="AT105" s="473" t="str">
        <f t="shared" si="14"/>
        <v/>
      </c>
      <c r="AU105" s="473" t="str">
        <f t="shared" si="15"/>
        <v/>
      </c>
      <c r="AY105" s="32" t="s">
        <v>8129</v>
      </c>
      <c r="AZ105" s="488" t="s">
        <v>38</v>
      </c>
      <c r="BA105" s="489">
        <v>1</v>
      </c>
      <c r="BB105" s="419" t="s">
        <v>8130</v>
      </c>
      <c r="BC105" s="271"/>
      <c r="BD105" s="279">
        <v>1</v>
      </c>
      <c r="BG105" s="271"/>
      <c r="BH105" s="271"/>
      <c r="BI105" s="271"/>
      <c r="BJ105" s="271"/>
      <c r="BK105" s="271"/>
      <c r="BL105" s="271"/>
    </row>
    <row r="106" spans="18:64" ht="21" customHeight="1" x14ac:dyDescent="0.25">
      <c r="R106" s="34" t="s">
        <v>497</v>
      </c>
      <c r="S106" s="451"/>
      <c r="T106" s="32" t="s">
        <v>313</v>
      </c>
      <c r="V106" s="475">
        <v>1</v>
      </c>
      <c r="W106" s="475" t="str">
        <f>IF($AC$106="","",$W$72)</f>
        <v/>
      </c>
      <c r="X106" s="476" t="str">
        <f>IF($AC$106="","",$X$72)</f>
        <v/>
      </c>
      <c r="Y106" s="477" t="str">
        <f>IF($X$106="","",$Y$72)</f>
        <v/>
      </c>
      <c r="Z106" s="477" t="str">
        <f>IF($X$106="","",$Z$72)</f>
        <v/>
      </c>
      <c r="AA106" s="477" t="str">
        <f>IF($AC$106="","",ROW($A$106)-ROW($A$72))</f>
        <v/>
      </c>
      <c r="AB106" s="478"/>
      <c r="AC106" s="34"/>
      <c r="AD106" s="356"/>
      <c r="AE106" s="479"/>
      <c r="AF106" s="475"/>
      <c r="AG106" s="491" t="str">
        <f t="shared" si="4"/>
        <v/>
      </c>
      <c r="AH106" s="481" t="str">
        <f t="shared" si="5"/>
        <v/>
      </c>
      <c r="AI106" s="477" t="str">
        <f>IF($AC$106="","",IFERROR(INDEX($AZ$74:$AZ$119,MATCH($AH$106,$AY$74:$AY$119,0)),"AUTRE"))</f>
        <v/>
      </c>
      <c r="AJ106" s="482" t="str">
        <f>IF($AC$106="","",IFERROR(INDEX($BA$74:$BA$119,MATCH($AH$106,$AY$74:$AY$119,0)),1))</f>
        <v/>
      </c>
      <c r="AK106" s="482" t="str">
        <f t="shared" si="6"/>
        <v/>
      </c>
      <c r="AL106" s="477" t="str">
        <f>IF($AC$106="","",IFERROR(INDEX($BB$74:$BB$119,MATCH($AH$106,$AY$74:$AY$119,0)),$AH$106))</f>
        <v/>
      </c>
      <c r="AM106" s="483" t="str">
        <f t="shared" si="7"/>
        <v/>
      </c>
      <c r="AN106" s="484" t="str">
        <f t="shared" si="8"/>
        <v/>
      </c>
      <c r="AO106" s="473" t="str">
        <f t="shared" si="9"/>
        <v/>
      </c>
      <c r="AP106" s="473" t="str">
        <f t="shared" si="10"/>
        <v/>
      </c>
      <c r="AQ106" s="473" t="str">
        <f t="shared" si="11"/>
        <v/>
      </c>
      <c r="AR106" s="473" t="str">
        <f t="shared" si="12"/>
        <v/>
      </c>
      <c r="AS106" s="473" t="str">
        <f t="shared" si="13"/>
        <v/>
      </c>
      <c r="AT106" s="473" t="str">
        <f t="shared" si="14"/>
        <v/>
      </c>
      <c r="AU106" s="473" t="str">
        <f t="shared" si="15"/>
        <v/>
      </c>
      <c r="AY106" s="32" t="s">
        <v>8131</v>
      </c>
      <c r="AZ106" s="488" t="s">
        <v>38</v>
      </c>
      <c r="BA106" s="489">
        <v>1</v>
      </c>
      <c r="BB106" s="419" t="s">
        <v>8132</v>
      </c>
      <c r="BC106" s="271"/>
      <c r="BD106" s="279">
        <v>1</v>
      </c>
      <c r="BE106" s="271"/>
      <c r="BF106" s="271"/>
      <c r="BG106" s="271"/>
      <c r="BH106" s="271"/>
      <c r="BI106" s="271"/>
      <c r="BJ106" s="271"/>
      <c r="BK106" s="271"/>
      <c r="BL106" s="271"/>
    </row>
    <row r="107" spans="18:64" ht="30" customHeight="1" x14ac:dyDescent="0.25">
      <c r="R107" s="34" t="s">
        <v>470</v>
      </c>
      <c r="S107" s="451"/>
      <c r="T107" s="32" t="s">
        <v>307</v>
      </c>
      <c r="V107" s="453" t="s">
        <v>324</v>
      </c>
      <c r="W107" s="453" t="s">
        <v>7912</v>
      </c>
      <c r="X107" s="453" t="s">
        <v>326</v>
      </c>
      <c r="Y107" s="453" t="s">
        <v>327</v>
      </c>
      <c r="Z107" s="454" t="s">
        <v>7930</v>
      </c>
      <c r="AA107" s="453" t="s">
        <v>7937</v>
      </c>
      <c r="AB107" s="455" t="s">
        <v>39</v>
      </c>
      <c r="AC107" s="455" t="s">
        <v>338</v>
      </c>
      <c r="AD107" s="455" t="s">
        <v>8114</v>
      </c>
      <c r="AE107" s="455" t="s">
        <v>339</v>
      </c>
      <c r="AF107" s="455" t="s">
        <v>7997</v>
      </c>
      <c r="AG107" s="453" t="s">
        <v>8018</v>
      </c>
      <c r="AH107" s="453" t="s">
        <v>8023</v>
      </c>
      <c r="AI107" s="453" t="s">
        <v>330</v>
      </c>
      <c r="AJ107" s="453" t="s">
        <v>8031</v>
      </c>
      <c r="AK107" s="453" t="s">
        <v>8037</v>
      </c>
      <c r="AL107" s="453" t="s">
        <v>8041</v>
      </c>
      <c r="AM107" s="453" t="s">
        <v>343</v>
      </c>
      <c r="AN107" s="457" t="s">
        <v>8115</v>
      </c>
      <c r="AO107" s="457" t="s">
        <v>8116</v>
      </c>
      <c r="AP107" s="656" t="s">
        <v>8117</v>
      </c>
      <c r="AQ107" s="656"/>
      <c r="AR107" s="656"/>
      <c r="AS107" s="656"/>
      <c r="AT107" s="656"/>
      <c r="AU107" s="657"/>
      <c r="AY107" s="32" t="s">
        <v>309</v>
      </c>
      <c r="AZ107" s="488" t="s">
        <v>38</v>
      </c>
      <c r="BA107" s="489">
        <v>1</v>
      </c>
      <c r="BB107" s="419" t="s">
        <v>310</v>
      </c>
      <c r="BC107" s="271"/>
      <c r="BD107" s="279">
        <v>1</v>
      </c>
      <c r="BE107" s="271"/>
      <c r="BF107" s="271"/>
      <c r="BG107" s="271"/>
      <c r="BH107" s="271"/>
      <c r="BI107" s="271"/>
      <c r="BJ107" s="271"/>
      <c r="BK107" s="271"/>
      <c r="BL107" s="271"/>
    </row>
    <row r="108" spans="18:64" ht="30" customHeight="1" x14ac:dyDescent="0.25">
      <c r="R108" s="34" t="s">
        <v>477</v>
      </c>
      <c r="S108" s="451"/>
      <c r="T108" s="32" t="s">
        <v>322</v>
      </c>
      <c r="V108" s="459">
        <v>2</v>
      </c>
      <c r="W108" s="12" t="s">
        <v>8120</v>
      </c>
      <c r="X108" s="492" t="s">
        <v>8133</v>
      </c>
      <c r="Y108" s="15"/>
      <c r="Z108" s="463">
        <v>100</v>
      </c>
      <c r="AA108" s="464">
        <v>0</v>
      </c>
      <c r="AB108" s="493"/>
      <c r="AC108" s="494" t="s">
        <v>8134</v>
      </c>
      <c r="AD108" s="495"/>
      <c r="AE108" s="495"/>
      <c r="AF108" s="496"/>
      <c r="AG108" s="467" t="str">
        <f t="shared" ref="AG108:AG142" si="16">IF($AC108="","",IF(LEN($AN108&amp;"")=0,"",$AN108))</f>
        <v/>
      </c>
      <c r="AH108" s="468" t="str">
        <f t="shared" ref="AH108:AH142" si="17">IF($AC108="","",IF($AF108&lt;&gt;"",UPPER(TRIM(SUBSTITUTE(SUBSTITUTE($AF108&amp;"",CHAR(160)," ")," "," "))),$AP108))</f>
        <v/>
      </c>
      <c r="AI108" s="469" t="str">
        <f>IF($AC$108="","",IFERROR(INDEX($AZ$74:$AZ$119,MATCH($AH$108,$AY$74:$AY$119,0)),"AUTRE"))</f>
        <v>AUTRE</v>
      </c>
      <c r="AJ108" s="470">
        <f>IF($AC$108="","",IFERROR(INDEX($BA$74:$BA$119,MATCH($AH$108,$AY$74:$AY$119,0)),1))</f>
        <v>1</v>
      </c>
      <c r="AK108" s="470" t="str">
        <f t="shared" ref="AK108:AK142" si="18">IF(OR(AG108="",AJ108=""),"",AG108*AJ108)</f>
        <v/>
      </c>
      <c r="AL108" s="469" t="str">
        <f>IF($AC$108="","",IFERROR(INDEX($BB$74:$BB$119,MATCH($AH$108,$AY$74:$AY$119,0)),$AH$108))</f>
        <v/>
      </c>
      <c r="AM108" s="471" t="str">
        <f t="shared" ref="AM108:AM142" si="19">IF($AC108="","",IF($AH108="QT. SUFFISANTE","OK",IF($AG108="","TEXTE",IF(NOT(ISNUMBER($AG108)),"QUANTITÉ À CONTRÔLER",IF(COUNTIF($AY$74:$AY$119,$AH108)=0,"UNITÉ À CONTRÔLER","OK")))))</f>
        <v>TEXTE</v>
      </c>
      <c r="AN108" s="474" t="str">
        <f t="shared" ref="AN108:AN142" si="20">IF($AE108&lt;&gt;"",$AE108,IF($AD108="","",IF(ISNUMBER($AD108),$AD108,IF($AO108="QT",0,IF($AO108="","",IFERROR(IF(ISNUMBER(SEARCH("/",$AO108)),VALUE(TRIM(LEFT($AO108,SEARCH("/",$AO108)-1)))/VALUE(TRIM(MID($AO108,SEARCH("/",$AO108)+1,99))),VALUE(SUBSTITUTE($AO108,".",","))),""))))))</f>
        <v/>
      </c>
      <c r="AO108" s="473" t="str">
        <f t="shared" ref="AO108:AO142" si="21">IF($AD108="","",IF(ISNUMBER($AD108),$AD108,IF(OR(LEFT($AQ108,3)="QT.",LEFT($AQ108,4)="QUAN"),"QT",IF($AR108=999,$AQ108,TRIM(LEFT($AQ108,$AR108-1))))))</f>
        <v/>
      </c>
      <c r="AP108" s="473" t="str">
        <f t="shared" ref="AP108:AP142" si="22">IF($AD108="","",IF(ISNUMBER($AD108),"",IF(OR(LEFT($AQ108,3)="QT.",LEFT($AQ108,4)="QUAN"),"QT. SUFFISANTE",IF($AO108="","",TRIM(MID($AQ108,LEN($AO108&amp;"")+1,999))))))</f>
        <v/>
      </c>
      <c r="AQ108" s="473" t="str">
        <f t="shared" ref="AQ108:AQ142" si="23">IF($AD108="","",UPPER(TRIM(SUBSTITUTE(SUBSTITUTE($AD108&amp;"",CHAR(160)," ")," "," "))))</f>
        <v/>
      </c>
      <c r="AR108" s="473" t="str">
        <f t="shared" ref="AR108:AR142" si="24">IF($AQ108="","",MIN($AS108,$AT108,$AU108))</f>
        <v/>
      </c>
      <c r="AS108" s="473" t="str">
        <f t="shared" ref="AS108:AS142" si="25">IF($AQ108="","",MIN(IFERROR(SEARCH("A",$AQ108),999),IFERROR(SEARCH("B",$AQ108),999),IFERROR(SEARCH("C",$AQ108),999),IFERROR(SEARCH("D",$AQ108),999),IFERROR(SEARCH("E",$AQ108),999),IFERROR(SEARCH("F",$AQ108),999),IFERROR(SEARCH("G",$AQ108),999),IFERROR(SEARCH("H",$AQ108),999),IFERROR(SEARCH("I",$AQ108),999)))</f>
        <v/>
      </c>
      <c r="AT108" s="473" t="str">
        <f t="shared" ref="AT108:AT142" si="26">IF($AQ108="","",MIN(IFERROR(SEARCH("J",$AQ108),999),IFERROR(SEARCH("K",$AQ108),999),IFERROR(SEARCH("L",$AQ108),999),IFERROR(SEARCH("M",$AQ108),999),IFERROR(SEARCH("N",$AQ108),999),IFERROR(SEARCH("O",$AQ108),999),IFERROR(SEARCH("P",$AQ108),999),IFERROR(SEARCH("Q",$AQ108),999),IFERROR(SEARCH("R",$AQ108),999)))</f>
        <v/>
      </c>
      <c r="AU108" s="473" t="str">
        <f t="shared" ref="AU108:AU142" si="27">IF($AQ108="","",MIN(IFERROR(SEARCH("S",$AQ108),999),IFERROR(SEARCH("T",$AQ108),999),IFERROR(SEARCH("U",$AQ108),999),IFERROR(SEARCH("V",$AQ108),999),IFERROR(SEARCH("W",$AQ108),999),IFERROR(SEARCH("X",$AQ108),999),IFERROR(SEARCH("Y",$AQ108),999),IFERROR(SEARCH("Z",$AQ108),999)))</f>
        <v/>
      </c>
      <c r="AY108" s="32" t="s">
        <v>311</v>
      </c>
      <c r="AZ108" s="488" t="s">
        <v>38</v>
      </c>
      <c r="BA108" s="489">
        <v>1</v>
      </c>
      <c r="BB108" s="419" t="s">
        <v>312</v>
      </c>
      <c r="BC108" s="271"/>
      <c r="BD108" s="279">
        <v>1</v>
      </c>
      <c r="BE108" s="271"/>
      <c r="BF108" s="271"/>
      <c r="BG108" s="271"/>
      <c r="BH108" s="271"/>
      <c r="BI108" s="271"/>
      <c r="BJ108" s="271"/>
      <c r="BK108" s="271"/>
      <c r="BL108" s="271"/>
    </row>
    <row r="109" spans="18:64" ht="21" customHeight="1" x14ac:dyDescent="0.25">
      <c r="S109" s="451"/>
      <c r="T109" s="32" t="s">
        <v>305</v>
      </c>
      <c r="V109" s="475">
        <f>$V$108</f>
        <v>2</v>
      </c>
      <c r="W109" s="475" t="str">
        <f>IF($AC$109="","",$W$108)</f>
        <v/>
      </c>
      <c r="X109" s="476" t="str">
        <f>IF($AC$109="","",$X$108)</f>
        <v/>
      </c>
      <c r="Y109" s="477" t="str">
        <f>IF($X$109="","",$Y$108)</f>
        <v/>
      </c>
      <c r="Z109" s="477" t="str">
        <f>IF($X$109="","",$Z$108)</f>
        <v/>
      </c>
      <c r="AA109" s="477" t="str">
        <f>IF($AC$109="","",ROW($A$109)-ROW($A$108))</f>
        <v/>
      </c>
      <c r="AB109" s="478"/>
      <c r="AC109" s="34"/>
      <c r="AD109" s="356"/>
      <c r="AE109" s="479"/>
      <c r="AF109" s="475"/>
      <c r="AG109" s="480" t="str">
        <f t="shared" si="16"/>
        <v/>
      </c>
      <c r="AH109" s="481" t="str">
        <f t="shared" si="17"/>
        <v/>
      </c>
      <c r="AI109" s="477" t="str">
        <f>IF($AC$109="","",IFERROR(INDEX($AZ$74:$AZ$119,MATCH($AH$109,$AY$74:$AY$119,0)),"AUTRE"))</f>
        <v/>
      </c>
      <c r="AJ109" s="482" t="str">
        <f>IF($AC$109="","",IFERROR(INDEX($BA$74:$BA$119,MATCH($AH$109,$AY$74:$AY$119,0)),1))</f>
        <v/>
      </c>
      <c r="AK109" s="482" t="str">
        <f t="shared" si="18"/>
        <v/>
      </c>
      <c r="AL109" s="477" t="str">
        <f>IF($AC$109="","",IFERROR(INDEX($BB$74:$BB$119,MATCH($AH$109,$AY$74:$AY$119,0)),$AH$109))</f>
        <v/>
      </c>
      <c r="AM109" s="483" t="str">
        <f t="shared" si="19"/>
        <v/>
      </c>
      <c r="AN109" s="484" t="str">
        <f t="shared" si="20"/>
        <v/>
      </c>
      <c r="AO109" s="473" t="str">
        <f t="shared" si="21"/>
        <v/>
      </c>
      <c r="AP109" s="473" t="str">
        <f t="shared" si="22"/>
        <v/>
      </c>
      <c r="AQ109" s="473" t="str">
        <f t="shared" si="23"/>
        <v/>
      </c>
      <c r="AR109" s="473" t="str">
        <f t="shared" si="24"/>
        <v/>
      </c>
      <c r="AS109" s="473" t="str">
        <f t="shared" si="25"/>
        <v/>
      </c>
      <c r="AT109" s="473" t="str">
        <f t="shared" si="26"/>
        <v/>
      </c>
      <c r="AU109" s="473" t="str">
        <f t="shared" si="27"/>
        <v/>
      </c>
      <c r="AY109" s="32" t="s">
        <v>8135</v>
      </c>
      <c r="AZ109" s="488" t="s">
        <v>38</v>
      </c>
      <c r="BA109" s="489">
        <v>1</v>
      </c>
      <c r="BB109" s="419" t="s">
        <v>8136</v>
      </c>
      <c r="BC109" s="271"/>
      <c r="BD109" s="279">
        <v>1</v>
      </c>
      <c r="BE109" s="271"/>
      <c r="BF109" s="271"/>
      <c r="BG109" s="271"/>
      <c r="BH109" s="271"/>
      <c r="BI109" s="271"/>
      <c r="BJ109" s="271"/>
      <c r="BK109" s="271"/>
      <c r="BL109" s="271"/>
    </row>
    <row r="110" spans="18:64" ht="21" customHeight="1" x14ac:dyDescent="0.25">
      <c r="R110" s="25" t="s">
        <v>6134</v>
      </c>
      <c r="S110" s="451"/>
      <c r="T110" s="32" t="s">
        <v>309</v>
      </c>
      <c r="V110" s="475">
        <v>2</v>
      </c>
      <c r="W110" s="475" t="str">
        <f>IF($AC$110="","",$W$108)</f>
        <v/>
      </c>
      <c r="X110" s="476" t="str">
        <f>IF($AC$110="","",$X$108)</f>
        <v/>
      </c>
      <c r="Y110" s="477" t="str">
        <f>IF($X$110="","",$Y$108)</f>
        <v/>
      </c>
      <c r="Z110" s="477" t="str">
        <f>IF($X$110="","",$Z$108)</f>
        <v/>
      </c>
      <c r="AA110" s="477" t="str">
        <f>IF($AC$110="","",ROW($A$110)-ROW($A$108))</f>
        <v/>
      </c>
      <c r="AB110" s="478"/>
      <c r="AC110" s="34"/>
      <c r="AD110" s="356"/>
      <c r="AE110" s="479"/>
      <c r="AF110" s="475"/>
      <c r="AG110" s="480" t="str">
        <f t="shared" si="16"/>
        <v/>
      </c>
      <c r="AH110" s="481" t="str">
        <f t="shared" si="17"/>
        <v/>
      </c>
      <c r="AI110" s="477" t="str">
        <f>IF($AC$110="","",IFERROR(INDEX($AZ$74:$AZ$119,MATCH($AH$110,$AY$74:$AY$119,0)),"AUTRE"))</f>
        <v/>
      </c>
      <c r="AJ110" s="482" t="str">
        <f>IF($AC$110="","",IFERROR(INDEX($BA$74:$BA$119,MATCH($AH$110,$AY$74:$AY$119,0)),1))</f>
        <v/>
      </c>
      <c r="AK110" s="482" t="str">
        <f t="shared" si="18"/>
        <v/>
      </c>
      <c r="AL110" s="477" t="str">
        <f>IF($AC$110="","",IFERROR(INDEX($BB$74:$BB$119,MATCH($AH$110,$AY$74:$AY$119,0)),$AH$110))</f>
        <v/>
      </c>
      <c r="AM110" s="483" t="str">
        <f t="shared" si="19"/>
        <v/>
      </c>
      <c r="AN110" s="484" t="str">
        <f t="shared" si="20"/>
        <v/>
      </c>
      <c r="AO110" s="473" t="str">
        <f t="shared" si="21"/>
        <v/>
      </c>
      <c r="AP110" s="473" t="str">
        <f t="shared" si="22"/>
        <v/>
      </c>
      <c r="AQ110" s="473" t="str">
        <f t="shared" si="23"/>
        <v/>
      </c>
      <c r="AR110" s="473" t="str">
        <f t="shared" si="24"/>
        <v/>
      </c>
      <c r="AS110" s="473" t="str">
        <f t="shared" si="25"/>
        <v/>
      </c>
      <c r="AT110" s="473" t="str">
        <f t="shared" si="26"/>
        <v/>
      </c>
      <c r="AU110" s="473" t="str">
        <f t="shared" si="27"/>
        <v/>
      </c>
      <c r="AY110" s="32" t="s">
        <v>8137</v>
      </c>
      <c r="AZ110" s="488" t="s">
        <v>38</v>
      </c>
      <c r="BA110" s="489">
        <v>1</v>
      </c>
      <c r="BB110" s="419" t="s">
        <v>8138</v>
      </c>
      <c r="BC110" s="271"/>
      <c r="BD110" s="279">
        <v>1</v>
      </c>
      <c r="BE110" s="271"/>
      <c r="BF110" s="271"/>
      <c r="BG110" s="271"/>
      <c r="BH110" s="271"/>
      <c r="BI110" s="271"/>
      <c r="BJ110" s="271"/>
      <c r="BK110" s="271"/>
      <c r="BL110" s="271"/>
    </row>
    <row r="111" spans="18:64" ht="21" customHeight="1" x14ac:dyDescent="0.25">
      <c r="R111" s="34" t="s">
        <v>481</v>
      </c>
      <c r="S111" s="451"/>
      <c r="T111" s="32" t="s">
        <v>311</v>
      </c>
      <c r="V111" s="475">
        <v>2</v>
      </c>
      <c r="W111" s="475" t="str">
        <f>IF($AC$111="","",$W$108)</f>
        <v/>
      </c>
      <c r="X111" s="476" t="str">
        <f>IF($AC$111="","",$X$108)</f>
        <v/>
      </c>
      <c r="Y111" s="477" t="str">
        <f>IF($X$111="","",$Y$108)</f>
        <v/>
      </c>
      <c r="Z111" s="477" t="str">
        <f>IF($X$111="","",$Z$108)</f>
        <v/>
      </c>
      <c r="AA111" s="477" t="str">
        <f>IF($AC$111="","",ROW($A$111)-ROW($A$108))</f>
        <v/>
      </c>
      <c r="AB111" s="478"/>
      <c r="AC111" s="34"/>
      <c r="AD111" s="356"/>
      <c r="AE111" s="479"/>
      <c r="AF111" s="475"/>
      <c r="AG111" s="480" t="str">
        <f t="shared" si="16"/>
        <v/>
      </c>
      <c r="AH111" s="481" t="str">
        <f t="shared" si="17"/>
        <v/>
      </c>
      <c r="AI111" s="477" t="str">
        <f>IF($AC$111="","",IFERROR(INDEX($AZ$74:$AZ$119,MATCH($AH$111,$AY$74:$AY$119,0)),"AUTRE"))</f>
        <v/>
      </c>
      <c r="AJ111" s="482" t="str">
        <f>IF($AC$111="","",IFERROR(INDEX($BA$74:$BA$119,MATCH($AH$111,$AY$74:$AY$119,0)),1))</f>
        <v/>
      </c>
      <c r="AK111" s="482" t="str">
        <f t="shared" si="18"/>
        <v/>
      </c>
      <c r="AL111" s="477" t="str">
        <f>IF($AC$111="","",IFERROR(INDEX($BB$74:$BB$119,MATCH($AH$111,$AY$74:$AY$119,0)),$AH$111))</f>
        <v/>
      </c>
      <c r="AM111" s="483" t="str">
        <f t="shared" si="19"/>
        <v/>
      </c>
      <c r="AN111" s="484" t="str">
        <f t="shared" si="20"/>
        <v/>
      </c>
      <c r="AO111" s="473" t="str">
        <f t="shared" si="21"/>
        <v/>
      </c>
      <c r="AP111" s="473" t="str">
        <f t="shared" si="22"/>
        <v/>
      </c>
      <c r="AQ111" s="473" t="str">
        <f t="shared" si="23"/>
        <v/>
      </c>
      <c r="AR111" s="473" t="str">
        <f t="shared" si="24"/>
        <v/>
      </c>
      <c r="AS111" s="473" t="str">
        <f t="shared" si="25"/>
        <v/>
      </c>
      <c r="AT111" s="473" t="str">
        <f t="shared" si="26"/>
        <v/>
      </c>
      <c r="AU111" s="473" t="str">
        <f t="shared" si="27"/>
        <v/>
      </c>
      <c r="AY111" s="32" t="s">
        <v>8139</v>
      </c>
      <c r="AZ111" s="488" t="s">
        <v>38</v>
      </c>
      <c r="BA111" s="489">
        <v>1</v>
      </c>
      <c r="BB111" s="419" t="s">
        <v>8140</v>
      </c>
      <c r="BC111" s="271"/>
      <c r="BD111" s="279">
        <v>1</v>
      </c>
      <c r="BE111" s="271"/>
      <c r="BF111" s="271"/>
      <c r="BG111" s="271"/>
      <c r="BH111" s="271"/>
      <c r="BI111" s="271"/>
      <c r="BJ111" s="271"/>
      <c r="BK111" s="271"/>
      <c r="BL111" s="271"/>
    </row>
    <row r="112" spans="18:64" ht="21" customHeight="1" x14ac:dyDescent="0.25">
      <c r="R112" s="34" t="s">
        <v>475</v>
      </c>
      <c r="S112" s="451"/>
      <c r="T112" s="32" t="s">
        <v>8135</v>
      </c>
      <c r="V112" s="475">
        <v>2</v>
      </c>
      <c r="W112" s="475" t="str">
        <f>IF($AC$112="","",$W$108)</f>
        <v/>
      </c>
      <c r="X112" s="476" t="str">
        <f>IF($AC$112="","",$X$108)</f>
        <v/>
      </c>
      <c r="Y112" s="477" t="str">
        <f>IF($X$112="","",$Y$108)</f>
        <v/>
      </c>
      <c r="Z112" s="477" t="str">
        <f>IF($X$112="","",$Z$108)</f>
        <v/>
      </c>
      <c r="AA112" s="477" t="str">
        <f>IF($AC$112="","",ROW($A$112)-ROW($A$108))</f>
        <v/>
      </c>
      <c r="AB112" s="478"/>
      <c r="AC112" s="34"/>
      <c r="AD112" s="356"/>
      <c r="AE112" s="479"/>
      <c r="AF112" s="475"/>
      <c r="AG112" s="480" t="str">
        <f t="shared" si="16"/>
        <v/>
      </c>
      <c r="AH112" s="481" t="str">
        <f t="shared" si="17"/>
        <v/>
      </c>
      <c r="AI112" s="477" t="str">
        <f>IF($AC$112="","",IFERROR(INDEX($AZ$74:$AZ$119,MATCH($AH$112,$AY$74:$AY$119,0)),"AUTRE"))</f>
        <v/>
      </c>
      <c r="AJ112" s="482" t="str">
        <f>IF($AC$112="","",IFERROR(INDEX($BA$74:$BA$119,MATCH($AH$112,$AY$74:$AY$119,0)),1))</f>
        <v/>
      </c>
      <c r="AK112" s="482" t="str">
        <f t="shared" si="18"/>
        <v/>
      </c>
      <c r="AL112" s="477" t="str">
        <f>IF($AC$112="","",IFERROR(INDEX($BB$74:$BB$119,MATCH($AH$112,$AY$74:$AY$119,0)),$AH$112))</f>
        <v/>
      </c>
      <c r="AM112" s="483" t="str">
        <f t="shared" si="19"/>
        <v/>
      </c>
      <c r="AN112" s="484" t="str">
        <f t="shared" si="20"/>
        <v/>
      </c>
      <c r="AO112" s="473" t="str">
        <f t="shared" si="21"/>
        <v/>
      </c>
      <c r="AP112" s="473" t="str">
        <f t="shared" si="22"/>
        <v/>
      </c>
      <c r="AQ112" s="473" t="str">
        <f t="shared" si="23"/>
        <v/>
      </c>
      <c r="AR112" s="473" t="str">
        <f t="shared" si="24"/>
        <v/>
      </c>
      <c r="AS112" s="473" t="str">
        <f t="shared" si="25"/>
        <v/>
      </c>
      <c r="AT112" s="473" t="str">
        <f t="shared" si="26"/>
        <v/>
      </c>
      <c r="AU112" s="473" t="str">
        <f t="shared" si="27"/>
        <v/>
      </c>
      <c r="AY112" s="32" t="s">
        <v>8141</v>
      </c>
      <c r="AZ112" s="488" t="s">
        <v>38</v>
      </c>
      <c r="BA112" s="489">
        <v>1</v>
      </c>
      <c r="BB112" s="419" t="s">
        <v>8142</v>
      </c>
      <c r="BC112" s="271"/>
      <c r="BD112" s="279">
        <v>1</v>
      </c>
      <c r="BE112" s="271"/>
      <c r="BF112" s="271"/>
      <c r="BG112" s="271"/>
      <c r="BH112" s="271"/>
      <c r="BI112" s="271"/>
      <c r="BJ112" s="271"/>
      <c r="BK112" s="271"/>
      <c r="BL112" s="271"/>
    </row>
    <row r="113" spans="18:64" ht="21" customHeight="1" x14ac:dyDescent="0.25">
      <c r="R113" s="34" t="s">
        <v>457</v>
      </c>
      <c r="S113" s="451"/>
      <c r="T113" s="497" t="s">
        <v>462</v>
      </c>
      <c r="V113" s="475">
        <v>2</v>
      </c>
      <c r="W113" s="475" t="str">
        <f>IF($AC$113="","",$W$108)</f>
        <v/>
      </c>
      <c r="X113" s="476" t="str">
        <f>IF($AC$113="","",$X$108)</f>
        <v/>
      </c>
      <c r="Y113" s="477" t="str">
        <f>IF($X$113="","",$Y$108)</f>
        <v/>
      </c>
      <c r="Z113" s="477" t="str">
        <f>IF($X$113="","",$Z$108)</f>
        <v/>
      </c>
      <c r="AA113" s="477" t="str">
        <f>IF($AC$113="","",ROW($A$113)-ROW($A$108))</f>
        <v/>
      </c>
      <c r="AB113" s="478"/>
      <c r="AC113" s="34"/>
      <c r="AD113" s="356"/>
      <c r="AE113" s="479"/>
      <c r="AF113" s="475"/>
      <c r="AG113" s="480" t="str">
        <f t="shared" si="16"/>
        <v/>
      </c>
      <c r="AH113" s="481" t="str">
        <f t="shared" si="17"/>
        <v/>
      </c>
      <c r="AI113" s="477" t="str">
        <f>IF($AC$113="","",IFERROR(INDEX($AZ$74:$AZ$119,MATCH($AH$113,$AY$74:$AY$119,0)),"AUTRE"))</f>
        <v/>
      </c>
      <c r="AJ113" s="482" t="str">
        <f>IF($AC$113="","",IFERROR(INDEX($BA$74:$BA$119,MATCH($AH$113,$AY$74:$AY$119,0)),1))</f>
        <v/>
      </c>
      <c r="AK113" s="482" t="str">
        <f t="shared" si="18"/>
        <v/>
      </c>
      <c r="AL113" s="477" t="str">
        <f>IF($AC$113="","",IFERROR(INDEX($BB$74:$BB$119,MATCH($AH$113,$AY$74:$AY$119,0)),$AH$113))</f>
        <v/>
      </c>
      <c r="AM113" s="483" t="str">
        <f t="shared" si="19"/>
        <v/>
      </c>
      <c r="AN113" s="484" t="str">
        <f t="shared" si="20"/>
        <v/>
      </c>
      <c r="AO113" s="473" t="str">
        <f t="shared" si="21"/>
        <v/>
      </c>
      <c r="AP113" s="473" t="str">
        <f t="shared" si="22"/>
        <v/>
      </c>
      <c r="AQ113" s="473" t="str">
        <f t="shared" si="23"/>
        <v/>
      </c>
      <c r="AR113" s="473" t="str">
        <f t="shared" si="24"/>
        <v/>
      </c>
      <c r="AS113" s="473" t="str">
        <f t="shared" si="25"/>
        <v/>
      </c>
      <c r="AT113" s="473" t="str">
        <f t="shared" si="26"/>
        <v/>
      </c>
      <c r="AU113" s="473" t="str">
        <f t="shared" si="27"/>
        <v/>
      </c>
      <c r="AY113" s="32" t="s">
        <v>8143</v>
      </c>
      <c r="AZ113" s="488" t="s">
        <v>38</v>
      </c>
      <c r="BA113" s="489">
        <v>1</v>
      </c>
      <c r="BB113" s="419" t="s">
        <v>8144</v>
      </c>
      <c r="BC113" s="271"/>
      <c r="BD113" s="279">
        <v>1</v>
      </c>
      <c r="BE113" s="271"/>
      <c r="BF113" s="271"/>
      <c r="BG113" s="271"/>
      <c r="BH113" s="271"/>
      <c r="BI113" s="271"/>
      <c r="BJ113" s="271"/>
      <c r="BK113" s="271"/>
      <c r="BL113" s="271"/>
    </row>
    <row r="114" spans="18:64" ht="21" customHeight="1" x14ac:dyDescent="0.25">
      <c r="R114" s="34" t="s">
        <v>482</v>
      </c>
      <c r="S114" s="451"/>
      <c r="T114" s="497" t="s">
        <v>463</v>
      </c>
      <c r="V114" s="475">
        <v>2</v>
      </c>
      <c r="W114" s="475" t="str">
        <f>IF($AC$114="","",$W$108)</f>
        <v/>
      </c>
      <c r="X114" s="476" t="str">
        <f>IF($AC$114="","",$X$108)</f>
        <v/>
      </c>
      <c r="Y114" s="477" t="str">
        <f>IF($X$114="","",$Y$108)</f>
        <v/>
      </c>
      <c r="Z114" s="477" t="str">
        <f>IF($X$114="","",$Z$108)</f>
        <v/>
      </c>
      <c r="AA114" s="477" t="str">
        <f>IF($AC$114="","",ROW($A$114)-ROW($A$108))</f>
        <v/>
      </c>
      <c r="AB114" s="478"/>
      <c r="AC114" s="34"/>
      <c r="AD114" s="356"/>
      <c r="AE114" s="479"/>
      <c r="AF114" s="475"/>
      <c r="AG114" s="480" t="str">
        <f t="shared" si="16"/>
        <v/>
      </c>
      <c r="AH114" s="481" t="str">
        <f t="shared" si="17"/>
        <v/>
      </c>
      <c r="AI114" s="477" t="str">
        <f>IF($AC$114="","",IFERROR(INDEX($AZ$74:$AZ$119,MATCH($AH$114,$AY$74:$AY$119,0)),"AUTRE"))</f>
        <v/>
      </c>
      <c r="AJ114" s="482" t="str">
        <f>IF($AC$114="","",IFERROR(INDEX($BA$74:$BA$119,MATCH($AH$114,$AY$74:$AY$119,0)),1))</f>
        <v/>
      </c>
      <c r="AK114" s="482" t="str">
        <f t="shared" si="18"/>
        <v/>
      </c>
      <c r="AL114" s="477" t="str">
        <f>IF($AC$114="","",IFERROR(INDEX($BB$74:$BB$119,MATCH($AH$114,$AY$74:$AY$119,0)),$AH$114))</f>
        <v/>
      </c>
      <c r="AM114" s="483" t="str">
        <f t="shared" si="19"/>
        <v/>
      </c>
      <c r="AN114" s="484" t="str">
        <f t="shared" si="20"/>
        <v/>
      </c>
      <c r="AO114" s="473" t="str">
        <f t="shared" si="21"/>
        <v/>
      </c>
      <c r="AP114" s="473" t="str">
        <f t="shared" si="22"/>
        <v/>
      </c>
      <c r="AQ114" s="473" t="str">
        <f t="shared" si="23"/>
        <v/>
      </c>
      <c r="AR114" s="473" t="str">
        <f t="shared" si="24"/>
        <v/>
      </c>
      <c r="AS114" s="473" t="str">
        <f t="shared" si="25"/>
        <v/>
      </c>
      <c r="AT114" s="473" t="str">
        <f t="shared" si="26"/>
        <v/>
      </c>
      <c r="AU114" s="473" t="str">
        <f t="shared" si="27"/>
        <v/>
      </c>
      <c r="AY114" s="497" t="s">
        <v>8145</v>
      </c>
      <c r="AZ114" s="488" t="s">
        <v>38</v>
      </c>
      <c r="BA114" s="489">
        <v>1</v>
      </c>
      <c r="BB114" s="419" t="s">
        <v>8146</v>
      </c>
      <c r="BC114" s="271"/>
      <c r="BD114" s="279">
        <v>1</v>
      </c>
      <c r="BE114" s="271"/>
      <c r="BF114" s="271"/>
      <c r="BG114" s="271"/>
      <c r="BH114" s="271"/>
      <c r="BI114" s="271"/>
      <c r="BJ114" s="271"/>
      <c r="BK114" s="271"/>
      <c r="BL114" s="271"/>
    </row>
    <row r="115" spans="18:64" ht="21" customHeight="1" x14ac:dyDescent="0.25">
      <c r="R115" s="34" t="s">
        <v>496</v>
      </c>
      <c r="S115" s="451"/>
      <c r="T115" s="497" t="s">
        <v>8147</v>
      </c>
      <c r="V115" s="475">
        <v>2</v>
      </c>
      <c r="W115" s="475" t="str">
        <f>IF($AC$115="","",$W$108)</f>
        <v/>
      </c>
      <c r="X115" s="476" t="str">
        <f>IF($AC$115="","",$X$108)</f>
        <v/>
      </c>
      <c r="Y115" s="477" t="str">
        <f>IF($X$115="","",$Y$108)</f>
        <v/>
      </c>
      <c r="Z115" s="477" t="str">
        <f>IF($X$115="","",$Z$108)</f>
        <v/>
      </c>
      <c r="AA115" s="477" t="str">
        <f>IF($AC$115="","",ROW($A$115)-ROW($A$108))</f>
        <v/>
      </c>
      <c r="AB115" s="478"/>
      <c r="AC115" s="34"/>
      <c r="AD115" s="356"/>
      <c r="AE115" s="479"/>
      <c r="AF115" s="475"/>
      <c r="AG115" s="480" t="str">
        <f t="shared" si="16"/>
        <v/>
      </c>
      <c r="AH115" s="481" t="str">
        <f t="shared" si="17"/>
        <v/>
      </c>
      <c r="AI115" s="477" t="str">
        <f>IF($AC$115="","",IFERROR(INDEX($AZ$74:$AZ$119,MATCH($AH$115,$AY$74:$AY$119,0)),"AUTRE"))</f>
        <v/>
      </c>
      <c r="AJ115" s="482" t="str">
        <f>IF($AC$115="","",IFERROR(INDEX($BA$74:$BA$119,MATCH($AH$115,$AY$74:$AY$119,0)),1))</f>
        <v/>
      </c>
      <c r="AK115" s="482" t="str">
        <f t="shared" si="18"/>
        <v/>
      </c>
      <c r="AL115" s="477" t="str">
        <f>IF($AC$115="","",IFERROR(INDEX($BB$74:$BB$119,MATCH($AH$115,$AY$74:$AY$119,0)),$AH$115))</f>
        <v/>
      </c>
      <c r="AM115" s="483" t="str">
        <f t="shared" si="19"/>
        <v/>
      </c>
      <c r="AN115" s="484" t="str">
        <f t="shared" si="20"/>
        <v/>
      </c>
      <c r="AO115" s="473" t="str">
        <f t="shared" si="21"/>
        <v/>
      </c>
      <c r="AP115" s="473" t="str">
        <f t="shared" si="22"/>
        <v/>
      </c>
      <c r="AQ115" s="473" t="str">
        <f t="shared" si="23"/>
        <v/>
      </c>
      <c r="AR115" s="473" t="str">
        <f t="shared" si="24"/>
        <v/>
      </c>
      <c r="AS115" s="473" t="str">
        <f t="shared" si="25"/>
        <v/>
      </c>
      <c r="AT115" s="473" t="str">
        <f t="shared" si="26"/>
        <v/>
      </c>
      <c r="AU115" s="473" t="str">
        <f t="shared" si="27"/>
        <v/>
      </c>
      <c r="AY115" s="497" t="s">
        <v>462</v>
      </c>
      <c r="AZ115" s="488" t="s">
        <v>38</v>
      </c>
      <c r="BA115" s="489">
        <v>1</v>
      </c>
      <c r="BB115" s="419" t="s">
        <v>461</v>
      </c>
      <c r="BC115" s="271"/>
      <c r="BD115" s="279">
        <v>1</v>
      </c>
      <c r="BE115" s="271"/>
      <c r="BF115" s="271"/>
      <c r="BG115" s="271"/>
      <c r="BH115" s="271"/>
      <c r="BI115" s="271"/>
      <c r="BJ115" s="271"/>
      <c r="BK115" s="271"/>
      <c r="BL115" s="271"/>
    </row>
    <row r="116" spans="18:64" ht="21" customHeight="1" x14ac:dyDescent="0.25">
      <c r="R116" s="34" t="s">
        <v>483</v>
      </c>
      <c r="S116" s="451"/>
      <c r="T116" s="497" t="s">
        <v>465</v>
      </c>
      <c r="V116" s="475">
        <v>2</v>
      </c>
      <c r="W116" s="475" t="str">
        <f>IF($AC$116="","",$W$108)</f>
        <v/>
      </c>
      <c r="X116" s="476" t="str">
        <f>IF($AC$116="","",$X$108)</f>
        <v/>
      </c>
      <c r="Y116" s="477" t="str">
        <f>IF($X$116="","",$Y$108)</f>
        <v/>
      </c>
      <c r="Z116" s="477" t="str">
        <f>IF($X$116="","",$Z$108)</f>
        <v/>
      </c>
      <c r="AA116" s="477" t="str">
        <f>IF($AC$116="","",ROW($A$116)-ROW($A$108))</f>
        <v/>
      </c>
      <c r="AB116" s="478"/>
      <c r="AC116" s="34"/>
      <c r="AD116" s="356"/>
      <c r="AE116" s="479"/>
      <c r="AF116" s="475"/>
      <c r="AG116" s="480" t="str">
        <f t="shared" si="16"/>
        <v/>
      </c>
      <c r="AH116" s="481" t="str">
        <f t="shared" si="17"/>
        <v/>
      </c>
      <c r="AI116" s="477" t="str">
        <f>IF($AC$116="","",IFERROR(INDEX($AZ$74:$AZ$119,MATCH($AH$116,$AY$74:$AY$119,0)),"AUTRE"))</f>
        <v/>
      </c>
      <c r="AJ116" s="482" t="str">
        <f>IF($AC$116="","",IFERROR(INDEX($BA$74:$BA$119,MATCH($AH$116,$AY$74:$AY$119,0)),1))</f>
        <v/>
      </c>
      <c r="AK116" s="482" t="str">
        <f t="shared" si="18"/>
        <v/>
      </c>
      <c r="AL116" s="477" t="str">
        <f>IF($AC$116="","",IFERROR(INDEX($BB$74:$BB$119,MATCH($AH$116,$AY$74:$AY$119,0)),$AH$116))</f>
        <v/>
      </c>
      <c r="AM116" s="483" t="str">
        <f t="shared" si="19"/>
        <v/>
      </c>
      <c r="AN116" s="484" t="str">
        <f t="shared" si="20"/>
        <v/>
      </c>
      <c r="AO116" s="473" t="str">
        <f t="shared" si="21"/>
        <v/>
      </c>
      <c r="AP116" s="473" t="str">
        <f t="shared" si="22"/>
        <v/>
      </c>
      <c r="AQ116" s="473" t="str">
        <f t="shared" si="23"/>
        <v/>
      </c>
      <c r="AR116" s="473" t="str">
        <f t="shared" si="24"/>
        <v/>
      </c>
      <c r="AS116" s="473" t="str">
        <f t="shared" si="25"/>
        <v/>
      </c>
      <c r="AT116" s="473" t="str">
        <f t="shared" si="26"/>
        <v/>
      </c>
      <c r="AU116" s="473" t="str">
        <f t="shared" si="27"/>
        <v/>
      </c>
      <c r="AY116" s="497" t="s">
        <v>463</v>
      </c>
      <c r="AZ116" s="488" t="s">
        <v>38</v>
      </c>
      <c r="BA116" s="489">
        <v>1</v>
      </c>
      <c r="BB116" s="419" t="s">
        <v>464</v>
      </c>
      <c r="BC116" s="271"/>
      <c r="BD116" s="279">
        <v>1</v>
      </c>
      <c r="BE116" s="271"/>
      <c r="BF116" s="271"/>
      <c r="BG116" s="271"/>
      <c r="BH116" s="271"/>
      <c r="BI116" s="271"/>
      <c r="BJ116" s="271"/>
      <c r="BK116" s="271"/>
      <c r="BL116" s="271"/>
    </row>
    <row r="117" spans="18:64" ht="21" customHeight="1" x14ac:dyDescent="0.25">
      <c r="R117" s="34" t="s">
        <v>493</v>
      </c>
      <c r="S117" s="451"/>
      <c r="T117" s="497" t="s">
        <v>466</v>
      </c>
      <c r="V117" s="475">
        <v>2</v>
      </c>
      <c r="W117" s="475" t="str">
        <f>IF($AC$117="","",$W$108)</f>
        <v/>
      </c>
      <c r="X117" s="476" t="str">
        <f>IF($AC$117="","",$X$108)</f>
        <v/>
      </c>
      <c r="Y117" s="477" t="str">
        <f>IF($X$117="","",$Y$108)</f>
        <v/>
      </c>
      <c r="Z117" s="477" t="str">
        <f>IF($X$117="","",$Z$108)</f>
        <v/>
      </c>
      <c r="AA117" s="477" t="str">
        <f>IF($AC$117="","",ROW($A$117)-ROW($A$108))</f>
        <v/>
      </c>
      <c r="AB117" s="478"/>
      <c r="AC117" s="34"/>
      <c r="AD117" s="356"/>
      <c r="AE117" s="479"/>
      <c r="AF117" s="475"/>
      <c r="AG117" s="480" t="str">
        <f t="shared" si="16"/>
        <v/>
      </c>
      <c r="AH117" s="481" t="str">
        <f t="shared" si="17"/>
        <v/>
      </c>
      <c r="AI117" s="477" t="str">
        <f>IF($AC$117="","",IFERROR(INDEX($AZ$74:$AZ$119,MATCH($AH$117,$AY$74:$AY$119,0)),"AUTRE"))</f>
        <v/>
      </c>
      <c r="AJ117" s="482" t="str">
        <f>IF($AC$117="","",IFERROR(INDEX($BA$74:$BA$119,MATCH($AH$117,$AY$74:$AY$119,0)),1))</f>
        <v/>
      </c>
      <c r="AK117" s="482" t="str">
        <f t="shared" si="18"/>
        <v/>
      </c>
      <c r="AL117" s="477" t="str">
        <f>IF($AC$117="","",IFERROR(INDEX($BB$74:$BB$119,MATCH($AH$117,$AY$74:$AY$119,0)),$AH$117))</f>
        <v/>
      </c>
      <c r="AM117" s="483" t="str">
        <f t="shared" si="19"/>
        <v/>
      </c>
      <c r="AN117" s="484" t="str">
        <f t="shared" si="20"/>
        <v/>
      </c>
      <c r="AO117" s="473" t="str">
        <f t="shared" si="21"/>
        <v/>
      </c>
      <c r="AP117" s="473" t="str">
        <f t="shared" si="22"/>
        <v/>
      </c>
      <c r="AQ117" s="473" t="str">
        <f t="shared" si="23"/>
        <v/>
      </c>
      <c r="AR117" s="473" t="str">
        <f t="shared" si="24"/>
        <v/>
      </c>
      <c r="AS117" s="473" t="str">
        <f t="shared" si="25"/>
        <v/>
      </c>
      <c r="AT117" s="473" t="str">
        <f t="shared" si="26"/>
        <v/>
      </c>
      <c r="AU117" s="473" t="str">
        <f t="shared" si="27"/>
        <v/>
      </c>
      <c r="AY117" s="497" t="s">
        <v>8147</v>
      </c>
      <c r="AZ117" s="488" t="s">
        <v>38</v>
      </c>
      <c r="BA117" s="489">
        <v>1</v>
      </c>
      <c r="BB117" s="419" t="s">
        <v>8148</v>
      </c>
      <c r="BC117" s="271"/>
      <c r="BD117" s="279">
        <v>1</v>
      </c>
      <c r="BE117" s="271"/>
      <c r="BF117" s="271"/>
      <c r="BG117" s="271"/>
      <c r="BH117" s="271"/>
      <c r="BI117" s="271"/>
      <c r="BJ117" s="271"/>
      <c r="BK117" s="271"/>
      <c r="BL117" s="271"/>
    </row>
    <row r="118" spans="18:64" ht="21" customHeight="1" x14ac:dyDescent="0.25">
      <c r="R118" s="34" t="s">
        <v>494</v>
      </c>
      <c r="S118" s="451"/>
      <c r="T118" s="440" t="s">
        <v>8110</v>
      </c>
      <c r="V118" s="475">
        <v>2</v>
      </c>
      <c r="W118" s="475" t="str">
        <f>IF($AC$118="","",$W$108)</f>
        <v/>
      </c>
      <c r="X118" s="476" t="str">
        <f>IF($AC$118="","",$X$108)</f>
        <v/>
      </c>
      <c r="Y118" s="477" t="str">
        <f>IF($X$118="","",$Y$108)</f>
        <v/>
      </c>
      <c r="Z118" s="477" t="str">
        <f>IF($X$118="","",$Z$108)</f>
        <v/>
      </c>
      <c r="AA118" s="477" t="str">
        <f>IF($AC$118="","",ROW($A$118)-ROW($A$108))</f>
        <v/>
      </c>
      <c r="AB118" s="478"/>
      <c r="AC118" s="34"/>
      <c r="AD118" s="356"/>
      <c r="AE118" s="479"/>
      <c r="AF118" s="475"/>
      <c r="AG118" s="480" t="str">
        <f t="shared" si="16"/>
        <v/>
      </c>
      <c r="AH118" s="481" t="str">
        <f t="shared" si="17"/>
        <v/>
      </c>
      <c r="AI118" s="477" t="str">
        <f>IF($AC$118="","",IFERROR(INDEX($AZ$74:$AZ$119,MATCH($AH$118,$AY$74:$AY$119,0)),"AUTRE"))</f>
        <v/>
      </c>
      <c r="AJ118" s="482" t="str">
        <f>IF($AC$118="","",IFERROR(INDEX($BA$74:$BA$119,MATCH($AH$118,$AY$74:$AY$119,0)),1))</f>
        <v/>
      </c>
      <c r="AK118" s="482" t="str">
        <f t="shared" si="18"/>
        <v/>
      </c>
      <c r="AL118" s="477" t="str">
        <f>IF($AC$118="","",IFERROR(INDEX($BB$74:$BB$119,MATCH($AH$118,$AY$74:$AY$119,0)),$AH$118))</f>
        <v/>
      </c>
      <c r="AM118" s="483" t="str">
        <f t="shared" si="19"/>
        <v/>
      </c>
      <c r="AN118" s="484" t="str">
        <f t="shared" si="20"/>
        <v/>
      </c>
      <c r="AO118" s="473" t="str">
        <f t="shared" si="21"/>
        <v/>
      </c>
      <c r="AP118" s="473" t="str">
        <f t="shared" si="22"/>
        <v/>
      </c>
      <c r="AQ118" s="473" t="str">
        <f t="shared" si="23"/>
        <v/>
      </c>
      <c r="AR118" s="473" t="str">
        <f t="shared" si="24"/>
        <v/>
      </c>
      <c r="AS118" s="473" t="str">
        <f t="shared" si="25"/>
        <v/>
      </c>
      <c r="AT118" s="473" t="str">
        <f t="shared" si="26"/>
        <v/>
      </c>
      <c r="AU118" s="473" t="str">
        <f t="shared" si="27"/>
        <v/>
      </c>
      <c r="AY118" s="497" t="s">
        <v>465</v>
      </c>
      <c r="AZ118" s="488" t="s">
        <v>38</v>
      </c>
      <c r="BA118" s="489">
        <v>1</v>
      </c>
      <c r="BB118" s="419" t="s">
        <v>460</v>
      </c>
      <c r="BC118" s="271"/>
      <c r="BD118" s="279">
        <v>1</v>
      </c>
      <c r="BE118" s="271"/>
      <c r="BF118" s="271"/>
      <c r="BG118" s="271"/>
      <c r="BH118" s="271"/>
      <c r="BI118" s="271"/>
      <c r="BJ118" s="271"/>
      <c r="BK118" s="271"/>
      <c r="BL118" s="271"/>
    </row>
    <row r="119" spans="18:64" ht="21" customHeight="1" x14ac:dyDescent="0.25">
      <c r="S119" s="451"/>
      <c r="T119" s="452" t="s">
        <v>8113</v>
      </c>
      <c r="V119" s="475">
        <v>2</v>
      </c>
      <c r="W119" s="475" t="str">
        <f>IF($AC$119="","",$W$108)</f>
        <v/>
      </c>
      <c r="X119" s="476" t="str">
        <f>IF($AC$119="","",$X$108)</f>
        <v/>
      </c>
      <c r="Y119" s="477" t="str">
        <f>IF($X$119="","",$Y$108)</f>
        <v/>
      </c>
      <c r="Z119" s="477" t="str">
        <f>IF($X$119="","",$Z$108)</f>
        <v/>
      </c>
      <c r="AA119" s="477" t="str">
        <f>IF($AC$119="","",ROW($A$119)-ROW($A$108))</f>
        <v/>
      </c>
      <c r="AB119" s="478"/>
      <c r="AC119" s="34"/>
      <c r="AD119" s="356"/>
      <c r="AE119" s="479"/>
      <c r="AF119" s="475"/>
      <c r="AG119" s="480" t="str">
        <f t="shared" si="16"/>
        <v/>
      </c>
      <c r="AH119" s="481" t="str">
        <f t="shared" si="17"/>
        <v/>
      </c>
      <c r="AI119" s="477" t="str">
        <f>IF($AC$119="","",IFERROR(INDEX($AZ$74:$AZ$119,MATCH($AH$119,$AY$74:$AY$119,0)),"AUTRE"))</f>
        <v/>
      </c>
      <c r="AJ119" s="482" t="str">
        <f>IF($AC$119="","",IFERROR(INDEX($BA$74:$BA$119,MATCH($AH$119,$AY$74:$AY$119,0)),1))</f>
        <v/>
      </c>
      <c r="AK119" s="482" t="str">
        <f t="shared" si="18"/>
        <v/>
      </c>
      <c r="AL119" s="477" t="str">
        <f>IF($AC$119="","",IFERROR(INDEX($BB$74:$BB$119,MATCH($AH$119,$AY$74:$AY$119,0)),$AH$119))</f>
        <v/>
      </c>
      <c r="AM119" s="483" t="str">
        <f t="shared" si="19"/>
        <v/>
      </c>
      <c r="AN119" s="484" t="str">
        <f t="shared" si="20"/>
        <v/>
      </c>
      <c r="AO119" s="473" t="str">
        <f t="shared" si="21"/>
        <v/>
      </c>
      <c r="AP119" s="473" t="str">
        <f t="shared" si="22"/>
        <v/>
      </c>
      <c r="AQ119" s="473" t="str">
        <f t="shared" si="23"/>
        <v/>
      </c>
      <c r="AR119" s="473" t="str">
        <f t="shared" si="24"/>
        <v/>
      </c>
      <c r="AS119" s="473" t="str">
        <f t="shared" si="25"/>
        <v/>
      </c>
      <c r="AT119" s="473" t="str">
        <f t="shared" si="26"/>
        <v/>
      </c>
      <c r="AU119" s="473" t="str">
        <f t="shared" si="27"/>
        <v/>
      </c>
      <c r="AY119" s="497" t="s">
        <v>466</v>
      </c>
      <c r="AZ119" s="488" t="s">
        <v>38</v>
      </c>
      <c r="BA119" s="489">
        <v>1</v>
      </c>
      <c r="BB119" s="419" t="s">
        <v>467</v>
      </c>
      <c r="BC119" s="271"/>
      <c r="BD119" s="279">
        <v>1</v>
      </c>
      <c r="BE119" s="271"/>
      <c r="BF119" s="271"/>
      <c r="BG119" s="271"/>
      <c r="BH119" s="271"/>
      <c r="BI119" s="271"/>
      <c r="BJ119" s="271"/>
      <c r="BK119" s="271"/>
      <c r="BL119" s="271"/>
    </row>
    <row r="120" spans="18:64" ht="21" customHeight="1" x14ac:dyDescent="0.25">
      <c r="R120" s="25" t="s">
        <v>6115</v>
      </c>
      <c r="S120" s="451"/>
      <c r="T120" s="14" t="s">
        <v>7</v>
      </c>
      <c r="V120" s="475">
        <v>2</v>
      </c>
      <c r="W120" s="475" t="str">
        <f>IF($AC$120="","",$W$108)</f>
        <v/>
      </c>
      <c r="X120" s="476" t="str">
        <f>IF($AC$120="","",$X$108)</f>
        <v/>
      </c>
      <c r="Y120" s="477" t="str">
        <f>IF($X$120="","",$Y$108)</f>
        <v/>
      </c>
      <c r="Z120" s="477" t="str">
        <f>IF($X$120="","",$Z$108)</f>
        <v/>
      </c>
      <c r="AA120" s="477" t="str">
        <f>IF($AC$120="","",ROW($A$120)-ROW($A$108))</f>
        <v/>
      </c>
      <c r="AB120" s="478"/>
      <c r="AC120" s="34"/>
      <c r="AD120" s="356"/>
      <c r="AE120" s="479"/>
      <c r="AF120" s="475"/>
      <c r="AG120" s="480" t="str">
        <f t="shared" si="16"/>
        <v/>
      </c>
      <c r="AH120" s="481" t="str">
        <f t="shared" si="17"/>
        <v/>
      </c>
      <c r="AI120" s="477" t="str">
        <f>IF($AC$120="","",IFERROR(INDEX($AZ$74:$AZ$119,MATCH($AH$120,$AY$74:$AY$119,0)),"AUTRE"))</f>
        <v/>
      </c>
      <c r="AJ120" s="482" t="str">
        <f>IF($AC$120="","",IFERROR(INDEX($BA$74:$BA$119,MATCH($AH$120,$AY$74:$AY$119,0)),1))</f>
        <v/>
      </c>
      <c r="AK120" s="482" t="str">
        <f t="shared" si="18"/>
        <v/>
      </c>
      <c r="AL120" s="477" t="str">
        <f>IF($AC$120="","",IFERROR(INDEX($BB$74:$BB$119,MATCH($AH$120,$AY$74:$AY$119,0)),$AH$120))</f>
        <v/>
      </c>
      <c r="AM120" s="483" t="str">
        <f t="shared" si="19"/>
        <v/>
      </c>
      <c r="AN120" s="484" t="str">
        <f t="shared" si="20"/>
        <v/>
      </c>
      <c r="AO120" s="473" t="str">
        <f t="shared" si="21"/>
        <v/>
      </c>
      <c r="AP120" s="473" t="str">
        <f t="shared" si="22"/>
        <v/>
      </c>
      <c r="AQ120" s="473" t="str">
        <f t="shared" si="23"/>
        <v/>
      </c>
      <c r="AR120" s="473" t="str">
        <f t="shared" si="24"/>
        <v/>
      </c>
      <c r="AS120" s="473" t="str">
        <f t="shared" si="25"/>
        <v/>
      </c>
      <c r="AT120" s="473" t="str">
        <f t="shared" si="26"/>
        <v/>
      </c>
      <c r="AU120" s="473" t="str">
        <f t="shared" si="27"/>
        <v/>
      </c>
      <c r="AY120" s="498"/>
      <c r="AZ120" s="498"/>
      <c r="BA120" s="498"/>
      <c r="BB120" s="448" t="str">
        <f>ADDRESS(ROW(),COLUMN(),4)</f>
        <v>BB120</v>
      </c>
      <c r="BC120" s="271"/>
      <c r="BD120" s="279">
        <v>1</v>
      </c>
      <c r="BE120" s="271"/>
      <c r="BF120" s="271"/>
      <c r="BG120" s="271"/>
      <c r="BH120" s="271"/>
      <c r="BI120" s="271"/>
      <c r="BJ120" s="271"/>
      <c r="BK120" s="271"/>
      <c r="BL120" s="271"/>
    </row>
    <row r="121" spans="18:64" ht="21" customHeight="1" x14ac:dyDescent="0.25">
      <c r="R121" s="34" t="s">
        <v>471</v>
      </c>
      <c r="S121" s="451"/>
      <c r="T121" s="27" t="s">
        <v>8</v>
      </c>
      <c r="V121" s="475">
        <v>2</v>
      </c>
      <c r="W121" s="475" t="str">
        <f>IF($AC$121="","",$W$108)</f>
        <v/>
      </c>
      <c r="X121" s="476" t="str">
        <f>IF($AC$121="","",$X$108)</f>
        <v/>
      </c>
      <c r="Y121" s="477" t="str">
        <f>IF($X$121="","",$Y$108)</f>
        <v/>
      </c>
      <c r="Z121" s="477" t="str">
        <f>IF($X$121="","",$Z$108)</f>
        <v/>
      </c>
      <c r="AA121" s="477" t="str">
        <f>IF($AC$121="","",ROW($A$121)-ROW($A$108))</f>
        <v/>
      </c>
      <c r="AB121" s="478"/>
      <c r="AC121" s="34"/>
      <c r="AD121" s="356"/>
      <c r="AE121" s="479"/>
      <c r="AF121" s="475"/>
      <c r="AG121" s="480" t="str">
        <f t="shared" si="16"/>
        <v/>
      </c>
      <c r="AH121" s="481" t="str">
        <f t="shared" si="17"/>
        <v/>
      </c>
      <c r="AI121" s="477" t="str">
        <f>IF($AC$121="","",IFERROR(INDEX($AZ$74:$AZ$119,MATCH($AH$121,$AY$74:$AY$119,0)),"AUTRE"))</f>
        <v/>
      </c>
      <c r="AJ121" s="482" t="str">
        <f>IF($AC$121="","",IFERROR(INDEX($BA$74:$BA$119,MATCH($AH$121,$AY$74:$AY$119,0)),1))</f>
        <v/>
      </c>
      <c r="AK121" s="482" t="str">
        <f t="shared" si="18"/>
        <v/>
      </c>
      <c r="AL121" s="477" t="str">
        <f>IF($AC$121="","",IFERROR(INDEX($BB$74:$BB$119,MATCH($AH$121,$AY$74:$AY$119,0)),$AH$121))</f>
        <v/>
      </c>
      <c r="AM121" s="483" t="str">
        <f t="shared" si="19"/>
        <v/>
      </c>
      <c r="AN121" s="484" t="str">
        <f t="shared" si="20"/>
        <v/>
      </c>
      <c r="AO121" s="473" t="str">
        <f t="shared" si="21"/>
        <v/>
      </c>
      <c r="AP121" s="473" t="str">
        <f t="shared" si="22"/>
        <v/>
      </c>
      <c r="AQ121" s="473" t="str">
        <f t="shared" si="23"/>
        <v/>
      </c>
      <c r="AR121" s="473" t="str">
        <f t="shared" si="24"/>
        <v/>
      </c>
      <c r="AS121" s="473" t="str">
        <f t="shared" si="25"/>
        <v/>
      </c>
      <c r="AT121" s="473" t="str">
        <f t="shared" si="26"/>
        <v/>
      </c>
      <c r="AU121" s="473" t="str">
        <f t="shared" si="27"/>
        <v/>
      </c>
      <c r="AY121" s="271"/>
      <c r="AZ121" s="14" t="s">
        <v>7</v>
      </c>
      <c r="BA121" s="25" t="s">
        <v>6115</v>
      </c>
      <c r="BB121" s="499"/>
      <c r="BC121" s="271"/>
      <c r="BD121" s="279">
        <v>1</v>
      </c>
      <c r="BE121" s="271"/>
      <c r="BF121" s="271"/>
      <c r="BG121" s="271"/>
      <c r="BH121" s="271"/>
      <c r="BI121" s="271"/>
      <c r="BJ121" s="271"/>
      <c r="BK121" s="271"/>
      <c r="BL121" s="271"/>
    </row>
    <row r="122" spans="18:64" ht="21" customHeight="1" x14ac:dyDescent="0.25">
      <c r="R122" s="34" t="s">
        <v>472</v>
      </c>
      <c r="S122" s="451"/>
      <c r="T122" s="28" t="s">
        <v>13</v>
      </c>
      <c r="V122" s="475">
        <v>2</v>
      </c>
      <c r="W122" s="475" t="str">
        <f>IF($AC$122="","",$W$108)</f>
        <v/>
      </c>
      <c r="X122" s="476" t="str">
        <f>IF($AC$122="","",$X$108)</f>
        <v/>
      </c>
      <c r="Y122" s="477" t="str">
        <f>IF($X$122="","",$Y$108)</f>
        <v/>
      </c>
      <c r="Z122" s="477" t="str">
        <f>IF($X$122="","",$Z$108)</f>
        <v/>
      </c>
      <c r="AA122" s="477" t="str">
        <f>IF($AC$122="","",ROW($A$122)-ROW($A$108))</f>
        <v/>
      </c>
      <c r="AB122" s="478"/>
      <c r="AC122" s="34"/>
      <c r="AD122" s="356"/>
      <c r="AE122" s="479"/>
      <c r="AF122" s="475"/>
      <c r="AG122" s="480" t="str">
        <f t="shared" si="16"/>
        <v/>
      </c>
      <c r="AH122" s="481" t="str">
        <f t="shared" si="17"/>
        <v/>
      </c>
      <c r="AI122" s="477" t="str">
        <f>IF($AC$122="","",IFERROR(INDEX($AZ$74:$AZ$119,MATCH($AH$122,$AY$74:$AY$119,0)),"AUTRE"))</f>
        <v/>
      </c>
      <c r="AJ122" s="482" t="str">
        <f>IF($AC$122="","",IFERROR(INDEX($BA$74:$BA$119,MATCH($AH$122,$AY$74:$AY$119,0)),1))</f>
        <v/>
      </c>
      <c r="AK122" s="482" t="str">
        <f t="shared" si="18"/>
        <v/>
      </c>
      <c r="AL122" s="477" t="str">
        <f>IF($AC$122="","",IFERROR(INDEX($BB$74:$BB$119,MATCH($AH$122,$AY$74:$AY$119,0)),$AH$122))</f>
        <v/>
      </c>
      <c r="AM122" s="483" t="str">
        <f t="shared" si="19"/>
        <v/>
      </c>
      <c r="AN122" s="484" t="str">
        <f t="shared" si="20"/>
        <v/>
      </c>
      <c r="AO122" s="473" t="str">
        <f t="shared" si="21"/>
        <v/>
      </c>
      <c r="AP122" s="473" t="str">
        <f t="shared" si="22"/>
        <v/>
      </c>
      <c r="AQ122" s="473" t="str">
        <f t="shared" si="23"/>
        <v/>
      </c>
      <c r="AR122" s="473" t="str">
        <f t="shared" si="24"/>
        <v/>
      </c>
      <c r="AS122" s="473" t="str">
        <f t="shared" si="25"/>
        <v/>
      </c>
      <c r="AT122" s="473" t="str">
        <f t="shared" si="26"/>
        <v/>
      </c>
      <c r="AU122" s="473" t="str">
        <f t="shared" si="27"/>
        <v/>
      </c>
      <c r="AZ122" s="27" t="s">
        <v>8</v>
      </c>
      <c r="BA122" s="34" t="s">
        <v>471</v>
      </c>
      <c r="BB122" s="500"/>
      <c r="BC122" s="271"/>
      <c r="BD122" s="279">
        <v>1</v>
      </c>
      <c r="BE122" s="271"/>
      <c r="BF122" s="271"/>
      <c r="BG122" s="271"/>
      <c r="BH122" s="271"/>
      <c r="BI122" s="271"/>
      <c r="BJ122" s="271"/>
      <c r="BK122" s="271"/>
      <c r="BL122" s="271"/>
    </row>
    <row r="123" spans="18:64" ht="21" customHeight="1" x14ac:dyDescent="0.25">
      <c r="R123" s="34" t="s">
        <v>6112</v>
      </c>
      <c r="S123" s="451"/>
      <c r="T123" s="28" t="s">
        <v>14</v>
      </c>
      <c r="V123" s="475">
        <v>2</v>
      </c>
      <c r="W123" s="475" t="str">
        <f>IF($AC$123="","",$W$108)</f>
        <v/>
      </c>
      <c r="X123" s="476" t="str">
        <f>IF($AC$123="","",$X$108)</f>
        <v/>
      </c>
      <c r="Y123" s="477" t="str">
        <f>IF($X$123="","",$Y$108)</f>
        <v/>
      </c>
      <c r="Z123" s="477" t="str">
        <f>IF($X$123="","",$Z$108)</f>
        <v/>
      </c>
      <c r="AA123" s="477" t="str">
        <f>IF($AC$123="","",ROW($A$123)-ROW($A$108))</f>
        <v/>
      </c>
      <c r="AB123" s="478"/>
      <c r="AC123" s="34"/>
      <c r="AD123" s="356"/>
      <c r="AE123" s="479"/>
      <c r="AF123" s="475"/>
      <c r="AG123" s="480" t="str">
        <f t="shared" si="16"/>
        <v/>
      </c>
      <c r="AH123" s="481" t="str">
        <f t="shared" si="17"/>
        <v/>
      </c>
      <c r="AI123" s="477" t="str">
        <f>IF($AC$123="","",IFERROR(INDEX($AZ$74:$AZ$119,MATCH($AH$123,$AY$74:$AY$119,0)),"AUTRE"))</f>
        <v/>
      </c>
      <c r="AJ123" s="482" t="str">
        <f>IF($AC$123="","",IFERROR(INDEX($BA$74:$BA$119,MATCH($AH$123,$AY$74:$AY$119,0)),1))</f>
        <v/>
      </c>
      <c r="AK123" s="482" t="str">
        <f t="shared" si="18"/>
        <v/>
      </c>
      <c r="AL123" s="477" t="str">
        <f>IF($AC$123="","",IFERROR(INDEX($BB$74:$BB$119,MATCH($AH$123,$AY$74:$AY$119,0)),$AH$123))</f>
        <v/>
      </c>
      <c r="AM123" s="483" t="str">
        <f t="shared" si="19"/>
        <v/>
      </c>
      <c r="AN123" s="484" t="str">
        <f t="shared" si="20"/>
        <v/>
      </c>
      <c r="AO123" s="473" t="str">
        <f t="shared" si="21"/>
        <v/>
      </c>
      <c r="AP123" s="473" t="str">
        <f t="shared" si="22"/>
        <v/>
      </c>
      <c r="AQ123" s="473" t="str">
        <f t="shared" si="23"/>
        <v/>
      </c>
      <c r="AR123" s="473" t="str">
        <f t="shared" si="24"/>
        <v/>
      </c>
      <c r="AS123" s="473" t="str">
        <f t="shared" si="25"/>
        <v/>
      </c>
      <c r="AT123" s="473" t="str">
        <f t="shared" si="26"/>
        <v/>
      </c>
      <c r="AU123" s="473" t="str">
        <f t="shared" si="27"/>
        <v/>
      </c>
      <c r="AZ123" s="28" t="s">
        <v>13</v>
      </c>
      <c r="BA123" s="34" t="s">
        <v>472</v>
      </c>
      <c r="BB123" s="500"/>
      <c r="BC123" s="271"/>
      <c r="BD123" s="279">
        <v>1</v>
      </c>
      <c r="BE123" s="271"/>
      <c r="BF123" s="271"/>
      <c r="BG123" s="271"/>
      <c r="BH123" s="271"/>
      <c r="BI123" s="271"/>
      <c r="BJ123" s="271"/>
      <c r="BK123" s="271"/>
      <c r="BL123" s="271"/>
    </row>
    <row r="124" spans="18:64" ht="21" customHeight="1" x14ac:dyDescent="0.25">
      <c r="R124" s="25" t="s">
        <v>6116</v>
      </c>
      <c r="S124" s="451"/>
      <c r="T124" s="28" t="s">
        <v>15</v>
      </c>
      <c r="V124" s="475">
        <v>2</v>
      </c>
      <c r="W124" s="475" t="str">
        <f>IF($AC$124="","",$W$108)</f>
        <v/>
      </c>
      <c r="X124" s="476" t="str">
        <f>IF($AC$124="","",$X$108)</f>
        <v/>
      </c>
      <c r="Y124" s="477" t="str">
        <f>IF($X$124="","",$Y$108)</f>
        <v/>
      </c>
      <c r="Z124" s="477" t="str">
        <f>IF($X$124="","",$Z$108)</f>
        <v/>
      </c>
      <c r="AA124" s="477" t="str">
        <f>IF($AC$124="","",ROW($A$124)-ROW($A$108))</f>
        <v/>
      </c>
      <c r="AB124" s="478"/>
      <c r="AC124" s="34"/>
      <c r="AD124" s="356"/>
      <c r="AE124" s="479"/>
      <c r="AF124" s="475"/>
      <c r="AG124" s="480" t="str">
        <f t="shared" si="16"/>
        <v/>
      </c>
      <c r="AH124" s="481" t="str">
        <f t="shared" si="17"/>
        <v/>
      </c>
      <c r="AI124" s="477" t="str">
        <f>IF($AC$124="","",IFERROR(INDEX($AZ$74:$AZ$119,MATCH($AH$124,$AY$74:$AY$119,0)),"AUTRE"))</f>
        <v/>
      </c>
      <c r="AJ124" s="482" t="str">
        <f>IF($AC$124="","",IFERROR(INDEX($BA$74:$BA$119,MATCH($AH$124,$AY$74:$AY$119,0)),1))</f>
        <v/>
      </c>
      <c r="AK124" s="482" t="str">
        <f t="shared" si="18"/>
        <v/>
      </c>
      <c r="AL124" s="477" t="str">
        <f>IF($AC$124="","",IFERROR(INDEX($BB$74:$BB$119,MATCH($AH$124,$AY$74:$AY$119,0)),$AH$124))</f>
        <v/>
      </c>
      <c r="AM124" s="483" t="str">
        <f t="shared" si="19"/>
        <v/>
      </c>
      <c r="AN124" s="484" t="str">
        <f t="shared" si="20"/>
        <v/>
      </c>
      <c r="AO124" s="473" t="str">
        <f t="shared" si="21"/>
        <v/>
      </c>
      <c r="AP124" s="473" t="str">
        <f t="shared" si="22"/>
        <v/>
      </c>
      <c r="AQ124" s="473" t="str">
        <f t="shared" si="23"/>
        <v/>
      </c>
      <c r="AR124" s="473" t="str">
        <f t="shared" si="24"/>
        <v/>
      </c>
      <c r="AS124" s="473" t="str">
        <f t="shared" si="25"/>
        <v/>
      </c>
      <c r="AT124" s="473" t="str">
        <f t="shared" si="26"/>
        <v/>
      </c>
      <c r="AU124" s="473" t="str">
        <f t="shared" si="27"/>
        <v/>
      </c>
      <c r="AZ124" s="28" t="s">
        <v>14</v>
      </c>
      <c r="BA124" s="34" t="s">
        <v>6112</v>
      </c>
      <c r="BB124" s="500"/>
      <c r="BC124" s="271"/>
      <c r="BD124" s="279">
        <v>1</v>
      </c>
      <c r="BE124" s="271"/>
      <c r="BF124" s="271"/>
      <c r="BG124" s="271"/>
      <c r="BH124" s="271"/>
      <c r="BI124" s="271"/>
      <c r="BJ124" s="271"/>
      <c r="BK124" s="271"/>
      <c r="BL124" s="271"/>
    </row>
    <row r="125" spans="18:64" ht="21" customHeight="1" x14ac:dyDescent="0.25">
      <c r="R125" s="34" t="s">
        <v>6117</v>
      </c>
      <c r="S125" s="451"/>
      <c r="T125" s="28" t="s">
        <v>21</v>
      </c>
      <c r="V125" s="475">
        <v>2</v>
      </c>
      <c r="W125" s="475" t="str">
        <f>IF($AC$125="","",$W$108)</f>
        <v/>
      </c>
      <c r="X125" s="476" t="str">
        <f>IF($AC$125="","",$X$108)</f>
        <v/>
      </c>
      <c r="Y125" s="477" t="str">
        <f>IF($X$125="","",$Y$108)</f>
        <v/>
      </c>
      <c r="Z125" s="477" t="str">
        <f>IF($X$125="","",$Z$108)</f>
        <v/>
      </c>
      <c r="AA125" s="477" t="str">
        <f>IF($AC$125="","",ROW($A$125)-ROW($A$108))</f>
        <v/>
      </c>
      <c r="AB125" s="478"/>
      <c r="AC125" s="34"/>
      <c r="AD125" s="356"/>
      <c r="AE125" s="479"/>
      <c r="AF125" s="475"/>
      <c r="AG125" s="480" t="str">
        <f t="shared" si="16"/>
        <v/>
      </c>
      <c r="AH125" s="481" t="str">
        <f t="shared" si="17"/>
        <v/>
      </c>
      <c r="AI125" s="477" t="str">
        <f>IF($AC$125="","",IFERROR(INDEX($AZ$74:$AZ$119,MATCH($AH$125,$AY$74:$AY$119,0)),"AUTRE"))</f>
        <v/>
      </c>
      <c r="AJ125" s="482" t="str">
        <f>IF($AC$125="","",IFERROR(INDEX($BA$74:$BA$119,MATCH($AH$125,$AY$74:$AY$119,0)),1))</f>
        <v/>
      </c>
      <c r="AK125" s="482" t="str">
        <f t="shared" si="18"/>
        <v/>
      </c>
      <c r="AL125" s="477" t="str">
        <f>IF($AC$125="","",IFERROR(INDEX($BB$74:$BB$119,MATCH($AH$125,$AY$74:$AY$119,0)),$AH$125))</f>
        <v/>
      </c>
      <c r="AM125" s="483" t="str">
        <f t="shared" si="19"/>
        <v/>
      </c>
      <c r="AN125" s="484" t="str">
        <f t="shared" si="20"/>
        <v/>
      </c>
      <c r="AO125" s="473" t="str">
        <f t="shared" si="21"/>
        <v/>
      </c>
      <c r="AP125" s="473" t="str">
        <f t="shared" si="22"/>
        <v/>
      </c>
      <c r="AQ125" s="473" t="str">
        <f t="shared" si="23"/>
        <v/>
      </c>
      <c r="AR125" s="473" t="str">
        <f t="shared" si="24"/>
        <v/>
      </c>
      <c r="AS125" s="473" t="str">
        <f t="shared" si="25"/>
        <v/>
      </c>
      <c r="AT125" s="473" t="str">
        <f t="shared" si="26"/>
        <v/>
      </c>
      <c r="AU125" s="473" t="str">
        <f t="shared" si="27"/>
        <v/>
      </c>
      <c r="AZ125" s="28" t="s">
        <v>15</v>
      </c>
      <c r="BA125" s="25" t="s">
        <v>6116</v>
      </c>
      <c r="BB125" s="500"/>
      <c r="BC125" s="271"/>
      <c r="BD125" s="279">
        <v>1</v>
      </c>
      <c r="BE125" s="271"/>
      <c r="BF125" s="271"/>
      <c r="BG125" s="271"/>
      <c r="BH125" s="271"/>
      <c r="BI125" s="271"/>
      <c r="BJ125" s="271"/>
      <c r="BK125" s="271"/>
      <c r="BL125" s="271"/>
    </row>
    <row r="126" spans="18:64" ht="21" customHeight="1" x14ac:dyDescent="0.25">
      <c r="R126" s="34" t="s">
        <v>469</v>
      </c>
      <c r="S126" s="451"/>
      <c r="T126" s="28" t="s">
        <v>22</v>
      </c>
      <c r="V126" s="475">
        <v>2</v>
      </c>
      <c r="W126" s="475" t="str">
        <f>IF($AC$126="","",$W$108)</f>
        <v/>
      </c>
      <c r="X126" s="476" t="str">
        <f>IF($AC$126="","",$X$108)</f>
        <v/>
      </c>
      <c r="Y126" s="477" t="str">
        <f>IF($X$126="","",$Y$108)</f>
        <v/>
      </c>
      <c r="Z126" s="477" t="str">
        <f>IF($X$126="","",$Z$108)</f>
        <v/>
      </c>
      <c r="AA126" s="477" t="str">
        <f>IF($AC$126="","",ROW($A$126)-ROW($A$108))</f>
        <v/>
      </c>
      <c r="AB126" s="478"/>
      <c r="AC126" s="34"/>
      <c r="AD126" s="356"/>
      <c r="AE126" s="479"/>
      <c r="AF126" s="475"/>
      <c r="AG126" s="480" t="str">
        <f t="shared" si="16"/>
        <v/>
      </c>
      <c r="AH126" s="481" t="str">
        <f t="shared" si="17"/>
        <v/>
      </c>
      <c r="AI126" s="477" t="str">
        <f>IF($AC$126="","",IFERROR(INDEX($AZ$74:$AZ$119,MATCH($AH$126,$AY$74:$AY$119,0)),"AUTRE"))</f>
        <v/>
      </c>
      <c r="AJ126" s="482" t="str">
        <f>IF($AC$126="","",IFERROR(INDEX($BA$74:$BA$119,MATCH($AH$126,$AY$74:$AY$119,0)),1))</f>
        <v/>
      </c>
      <c r="AK126" s="482" t="str">
        <f t="shared" si="18"/>
        <v/>
      </c>
      <c r="AL126" s="477" t="str">
        <f>IF($AC$126="","",IFERROR(INDEX($BB$74:$BB$119,MATCH($AH$126,$AY$74:$AY$119,0)),$AH$126))</f>
        <v/>
      </c>
      <c r="AM126" s="483" t="str">
        <f t="shared" si="19"/>
        <v/>
      </c>
      <c r="AN126" s="484" t="str">
        <f t="shared" si="20"/>
        <v/>
      </c>
      <c r="AO126" s="473" t="str">
        <f t="shared" si="21"/>
        <v/>
      </c>
      <c r="AP126" s="473" t="str">
        <f t="shared" si="22"/>
        <v/>
      </c>
      <c r="AQ126" s="473" t="str">
        <f t="shared" si="23"/>
        <v/>
      </c>
      <c r="AR126" s="473" t="str">
        <f t="shared" si="24"/>
        <v/>
      </c>
      <c r="AS126" s="473" t="str">
        <f t="shared" si="25"/>
        <v/>
      </c>
      <c r="AT126" s="473" t="str">
        <f t="shared" si="26"/>
        <v/>
      </c>
      <c r="AU126" s="473" t="str">
        <f t="shared" si="27"/>
        <v/>
      </c>
      <c r="AZ126" s="29" t="s">
        <v>9</v>
      </c>
      <c r="BA126" s="34" t="s">
        <v>6117</v>
      </c>
      <c r="BB126" s="500"/>
      <c r="BC126" s="271"/>
      <c r="BD126" s="279">
        <v>1</v>
      </c>
      <c r="BE126" s="271"/>
      <c r="BF126" s="271"/>
      <c r="BG126" s="271"/>
      <c r="BH126" s="271"/>
      <c r="BI126" s="271"/>
      <c r="BJ126" s="271"/>
      <c r="BK126" s="271"/>
      <c r="BL126" s="271"/>
    </row>
    <row r="127" spans="18:64" ht="21" customHeight="1" x14ac:dyDescent="0.25">
      <c r="R127" s="34" t="s">
        <v>6118</v>
      </c>
      <c r="S127" s="451"/>
      <c r="T127" s="28" t="s">
        <v>23</v>
      </c>
      <c r="V127" s="475">
        <v>2</v>
      </c>
      <c r="W127" s="475" t="str">
        <f>IF($AC$127="","",$W$108)</f>
        <v/>
      </c>
      <c r="X127" s="476" t="str">
        <f>IF($AC$127="","",$X$108)</f>
        <v/>
      </c>
      <c r="Y127" s="477" t="str">
        <f>IF($X$127="","",$Y$108)</f>
        <v/>
      </c>
      <c r="Z127" s="477" t="str">
        <f>IF($X$127="","",$Z$108)</f>
        <v/>
      </c>
      <c r="AA127" s="477" t="str">
        <f>IF($AC$127="","",ROW($A$127)-ROW($A$108))</f>
        <v/>
      </c>
      <c r="AB127" s="478"/>
      <c r="AC127" s="34"/>
      <c r="AD127" s="356"/>
      <c r="AE127" s="479"/>
      <c r="AF127" s="475"/>
      <c r="AG127" s="480" t="str">
        <f t="shared" si="16"/>
        <v/>
      </c>
      <c r="AH127" s="481" t="str">
        <f t="shared" si="17"/>
        <v/>
      </c>
      <c r="AI127" s="477" t="str">
        <f>IF($AC$127="","",IFERROR(INDEX($AZ$74:$AZ$119,MATCH($AH$127,$AY$74:$AY$119,0)),"AUTRE"))</f>
        <v/>
      </c>
      <c r="AJ127" s="482" t="str">
        <f>IF($AC$127="","",IFERROR(INDEX($BA$74:$BA$119,MATCH($AH$127,$AY$74:$AY$119,0)),1))</f>
        <v/>
      </c>
      <c r="AK127" s="482" t="str">
        <f t="shared" si="18"/>
        <v/>
      </c>
      <c r="AL127" s="477" t="str">
        <f>IF($AC$127="","",IFERROR(INDEX($BB$74:$BB$119,MATCH($AH$127,$AY$74:$AY$119,0)),$AH$127))</f>
        <v/>
      </c>
      <c r="AM127" s="483" t="str">
        <f t="shared" si="19"/>
        <v/>
      </c>
      <c r="AN127" s="484" t="str">
        <f t="shared" si="20"/>
        <v/>
      </c>
      <c r="AO127" s="473" t="str">
        <f t="shared" si="21"/>
        <v/>
      </c>
      <c r="AP127" s="473" t="str">
        <f t="shared" si="22"/>
        <v/>
      </c>
      <c r="AQ127" s="473" t="str">
        <f t="shared" si="23"/>
        <v/>
      </c>
      <c r="AR127" s="473" t="str">
        <f t="shared" si="24"/>
        <v/>
      </c>
      <c r="AS127" s="473" t="str">
        <f t="shared" si="25"/>
        <v/>
      </c>
      <c r="AT127" s="473" t="str">
        <f t="shared" si="26"/>
        <v/>
      </c>
      <c r="AU127" s="473" t="str">
        <f t="shared" si="27"/>
        <v/>
      </c>
      <c r="AZ127" s="30" t="s">
        <v>10</v>
      </c>
      <c r="BA127" s="34" t="s">
        <v>469</v>
      </c>
      <c r="BB127" s="500"/>
      <c r="BC127" s="271"/>
      <c r="BD127" s="279">
        <v>1</v>
      </c>
      <c r="BE127" s="271"/>
      <c r="BF127" s="271"/>
      <c r="BG127" s="271"/>
      <c r="BH127" s="271"/>
      <c r="BI127" s="271"/>
      <c r="BJ127" s="271"/>
      <c r="BK127" s="271"/>
      <c r="BL127" s="271"/>
    </row>
    <row r="128" spans="18:64" ht="21" customHeight="1" x14ac:dyDescent="0.25">
      <c r="R128" s="34" t="s">
        <v>492</v>
      </c>
      <c r="S128" s="451"/>
      <c r="T128" s="28" t="s">
        <v>24</v>
      </c>
      <c r="V128" s="475">
        <v>2</v>
      </c>
      <c r="W128" s="475" t="str">
        <f>IF($AC$128="","",$W$108)</f>
        <v/>
      </c>
      <c r="X128" s="476" t="str">
        <f>IF($AC$128="","",$X$108)</f>
        <v/>
      </c>
      <c r="Y128" s="477" t="str">
        <f>IF($X$128="","",$Y$108)</f>
        <v/>
      </c>
      <c r="Z128" s="477" t="str">
        <f>IF($X$128="","",$Z$108)</f>
        <v/>
      </c>
      <c r="AA128" s="477" t="str">
        <f>IF($AC$128="","",ROW($A$128)-ROW($A$108))</f>
        <v/>
      </c>
      <c r="AB128" s="478"/>
      <c r="AC128" s="34"/>
      <c r="AD128" s="356"/>
      <c r="AE128" s="479"/>
      <c r="AF128" s="475"/>
      <c r="AG128" s="480" t="str">
        <f t="shared" si="16"/>
        <v/>
      </c>
      <c r="AH128" s="481" t="str">
        <f t="shared" si="17"/>
        <v/>
      </c>
      <c r="AI128" s="477" t="str">
        <f>IF($AC$128="","",IFERROR(INDEX($AZ$74:$AZ$119,MATCH($AH$128,$AY$74:$AY$119,0)),"AUTRE"))</f>
        <v/>
      </c>
      <c r="AJ128" s="482" t="str">
        <f>IF($AC$128="","",IFERROR(INDEX($BA$74:$BA$119,MATCH($AH$128,$AY$74:$AY$119,0)),1))</f>
        <v/>
      </c>
      <c r="AK128" s="482" t="str">
        <f t="shared" si="18"/>
        <v/>
      </c>
      <c r="AL128" s="477" t="str">
        <f>IF($AC$128="","",IFERROR(INDEX($BB$74:$BB$119,MATCH($AH$128,$AY$74:$AY$119,0)),$AH$128))</f>
        <v/>
      </c>
      <c r="AM128" s="483" t="str">
        <f t="shared" si="19"/>
        <v/>
      </c>
      <c r="AN128" s="484" t="str">
        <f t="shared" si="20"/>
        <v/>
      </c>
      <c r="AO128" s="473" t="str">
        <f t="shared" si="21"/>
        <v/>
      </c>
      <c r="AP128" s="473" t="str">
        <f t="shared" si="22"/>
        <v/>
      </c>
      <c r="AQ128" s="473" t="str">
        <f t="shared" si="23"/>
        <v/>
      </c>
      <c r="AR128" s="473" t="str">
        <f t="shared" si="24"/>
        <v/>
      </c>
      <c r="AS128" s="473" t="str">
        <f t="shared" si="25"/>
        <v/>
      </c>
      <c r="AT128" s="473" t="str">
        <f t="shared" si="26"/>
        <v/>
      </c>
      <c r="AU128" s="473" t="str">
        <f t="shared" si="27"/>
        <v/>
      </c>
      <c r="AZ128" s="30" t="s">
        <v>11</v>
      </c>
      <c r="BA128" s="34" t="s">
        <v>6118</v>
      </c>
      <c r="BB128" s="500"/>
      <c r="BC128" s="271"/>
      <c r="BD128" s="279">
        <v>1</v>
      </c>
      <c r="BE128" s="271"/>
      <c r="BF128" s="271"/>
      <c r="BG128" s="271"/>
      <c r="BH128" s="271"/>
      <c r="BI128" s="271"/>
      <c r="BJ128" s="271"/>
      <c r="BK128" s="271"/>
      <c r="BL128" s="271"/>
    </row>
    <row r="129" spans="18:64" ht="21" customHeight="1" x14ac:dyDescent="0.25">
      <c r="R129" s="34" t="s">
        <v>458</v>
      </c>
      <c r="S129" s="451"/>
      <c r="T129" s="29" t="s">
        <v>9</v>
      </c>
      <c r="V129" s="475">
        <v>2</v>
      </c>
      <c r="W129" s="475" t="str">
        <f>IF($AC$129="","",$W$108)</f>
        <v/>
      </c>
      <c r="X129" s="476" t="str">
        <f>IF($AC$129="","",$X$108)</f>
        <v/>
      </c>
      <c r="Y129" s="477" t="str">
        <f>IF($X$129="","",$Y$108)</f>
        <v/>
      </c>
      <c r="Z129" s="477" t="str">
        <f>IF($X$129="","",$Z$108)</f>
        <v/>
      </c>
      <c r="AA129" s="477" t="str">
        <f>IF($AC$129="","",ROW($A$129)-ROW($A$108))</f>
        <v/>
      </c>
      <c r="AB129" s="478"/>
      <c r="AC129" s="34"/>
      <c r="AD129" s="356"/>
      <c r="AE129" s="479"/>
      <c r="AF129" s="475"/>
      <c r="AG129" s="480" t="str">
        <f t="shared" si="16"/>
        <v/>
      </c>
      <c r="AH129" s="481" t="str">
        <f t="shared" si="17"/>
        <v/>
      </c>
      <c r="AI129" s="477" t="str">
        <f>IF($AC$129="","",IFERROR(INDEX($AZ$74:$AZ$119,MATCH($AH$129,$AY$74:$AY$119,0)),"AUTRE"))</f>
        <v/>
      </c>
      <c r="AJ129" s="482" t="str">
        <f>IF($AC$129="","",IFERROR(INDEX($BA$74:$BA$119,MATCH($AH$129,$AY$74:$AY$119,0)),1))</f>
        <v/>
      </c>
      <c r="AK129" s="482" t="str">
        <f t="shared" si="18"/>
        <v/>
      </c>
      <c r="AL129" s="477" t="str">
        <f>IF($AC$129="","",IFERROR(INDEX($BB$74:$BB$119,MATCH($AH$129,$AY$74:$AY$119,0)),$AH$129))</f>
        <v/>
      </c>
      <c r="AM129" s="483" t="str">
        <f t="shared" si="19"/>
        <v/>
      </c>
      <c r="AN129" s="484" t="str">
        <f t="shared" si="20"/>
        <v/>
      </c>
      <c r="AO129" s="473" t="str">
        <f t="shared" si="21"/>
        <v/>
      </c>
      <c r="AP129" s="473" t="str">
        <f t="shared" si="22"/>
        <v/>
      </c>
      <c r="AQ129" s="473" t="str">
        <f t="shared" si="23"/>
        <v/>
      </c>
      <c r="AR129" s="473" t="str">
        <f t="shared" si="24"/>
        <v/>
      </c>
      <c r="AS129" s="473" t="str">
        <f t="shared" si="25"/>
        <v/>
      </c>
      <c r="AT129" s="473" t="str">
        <f t="shared" si="26"/>
        <v/>
      </c>
      <c r="AU129" s="473" t="str">
        <f t="shared" si="27"/>
        <v/>
      </c>
      <c r="AZ129" s="30" t="s">
        <v>12</v>
      </c>
      <c r="BA129" s="34" t="s">
        <v>492</v>
      </c>
      <c r="BB129" s="500"/>
      <c r="BC129" s="271"/>
      <c r="BD129" s="279">
        <v>1</v>
      </c>
      <c r="BE129" s="271"/>
      <c r="BF129" s="271"/>
      <c r="BG129" s="271"/>
      <c r="BH129" s="271"/>
      <c r="BI129" s="271"/>
      <c r="BJ129" s="271"/>
      <c r="BK129" s="271"/>
      <c r="BL129" s="271"/>
    </row>
    <row r="130" spans="18:64" ht="21" customHeight="1" x14ac:dyDescent="0.25">
      <c r="R130" s="490"/>
      <c r="S130" s="451"/>
      <c r="T130" s="30" t="s">
        <v>10</v>
      </c>
      <c r="V130" s="475">
        <v>2</v>
      </c>
      <c r="W130" s="475" t="str">
        <f>IF($AC$130="","",$W$108)</f>
        <v/>
      </c>
      <c r="X130" s="476" t="str">
        <f>IF($AC$130="","",$X$108)</f>
        <v/>
      </c>
      <c r="Y130" s="477" t="str">
        <f>IF($X$130="","",$Y$108)</f>
        <v/>
      </c>
      <c r="Z130" s="477" t="str">
        <f>IF($X$130="","",$Z$108)</f>
        <v/>
      </c>
      <c r="AA130" s="477" t="str">
        <f>IF($AC$130="","",ROW($A$130)-ROW($A$108))</f>
        <v/>
      </c>
      <c r="AB130" s="478"/>
      <c r="AC130" s="34"/>
      <c r="AD130" s="356"/>
      <c r="AE130" s="479"/>
      <c r="AF130" s="475"/>
      <c r="AG130" s="480" t="str">
        <f t="shared" si="16"/>
        <v/>
      </c>
      <c r="AH130" s="481" t="str">
        <f t="shared" si="17"/>
        <v/>
      </c>
      <c r="AI130" s="477" t="str">
        <f>IF($AC$130="","",IFERROR(INDEX($AZ$74:$AZ$119,MATCH($AH$130,$AY$74:$AY$119,0)),"AUTRE"))</f>
        <v/>
      </c>
      <c r="AJ130" s="482" t="str">
        <f>IF($AC$130="","",IFERROR(INDEX($BA$74:$BA$119,MATCH($AH$130,$AY$74:$AY$119,0)),1))</f>
        <v/>
      </c>
      <c r="AK130" s="482" t="str">
        <f t="shared" si="18"/>
        <v/>
      </c>
      <c r="AL130" s="477" t="str">
        <f>IF($AC$130="","",IFERROR(INDEX($BB$74:$BB$119,MATCH($AH$130,$AY$74:$AY$119,0)),$AH$130))</f>
        <v/>
      </c>
      <c r="AM130" s="483" t="str">
        <f t="shared" si="19"/>
        <v/>
      </c>
      <c r="AN130" s="484" t="str">
        <f t="shared" si="20"/>
        <v/>
      </c>
      <c r="AO130" s="473" t="str">
        <f t="shared" si="21"/>
        <v/>
      </c>
      <c r="AP130" s="473" t="str">
        <f t="shared" si="22"/>
        <v/>
      </c>
      <c r="AQ130" s="473" t="str">
        <f t="shared" si="23"/>
        <v/>
      </c>
      <c r="AR130" s="473" t="str">
        <f t="shared" si="24"/>
        <v/>
      </c>
      <c r="AS130" s="473" t="str">
        <f t="shared" si="25"/>
        <v/>
      </c>
      <c r="AT130" s="473" t="str">
        <f t="shared" si="26"/>
        <v/>
      </c>
      <c r="AU130" s="473" t="str">
        <f t="shared" si="27"/>
        <v/>
      </c>
      <c r="AZ130" s="31" t="s">
        <v>16</v>
      </c>
      <c r="BA130" s="34" t="s">
        <v>458</v>
      </c>
      <c r="BB130" s="500"/>
      <c r="BC130" s="271"/>
      <c r="BD130" s="279">
        <v>1</v>
      </c>
      <c r="BE130" s="271"/>
      <c r="BF130" s="271"/>
      <c r="BG130" s="271"/>
      <c r="BH130" s="271"/>
      <c r="BI130" s="271"/>
      <c r="BJ130" s="271"/>
      <c r="BK130" s="271"/>
      <c r="BL130" s="271"/>
    </row>
    <row r="131" spans="18:64" ht="21" customHeight="1" x14ac:dyDescent="0.25">
      <c r="R131" s="25" t="s">
        <v>6119</v>
      </c>
      <c r="S131" s="451"/>
      <c r="T131" s="30" t="s">
        <v>11</v>
      </c>
      <c r="V131" s="475">
        <v>2</v>
      </c>
      <c r="W131" s="475" t="str">
        <f>IF($AC$131="","",$W$108)</f>
        <v/>
      </c>
      <c r="X131" s="476" t="str">
        <f>IF($AC$131="","",$X$108)</f>
        <v/>
      </c>
      <c r="Y131" s="477" t="str">
        <f>IF($X$131="","",$Y$108)</f>
        <v/>
      </c>
      <c r="Z131" s="477" t="str">
        <f>IF($X$131="","",$Z$108)</f>
        <v/>
      </c>
      <c r="AA131" s="477" t="str">
        <f>IF($AC$131="","",ROW($A$131)-ROW($A$108))</f>
        <v/>
      </c>
      <c r="AB131" s="478"/>
      <c r="AC131" s="34"/>
      <c r="AD131" s="356"/>
      <c r="AE131" s="479"/>
      <c r="AF131" s="475"/>
      <c r="AG131" s="480" t="str">
        <f t="shared" si="16"/>
        <v/>
      </c>
      <c r="AH131" s="481" t="str">
        <f t="shared" si="17"/>
        <v/>
      </c>
      <c r="AI131" s="477" t="str">
        <f>IF($AC$131="","",IFERROR(INDEX($AZ$74:$AZ$119,MATCH($AH$131,$AY$74:$AY$119,0)),"AUTRE"))</f>
        <v/>
      </c>
      <c r="AJ131" s="482" t="str">
        <f>IF($AC$131="","",IFERROR(INDEX($BA$74:$BA$119,MATCH($AH$131,$AY$74:$AY$119,0)),1))</f>
        <v/>
      </c>
      <c r="AK131" s="482" t="str">
        <f t="shared" si="18"/>
        <v/>
      </c>
      <c r="AL131" s="477" t="str">
        <f>IF($AC$131="","",IFERROR(INDEX($BB$74:$BB$119,MATCH($AH$131,$AY$74:$AY$119,0)),$AH$131))</f>
        <v/>
      </c>
      <c r="AM131" s="483" t="str">
        <f t="shared" si="19"/>
        <v/>
      </c>
      <c r="AN131" s="484" t="str">
        <f t="shared" si="20"/>
        <v/>
      </c>
      <c r="AO131" s="473" t="str">
        <f t="shared" si="21"/>
        <v/>
      </c>
      <c r="AP131" s="473" t="str">
        <f t="shared" si="22"/>
        <v/>
      </c>
      <c r="AQ131" s="473" t="str">
        <f t="shared" si="23"/>
        <v/>
      </c>
      <c r="AR131" s="473" t="str">
        <f t="shared" si="24"/>
        <v/>
      </c>
      <c r="AS131" s="473" t="str">
        <f t="shared" si="25"/>
        <v/>
      </c>
      <c r="AT131" s="473" t="str">
        <f t="shared" si="26"/>
        <v/>
      </c>
      <c r="AU131" s="473" t="str">
        <f t="shared" si="27"/>
        <v/>
      </c>
      <c r="AZ131" s="31" t="s">
        <v>17</v>
      </c>
      <c r="BA131" s="490"/>
      <c r="BB131" s="500"/>
      <c r="BC131" s="271"/>
      <c r="BD131" s="279">
        <v>1</v>
      </c>
      <c r="BE131" s="271"/>
      <c r="BF131" s="271"/>
      <c r="BG131" s="271"/>
      <c r="BH131" s="271"/>
      <c r="BI131" s="271"/>
      <c r="BJ131" s="271"/>
      <c r="BK131" s="271"/>
      <c r="BL131" s="271"/>
    </row>
    <row r="132" spans="18:64" ht="21" customHeight="1" x14ac:dyDescent="0.25">
      <c r="R132" s="34" t="s">
        <v>6120</v>
      </c>
      <c r="S132" s="451"/>
      <c r="T132" s="30" t="s">
        <v>12</v>
      </c>
      <c r="V132" s="475">
        <v>2</v>
      </c>
      <c r="W132" s="475" t="str">
        <f>IF($AC$132="","",$W$108)</f>
        <v/>
      </c>
      <c r="X132" s="476" t="str">
        <f>IF($AC$132="","",$X$108)</f>
        <v/>
      </c>
      <c r="Y132" s="477" t="str">
        <f>IF($X$132="","",$Y$108)</f>
        <v/>
      </c>
      <c r="Z132" s="477" t="str">
        <f>IF($X$132="","",$Z$108)</f>
        <v/>
      </c>
      <c r="AA132" s="477" t="str">
        <f>IF($AC$132="","",ROW($A$132)-ROW($A$108))</f>
        <v/>
      </c>
      <c r="AB132" s="478"/>
      <c r="AC132" s="34"/>
      <c r="AD132" s="356"/>
      <c r="AE132" s="479"/>
      <c r="AF132" s="475"/>
      <c r="AG132" s="480" t="str">
        <f t="shared" si="16"/>
        <v/>
      </c>
      <c r="AH132" s="481" t="str">
        <f t="shared" si="17"/>
        <v/>
      </c>
      <c r="AI132" s="477" t="str">
        <f>IF($AC$132="","",IFERROR(INDEX($AZ$74:$AZ$119,MATCH($AH$132,$AY$74:$AY$119,0)),"AUTRE"))</f>
        <v/>
      </c>
      <c r="AJ132" s="482" t="str">
        <f>IF($AC$132="","",IFERROR(INDEX($BA$74:$BA$119,MATCH($AH$132,$AY$74:$AY$119,0)),1))</f>
        <v/>
      </c>
      <c r="AK132" s="482" t="str">
        <f t="shared" si="18"/>
        <v/>
      </c>
      <c r="AL132" s="477" t="str">
        <f>IF($AC$132="","",IFERROR(INDEX($BB$74:$BB$119,MATCH($AH$132,$AY$74:$AY$119,0)),$AH$132))</f>
        <v/>
      </c>
      <c r="AM132" s="483" t="str">
        <f t="shared" si="19"/>
        <v/>
      </c>
      <c r="AN132" s="484" t="str">
        <f t="shared" si="20"/>
        <v/>
      </c>
      <c r="AO132" s="473" t="str">
        <f t="shared" si="21"/>
        <v/>
      </c>
      <c r="AP132" s="473" t="str">
        <f t="shared" si="22"/>
        <v/>
      </c>
      <c r="AQ132" s="473" t="str">
        <f t="shared" si="23"/>
        <v/>
      </c>
      <c r="AR132" s="473" t="str">
        <f t="shared" si="24"/>
        <v/>
      </c>
      <c r="AS132" s="473" t="str">
        <f t="shared" si="25"/>
        <v/>
      </c>
      <c r="AT132" s="473" t="str">
        <f t="shared" si="26"/>
        <v/>
      </c>
      <c r="AU132" s="473" t="str">
        <f t="shared" si="27"/>
        <v/>
      </c>
      <c r="AZ132" s="31" t="s">
        <v>18</v>
      </c>
      <c r="BA132" s="25" t="s">
        <v>6119</v>
      </c>
      <c r="BB132" s="500"/>
      <c r="BC132" s="271"/>
      <c r="BD132" s="279">
        <v>1</v>
      </c>
      <c r="BE132" s="271"/>
      <c r="BF132" s="271"/>
      <c r="BG132" s="271"/>
      <c r="BH132" s="271"/>
      <c r="BI132" s="271"/>
      <c r="BJ132" s="271"/>
      <c r="BK132" s="271"/>
      <c r="BL132" s="271"/>
    </row>
    <row r="133" spans="18:64" ht="21" customHeight="1" x14ac:dyDescent="0.25">
      <c r="R133" s="34" t="s">
        <v>6121</v>
      </c>
      <c r="S133" s="451"/>
      <c r="T133" s="31" t="s">
        <v>16</v>
      </c>
      <c r="V133" s="475">
        <v>2</v>
      </c>
      <c r="W133" s="475" t="str">
        <f>IF($AC$133="","",$W$108)</f>
        <v/>
      </c>
      <c r="X133" s="476" t="str">
        <f>IF($AC$133="","",$X$108)</f>
        <v/>
      </c>
      <c r="Y133" s="477" t="str">
        <f>IF($X$133="","",$Y$108)</f>
        <v/>
      </c>
      <c r="Z133" s="477" t="str">
        <f>IF($X$133="","",$Z$108)</f>
        <v/>
      </c>
      <c r="AA133" s="477" t="str">
        <f>IF($AC$133="","",ROW($A$133)-ROW($A$108))</f>
        <v/>
      </c>
      <c r="AB133" s="478"/>
      <c r="AC133" s="34"/>
      <c r="AD133" s="356"/>
      <c r="AE133" s="479"/>
      <c r="AF133" s="475"/>
      <c r="AG133" s="480" t="str">
        <f t="shared" si="16"/>
        <v/>
      </c>
      <c r="AH133" s="481" t="str">
        <f t="shared" si="17"/>
        <v/>
      </c>
      <c r="AI133" s="477" t="str">
        <f>IF($AC$133="","",IFERROR(INDEX($AZ$74:$AZ$119,MATCH($AH$133,$AY$74:$AY$119,0)),"AUTRE"))</f>
        <v/>
      </c>
      <c r="AJ133" s="482" t="str">
        <f>IF($AC$133="","",IFERROR(INDEX($BA$74:$BA$119,MATCH($AH$133,$AY$74:$AY$119,0)),1))</f>
        <v/>
      </c>
      <c r="AK133" s="482" t="str">
        <f t="shared" si="18"/>
        <v/>
      </c>
      <c r="AL133" s="477" t="str">
        <f>IF($AC$133="","",IFERROR(INDEX($BB$74:$BB$119,MATCH($AH$133,$AY$74:$AY$119,0)),$AH$133))</f>
        <v/>
      </c>
      <c r="AM133" s="483" t="str">
        <f t="shared" si="19"/>
        <v/>
      </c>
      <c r="AN133" s="484" t="str">
        <f t="shared" si="20"/>
        <v/>
      </c>
      <c r="AO133" s="473" t="str">
        <f t="shared" si="21"/>
        <v/>
      </c>
      <c r="AP133" s="473" t="str">
        <f t="shared" si="22"/>
        <v/>
      </c>
      <c r="AQ133" s="473" t="str">
        <f t="shared" si="23"/>
        <v/>
      </c>
      <c r="AR133" s="473" t="str">
        <f t="shared" si="24"/>
        <v/>
      </c>
      <c r="AS133" s="473" t="str">
        <f t="shared" si="25"/>
        <v/>
      </c>
      <c r="AT133" s="473" t="str">
        <f t="shared" si="26"/>
        <v/>
      </c>
      <c r="AU133" s="473" t="str">
        <f t="shared" si="27"/>
        <v/>
      </c>
      <c r="AZ133" s="31" t="s">
        <v>19</v>
      </c>
      <c r="BA133" s="34" t="s">
        <v>6120</v>
      </c>
      <c r="BB133" s="500"/>
      <c r="BC133" s="271"/>
      <c r="BD133" s="279">
        <v>1</v>
      </c>
      <c r="BE133" s="271"/>
      <c r="BF133" s="271"/>
      <c r="BG133" s="271"/>
      <c r="BH133" s="271"/>
      <c r="BI133" s="271"/>
      <c r="BJ133" s="271"/>
      <c r="BK133" s="271"/>
      <c r="BL133" s="271"/>
    </row>
    <row r="134" spans="18:64" ht="21" customHeight="1" x14ac:dyDescent="0.25">
      <c r="R134" s="34" t="s">
        <v>6122</v>
      </c>
      <c r="S134" s="451"/>
      <c r="T134" s="31" t="s">
        <v>17</v>
      </c>
      <c r="V134" s="475">
        <v>2</v>
      </c>
      <c r="W134" s="475" t="str">
        <f>IF($AC$134="","",$W$108)</f>
        <v/>
      </c>
      <c r="X134" s="476" t="str">
        <f>IF($AC$134="","",$X$108)</f>
        <v/>
      </c>
      <c r="Y134" s="477" t="str">
        <f>IF($X$134="","",$Y$108)</f>
        <v/>
      </c>
      <c r="Z134" s="477" t="str">
        <f>IF($X$134="","",$Z$108)</f>
        <v/>
      </c>
      <c r="AA134" s="477" t="str">
        <f>IF($AC$134="","",ROW($A$134)-ROW($A$108))</f>
        <v/>
      </c>
      <c r="AB134" s="478"/>
      <c r="AC134" s="34"/>
      <c r="AD134" s="356"/>
      <c r="AE134" s="479"/>
      <c r="AF134" s="475"/>
      <c r="AG134" s="480" t="str">
        <f t="shared" si="16"/>
        <v/>
      </c>
      <c r="AH134" s="481" t="str">
        <f t="shared" si="17"/>
        <v/>
      </c>
      <c r="AI134" s="477" t="str">
        <f>IF($AC$134="","",IFERROR(INDEX($AZ$74:$AZ$119,MATCH($AH$134,$AY$74:$AY$119,0)),"AUTRE"))</f>
        <v/>
      </c>
      <c r="AJ134" s="482" t="str">
        <f>IF($AC$134="","",IFERROR(INDEX($BA$74:$BA$119,MATCH($AH$134,$AY$74:$AY$119,0)),1))</f>
        <v/>
      </c>
      <c r="AK134" s="482" t="str">
        <f t="shared" si="18"/>
        <v/>
      </c>
      <c r="AL134" s="477" t="str">
        <f>IF($AC$134="","",IFERROR(INDEX($BB$74:$BB$119,MATCH($AH$134,$AY$74:$AY$119,0)),$AH$134))</f>
        <v/>
      </c>
      <c r="AM134" s="483" t="str">
        <f t="shared" si="19"/>
        <v/>
      </c>
      <c r="AN134" s="484" t="str">
        <f t="shared" si="20"/>
        <v/>
      </c>
      <c r="AO134" s="473" t="str">
        <f t="shared" si="21"/>
        <v/>
      </c>
      <c r="AP134" s="473" t="str">
        <f t="shared" si="22"/>
        <v/>
      </c>
      <c r="AQ134" s="473" t="str">
        <f t="shared" si="23"/>
        <v/>
      </c>
      <c r="AR134" s="473" t="str">
        <f t="shared" si="24"/>
        <v/>
      </c>
      <c r="AS134" s="473" t="str">
        <f t="shared" si="25"/>
        <v/>
      </c>
      <c r="AT134" s="473" t="str">
        <f t="shared" si="26"/>
        <v/>
      </c>
      <c r="AU134" s="473" t="str">
        <f t="shared" si="27"/>
        <v/>
      </c>
      <c r="AZ134" s="31" t="s">
        <v>211</v>
      </c>
      <c r="BA134" s="34" t="s">
        <v>6121</v>
      </c>
      <c r="BB134" s="500"/>
      <c r="BC134" s="271"/>
      <c r="BD134" s="279">
        <v>1</v>
      </c>
      <c r="BE134" s="271"/>
      <c r="BF134" s="271"/>
      <c r="BG134" s="271"/>
      <c r="BH134" s="271"/>
      <c r="BI134" s="271"/>
      <c r="BJ134" s="271"/>
      <c r="BK134" s="271"/>
      <c r="BL134" s="271"/>
    </row>
    <row r="135" spans="18:64" ht="21" customHeight="1" x14ac:dyDescent="0.25">
      <c r="R135" s="34" t="s">
        <v>6123</v>
      </c>
      <c r="S135" s="451"/>
      <c r="T135" s="31" t="s">
        <v>18</v>
      </c>
      <c r="V135" s="475">
        <v>2</v>
      </c>
      <c r="W135" s="475" t="str">
        <f>IF($AC$135="","",$W$108)</f>
        <v/>
      </c>
      <c r="X135" s="476" t="str">
        <f>IF($AC$135="","",$X$108)</f>
        <v/>
      </c>
      <c r="Y135" s="477" t="str">
        <f>IF($X$135="","",$Y$108)</f>
        <v/>
      </c>
      <c r="Z135" s="477" t="str">
        <f>IF($X$135="","",$Z$108)</f>
        <v/>
      </c>
      <c r="AA135" s="477" t="str">
        <f>IF($AC$135="","",ROW($A$135)-ROW($A$108))</f>
        <v/>
      </c>
      <c r="AB135" s="478"/>
      <c r="AC135" s="34"/>
      <c r="AD135" s="356"/>
      <c r="AE135" s="479"/>
      <c r="AF135" s="475"/>
      <c r="AG135" s="480" t="str">
        <f t="shared" si="16"/>
        <v/>
      </c>
      <c r="AH135" s="481" t="str">
        <f t="shared" si="17"/>
        <v/>
      </c>
      <c r="AI135" s="477" t="str">
        <f>IF($AC$135="","",IFERROR(INDEX($AZ$74:$AZ$119,MATCH($AH$135,$AY$74:$AY$119,0)),"AUTRE"))</f>
        <v/>
      </c>
      <c r="AJ135" s="482" t="str">
        <f>IF($AC$135="","",IFERROR(INDEX($BA$74:$BA$119,MATCH($AH$135,$AY$74:$AY$119,0)),1))</f>
        <v/>
      </c>
      <c r="AK135" s="482" t="str">
        <f t="shared" si="18"/>
        <v/>
      </c>
      <c r="AL135" s="477" t="str">
        <f>IF($AC$135="","",IFERROR(INDEX($BB$74:$BB$119,MATCH($AH$135,$AY$74:$AY$119,0)),$AH$135))</f>
        <v/>
      </c>
      <c r="AM135" s="483" t="str">
        <f t="shared" si="19"/>
        <v/>
      </c>
      <c r="AN135" s="484" t="str">
        <f t="shared" si="20"/>
        <v/>
      </c>
      <c r="AO135" s="473" t="str">
        <f t="shared" si="21"/>
        <v/>
      </c>
      <c r="AP135" s="473" t="str">
        <f t="shared" si="22"/>
        <v/>
      </c>
      <c r="AQ135" s="473" t="str">
        <f t="shared" si="23"/>
        <v/>
      </c>
      <c r="AR135" s="473" t="str">
        <f t="shared" si="24"/>
        <v/>
      </c>
      <c r="AS135" s="473" t="str">
        <f t="shared" si="25"/>
        <v/>
      </c>
      <c r="AT135" s="473" t="str">
        <f t="shared" si="26"/>
        <v/>
      </c>
      <c r="AU135" s="473" t="str">
        <f t="shared" si="27"/>
        <v/>
      </c>
      <c r="AZ135" s="31" t="s">
        <v>20</v>
      </c>
      <c r="BA135" s="34" t="s">
        <v>6122</v>
      </c>
      <c r="BB135" s="500"/>
      <c r="BC135" s="271"/>
      <c r="BD135" s="279">
        <v>1</v>
      </c>
      <c r="BE135" s="271"/>
      <c r="BF135" s="271"/>
      <c r="BG135" s="271"/>
      <c r="BH135" s="271"/>
      <c r="BI135" s="271"/>
      <c r="BJ135" s="271"/>
      <c r="BK135" s="271"/>
      <c r="BL135" s="271"/>
    </row>
    <row r="136" spans="18:64" ht="21" customHeight="1" x14ac:dyDescent="0.25">
      <c r="R136" s="34" t="s">
        <v>6124</v>
      </c>
      <c r="S136" s="451"/>
      <c r="T136" s="31" t="s">
        <v>19</v>
      </c>
      <c r="V136" s="475">
        <v>2</v>
      </c>
      <c r="W136" s="475" t="str">
        <f>IF($AC$136="","",$W$108)</f>
        <v/>
      </c>
      <c r="X136" s="476" t="str">
        <f>IF($AC$136="","",$X$108)</f>
        <v/>
      </c>
      <c r="Y136" s="477" t="str">
        <f>IF($X$136="","",$Y$108)</f>
        <v/>
      </c>
      <c r="Z136" s="477" t="str">
        <f>IF($X$136="","",$Z$108)</f>
        <v/>
      </c>
      <c r="AA136" s="477" t="str">
        <f>IF($AC$136="","",ROW($A$136)-ROW($A$108))</f>
        <v/>
      </c>
      <c r="AB136" s="478"/>
      <c r="AC136" s="34"/>
      <c r="AD136" s="356"/>
      <c r="AE136" s="479"/>
      <c r="AF136" s="475"/>
      <c r="AG136" s="480" t="str">
        <f t="shared" si="16"/>
        <v/>
      </c>
      <c r="AH136" s="481" t="str">
        <f t="shared" si="17"/>
        <v/>
      </c>
      <c r="AI136" s="477" t="str">
        <f>IF($AC$136="","",IFERROR(INDEX($AZ$74:$AZ$119,MATCH($AH$136,$AY$74:$AY$119,0)),"AUTRE"))</f>
        <v/>
      </c>
      <c r="AJ136" s="482" t="str">
        <f>IF($AC$136="","",IFERROR(INDEX($BA$74:$BA$119,MATCH($AH$136,$AY$74:$AY$119,0)),1))</f>
        <v/>
      </c>
      <c r="AK136" s="482" t="str">
        <f t="shared" si="18"/>
        <v/>
      </c>
      <c r="AL136" s="477" t="str">
        <f>IF($AC$136="","",IFERROR(INDEX($BB$74:$BB$119,MATCH($AH$136,$AY$74:$AY$119,0)),$AH$136))</f>
        <v/>
      </c>
      <c r="AM136" s="483" t="str">
        <f t="shared" si="19"/>
        <v/>
      </c>
      <c r="AN136" s="484" t="str">
        <f t="shared" si="20"/>
        <v/>
      </c>
      <c r="AO136" s="473" t="str">
        <f t="shared" si="21"/>
        <v/>
      </c>
      <c r="AP136" s="473" t="str">
        <f t="shared" si="22"/>
        <v/>
      </c>
      <c r="AQ136" s="473" t="str">
        <f t="shared" si="23"/>
        <v/>
      </c>
      <c r="AR136" s="473" t="str">
        <f t="shared" si="24"/>
        <v/>
      </c>
      <c r="AS136" s="473" t="str">
        <f t="shared" si="25"/>
        <v/>
      </c>
      <c r="AT136" s="473" t="str">
        <f t="shared" si="26"/>
        <v/>
      </c>
      <c r="AU136" s="473" t="str">
        <f t="shared" si="27"/>
        <v/>
      </c>
      <c r="AZ136" s="31" t="s">
        <v>304</v>
      </c>
      <c r="BA136" s="34" t="s">
        <v>6123</v>
      </c>
      <c r="BB136" s="500"/>
      <c r="BC136" s="271"/>
      <c r="BD136" s="279">
        <v>1</v>
      </c>
      <c r="BE136" s="271"/>
      <c r="BF136" s="271"/>
      <c r="BG136" s="271"/>
      <c r="BH136" s="271"/>
      <c r="BI136" s="271"/>
      <c r="BJ136" s="271"/>
      <c r="BK136" s="271"/>
      <c r="BL136" s="271"/>
    </row>
    <row r="137" spans="18:64" ht="21" customHeight="1" x14ac:dyDescent="0.25">
      <c r="R137" s="34" t="s">
        <v>6125</v>
      </c>
      <c r="S137" s="451"/>
      <c r="T137" s="31" t="s">
        <v>211</v>
      </c>
      <c r="V137" s="475">
        <v>2</v>
      </c>
      <c r="W137" s="475" t="str">
        <f>IF($AC$137="","",$W$108)</f>
        <v/>
      </c>
      <c r="X137" s="476" t="str">
        <f>IF($AC$137="","",$X$108)</f>
        <v/>
      </c>
      <c r="Y137" s="477" t="str">
        <f>IF($X$137="","",$Y$108)</f>
        <v/>
      </c>
      <c r="Z137" s="477" t="str">
        <f>IF($X$137="","",$Z$108)</f>
        <v/>
      </c>
      <c r="AA137" s="477" t="str">
        <f>IF($AC$137="","",ROW($A$137)-ROW($A$108))</f>
        <v/>
      </c>
      <c r="AB137" s="478"/>
      <c r="AC137" s="34"/>
      <c r="AD137" s="356"/>
      <c r="AE137" s="479"/>
      <c r="AF137" s="475"/>
      <c r="AG137" s="480" t="str">
        <f t="shared" si="16"/>
        <v/>
      </c>
      <c r="AH137" s="481" t="str">
        <f t="shared" si="17"/>
        <v/>
      </c>
      <c r="AI137" s="477" t="str">
        <f>IF($AC$137="","",IFERROR(INDEX($AZ$74:$AZ$119,MATCH($AH$137,$AY$74:$AY$119,0)),"AUTRE"))</f>
        <v/>
      </c>
      <c r="AJ137" s="482" t="str">
        <f>IF($AC$137="","",IFERROR(INDEX($BA$74:$BA$119,MATCH($AH$137,$AY$74:$AY$119,0)),1))</f>
        <v/>
      </c>
      <c r="AK137" s="482" t="str">
        <f t="shared" si="18"/>
        <v/>
      </c>
      <c r="AL137" s="477" t="str">
        <f>IF($AC$137="","",IFERROR(INDEX($BB$74:$BB$119,MATCH($AH$137,$AY$74:$AY$119,0)),$AH$137))</f>
        <v/>
      </c>
      <c r="AM137" s="483" t="str">
        <f t="shared" si="19"/>
        <v/>
      </c>
      <c r="AN137" s="484" t="str">
        <f t="shared" si="20"/>
        <v/>
      </c>
      <c r="AO137" s="473" t="str">
        <f t="shared" si="21"/>
        <v/>
      </c>
      <c r="AP137" s="473" t="str">
        <f t="shared" si="22"/>
        <v/>
      </c>
      <c r="AQ137" s="473" t="str">
        <f t="shared" si="23"/>
        <v/>
      </c>
      <c r="AR137" s="473" t="str">
        <f t="shared" si="24"/>
        <v/>
      </c>
      <c r="AS137" s="473" t="str">
        <f t="shared" si="25"/>
        <v/>
      </c>
      <c r="AT137" s="473" t="str">
        <f t="shared" si="26"/>
        <v/>
      </c>
      <c r="AU137" s="473" t="str">
        <f t="shared" si="27"/>
        <v/>
      </c>
      <c r="AY137" s="497" t="s">
        <v>8145</v>
      </c>
      <c r="AZ137" s="31" t="s">
        <v>352</v>
      </c>
      <c r="BA137" s="34" t="s">
        <v>6124</v>
      </c>
      <c r="BB137" s="500"/>
      <c r="BC137" s="271"/>
      <c r="BD137" s="279">
        <v>1</v>
      </c>
      <c r="BE137" s="271"/>
      <c r="BF137" s="271"/>
      <c r="BG137" s="271"/>
      <c r="BH137" s="271"/>
      <c r="BI137" s="271"/>
      <c r="BJ137" s="271"/>
      <c r="BK137" s="271"/>
      <c r="BL137" s="271"/>
    </row>
    <row r="138" spans="18:64" ht="21" customHeight="1" x14ac:dyDescent="0.25">
      <c r="R138" s="34" t="s">
        <v>6126</v>
      </c>
      <c r="S138" s="451"/>
      <c r="T138" s="31" t="s">
        <v>20</v>
      </c>
      <c r="V138" s="475">
        <v>2</v>
      </c>
      <c r="W138" s="475" t="str">
        <f>IF($AC$138="","",$W$108)</f>
        <v/>
      </c>
      <c r="X138" s="476" t="str">
        <f>IF($AC$138="","",$X$108)</f>
        <v/>
      </c>
      <c r="Y138" s="477" t="str">
        <f>IF($X$138="","",$Y$108)</f>
        <v/>
      </c>
      <c r="Z138" s="477" t="str">
        <f>IF($X$138="","",$Z$108)</f>
        <v/>
      </c>
      <c r="AA138" s="477" t="str">
        <f>IF($AC$138="","",ROW($A$138)-ROW($A$108))</f>
        <v/>
      </c>
      <c r="AB138" s="478"/>
      <c r="AC138" s="34"/>
      <c r="AD138" s="356"/>
      <c r="AE138" s="479"/>
      <c r="AF138" s="475"/>
      <c r="AG138" s="480" t="str">
        <f t="shared" si="16"/>
        <v/>
      </c>
      <c r="AH138" s="481" t="str">
        <f t="shared" si="17"/>
        <v/>
      </c>
      <c r="AI138" s="477" t="str">
        <f>IF($AC$138="","",IFERROR(INDEX($AZ$74:$AZ$119,MATCH($AH$138,$AY$74:$AY$119,0)),"AUTRE"))</f>
        <v/>
      </c>
      <c r="AJ138" s="482" t="str">
        <f>IF($AC$138="","",IFERROR(INDEX($BA$74:$BA$119,MATCH($AH$138,$AY$74:$AY$119,0)),1))</f>
        <v/>
      </c>
      <c r="AK138" s="482" t="str">
        <f t="shared" si="18"/>
        <v/>
      </c>
      <c r="AL138" s="477" t="str">
        <f>IF($AC$138="","",IFERROR(INDEX($BB$74:$BB$119,MATCH($AH$138,$AY$74:$AY$119,0)),$AH$138))</f>
        <v/>
      </c>
      <c r="AM138" s="483" t="str">
        <f t="shared" si="19"/>
        <v/>
      </c>
      <c r="AN138" s="484" t="str">
        <f t="shared" si="20"/>
        <v/>
      </c>
      <c r="AO138" s="473" t="str">
        <f t="shared" si="21"/>
        <v/>
      </c>
      <c r="AP138" s="473" t="str">
        <f t="shared" si="22"/>
        <v/>
      </c>
      <c r="AQ138" s="473" t="str">
        <f t="shared" si="23"/>
        <v/>
      </c>
      <c r="AR138" s="473" t="str">
        <f t="shared" si="24"/>
        <v/>
      </c>
      <c r="AS138" s="473" t="str">
        <f t="shared" si="25"/>
        <v/>
      </c>
      <c r="AT138" s="473" t="str">
        <f t="shared" si="26"/>
        <v/>
      </c>
      <c r="AU138" s="473" t="str">
        <f t="shared" si="27"/>
        <v/>
      </c>
      <c r="AY138" s="497" t="s">
        <v>462</v>
      </c>
      <c r="AZ138" s="31" t="s">
        <v>27</v>
      </c>
      <c r="BA138" s="34" t="s">
        <v>6125</v>
      </c>
      <c r="BB138" s="500"/>
      <c r="BC138" s="271"/>
      <c r="BD138" s="279">
        <v>1</v>
      </c>
      <c r="BE138" s="271"/>
      <c r="BF138" s="271"/>
      <c r="BG138" s="271"/>
      <c r="BH138" s="271"/>
      <c r="BI138" s="271"/>
      <c r="BJ138" s="271"/>
      <c r="BK138" s="271"/>
      <c r="BL138" s="271"/>
    </row>
    <row r="139" spans="18:64" ht="21" customHeight="1" x14ac:dyDescent="0.25">
      <c r="R139" s="34" t="s">
        <v>6127</v>
      </c>
      <c r="S139" s="451"/>
      <c r="T139" s="31" t="s">
        <v>304</v>
      </c>
      <c r="V139" s="475">
        <v>2</v>
      </c>
      <c r="W139" s="475" t="str">
        <f>IF($AC$139="","",$W$108)</f>
        <v/>
      </c>
      <c r="X139" s="476" t="str">
        <f>IF($AC$139="","",$X$108)</f>
        <v/>
      </c>
      <c r="Y139" s="477" t="str">
        <f>IF($X$139="","",$Y$108)</f>
        <v/>
      </c>
      <c r="Z139" s="477" t="str">
        <f>IF($X$139="","",$Z$108)</f>
        <v/>
      </c>
      <c r="AA139" s="477" t="str">
        <f>IF($AC$139="","",ROW($A$139)-ROW($A$108))</f>
        <v/>
      </c>
      <c r="AB139" s="478"/>
      <c r="AC139" s="34"/>
      <c r="AD139" s="356"/>
      <c r="AE139" s="479"/>
      <c r="AF139" s="475"/>
      <c r="AG139" s="480" t="str">
        <f t="shared" si="16"/>
        <v/>
      </c>
      <c r="AH139" s="481" t="str">
        <f t="shared" si="17"/>
        <v/>
      </c>
      <c r="AI139" s="477" t="str">
        <f>IF($AC$139="","",IFERROR(INDEX($AZ$74:$AZ$119,MATCH($AH$139,$AY$74:$AY$119,0)),"AUTRE"))</f>
        <v/>
      </c>
      <c r="AJ139" s="482" t="str">
        <f>IF($AC$139="","",IFERROR(INDEX($BA$74:$BA$119,MATCH($AH$139,$AY$74:$AY$119,0)),1))</f>
        <v/>
      </c>
      <c r="AK139" s="482" t="str">
        <f t="shared" si="18"/>
        <v/>
      </c>
      <c r="AL139" s="477" t="str">
        <f>IF($AC$139="","",IFERROR(INDEX($BB$74:$BB$119,MATCH($AH$139,$AY$74:$AY$119,0)),$AH$139))</f>
        <v/>
      </c>
      <c r="AM139" s="483" t="str">
        <f t="shared" si="19"/>
        <v/>
      </c>
      <c r="AN139" s="484" t="str">
        <f t="shared" si="20"/>
        <v/>
      </c>
      <c r="AO139" s="473" t="str">
        <f t="shared" si="21"/>
        <v/>
      </c>
      <c r="AP139" s="473" t="str">
        <f t="shared" si="22"/>
        <v/>
      </c>
      <c r="AQ139" s="473" t="str">
        <f t="shared" si="23"/>
        <v/>
      </c>
      <c r="AR139" s="473" t="str">
        <f t="shared" si="24"/>
        <v/>
      </c>
      <c r="AS139" s="473" t="str">
        <f t="shared" si="25"/>
        <v/>
      </c>
      <c r="AT139" s="473" t="str">
        <f t="shared" si="26"/>
        <v/>
      </c>
      <c r="AU139" s="473" t="str">
        <f t="shared" si="27"/>
        <v/>
      </c>
      <c r="AY139" s="497" t="s">
        <v>463</v>
      </c>
      <c r="AZ139" s="31" t="s">
        <v>28</v>
      </c>
      <c r="BA139" s="34" t="s">
        <v>6126</v>
      </c>
      <c r="BB139" s="500"/>
      <c r="BC139" s="271"/>
      <c r="BD139" s="279">
        <v>1</v>
      </c>
      <c r="BE139" s="271"/>
      <c r="BF139" s="271"/>
      <c r="BG139" s="271"/>
      <c r="BH139" s="271"/>
      <c r="BI139" s="271"/>
      <c r="BJ139" s="271"/>
      <c r="BK139" s="271"/>
      <c r="BL139" s="271"/>
    </row>
    <row r="140" spans="18:64" ht="21" customHeight="1" x14ac:dyDescent="0.25">
      <c r="R140" s="25" t="s">
        <v>6128</v>
      </c>
      <c r="S140" s="451"/>
      <c r="T140" s="31" t="s">
        <v>352</v>
      </c>
      <c r="V140" s="475">
        <v>2</v>
      </c>
      <c r="W140" s="475" t="str">
        <f>IF($AC$140="","",$W$108)</f>
        <v/>
      </c>
      <c r="X140" s="476" t="str">
        <f>IF($AC$140="","",$X$108)</f>
        <v/>
      </c>
      <c r="Y140" s="477" t="str">
        <f>IF($X$140="","",$Y$108)</f>
        <v/>
      </c>
      <c r="Z140" s="477" t="str">
        <f>IF($X$140="","",$Z$108)</f>
        <v/>
      </c>
      <c r="AA140" s="477" t="str">
        <f>IF($AC$140="","",ROW($A$140)-ROW($A$108))</f>
        <v/>
      </c>
      <c r="AB140" s="478"/>
      <c r="AC140" s="34"/>
      <c r="AD140" s="356"/>
      <c r="AE140" s="479"/>
      <c r="AF140" s="475"/>
      <c r="AG140" s="480" t="str">
        <f t="shared" si="16"/>
        <v/>
      </c>
      <c r="AH140" s="481" t="str">
        <f t="shared" si="17"/>
        <v/>
      </c>
      <c r="AI140" s="477" t="str">
        <f>IF($AC$140="","",IFERROR(INDEX($AZ$74:$AZ$119,MATCH($AH$140,$AY$74:$AY$119,0)),"AUTRE"))</f>
        <v/>
      </c>
      <c r="AJ140" s="482" t="str">
        <f>IF($AC$140="","",IFERROR(INDEX($BA$74:$BA$119,MATCH($AH$140,$AY$74:$AY$119,0)),1))</f>
        <v/>
      </c>
      <c r="AK140" s="482" t="str">
        <f t="shared" si="18"/>
        <v/>
      </c>
      <c r="AL140" s="477" t="str">
        <f>IF($AC$140="","",IFERROR(INDEX($BB$74:$BB$119,MATCH($AH$140,$AY$74:$AY$119,0)),$AH$140))</f>
        <v/>
      </c>
      <c r="AM140" s="483" t="str">
        <f t="shared" si="19"/>
        <v/>
      </c>
      <c r="AN140" s="484" t="str">
        <f t="shared" si="20"/>
        <v/>
      </c>
      <c r="AO140" s="473" t="str">
        <f t="shared" si="21"/>
        <v/>
      </c>
      <c r="AP140" s="473" t="str">
        <f t="shared" si="22"/>
        <v/>
      </c>
      <c r="AQ140" s="473" t="str">
        <f t="shared" si="23"/>
        <v/>
      </c>
      <c r="AR140" s="473" t="str">
        <f t="shared" si="24"/>
        <v/>
      </c>
      <c r="AS140" s="473" t="str">
        <f t="shared" si="25"/>
        <v/>
      </c>
      <c r="AT140" s="473" t="str">
        <f t="shared" si="26"/>
        <v/>
      </c>
      <c r="AU140" s="473" t="str">
        <f t="shared" si="27"/>
        <v/>
      </c>
      <c r="AY140" s="497" t="s">
        <v>8147</v>
      </c>
      <c r="AZ140" s="31" t="s">
        <v>29</v>
      </c>
      <c r="BA140" s="34" t="s">
        <v>6127</v>
      </c>
      <c r="BB140" s="500"/>
      <c r="BC140" s="271"/>
      <c r="BD140" s="279">
        <v>1</v>
      </c>
      <c r="BE140" s="271"/>
      <c r="BF140" s="271"/>
      <c r="BG140" s="271"/>
      <c r="BH140" s="271"/>
      <c r="BI140" s="271"/>
      <c r="BJ140" s="271"/>
      <c r="BK140" s="271"/>
      <c r="BL140" s="271"/>
    </row>
    <row r="141" spans="18:64" ht="21" customHeight="1" x14ac:dyDescent="0.25">
      <c r="R141" s="34" t="s">
        <v>474</v>
      </c>
      <c r="S141" s="451"/>
      <c r="T141" s="31" t="s">
        <v>25</v>
      </c>
      <c r="V141" s="475">
        <v>2</v>
      </c>
      <c r="W141" s="475" t="str">
        <f>IF($AC$141="","",$W$108)</f>
        <v/>
      </c>
      <c r="X141" s="476" t="str">
        <f>IF($AC$141="","",$X$108)</f>
        <v/>
      </c>
      <c r="Y141" s="477" t="str">
        <f>IF($X$141="","",$Y$108)</f>
        <v/>
      </c>
      <c r="Z141" s="477" t="str">
        <f>IF($X$141="","",$Z$108)</f>
        <v/>
      </c>
      <c r="AA141" s="477" t="str">
        <f>IF($AC$141="","",ROW($A$141)-ROW($A$108))</f>
        <v/>
      </c>
      <c r="AB141" s="478"/>
      <c r="AC141" s="34"/>
      <c r="AD141" s="356"/>
      <c r="AE141" s="479"/>
      <c r="AF141" s="475"/>
      <c r="AG141" s="480" t="str">
        <f t="shared" si="16"/>
        <v/>
      </c>
      <c r="AH141" s="481" t="str">
        <f t="shared" si="17"/>
        <v/>
      </c>
      <c r="AI141" s="477" t="str">
        <f>IF($AC$141="","",IFERROR(INDEX($AZ$74:$AZ$119,MATCH($AH$141,$AY$74:$AY$119,0)),"AUTRE"))</f>
        <v/>
      </c>
      <c r="AJ141" s="482" t="str">
        <f>IF($AC$141="","",IFERROR(INDEX($BA$74:$BA$119,MATCH($AH$141,$AY$74:$AY$119,0)),1))</f>
        <v/>
      </c>
      <c r="AK141" s="482" t="str">
        <f t="shared" si="18"/>
        <v/>
      </c>
      <c r="AL141" s="477" t="str">
        <f>IF($AC$141="","",IFERROR(INDEX($BB$74:$BB$119,MATCH($AH$141,$AY$74:$AY$119,0)),$AH$141))</f>
        <v/>
      </c>
      <c r="AM141" s="483" t="str">
        <f t="shared" si="19"/>
        <v/>
      </c>
      <c r="AN141" s="484" t="str">
        <f t="shared" si="20"/>
        <v/>
      </c>
      <c r="AO141" s="473" t="str">
        <f t="shared" si="21"/>
        <v/>
      </c>
      <c r="AP141" s="473" t="str">
        <f t="shared" si="22"/>
        <v/>
      </c>
      <c r="AQ141" s="473" t="str">
        <f t="shared" si="23"/>
        <v/>
      </c>
      <c r="AR141" s="473" t="str">
        <f t="shared" si="24"/>
        <v/>
      </c>
      <c r="AS141" s="473" t="str">
        <f t="shared" si="25"/>
        <v/>
      </c>
      <c r="AT141" s="473" t="str">
        <f t="shared" si="26"/>
        <v/>
      </c>
      <c r="AU141" s="473" t="str">
        <f t="shared" si="27"/>
        <v/>
      </c>
      <c r="AY141" s="497" t="s">
        <v>465</v>
      </c>
      <c r="AZ141" s="31" t="s">
        <v>30</v>
      </c>
      <c r="BA141" s="25" t="s">
        <v>6128</v>
      </c>
      <c r="BB141" s="500"/>
      <c r="BC141" s="271"/>
      <c r="BD141" s="279">
        <v>1</v>
      </c>
      <c r="BE141" s="271"/>
      <c r="BF141" s="271"/>
      <c r="BG141" s="271"/>
      <c r="BH141" s="271"/>
      <c r="BI141" s="271"/>
      <c r="BJ141" s="271"/>
      <c r="BK141" s="271"/>
      <c r="BL141" s="271"/>
    </row>
    <row r="142" spans="18:64" ht="21" customHeight="1" x14ac:dyDescent="0.25">
      <c r="R142" s="34" t="s">
        <v>490</v>
      </c>
      <c r="S142" s="451"/>
      <c r="T142" s="31" t="s">
        <v>26</v>
      </c>
      <c r="V142" s="475">
        <v>2</v>
      </c>
      <c r="W142" s="475" t="str">
        <f>IF($AC$142="","",$W$108)</f>
        <v/>
      </c>
      <c r="X142" s="476" t="str">
        <f>IF($AC$142="","",$X$108)</f>
        <v/>
      </c>
      <c r="Y142" s="477" t="str">
        <f>IF($X$142="","",$Y$108)</f>
        <v/>
      </c>
      <c r="Z142" s="477" t="str">
        <f>IF($X$142="","",$Z$108)</f>
        <v/>
      </c>
      <c r="AA142" s="477" t="str">
        <f>IF($AC$142="","",ROW($A$142)-ROW($A$108))</f>
        <v/>
      </c>
      <c r="AB142" s="478"/>
      <c r="AC142" s="34"/>
      <c r="AD142" s="356"/>
      <c r="AE142" s="479"/>
      <c r="AF142" s="475"/>
      <c r="AG142" s="491" t="str">
        <f t="shared" si="16"/>
        <v/>
      </c>
      <c r="AH142" s="481" t="str">
        <f t="shared" si="17"/>
        <v/>
      </c>
      <c r="AI142" s="477" t="str">
        <f>IF($AC$142="","",IFERROR(INDEX($AZ$74:$AZ$119,MATCH($AH$142,$AY$74:$AY$119,0)),"AUTRE"))</f>
        <v/>
      </c>
      <c r="AJ142" s="482" t="str">
        <f>IF($AC$142="","",IFERROR(INDEX($BA$74:$BA$119,MATCH($AH$142,$AY$74:$AY$119,0)),1))</f>
        <v/>
      </c>
      <c r="AK142" s="482" t="str">
        <f t="shared" si="18"/>
        <v/>
      </c>
      <c r="AL142" s="477" t="str">
        <f>IF($AC$142="","",IFERROR(INDEX($BB$74:$BB$119,MATCH($AH$142,$AY$74:$AY$119,0)),$AH$142))</f>
        <v/>
      </c>
      <c r="AM142" s="483" t="str">
        <f t="shared" si="19"/>
        <v/>
      </c>
      <c r="AN142" s="484" t="str">
        <f t="shared" si="20"/>
        <v/>
      </c>
      <c r="AO142" s="473" t="str">
        <f t="shared" si="21"/>
        <v/>
      </c>
      <c r="AP142" s="473" t="str">
        <f t="shared" si="22"/>
        <v/>
      </c>
      <c r="AQ142" s="473" t="str">
        <f t="shared" si="23"/>
        <v/>
      </c>
      <c r="AR142" s="473" t="str">
        <f t="shared" si="24"/>
        <v/>
      </c>
      <c r="AS142" s="473" t="str">
        <f t="shared" si="25"/>
        <v/>
      </c>
      <c r="AT142" s="473" t="str">
        <f t="shared" si="26"/>
        <v/>
      </c>
      <c r="AU142" s="473" t="str">
        <f t="shared" si="27"/>
        <v/>
      </c>
      <c r="AY142" s="497" t="s">
        <v>466</v>
      </c>
      <c r="AZ142" s="32" t="s">
        <v>33</v>
      </c>
      <c r="BA142" s="34" t="s">
        <v>474</v>
      </c>
      <c r="BB142" s="500"/>
      <c r="BC142" s="271"/>
      <c r="BD142" s="279">
        <v>1</v>
      </c>
      <c r="BE142" s="271"/>
      <c r="BF142" s="271"/>
      <c r="BG142" s="271"/>
      <c r="BH142" s="271"/>
      <c r="BI142" s="271"/>
      <c r="BJ142" s="271"/>
      <c r="BK142" s="271"/>
      <c r="BL142" s="271"/>
    </row>
    <row r="143" spans="18:64" ht="30" customHeight="1" x14ac:dyDescent="0.25">
      <c r="R143" s="34" t="s">
        <v>6129</v>
      </c>
      <c r="S143" s="451"/>
      <c r="T143" s="31" t="s">
        <v>27</v>
      </c>
      <c r="V143" s="453" t="s">
        <v>324</v>
      </c>
      <c r="W143" s="453" t="s">
        <v>7912</v>
      </c>
      <c r="X143" s="453" t="s">
        <v>326</v>
      </c>
      <c r="Y143" s="453" t="s">
        <v>327</v>
      </c>
      <c r="Z143" s="453" t="s">
        <v>7930</v>
      </c>
      <c r="AA143" s="453" t="s">
        <v>7937</v>
      </c>
      <c r="AB143" s="455" t="s">
        <v>39</v>
      </c>
      <c r="AC143" s="455" t="s">
        <v>338</v>
      </c>
      <c r="AD143" s="455" t="s">
        <v>8114</v>
      </c>
      <c r="AE143" s="455" t="s">
        <v>339</v>
      </c>
      <c r="AF143" s="455" t="s">
        <v>7997</v>
      </c>
      <c r="AG143" s="453" t="s">
        <v>8018</v>
      </c>
      <c r="AH143" s="453" t="s">
        <v>8023</v>
      </c>
      <c r="AI143" s="453" t="s">
        <v>330</v>
      </c>
      <c r="AJ143" s="453" t="s">
        <v>8031</v>
      </c>
      <c r="AK143" s="453" t="s">
        <v>8037</v>
      </c>
      <c r="AL143" s="453" t="s">
        <v>8041</v>
      </c>
      <c r="AM143" s="453" t="s">
        <v>343</v>
      </c>
      <c r="AN143" s="457" t="s">
        <v>8115</v>
      </c>
      <c r="AO143" s="457" t="s">
        <v>8116</v>
      </c>
      <c r="AP143" s="656" t="s">
        <v>8117</v>
      </c>
      <c r="AQ143" s="656"/>
      <c r="AR143" s="656"/>
      <c r="AS143" s="656"/>
      <c r="AT143" s="656"/>
      <c r="AU143" s="657"/>
      <c r="AZ143" s="32" t="s">
        <v>8125</v>
      </c>
      <c r="BA143" s="34" t="s">
        <v>490</v>
      </c>
      <c r="BB143" s="500"/>
      <c r="BC143" s="271"/>
      <c r="BD143" s="279">
        <v>1</v>
      </c>
      <c r="BE143" s="271"/>
      <c r="BF143" s="271"/>
      <c r="BG143" s="271"/>
      <c r="BH143" s="271"/>
      <c r="BI143" s="271"/>
      <c r="BJ143" s="271"/>
      <c r="BK143" s="271"/>
      <c r="BL143" s="271"/>
    </row>
    <row r="144" spans="18:64" ht="30" customHeight="1" x14ac:dyDescent="0.25">
      <c r="R144" s="34" t="s">
        <v>478</v>
      </c>
      <c r="S144" s="451"/>
      <c r="T144" s="31" t="s">
        <v>28</v>
      </c>
      <c r="V144" s="459">
        <v>3</v>
      </c>
      <c r="W144" s="460" t="s">
        <v>8120</v>
      </c>
      <c r="X144" s="461" t="s">
        <v>8149</v>
      </c>
      <c r="Y144" s="462"/>
      <c r="Z144" s="463">
        <v>100</v>
      </c>
      <c r="AA144" s="464">
        <f>IF($AC$396="","",ROW($A$396)-ROW($A$396))</f>
        <v>0</v>
      </c>
      <c r="AB144" s="461"/>
      <c r="AC144" s="465" t="s">
        <v>8150</v>
      </c>
      <c r="AD144" s="390"/>
      <c r="AE144" s="390"/>
      <c r="AF144" s="466"/>
      <c r="AG144" s="467" t="str">
        <f t="shared" ref="AG144:AG178" si="28">IF($AC144="","",IF(LEN($AN144&amp;"")=0,"",$AN144))</f>
        <v/>
      </c>
      <c r="AH144" s="468" t="str">
        <f t="shared" ref="AH144:AH178" si="29">IF($AC144="","",IF($AF144&lt;&gt;"",UPPER(TRIM(SUBSTITUTE(SUBSTITUTE($AF144&amp;"",CHAR(160)," ")," "," "))),$AP144))</f>
        <v/>
      </c>
      <c r="AI144" s="469" t="str">
        <f>IF($AC$144="","",IFERROR(INDEX($AZ$74:$AZ$119,MATCH($AH$144,$AY$74:$AY$119,0)),"AUTRE"))</f>
        <v>AUTRE</v>
      </c>
      <c r="AJ144" s="470">
        <f>IF($AC$144="","",IFERROR(INDEX($BA$74:$BA$119,MATCH($AH$144,$AY$74:$AY$119,0)),1))</f>
        <v>1</v>
      </c>
      <c r="AK144" s="470" t="str">
        <f t="shared" ref="AK144:AK178" si="30">IF(OR(AG144="",AJ144=""),"",AG144*AJ144)</f>
        <v/>
      </c>
      <c r="AL144" s="469" t="str">
        <f>IF($AC$144="","",IFERROR(INDEX($BB$74:$BB$119,MATCH($AH$144,$AY$74:$AY$119,0)),$AH$144))</f>
        <v/>
      </c>
      <c r="AM144" s="471" t="str">
        <f t="shared" ref="AM144:AM178" si="31">IF($AC144="","",IF($AH144="QT. SUFFISANTE","OK",IF($AG144="","TEXTE",IF(NOT(ISNUMBER($AG144)),"QUANTITÉ À CONTRÔLER",IF(COUNTIF($AY$74:$AY$119,$AH144)=0,"UNITÉ À CONTRÔLER","OK")))))</f>
        <v>TEXTE</v>
      </c>
      <c r="AN144" s="474" t="str">
        <f t="shared" ref="AN144:AN178" si="32">IF($AE144&lt;&gt;"",$AE144,IF($AD144="","",IF(ISNUMBER($AD144),$AD144,IF($AO144="QT",0,IF($AO144="","",IFERROR(IF(ISNUMBER(SEARCH("/",$AO144)),VALUE(TRIM(LEFT($AO144,SEARCH("/",$AO144)-1)))/VALUE(TRIM(MID($AO144,SEARCH("/",$AO144)+1,99))),VALUE(SUBSTITUTE($AO144,".",","))),""))))))</f>
        <v/>
      </c>
      <c r="AO144" s="473" t="str">
        <f t="shared" ref="AO144:AO178" si="33">IF($AD144="","",IF(ISNUMBER($AD144),$AD144,IF(OR(LEFT($AQ144,3)="QT.",LEFT($AQ144,4)="QUAN"),"QT",IF($AR144=999,$AQ144,TRIM(LEFT($AQ144,$AR144-1))))))</f>
        <v/>
      </c>
      <c r="AP144" s="473" t="str">
        <f t="shared" ref="AP144:AP178" si="34">IF($AD144="","",IF(ISNUMBER($AD144),"",IF(OR(LEFT($AQ144,3)="QT.",LEFT($AQ144,4)="QUAN"),"QT. SUFFISANTE",IF($AO144="","",TRIM(MID($AQ144,LEN($AO144&amp;"")+1,999))))))</f>
        <v/>
      </c>
      <c r="AQ144" s="473" t="str">
        <f t="shared" ref="AQ144:AQ178" si="35">IF($AD144="","",UPPER(TRIM(SUBSTITUTE(SUBSTITUTE($AD144&amp;"",CHAR(160)," ")," "," "))))</f>
        <v/>
      </c>
      <c r="AR144" s="473" t="str">
        <f t="shared" ref="AR144:AR178" si="36">IF($AQ144="","",MIN($AS144,$AT144,$AU144))</f>
        <v/>
      </c>
      <c r="AS144" s="473" t="str">
        <f t="shared" ref="AS144:AS178" si="37">IF($AQ144="","",MIN(IFERROR(SEARCH("A",$AQ144),999),IFERROR(SEARCH("B",$AQ144),999),IFERROR(SEARCH("C",$AQ144),999),IFERROR(SEARCH("D",$AQ144),999),IFERROR(SEARCH("E",$AQ144),999),IFERROR(SEARCH("F",$AQ144),999),IFERROR(SEARCH("G",$AQ144),999),IFERROR(SEARCH("H",$AQ144),999),IFERROR(SEARCH("I",$AQ144),999)))</f>
        <v/>
      </c>
      <c r="AT144" s="473" t="str">
        <f t="shared" ref="AT144:AT178" si="38">IF($AQ144="","",MIN(IFERROR(SEARCH("J",$AQ144),999),IFERROR(SEARCH("K",$AQ144),999),IFERROR(SEARCH("L",$AQ144),999),IFERROR(SEARCH("M",$AQ144),999),IFERROR(SEARCH("N",$AQ144),999),IFERROR(SEARCH("O",$AQ144),999),IFERROR(SEARCH("P",$AQ144),999),IFERROR(SEARCH("Q",$AQ144),999),IFERROR(SEARCH("R",$AQ144),999)))</f>
        <v/>
      </c>
      <c r="AU144" s="473" t="str">
        <f t="shared" ref="AU144:AU178" si="39">IF($AQ144="","",MIN(IFERROR(SEARCH("S",$AQ144),999),IFERROR(SEARCH("T",$AQ144),999),IFERROR(SEARCH("U",$AQ144),999),IFERROR(SEARCH("V",$AQ144),999),IFERROR(SEARCH("W",$AQ144),999),IFERROR(SEARCH("X",$AQ144),999),IFERROR(SEARCH("Y",$AQ144),999),IFERROR(SEARCH("Z",$AQ144),999)))</f>
        <v/>
      </c>
      <c r="AZ144" s="32" t="s">
        <v>8127</v>
      </c>
      <c r="BA144" s="34" t="s">
        <v>6129</v>
      </c>
      <c r="BB144" s="500"/>
      <c r="BC144" s="271"/>
      <c r="BD144" s="279">
        <v>1</v>
      </c>
      <c r="BE144" s="271"/>
      <c r="BF144" s="271"/>
      <c r="BG144" s="271"/>
      <c r="BH144" s="271"/>
      <c r="BI144" s="271"/>
      <c r="BJ144" s="271"/>
      <c r="BK144" s="271"/>
      <c r="BL144" s="271"/>
    </row>
    <row r="145" spans="18:64" ht="21" customHeight="1" x14ac:dyDescent="0.25">
      <c r="R145" s="34" t="s">
        <v>6130</v>
      </c>
      <c r="S145" s="451"/>
      <c r="T145" s="31" t="s">
        <v>29</v>
      </c>
      <c r="V145" s="475">
        <f>$V$144</f>
        <v>3</v>
      </c>
      <c r="W145" s="475" t="str">
        <f>IF($AC$145="","",$W$144)</f>
        <v/>
      </c>
      <c r="X145" s="476" t="str">
        <f>IF($AC$145="","",$X$144)</f>
        <v/>
      </c>
      <c r="Y145" s="477" t="str">
        <f>IF($X$145="","",$Y$144)</f>
        <v/>
      </c>
      <c r="Z145" s="477" t="str">
        <f>IF($X$145="","",$Z$144)</f>
        <v/>
      </c>
      <c r="AA145" s="477" t="str">
        <f>IF($AC$145="","",ROW($A$145)-ROW($A$144))</f>
        <v/>
      </c>
      <c r="AB145" s="478"/>
      <c r="AC145" s="34"/>
      <c r="AD145" s="356"/>
      <c r="AE145" s="479"/>
      <c r="AF145" s="475"/>
      <c r="AG145" s="480" t="str">
        <f t="shared" si="28"/>
        <v/>
      </c>
      <c r="AH145" s="481" t="str">
        <f t="shared" si="29"/>
        <v/>
      </c>
      <c r="AI145" s="477" t="str">
        <f>IF($AC$145="","",IFERROR(INDEX($AZ$74:$AZ$119,MATCH($AH$145,$AY$74:$AY$119,0)),"AUTRE"))</f>
        <v/>
      </c>
      <c r="AJ145" s="482" t="str">
        <f>IF($AC$145="","",IFERROR(INDEX($BA$74:$BA$119,MATCH($AH$145,$AY$74:$AY$119,0)),1))</f>
        <v/>
      </c>
      <c r="AK145" s="482" t="str">
        <f t="shared" si="30"/>
        <v/>
      </c>
      <c r="AL145" s="477" t="str">
        <f>IF($AC$145="","",IFERROR(INDEX($BB$74:$BB$119,MATCH($AH$145,$AY$74:$AY$119,0)),$AH$145))</f>
        <v/>
      </c>
      <c r="AM145" s="483" t="str">
        <f t="shared" si="31"/>
        <v/>
      </c>
      <c r="AN145" s="484" t="str">
        <f t="shared" si="32"/>
        <v/>
      </c>
      <c r="AO145" s="473" t="str">
        <f t="shared" si="33"/>
        <v/>
      </c>
      <c r="AP145" s="473" t="str">
        <f t="shared" si="34"/>
        <v/>
      </c>
      <c r="AQ145" s="473" t="str">
        <f t="shared" si="35"/>
        <v/>
      </c>
      <c r="AR145" s="473" t="str">
        <f t="shared" si="36"/>
        <v/>
      </c>
      <c r="AS145" s="473" t="str">
        <f t="shared" si="37"/>
        <v/>
      </c>
      <c r="AT145" s="473" t="str">
        <f t="shared" si="38"/>
        <v/>
      </c>
      <c r="AU145" s="473" t="str">
        <f t="shared" si="39"/>
        <v/>
      </c>
      <c r="AZ145" s="32" t="s">
        <v>320</v>
      </c>
      <c r="BA145" s="34" t="s">
        <v>478</v>
      </c>
      <c r="BB145" s="500"/>
      <c r="BC145" s="271"/>
      <c r="BD145" s="279">
        <v>1</v>
      </c>
      <c r="BE145" s="271"/>
      <c r="BF145" s="271"/>
      <c r="BG145" s="271"/>
      <c r="BH145" s="271"/>
      <c r="BI145" s="271"/>
      <c r="BJ145" s="271"/>
      <c r="BK145" s="271"/>
      <c r="BL145" s="271"/>
    </row>
    <row r="146" spans="18:64" ht="21" customHeight="1" x14ac:dyDescent="0.25">
      <c r="R146" s="34" t="s">
        <v>486</v>
      </c>
      <c r="S146" s="451"/>
      <c r="T146" s="31" t="s">
        <v>30</v>
      </c>
      <c r="V146" s="475">
        <v>3</v>
      </c>
      <c r="W146" s="475" t="str">
        <f>IF($AC$146="","",$W$144)</f>
        <v/>
      </c>
      <c r="X146" s="476" t="str">
        <f>IF($AC$146="","",$X$144)</f>
        <v/>
      </c>
      <c r="Y146" s="477" t="str">
        <f>IF($X$146="","",$Y$144)</f>
        <v/>
      </c>
      <c r="Z146" s="477" t="str">
        <f>IF($X$146="","",$Z$144)</f>
        <v/>
      </c>
      <c r="AA146" s="477" t="str">
        <f>IF($AC$146="","",ROW($A$146)-ROW($A$144))</f>
        <v/>
      </c>
      <c r="AB146" s="478"/>
      <c r="AC146" s="34"/>
      <c r="AD146" s="356"/>
      <c r="AE146" s="479"/>
      <c r="AF146" s="475"/>
      <c r="AG146" s="480" t="str">
        <f t="shared" si="28"/>
        <v/>
      </c>
      <c r="AH146" s="481" t="str">
        <f t="shared" si="29"/>
        <v/>
      </c>
      <c r="AI146" s="477" t="str">
        <f>IF($AC$146="","",IFERROR(INDEX($AZ$74:$AZ$119,MATCH($AH$146,$AY$74:$AY$119,0)),"AUTRE"))</f>
        <v/>
      </c>
      <c r="AJ146" s="482" t="str">
        <f>IF($AC$146="","",IFERROR(INDEX($BA$74:$BA$119,MATCH($AH$146,$AY$74:$AY$119,0)),1))</f>
        <v/>
      </c>
      <c r="AK146" s="482" t="str">
        <f t="shared" si="30"/>
        <v/>
      </c>
      <c r="AL146" s="477" t="str">
        <f>IF($AC$146="","",IFERROR(INDEX($BB$74:$BB$119,MATCH($AH$146,$AY$74:$AY$119,0)),$AH$146))</f>
        <v/>
      </c>
      <c r="AM146" s="483" t="str">
        <f t="shared" si="31"/>
        <v/>
      </c>
      <c r="AN146" s="484" t="str">
        <f t="shared" si="32"/>
        <v/>
      </c>
      <c r="AO146" s="473" t="str">
        <f t="shared" si="33"/>
        <v/>
      </c>
      <c r="AP146" s="473" t="str">
        <f t="shared" si="34"/>
        <v/>
      </c>
      <c r="AQ146" s="473" t="str">
        <f t="shared" si="35"/>
        <v/>
      </c>
      <c r="AR146" s="473" t="str">
        <f t="shared" si="36"/>
        <v/>
      </c>
      <c r="AS146" s="473" t="str">
        <f t="shared" si="37"/>
        <v/>
      </c>
      <c r="AT146" s="473" t="str">
        <f t="shared" si="38"/>
        <v/>
      </c>
      <c r="AU146" s="473" t="str">
        <f t="shared" si="39"/>
        <v/>
      </c>
      <c r="AZ146" s="32" t="s">
        <v>318</v>
      </c>
      <c r="BA146" s="34" t="s">
        <v>6130</v>
      </c>
      <c r="BB146" s="500"/>
      <c r="BC146" s="271"/>
      <c r="BD146" s="279">
        <v>1</v>
      </c>
      <c r="BE146" s="271"/>
      <c r="BF146" s="271"/>
      <c r="BG146" s="271"/>
      <c r="BH146" s="271"/>
      <c r="BI146" s="271"/>
      <c r="BJ146" s="271"/>
      <c r="BK146" s="271"/>
      <c r="BL146" s="271"/>
    </row>
    <row r="147" spans="18:64" ht="21" customHeight="1" x14ac:dyDescent="0.25">
      <c r="R147" s="34" t="s">
        <v>479</v>
      </c>
      <c r="S147" s="451"/>
      <c r="T147" s="31" t="s">
        <v>31</v>
      </c>
      <c r="V147" s="475">
        <v>3</v>
      </c>
      <c r="W147" s="475" t="str">
        <f>IF($AC$147="","",$W$144)</f>
        <v/>
      </c>
      <c r="X147" s="476" t="str">
        <f>IF($AC$147="","",$X$144)</f>
        <v/>
      </c>
      <c r="Y147" s="477" t="str">
        <f>IF($X$147="","",$Y$144)</f>
        <v/>
      </c>
      <c r="Z147" s="477" t="str">
        <f>IF($X$147="","",$Z$144)</f>
        <v/>
      </c>
      <c r="AA147" s="477" t="str">
        <f>IF($AC$147="","",ROW($A$147)-ROW($A$144))</f>
        <v/>
      </c>
      <c r="AB147" s="478"/>
      <c r="AC147" s="34"/>
      <c r="AD147" s="356"/>
      <c r="AE147" s="479"/>
      <c r="AF147" s="475"/>
      <c r="AG147" s="480" t="str">
        <f t="shared" si="28"/>
        <v/>
      </c>
      <c r="AH147" s="481" t="str">
        <f t="shared" si="29"/>
        <v/>
      </c>
      <c r="AI147" s="477" t="str">
        <f>IF($AC$147="","",IFERROR(INDEX($AZ$74:$AZ$119,MATCH($AH$147,$AY$74:$AY$119,0)),"AUTRE"))</f>
        <v/>
      </c>
      <c r="AJ147" s="482" t="str">
        <f>IF($AC$147="","",IFERROR(INDEX($BA$74:$BA$119,MATCH($AH$147,$AY$74:$AY$119,0)),1))</f>
        <v/>
      </c>
      <c r="AK147" s="482" t="str">
        <f t="shared" si="30"/>
        <v/>
      </c>
      <c r="AL147" s="477" t="str">
        <f>IF($AC$147="","",IFERROR(INDEX($BB$74:$BB$119,MATCH($AH$147,$AY$74:$AY$119,0)),$AH$147))</f>
        <v/>
      </c>
      <c r="AM147" s="483" t="str">
        <f t="shared" si="31"/>
        <v/>
      </c>
      <c r="AN147" s="484" t="str">
        <f t="shared" si="32"/>
        <v/>
      </c>
      <c r="AO147" s="473" t="str">
        <f t="shared" si="33"/>
        <v/>
      </c>
      <c r="AP147" s="473" t="str">
        <f t="shared" si="34"/>
        <v/>
      </c>
      <c r="AQ147" s="473" t="str">
        <f t="shared" si="35"/>
        <v/>
      </c>
      <c r="AR147" s="473" t="str">
        <f t="shared" si="36"/>
        <v/>
      </c>
      <c r="AS147" s="473" t="str">
        <f t="shared" si="37"/>
        <v/>
      </c>
      <c r="AT147" s="473" t="str">
        <f t="shared" si="38"/>
        <v/>
      </c>
      <c r="AU147" s="473" t="str">
        <f t="shared" si="39"/>
        <v/>
      </c>
      <c r="AZ147" s="32" t="s">
        <v>316</v>
      </c>
      <c r="BA147" s="34" t="s">
        <v>486</v>
      </c>
      <c r="BB147" s="500"/>
      <c r="BC147" s="271"/>
      <c r="BD147" s="279">
        <v>1</v>
      </c>
      <c r="BE147" s="271"/>
      <c r="BF147" s="271"/>
      <c r="BG147" s="271"/>
      <c r="BH147" s="271"/>
      <c r="BI147" s="271"/>
      <c r="BJ147" s="271"/>
      <c r="BK147" s="271"/>
      <c r="BL147" s="271"/>
    </row>
    <row r="148" spans="18:64" ht="21" customHeight="1" x14ac:dyDescent="0.25">
      <c r="R148" s="34" t="s">
        <v>6131</v>
      </c>
      <c r="S148" s="451"/>
      <c r="T148" s="32" t="s">
        <v>33</v>
      </c>
      <c r="V148" s="475">
        <v>3</v>
      </c>
      <c r="W148" s="475" t="str">
        <f>IF($AC$148="","",$W$144)</f>
        <v/>
      </c>
      <c r="X148" s="476" t="str">
        <f>IF($AC$148="","",$X$144)</f>
        <v/>
      </c>
      <c r="Y148" s="477" t="str">
        <f>IF($X$148="","",$Y$144)</f>
        <v/>
      </c>
      <c r="Z148" s="477" t="str">
        <f>IF($X$148="","",$Z$144)</f>
        <v/>
      </c>
      <c r="AA148" s="477" t="str">
        <f>IF($AC$148="","",ROW($A$148)-ROW($A$144))</f>
        <v/>
      </c>
      <c r="AB148" s="478"/>
      <c r="AC148" s="34"/>
      <c r="AD148" s="356"/>
      <c r="AE148" s="479"/>
      <c r="AF148" s="475"/>
      <c r="AG148" s="480" t="str">
        <f t="shared" si="28"/>
        <v/>
      </c>
      <c r="AH148" s="481" t="str">
        <f t="shared" si="29"/>
        <v/>
      </c>
      <c r="AI148" s="477" t="str">
        <f>IF($AC$148="","",IFERROR(INDEX($AZ$74:$AZ$119,MATCH($AH$148,$AY$74:$AY$119,0)),"AUTRE"))</f>
        <v/>
      </c>
      <c r="AJ148" s="482" t="str">
        <f>IF($AC$148="","",IFERROR(INDEX($BA$74:$BA$119,MATCH($AH$148,$AY$74:$AY$119,0)),1))</f>
        <v/>
      </c>
      <c r="AK148" s="482" t="str">
        <f t="shared" si="30"/>
        <v/>
      </c>
      <c r="AL148" s="477" t="str">
        <f>IF($AC$148="","",IFERROR(INDEX($BB$74:$BB$119,MATCH($AH$148,$AY$74:$AY$119,0)),$AH$148))</f>
        <v/>
      </c>
      <c r="AM148" s="483" t="str">
        <f t="shared" si="31"/>
        <v/>
      </c>
      <c r="AN148" s="484" t="str">
        <f t="shared" si="32"/>
        <v/>
      </c>
      <c r="AO148" s="473" t="str">
        <f t="shared" si="33"/>
        <v/>
      </c>
      <c r="AP148" s="473" t="str">
        <f t="shared" si="34"/>
        <v/>
      </c>
      <c r="AQ148" s="473" t="str">
        <f t="shared" si="35"/>
        <v/>
      </c>
      <c r="AR148" s="473" t="str">
        <f t="shared" si="36"/>
        <v/>
      </c>
      <c r="AS148" s="473" t="str">
        <f t="shared" si="37"/>
        <v/>
      </c>
      <c r="AT148" s="473" t="str">
        <f t="shared" si="38"/>
        <v/>
      </c>
      <c r="AU148" s="473" t="str">
        <f t="shared" si="39"/>
        <v/>
      </c>
      <c r="AZ148" s="32" t="s">
        <v>313</v>
      </c>
      <c r="BA148" s="34" t="s">
        <v>479</v>
      </c>
      <c r="BB148" s="500"/>
      <c r="BC148" s="271"/>
      <c r="BD148" s="279">
        <v>1</v>
      </c>
      <c r="BE148" s="271"/>
      <c r="BF148" s="271"/>
      <c r="BG148" s="271"/>
      <c r="BH148" s="271"/>
      <c r="BI148" s="271"/>
      <c r="BJ148" s="271"/>
      <c r="BK148" s="271"/>
      <c r="BL148" s="271"/>
    </row>
    <row r="149" spans="18:64" ht="21" customHeight="1" x14ac:dyDescent="0.25">
      <c r="R149" s="34" t="s">
        <v>485</v>
      </c>
      <c r="S149" s="451"/>
      <c r="T149" s="32" t="s">
        <v>8125</v>
      </c>
      <c r="V149" s="475">
        <v>3</v>
      </c>
      <c r="W149" s="475" t="str">
        <f>IF($AC$149="","",$W$144)</f>
        <v/>
      </c>
      <c r="X149" s="476" t="str">
        <f>IF($AC$149="","",$X$144)</f>
        <v/>
      </c>
      <c r="Y149" s="477" t="str">
        <f>IF($X$149="","",$Y$144)</f>
        <v/>
      </c>
      <c r="Z149" s="477" t="str">
        <f>IF($X$149="","",$Z$144)</f>
        <v/>
      </c>
      <c r="AA149" s="477" t="str">
        <f>IF($AC$149="","",ROW($A$149)-ROW($A$144))</f>
        <v/>
      </c>
      <c r="AB149" s="478"/>
      <c r="AC149" s="34"/>
      <c r="AD149" s="356"/>
      <c r="AE149" s="479"/>
      <c r="AF149" s="475"/>
      <c r="AG149" s="480" t="str">
        <f t="shared" si="28"/>
        <v/>
      </c>
      <c r="AH149" s="481" t="str">
        <f t="shared" si="29"/>
        <v/>
      </c>
      <c r="AI149" s="477" t="str">
        <f>IF($AC$149="","",IFERROR(INDEX($AZ$74:$AZ$119,MATCH($AH$149,$AY$74:$AY$119,0)),"AUTRE"))</f>
        <v/>
      </c>
      <c r="AJ149" s="482" t="str">
        <f>IF($AC$149="","",IFERROR(INDEX($BA$74:$BA$119,MATCH($AH$149,$AY$74:$AY$119,0)),1))</f>
        <v/>
      </c>
      <c r="AK149" s="482" t="str">
        <f t="shared" si="30"/>
        <v/>
      </c>
      <c r="AL149" s="477" t="str">
        <f>IF($AC$149="","",IFERROR(INDEX($BB$74:$BB$119,MATCH($AH$149,$AY$74:$AY$119,0)),$AH$149))</f>
        <v/>
      </c>
      <c r="AM149" s="483" t="str">
        <f t="shared" si="31"/>
        <v/>
      </c>
      <c r="AN149" s="484" t="str">
        <f t="shared" si="32"/>
        <v/>
      </c>
      <c r="AO149" s="473" t="str">
        <f t="shared" si="33"/>
        <v/>
      </c>
      <c r="AP149" s="473" t="str">
        <f t="shared" si="34"/>
        <v/>
      </c>
      <c r="AQ149" s="473" t="str">
        <f t="shared" si="35"/>
        <v/>
      </c>
      <c r="AR149" s="473" t="str">
        <f t="shared" si="36"/>
        <v/>
      </c>
      <c r="AS149" s="473" t="str">
        <f t="shared" si="37"/>
        <v/>
      </c>
      <c r="AT149" s="473" t="str">
        <f t="shared" si="38"/>
        <v/>
      </c>
      <c r="AU149" s="473" t="str">
        <f t="shared" si="39"/>
        <v/>
      </c>
      <c r="AZ149" s="32" t="s">
        <v>307</v>
      </c>
      <c r="BA149" s="34" t="s">
        <v>6131</v>
      </c>
      <c r="BB149" s="500"/>
      <c r="BC149" s="271"/>
      <c r="BD149" s="279">
        <v>1</v>
      </c>
      <c r="BE149" s="271"/>
      <c r="BF149" s="271"/>
      <c r="BG149" s="271"/>
      <c r="BH149" s="271"/>
      <c r="BI149" s="271"/>
      <c r="BJ149" s="271"/>
      <c r="BK149" s="271"/>
      <c r="BL149" s="271"/>
    </row>
    <row r="150" spans="18:64" ht="21" customHeight="1" x14ac:dyDescent="0.25">
      <c r="R150" s="34" t="s">
        <v>6132</v>
      </c>
      <c r="S150" s="451"/>
      <c r="T150" s="32" t="s">
        <v>8127</v>
      </c>
      <c r="V150" s="475">
        <v>3</v>
      </c>
      <c r="W150" s="475" t="str">
        <f>IF($AC$150="","",$W$144)</f>
        <v/>
      </c>
      <c r="X150" s="476" t="str">
        <f>IF($AC$150="","",$X$144)</f>
        <v/>
      </c>
      <c r="Y150" s="477" t="str">
        <f>IF($X$150="","",$Y$144)</f>
        <v/>
      </c>
      <c r="Z150" s="477" t="str">
        <f>IF($X$150="","",$Z$144)</f>
        <v/>
      </c>
      <c r="AA150" s="477" t="str">
        <f>IF($AC$150="","",ROW($A$150)-ROW($A$144))</f>
        <v/>
      </c>
      <c r="AB150" s="478"/>
      <c r="AC150" s="34"/>
      <c r="AD150" s="356"/>
      <c r="AE150" s="479"/>
      <c r="AF150" s="475"/>
      <c r="AG150" s="480" t="str">
        <f t="shared" si="28"/>
        <v/>
      </c>
      <c r="AH150" s="481" t="str">
        <f t="shared" si="29"/>
        <v/>
      </c>
      <c r="AI150" s="477" t="str">
        <f>IF($AC$150="","",IFERROR(INDEX($AZ$74:$AZ$119,MATCH($AH$150,$AY$74:$AY$119,0)),"AUTRE"))</f>
        <v/>
      </c>
      <c r="AJ150" s="482" t="str">
        <f>IF($AC$150="","",IFERROR(INDEX($BA$74:$BA$119,MATCH($AH$150,$AY$74:$AY$119,0)),1))</f>
        <v/>
      </c>
      <c r="AK150" s="482" t="str">
        <f t="shared" si="30"/>
        <v/>
      </c>
      <c r="AL150" s="477" t="str">
        <f>IF($AC$150="","",IFERROR(INDEX($BB$74:$BB$119,MATCH($AH$150,$AY$74:$AY$119,0)),$AH$150))</f>
        <v/>
      </c>
      <c r="AM150" s="483" t="str">
        <f t="shared" si="31"/>
        <v/>
      </c>
      <c r="AN150" s="484" t="str">
        <f t="shared" si="32"/>
        <v/>
      </c>
      <c r="AO150" s="473" t="str">
        <f t="shared" si="33"/>
        <v/>
      </c>
      <c r="AP150" s="473" t="str">
        <f t="shared" si="34"/>
        <v/>
      </c>
      <c r="AQ150" s="473" t="str">
        <f t="shared" si="35"/>
        <v/>
      </c>
      <c r="AR150" s="473" t="str">
        <f t="shared" si="36"/>
        <v/>
      </c>
      <c r="AS150" s="473" t="str">
        <f t="shared" si="37"/>
        <v/>
      </c>
      <c r="AT150" s="473" t="str">
        <f t="shared" si="38"/>
        <v/>
      </c>
      <c r="AU150" s="473" t="str">
        <f t="shared" si="39"/>
        <v/>
      </c>
      <c r="AZ150" s="32" t="s">
        <v>322</v>
      </c>
      <c r="BA150" s="34" t="s">
        <v>485</v>
      </c>
      <c r="BB150" s="500"/>
      <c r="BC150" s="271"/>
      <c r="BD150" s="279">
        <v>1</v>
      </c>
      <c r="BE150" s="271"/>
      <c r="BF150" s="271"/>
      <c r="BG150" s="271"/>
      <c r="BH150" s="271"/>
      <c r="BI150" s="271"/>
      <c r="BJ150" s="271"/>
      <c r="BK150" s="271"/>
      <c r="BL150" s="271"/>
    </row>
    <row r="151" spans="18:64" ht="21" customHeight="1" x14ac:dyDescent="0.25">
      <c r="R151" s="25" t="s">
        <v>6133</v>
      </c>
      <c r="S151" s="451"/>
      <c r="T151" s="32" t="s">
        <v>320</v>
      </c>
      <c r="V151" s="475">
        <v>3</v>
      </c>
      <c r="W151" s="475" t="str">
        <f>IF($AC$151="","",$W$144)</f>
        <v/>
      </c>
      <c r="X151" s="476" t="str">
        <f>IF($AC$151="","",$X$144)</f>
        <v/>
      </c>
      <c r="Y151" s="477" t="str">
        <f>IF($X$151="","",$Y$144)</f>
        <v/>
      </c>
      <c r="Z151" s="477" t="str">
        <f>IF($X$151="","",$Z$144)</f>
        <v/>
      </c>
      <c r="AA151" s="477" t="str">
        <f>IF($AC$151="","",ROW($A$151)-ROW($A$144))</f>
        <v/>
      </c>
      <c r="AB151" s="478"/>
      <c r="AC151" s="34"/>
      <c r="AD151" s="356"/>
      <c r="AE151" s="479"/>
      <c r="AF151" s="475"/>
      <c r="AG151" s="480" t="str">
        <f t="shared" si="28"/>
        <v/>
      </c>
      <c r="AH151" s="481" t="str">
        <f t="shared" si="29"/>
        <v/>
      </c>
      <c r="AI151" s="477" t="str">
        <f>IF($AC$151="","",IFERROR(INDEX($AZ$74:$AZ$119,MATCH($AH$151,$AY$74:$AY$119,0)),"AUTRE"))</f>
        <v/>
      </c>
      <c r="AJ151" s="482" t="str">
        <f>IF($AC$151="","",IFERROR(INDEX($BA$74:$BA$119,MATCH($AH$151,$AY$74:$AY$119,0)),1))</f>
        <v/>
      </c>
      <c r="AK151" s="482" t="str">
        <f t="shared" si="30"/>
        <v/>
      </c>
      <c r="AL151" s="477" t="str">
        <f>IF($AC$151="","",IFERROR(INDEX($BB$74:$BB$119,MATCH($AH$151,$AY$74:$AY$119,0)),$AH$151))</f>
        <v/>
      </c>
      <c r="AM151" s="483" t="str">
        <f t="shared" si="31"/>
        <v/>
      </c>
      <c r="AN151" s="484" t="str">
        <f t="shared" si="32"/>
        <v/>
      </c>
      <c r="AO151" s="473" t="str">
        <f t="shared" si="33"/>
        <v/>
      </c>
      <c r="AP151" s="473" t="str">
        <f t="shared" si="34"/>
        <v/>
      </c>
      <c r="AQ151" s="473" t="str">
        <f t="shared" si="35"/>
        <v/>
      </c>
      <c r="AR151" s="473" t="str">
        <f t="shared" si="36"/>
        <v/>
      </c>
      <c r="AS151" s="473" t="str">
        <f t="shared" si="37"/>
        <v/>
      </c>
      <c r="AT151" s="473" t="str">
        <f t="shared" si="38"/>
        <v/>
      </c>
      <c r="AU151" s="473" t="str">
        <f t="shared" si="39"/>
        <v/>
      </c>
      <c r="AZ151" s="32" t="s">
        <v>305</v>
      </c>
      <c r="BA151" s="34" t="s">
        <v>6132</v>
      </c>
      <c r="BB151" s="500"/>
      <c r="BC151" s="271"/>
      <c r="BD151" s="279">
        <v>1</v>
      </c>
      <c r="BE151" s="271"/>
      <c r="BF151" s="271"/>
      <c r="BG151" s="271"/>
      <c r="BH151" s="271"/>
      <c r="BI151" s="271"/>
      <c r="BJ151" s="271"/>
      <c r="BK151" s="271"/>
      <c r="BL151" s="271"/>
    </row>
    <row r="152" spans="18:64" ht="21" customHeight="1" x14ac:dyDescent="0.25">
      <c r="R152" s="34" t="s">
        <v>476</v>
      </c>
      <c r="S152" s="451"/>
      <c r="T152" s="32" t="s">
        <v>318</v>
      </c>
      <c r="V152" s="475">
        <v>3</v>
      </c>
      <c r="W152" s="475" t="str">
        <f>IF($AC$152="","",$W$144)</f>
        <v/>
      </c>
      <c r="X152" s="476" t="str">
        <f>IF($AC$152="","",$X$144)</f>
        <v/>
      </c>
      <c r="Y152" s="477" t="str">
        <f>IF($X$152="","",$Y$144)</f>
        <v/>
      </c>
      <c r="Z152" s="477" t="str">
        <f>IF($X$152="","",$Z$144)</f>
        <v/>
      </c>
      <c r="AA152" s="477" t="str">
        <f>IF($AC$152="","",ROW($A$152)-ROW($A$144))</f>
        <v/>
      </c>
      <c r="AB152" s="478"/>
      <c r="AC152" s="34"/>
      <c r="AD152" s="356"/>
      <c r="AE152" s="479"/>
      <c r="AF152" s="475"/>
      <c r="AG152" s="480" t="str">
        <f t="shared" si="28"/>
        <v/>
      </c>
      <c r="AH152" s="481" t="str">
        <f t="shared" si="29"/>
        <v/>
      </c>
      <c r="AI152" s="477" t="str">
        <f>IF($AC$152="","",IFERROR(INDEX($AZ$74:$AZ$119,MATCH($AH$152,$AY$74:$AY$119,0)),"AUTRE"))</f>
        <v/>
      </c>
      <c r="AJ152" s="482" t="str">
        <f>IF($AC$152="","",IFERROR(INDEX($BA$74:$BA$119,MATCH($AH$152,$AY$74:$AY$119,0)),1))</f>
        <v/>
      </c>
      <c r="AK152" s="482" t="str">
        <f t="shared" si="30"/>
        <v/>
      </c>
      <c r="AL152" s="477" t="str">
        <f>IF($AC$152="","",IFERROR(INDEX($BB$74:$BB$119,MATCH($AH$152,$AY$74:$AY$119,0)),$AH$152))</f>
        <v/>
      </c>
      <c r="AM152" s="483" t="str">
        <f t="shared" si="31"/>
        <v/>
      </c>
      <c r="AN152" s="484" t="str">
        <f t="shared" si="32"/>
        <v/>
      </c>
      <c r="AO152" s="473" t="str">
        <f t="shared" si="33"/>
        <v/>
      </c>
      <c r="AP152" s="473" t="str">
        <f t="shared" si="34"/>
        <v/>
      </c>
      <c r="AQ152" s="473" t="str">
        <f t="shared" si="35"/>
        <v/>
      </c>
      <c r="AR152" s="473" t="str">
        <f t="shared" si="36"/>
        <v/>
      </c>
      <c r="AS152" s="473" t="str">
        <f t="shared" si="37"/>
        <v/>
      </c>
      <c r="AT152" s="473" t="str">
        <f t="shared" si="38"/>
        <v/>
      </c>
      <c r="AU152" s="473" t="str">
        <f t="shared" si="39"/>
        <v/>
      </c>
      <c r="AZ152" s="32" t="s">
        <v>8129</v>
      </c>
      <c r="BA152" s="25" t="s">
        <v>6133</v>
      </c>
      <c r="BB152" s="500"/>
      <c r="BC152" s="271"/>
      <c r="BD152" s="279">
        <v>1</v>
      </c>
      <c r="BE152" s="271"/>
      <c r="BF152" s="271"/>
      <c r="BG152" s="271"/>
      <c r="BH152" s="271"/>
      <c r="BI152" s="271"/>
      <c r="BJ152" s="271"/>
      <c r="BK152" s="271"/>
      <c r="BL152" s="271"/>
    </row>
    <row r="153" spans="18:64" ht="21" customHeight="1" x14ac:dyDescent="0.25">
      <c r="R153" s="34" t="s">
        <v>468</v>
      </c>
      <c r="S153" s="451"/>
      <c r="T153" s="32" t="s">
        <v>316</v>
      </c>
      <c r="V153" s="475">
        <v>3</v>
      </c>
      <c r="W153" s="475" t="str">
        <f>IF($AC$153="","",$W$144)</f>
        <v/>
      </c>
      <c r="X153" s="476" t="str">
        <f>IF($AC$153="","",$X$144)</f>
        <v/>
      </c>
      <c r="Y153" s="477" t="str">
        <f>IF($X$153="","",$Y$144)</f>
        <v/>
      </c>
      <c r="Z153" s="477" t="str">
        <f>IF($X$153="","",$Z$144)</f>
        <v/>
      </c>
      <c r="AA153" s="477" t="str">
        <f>IF($AC$153="","",ROW($A$153)-ROW($A$144))</f>
        <v/>
      </c>
      <c r="AB153" s="478"/>
      <c r="AC153" s="34"/>
      <c r="AD153" s="356"/>
      <c r="AE153" s="479"/>
      <c r="AF153" s="475"/>
      <c r="AG153" s="480" t="str">
        <f t="shared" si="28"/>
        <v/>
      </c>
      <c r="AH153" s="481" t="str">
        <f t="shared" si="29"/>
        <v/>
      </c>
      <c r="AI153" s="477" t="str">
        <f>IF($AC$153="","",IFERROR(INDEX($AZ$74:$AZ$119,MATCH($AH$153,$AY$74:$AY$119,0)),"AUTRE"))</f>
        <v/>
      </c>
      <c r="AJ153" s="482" t="str">
        <f>IF($AC$153="","",IFERROR(INDEX($BA$74:$BA$119,MATCH($AH$153,$AY$74:$AY$119,0)),1))</f>
        <v/>
      </c>
      <c r="AK153" s="482" t="str">
        <f t="shared" si="30"/>
        <v/>
      </c>
      <c r="AL153" s="477" t="str">
        <f>IF($AC$153="","",IFERROR(INDEX($BB$74:$BB$119,MATCH($AH$153,$AY$74:$AY$119,0)),$AH$153))</f>
        <v/>
      </c>
      <c r="AM153" s="483" t="str">
        <f t="shared" si="31"/>
        <v/>
      </c>
      <c r="AN153" s="484" t="str">
        <f t="shared" si="32"/>
        <v/>
      </c>
      <c r="AO153" s="473" t="str">
        <f t="shared" si="33"/>
        <v/>
      </c>
      <c r="AP153" s="473" t="str">
        <f t="shared" si="34"/>
        <v/>
      </c>
      <c r="AQ153" s="473" t="str">
        <f t="shared" si="35"/>
        <v/>
      </c>
      <c r="AR153" s="473" t="str">
        <f t="shared" si="36"/>
        <v/>
      </c>
      <c r="AS153" s="473" t="str">
        <f t="shared" si="37"/>
        <v/>
      </c>
      <c r="AT153" s="473" t="str">
        <f t="shared" si="38"/>
        <v/>
      </c>
      <c r="AU153" s="473" t="str">
        <f t="shared" si="39"/>
        <v/>
      </c>
      <c r="AZ153" s="32" t="s">
        <v>8131</v>
      </c>
      <c r="BA153" s="34" t="s">
        <v>476</v>
      </c>
      <c r="BB153" s="500"/>
      <c r="BC153" s="271"/>
      <c r="BD153" s="279">
        <v>1</v>
      </c>
      <c r="BE153" s="271"/>
      <c r="BF153" s="271"/>
      <c r="BG153" s="271"/>
      <c r="BH153" s="271"/>
      <c r="BI153" s="271"/>
      <c r="BJ153" s="271"/>
      <c r="BK153" s="271"/>
      <c r="BL153" s="271"/>
    </row>
    <row r="154" spans="18:64" ht="21" customHeight="1" x14ac:dyDescent="0.25">
      <c r="R154" s="34" t="s">
        <v>473</v>
      </c>
      <c r="S154" s="451"/>
      <c r="T154" s="32" t="s">
        <v>313</v>
      </c>
      <c r="V154" s="475">
        <v>3</v>
      </c>
      <c r="W154" s="475" t="str">
        <f>IF($AC$154="","",$W$144)</f>
        <v/>
      </c>
      <c r="X154" s="476" t="str">
        <f>IF($AC$154="","",$X$144)</f>
        <v/>
      </c>
      <c r="Y154" s="477" t="str">
        <f>IF($X$154="","",$Y$144)</f>
        <v/>
      </c>
      <c r="Z154" s="477" t="str">
        <f>IF($X$154="","",$Z$144)</f>
        <v/>
      </c>
      <c r="AA154" s="477" t="str">
        <f>IF($AC$154="","",ROW($A$154)-ROW($A$144))</f>
        <v/>
      </c>
      <c r="AB154" s="478"/>
      <c r="AC154" s="34"/>
      <c r="AD154" s="356"/>
      <c r="AE154" s="479"/>
      <c r="AF154" s="475"/>
      <c r="AG154" s="480" t="str">
        <f t="shared" si="28"/>
        <v/>
      </c>
      <c r="AH154" s="481" t="str">
        <f t="shared" si="29"/>
        <v/>
      </c>
      <c r="AI154" s="477" t="str">
        <f>IF($AC$154="","",IFERROR(INDEX($AZ$74:$AZ$119,MATCH($AH$154,$AY$74:$AY$119,0)),"AUTRE"))</f>
        <v/>
      </c>
      <c r="AJ154" s="482" t="str">
        <f>IF($AC$154="","",IFERROR(INDEX($BA$74:$BA$119,MATCH($AH$154,$AY$74:$AY$119,0)),1))</f>
        <v/>
      </c>
      <c r="AK154" s="482" t="str">
        <f t="shared" si="30"/>
        <v/>
      </c>
      <c r="AL154" s="477" t="str">
        <f>IF($AC$154="","",IFERROR(INDEX($BB$74:$BB$119,MATCH($AH$154,$AY$74:$AY$119,0)),$AH$154))</f>
        <v/>
      </c>
      <c r="AM154" s="483" t="str">
        <f t="shared" si="31"/>
        <v/>
      </c>
      <c r="AN154" s="484" t="str">
        <f t="shared" si="32"/>
        <v/>
      </c>
      <c r="AO154" s="473" t="str">
        <f t="shared" si="33"/>
        <v/>
      </c>
      <c r="AP154" s="473" t="str">
        <f t="shared" si="34"/>
        <v/>
      </c>
      <c r="AQ154" s="473" t="str">
        <f t="shared" si="35"/>
        <v/>
      </c>
      <c r="AR154" s="473" t="str">
        <f t="shared" si="36"/>
        <v/>
      </c>
      <c r="AS154" s="473" t="str">
        <f t="shared" si="37"/>
        <v/>
      </c>
      <c r="AT154" s="473" t="str">
        <f t="shared" si="38"/>
        <v/>
      </c>
      <c r="AU154" s="473" t="str">
        <f t="shared" si="39"/>
        <v/>
      </c>
      <c r="AZ154" s="32" t="s">
        <v>309</v>
      </c>
      <c r="BA154" s="34" t="s">
        <v>468</v>
      </c>
      <c r="BB154" s="500"/>
      <c r="BC154" s="271"/>
      <c r="BD154" s="279">
        <v>1</v>
      </c>
      <c r="BE154" s="271"/>
      <c r="BF154" s="271"/>
      <c r="BG154" s="271"/>
      <c r="BH154" s="271"/>
      <c r="BI154" s="271"/>
      <c r="BJ154" s="271"/>
      <c r="BK154" s="271"/>
      <c r="BL154" s="271"/>
    </row>
    <row r="155" spans="18:64" ht="21" customHeight="1" x14ac:dyDescent="0.25">
      <c r="R155" s="34" t="s">
        <v>497</v>
      </c>
      <c r="S155" s="451"/>
      <c r="T155" s="32" t="s">
        <v>307</v>
      </c>
      <c r="V155" s="475">
        <v>3</v>
      </c>
      <c r="W155" s="475" t="str">
        <f>IF($AC$155="","",$W$144)</f>
        <v/>
      </c>
      <c r="X155" s="476" t="str">
        <f>IF($AC$155="","",$X$144)</f>
        <v/>
      </c>
      <c r="Y155" s="477" t="str">
        <f>IF($X$155="","",$Y$144)</f>
        <v/>
      </c>
      <c r="Z155" s="477" t="str">
        <f>IF($X$155="","",$Z$144)</f>
        <v/>
      </c>
      <c r="AA155" s="477" t="str">
        <f>IF($AC$155="","",ROW($A$155)-ROW($A$144))</f>
        <v/>
      </c>
      <c r="AB155" s="478"/>
      <c r="AC155" s="34"/>
      <c r="AD155" s="356"/>
      <c r="AE155" s="479"/>
      <c r="AF155" s="475"/>
      <c r="AG155" s="480" t="str">
        <f t="shared" si="28"/>
        <v/>
      </c>
      <c r="AH155" s="481" t="str">
        <f t="shared" si="29"/>
        <v/>
      </c>
      <c r="AI155" s="477" t="str">
        <f>IF($AC$155="","",IFERROR(INDEX($AZ$74:$AZ$119,MATCH($AH$155,$AY$74:$AY$119,0)),"AUTRE"))</f>
        <v/>
      </c>
      <c r="AJ155" s="482" t="str">
        <f>IF($AC$155="","",IFERROR(INDEX($BA$74:$BA$119,MATCH($AH$155,$AY$74:$AY$119,0)),1))</f>
        <v/>
      </c>
      <c r="AK155" s="482" t="str">
        <f t="shared" si="30"/>
        <v/>
      </c>
      <c r="AL155" s="477" t="str">
        <f>IF($AC$155="","",IFERROR(INDEX($BB$74:$BB$119,MATCH($AH$155,$AY$74:$AY$119,0)),$AH$155))</f>
        <v/>
      </c>
      <c r="AM155" s="483" t="str">
        <f t="shared" si="31"/>
        <v/>
      </c>
      <c r="AN155" s="484" t="str">
        <f t="shared" si="32"/>
        <v/>
      </c>
      <c r="AO155" s="473" t="str">
        <f t="shared" si="33"/>
        <v/>
      </c>
      <c r="AP155" s="473" t="str">
        <f t="shared" si="34"/>
        <v/>
      </c>
      <c r="AQ155" s="473" t="str">
        <f t="shared" si="35"/>
        <v/>
      </c>
      <c r="AR155" s="473" t="str">
        <f t="shared" si="36"/>
        <v/>
      </c>
      <c r="AS155" s="473" t="str">
        <f t="shared" si="37"/>
        <v/>
      </c>
      <c r="AT155" s="473" t="str">
        <f t="shared" si="38"/>
        <v/>
      </c>
      <c r="AU155" s="473" t="str">
        <f t="shared" si="39"/>
        <v/>
      </c>
      <c r="AZ155" s="32" t="s">
        <v>311</v>
      </c>
      <c r="BA155" s="34" t="s">
        <v>473</v>
      </c>
      <c r="BB155" s="500"/>
      <c r="BC155" s="271"/>
      <c r="BD155" s="279">
        <v>1</v>
      </c>
      <c r="BE155" s="271"/>
      <c r="BF155" s="271"/>
      <c r="BG155" s="271"/>
      <c r="BH155" s="271"/>
      <c r="BI155" s="271"/>
      <c r="BJ155" s="271"/>
      <c r="BK155" s="271"/>
      <c r="BL155" s="271"/>
    </row>
    <row r="156" spans="18:64" ht="21" customHeight="1" x14ac:dyDescent="0.25">
      <c r="R156" s="34" t="s">
        <v>470</v>
      </c>
      <c r="S156" s="451"/>
      <c r="T156" s="32" t="s">
        <v>322</v>
      </c>
      <c r="V156" s="475">
        <v>3</v>
      </c>
      <c r="W156" s="475" t="str">
        <f>IF($AC$156="","",$W$144)</f>
        <v/>
      </c>
      <c r="X156" s="476" t="str">
        <f>IF($AC$156="","",$X$144)</f>
        <v/>
      </c>
      <c r="Y156" s="477" t="str">
        <f>IF($X$156="","",$Y$144)</f>
        <v/>
      </c>
      <c r="Z156" s="477" t="str">
        <f>IF($X$156="","",$Z$144)</f>
        <v/>
      </c>
      <c r="AA156" s="477" t="str">
        <f>IF($AC$156="","",ROW($A$156)-ROW($A$144))</f>
        <v/>
      </c>
      <c r="AB156" s="478"/>
      <c r="AC156" s="34"/>
      <c r="AD156" s="356"/>
      <c r="AE156" s="479"/>
      <c r="AF156" s="475"/>
      <c r="AG156" s="480" t="str">
        <f t="shared" si="28"/>
        <v/>
      </c>
      <c r="AH156" s="481" t="str">
        <f t="shared" si="29"/>
        <v/>
      </c>
      <c r="AI156" s="477" t="str">
        <f>IF($AC$156="","",IFERROR(INDEX($AZ$74:$AZ$119,MATCH($AH$156,$AY$74:$AY$119,0)),"AUTRE"))</f>
        <v/>
      </c>
      <c r="AJ156" s="482" t="str">
        <f>IF($AC$156="","",IFERROR(INDEX($BA$74:$BA$119,MATCH($AH$156,$AY$74:$AY$119,0)),1))</f>
        <v/>
      </c>
      <c r="AK156" s="482" t="str">
        <f t="shared" si="30"/>
        <v/>
      </c>
      <c r="AL156" s="477" t="str">
        <f>IF($AC$156="","",IFERROR(INDEX($BB$74:$BB$119,MATCH($AH$156,$AY$74:$AY$119,0)),$AH$156))</f>
        <v/>
      </c>
      <c r="AM156" s="483" t="str">
        <f t="shared" si="31"/>
        <v/>
      </c>
      <c r="AN156" s="484" t="str">
        <f t="shared" si="32"/>
        <v/>
      </c>
      <c r="AO156" s="473" t="str">
        <f t="shared" si="33"/>
        <v/>
      </c>
      <c r="AP156" s="473" t="str">
        <f t="shared" si="34"/>
        <v/>
      </c>
      <c r="AQ156" s="473" t="str">
        <f t="shared" si="35"/>
        <v/>
      </c>
      <c r="AR156" s="473" t="str">
        <f t="shared" si="36"/>
        <v/>
      </c>
      <c r="AS156" s="473" t="str">
        <f t="shared" si="37"/>
        <v/>
      </c>
      <c r="AT156" s="473" t="str">
        <f t="shared" si="38"/>
        <v/>
      </c>
      <c r="AU156" s="473" t="str">
        <f t="shared" si="39"/>
        <v/>
      </c>
      <c r="AZ156" s="32" t="s">
        <v>8135</v>
      </c>
      <c r="BA156" s="34" t="s">
        <v>497</v>
      </c>
      <c r="BB156" s="500"/>
      <c r="BC156" s="271"/>
      <c r="BD156" s="279">
        <v>1</v>
      </c>
      <c r="BE156" s="271"/>
      <c r="BF156" s="271"/>
      <c r="BG156" s="271"/>
      <c r="BH156" s="271"/>
      <c r="BI156" s="271"/>
      <c r="BJ156" s="271"/>
      <c r="BK156" s="271"/>
      <c r="BL156" s="271"/>
    </row>
    <row r="157" spans="18:64" ht="21" customHeight="1" x14ac:dyDescent="0.25">
      <c r="R157" s="34" t="s">
        <v>477</v>
      </c>
      <c r="S157" s="451"/>
      <c r="T157" s="32" t="s">
        <v>305</v>
      </c>
      <c r="V157" s="475">
        <v>3</v>
      </c>
      <c r="W157" s="475" t="str">
        <f>IF($AC$157="","",$W$144)</f>
        <v/>
      </c>
      <c r="X157" s="476" t="str">
        <f>IF($AC$157="","",$X$144)</f>
        <v/>
      </c>
      <c r="Y157" s="477" t="str">
        <f>IF($X$157="","",$Y$144)</f>
        <v/>
      </c>
      <c r="Z157" s="477" t="str">
        <f>IF($X$157="","",$Z$144)</f>
        <v/>
      </c>
      <c r="AA157" s="477" t="str">
        <f>IF($AC$157="","",ROW($A$157)-ROW($A$144))</f>
        <v/>
      </c>
      <c r="AB157" s="478"/>
      <c r="AC157" s="34"/>
      <c r="AD157" s="356"/>
      <c r="AE157" s="479"/>
      <c r="AF157" s="475"/>
      <c r="AG157" s="480" t="str">
        <f t="shared" si="28"/>
        <v/>
      </c>
      <c r="AH157" s="481" t="str">
        <f t="shared" si="29"/>
        <v/>
      </c>
      <c r="AI157" s="477" t="str">
        <f>IF($AC$157="","",IFERROR(INDEX($AZ$74:$AZ$119,MATCH($AH$157,$AY$74:$AY$119,0)),"AUTRE"))</f>
        <v/>
      </c>
      <c r="AJ157" s="482" t="str">
        <f>IF($AC$157="","",IFERROR(INDEX($BA$74:$BA$119,MATCH($AH$157,$AY$74:$AY$119,0)),1))</f>
        <v/>
      </c>
      <c r="AK157" s="482" t="str">
        <f t="shared" si="30"/>
        <v/>
      </c>
      <c r="AL157" s="477" t="str">
        <f>IF($AC$157="","",IFERROR(INDEX($BB$74:$BB$119,MATCH($AH$157,$AY$74:$AY$119,0)),$AH$157))</f>
        <v/>
      </c>
      <c r="AM157" s="483" t="str">
        <f t="shared" si="31"/>
        <v/>
      </c>
      <c r="AN157" s="484" t="str">
        <f t="shared" si="32"/>
        <v/>
      </c>
      <c r="AO157" s="473" t="str">
        <f t="shared" si="33"/>
        <v/>
      </c>
      <c r="AP157" s="473" t="str">
        <f t="shared" si="34"/>
        <v/>
      </c>
      <c r="AQ157" s="473" t="str">
        <f t="shared" si="35"/>
        <v/>
      </c>
      <c r="AR157" s="473" t="str">
        <f t="shared" si="36"/>
        <v/>
      </c>
      <c r="AS157" s="473" t="str">
        <f t="shared" si="37"/>
        <v/>
      </c>
      <c r="AT157" s="473" t="str">
        <f t="shared" si="38"/>
        <v/>
      </c>
      <c r="AU157" s="473" t="str">
        <f t="shared" si="39"/>
        <v/>
      </c>
      <c r="AZ157" s="32" t="s">
        <v>8137</v>
      </c>
      <c r="BA157" s="34" t="s">
        <v>470</v>
      </c>
      <c r="BB157" s="500"/>
      <c r="BC157" s="271"/>
      <c r="BD157" s="279">
        <v>1</v>
      </c>
      <c r="BE157" s="271"/>
      <c r="BF157" s="271"/>
      <c r="BG157" s="271"/>
      <c r="BH157" s="271"/>
      <c r="BI157" s="271"/>
      <c r="BJ157" s="271"/>
      <c r="BK157" s="271"/>
      <c r="BL157" s="271"/>
    </row>
    <row r="158" spans="18:64" ht="21" customHeight="1" x14ac:dyDescent="0.25">
      <c r="S158" s="451"/>
      <c r="T158" s="32" t="s">
        <v>309</v>
      </c>
      <c r="V158" s="475">
        <v>3</v>
      </c>
      <c r="W158" s="475" t="str">
        <f>IF($AC$158="","",$W$144)</f>
        <v/>
      </c>
      <c r="X158" s="476" t="str">
        <f>IF($AC$158="","",$X$144)</f>
        <v/>
      </c>
      <c r="Y158" s="477" t="str">
        <f>IF($X$158="","",$Y$144)</f>
        <v/>
      </c>
      <c r="Z158" s="477" t="str">
        <f>IF($X$158="","",$Z$144)</f>
        <v/>
      </c>
      <c r="AA158" s="477" t="str">
        <f>IF($AC$158="","",ROW($A$158)-ROW($A$144))</f>
        <v/>
      </c>
      <c r="AB158" s="478"/>
      <c r="AC158" s="34"/>
      <c r="AD158" s="356"/>
      <c r="AE158" s="479"/>
      <c r="AF158" s="475"/>
      <c r="AG158" s="480" t="str">
        <f t="shared" si="28"/>
        <v/>
      </c>
      <c r="AH158" s="481" t="str">
        <f t="shared" si="29"/>
        <v/>
      </c>
      <c r="AI158" s="477" t="str">
        <f>IF($AC$158="","",IFERROR(INDEX($AZ$74:$AZ$119,MATCH($AH$158,$AY$74:$AY$119,0)),"AUTRE"))</f>
        <v/>
      </c>
      <c r="AJ158" s="482" t="str">
        <f>IF($AC$158="","",IFERROR(INDEX($BA$74:$BA$119,MATCH($AH$158,$AY$74:$AY$119,0)),1))</f>
        <v/>
      </c>
      <c r="AK158" s="482" t="str">
        <f t="shared" si="30"/>
        <v/>
      </c>
      <c r="AL158" s="477" t="str">
        <f>IF($AC$158="","",IFERROR(INDEX($BB$74:$BB$119,MATCH($AH$158,$AY$74:$AY$119,0)),$AH$158))</f>
        <v/>
      </c>
      <c r="AM158" s="483" t="str">
        <f t="shared" si="31"/>
        <v/>
      </c>
      <c r="AN158" s="484" t="str">
        <f t="shared" si="32"/>
        <v/>
      </c>
      <c r="AO158" s="473" t="str">
        <f t="shared" si="33"/>
        <v/>
      </c>
      <c r="AP158" s="473" t="str">
        <f t="shared" si="34"/>
        <v/>
      </c>
      <c r="AQ158" s="473" t="str">
        <f t="shared" si="35"/>
        <v/>
      </c>
      <c r="AR158" s="473" t="str">
        <f t="shared" si="36"/>
        <v/>
      </c>
      <c r="AS158" s="473" t="str">
        <f t="shared" si="37"/>
        <v/>
      </c>
      <c r="AT158" s="473" t="str">
        <f t="shared" si="38"/>
        <v/>
      </c>
      <c r="AU158" s="473" t="str">
        <f t="shared" si="39"/>
        <v/>
      </c>
      <c r="AZ158" s="32" t="s">
        <v>8139</v>
      </c>
      <c r="BA158" s="34" t="s">
        <v>477</v>
      </c>
      <c r="BB158" s="500"/>
      <c r="BC158" s="271"/>
      <c r="BD158" s="279">
        <v>1</v>
      </c>
      <c r="BE158" s="271"/>
      <c r="BF158" s="271"/>
      <c r="BG158" s="271"/>
      <c r="BH158" s="271"/>
      <c r="BI158" s="271"/>
      <c r="BJ158" s="271"/>
      <c r="BK158" s="271"/>
      <c r="BL158" s="271"/>
    </row>
    <row r="159" spans="18:64" ht="21" customHeight="1" x14ac:dyDescent="0.25">
      <c r="R159" s="25" t="s">
        <v>6134</v>
      </c>
      <c r="S159" s="451"/>
      <c r="T159" s="32" t="s">
        <v>311</v>
      </c>
      <c r="V159" s="475">
        <v>3</v>
      </c>
      <c r="W159" s="475" t="str">
        <f>IF($AC$159="","",$W$144)</f>
        <v/>
      </c>
      <c r="X159" s="476" t="str">
        <f>IF($AC$159="","",$X$144)</f>
        <v/>
      </c>
      <c r="Y159" s="477" t="str">
        <f>IF($X$159="","",$Y$144)</f>
        <v/>
      </c>
      <c r="Z159" s="477" t="str">
        <f>IF($X$159="","",$Z$144)</f>
        <v/>
      </c>
      <c r="AA159" s="477" t="str">
        <f>IF($AC$159="","",ROW($A$159)-ROW($A$144))</f>
        <v/>
      </c>
      <c r="AB159" s="478"/>
      <c r="AC159" s="34"/>
      <c r="AD159" s="356"/>
      <c r="AE159" s="479"/>
      <c r="AF159" s="475"/>
      <c r="AG159" s="480" t="str">
        <f t="shared" si="28"/>
        <v/>
      </c>
      <c r="AH159" s="481" t="str">
        <f t="shared" si="29"/>
        <v/>
      </c>
      <c r="AI159" s="477" t="str">
        <f>IF($AC$159="","",IFERROR(INDEX($AZ$74:$AZ$119,MATCH($AH$159,$AY$74:$AY$119,0)),"AUTRE"))</f>
        <v/>
      </c>
      <c r="AJ159" s="482" t="str">
        <f>IF($AC$159="","",IFERROR(INDEX($BA$74:$BA$119,MATCH($AH$159,$AY$74:$AY$119,0)),1))</f>
        <v/>
      </c>
      <c r="AK159" s="482" t="str">
        <f t="shared" si="30"/>
        <v/>
      </c>
      <c r="AL159" s="477" t="str">
        <f>IF($AC$159="","",IFERROR(INDEX($BB$74:$BB$119,MATCH($AH$159,$AY$74:$AY$119,0)),$AH$159))</f>
        <v/>
      </c>
      <c r="AM159" s="483" t="str">
        <f t="shared" si="31"/>
        <v/>
      </c>
      <c r="AN159" s="484" t="str">
        <f t="shared" si="32"/>
        <v/>
      </c>
      <c r="AO159" s="473" t="str">
        <f t="shared" si="33"/>
        <v/>
      </c>
      <c r="AP159" s="473" t="str">
        <f t="shared" si="34"/>
        <v/>
      </c>
      <c r="AQ159" s="473" t="str">
        <f t="shared" si="35"/>
        <v/>
      </c>
      <c r="AR159" s="473" t="str">
        <f t="shared" si="36"/>
        <v/>
      </c>
      <c r="AS159" s="473" t="str">
        <f t="shared" si="37"/>
        <v/>
      </c>
      <c r="AT159" s="473" t="str">
        <f t="shared" si="38"/>
        <v/>
      </c>
      <c r="AU159" s="473" t="str">
        <f t="shared" si="39"/>
        <v/>
      </c>
      <c r="AZ159" s="32" t="s">
        <v>8141</v>
      </c>
      <c r="BB159" s="500"/>
      <c r="BC159" s="271"/>
      <c r="BD159" s="279">
        <v>1</v>
      </c>
      <c r="BE159" s="271"/>
      <c r="BF159" s="271"/>
      <c r="BG159" s="271"/>
      <c r="BH159" s="271"/>
      <c r="BI159" s="271"/>
      <c r="BJ159" s="271"/>
      <c r="BK159" s="271"/>
      <c r="BL159" s="271"/>
    </row>
    <row r="160" spans="18:64" ht="21" customHeight="1" x14ac:dyDescent="0.25">
      <c r="R160" s="34" t="s">
        <v>481</v>
      </c>
      <c r="S160" s="451"/>
      <c r="T160" s="32" t="s">
        <v>8135</v>
      </c>
      <c r="V160" s="475">
        <v>3</v>
      </c>
      <c r="W160" s="475" t="str">
        <f>IF($AC$160="","",$W$144)</f>
        <v/>
      </c>
      <c r="X160" s="476" t="str">
        <f>IF($AC$160="","",$X$144)</f>
        <v/>
      </c>
      <c r="Y160" s="477" t="str">
        <f>IF($X$160="","",$Y$144)</f>
        <v/>
      </c>
      <c r="Z160" s="477" t="str">
        <f>IF($X$160="","",$Z$144)</f>
        <v/>
      </c>
      <c r="AA160" s="477" t="str">
        <f>IF($AC$160="","",ROW($A$160)-ROW($A$144))</f>
        <v/>
      </c>
      <c r="AB160" s="478"/>
      <c r="AC160" s="34"/>
      <c r="AD160" s="356"/>
      <c r="AE160" s="479"/>
      <c r="AF160" s="475"/>
      <c r="AG160" s="480" t="str">
        <f t="shared" si="28"/>
        <v/>
      </c>
      <c r="AH160" s="481" t="str">
        <f t="shared" si="29"/>
        <v/>
      </c>
      <c r="AI160" s="477" t="str">
        <f>IF($AC$160="","",IFERROR(INDEX($AZ$74:$AZ$119,MATCH($AH$160,$AY$74:$AY$119,0)),"AUTRE"))</f>
        <v/>
      </c>
      <c r="AJ160" s="482" t="str">
        <f>IF($AC$160="","",IFERROR(INDEX($BA$74:$BA$119,MATCH($AH$160,$AY$74:$AY$119,0)),1))</f>
        <v/>
      </c>
      <c r="AK160" s="482" t="str">
        <f t="shared" si="30"/>
        <v/>
      </c>
      <c r="AL160" s="477" t="str">
        <f>IF($AC$160="","",IFERROR(INDEX($BB$74:$BB$119,MATCH($AH$160,$AY$74:$AY$119,0)),$AH$160))</f>
        <v/>
      </c>
      <c r="AM160" s="483" t="str">
        <f t="shared" si="31"/>
        <v/>
      </c>
      <c r="AN160" s="484" t="str">
        <f t="shared" si="32"/>
        <v/>
      </c>
      <c r="AO160" s="473" t="str">
        <f t="shared" si="33"/>
        <v/>
      </c>
      <c r="AP160" s="473" t="str">
        <f t="shared" si="34"/>
        <v/>
      </c>
      <c r="AQ160" s="473" t="str">
        <f t="shared" si="35"/>
        <v/>
      </c>
      <c r="AR160" s="473" t="str">
        <f t="shared" si="36"/>
        <v/>
      </c>
      <c r="AS160" s="473" t="str">
        <f t="shared" si="37"/>
        <v/>
      </c>
      <c r="AT160" s="473" t="str">
        <f t="shared" si="38"/>
        <v/>
      </c>
      <c r="AU160" s="473" t="str">
        <f t="shared" si="39"/>
        <v/>
      </c>
      <c r="AZ160" s="32" t="s">
        <v>8143</v>
      </c>
      <c r="BA160" s="25" t="s">
        <v>6134</v>
      </c>
      <c r="BB160" s="500"/>
      <c r="BC160" s="271"/>
      <c r="BD160" s="279">
        <v>1</v>
      </c>
      <c r="BE160" s="271"/>
      <c r="BF160" s="271"/>
      <c r="BG160" s="271"/>
      <c r="BH160" s="271"/>
      <c r="BI160" s="271"/>
      <c r="BJ160" s="271"/>
      <c r="BK160" s="271"/>
      <c r="BL160" s="271"/>
    </row>
    <row r="161" spans="18:64" ht="21" customHeight="1" x14ac:dyDescent="0.25">
      <c r="R161" s="34" t="s">
        <v>475</v>
      </c>
      <c r="S161" s="451"/>
      <c r="T161" s="497" t="s">
        <v>462</v>
      </c>
      <c r="V161" s="475">
        <v>3</v>
      </c>
      <c r="W161" s="475" t="str">
        <f>IF($AC$161="","",$W$144)</f>
        <v/>
      </c>
      <c r="X161" s="476" t="str">
        <f>IF($AC$161="","",$X$144)</f>
        <v/>
      </c>
      <c r="Y161" s="477" t="str">
        <f>IF($X$161="","",$Y$144)</f>
        <v/>
      </c>
      <c r="Z161" s="477" t="str">
        <f>IF($X$161="","",$Z$144)</f>
        <v/>
      </c>
      <c r="AA161" s="477" t="str">
        <f>IF($AC$161="","",ROW($A$161)-ROW($A$144))</f>
        <v/>
      </c>
      <c r="AB161" s="478"/>
      <c r="AC161" s="34"/>
      <c r="AD161" s="356"/>
      <c r="AE161" s="479"/>
      <c r="AF161" s="475"/>
      <c r="AG161" s="480" t="str">
        <f t="shared" si="28"/>
        <v/>
      </c>
      <c r="AH161" s="481" t="str">
        <f t="shared" si="29"/>
        <v/>
      </c>
      <c r="AI161" s="477" t="str">
        <f>IF($AC$161="","",IFERROR(INDEX($AZ$74:$AZ$119,MATCH($AH$161,$AY$74:$AY$119,0)),"AUTRE"))</f>
        <v/>
      </c>
      <c r="AJ161" s="482" t="str">
        <f>IF($AC$161="","",IFERROR(INDEX($BA$74:$BA$119,MATCH($AH$161,$AY$74:$AY$119,0)),1))</f>
        <v/>
      </c>
      <c r="AK161" s="482" t="str">
        <f t="shared" si="30"/>
        <v/>
      </c>
      <c r="AL161" s="477" t="str">
        <f>IF($AC$161="","",IFERROR(INDEX($BB$74:$BB$119,MATCH($AH$161,$AY$74:$AY$119,0)),$AH$161))</f>
        <v/>
      </c>
      <c r="AM161" s="483" t="str">
        <f t="shared" si="31"/>
        <v/>
      </c>
      <c r="AN161" s="484" t="str">
        <f t="shared" si="32"/>
        <v/>
      </c>
      <c r="AO161" s="473" t="str">
        <f t="shared" si="33"/>
        <v/>
      </c>
      <c r="AP161" s="473" t="str">
        <f t="shared" si="34"/>
        <v/>
      </c>
      <c r="AQ161" s="473" t="str">
        <f t="shared" si="35"/>
        <v/>
      </c>
      <c r="AR161" s="473" t="str">
        <f t="shared" si="36"/>
        <v/>
      </c>
      <c r="AS161" s="473" t="str">
        <f t="shared" si="37"/>
        <v/>
      </c>
      <c r="AT161" s="473" t="str">
        <f t="shared" si="38"/>
        <v/>
      </c>
      <c r="AU161" s="473" t="str">
        <f t="shared" si="39"/>
        <v/>
      </c>
      <c r="AZ161" s="497" t="s">
        <v>8145</v>
      </c>
      <c r="BA161" s="34" t="s">
        <v>481</v>
      </c>
      <c r="BB161" s="500"/>
      <c r="BC161" s="271"/>
      <c r="BD161" s="279">
        <v>1</v>
      </c>
      <c r="BE161" s="271"/>
      <c r="BF161" s="271"/>
      <c r="BG161" s="271"/>
      <c r="BH161" s="271"/>
      <c r="BI161" s="271"/>
      <c r="BJ161" s="271"/>
      <c r="BK161" s="271"/>
      <c r="BL161" s="271"/>
    </row>
    <row r="162" spans="18:64" ht="21" customHeight="1" x14ac:dyDescent="0.25">
      <c r="R162" s="34" t="s">
        <v>457</v>
      </c>
      <c r="S162" s="451"/>
      <c r="T162" s="497" t="s">
        <v>463</v>
      </c>
      <c r="V162" s="475">
        <v>3</v>
      </c>
      <c r="W162" s="475" t="str">
        <f>IF($AC$162="","",$W$144)</f>
        <v/>
      </c>
      <c r="X162" s="476" t="str">
        <f>IF($AC$162="","",$X$144)</f>
        <v/>
      </c>
      <c r="Y162" s="477" t="str">
        <f>IF($X$162="","",$Y$144)</f>
        <v/>
      </c>
      <c r="Z162" s="477" t="str">
        <f>IF($X$162="","",$Z$144)</f>
        <v/>
      </c>
      <c r="AA162" s="477" t="str">
        <f>IF($AC$162="","",ROW($A$162)-ROW($A$144))</f>
        <v/>
      </c>
      <c r="AB162" s="478"/>
      <c r="AC162" s="34"/>
      <c r="AD162" s="356"/>
      <c r="AE162" s="479"/>
      <c r="AF162" s="475"/>
      <c r="AG162" s="480" t="str">
        <f t="shared" si="28"/>
        <v/>
      </c>
      <c r="AH162" s="481" t="str">
        <f t="shared" si="29"/>
        <v/>
      </c>
      <c r="AI162" s="477" t="str">
        <f>IF($AC$162="","",IFERROR(INDEX($AZ$74:$AZ$119,MATCH($AH$162,$AY$74:$AY$119,0)),"AUTRE"))</f>
        <v/>
      </c>
      <c r="AJ162" s="482" t="str">
        <f>IF($AC$162="","",IFERROR(INDEX($BA$74:$BA$119,MATCH($AH$162,$AY$74:$AY$119,0)),1))</f>
        <v/>
      </c>
      <c r="AK162" s="482" t="str">
        <f t="shared" si="30"/>
        <v/>
      </c>
      <c r="AL162" s="477" t="str">
        <f>IF($AC$162="","",IFERROR(INDEX($BB$74:$BB$119,MATCH($AH$162,$AY$74:$AY$119,0)),$AH$162))</f>
        <v/>
      </c>
      <c r="AM162" s="483" t="str">
        <f t="shared" si="31"/>
        <v/>
      </c>
      <c r="AN162" s="484" t="str">
        <f t="shared" si="32"/>
        <v/>
      </c>
      <c r="AO162" s="473" t="str">
        <f t="shared" si="33"/>
        <v/>
      </c>
      <c r="AP162" s="473" t="str">
        <f t="shared" si="34"/>
        <v/>
      </c>
      <c r="AQ162" s="473" t="str">
        <f t="shared" si="35"/>
        <v/>
      </c>
      <c r="AR162" s="473" t="str">
        <f t="shared" si="36"/>
        <v/>
      </c>
      <c r="AS162" s="473" t="str">
        <f t="shared" si="37"/>
        <v/>
      </c>
      <c r="AT162" s="473" t="str">
        <f t="shared" si="38"/>
        <v/>
      </c>
      <c r="AU162" s="473" t="str">
        <f t="shared" si="39"/>
        <v/>
      </c>
      <c r="AZ162" s="497" t="s">
        <v>462</v>
      </c>
      <c r="BA162" s="34" t="s">
        <v>475</v>
      </c>
      <c r="BB162" s="500"/>
      <c r="BC162" s="271"/>
      <c r="BD162" s="279">
        <v>1</v>
      </c>
      <c r="BE162" s="271"/>
      <c r="BF162" s="271"/>
      <c r="BG162" s="271"/>
      <c r="BH162" s="271"/>
      <c r="BI162" s="271"/>
      <c r="BJ162" s="271"/>
      <c r="BK162" s="271"/>
      <c r="BL162" s="271"/>
    </row>
    <row r="163" spans="18:64" ht="21" customHeight="1" x14ac:dyDescent="0.25">
      <c r="R163" s="34" t="s">
        <v>482</v>
      </c>
      <c r="S163" s="451"/>
      <c r="T163" s="497" t="s">
        <v>8147</v>
      </c>
      <c r="V163" s="475">
        <v>3</v>
      </c>
      <c r="W163" s="475" t="str">
        <f>IF($AC$163="","",$W$144)</f>
        <v/>
      </c>
      <c r="X163" s="476" t="str">
        <f>IF($AC$163="","",$X$144)</f>
        <v/>
      </c>
      <c r="Y163" s="477" t="str">
        <f>IF($X$163="","",$Y$144)</f>
        <v/>
      </c>
      <c r="Z163" s="477" t="str">
        <f>IF($X$163="","",$Z$144)</f>
        <v/>
      </c>
      <c r="AA163" s="477" t="str">
        <f>IF($AC$163="","",ROW($A$163)-ROW($A$144))</f>
        <v/>
      </c>
      <c r="AB163" s="478"/>
      <c r="AC163" s="34"/>
      <c r="AD163" s="356"/>
      <c r="AE163" s="479"/>
      <c r="AF163" s="475"/>
      <c r="AG163" s="480" t="str">
        <f t="shared" si="28"/>
        <v/>
      </c>
      <c r="AH163" s="481" t="str">
        <f t="shared" si="29"/>
        <v/>
      </c>
      <c r="AI163" s="477" t="str">
        <f>IF($AC$163="","",IFERROR(INDEX($AZ$74:$AZ$119,MATCH($AH$163,$AY$74:$AY$119,0)),"AUTRE"))</f>
        <v/>
      </c>
      <c r="AJ163" s="482" t="str">
        <f>IF($AC$163="","",IFERROR(INDEX($BA$74:$BA$119,MATCH($AH$163,$AY$74:$AY$119,0)),1))</f>
        <v/>
      </c>
      <c r="AK163" s="482" t="str">
        <f t="shared" si="30"/>
        <v/>
      </c>
      <c r="AL163" s="477" t="str">
        <f>IF($AC$163="","",IFERROR(INDEX($BB$74:$BB$119,MATCH($AH$163,$AY$74:$AY$119,0)),$AH$163))</f>
        <v/>
      </c>
      <c r="AM163" s="483" t="str">
        <f t="shared" si="31"/>
        <v/>
      </c>
      <c r="AN163" s="484" t="str">
        <f t="shared" si="32"/>
        <v/>
      </c>
      <c r="AO163" s="473" t="str">
        <f t="shared" si="33"/>
        <v/>
      </c>
      <c r="AP163" s="473" t="str">
        <f t="shared" si="34"/>
        <v/>
      </c>
      <c r="AQ163" s="473" t="str">
        <f t="shared" si="35"/>
        <v/>
      </c>
      <c r="AR163" s="473" t="str">
        <f t="shared" si="36"/>
        <v/>
      </c>
      <c r="AS163" s="473" t="str">
        <f t="shared" si="37"/>
        <v/>
      </c>
      <c r="AT163" s="473" t="str">
        <f t="shared" si="38"/>
        <v/>
      </c>
      <c r="AU163" s="473" t="str">
        <f t="shared" si="39"/>
        <v/>
      </c>
      <c r="AZ163" s="497" t="s">
        <v>463</v>
      </c>
      <c r="BA163" s="34" t="s">
        <v>457</v>
      </c>
      <c r="BB163" s="500"/>
      <c r="BC163" s="271"/>
      <c r="BD163" s="279">
        <v>1</v>
      </c>
      <c r="BE163" s="271"/>
      <c r="BF163" s="271"/>
      <c r="BG163" s="271"/>
      <c r="BH163" s="271"/>
      <c r="BI163" s="271"/>
      <c r="BJ163" s="271"/>
      <c r="BK163" s="271"/>
      <c r="BL163" s="271"/>
    </row>
    <row r="164" spans="18:64" ht="21" customHeight="1" x14ac:dyDescent="0.25">
      <c r="R164" s="34" t="s">
        <v>496</v>
      </c>
      <c r="S164" s="451"/>
      <c r="T164" s="497" t="s">
        <v>465</v>
      </c>
      <c r="V164" s="475">
        <v>3</v>
      </c>
      <c r="W164" s="475" t="str">
        <f>IF($AC$164="","",$W$144)</f>
        <v/>
      </c>
      <c r="X164" s="476" t="str">
        <f>IF($AC$164="","",$X$144)</f>
        <v/>
      </c>
      <c r="Y164" s="477" t="str">
        <f>IF($X$164="","",$Y$144)</f>
        <v/>
      </c>
      <c r="Z164" s="477" t="str">
        <f>IF($X$164="","",$Z$144)</f>
        <v/>
      </c>
      <c r="AA164" s="477" t="str">
        <f>IF($AC$164="","",ROW($A$164)-ROW($A$144))</f>
        <v/>
      </c>
      <c r="AB164" s="478"/>
      <c r="AC164" s="34"/>
      <c r="AD164" s="356"/>
      <c r="AE164" s="479"/>
      <c r="AF164" s="475"/>
      <c r="AG164" s="480" t="str">
        <f t="shared" si="28"/>
        <v/>
      </c>
      <c r="AH164" s="481" t="str">
        <f t="shared" si="29"/>
        <v/>
      </c>
      <c r="AI164" s="477" t="str">
        <f>IF($AC$164="","",IFERROR(INDEX($AZ$74:$AZ$119,MATCH($AH$164,$AY$74:$AY$119,0)),"AUTRE"))</f>
        <v/>
      </c>
      <c r="AJ164" s="482" t="str">
        <f>IF($AC$164="","",IFERROR(INDEX($BA$74:$BA$119,MATCH($AH$164,$AY$74:$AY$119,0)),1))</f>
        <v/>
      </c>
      <c r="AK164" s="482" t="str">
        <f t="shared" si="30"/>
        <v/>
      </c>
      <c r="AL164" s="477" t="str">
        <f>IF($AC$164="","",IFERROR(INDEX($BB$74:$BB$119,MATCH($AH$164,$AY$74:$AY$119,0)),$AH$164))</f>
        <v/>
      </c>
      <c r="AM164" s="483" t="str">
        <f t="shared" si="31"/>
        <v/>
      </c>
      <c r="AN164" s="484" t="str">
        <f t="shared" si="32"/>
        <v/>
      </c>
      <c r="AO164" s="473" t="str">
        <f t="shared" si="33"/>
        <v/>
      </c>
      <c r="AP164" s="473" t="str">
        <f t="shared" si="34"/>
        <v/>
      </c>
      <c r="AQ164" s="473" t="str">
        <f t="shared" si="35"/>
        <v/>
      </c>
      <c r="AR164" s="473" t="str">
        <f t="shared" si="36"/>
        <v/>
      </c>
      <c r="AS164" s="473" t="str">
        <f t="shared" si="37"/>
        <v/>
      </c>
      <c r="AT164" s="473" t="str">
        <f t="shared" si="38"/>
        <v/>
      </c>
      <c r="AU164" s="473" t="str">
        <f t="shared" si="39"/>
        <v/>
      </c>
      <c r="AZ164" s="497" t="s">
        <v>8147</v>
      </c>
      <c r="BA164" s="34" t="s">
        <v>482</v>
      </c>
      <c r="BB164" s="500"/>
      <c r="BC164" s="271"/>
      <c r="BD164" s="279">
        <v>1</v>
      </c>
      <c r="BE164" s="271"/>
      <c r="BF164" s="271"/>
      <c r="BG164" s="271"/>
      <c r="BH164" s="271"/>
      <c r="BI164" s="271"/>
      <c r="BJ164" s="271"/>
      <c r="BK164" s="271"/>
      <c r="BL164" s="271"/>
    </row>
    <row r="165" spans="18:64" ht="21" customHeight="1" x14ac:dyDescent="0.25">
      <c r="R165" s="34" t="s">
        <v>483</v>
      </c>
      <c r="S165" s="451"/>
      <c r="T165" s="497" t="s">
        <v>466</v>
      </c>
      <c r="V165" s="475">
        <v>3</v>
      </c>
      <c r="W165" s="475" t="str">
        <f>IF($AC$165="","",$W$144)</f>
        <v/>
      </c>
      <c r="X165" s="476" t="str">
        <f>IF($AC$165="","",$X$144)</f>
        <v/>
      </c>
      <c r="Y165" s="477" t="str">
        <f>IF($X$165="","",$Y$144)</f>
        <v/>
      </c>
      <c r="Z165" s="477" t="str">
        <f>IF($X$165="","",$Z$144)</f>
        <v/>
      </c>
      <c r="AA165" s="477" t="str">
        <f>IF($AC$165="","",ROW($A$165)-ROW($A$144))</f>
        <v/>
      </c>
      <c r="AB165" s="478"/>
      <c r="AC165" s="34"/>
      <c r="AD165" s="356"/>
      <c r="AE165" s="479"/>
      <c r="AF165" s="475"/>
      <c r="AG165" s="480" t="str">
        <f t="shared" si="28"/>
        <v/>
      </c>
      <c r="AH165" s="481" t="str">
        <f t="shared" si="29"/>
        <v/>
      </c>
      <c r="AI165" s="477" t="str">
        <f>IF($AC$165="","",IFERROR(INDEX($AZ$74:$AZ$119,MATCH($AH$165,$AY$74:$AY$119,0)),"AUTRE"))</f>
        <v/>
      </c>
      <c r="AJ165" s="482" t="str">
        <f>IF($AC$165="","",IFERROR(INDEX($BA$74:$BA$119,MATCH($AH$165,$AY$74:$AY$119,0)),1))</f>
        <v/>
      </c>
      <c r="AK165" s="482" t="str">
        <f t="shared" si="30"/>
        <v/>
      </c>
      <c r="AL165" s="477" t="str">
        <f>IF($AC$165="","",IFERROR(INDEX($BB$74:$BB$119,MATCH($AH$165,$AY$74:$AY$119,0)),$AH$165))</f>
        <v/>
      </c>
      <c r="AM165" s="483" t="str">
        <f t="shared" si="31"/>
        <v/>
      </c>
      <c r="AN165" s="484" t="str">
        <f t="shared" si="32"/>
        <v/>
      </c>
      <c r="AO165" s="473" t="str">
        <f t="shared" si="33"/>
        <v/>
      </c>
      <c r="AP165" s="473" t="str">
        <f t="shared" si="34"/>
        <v/>
      </c>
      <c r="AQ165" s="473" t="str">
        <f t="shared" si="35"/>
        <v/>
      </c>
      <c r="AR165" s="473" t="str">
        <f t="shared" si="36"/>
        <v/>
      </c>
      <c r="AS165" s="473" t="str">
        <f t="shared" si="37"/>
        <v/>
      </c>
      <c r="AT165" s="473" t="str">
        <f t="shared" si="38"/>
        <v/>
      </c>
      <c r="AU165" s="473" t="str">
        <f t="shared" si="39"/>
        <v/>
      </c>
      <c r="AZ165" s="497" t="s">
        <v>465</v>
      </c>
      <c r="BA165" s="34" t="s">
        <v>496</v>
      </c>
      <c r="BB165" s="500"/>
      <c r="BC165" s="271"/>
      <c r="BD165" s="279">
        <v>1</v>
      </c>
      <c r="BE165" s="271"/>
      <c r="BF165" s="271"/>
      <c r="BG165" s="271"/>
      <c r="BH165" s="271"/>
      <c r="BI165" s="271"/>
      <c r="BJ165" s="271"/>
      <c r="BK165" s="271"/>
      <c r="BL165" s="271"/>
    </row>
    <row r="166" spans="18:64" ht="21" customHeight="1" x14ac:dyDescent="0.25">
      <c r="R166" s="34" t="s">
        <v>493</v>
      </c>
      <c r="S166" s="451"/>
      <c r="T166" s="440" t="s">
        <v>8110</v>
      </c>
      <c r="V166" s="475">
        <v>3</v>
      </c>
      <c r="W166" s="475" t="str">
        <f>IF($AC$166="","",$W$144)</f>
        <v/>
      </c>
      <c r="X166" s="476" t="str">
        <f>IF($AC$166="","",$X$144)</f>
        <v/>
      </c>
      <c r="Y166" s="477" t="str">
        <f>IF($X$166="","",$Y$144)</f>
        <v/>
      </c>
      <c r="Z166" s="477" t="str">
        <f>IF($X$166="","",$Z$144)</f>
        <v/>
      </c>
      <c r="AA166" s="477" t="str">
        <f>IF($AC$166="","",ROW($A$166)-ROW($A$144))</f>
        <v/>
      </c>
      <c r="AB166" s="478"/>
      <c r="AC166" s="34"/>
      <c r="AD166" s="356"/>
      <c r="AE166" s="479"/>
      <c r="AF166" s="475"/>
      <c r="AG166" s="480" t="str">
        <f t="shared" si="28"/>
        <v/>
      </c>
      <c r="AH166" s="481" t="str">
        <f t="shared" si="29"/>
        <v/>
      </c>
      <c r="AI166" s="477" t="str">
        <f>IF($AC$166="","",IFERROR(INDEX($AZ$74:$AZ$119,MATCH($AH$166,$AY$74:$AY$119,0)),"AUTRE"))</f>
        <v/>
      </c>
      <c r="AJ166" s="482" t="str">
        <f>IF($AC$166="","",IFERROR(INDEX($BA$74:$BA$119,MATCH($AH$166,$AY$74:$AY$119,0)),1))</f>
        <v/>
      </c>
      <c r="AK166" s="482" t="str">
        <f t="shared" si="30"/>
        <v/>
      </c>
      <c r="AL166" s="477" t="str">
        <f>IF($AC$166="","",IFERROR(INDEX($BB$74:$BB$119,MATCH($AH$166,$AY$74:$AY$119,0)),$AH$166))</f>
        <v/>
      </c>
      <c r="AM166" s="483" t="str">
        <f t="shared" si="31"/>
        <v/>
      </c>
      <c r="AN166" s="484" t="str">
        <f t="shared" si="32"/>
        <v/>
      </c>
      <c r="AO166" s="473" t="str">
        <f t="shared" si="33"/>
        <v/>
      </c>
      <c r="AP166" s="473" t="str">
        <f t="shared" si="34"/>
        <v/>
      </c>
      <c r="AQ166" s="473" t="str">
        <f t="shared" si="35"/>
        <v/>
      </c>
      <c r="AR166" s="473" t="str">
        <f t="shared" si="36"/>
        <v/>
      </c>
      <c r="AS166" s="473" t="str">
        <f t="shared" si="37"/>
        <v/>
      </c>
      <c r="AT166" s="473" t="str">
        <f t="shared" si="38"/>
        <v/>
      </c>
      <c r="AU166" s="473" t="str">
        <f t="shared" si="39"/>
        <v/>
      </c>
      <c r="AZ166" s="497" t="s">
        <v>466</v>
      </c>
      <c r="BA166" s="34" t="s">
        <v>483</v>
      </c>
      <c r="BB166" s="500"/>
      <c r="BC166" s="271"/>
      <c r="BD166" s="279">
        <v>1</v>
      </c>
      <c r="BE166" s="271"/>
      <c r="BF166" s="271"/>
      <c r="BG166" s="271"/>
      <c r="BH166" s="271"/>
      <c r="BI166" s="271"/>
      <c r="BJ166" s="271"/>
      <c r="BK166" s="271"/>
      <c r="BL166" s="271"/>
    </row>
    <row r="167" spans="18:64" ht="21" customHeight="1" x14ac:dyDescent="0.25">
      <c r="R167" s="34" t="s">
        <v>494</v>
      </c>
      <c r="S167" s="451"/>
      <c r="T167" s="452" t="s">
        <v>8113</v>
      </c>
      <c r="V167" s="475">
        <v>3</v>
      </c>
      <c r="W167" s="475" t="str">
        <f>IF($AC$167="","",$W$144)</f>
        <v/>
      </c>
      <c r="X167" s="476" t="str">
        <f>IF($AC$167="","",$X$144)</f>
        <v/>
      </c>
      <c r="Y167" s="477" t="str">
        <f>IF($X$167="","",$Y$144)</f>
        <v/>
      </c>
      <c r="Z167" s="477" t="str">
        <f>IF($X$167="","",$Z$144)</f>
        <v/>
      </c>
      <c r="AA167" s="477" t="str">
        <f>IF($AC$167="","",ROW($A$167)-ROW($A$144))</f>
        <v/>
      </c>
      <c r="AB167" s="478"/>
      <c r="AC167" s="34"/>
      <c r="AD167" s="356"/>
      <c r="AE167" s="479"/>
      <c r="AF167" s="475"/>
      <c r="AG167" s="480" t="str">
        <f t="shared" si="28"/>
        <v/>
      </c>
      <c r="AH167" s="481" t="str">
        <f t="shared" si="29"/>
        <v/>
      </c>
      <c r="AI167" s="477" t="str">
        <f>IF($AC$167="","",IFERROR(INDEX($AZ$74:$AZ$119,MATCH($AH$167,$AY$74:$AY$119,0)),"AUTRE"))</f>
        <v/>
      </c>
      <c r="AJ167" s="482" t="str">
        <f>IF($AC$167="","",IFERROR(INDEX($BA$74:$BA$119,MATCH($AH$167,$AY$74:$AY$119,0)),1))</f>
        <v/>
      </c>
      <c r="AK167" s="482" t="str">
        <f t="shared" si="30"/>
        <v/>
      </c>
      <c r="AL167" s="477" t="str">
        <f>IF($AC$167="","",IFERROR(INDEX($BB$74:$BB$119,MATCH($AH$167,$AY$74:$AY$119,0)),$AH$167))</f>
        <v/>
      </c>
      <c r="AM167" s="483" t="str">
        <f t="shared" si="31"/>
        <v/>
      </c>
      <c r="AN167" s="484" t="str">
        <f t="shared" si="32"/>
        <v/>
      </c>
      <c r="AO167" s="473" t="str">
        <f t="shared" si="33"/>
        <v/>
      </c>
      <c r="AP167" s="473" t="str">
        <f t="shared" si="34"/>
        <v/>
      </c>
      <c r="AQ167" s="473" t="str">
        <f t="shared" si="35"/>
        <v/>
      </c>
      <c r="AR167" s="473" t="str">
        <f t="shared" si="36"/>
        <v/>
      </c>
      <c r="AS167" s="473" t="str">
        <f t="shared" si="37"/>
        <v/>
      </c>
      <c r="AT167" s="473" t="str">
        <f t="shared" si="38"/>
        <v/>
      </c>
      <c r="AU167" s="473" t="str">
        <f t="shared" si="39"/>
        <v/>
      </c>
      <c r="AZ167" s="14" t="s">
        <v>7</v>
      </c>
      <c r="BA167" s="34" t="s">
        <v>493</v>
      </c>
      <c r="BB167" s="500"/>
      <c r="BC167" s="271"/>
      <c r="BD167" s="279">
        <v>1</v>
      </c>
      <c r="BE167" s="271"/>
      <c r="BF167" s="271"/>
      <c r="BG167" s="271"/>
      <c r="BH167" s="271"/>
      <c r="BI167" s="271"/>
      <c r="BJ167" s="271"/>
      <c r="BK167" s="271"/>
      <c r="BL167" s="271"/>
    </row>
    <row r="168" spans="18:64" ht="21" customHeight="1" x14ac:dyDescent="0.25">
      <c r="S168" s="451"/>
      <c r="T168" s="14" t="s">
        <v>7</v>
      </c>
      <c r="V168" s="475">
        <v>3</v>
      </c>
      <c r="W168" s="475" t="str">
        <f>IF($AC$168="","",$W$144)</f>
        <v/>
      </c>
      <c r="X168" s="476" t="str">
        <f>IF($AC$168="","",$X$144)</f>
        <v/>
      </c>
      <c r="Y168" s="477" t="str">
        <f>IF($X$168="","",$Y$144)</f>
        <v/>
      </c>
      <c r="Z168" s="477" t="str">
        <f>IF($X$168="","",$Z$144)</f>
        <v/>
      </c>
      <c r="AA168" s="477" t="str">
        <f>IF($AC$168="","",ROW($A$168)-ROW($A$144))</f>
        <v/>
      </c>
      <c r="AB168" s="478"/>
      <c r="AC168" s="34"/>
      <c r="AD168" s="356"/>
      <c r="AE168" s="479"/>
      <c r="AF168" s="475"/>
      <c r="AG168" s="480" t="str">
        <f t="shared" si="28"/>
        <v/>
      </c>
      <c r="AH168" s="481" t="str">
        <f t="shared" si="29"/>
        <v/>
      </c>
      <c r="AI168" s="477" t="str">
        <f>IF($AC$168="","",IFERROR(INDEX($AZ$74:$AZ$119,MATCH($AH$168,$AY$74:$AY$119,0)),"AUTRE"))</f>
        <v/>
      </c>
      <c r="AJ168" s="482" t="str">
        <f>IF($AC$168="","",IFERROR(INDEX($BA$74:$BA$119,MATCH($AH$168,$AY$74:$AY$119,0)),1))</f>
        <v/>
      </c>
      <c r="AK168" s="482" t="str">
        <f t="shared" si="30"/>
        <v/>
      </c>
      <c r="AL168" s="477" t="str">
        <f>IF($AC$168="","",IFERROR(INDEX($BB$74:$BB$119,MATCH($AH$168,$AY$74:$AY$119,0)),$AH$168))</f>
        <v/>
      </c>
      <c r="AM168" s="483" t="str">
        <f t="shared" si="31"/>
        <v/>
      </c>
      <c r="AN168" s="484" t="str">
        <f t="shared" si="32"/>
        <v/>
      </c>
      <c r="AO168" s="473" t="str">
        <f t="shared" si="33"/>
        <v/>
      </c>
      <c r="AP168" s="473" t="str">
        <f t="shared" si="34"/>
        <v/>
      </c>
      <c r="AQ168" s="473" t="str">
        <f t="shared" si="35"/>
        <v/>
      </c>
      <c r="AR168" s="473" t="str">
        <f t="shared" si="36"/>
        <v/>
      </c>
      <c r="AS168" s="473" t="str">
        <f t="shared" si="37"/>
        <v/>
      </c>
      <c r="AT168" s="473" t="str">
        <f t="shared" si="38"/>
        <v/>
      </c>
      <c r="AU168" s="473" t="str">
        <f t="shared" si="39"/>
        <v/>
      </c>
      <c r="AZ168" s="27" t="s">
        <v>8</v>
      </c>
      <c r="BA168" s="34" t="s">
        <v>494</v>
      </c>
      <c r="BB168" s="500"/>
      <c r="BC168" s="271"/>
      <c r="BD168" s="279">
        <v>1</v>
      </c>
      <c r="BE168" s="271"/>
      <c r="BF168" s="271"/>
      <c r="BG168" s="271"/>
      <c r="BH168" s="271"/>
      <c r="BI168" s="271"/>
      <c r="BJ168" s="271"/>
      <c r="BK168" s="271"/>
      <c r="BL168" s="271"/>
    </row>
    <row r="169" spans="18:64" ht="21" customHeight="1" x14ac:dyDescent="0.25">
      <c r="R169" s="25" t="s">
        <v>6115</v>
      </c>
      <c r="S169" s="451"/>
      <c r="T169" s="27" t="s">
        <v>8</v>
      </c>
      <c r="V169" s="475">
        <v>3</v>
      </c>
      <c r="W169" s="475" t="str">
        <f>IF($AC$169="","",$W$144)</f>
        <v/>
      </c>
      <c r="X169" s="476" t="str">
        <f>IF($AC$169="","",$X$144)</f>
        <v/>
      </c>
      <c r="Y169" s="477" t="str">
        <f>IF($X$169="","",$Y$144)</f>
        <v/>
      </c>
      <c r="Z169" s="477" t="str">
        <f>IF($X$169="","",$Z$144)</f>
        <v/>
      </c>
      <c r="AA169" s="477" t="str">
        <f>IF($AC$169="","",ROW($A$169)-ROW($A$144))</f>
        <v/>
      </c>
      <c r="AB169" s="478"/>
      <c r="AC169" s="34"/>
      <c r="AD169" s="356"/>
      <c r="AE169" s="479"/>
      <c r="AF169" s="475"/>
      <c r="AG169" s="480" t="str">
        <f t="shared" si="28"/>
        <v/>
      </c>
      <c r="AH169" s="481" t="str">
        <f t="shared" si="29"/>
        <v/>
      </c>
      <c r="AI169" s="477" t="str">
        <f>IF($AC$169="","",IFERROR(INDEX($AZ$74:$AZ$119,MATCH($AH$169,$AY$74:$AY$119,0)),"AUTRE"))</f>
        <v/>
      </c>
      <c r="AJ169" s="482" t="str">
        <f>IF($AC$169="","",IFERROR(INDEX($BA$74:$BA$119,MATCH($AH$169,$AY$74:$AY$119,0)),1))</f>
        <v/>
      </c>
      <c r="AK169" s="482" t="str">
        <f t="shared" si="30"/>
        <v/>
      </c>
      <c r="AL169" s="477" t="str">
        <f>IF($AC$169="","",IFERROR(INDEX($BB$74:$BB$119,MATCH($AH$169,$AY$74:$AY$119,0)),$AH$169))</f>
        <v/>
      </c>
      <c r="AM169" s="483" t="str">
        <f t="shared" si="31"/>
        <v/>
      </c>
      <c r="AN169" s="484" t="str">
        <f t="shared" si="32"/>
        <v/>
      </c>
      <c r="AO169" s="473" t="str">
        <f t="shared" si="33"/>
        <v/>
      </c>
      <c r="AP169" s="473" t="str">
        <f t="shared" si="34"/>
        <v/>
      </c>
      <c r="AQ169" s="473" t="str">
        <f t="shared" si="35"/>
        <v/>
      </c>
      <c r="AR169" s="473" t="str">
        <f t="shared" si="36"/>
        <v/>
      </c>
      <c r="AS169" s="473" t="str">
        <f t="shared" si="37"/>
        <v/>
      </c>
      <c r="AT169" s="473" t="str">
        <f t="shared" si="38"/>
        <v/>
      </c>
      <c r="AU169" s="473" t="str">
        <f t="shared" si="39"/>
        <v/>
      </c>
      <c r="AZ169" s="28" t="s">
        <v>13</v>
      </c>
      <c r="BB169" s="500"/>
      <c r="BC169" s="271"/>
      <c r="BD169" s="279">
        <v>1</v>
      </c>
      <c r="BE169" s="271"/>
      <c r="BF169" s="271"/>
      <c r="BG169" s="271"/>
      <c r="BH169" s="271"/>
      <c r="BI169" s="271"/>
      <c r="BJ169" s="271"/>
      <c r="BK169" s="271"/>
      <c r="BL169" s="271"/>
    </row>
    <row r="170" spans="18:64" ht="21" customHeight="1" x14ac:dyDescent="0.25">
      <c r="R170" s="34" t="s">
        <v>471</v>
      </c>
      <c r="S170" s="451"/>
      <c r="T170" s="28" t="s">
        <v>13</v>
      </c>
      <c r="V170" s="475">
        <v>3</v>
      </c>
      <c r="W170" s="475" t="str">
        <f>IF($AC$170="","",$W$144)</f>
        <v/>
      </c>
      <c r="X170" s="476" t="str">
        <f>IF($AC$170="","",$X$144)</f>
        <v/>
      </c>
      <c r="Y170" s="477" t="str">
        <f>IF($X$170="","",$Y$144)</f>
        <v/>
      </c>
      <c r="Z170" s="477" t="str">
        <f>IF($X$170="","",$Z$144)</f>
        <v/>
      </c>
      <c r="AA170" s="477" t="str">
        <f>IF($AC$170="","",ROW($A$170)-ROW($A$144))</f>
        <v/>
      </c>
      <c r="AB170" s="478"/>
      <c r="AC170" s="34"/>
      <c r="AD170" s="356"/>
      <c r="AE170" s="479"/>
      <c r="AF170" s="475"/>
      <c r="AG170" s="480" t="str">
        <f t="shared" si="28"/>
        <v/>
      </c>
      <c r="AH170" s="481" t="str">
        <f t="shared" si="29"/>
        <v/>
      </c>
      <c r="AI170" s="477" t="str">
        <f>IF($AC$170="","",IFERROR(INDEX($AZ$74:$AZ$119,MATCH($AH$170,$AY$74:$AY$119,0)),"AUTRE"))</f>
        <v/>
      </c>
      <c r="AJ170" s="482" t="str">
        <f>IF($AC$170="","",IFERROR(INDEX($BA$74:$BA$119,MATCH($AH$170,$AY$74:$AY$119,0)),1))</f>
        <v/>
      </c>
      <c r="AK170" s="482" t="str">
        <f t="shared" si="30"/>
        <v/>
      </c>
      <c r="AL170" s="477" t="str">
        <f>IF($AC$170="","",IFERROR(INDEX($BB$74:$BB$119,MATCH($AH$170,$AY$74:$AY$119,0)),$AH$170))</f>
        <v/>
      </c>
      <c r="AM170" s="483" t="str">
        <f t="shared" si="31"/>
        <v/>
      </c>
      <c r="AN170" s="484" t="str">
        <f t="shared" si="32"/>
        <v/>
      </c>
      <c r="AO170" s="473" t="str">
        <f t="shared" si="33"/>
        <v/>
      </c>
      <c r="AP170" s="473" t="str">
        <f t="shared" si="34"/>
        <v/>
      </c>
      <c r="AQ170" s="473" t="str">
        <f t="shared" si="35"/>
        <v/>
      </c>
      <c r="AR170" s="473" t="str">
        <f t="shared" si="36"/>
        <v/>
      </c>
      <c r="AS170" s="473" t="str">
        <f t="shared" si="37"/>
        <v/>
      </c>
      <c r="AT170" s="473" t="str">
        <f t="shared" si="38"/>
        <v/>
      </c>
      <c r="AU170" s="473" t="str">
        <f t="shared" si="39"/>
        <v/>
      </c>
      <c r="AZ170" s="28" t="s">
        <v>14</v>
      </c>
      <c r="BA170" s="25" t="s">
        <v>6115</v>
      </c>
      <c r="BB170" s="500"/>
      <c r="BC170" s="271"/>
      <c r="BD170" s="279">
        <v>1</v>
      </c>
      <c r="BE170" s="271"/>
      <c r="BF170" s="271"/>
      <c r="BG170" s="271"/>
      <c r="BH170" s="271"/>
      <c r="BI170" s="271"/>
      <c r="BJ170" s="271"/>
      <c r="BK170" s="271"/>
      <c r="BL170" s="271"/>
    </row>
    <row r="171" spans="18:64" ht="21" customHeight="1" x14ac:dyDescent="0.25">
      <c r="R171" s="34" t="s">
        <v>472</v>
      </c>
      <c r="S171" s="451"/>
      <c r="T171" s="28" t="s">
        <v>14</v>
      </c>
      <c r="V171" s="475">
        <v>3</v>
      </c>
      <c r="W171" s="475" t="str">
        <f>IF($AC$171="","",$W$144)</f>
        <v/>
      </c>
      <c r="X171" s="476" t="str">
        <f>IF($AC$171="","",$X$144)</f>
        <v/>
      </c>
      <c r="Y171" s="477" t="str">
        <f>IF($X$171="","",$Y$144)</f>
        <v/>
      </c>
      <c r="Z171" s="477" t="str">
        <f>IF($X$171="","",$Z$144)</f>
        <v/>
      </c>
      <c r="AA171" s="477" t="str">
        <f>IF($AC$171="","",ROW($A$171)-ROW($A$144))</f>
        <v/>
      </c>
      <c r="AB171" s="478"/>
      <c r="AC171" s="34"/>
      <c r="AD171" s="356"/>
      <c r="AE171" s="479"/>
      <c r="AF171" s="475"/>
      <c r="AG171" s="480" t="str">
        <f t="shared" si="28"/>
        <v/>
      </c>
      <c r="AH171" s="481" t="str">
        <f t="shared" si="29"/>
        <v/>
      </c>
      <c r="AI171" s="477" t="str">
        <f>IF($AC$171="","",IFERROR(INDEX($AZ$74:$AZ$119,MATCH($AH$171,$AY$74:$AY$119,0)),"AUTRE"))</f>
        <v/>
      </c>
      <c r="AJ171" s="482" t="str">
        <f>IF($AC$171="","",IFERROR(INDEX($BA$74:$BA$119,MATCH($AH$171,$AY$74:$AY$119,0)),1))</f>
        <v/>
      </c>
      <c r="AK171" s="482" t="str">
        <f t="shared" si="30"/>
        <v/>
      </c>
      <c r="AL171" s="477" t="str">
        <f>IF($AC$171="","",IFERROR(INDEX($BB$74:$BB$119,MATCH($AH$171,$AY$74:$AY$119,0)),$AH$171))</f>
        <v/>
      </c>
      <c r="AM171" s="483" t="str">
        <f t="shared" si="31"/>
        <v/>
      </c>
      <c r="AN171" s="484" t="str">
        <f t="shared" si="32"/>
        <v/>
      </c>
      <c r="AO171" s="473" t="str">
        <f t="shared" si="33"/>
        <v/>
      </c>
      <c r="AP171" s="473" t="str">
        <f t="shared" si="34"/>
        <v/>
      </c>
      <c r="AQ171" s="473" t="str">
        <f t="shared" si="35"/>
        <v/>
      </c>
      <c r="AR171" s="473" t="str">
        <f t="shared" si="36"/>
        <v/>
      </c>
      <c r="AS171" s="473" t="str">
        <f t="shared" si="37"/>
        <v/>
      </c>
      <c r="AT171" s="473" t="str">
        <f t="shared" si="38"/>
        <v/>
      </c>
      <c r="AU171" s="473" t="str">
        <f t="shared" si="39"/>
        <v/>
      </c>
      <c r="AZ171" s="28" t="s">
        <v>15</v>
      </c>
      <c r="BA171" s="34" t="s">
        <v>471</v>
      </c>
      <c r="BB171" s="500"/>
      <c r="BC171" s="271"/>
      <c r="BD171" s="279">
        <v>1</v>
      </c>
      <c r="BE171" s="271"/>
      <c r="BF171" s="271"/>
      <c r="BG171" s="271"/>
      <c r="BH171" s="271"/>
      <c r="BI171" s="271"/>
      <c r="BJ171" s="271"/>
      <c r="BK171" s="271"/>
      <c r="BL171" s="271"/>
    </row>
    <row r="172" spans="18:64" ht="21" customHeight="1" x14ac:dyDescent="0.25">
      <c r="R172" s="34" t="s">
        <v>6112</v>
      </c>
      <c r="S172" s="451"/>
      <c r="T172" s="28" t="s">
        <v>15</v>
      </c>
      <c r="V172" s="475">
        <v>3</v>
      </c>
      <c r="W172" s="475" t="str">
        <f>IF($AC$172="","",$W$144)</f>
        <v/>
      </c>
      <c r="X172" s="476" t="str">
        <f>IF($AC$172="","",$X$144)</f>
        <v/>
      </c>
      <c r="Y172" s="477" t="str">
        <f>IF($X$172="","",$Y$144)</f>
        <v/>
      </c>
      <c r="Z172" s="477" t="str">
        <f>IF($X$172="","",$Z$144)</f>
        <v/>
      </c>
      <c r="AA172" s="477" t="str">
        <f>IF($AC$172="","",ROW($A$172)-ROW($A$144))</f>
        <v/>
      </c>
      <c r="AB172" s="478"/>
      <c r="AC172" s="34"/>
      <c r="AD172" s="356"/>
      <c r="AE172" s="479"/>
      <c r="AF172" s="475"/>
      <c r="AG172" s="480" t="str">
        <f t="shared" si="28"/>
        <v/>
      </c>
      <c r="AH172" s="481" t="str">
        <f t="shared" si="29"/>
        <v/>
      </c>
      <c r="AI172" s="477" t="str">
        <f>IF($AC$172="","",IFERROR(INDEX($AZ$74:$AZ$119,MATCH($AH$172,$AY$74:$AY$119,0)),"AUTRE"))</f>
        <v/>
      </c>
      <c r="AJ172" s="482" t="str">
        <f>IF($AC$172="","",IFERROR(INDEX($BA$74:$BA$119,MATCH($AH$172,$AY$74:$AY$119,0)),1))</f>
        <v/>
      </c>
      <c r="AK172" s="482" t="str">
        <f t="shared" si="30"/>
        <v/>
      </c>
      <c r="AL172" s="477" t="str">
        <f>IF($AC$172="","",IFERROR(INDEX($BB$74:$BB$119,MATCH($AH$172,$AY$74:$AY$119,0)),$AH$172))</f>
        <v/>
      </c>
      <c r="AM172" s="483" t="str">
        <f t="shared" si="31"/>
        <v/>
      </c>
      <c r="AN172" s="484" t="str">
        <f t="shared" si="32"/>
        <v/>
      </c>
      <c r="AO172" s="473" t="str">
        <f t="shared" si="33"/>
        <v/>
      </c>
      <c r="AP172" s="473" t="str">
        <f t="shared" si="34"/>
        <v/>
      </c>
      <c r="AQ172" s="473" t="str">
        <f t="shared" si="35"/>
        <v/>
      </c>
      <c r="AR172" s="473" t="str">
        <f t="shared" si="36"/>
        <v/>
      </c>
      <c r="AS172" s="473" t="str">
        <f t="shared" si="37"/>
        <v/>
      </c>
      <c r="AT172" s="473" t="str">
        <f t="shared" si="38"/>
        <v/>
      </c>
      <c r="AU172" s="473" t="str">
        <f t="shared" si="39"/>
        <v/>
      </c>
      <c r="AY172" s="271"/>
      <c r="AZ172" s="29" t="s">
        <v>9</v>
      </c>
      <c r="BA172" s="34" t="s">
        <v>472</v>
      </c>
      <c r="BB172" s="499"/>
      <c r="BC172" s="271"/>
      <c r="BD172" s="279">
        <v>1</v>
      </c>
      <c r="BE172" s="271"/>
      <c r="BF172" s="271"/>
      <c r="BG172" s="271"/>
      <c r="BH172" s="271"/>
      <c r="BI172" s="271"/>
      <c r="BJ172" s="271"/>
      <c r="BK172" s="271"/>
      <c r="BL172" s="271"/>
    </row>
    <row r="173" spans="18:64" ht="21" customHeight="1" x14ac:dyDescent="0.25">
      <c r="R173" s="25" t="s">
        <v>6116</v>
      </c>
      <c r="S173" s="451"/>
      <c r="T173" s="28" t="s">
        <v>21</v>
      </c>
      <c r="V173" s="475">
        <v>3</v>
      </c>
      <c r="W173" s="475" t="str">
        <f>IF($AC$173="","",$W$144)</f>
        <v/>
      </c>
      <c r="X173" s="476" t="str">
        <f>IF($AC$173="","",$X$144)</f>
        <v/>
      </c>
      <c r="Y173" s="477" t="str">
        <f>IF($X$173="","",$Y$144)</f>
        <v/>
      </c>
      <c r="Z173" s="477" t="str">
        <f>IF($X$173="","",$Z$144)</f>
        <v/>
      </c>
      <c r="AA173" s="477" t="str">
        <f>IF($AC$173="","",ROW($A$173)-ROW($A$144))</f>
        <v/>
      </c>
      <c r="AB173" s="478"/>
      <c r="AC173" s="34"/>
      <c r="AD173" s="356"/>
      <c r="AE173" s="479"/>
      <c r="AF173" s="475"/>
      <c r="AG173" s="480" t="str">
        <f t="shared" si="28"/>
        <v/>
      </c>
      <c r="AH173" s="481" t="str">
        <f t="shared" si="29"/>
        <v/>
      </c>
      <c r="AI173" s="477" t="str">
        <f>IF($AC$173="","",IFERROR(INDEX($AZ$74:$AZ$119,MATCH($AH$173,$AY$74:$AY$119,0)),"AUTRE"))</f>
        <v/>
      </c>
      <c r="AJ173" s="482" t="str">
        <f>IF($AC$173="","",IFERROR(INDEX($BA$74:$BA$119,MATCH($AH$173,$AY$74:$AY$119,0)),1))</f>
        <v/>
      </c>
      <c r="AK173" s="482" t="str">
        <f t="shared" si="30"/>
        <v/>
      </c>
      <c r="AL173" s="477" t="str">
        <f>IF($AC$173="","",IFERROR(INDEX($BB$74:$BB$119,MATCH($AH$173,$AY$74:$AY$119,0)),$AH$173))</f>
        <v/>
      </c>
      <c r="AM173" s="483" t="str">
        <f t="shared" si="31"/>
        <v/>
      </c>
      <c r="AN173" s="484" t="str">
        <f t="shared" si="32"/>
        <v/>
      </c>
      <c r="AO173" s="473" t="str">
        <f t="shared" si="33"/>
        <v/>
      </c>
      <c r="AP173" s="473" t="str">
        <f t="shared" si="34"/>
        <v/>
      </c>
      <c r="AQ173" s="473" t="str">
        <f t="shared" si="35"/>
        <v/>
      </c>
      <c r="AR173" s="473" t="str">
        <f t="shared" si="36"/>
        <v/>
      </c>
      <c r="AS173" s="473" t="str">
        <f t="shared" si="37"/>
        <v/>
      </c>
      <c r="AT173" s="473" t="str">
        <f t="shared" si="38"/>
        <v/>
      </c>
      <c r="AU173" s="473" t="str">
        <f t="shared" si="39"/>
        <v/>
      </c>
      <c r="AY173" s="497" t="s">
        <v>8145</v>
      </c>
      <c r="AZ173" s="30" t="s">
        <v>10</v>
      </c>
      <c r="BA173" s="34" t="s">
        <v>6112</v>
      </c>
      <c r="BB173" s="499"/>
      <c r="BC173" s="271"/>
      <c r="BD173" s="279">
        <v>1</v>
      </c>
      <c r="BE173" s="271"/>
      <c r="BF173" s="271"/>
      <c r="BG173" s="271"/>
      <c r="BH173" s="271"/>
      <c r="BI173" s="271"/>
      <c r="BJ173" s="271"/>
      <c r="BK173" s="271"/>
      <c r="BL173" s="271"/>
    </row>
    <row r="174" spans="18:64" ht="21" customHeight="1" x14ac:dyDescent="0.25">
      <c r="R174" s="34" t="s">
        <v>6117</v>
      </c>
      <c r="S174" s="451"/>
      <c r="T174" s="28" t="s">
        <v>22</v>
      </c>
      <c r="V174" s="475">
        <v>3</v>
      </c>
      <c r="W174" s="475" t="str">
        <f>IF($AC$174="","",$W$144)</f>
        <v/>
      </c>
      <c r="X174" s="476" t="str">
        <f>IF($AC$174="","",$X$144)</f>
        <v/>
      </c>
      <c r="Y174" s="477" t="str">
        <f>IF($X$174="","",$Y$144)</f>
        <v/>
      </c>
      <c r="Z174" s="477" t="str">
        <f>IF($X$174="","",$Z$144)</f>
        <v/>
      </c>
      <c r="AA174" s="477" t="str">
        <f>IF($AC$174="","",ROW($A$174)-ROW($A$144))</f>
        <v/>
      </c>
      <c r="AB174" s="478"/>
      <c r="AC174" s="34"/>
      <c r="AD174" s="356"/>
      <c r="AE174" s="479"/>
      <c r="AF174" s="475"/>
      <c r="AG174" s="480" t="str">
        <f t="shared" si="28"/>
        <v/>
      </c>
      <c r="AH174" s="481" t="str">
        <f t="shared" si="29"/>
        <v/>
      </c>
      <c r="AI174" s="477" t="str">
        <f>IF($AC$174="","",IFERROR(INDEX($AZ$74:$AZ$119,MATCH($AH$174,$AY$74:$AY$119,0)),"AUTRE"))</f>
        <v/>
      </c>
      <c r="AJ174" s="482" t="str">
        <f>IF($AC$174="","",IFERROR(INDEX($BA$74:$BA$119,MATCH($AH$174,$AY$74:$AY$119,0)),1))</f>
        <v/>
      </c>
      <c r="AK174" s="482" t="str">
        <f t="shared" si="30"/>
        <v/>
      </c>
      <c r="AL174" s="477" t="str">
        <f>IF($AC$174="","",IFERROR(INDEX($BB$74:$BB$119,MATCH($AH$174,$AY$74:$AY$119,0)),$AH$174))</f>
        <v/>
      </c>
      <c r="AM174" s="483" t="str">
        <f t="shared" si="31"/>
        <v/>
      </c>
      <c r="AN174" s="484" t="str">
        <f t="shared" si="32"/>
        <v/>
      </c>
      <c r="AO174" s="473" t="str">
        <f t="shared" si="33"/>
        <v/>
      </c>
      <c r="AP174" s="473" t="str">
        <f t="shared" si="34"/>
        <v/>
      </c>
      <c r="AQ174" s="473" t="str">
        <f t="shared" si="35"/>
        <v/>
      </c>
      <c r="AR174" s="473" t="str">
        <f t="shared" si="36"/>
        <v/>
      </c>
      <c r="AS174" s="473" t="str">
        <f t="shared" si="37"/>
        <v/>
      </c>
      <c r="AT174" s="473" t="str">
        <f t="shared" si="38"/>
        <v/>
      </c>
      <c r="AU174" s="473" t="str">
        <f t="shared" si="39"/>
        <v/>
      </c>
      <c r="AY174" s="497" t="s">
        <v>462</v>
      </c>
      <c r="AZ174" s="30" t="s">
        <v>11</v>
      </c>
      <c r="BA174" s="25" t="s">
        <v>6116</v>
      </c>
      <c r="BB174" s="499"/>
      <c r="BC174" s="271"/>
      <c r="BD174" s="279">
        <v>1</v>
      </c>
      <c r="BE174" s="271"/>
      <c r="BF174" s="271"/>
      <c r="BG174" s="271"/>
      <c r="BH174" s="271"/>
      <c r="BI174" s="271"/>
      <c r="BJ174" s="271"/>
      <c r="BK174" s="271"/>
      <c r="BL174" s="271"/>
    </row>
    <row r="175" spans="18:64" ht="21" customHeight="1" x14ac:dyDescent="0.25">
      <c r="R175" s="34" t="s">
        <v>469</v>
      </c>
      <c r="S175" s="451"/>
      <c r="T175" s="28" t="s">
        <v>23</v>
      </c>
      <c r="V175" s="475">
        <v>3</v>
      </c>
      <c r="W175" s="475" t="str">
        <f>IF($AC$175="","",$W$144)</f>
        <v/>
      </c>
      <c r="X175" s="476" t="str">
        <f>IF($AC$175="","",$X$144)</f>
        <v/>
      </c>
      <c r="Y175" s="477" t="str">
        <f>IF($X$175="","",$Y$144)</f>
        <v/>
      </c>
      <c r="Z175" s="477" t="str">
        <f>IF($X$175="","",$Z$144)</f>
        <v/>
      </c>
      <c r="AA175" s="477" t="str">
        <f>IF($AC$175="","",ROW($A$175)-ROW($A$144))</f>
        <v/>
      </c>
      <c r="AB175" s="478"/>
      <c r="AC175" s="34"/>
      <c r="AD175" s="356"/>
      <c r="AE175" s="479"/>
      <c r="AF175" s="475"/>
      <c r="AG175" s="480" t="str">
        <f t="shared" si="28"/>
        <v/>
      </c>
      <c r="AH175" s="481" t="str">
        <f t="shared" si="29"/>
        <v/>
      </c>
      <c r="AI175" s="477" t="str">
        <f>IF($AC$175="","",IFERROR(INDEX($AZ$74:$AZ$119,MATCH($AH$175,$AY$74:$AY$119,0)),"AUTRE"))</f>
        <v/>
      </c>
      <c r="AJ175" s="482" t="str">
        <f>IF($AC$175="","",IFERROR(INDEX($BA$74:$BA$119,MATCH($AH$175,$AY$74:$AY$119,0)),1))</f>
        <v/>
      </c>
      <c r="AK175" s="482" t="str">
        <f t="shared" si="30"/>
        <v/>
      </c>
      <c r="AL175" s="477" t="str">
        <f>IF($AC$175="","",IFERROR(INDEX($BB$74:$BB$119,MATCH($AH$175,$AY$74:$AY$119,0)),$AH$175))</f>
        <v/>
      </c>
      <c r="AM175" s="483" t="str">
        <f t="shared" si="31"/>
        <v/>
      </c>
      <c r="AN175" s="484" t="str">
        <f t="shared" si="32"/>
        <v/>
      </c>
      <c r="AO175" s="473" t="str">
        <f t="shared" si="33"/>
        <v/>
      </c>
      <c r="AP175" s="473" t="str">
        <f t="shared" si="34"/>
        <v/>
      </c>
      <c r="AQ175" s="473" t="str">
        <f t="shared" si="35"/>
        <v/>
      </c>
      <c r="AR175" s="473" t="str">
        <f t="shared" si="36"/>
        <v/>
      </c>
      <c r="AS175" s="473" t="str">
        <f t="shared" si="37"/>
        <v/>
      </c>
      <c r="AT175" s="473" t="str">
        <f t="shared" si="38"/>
        <v/>
      </c>
      <c r="AU175" s="473" t="str">
        <f t="shared" si="39"/>
        <v/>
      </c>
      <c r="AY175" s="497" t="s">
        <v>463</v>
      </c>
      <c r="AZ175" s="30" t="s">
        <v>12</v>
      </c>
      <c r="BA175" s="34" t="s">
        <v>6117</v>
      </c>
      <c r="BB175" s="499"/>
      <c r="BC175" s="271"/>
      <c r="BD175" s="279">
        <v>1</v>
      </c>
      <c r="BE175" s="271"/>
      <c r="BF175" s="271"/>
      <c r="BG175" s="271"/>
      <c r="BH175" s="271"/>
      <c r="BI175" s="271"/>
      <c r="BJ175" s="271"/>
      <c r="BK175" s="271"/>
      <c r="BL175" s="271"/>
    </row>
    <row r="176" spans="18:64" ht="21" customHeight="1" x14ac:dyDescent="0.25">
      <c r="R176" s="34" t="s">
        <v>6118</v>
      </c>
      <c r="S176" s="451"/>
      <c r="T176" s="28" t="s">
        <v>24</v>
      </c>
      <c r="V176" s="475">
        <v>3</v>
      </c>
      <c r="W176" s="475" t="str">
        <f>IF($AC$176="","",$W$144)</f>
        <v/>
      </c>
      <c r="X176" s="476" t="str">
        <f>IF($AC$176="","",$X$144)</f>
        <v/>
      </c>
      <c r="Y176" s="477" t="str">
        <f>IF($X$176="","",$Y$144)</f>
        <v/>
      </c>
      <c r="Z176" s="477" t="str">
        <f>IF($X$176="","",$Z$144)</f>
        <v/>
      </c>
      <c r="AA176" s="477" t="str">
        <f>IF($AC$176="","",ROW($A$176)-ROW($A$144))</f>
        <v/>
      </c>
      <c r="AB176" s="478"/>
      <c r="AC176" s="34"/>
      <c r="AD176" s="356"/>
      <c r="AE176" s="479"/>
      <c r="AF176" s="475"/>
      <c r="AG176" s="480" t="str">
        <f t="shared" si="28"/>
        <v/>
      </c>
      <c r="AH176" s="481" t="str">
        <f t="shared" si="29"/>
        <v/>
      </c>
      <c r="AI176" s="477" t="str">
        <f>IF($AC$176="","",IFERROR(INDEX($AZ$74:$AZ$119,MATCH($AH$176,$AY$74:$AY$119,0)),"AUTRE"))</f>
        <v/>
      </c>
      <c r="AJ176" s="482" t="str">
        <f>IF($AC$176="","",IFERROR(INDEX($BA$74:$BA$119,MATCH($AH$176,$AY$74:$AY$119,0)),1))</f>
        <v/>
      </c>
      <c r="AK176" s="482" t="str">
        <f t="shared" si="30"/>
        <v/>
      </c>
      <c r="AL176" s="477" t="str">
        <f>IF($AC$176="","",IFERROR(INDEX($BB$74:$BB$119,MATCH($AH$176,$AY$74:$AY$119,0)),$AH$176))</f>
        <v/>
      </c>
      <c r="AM176" s="483" t="str">
        <f t="shared" si="31"/>
        <v/>
      </c>
      <c r="AN176" s="484" t="str">
        <f t="shared" si="32"/>
        <v/>
      </c>
      <c r="AO176" s="473" t="str">
        <f t="shared" si="33"/>
        <v/>
      </c>
      <c r="AP176" s="473" t="str">
        <f t="shared" si="34"/>
        <v/>
      </c>
      <c r="AQ176" s="473" t="str">
        <f t="shared" si="35"/>
        <v/>
      </c>
      <c r="AR176" s="473" t="str">
        <f t="shared" si="36"/>
        <v/>
      </c>
      <c r="AS176" s="473" t="str">
        <f t="shared" si="37"/>
        <v/>
      </c>
      <c r="AT176" s="473" t="str">
        <f t="shared" si="38"/>
        <v/>
      </c>
      <c r="AU176" s="473" t="str">
        <f t="shared" si="39"/>
        <v/>
      </c>
      <c r="AY176" s="497" t="s">
        <v>8147</v>
      </c>
      <c r="AZ176" s="31" t="s">
        <v>16</v>
      </c>
      <c r="BA176" s="34" t="s">
        <v>469</v>
      </c>
      <c r="BB176" s="499"/>
      <c r="BC176" s="271"/>
      <c r="BD176" s="279">
        <v>1</v>
      </c>
      <c r="BE176" s="271"/>
      <c r="BF176" s="271"/>
      <c r="BG176" s="271"/>
      <c r="BH176" s="271"/>
      <c r="BI176" s="271"/>
      <c r="BJ176" s="271"/>
      <c r="BK176" s="271"/>
      <c r="BL176" s="271"/>
    </row>
    <row r="177" spans="18:64" ht="21" customHeight="1" x14ac:dyDescent="0.25">
      <c r="R177" s="34" t="s">
        <v>492</v>
      </c>
      <c r="S177" s="451"/>
      <c r="T177" s="29" t="s">
        <v>9</v>
      </c>
      <c r="V177" s="475">
        <v>3</v>
      </c>
      <c r="W177" s="475" t="str">
        <f>IF($AC$177="","",$W$144)</f>
        <v/>
      </c>
      <c r="X177" s="476" t="str">
        <f>IF($AC$177="","",$X$144)</f>
        <v/>
      </c>
      <c r="Y177" s="477" t="str">
        <f>IF($X$177="","",$Y$144)</f>
        <v/>
      </c>
      <c r="Z177" s="477" t="str">
        <f>IF($X$177="","",$Z$144)</f>
        <v/>
      </c>
      <c r="AA177" s="477" t="str">
        <f>IF($AC$177="","",ROW($A$177)-ROW($A$144))</f>
        <v/>
      </c>
      <c r="AB177" s="478"/>
      <c r="AC177" s="34"/>
      <c r="AD177" s="356"/>
      <c r="AE177" s="479"/>
      <c r="AF177" s="475"/>
      <c r="AG177" s="480" t="str">
        <f t="shared" si="28"/>
        <v/>
      </c>
      <c r="AH177" s="481" t="str">
        <f t="shared" si="29"/>
        <v/>
      </c>
      <c r="AI177" s="477" t="str">
        <f>IF($AC$177="","",IFERROR(INDEX($AZ$74:$AZ$119,MATCH($AH$177,$AY$74:$AY$119,0)),"AUTRE"))</f>
        <v/>
      </c>
      <c r="AJ177" s="482" t="str">
        <f>IF($AC$177="","",IFERROR(INDEX($BA$74:$BA$119,MATCH($AH$177,$AY$74:$AY$119,0)),1))</f>
        <v/>
      </c>
      <c r="AK177" s="482" t="str">
        <f t="shared" si="30"/>
        <v/>
      </c>
      <c r="AL177" s="477" t="str">
        <f>IF($AC$177="","",IFERROR(INDEX($BB$74:$BB$119,MATCH($AH$177,$AY$74:$AY$119,0)),$AH$177))</f>
        <v/>
      </c>
      <c r="AM177" s="483" t="str">
        <f t="shared" si="31"/>
        <v/>
      </c>
      <c r="AN177" s="484" t="str">
        <f t="shared" si="32"/>
        <v/>
      </c>
      <c r="AO177" s="473" t="str">
        <f t="shared" si="33"/>
        <v/>
      </c>
      <c r="AP177" s="473" t="str">
        <f t="shared" si="34"/>
        <v/>
      </c>
      <c r="AQ177" s="473" t="str">
        <f t="shared" si="35"/>
        <v/>
      </c>
      <c r="AR177" s="473" t="str">
        <f t="shared" si="36"/>
        <v/>
      </c>
      <c r="AS177" s="473" t="str">
        <f t="shared" si="37"/>
        <v/>
      </c>
      <c r="AT177" s="473" t="str">
        <f t="shared" si="38"/>
        <v/>
      </c>
      <c r="AU177" s="473" t="str">
        <f t="shared" si="39"/>
        <v/>
      </c>
      <c r="AY177" s="497" t="s">
        <v>465</v>
      </c>
      <c r="AZ177" s="31" t="s">
        <v>17</v>
      </c>
      <c r="BA177" s="34" t="s">
        <v>6118</v>
      </c>
      <c r="BB177" s="499"/>
      <c r="BC177" s="271"/>
      <c r="BD177" s="279">
        <v>1</v>
      </c>
      <c r="BE177" s="271"/>
      <c r="BF177" s="271"/>
      <c r="BG177" s="271"/>
      <c r="BH177" s="271"/>
      <c r="BI177" s="271"/>
      <c r="BJ177" s="271"/>
      <c r="BK177" s="271"/>
      <c r="BL177" s="271"/>
    </row>
    <row r="178" spans="18:64" ht="21" customHeight="1" x14ac:dyDescent="0.25">
      <c r="R178" s="34" t="s">
        <v>458</v>
      </c>
      <c r="S178" s="451"/>
      <c r="T178" s="30" t="s">
        <v>10</v>
      </c>
      <c r="V178" s="475">
        <v>3</v>
      </c>
      <c r="W178" s="475" t="str">
        <f>IF($AC$178="","",$W$144)</f>
        <v/>
      </c>
      <c r="X178" s="476" t="str">
        <f>IF($AC$178="","",$X$144)</f>
        <v/>
      </c>
      <c r="Y178" s="477" t="str">
        <f>IF($X$178="","",$Y$144)</f>
        <v/>
      </c>
      <c r="Z178" s="477" t="str">
        <f>IF($X$178="","",$Z$144)</f>
        <v/>
      </c>
      <c r="AA178" s="477" t="str">
        <f>IF($AC$178="","",ROW($A$178)-ROW($A$144))</f>
        <v/>
      </c>
      <c r="AB178" s="478"/>
      <c r="AC178" s="34"/>
      <c r="AD178" s="356"/>
      <c r="AE178" s="479"/>
      <c r="AF178" s="475"/>
      <c r="AG178" s="491" t="str">
        <f t="shared" si="28"/>
        <v/>
      </c>
      <c r="AH178" s="481" t="str">
        <f t="shared" si="29"/>
        <v/>
      </c>
      <c r="AI178" s="477" t="str">
        <f>IF($AC$178="","",IFERROR(INDEX($AZ$74:$AZ$119,MATCH($AH$178,$AY$74:$AY$119,0)),"AUTRE"))</f>
        <v/>
      </c>
      <c r="AJ178" s="482" t="str">
        <f>IF($AC$178="","",IFERROR(INDEX($BA$74:$BA$119,MATCH($AH$178,$AY$74:$AY$119,0)),1))</f>
        <v/>
      </c>
      <c r="AK178" s="482" t="str">
        <f t="shared" si="30"/>
        <v/>
      </c>
      <c r="AL178" s="477" t="str">
        <f>IF($AC$178="","",IFERROR(INDEX($BB$74:$BB$119,MATCH($AH$178,$AY$74:$AY$119,0)),$AH$178))</f>
        <v/>
      </c>
      <c r="AM178" s="483" t="str">
        <f t="shared" si="31"/>
        <v/>
      </c>
      <c r="AN178" s="484" t="str">
        <f t="shared" si="32"/>
        <v/>
      </c>
      <c r="AO178" s="473" t="str">
        <f t="shared" si="33"/>
        <v/>
      </c>
      <c r="AP178" s="473" t="str">
        <f t="shared" si="34"/>
        <v/>
      </c>
      <c r="AQ178" s="473" t="str">
        <f t="shared" si="35"/>
        <v/>
      </c>
      <c r="AR178" s="473" t="str">
        <f t="shared" si="36"/>
        <v/>
      </c>
      <c r="AS178" s="473" t="str">
        <f t="shared" si="37"/>
        <v/>
      </c>
      <c r="AT178" s="473" t="str">
        <f t="shared" si="38"/>
        <v/>
      </c>
      <c r="AU178" s="473" t="str">
        <f t="shared" si="39"/>
        <v/>
      </c>
      <c r="AY178" s="497" t="s">
        <v>466</v>
      </c>
      <c r="AZ178" s="31" t="s">
        <v>18</v>
      </c>
      <c r="BA178" s="34" t="s">
        <v>492</v>
      </c>
      <c r="BB178" s="499"/>
      <c r="BC178" s="271"/>
      <c r="BD178" s="279">
        <v>1</v>
      </c>
      <c r="BE178" s="271"/>
      <c r="BF178" s="271"/>
      <c r="BG178" s="271"/>
      <c r="BH178" s="271"/>
      <c r="BI178" s="271"/>
      <c r="BJ178" s="271"/>
      <c r="BK178" s="271"/>
      <c r="BL178" s="271"/>
    </row>
    <row r="179" spans="18:64" ht="30" customHeight="1" x14ac:dyDescent="0.25">
      <c r="R179" s="490"/>
      <c r="S179" s="451"/>
      <c r="T179" s="30" t="s">
        <v>11</v>
      </c>
      <c r="V179" s="453" t="s">
        <v>324</v>
      </c>
      <c r="W179" s="453" t="s">
        <v>7912</v>
      </c>
      <c r="X179" s="453" t="s">
        <v>326</v>
      </c>
      <c r="Y179" s="453" t="s">
        <v>327</v>
      </c>
      <c r="Z179" s="454" t="s">
        <v>7930</v>
      </c>
      <c r="AA179" s="453" t="s">
        <v>7937</v>
      </c>
      <c r="AB179" s="455" t="s">
        <v>39</v>
      </c>
      <c r="AC179" s="455" t="s">
        <v>338</v>
      </c>
      <c r="AD179" s="455" t="s">
        <v>8114</v>
      </c>
      <c r="AE179" s="455" t="s">
        <v>339</v>
      </c>
      <c r="AF179" s="455" t="s">
        <v>7997</v>
      </c>
      <c r="AG179" s="453" t="s">
        <v>8018</v>
      </c>
      <c r="AH179" s="453" t="s">
        <v>8023</v>
      </c>
      <c r="AI179" s="453" t="s">
        <v>330</v>
      </c>
      <c r="AJ179" s="453" t="s">
        <v>8031</v>
      </c>
      <c r="AK179" s="453" t="s">
        <v>8037</v>
      </c>
      <c r="AL179" s="453" t="s">
        <v>8041</v>
      </c>
      <c r="AM179" s="453" t="s">
        <v>343</v>
      </c>
      <c r="AN179" s="457" t="s">
        <v>8115</v>
      </c>
      <c r="AO179" s="457" t="s">
        <v>8116</v>
      </c>
      <c r="AP179" s="656" t="s">
        <v>8117</v>
      </c>
      <c r="AQ179" s="656"/>
      <c r="AR179" s="656"/>
      <c r="AS179" s="656"/>
      <c r="AT179" s="656"/>
      <c r="AU179" s="657"/>
      <c r="AZ179" s="31" t="s">
        <v>19</v>
      </c>
      <c r="BA179" s="34" t="s">
        <v>458</v>
      </c>
      <c r="BB179" s="499"/>
      <c r="BC179" s="271"/>
      <c r="BD179" s="279">
        <v>1</v>
      </c>
      <c r="BE179" s="271"/>
      <c r="BF179" s="271"/>
      <c r="BG179" s="271"/>
      <c r="BH179" s="271"/>
      <c r="BI179" s="271"/>
      <c r="BJ179" s="271"/>
      <c r="BK179" s="271"/>
      <c r="BL179" s="271"/>
    </row>
    <row r="180" spans="18:64" ht="30" customHeight="1" x14ac:dyDescent="0.25">
      <c r="R180" s="25" t="s">
        <v>6119</v>
      </c>
      <c r="S180" s="451"/>
      <c r="T180" s="30" t="s">
        <v>12</v>
      </c>
      <c r="V180" s="459">
        <v>4</v>
      </c>
      <c r="W180" s="460" t="s">
        <v>8120</v>
      </c>
      <c r="X180" s="461" t="s">
        <v>8151</v>
      </c>
      <c r="Y180" s="462"/>
      <c r="Z180" s="463">
        <v>100</v>
      </c>
      <c r="AA180" s="464">
        <f>IF($AC$396="","",ROW($A$396)-ROW($A$396))</f>
        <v>0</v>
      </c>
      <c r="AB180" s="461"/>
      <c r="AC180" s="465" t="s">
        <v>8152</v>
      </c>
      <c r="AD180" s="390"/>
      <c r="AE180" s="390"/>
      <c r="AF180" s="466"/>
      <c r="AG180" s="467" t="str">
        <f t="shared" ref="AG180:AG214" si="40">IF($AC180="","",IF(LEN($AN180&amp;"")=0,"",$AN180))</f>
        <v/>
      </c>
      <c r="AH180" s="468" t="str">
        <f t="shared" ref="AH180:AH214" si="41">IF($AC180="","",IF($AF180&lt;&gt;"",UPPER(TRIM(SUBSTITUTE(SUBSTITUTE($AF180&amp;"",CHAR(160)," ")," "," "))),$AP180))</f>
        <v/>
      </c>
      <c r="AI180" s="469" t="str">
        <f>IF($AC$180="","",IFERROR(INDEX($AZ$74:$AZ$119,MATCH($AH$180,$AY$74:$AY$119,0)),"AUTRE"))</f>
        <v>AUTRE</v>
      </c>
      <c r="AJ180" s="470">
        <f>IF($AC$180="","",IFERROR(INDEX($BA$74:$BA$119,MATCH($AH$180,$AY$74:$AY$119,0)),1))</f>
        <v>1</v>
      </c>
      <c r="AK180" s="470" t="str">
        <f t="shared" ref="AK180:AK214" si="42">IF(OR(AG180="",AJ180=""),"",AG180*AJ180)</f>
        <v/>
      </c>
      <c r="AL180" s="469" t="str">
        <f>IF($AC$180="","",IFERROR(INDEX($BB$74:$BB$119,MATCH($AH$180,$AY$74:$AY$119,0)),$AH$180))</f>
        <v/>
      </c>
      <c r="AM180" s="471" t="str">
        <f t="shared" ref="AM180:AM214" si="43">IF($AC180="","",IF($AH180="QT. SUFFISANTE","OK",IF($AG180="","TEXTE",IF(NOT(ISNUMBER($AG180)),"QUANTITÉ À CONTRÔLER",IF(COUNTIF($AY$74:$AY$119,$AH180)=0,"UNITÉ À CONTRÔLER","OK")))))</f>
        <v>TEXTE</v>
      </c>
      <c r="AN180" s="474" t="str">
        <f t="shared" ref="AN180:AN214" si="44">IF($AE180&lt;&gt;"",$AE180,IF($AD180="","",IF(ISNUMBER($AD180),$AD180,IF($AO180="QT",0,IF($AO180="","",IFERROR(IF(ISNUMBER(SEARCH("/",$AO180)),VALUE(TRIM(LEFT($AO180,SEARCH("/",$AO180)-1)))/VALUE(TRIM(MID($AO180,SEARCH("/",$AO180)+1,99))),VALUE(SUBSTITUTE($AO180,".",","))),""))))))</f>
        <v/>
      </c>
      <c r="AO180" s="473" t="str">
        <f t="shared" ref="AO180:AO214" si="45">IF($AD180="","",IF(ISNUMBER($AD180),$AD180,IF(OR(LEFT($AQ180,3)="QT.",LEFT($AQ180,4)="QUAN"),"QT",IF($AR180=999,$AQ180,TRIM(LEFT($AQ180,$AR180-1))))))</f>
        <v/>
      </c>
      <c r="AP180" s="473" t="str">
        <f t="shared" ref="AP180:AP214" si="46">IF($AD180="","",IF(ISNUMBER($AD180),"",IF(OR(LEFT($AQ180,3)="QT.",LEFT($AQ180,4)="QUAN"),"QT. SUFFISANTE",IF($AO180="","",TRIM(MID($AQ180,LEN($AO180&amp;"")+1,999))))))</f>
        <v/>
      </c>
      <c r="AQ180" s="473" t="str">
        <f t="shared" ref="AQ180:AQ214" si="47">IF($AD180="","",UPPER(TRIM(SUBSTITUTE(SUBSTITUTE($AD180&amp;"",CHAR(160)," ")," "," "))))</f>
        <v/>
      </c>
      <c r="AR180" s="473" t="str">
        <f t="shared" ref="AR180:AR214" si="48">IF($AQ180="","",MIN($AS180,$AT180,$AU180))</f>
        <v/>
      </c>
      <c r="AS180" s="473" t="str">
        <f t="shared" ref="AS180:AS214" si="49">IF($AQ180="","",MIN(IFERROR(SEARCH("A",$AQ180),999),IFERROR(SEARCH("B",$AQ180),999),IFERROR(SEARCH("C",$AQ180),999),IFERROR(SEARCH("D",$AQ180),999),IFERROR(SEARCH("E",$AQ180),999),IFERROR(SEARCH("F",$AQ180),999),IFERROR(SEARCH("G",$AQ180),999),IFERROR(SEARCH("H",$AQ180),999),IFERROR(SEARCH("I",$AQ180),999)))</f>
        <v/>
      </c>
      <c r="AT180" s="473" t="str">
        <f t="shared" ref="AT180:AT214" si="50">IF($AQ180="","",MIN(IFERROR(SEARCH("J",$AQ180),999),IFERROR(SEARCH("K",$AQ180),999),IFERROR(SEARCH("L",$AQ180),999),IFERROR(SEARCH("M",$AQ180),999),IFERROR(SEARCH("N",$AQ180),999),IFERROR(SEARCH("O",$AQ180),999),IFERROR(SEARCH("P",$AQ180),999),IFERROR(SEARCH("Q",$AQ180),999),IFERROR(SEARCH("R",$AQ180),999)))</f>
        <v/>
      </c>
      <c r="AU180" s="473" t="str">
        <f t="shared" ref="AU180:AU214" si="51">IF($AQ180="","",MIN(IFERROR(SEARCH("S",$AQ180),999),IFERROR(SEARCH("T",$AQ180),999),IFERROR(SEARCH("U",$AQ180),999),IFERROR(SEARCH("V",$AQ180),999),IFERROR(SEARCH("W",$AQ180),999),IFERROR(SEARCH("X",$AQ180),999),IFERROR(SEARCH("Y",$AQ180),999),IFERROR(SEARCH("Z",$AQ180),999)))</f>
        <v/>
      </c>
      <c r="AZ180" s="31" t="s">
        <v>211</v>
      </c>
      <c r="BA180" s="490"/>
      <c r="BB180" s="499"/>
      <c r="BC180" s="271"/>
      <c r="BD180" s="279">
        <v>1</v>
      </c>
      <c r="BE180" s="271"/>
      <c r="BF180" s="271"/>
      <c r="BG180" s="271"/>
      <c r="BH180" s="271"/>
      <c r="BI180" s="271"/>
      <c r="BJ180" s="271"/>
      <c r="BK180" s="271"/>
      <c r="BL180" s="271"/>
    </row>
    <row r="181" spans="18:64" ht="21" customHeight="1" x14ac:dyDescent="0.25">
      <c r="R181" s="34" t="s">
        <v>6120</v>
      </c>
      <c r="S181" s="451"/>
      <c r="T181" s="31" t="s">
        <v>16</v>
      </c>
      <c r="V181" s="475">
        <f>$V$180</f>
        <v>4</v>
      </c>
      <c r="W181" s="475" t="str">
        <f>IF($AC$181="","",$W$180)</f>
        <v/>
      </c>
      <c r="X181" s="476" t="str">
        <f>IF($AC$181="","",$X$180)</f>
        <v/>
      </c>
      <c r="Y181" s="477" t="str">
        <f>IF($X$181="","",$Y$180)</f>
        <v/>
      </c>
      <c r="Z181" s="477" t="str">
        <f>IF($X$181="","",$Z$180)</f>
        <v/>
      </c>
      <c r="AA181" s="477" t="str">
        <f>IF($AC$181="","",ROW($A$181)-ROW($A$180))</f>
        <v/>
      </c>
      <c r="AB181" s="478"/>
      <c r="AC181" s="34"/>
      <c r="AD181" s="356"/>
      <c r="AE181" s="479"/>
      <c r="AF181" s="475"/>
      <c r="AG181" s="480" t="str">
        <f t="shared" si="40"/>
        <v/>
      </c>
      <c r="AH181" s="481" t="str">
        <f t="shared" si="41"/>
        <v/>
      </c>
      <c r="AI181" s="477" t="str">
        <f>IF($AC$181="","",IFERROR(INDEX($AZ$74:$AZ$119,MATCH($AH$181,$AY$74:$AY$119,0)),"AUTRE"))</f>
        <v/>
      </c>
      <c r="AJ181" s="482" t="str">
        <f>IF($AC$181="","",IFERROR(INDEX($BA$74:$BA$119,MATCH($AH$181,$AY$74:$AY$119,0)),1))</f>
        <v/>
      </c>
      <c r="AK181" s="482" t="str">
        <f t="shared" si="42"/>
        <v/>
      </c>
      <c r="AL181" s="477" t="str">
        <f>IF($AC$181="","",IFERROR(INDEX($BB$74:$BB$119,MATCH($AH$181,$AY$74:$AY$119,0)),$AH$181))</f>
        <v/>
      </c>
      <c r="AM181" s="483" t="str">
        <f t="shared" si="43"/>
        <v/>
      </c>
      <c r="AN181" s="484" t="str">
        <f t="shared" si="44"/>
        <v/>
      </c>
      <c r="AO181" s="473" t="str">
        <f t="shared" si="45"/>
        <v/>
      </c>
      <c r="AP181" s="473" t="str">
        <f t="shared" si="46"/>
        <v/>
      </c>
      <c r="AQ181" s="473" t="str">
        <f t="shared" si="47"/>
        <v/>
      </c>
      <c r="AR181" s="473" t="str">
        <f t="shared" si="48"/>
        <v/>
      </c>
      <c r="AS181" s="473" t="str">
        <f t="shared" si="49"/>
        <v/>
      </c>
      <c r="AT181" s="473" t="str">
        <f t="shared" si="50"/>
        <v/>
      </c>
      <c r="AU181" s="473" t="str">
        <f t="shared" si="51"/>
        <v/>
      </c>
      <c r="AZ181" s="31" t="s">
        <v>20</v>
      </c>
      <c r="BA181" s="25" t="s">
        <v>6119</v>
      </c>
      <c r="BB181" s="499"/>
      <c r="BC181" s="271"/>
      <c r="BD181" s="279">
        <v>1</v>
      </c>
      <c r="BE181" s="271"/>
      <c r="BF181" s="271"/>
      <c r="BG181" s="271"/>
      <c r="BH181" s="271"/>
      <c r="BI181" s="271"/>
      <c r="BJ181" s="271"/>
      <c r="BK181" s="271"/>
      <c r="BL181" s="271"/>
    </row>
    <row r="182" spans="18:64" ht="21" customHeight="1" x14ac:dyDescent="0.25">
      <c r="R182" s="34" t="s">
        <v>6121</v>
      </c>
      <c r="S182" s="451"/>
      <c r="T182" s="31" t="s">
        <v>17</v>
      </c>
      <c r="V182" s="475">
        <v>4</v>
      </c>
      <c r="W182" s="475" t="str">
        <f>IF($AC$182="","",$W$180)</f>
        <v/>
      </c>
      <c r="X182" s="476" t="str">
        <f>IF($AC$182="","",$X$180)</f>
        <v/>
      </c>
      <c r="Y182" s="477" t="str">
        <f>IF($X$182="","",$Y$180)</f>
        <v/>
      </c>
      <c r="Z182" s="477" t="str">
        <f>IF($X$182="","",$Z$180)</f>
        <v/>
      </c>
      <c r="AA182" s="477" t="str">
        <f>IF($AC$182="","",ROW($A$182)-ROW($A$180))</f>
        <v/>
      </c>
      <c r="AB182" s="478"/>
      <c r="AC182" s="34"/>
      <c r="AD182" s="356"/>
      <c r="AE182" s="479"/>
      <c r="AF182" s="475"/>
      <c r="AG182" s="480" t="str">
        <f t="shared" si="40"/>
        <v/>
      </c>
      <c r="AH182" s="481" t="str">
        <f t="shared" si="41"/>
        <v/>
      </c>
      <c r="AI182" s="477" t="str">
        <f>IF($AC$182="","",IFERROR(INDEX($AZ$74:$AZ$119,MATCH($AH$182,$AY$74:$AY$119,0)),"AUTRE"))</f>
        <v/>
      </c>
      <c r="AJ182" s="482" t="str">
        <f>IF($AC$182="","",IFERROR(INDEX($BA$74:$BA$119,MATCH($AH$182,$AY$74:$AY$119,0)),1))</f>
        <v/>
      </c>
      <c r="AK182" s="482" t="str">
        <f t="shared" si="42"/>
        <v/>
      </c>
      <c r="AL182" s="477" t="str">
        <f>IF($AC$182="","",IFERROR(INDEX($BB$74:$BB$119,MATCH($AH$182,$AY$74:$AY$119,0)),$AH$182))</f>
        <v/>
      </c>
      <c r="AM182" s="483" t="str">
        <f t="shared" si="43"/>
        <v/>
      </c>
      <c r="AN182" s="484" t="str">
        <f t="shared" si="44"/>
        <v/>
      </c>
      <c r="AO182" s="473" t="str">
        <f t="shared" si="45"/>
        <v/>
      </c>
      <c r="AP182" s="473" t="str">
        <f t="shared" si="46"/>
        <v/>
      </c>
      <c r="AQ182" s="473" t="str">
        <f t="shared" si="47"/>
        <v/>
      </c>
      <c r="AR182" s="473" t="str">
        <f t="shared" si="48"/>
        <v/>
      </c>
      <c r="AS182" s="473" t="str">
        <f t="shared" si="49"/>
        <v/>
      </c>
      <c r="AT182" s="473" t="str">
        <f t="shared" si="50"/>
        <v/>
      </c>
      <c r="AU182" s="473" t="str">
        <f t="shared" si="51"/>
        <v/>
      </c>
      <c r="AZ182" s="31" t="s">
        <v>304</v>
      </c>
      <c r="BA182" s="34" t="s">
        <v>6120</v>
      </c>
      <c r="BB182" s="499"/>
      <c r="BC182" s="271"/>
      <c r="BD182" s="279">
        <v>1</v>
      </c>
      <c r="BE182" s="271"/>
      <c r="BF182" s="271"/>
      <c r="BG182" s="271"/>
      <c r="BH182" s="271"/>
      <c r="BI182" s="271"/>
      <c r="BJ182" s="271"/>
      <c r="BK182" s="271"/>
      <c r="BL182" s="271"/>
    </row>
    <row r="183" spans="18:64" ht="21" customHeight="1" x14ac:dyDescent="0.25">
      <c r="R183" s="34" t="s">
        <v>6122</v>
      </c>
      <c r="S183" s="451"/>
      <c r="T183" s="31" t="s">
        <v>18</v>
      </c>
      <c r="V183" s="475">
        <v>4</v>
      </c>
      <c r="W183" s="475" t="str">
        <f>IF($AC$183="","",$W$180)</f>
        <v/>
      </c>
      <c r="X183" s="476" t="str">
        <f>IF($AC$183="","",$X$180)</f>
        <v/>
      </c>
      <c r="Y183" s="477" t="str">
        <f>IF($X$183="","",$Y$180)</f>
        <v/>
      </c>
      <c r="Z183" s="477" t="str">
        <f>IF($X$183="","",$Z$180)</f>
        <v/>
      </c>
      <c r="AA183" s="477" t="str">
        <f>IF($AC$183="","",ROW($A$183)-ROW($A$180))</f>
        <v/>
      </c>
      <c r="AB183" s="478"/>
      <c r="AC183" s="34"/>
      <c r="AD183" s="356"/>
      <c r="AE183" s="479"/>
      <c r="AF183" s="475"/>
      <c r="AG183" s="480" t="str">
        <f t="shared" si="40"/>
        <v/>
      </c>
      <c r="AH183" s="481" t="str">
        <f t="shared" si="41"/>
        <v/>
      </c>
      <c r="AI183" s="477" t="str">
        <f>IF($AC$183="","",IFERROR(INDEX($AZ$74:$AZ$119,MATCH($AH$183,$AY$74:$AY$119,0)),"AUTRE"))</f>
        <v/>
      </c>
      <c r="AJ183" s="482" t="str">
        <f>IF($AC$183="","",IFERROR(INDEX($BA$74:$BA$119,MATCH($AH$183,$AY$74:$AY$119,0)),1))</f>
        <v/>
      </c>
      <c r="AK183" s="482" t="str">
        <f t="shared" si="42"/>
        <v/>
      </c>
      <c r="AL183" s="477" t="str">
        <f>IF($AC$183="","",IFERROR(INDEX($BB$74:$BB$119,MATCH($AH$183,$AY$74:$AY$119,0)),$AH$183))</f>
        <v/>
      </c>
      <c r="AM183" s="483" t="str">
        <f t="shared" si="43"/>
        <v/>
      </c>
      <c r="AN183" s="484" t="str">
        <f t="shared" si="44"/>
        <v/>
      </c>
      <c r="AO183" s="473" t="str">
        <f t="shared" si="45"/>
        <v/>
      </c>
      <c r="AP183" s="473" t="str">
        <f t="shared" si="46"/>
        <v/>
      </c>
      <c r="AQ183" s="473" t="str">
        <f t="shared" si="47"/>
        <v/>
      </c>
      <c r="AR183" s="473" t="str">
        <f t="shared" si="48"/>
        <v/>
      </c>
      <c r="AS183" s="473" t="str">
        <f t="shared" si="49"/>
        <v/>
      </c>
      <c r="AT183" s="473" t="str">
        <f t="shared" si="50"/>
        <v/>
      </c>
      <c r="AU183" s="473" t="str">
        <f t="shared" si="51"/>
        <v/>
      </c>
      <c r="AZ183" s="31" t="s">
        <v>352</v>
      </c>
      <c r="BA183" s="34" t="s">
        <v>6121</v>
      </c>
      <c r="BB183" s="499"/>
      <c r="BC183" s="271"/>
      <c r="BD183" s="279">
        <v>1</v>
      </c>
      <c r="BE183" s="271"/>
      <c r="BF183" s="271"/>
      <c r="BG183" s="271"/>
      <c r="BH183" s="271"/>
      <c r="BI183" s="271"/>
      <c r="BJ183" s="271"/>
      <c r="BK183" s="271"/>
      <c r="BL183" s="271"/>
    </row>
    <row r="184" spans="18:64" ht="21" customHeight="1" x14ac:dyDescent="0.25">
      <c r="R184" s="34" t="s">
        <v>6123</v>
      </c>
      <c r="S184" s="451"/>
      <c r="T184" s="31" t="s">
        <v>19</v>
      </c>
      <c r="V184" s="475">
        <v>4</v>
      </c>
      <c r="W184" s="475" t="str">
        <f>IF($AC$184="","",$W$180)</f>
        <v/>
      </c>
      <c r="X184" s="476" t="str">
        <f>IF($AC$184="","",$X$180)</f>
        <v/>
      </c>
      <c r="Y184" s="477" t="str">
        <f>IF($X$184="","",$Y$180)</f>
        <v/>
      </c>
      <c r="Z184" s="477" t="str">
        <f>IF($X$184="","",$Z$180)</f>
        <v/>
      </c>
      <c r="AA184" s="477" t="str">
        <f>IF($AC$184="","",ROW($A$184)-ROW($A$180))</f>
        <v/>
      </c>
      <c r="AB184" s="478"/>
      <c r="AC184" s="34"/>
      <c r="AD184" s="356"/>
      <c r="AE184" s="479"/>
      <c r="AF184" s="475"/>
      <c r="AG184" s="480" t="str">
        <f t="shared" si="40"/>
        <v/>
      </c>
      <c r="AH184" s="481" t="str">
        <f t="shared" si="41"/>
        <v/>
      </c>
      <c r="AI184" s="477" t="str">
        <f>IF($AC$184="","",IFERROR(INDEX($AZ$74:$AZ$119,MATCH($AH$184,$AY$74:$AY$119,0)),"AUTRE"))</f>
        <v/>
      </c>
      <c r="AJ184" s="482" t="str">
        <f>IF($AC$184="","",IFERROR(INDEX($BA$74:$BA$119,MATCH($AH$184,$AY$74:$AY$119,0)),1))</f>
        <v/>
      </c>
      <c r="AK184" s="482" t="str">
        <f t="shared" si="42"/>
        <v/>
      </c>
      <c r="AL184" s="477" t="str">
        <f>IF($AC$184="","",IFERROR(INDEX($BB$74:$BB$119,MATCH($AH$184,$AY$74:$AY$119,0)),$AH$184))</f>
        <v/>
      </c>
      <c r="AM184" s="483" t="str">
        <f t="shared" si="43"/>
        <v/>
      </c>
      <c r="AN184" s="484" t="str">
        <f t="shared" si="44"/>
        <v/>
      </c>
      <c r="AO184" s="473" t="str">
        <f t="shared" si="45"/>
        <v/>
      </c>
      <c r="AP184" s="473" t="str">
        <f t="shared" si="46"/>
        <v/>
      </c>
      <c r="AQ184" s="473" t="str">
        <f t="shared" si="47"/>
        <v/>
      </c>
      <c r="AR184" s="473" t="str">
        <f t="shared" si="48"/>
        <v/>
      </c>
      <c r="AS184" s="473" t="str">
        <f t="shared" si="49"/>
        <v/>
      </c>
      <c r="AT184" s="473" t="str">
        <f t="shared" si="50"/>
        <v/>
      </c>
      <c r="AU184" s="473" t="str">
        <f t="shared" si="51"/>
        <v/>
      </c>
      <c r="AZ184" s="31" t="s">
        <v>27</v>
      </c>
      <c r="BA184" s="34" t="s">
        <v>6122</v>
      </c>
      <c r="BB184" s="499"/>
      <c r="BC184" s="271"/>
      <c r="BD184" s="279">
        <v>1</v>
      </c>
      <c r="BE184" s="271"/>
      <c r="BF184" s="271"/>
      <c r="BG184" s="271"/>
      <c r="BH184" s="271"/>
      <c r="BI184" s="271"/>
      <c r="BJ184" s="271"/>
      <c r="BK184" s="271"/>
      <c r="BL184" s="271"/>
    </row>
    <row r="185" spans="18:64" ht="21" customHeight="1" x14ac:dyDescent="0.25">
      <c r="R185" s="34" t="s">
        <v>6124</v>
      </c>
      <c r="S185" s="451"/>
      <c r="T185" s="31" t="s">
        <v>211</v>
      </c>
      <c r="V185" s="475">
        <v>4</v>
      </c>
      <c r="W185" s="475" t="str">
        <f>IF($AC$185="","",$W$180)</f>
        <v/>
      </c>
      <c r="X185" s="476" t="str">
        <f>IF($AC$185="","",$X$180)</f>
        <v/>
      </c>
      <c r="Y185" s="477" t="str">
        <f>IF($X$185="","",$Y$180)</f>
        <v/>
      </c>
      <c r="Z185" s="477" t="str">
        <f>IF($X$185="","",$Z$180)</f>
        <v/>
      </c>
      <c r="AA185" s="477" t="str">
        <f>IF($AC$185="","",ROW($A$185)-ROW($A$180))</f>
        <v/>
      </c>
      <c r="AB185" s="478"/>
      <c r="AC185" s="34"/>
      <c r="AD185" s="356"/>
      <c r="AE185" s="479"/>
      <c r="AF185" s="475"/>
      <c r="AG185" s="480" t="str">
        <f t="shared" si="40"/>
        <v/>
      </c>
      <c r="AH185" s="481" t="str">
        <f t="shared" si="41"/>
        <v/>
      </c>
      <c r="AI185" s="477" t="str">
        <f>IF($AC$185="","",IFERROR(INDEX($AZ$74:$AZ$119,MATCH($AH$185,$AY$74:$AY$119,0)),"AUTRE"))</f>
        <v/>
      </c>
      <c r="AJ185" s="482" t="str">
        <f>IF($AC$185="","",IFERROR(INDEX($BA$74:$BA$119,MATCH($AH$185,$AY$74:$AY$119,0)),1))</f>
        <v/>
      </c>
      <c r="AK185" s="482" t="str">
        <f t="shared" si="42"/>
        <v/>
      </c>
      <c r="AL185" s="477" t="str">
        <f>IF($AC$185="","",IFERROR(INDEX($BB$74:$BB$119,MATCH($AH$185,$AY$74:$AY$119,0)),$AH$185))</f>
        <v/>
      </c>
      <c r="AM185" s="483" t="str">
        <f t="shared" si="43"/>
        <v/>
      </c>
      <c r="AN185" s="484" t="str">
        <f t="shared" si="44"/>
        <v/>
      </c>
      <c r="AO185" s="473" t="str">
        <f t="shared" si="45"/>
        <v/>
      </c>
      <c r="AP185" s="473" t="str">
        <f t="shared" si="46"/>
        <v/>
      </c>
      <c r="AQ185" s="473" t="str">
        <f t="shared" si="47"/>
        <v/>
      </c>
      <c r="AR185" s="473" t="str">
        <f t="shared" si="48"/>
        <v/>
      </c>
      <c r="AS185" s="473" t="str">
        <f t="shared" si="49"/>
        <v/>
      </c>
      <c r="AT185" s="473" t="str">
        <f t="shared" si="50"/>
        <v/>
      </c>
      <c r="AU185" s="473" t="str">
        <f t="shared" si="51"/>
        <v/>
      </c>
      <c r="AZ185" s="31" t="s">
        <v>28</v>
      </c>
      <c r="BA185" s="34" t="s">
        <v>6123</v>
      </c>
      <c r="BB185" s="499"/>
      <c r="BC185" s="271"/>
      <c r="BD185" s="279">
        <v>1</v>
      </c>
      <c r="BE185" s="271"/>
      <c r="BF185" s="271"/>
      <c r="BG185" s="271"/>
      <c r="BH185" s="271"/>
      <c r="BI185" s="271"/>
      <c r="BJ185" s="271"/>
      <c r="BK185" s="271"/>
      <c r="BL185" s="271"/>
    </row>
    <row r="186" spans="18:64" ht="21" customHeight="1" x14ac:dyDescent="0.25">
      <c r="R186" s="34" t="s">
        <v>6125</v>
      </c>
      <c r="S186" s="451"/>
      <c r="T186" s="31" t="s">
        <v>20</v>
      </c>
      <c r="V186" s="475">
        <v>4</v>
      </c>
      <c r="W186" s="475" t="str">
        <f>IF($AC$186="","",$W$180)</f>
        <v/>
      </c>
      <c r="X186" s="476" t="str">
        <f>IF($AC$186="","",$X$180)</f>
        <v/>
      </c>
      <c r="Y186" s="477" t="str">
        <f>IF($X$186="","",$Y$180)</f>
        <v/>
      </c>
      <c r="Z186" s="477" t="str">
        <f>IF($X$186="","",$Z$180)</f>
        <v/>
      </c>
      <c r="AA186" s="477" t="str">
        <f>IF($AC$186="","",ROW($A$186)-ROW($A$180))</f>
        <v/>
      </c>
      <c r="AB186" s="478"/>
      <c r="AC186" s="34"/>
      <c r="AD186" s="356"/>
      <c r="AE186" s="479"/>
      <c r="AF186" s="475"/>
      <c r="AG186" s="480" t="str">
        <f t="shared" si="40"/>
        <v/>
      </c>
      <c r="AH186" s="481" t="str">
        <f t="shared" si="41"/>
        <v/>
      </c>
      <c r="AI186" s="477" t="str">
        <f>IF($AC$186="","",IFERROR(INDEX($AZ$74:$AZ$119,MATCH($AH$186,$AY$74:$AY$119,0)),"AUTRE"))</f>
        <v/>
      </c>
      <c r="AJ186" s="482" t="str">
        <f>IF($AC$186="","",IFERROR(INDEX($BA$74:$BA$119,MATCH($AH$186,$AY$74:$AY$119,0)),1))</f>
        <v/>
      </c>
      <c r="AK186" s="482" t="str">
        <f t="shared" si="42"/>
        <v/>
      </c>
      <c r="AL186" s="477" t="str">
        <f>IF($AC$186="","",IFERROR(INDEX($BB$74:$BB$119,MATCH($AH$186,$AY$74:$AY$119,0)),$AH$186))</f>
        <v/>
      </c>
      <c r="AM186" s="483" t="str">
        <f t="shared" si="43"/>
        <v/>
      </c>
      <c r="AN186" s="484" t="str">
        <f t="shared" si="44"/>
        <v/>
      </c>
      <c r="AO186" s="473" t="str">
        <f t="shared" si="45"/>
        <v/>
      </c>
      <c r="AP186" s="473" t="str">
        <f t="shared" si="46"/>
        <v/>
      </c>
      <c r="AQ186" s="473" t="str">
        <f t="shared" si="47"/>
        <v/>
      </c>
      <c r="AR186" s="473" t="str">
        <f t="shared" si="48"/>
        <v/>
      </c>
      <c r="AS186" s="473" t="str">
        <f t="shared" si="49"/>
        <v/>
      </c>
      <c r="AT186" s="473" t="str">
        <f t="shared" si="50"/>
        <v/>
      </c>
      <c r="AU186" s="473" t="str">
        <f t="shared" si="51"/>
        <v/>
      </c>
      <c r="AZ186" s="31" t="s">
        <v>29</v>
      </c>
      <c r="BA186" s="34" t="s">
        <v>6124</v>
      </c>
      <c r="BB186" s="499"/>
      <c r="BC186" s="271"/>
      <c r="BD186" s="279">
        <v>1</v>
      </c>
      <c r="BE186" s="271"/>
      <c r="BF186" s="271"/>
      <c r="BG186" s="271"/>
      <c r="BH186" s="271"/>
      <c r="BI186" s="271"/>
      <c r="BJ186" s="271"/>
      <c r="BK186" s="271"/>
      <c r="BL186" s="271"/>
    </row>
    <row r="187" spans="18:64" ht="21" customHeight="1" x14ac:dyDescent="0.25">
      <c r="R187" s="34" t="s">
        <v>6126</v>
      </c>
      <c r="S187" s="451"/>
      <c r="T187" s="31" t="s">
        <v>304</v>
      </c>
      <c r="V187" s="475">
        <v>4</v>
      </c>
      <c r="W187" s="475" t="str">
        <f>IF($AC$187="","",$W$180)</f>
        <v/>
      </c>
      <c r="X187" s="476" t="str">
        <f>IF($AC$187="","",$X$180)</f>
        <v/>
      </c>
      <c r="Y187" s="477" t="str">
        <f>IF($X$187="","",$Y$180)</f>
        <v/>
      </c>
      <c r="Z187" s="477" t="str">
        <f>IF($X$187="","",$Z$180)</f>
        <v/>
      </c>
      <c r="AA187" s="477" t="str">
        <f>IF($AC$187="","",ROW($A$187)-ROW($A$180))</f>
        <v/>
      </c>
      <c r="AB187" s="478"/>
      <c r="AC187" s="34"/>
      <c r="AD187" s="356"/>
      <c r="AE187" s="479"/>
      <c r="AF187" s="475"/>
      <c r="AG187" s="480" t="str">
        <f t="shared" si="40"/>
        <v/>
      </c>
      <c r="AH187" s="481" t="str">
        <f t="shared" si="41"/>
        <v/>
      </c>
      <c r="AI187" s="477" t="str">
        <f>IF($AC$187="","",IFERROR(INDEX($AZ$74:$AZ$119,MATCH($AH$187,$AY$74:$AY$119,0)),"AUTRE"))</f>
        <v/>
      </c>
      <c r="AJ187" s="482" t="str">
        <f>IF($AC$187="","",IFERROR(INDEX($BA$74:$BA$119,MATCH($AH$187,$AY$74:$AY$119,0)),1))</f>
        <v/>
      </c>
      <c r="AK187" s="482" t="str">
        <f t="shared" si="42"/>
        <v/>
      </c>
      <c r="AL187" s="477" t="str">
        <f>IF($AC$187="","",IFERROR(INDEX($BB$74:$BB$119,MATCH($AH$187,$AY$74:$AY$119,0)),$AH$187))</f>
        <v/>
      </c>
      <c r="AM187" s="483" t="str">
        <f t="shared" si="43"/>
        <v/>
      </c>
      <c r="AN187" s="484" t="str">
        <f t="shared" si="44"/>
        <v/>
      </c>
      <c r="AO187" s="473" t="str">
        <f t="shared" si="45"/>
        <v/>
      </c>
      <c r="AP187" s="473" t="str">
        <f t="shared" si="46"/>
        <v/>
      </c>
      <c r="AQ187" s="473" t="str">
        <f t="shared" si="47"/>
        <v/>
      </c>
      <c r="AR187" s="473" t="str">
        <f t="shared" si="48"/>
        <v/>
      </c>
      <c r="AS187" s="473" t="str">
        <f t="shared" si="49"/>
        <v/>
      </c>
      <c r="AT187" s="473" t="str">
        <f t="shared" si="50"/>
        <v/>
      </c>
      <c r="AU187" s="473" t="str">
        <f t="shared" si="51"/>
        <v/>
      </c>
      <c r="AZ187" s="31" t="s">
        <v>30</v>
      </c>
      <c r="BA187" s="34" t="s">
        <v>6125</v>
      </c>
      <c r="BB187" s="499"/>
      <c r="BC187" s="271"/>
      <c r="BD187" s="279">
        <v>1</v>
      </c>
      <c r="BE187" s="271"/>
      <c r="BF187" s="271"/>
      <c r="BG187" s="271"/>
      <c r="BH187" s="271"/>
      <c r="BI187" s="271"/>
      <c r="BJ187" s="271"/>
      <c r="BK187" s="271"/>
      <c r="BL187" s="271"/>
    </row>
    <row r="188" spans="18:64" ht="21" customHeight="1" x14ac:dyDescent="0.25">
      <c r="R188" s="34" t="s">
        <v>6127</v>
      </c>
      <c r="S188" s="451"/>
      <c r="T188" s="31" t="s">
        <v>352</v>
      </c>
      <c r="V188" s="475">
        <v>4</v>
      </c>
      <c r="W188" s="475" t="str">
        <f>IF($AC$188="","",$W$180)</f>
        <v/>
      </c>
      <c r="X188" s="476" t="str">
        <f>IF($AC$188="","",$X$180)</f>
        <v/>
      </c>
      <c r="Y188" s="477" t="str">
        <f>IF($X$188="","",$Y$180)</f>
        <v/>
      </c>
      <c r="Z188" s="477" t="str">
        <f>IF($X$188="","",$Z$180)</f>
        <v/>
      </c>
      <c r="AA188" s="477" t="str">
        <f>IF($AC$188="","",ROW($A$188)-ROW($A$180))</f>
        <v/>
      </c>
      <c r="AB188" s="478"/>
      <c r="AC188" s="34"/>
      <c r="AD188" s="356"/>
      <c r="AE188" s="479"/>
      <c r="AF188" s="475"/>
      <c r="AG188" s="480" t="str">
        <f t="shared" si="40"/>
        <v/>
      </c>
      <c r="AH188" s="481" t="str">
        <f t="shared" si="41"/>
        <v/>
      </c>
      <c r="AI188" s="477" t="str">
        <f>IF($AC$188="","",IFERROR(INDEX($AZ$74:$AZ$119,MATCH($AH$188,$AY$74:$AY$119,0)),"AUTRE"))</f>
        <v/>
      </c>
      <c r="AJ188" s="482" t="str">
        <f>IF($AC$188="","",IFERROR(INDEX($BA$74:$BA$119,MATCH($AH$188,$AY$74:$AY$119,0)),1))</f>
        <v/>
      </c>
      <c r="AK188" s="482" t="str">
        <f t="shared" si="42"/>
        <v/>
      </c>
      <c r="AL188" s="477" t="str">
        <f>IF($AC$188="","",IFERROR(INDEX($BB$74:$BB$119,MATCH($AH$188,$AY$74:$AY$119,0)),$AH$188))</f>
        <v/>
      </c>
      <c r="AM188" s="483" t="str">
        <f t="shared" si="43"/>
        <v/>
      </c>
      <c r="AN188" s="484" t="str">
        <f t="shared" si="44"/>
        <v/>
      </c>
      <c r="AO188" s="473" t="str">
        <f t="shared" si="45"/>
        <v/>
      </c>
      <c r="AP188" s="473" t="str">
        <f t="shared" si="46"/>
        <v/>
      </c>
      <c r="AQ188" s="473" t="str">
        <f t="shared" si="47"/>
        <v/>
      </c>
      <c r="AR188" s="473" t="str">
        <f t="shared" si="48"/>
        <v/>
      </c>
      <c r="AS188" s="473" t="str">
        <f t="shared" si="49"/>
        <v/>
      </c>
      <c r="AT188" s="473" t="str">
        <f t="shared" si="50"/>
        <v/>
      </c>
      <c r="AU188" s="473" t="str">
        <f t="shared" si="51"/>
        <v/>
      </c>
      <c r="AZ188" s="32" t="s">
        <v>33</v>
      </c>
      <c r="BA188" s="34" t="s">
        <v>6126</v>
      </c>
      <c r="BB188" s="499"/>
      <c r="BC188" s="271"/>
      <c r="BD188" s="279">
        <v>1</v>
      </c>
      <c r="BE188" s="271"/>
      <c r="BF188" s="271"/>
      <c r="BG188" s="271"/>
      <c r="BH188" s="271"/>
      <c r="BI188" s="271"/>
      <c r="BJ188" s="271"/>
      <c r="BK188" s="271"/>
      <c r="BL188" s="271"/>
    </row>
    <row r="189" spans="18:64" ht="21" customHeight="1" x14ac:dyDescent="0.25">
      <c r="R189" s="25" t="s">
        <v>6128</v>
      </c>
      <c r="S189" s="451"/>
      <c r="T189" s="31" t="s">
        <v>25</v>
      </c>
      <c r="V189" s="475">
        <v>4</v>
      </c>
      <c r="W189" s="475" t="str">
        <f>IF($AC$189="","",$W$180)</f>
        <v/>
      </c>
      <c r="X189" s="476" t="str">
        <f>IF($AC$189="","",$X$180)</f>
        <v/>
      </c>
      <c r="Y189" s="477" t="str">
        <f>IF($X$189="","",$Y$180)</f>
        <v/>
      </c>
      <c r="Z189" s="477" t="str">
        <f>IF($X$189="","",$Z$180)</f>
        <v/>
      </c>
      <c r="AA189" s="477" t="str">
        <f>IF($AC$189="","",ROW($A$189)-ROW($A$180))</f>
        <v/>
      </c>
      <c r="AB189" s="478"/>
      <c r="AC189" s="34"/>
      <c r="AD189" s="356"/>
      <c r="AE189" s="479"/>
      <c r="AF189" s="475"/>
      <c r="AG189" s="480" t="str">
        <f t="shared" si="40"/>
        <v/>
      </c>
      <c r="AH189" s="481" t="str">
        <f t="shared" si="41"/>
        <v/>
      </c>
      <c r="AI189" s="477" t="str">
        <f>IF($AC$189="","",IFERROR(INDEX($AZ$74:$AZ$119,MATCH($AH$189,$AY$74:$AY$119,0)),"AUTRE"))</f>
        <v/>
      </c>
      <c r="AJ189" s="482" t="str">
        <f>IF($AC$189="","",IFERROR(INDEX($BA$74:$BA$119,MATCH($AH$189,$AY$74:$AY$119,0)),1))</f>
        <v/>
      </c>
      <c r="AK189" s="482" t="str">
        <f t="shared" si="42"/>
        <v/>
      </c>
      <c r="AL189" s="477" t="str">
        <f>IF($AC$189="","",IFERROR(INDEX($BB$74:$BB$119,MATCH($AH$189,$AY$74:$AY$119,0)),$AH$189))</f>
        <v/>
      </c>
      <c r="AM189" s="483" t="str">
        <f t="shared" si="43"/>
        <v/>
      </c>
      <c r="AN189" s="484" t="str">
        <f t="shared" si="44"/>
        <v/>
      </c>
      <c r="AO189" s="473" t="str">
        <f t="shared" si="45"/>
        <v/>
      </c>
      <c r="AP189" s="473" t="str">
        <f t="shared" si="46"/>
        <v/>
      </c>
      <c r="AQ189" s="473" t="str">
        <f t="shared" si="47"/>
        <v/>
      </c>
      <c r="AR189" s="473" t="str">
        <f t="shared" si="48"/>
        <v/>
      </c>
      <c r="AS189" s="473" t="str">
        <f t="shared" si="49"/>
        <v/>
      </c>
      <c r="AT189" s="473" t="str">
        <f t="shared" si="50"/>
        <v/>
      </c>
      <c r="AU189" s="473" t="str">
        <f t="shared" si="51"/>
        <v/>
      </c>
      <c r="AZ189" s="32" t="s">
        <v>8125</v>
      </c>
      <c r="BA189" s="34" t="s">
        <v>6127</v>
      </c>
      <c r="BB189" s="499"/>
      <c r="BC189" s="271"/>
      <c r="BD189" s="279">
        <v>1</v>
      </c>
      <c r="BE189" s="271"/>
      <c r="BF189" s="271"/>
      <c r="BG189" s="271"/>
      <c r="BH189" s="271"/>
      <c r="BI189" s="271"/>
      <c r="BJ189" s="271"/>
      <c r="BK189" s="271"/>
      <c r="BL189" s="271"/>
    </row>
    <row r="190" spans="18:64" ht="21" customHeight="1" x14ac:dyDescent="0.25">
      <c r="R190" s="34" t="s">
        <v>474</v>
      </c>
      <c r="S190" s="451"/>
      <c r="T190" s="31" t="s">
        <v>26</v>
      </c>
      <c r="V190" s="475">
        <v>4</v>
      </c>
      <c r="W190" s="475" t="str">
        <f>IF($AC$190="","",$W$180)</f>
        <v/>
      </c>
      <c r="X190" s="476" t="str">
        <f>IF($AC$190="","",$X$180)</f>
        <v/>
      </c>
      <c r="Y190" s="477" t="str">
        <f>IF($X$190="","",$Y$180)</f>
        <v/>
      </c>
      <c r="Z190" s="477" t="str">
        <f>IF($X$190="","",$Z$180)</f>
        <v/>
      </c>
      <c r="AA190" s="477" t="str">
        <f>IF($AC$190="","",ROW($A$190)-ROW($A$180))</f>
        <v/>
      </c>
      <c r="AB190" s="478"/>
      <c r="AC190" s="34"/>
      <c r="AD190" s="356"/>
      <c r="AE190" s="479"/>
      <c r="AF190" s="475"/>
      <c r="AG190" s="480" t="str">
        <f t="shared" si="40"/>
        <v/>
      </c>
      <c r="AH190" s="481" t="str">
        <f t="shared" si="41"/>
        <v/>
      </c>
      <c r="AI190" s="477" t="str">
        <f>IF($AC$190="","",IFERROR(INDEX($AZ$74:$AZ$119,MATCH($AH$190,$AY$74:$AY$119,0)),"AUTRE"))</f>
        <v/>
      </c>
      <c r="AJ190" s="482" t="str">
        <f>IF($AC$190="","",IFERROR(INDEX($BA$74:$BA$119,MATCH($AH$190,$AY$74:$AY$119,0)),1))</f>
        <v/>
      </c>
      <c r="AK190" s="482" t="str">
        <f t="shared" si="42"/>
        <v/>
      </c>
      <c r="AL190" s="477" t="str">
        <f>IF($AC$190="","",IFERROR(INDEX($BB$74:$BB$119,MATCH($AH$190,$AY$74:$AY$119,0)),$AH$190))</f>
        <v/>
      </c>
      <c r="AM190" s="483" t="str">
        <f t="shared" si="43"/>
        <v/>
      </c>
      <c r="AN190" s="484" t="str">
        <f t="shared" si="44"/>
        <v/>
      </c>
      <c r="AO190" s="473" t="str">
        <f t="shared" si="45"/>
        <v/>
      </c>
      <c r="AP190" s="473" t="str">
        <f t="shared" si="46"/>
        <v/>
      </c>
      <c r="AQ190" s="473" t="str">
        <f t="shared" si="47"/>
        <v/>
      </c>
      <c r="AR190" s="473" t="str">
        <f t="shared" si="48"/>
        <v/>
      </c>
      <c r="AS190" s="473" t="str">
        <f t="shared" si="49"/>
        <v/>
      </c>
      <c r="AT190" s="473" t="str">
        <f t="shared" si="50"/>
        <v/>
      </c>
      <c r="AU190" s="473" t="str">
        <f t="shared" si="51"/>
        <v/>
      </c>
      <c r="AZ190" s="32" t="s">
        <v>8127</v>
      </c>
      <c r="BA190" s="25" t="s">
        <v>6128</v>
      </c>
      <c r="BB190" s="499"/>
      <c r="BC190" s="271"/>
      <c r="BD190" s="279">
        <v>1</v>
      </c>
      <c r="BE190" s="271"/>
      <c r="BF190" s="271"/>
      <c r="BG190" s="271"/>
      <c r="BH190" s="271"/>
      <c r="BI190" s="271"/>
      <c r="BJ190" s="271"/>
      <c r="BK190" s="271"/>
      <c r="BL190" s="271"/>
    </row>
    <row r="191" spans="18:64" ht="21" customHeight="1" x14ac:dyDescent="0.25">
      <c r="R191" s="34" t="s">
        <v>490</v>
      </c>
      <c r="S191" s="451"/>
      <c r="T191" s="31" t="s">
        <v>27</v>
      </c>
      <c r="V191" s="475">
        <v>4</v>
      </c>
      <c r="W191" s="475" t="str">
        <f>IF($AC$191="","",$W$180)</f>
        <v/>
      </c>
      <c r="X191" s="476" t="str">
        <f>IF($AC$191="","",$X$180)</f>
        <v/>
      </c>
      <c r="Y191" s="477" t="str">
        <f>IF($X$191="","",$Y$180)</f>
        <v/>
      </c>
      <c r="Z191" s="477" t="str">
        <f>IF($X$191="","",$Z$180)</f>
        <v/>
      </c>
      <c r="AA191" s="477" t="str">
        <f>IF($AC$191="","",ROW($A$191)-ROW($A$180))</f>
        <v/>
      </c>
      <c r="AB191" s="478"/>
      <c r="AC191" s="34"/>
      <c r="AD191" s="356"/>
      <c r="AE191" s="479"/>
      <c r="AF191" s="475"/>
      <c r="AG191" s="480" t="str">
        <f t="shared" si="40"/>
        <v/>
      </c>
      <c r="AH191" s="481" t="str">
        <f t="shared" si="41"/>
        <v/>
      </c>
      <c r="AI191" s="477" t="str">
        <f>IF($AC$191="","",IFERROR(INDEX($AZ$74:$AZ$119,MATCH($AH$191,$AY$74:$AY$119,0)),"AUTRE"))</f>
        <v/>
      </c>
      <c r="AJ191" s="482" t="str">
        <f>IF($AC$191="","",IFERROR(INDEX($BA$74:$BA$119,MATCH($AH$191,$AY$74:$AY$119,0)),1))</f>
        <v/>
      </c>
      <c r="AK191" s="482" t="str">
        <f t="shared" si="42"/>
        <v/>
      </c>
      <c r="AL191" s="477" t="str">
        <f>IF($AC$191="","",IFERROR(INDEX($BB$74:$BB$119,MATCH($AH$191,$AY$74:$AY$119,0)),$AH$191))</f>
        <v/>
      </c>
      <c r="AM191" s="483" t="str">
        <f t="shared" si="43"/>
        <v/>
      </c>
      <c r="AN191" s="484" t="str">
        <f t="shared" si="44"/>
        <v/>
      </c>
      <c r="AO191" s="473" t="str">
        <f t="shared" si="45"/>
        <v/>
      </c>
      <c r="AP191" s="473" t="str">
        <f t="shared" si="46"/>
        <v/>
      </c>
      <c r="AQ191" s="473" t="str">
        <f t="shared" si="47"/>
        <v/>
      </c>
      <c r="AR191" s="473" t="str">
        <f t="shared" si="48"/>
        <v/>
      </c>
      <c r="AS191" s="473" t="str">
        <f t="shared" si="49"/>
        <v/>
      </c>
      <c r="AT191" s="473" t="str">
        <f t="shared" si="50"/>
        <v/>
      </c>
      <c r="AU191" s="473" t="str">
        <f t="shared" si="51"/>
        <v/>
      </c>
      <c r="AZ191" s="32" t="s">
        <v>320</v>
      </c>
      <c r="BA191" s="34" t="s">
        <v>474</v>
      </c>
      <c r="BB191" s="499"/>
      <c r="BC191" s="271"/>
      <c r="BD191" s="279">
        <v>1</v>
      </c>
      <c r="BE191" s="271"/>
      <c r="BF191" s="271"/>
      <c r="BG191" s="271"/>
      <c r="BH191" s="271"/>
      <c r="BI191" s="271"/>
      <c r="BJ191" s="271"/>
      <c r="BK191" s="271"/>
      <c r="BL191" s="271"/>
    </row>
    <row r="192" spans="18:64" ht="21" customHeight="1" x14ac:dyDescent="0.25">
      <c r="R192" s="34" t="s">
        <v>6129</v>
      </c>
      <c r="S192" s="451"/>
      <c r="T192" s="31" t="s">
        <v>28</v>
      </c>
      <c r="V192" s="475">
        <v>4</v>
      </c>
      <c r="W192" s="475" t="str">
        <f>IF($AC$192="","",$W$180)</f>
        <v/>
      </c>
      <c r="X192" s="476" t="str">
        <f>IF($AC$192="","",$X$180)</f>
        <v/>
      </c>
      <c r="Y192" s="477" t="str">
        <f>IF($X$192="","",$Y$180)</f>
        <v/>
      </c>
      <c r="Z192" s="477" t="str">
        <f>IF($X$192="","",$Z$180)</f>
        <v/>
      </c>
      <c r="AA192" s="477" t="str">
        <f>IF($AC$192="","",ROW($A$192)-ROW($A$180))</f>
        <v/>
      </c>
      <c r="AB192" s="478"/>
      <c r="AC192" s="34"/>
      <c r="AD192" s="356"/>
      <c r="AE192" s="479"/>
      <c r="AF192" s="475"/>
      <c r="AG192" s="480" t="str">
        <f t="shared" si="40"/>
        <v/>
      </c>
      <c r="AH192" s="481" t="str">
        <f t="shared" si="41"/>
        <v/>
      </c>
      <c r="AI192" s="477" t="str">
        <f>IF($AC$192="","",IFERROR(INDEX($AZ$74:$AZ$119,MATCH($AH$192,$AY$74:$AY$119,0)),"AUTRE"))</f>
        <v/>
      </c>
      <c r="AJ192" s="482" t="str">
        <f>IF($AC$192="","",IFERROR(INDEX($BA$74:$BA$119,MATCH($AH$192,$AY$74:$AY$119,0)),1))</f>
        <v/>
      </c>
      <c r="AK192" s="482" t="str">
        <f t="shared" si="42"/>
        <v/>
      </c>
      <c r="AL192" s="477" t="str">
        <f>IF($AC$192="","",IFERROR(INDEX($BB$74:$BB$119,MATCH($AH$192,$AY$74:$AY$119,0)),$AH$192))</f>
        <v/>
      </c>
      <c r="AM192" s="483" t="str">
        <f t="shared" si="43"/>
        <v/>
      </c>
      <c r="AN192" s="484" t="str">
        <f t="shared" si="44"/>
        <v/>
      </c>
      <c r="AO192" s="473" t="str">
        <f t="shared" si="45"/>
        <v/>
      </c>
      <c r="AP192" s="473" t="str">
        <f t="shared" si="46"/>
        <v/>
      </c>
      <c r="AQ192" s="473" t="str">
        <f t="shared" si="47"/>
        <v/>
      </c>
      <c r="AR192" s="473" t="str">
        <f t="shared" si="48"/>
        <v/>
      </c>
      <c r="AS192" s="473" t="str">
        <f t="shared" si="49"/>
        <v/>
      </c>
      <c r="AT192" s="473" t="str">
        <f t="shared" si="50"/>
        <v/>
      </c>
      <c r="AU192" s="473" t="str">
        <f t="shared" si="51"/>
        <v/>
      </c>
      <c r="AZ192" s="32" t="s">
        <v>318</v>
      </c>
      <c r="BA192" s="34" t="s">
        <v>490</v>
      </c>
      <c r="BB192" s="499"/>
      <c r="BC192" s="271"/>
      <c r="BD192" s="279">
        <v>1</v>
      </c>
      <c r="BE192" s="271"/>
      <c r="BF192" s="271"/>
      <c r="BG192" s="271"/>
      <c r="BH192" s="271"/>
      <c r="BI192" s="271"/>
      <c r="BJ192" s="271"/>
      <c r="BK192" s="271"/>
      <c r="BL192" s="271"/>
    </row>
    <row r="193" spans="18:64" ht="21" customHeight="1" x14ac:dyDescent="0.25">
      <c r="R193" s="34" t="s">
        <v>478</v>
      </c>
      <c r="S193" s="451"/>
      <c r="T193" s="31" t="s">
        <v>29</v>
      </c>
      <c r="V193" s="475">
        <v>4</v>
      </c>
      <c r="W193" s="475" t="str">
        <f>IF($AC$193="","",$W$180)</f>
        <v/>
      </c>
      <c r="X193" s="476" t="str">
        <f>IF($AC$193="","",$X$180)</f>
        <v/>
      </c>
      <c r="Y193" s="477" t="str">
        <f>IF($X$193="","",$Y$180)</f>
        <v/>
      </c>
      <c r="Z193" s="477" t="str">
        <f>IF($X$193="","",$Z$180)</f>
        <v/>
      </c>
      <c r="AA193" s="477" t="str">
        <f>IF($AC$193="","",ROW($A$193)-ROW($A$180))</f>
        <v/>
      </c>
      <c r="AB193" s="478"/>
      <c r="AC193" s="34"/>
      <c r="AD193" s="356"/>
      <c r="AE193" s="479"/>
      <c r="AF193" s="475"/>
      <c r="AG193" s="480" t="str">
        <f t="shared" si="40"/>
        <v/>
      </c>
      <c r="AH193" s="481" t="str">
        <f t="shared" si="41"/>
        <v/>
      </c>
      <c r="AI193" s="477" t="str">
        <f>IF($AC$193="","",IFERROR(INDEX($AZ$74:$AZ$119,MATCH($AH$193,$AY$74:$AY$119,0)),"AUTRE"))</f>
        <v/>
      </c>
      <c r="AJ193" s="482" t="str">
        <f>IF($AC$193="","",IFERROR(INDEX($BA$74:$BA$119,MATCH($AH$193,$AY$74:$AY$119,0)),1))</f>
        <v/>
      </c>
      <c r="AK193" s="482" t="str">
        <f t="shared" si="42"/>
        <v/>
      </c>
      <c r="AL193" s="477" t="str">
        <f>IF($AC$193="","",IFERROR(INDEX($BB$74:$BB$119,MATCH($AH$193,$AY$74:$AY$119,0)),$AH$193))</f>
        <v/>
      </c>
      <c r="AM193" s="483" t="str">
        <f t="shared" si="43"/>
        <v/>
      </c>
      <c r="AN193" s="484" t="str">
        <f t="shared" si="44"/>
        <v/>
      </c>
      <c r="AO193" s="473" t="str">
        <f t="shared" si="45"/>
        <v/>
      </c>
      <c r="AP193" s="473" t="str">
        <f t="shared" si="46"/>
        <v/>
      </c>
      <c r="AQ193" s="473" t="str">
        <f t="shared" si="47"/>
        <v/>
      </c>
      <c r="AR193" s="473" t="str">
        <f t="shared" si="48"/>
        <v/>
      </c>
      <c r="AS193" s="473" t="str">
        <f t="shared" si="49"/>
        <v/>
      </c>
      <c r="AT193" s="473" t="str">
        <f t="shared" si="50"/>
        <v/>
      </c>
      <c r="AU193" s="473" t="str">
        <f t="shared" si="51"/>
        <v/>
      </c>
      <c r="AZ193" s="32" t="s">
        <v>316</v>
      </c>
      <c r="BA193" s="34" t="s">
        <v>6129</v>
      </c>
      <c r="BB193" s="499"/>
      <c r="BC193" s="271"/>
      <c r="BD193" s="279">
        <v>1</v>
      </c>
      <c r="BE193" s="271"/>
      <c r="BF193" s="271"/>
      <c r="BG193" s="271"/>
      <c r="BH193" s="271"/>
      <c r="BI193" s="271"/>
      <c r="BJ193" s="271"/>
      <c r="BK193" s="271"/>
      <c r="BL193" s="271"/>
    </row>
    <row r="194" spans="18:64" ht="21" customHeight="1" x14ac:dyDescent="0.25">
      <c r="R194" s="34" t="s">
        <v>6130</v>
      </c>
      <c r="S194" s="451"/>
      <c r="T194" s="31" t="s">
        <v>30</v>
      </c>
      <c r="V194" s="475">
        <v>4</v>
      </c>
      <c r="W194" s="475" t="str">
        <f>IF($AC$194="","",$W$180)</f>
        <v/>
      </c>
      <c r="X194" s="476" t="str">
        <f>IF($AC$194="","",$X$180)</f>
        <v/>
      </c>
      <c r="Y194" s="477" t="str">
        <f>IF($X$194="","",$Y$180)</f>
        <v/>
      </c>
      <c r="Z194" s="477" t="str">
        <f>IF($X$194="","",$Z$180)</f>
        <v/>
      </c>
      <c r="AA194" s="477" t="str">
        <f>IF($AC$194="","",ROW($A$194)-ROW($A$180))</f>
        <v/>
      </c>
      <c r="AB194" s="478"/>
      <c r="AC194" s="34"/>
      <c r="AD194" s="356"/>
      <c r="AE194" s="479"/>
      <c r="AF194" s="475"/>
      <c r="AG194" s="480" t="str">
        <f t="shared" si="40"/>
        <v/>
      </c>
      <c r="AH194" s="481" t="str">
        <f t="shared" si="41"/>
        <v/>
      </c>
      <c r="AI194" s="477" t="str">
        <f>IF($AC$194="","",IFERROR(INDEX($AZ$74:$AZ$119,MATCH($AH$194,$AY$74:$AY$119,0)),"AUTRE"))</f>
        <v/>
      </c>
      <c r="AJ194" s="482" t="str">
        <f>IF($AC$194="","",IFERROR(INDEX($BA$74:$BA$119,MATCH($AH$194,$AY$74:$AY$119,0)),1))</f>
        <v/>
      </c>
      <c r="AK194" s="482" t="str">
        <f t="shared" si="42"/>
        <v/>
      </c>
      <c r="AL194" s="477" t="str">
        <f>IF($AC$194="","",IFERROR(INDEX($BB$74:$BB$119,MATCH($AH$194,$AY$74:$AY$119,0)),$AH$194))</f>
        <v/>
      </c>
      <c r="AM194" s="483" t="str">
        <f t="shared" si="43"/>
        <v/>
      </c>
      <c r="AN194" s="484" t="str">
        <f t="shared" si="44"/>
        <v/>
      </c>
      <c r="AO194" s="473" t="str">
        <f t="shared" si="45"/>
        <v/>
      </c>
      <c r="AP194" s="473" t="str">
        <f t="shared" si="46"/>
        <v/>
      </c>
      <c r="AQ194" s="473" t="str">
        <f t="shared" si="47"/>
        <v/>
      </c>
      <c r="AR194" s="473" t="str">
        <f t="shared" si="48"/>
        <v/>
      </c>
      <c r="AS194" s="473" t="str">
        <f t="shared" si="49"/>
        <v/>
      </c>
      <c r="AT194" s="473" t="str">
        <f t="shared" si="50"/>
        <v/>
      </c>
      <c r="AU194" s="473" t="str">
        <f t="shared" si="51"/>
        <v/>
      </c>
      <c r="AZ194" s="32" t="s">
        <v>313</v>
      </c>
      <c r="BA194" s="34" t="s">
        <v>478</v>
      </c>
      <c r="BB194" s="499"/>
      <c r="BC194" s="271"/>
      <c r="BD194" s="279">
        <v>1</v>
      </c>
      <c r="BE194" s="271"/>
      <c r="BF194" s="271"/>
      <c r="BG194" s="271"/>
      <c r="BH194" s="271"/>
      <c r="BI194" s="271"/>
      <c r="BJ194" s="271"/>
      <c r="BK194" s="271"/>
      <c r="BL194" s="271"/>
    </row>
    <row r="195" spans="18:64" ht="21" customHeight="1" x14ac:dyDescent="0.25">
      <c r="R195" s="34" t="s">
        <v>486</v>
      </c>
      <c r="S195" s="451"/>
      <c r="T195" s="31" t="s">
        <v>31</v>
      </c>
      <c r="V195" s="475">
        <v>4</v>
      </c>
      <c r="W195" s="475" t="str">
        <f>IF($AC$195="","",$W$180)</f>
        <v/>
      </c>
      <c r="X195" s="476" t="str">
        <f>IF($AC$195="","",$X$180)</f>
        <v/>
      </c>
      <c r="Y195" s="477" t="str">
        <f>IF($X$195="","",$Y$180)</f>
        <v/>
      </c>
      <c r="Z195" s="477" t="str">
        <f>IF($X$195="","",$Z$180)</f>
        <v/>
      </c>
      <c r="AA195" s="477" t="str">
        <f>IF($AC$195="","",ROW($A$195)-ROW($A$180))</f>
        <v/>
      </c>
      <c r="AB195" s="478"/>
      <c r="AC195" s="34"/>
      <c r="AD195" s="356"/>
      <c r="AE195" s="479"/>
      <c r="AF195" s="475"/>
      <c r="AG195" s="480" t="str">
        <f t="shared" si="40"/>
        <v/>
      </c>
      <c r="AH195" s="481" t="str">
        <f t="shared" si="41"/>
        <v/>
      </c>
      <c r="AI195" s="477" t="str">
        <f>IF($AC$195="","",IFERROR(INDEX($AZ$74:$AZ$119,MATCH($AH$195,$AY$74:$AY$119,0)),"AUTRE"))</f>
        <v/>
      </c>
      <c r="AJ195" s="482" t="str">
        <f>IF($AC$195="","",IFERROR(INDEX($BA$74:$BA$119,MATCH($AH$195,$AY$74:$AY$119,0)),1))</f>
        <v/>
      </c>
      <c r="AK195" s="482" t="str">
        <f t="shared" si="42"/>
        <v/>
      </c>
      <c r="AL195" s="477" t="str">
        <f>IF($AC$195="","",IFERROR(INDEX($BB$74:$BB$119,MATCH($AH$195,$AY$74:$AY$119,0)),$AH$195))</f>
        <v/>
      </c>
      <c r="AM195" s="483" t="str">
        <f t="shared" si="43"/>
        <v/>
      </c>
      <c r="AN195" s="484" t="str">
        <f t="shared" si="44"/>
        <v/>
      </c>
      <c r="AO195" s="473" t="str">
        <f t="shared" si="45"/>
        <v/>
      </c>
      <c r="AP195" s="473" t="str">
        <f t="shared" si="46"/>
        <v/>
      </c>
      <c r="AQ195" s="473" t="str">
        <f t="shared" si="47"/>
        <v/>
      </c>
      <c r="AR195" s="473" t="str">
        <f t="shared" si="48"/>
        <v/>
      </c>
      <c r="AS195" s="473" t="str">
        <f t="shared" si="49"/>
        <v/>
      </c>
      <c r="AT195" s="473" t="str">
        <f t="shared" si="50"/>
        <v/>
      </c>
      <c r="AU195" s="473" t="str">
        <f t="shared" si="51"/>
        <v/>
      </c>
      <c r="AZ195" s="32" t="s">
        <v>307</v>
      </c>
      <c r="BA195" s="34" t="s">
        <v>6130</v>
      </c>
      <c r="BB195" s="499"/>
      <c r="BC195" s="271"/>
      <c r="BD195" s="279">
        <v>1</v>
      </c>
      <c r="BE195" s="271"/>
      <c r="BF195" s="271"/>
      <c r="BG195" s="271"/>
      <c r="BH195" s="271"/>
      <c r="BI195" s="271"/>
      <c r="BJ195" s="271"/>
      <c r="BK195" s="271"/>
      <c r="BL195" s="271"/>
    </row>
    <row r="196" spans="18:64" ht="21" customHeight="1" x14ac:dyDescent="0.25">
      <c r="R196" s="34" t="s">
        <v>479</v>
      </c>
      <c r="S196" s="451"/>
      <c r="T196" s="32" t="s">
        <v>33</v>
      </c>
      <c r="V196" s="475">
        <v>4</v>
      </c>
      <c r="W196" s="475" t="str">
        <f>IF($AC$196="","",$W$180)</f>
        <v/>
      </c>
      <c r="X196" s="476" t="str">
        <f>IF($AC$196="","",$X$180)</f>
        <v/>
      </c>
      <c r="Y196" s="477" t="str">
        <f>IF($X$196="","",$Y$180)</f>
        <v/>
      </c>
      <c r="Z196" s="477" t="str">
        <f>IF($X$196="","",$Z$180)</f>
        <v/>
      </c>
      <c r="AA196" s="477" t="str">
        <f>IF($AC$196="","",ROW($A$196)-ROW($A$180))</f>
        <v/>
      </c>
      <c r="AB196" s="478"/>
      <c r="AC196" s="34"/>
      <c r="AD196" s="356"/>
      <c r="AE196" s="479"/>
      <c r="AF196" s="475"/>
      <c r="AG196" s="480" t="str">
        <f t="shared" si="40"/>
        <v/>
      </c>
      <c r="AH196" s="481" t="str">
        <f t="shared" si="41"/>
        <v/>
      </c>
      <c r="AI196" s="477" t="str">
        <f>IF($AC$196="","",IFERROR(INDEX($AZ$74:$AZ$119,MATCH($AH$196,$AY$74:$AY$119,0)),"AUTRE"))</f>
        <v/>
      </c>
      <c r="AJ196" s="482" t="str">
        <f>IF($AC$196="","",IFERROR(INDEX($BA$74:$BA$119,MATCH($AH$196,$AY$74:$AY$119,0)),1))</f>
        <v/>
      </c>
      <c r="AK196" s="482" t="str">
        <f t="shared" si="42"/>
        <v/>
      </c>
      <c r="AL196" s="477" t="str">
        <f>IF($AC$196="","",IFERROR(INDEX($BB$74:$BB$119,MATCH($AH$196,$AY$74:$AY$119,0)),$AH$196))</f>
        <v/>
      </c>
      <c r="AM196" s="483" t="str">
        <f t="shared" si="43"/>
        <v/>
      </c>
      <c r="AN196" s="484" t="str">
        <f t="shared" si="44"/>
        <v/>
      </c>
      <c r="AO196" s="473" t="str">
        <f t="shared" si="45"/>
        <v/>
      </c>
      <c r="AP196" s="473" t="str">
        <f t="shared" si="46"/>
        <v/>
      </c>
      <c r="AQ196" s="473" t="str">
        <f t="shared" si="47"/>
        <v/>
      </c>
      <c r="AR196" s="473" t="str">
        <f t="shared" si="48"/>
        <v/>
      </c>
      <c r="AS196" s="473" t="str">
        <f t="shared" si="49"/>
        <v/>
      </c>
      <c r="AT196" s="473" t="str">
        <f t="shared" si="50"/>
        <v/>
      </c>
      <c r="AU196" s="473" t="str">
        <f t="shared" si="51"/>
        <v/>
      </c>
      <c r="AZ196" s="32" t="s">
        <v>322</v>
      </c>
      <c r="BA196" s="34" t="s">
        <v>486</v>
      </c>
      <c r="BB196" s="499"/>
      <c r="BC196" s="271"/>
      <c r="BD196" s="279">
        <v>1</v>
      </c>
      <c r="BE196" s="271"/>
      <c r="BF196" s="271"/>
      <c r="BG196" s="271"/>
      <c r="BH196" s="271"/>
      <c r="BI196" s="271"/>
      <c r="BJ196" s="271"/>
      <c r="BK196" s="271"/>
      <c r="BL196" s="271"/>
    </row>
    <row r="197" spans="18:64" ht="21" customHeight="1" x14ac:dyDescent="0.25">
      <c r="R197" s="34" t="s">
        <v>6131</v>
      </c>
      <c r="S197" s="451"/>
      <c r="T197" s="32" t="s">
        <v>8125</v>
      </c>
      <c r="V197" s="475">
        <v>4</v>
      </c>
      <c r="W197" s="475" t="str">
        <f>IF($AC$197="","",$W$180)</f>
        <v/>
      </c>
      <c r="X197" s="476" t="str">
        <f>IF($AC$197="","",$X$180)</f>
        <v/>
      </c>
      <c r="Y197" s="477" t="str">
        <f>IF($X$197="","",$Y$180)</f>
        <v/>
      </c>
      <c r="Z197" s="477" t="str">
        <f>IF($X$197="","",$Z$180)</f>
        <v/>
      </c>
      <c r="AA197" s="477" t="str">
        <f>IF($AC$197="","",ROW($A$197)-ROW($A$180))</f>
        <v/>
      </c>
      <c r="AB197" s="478"/>
      <c r="AC197" s="34"/>
      <c r="AD197" s="356"/>
      <c r="AE197" s="479"/>
      <c r="AF197" s="475"/>
      <c r="AG197" s="480" t="str">
        <f t="shared" si="40"/>
        <v/>
      </c>
      <c r="AH197" s="481" t="str">
        <f t="shared" si="41"/>
        <v/>
      </c>
      <c r="AI197" s="477" t="str">
        <f>IF($AC$197="","",IFERROR(INDEX($AZ$74:$AZ$119,MATCH($AH$197,$AY$74:$AY$119,0)),"AUTRE"))</f>
        <v/>
      </c>
      <c r="AJ197" s="482" t="str">
        <f>IF($AC$197="","",IFERROR(INDEX($BA$74:$BA$119,MATCH($AH$197,$AY$74:$AY$119,0)),1))</f>
        <v/>
      </c>
      <c r="AK197" s="482" t="str">
        <f t="shared" si="42"/>
        <v/>
      </c>
      <c r="AL197" s="477" t="str">
        <f>IF($AC$197="","",IFERROR(INDEX($BB$74:$BB$119,MATCH($AH$197,$AY$74:$AY$119,0)),$AH$197))</f>
        <v/>
      </c>
      <c r="AM197" s="483" t="str">
        <f t="shared" si="43"/>
        <v/>
      </c>
      <c r="AN197" s="484" t="str">
        <f t="shared" si="44"/>
        <v/>
      </c>
      <c r="AO197" s="473" t="str">
        <f t="shared" si="45"/>
        <v/>
      </c>
      <c r="AP197" s="473" t="str">
        <f t="shared" si="46"/>
        <v/>
      </c>
      <c r="AQ197" s="473" t="str">
        <f t="shared" si="47"/>
        <v/>
      </c>
      <c r="AR197" s="473" t="str">
        <f t="shared" si="48"/>
        <v/>
      </c>
      <c r="AS197" s="473" t="str">
        <f t="shared" si="49"/>
        <v/>
      </c>
      <c r="AT197" s="473" t="str">
        <f t="shared" si="50"/>
        <v/>
      </c>
      <c r="AU197" s="473" t="str">
        <f t="shared" si="51"/>
        <v/>
      </c>
      <c r="AZ197" s="32" t="s">
        <v>305</v>
      </c>
      <c r="BA197" s="34" t="s">
        <v>479</v>
      </c>
      <c r="BB197" s="499"/>
      <c r="BC197" s="271"/>
      <c r="BD197" s="279">
        <v>1</v>
      </c>
      <c r="BE197" s="271"/>
      <c r="BF197" s="271"/>
      <c r="BG197" s="271"/>
      <c r="BH197" s="271"/>
      <c r="BI197" s="271"/>
      <c r="BJ197" s="271"/>
      <c r="BK197" s="271"/>
      <c r="BL197" s="271"/>
    </row>
    <row r="198" spans="18:64" ht="21" customHeight="1" x14ac:dyDescent="0.25">
      <c r="R198" s="34" t="s">
        <v>485</v>
      </c>
      <c r="S198" s="451"/>
      <c r="T198" s="32" t="s">
        <v>8127</v>
      </c>
      <c r="V198" s="475">
        <v>4</v>
      </c>
      <c r="W198" s="475" t="str">
        <f>IF($AC$198="","",$W$180)</f>
        <v/>
      </c>
      <c r="X198" s="476" t="str">
        <f>IF($AC$198="","",$X$180)</f>
        <v/>
      </c>
      <c r="Y198" s="477" t="str">
        <f>IF($X$198="","",$Y$180)</f>
        <v/>
      </c>
      <c r="Z198" s="477" t="str">
        <f>IF($X$198="","",$Z$180)</f>
        <v/>
      </c>
      <c r="AA198" s="477" t="str">
        <f>IF($AC$198="","",ROW($A$198)-ROW($A$180))</f>
        <v/>
      </c>
      <c r="AB198" s="478"/>
      <c r="AC198" s="34"/>
      <c r="AD198" s="356"/>
      <c r="AE198" s="479"/>
      <c r="AF198" s="475"/>
      <c r="AG198" s="480" t="str">
        <f t="shared" si="40"/>
        <v/>
      </c>
      <c r="AH198" s="481" t="str">
        <f t="shared" si="41"/>
        <v/>
      </c>
      <c r="AI198" s="477" t="str">
        <f>IF($AC$198="","",IFERROR(INDEX($AZ$74:$AZ$119,MATCH($AH$198,$AY$74:$AY$119,0)),"AUTRE"))</f>
        <v/>
      </c>
      <c r="AJ198" s="482" t="str">
        <f>IF($AC$198="","",IFERROR(INDEX($BA$74:$BA$119,MATCH($AH$198,$AY$74:$AY$119,0)),1))</f>
        <v/>
      </c>
      <c r="AK198" s="482" t="str">
        <f t="shared" si="42"/>
        <v/>
      </c>
      <c r="AL198" s="477" t="str">
        <f>IF($AC$198="","",IFERROR(INDEX($BB$74:$BB$119,MATCH($AH$198,$AY$74:$AY$119,0)),$AH$198))</f>
        <v/>
      </c>
      <c r="AM198" s="483" t="str">
        <f t="shared" si="43"/>
        <v/>
      </c>
      <c r="AN198" s="484" t="str">
        <f t="shared" si="44"/>
        <v/>
      </c>
      <c r="AO198" s="473" t="str">
        <f t="shared" si="45"/>
        <v/>
      </c>
      <c r="AP198" s="473" t="str">
        <f t="shared" si="46"/>
        <v/>
      </c>
      <c r="AQ198" s="473" t="str">
        <f t="shared" si="47"/>
        <v/>
      </c>
      <c r="AR198" s="473" t="str">
        <f t="shared" si="48"/>
        <v/>
      </c>
      <c r="AS198" s="473" t="str">
        <f t="shared" si="49"/>
        <v/>
      </c>
      <c r="AT198" s="473" t="str">
        <f t="shared" si="50"/>
        <v/>
      </c>
      <c r="AU198" s="473" t="str">
        <f t="shared" si="51"/>
        <v/>
      </c>
      <c r="AZ198" s="32" t="s">
        <v>8129</v>
      </c>
      <c r="BA198" s="34" t="s">
        <v>6131</v>
      </c>
      <c r="BB198" s="499"/>
      <c r="BC198" s="271"/>
      <c r="BD198" s="279">
        <v>1</v>
      </c>
      <c r="BE198" s="271"/>
      <c r="BF198" s="271"/>
      <c r="BG198" s="271"/>
      <c r="BH198" s="271"/>
      <c r="BI198" s="271"/>
      <c r="BJ198" s="271"/>
      <c r="BK198" s="271"/>
      <c r="BL198" s="271"/>
    </row>
    <row r="199" spans="18:64" ht="21" customHeight="1" x14ac:dyDescent="0.25">
      <c r="R199" s="34" t="s">
        <v>6132</v>
      </c>
      <c r="S199" s="451"/>
      <c r="T199" s="32" t="s">
        <v>320</v>
      </c>
      <c r="V199" s="475">
        <v>4</v>
      </c>
      <c r="W199" s="475" t="str">
        <f>IF($AC$199="","",$W$180)</f>
        <v/>
      </c>
      <c r="X199" s="476" t="str">
        <f>IF($AC$199="","",$X$180)</f>
        <v/>
      </c>
      <c r="Y199" s="477" t="str">
        <f>IF($X$199="","",$Y$180)</f>
        <v/>
      </c>
      <c r="Z199" s="477" t="str">
        <f>IF($X$199="","",$Z$180)</f>
        <v/>
      </c>
      <c r="AA199" s="477" t="str">
        <f>IF($AC$199="","",ROW($A$199)-ROW($A$180))</f>
        <v/>
      </c>
      <c r="AB199" s="478"/>
      <c r="AC199" s="34"/>
      <c r="AD199" s="356"/>
      <c r="AE199" s="479"/>
      <c r="AF199" s="475"/>
      <c r="AG199" s="480" t="str">
        <f t="shared" si="40"/>
        <v/>
      </c>
      <c r="AH199" s="481" t="str">
        <f t="shared" si="41"/>
        <v/>
      </c>
      <c r="AI199" s="477" t="str">
        <f>IF($AC$199="","",IFERROR(INDEX($AZ$74:$AZ$119,MATCH($AH$199,$AY$74:$AY$119,0)),"AUTRE"))</f>
        <v/>
      </c>
      <c r="AJ199" s="482" t="str">
        <f>IF($AC$199="","",IFERROR(INDEX($BA$74:$BA$119,MATCH($AH$199,$AY$74:$AY$119,0)),1))</f>
        <v/>
      </c>
      <c r="AK199" s="482" t="str">
        <f t="shared" si="42"/>
        <v/>
      </c>
      <c r="AL199" s="477" t="str">
        <f>IF($AC$199="","",IFERROR(INDEX($BB$74:$BB$119,MATCH($AH$199,$AY$74:$AY$119,0)),$AH$199))</f>
        <v/>
      </c>
      <c r="AM199" s="483" t="str">
        <f t="shared" si="43"/>
        <v/>
      </c>
      <c r="AN199" s="484" t="str">
        <f t="shared" si="44"/>
        <v/>
      </c>
      <c r="AO199" s="473" t="str">
        <f t="shared" si="45"/>
        <v/>
      </c>
      <c r="AP199" s="473" t="str">
        <f t="shared" si="46"/>
        <v/>
      </c>
      <c r="AQ199" s="473" t="str">
        <f t="shared" si="47"/>
        <v/>
      </c>
      <c r="AR199" s="473" t="str">
        <f t="shared" si="48"/>
        <v/>
      </c>
      <c r="AS199" s="473" t="str">
        <f t="shared" si="49"/>
        <v/>
      </c>
      <c r="AT199" s="473" t="str">
        <f t="shared" si="50"/>
        <v/>
      </c>
      <c r="AU199" s="473" t="str">
        <f t="shared" si="51"/>
        <v/>
      </c>
      <c r="AZ199" s="32" t="s">
        <v>8131</v>
      </c>
      <c r="BA199" s="34" t="s">
        <v>485</v>
      </c>
      <c r="BB199" s="499"/>
      <c r="BC199" s="271"/>
      <c r="BD199" s="279">
        <v>1</v>
      </c>
      <c r="BE199" s="271"/>
      <c r="BF199" s="271"/>
      <c r="BG199" s="271"/>
      <c r="BH199" s="271"/>
      <c r="BI199" s="271"/>
      <c r="BJ199" s="271"/>
      <c r="BK199" s="271"/>
      <c r="BL199" s="271"/>
    </row>
    <row r="200" spans="18:64" ht="21" customHeight="1" x14ac:dyDescent="0.25">
      <c r="R200" s="25" t="s">
        <v>6133</v>
      </c>
      <c r="S200" s="451"/>
      <c r="T200" s="32" t="s">
        <v>318</v>
      </c>
      <c r="V200" s="475">
        <v>4</v>
      </c>
      <c r="W200" s="475" t="str">
        <f>IF($AC$200="","",$W$180)</f>
        <v/>
      </c>
      <c r="X200" s="476" t="str">
        <f>IF($AC$200="","",$X$180)</f>
        <v/>
      </c>
      <c r="Y200" s="477" t="str">
        <f>IF($X$200="","",$Y$180)</f>
        <v/>
      </c>
      <c r="Z200" s="477" t="str">
        <f>IF($X$200="","",$Z$180)</f>
        <v/>
      </c>
      <c r="AA200" s="477" t="str">
        <f>IF($AC$200="","",ROW($A$200)-ROW($A$180))</f>
        <v/>
      </c>
      <c r="AB200" s="478"/>
      <c r="AC200" s="34"/>
      <c r="AD200" s="356"/>
      <c r="AE200" s="479"/>
      <c r="AF200" s="475"/>
      <c r="AG200" s="480" t="str">
        <f t="shared" si="40"/>
        <v/>
      </c>
      <c r="AH200" s="481" t="str">
        <f t="shared" si="41"/>
        <v/>
      </c>
      <c r="AI200" s="477" t="str">
        <f>IF($AC$200="","",IFERROR(INDEX($AZ$74:$AZ$119,MATCH($AH$200,$AY$74:$AY$119,0)),"AUTRE"))</f>
        <v/>
      </c>
      <c r="AJ200" s="482" t="str">
        <f>IF($AC$200="","",IFERROR(INDEX($BA$74:$BA$119,MATCH($AH$200,$AY$74:$AY$119,0)),1))</f>
        <v/>
      </c>
      <c r="AK200" s="482" t="str">
        <f t="shared" si="42"/>
        <v/>
      </c>
      <c r="AL200" s="477" t="str">
        <f>IF($AC$200="","",IFERROR(INDEX($BB$74:$BB$119,MATCH($AH$200,$AY$74:$AY$119,0)),$AH$200))</f>
        <v/>
      </c>
      <c r="AM200" s="483" t="str">
        <f t="shared" si="43"/>
        <v/>
      </c>
      <c r="AN200" s="484" t="str">
        <f t="shared" si="44"/>
        <v/>
      </c>
      <c r="AO200" s="473" t="str">
        <f t="shared" si="45"/>
        <v/>
      </c>
      <c r="AP200" s="473" t="str">
        <f t="shared" si="46"/>
        <v/>
      </c>
      <c r="AQ200" s="473" t="str">
        <f t="shared" si="47"/>
        <v/>
      </c>
      <c r="AR200" s="473" t="str">
        <f t="shared" si="48"/>
        <v/>
      </c>
      <c r="AS200" s="473" t="str">
        <f t="shared" si="49"/>
        <v/>
      </c>
      <c r="AT200" s="473" t="str">
        <f t="shared" si="50"/>
        <v/>
      </c>
      <c r="AU200" s="473" t="str">
        <f t="shared" si="51"/>
        <v/>
      </c>
      <c r="AZ200" s="32" t="s">
        <v>309</v>
      </c>
      <c r="BA200" s="34" t="s">
        <v>6132</v>
      </c>
      <c r="BB200" s="499"/>
      <c r="BC200" s="271"/>
      <c r="BD200" s="279">
        <v>1</v>
      </c>
      <c r="BE200" s="271"/>
      <c r="BF200" s="271"/>
      <c r="BG200" s="271"/>
      <c r="BH200" s="271"/>
      <c r="BI200" s="271"/>
      <c r="BJ200" s="271"/>
      <c r="BK200" s="271"/>
      <c r="BL200" s="271"/>
    </row>
    <row r="201" spans="18:64" ht="21" customHeight="1" x14ac:dyDescent="0.25">
      <c r="R201" s="34" t="s">
        <v>476</v>
      </c>
      <c r="S201" s="451"/>
      <c r="T201" s="32" t="s">
        <v>316</v>
      </c>
      <c r="V201" s="475">
        <v>4</v>
      </c>
      <c r="W201" s="475" t="str">
        <f>IF($AC$201="","",$W$180)</f>
        <v/>
      </c>
      <c r="X201" s="476" t="str">
        <f>IF($AC$201="","",$X$180)</f>
        <v/>
      </c>
      <c r="Y201" s="477" t="str">
        <f>IF($X$201="","",$Y$180)</f>
        <v/>
      </c>
      <c r="Z201" s="477" t="str">
        <f>IF($X$201="","",$Z$180)</f>
        <v/>
      </c>
      <c r="AA201" s="477" t="str">
        <f>IF($AC$201="","",ROW($A$201)-ROW($A$180))</f>
        <v/>
      </c>
      <c r="AB201" s="478"/>
      <c r="AC201" s="34"/>
      <c r="AD201" s="356"/>
      <c r="AE201" s="479"/>
      <c r="AF201" s="475"/>
      <c r="AG201" s="480" t="str">
        <f t="shared" si="40"/>
        <v/>
      </c>
      <c r="AH201" s="481" t="str">
        <f t="shared" si="41"/>
        <v/>
      </c>
      <c r="AI201" s="477" t="str">
        <f>IF($AC$201="","",IFERROR(INDEX($AZ$74:$AZ$119,MATCH($AH$201,$AY$74:$AY$119,0)),"AUTRE"))</f>
        <v/>
      </c>
      <c r="AJ201" s="482" t="str">
        <f>IF($AC$201="","",IFERROR(INDEX($BA$74:$BA$119,MATCH($AH$201,$AY$74:$AY$119,0)),1))</f>
        <v/>
      </c>
      <c r="AK201" s="482" t="str">
        <f t="shared" si="42"/>
        <v/>
      </c>
      <c r="AL201" s="477" t="str">
        <f>IF($AC$201="","",IFERROR(INDEX($BB$74:$BB$119,MATCH($AH$201,$AY$74:$AY$119,0)),$AH$201))</f>
        <v/>
      </c>
      <c r="AM201" s="483" t="str">
        <f t="shared" si="43"/>
        <v/>
      </c>
      <c r="AN201" s="484" t="str">
        <f t="shared" si="44"/>
        <v/>
      </c>
      <c r="AO201" s="473" t="str">
        <f t="shared" si="45"/>
        <v/>
      </c>
      <c r="AP201" s="473" t="str">
        <f t="shared" si="46"/>
        <v/>
      </c>
      <c r="AQ201" s="473" t="str">
        <f t="shared" si="47"/>
        <v/>
      </c>
      <c r="AR201" s="473" t="str">
        <f t="shared" si="48"/>
        <v/>
      </c>
      <c r="AS201" s="473" t="str">
        <f t="shared" si="49"/>
        <v/>
      </c>
      <c r="AT201" s="473" t="str">
        <f t="shared" si="50"/>
        <v/>
      </c>
      <c r="AU201" s="473" t="str">
        <f t="shared" si="51"/>
        <v/>
      </c>
      <c r="AZ201" s="32" t="s">
        <v>311</v>
      </c>
      <c r="BA201" s="25" t="s">
        <v>6133</v>
      </c>
      <c r="BB201" s="499"/>
      <c r="BC201" s="271"/>
      <c r="BD201" s="279">
        <v>1</v>
      </c>
      <c r="BE201" s="271"/>
      <c r="BF201" s="271"/>
      <c r="BG201" s="271"/>
      <c r="BH201" s="271"/>
      <c r="BI201" s="271"/>
      <c r="BJ201" s="271"/>
      <c r="BK201" s="271"/>
      <c r="BL201" s="271"/>
    </row>
    <row r="202" spans="18:64" ht="21" customHeight="1" x14ac:dyDescent="0.25">
      <c r="R202" s="34" t="s">
        <v>468</v>
      </c>
      <c r="S202" s="451"/>
      <c r="T202" s="32" t="s">
        <v>313</v>
      </c>
      <c r="V202" s="475">
        <v>4</v>
      </c>
      <c r="W202" s="475" t="str">
        <f>IF($AC$202="","",$W$180)</f>
        <v/>
      </c>
      <c r="X202" s="476" t="str">
        <f>IF($AC$202="","",$X$180)</f>
        <v/>
      </c>
      <c r="Y202" s="477" t="str">
        <f>IF($X$202="","",$Y$180)</f>
        <v/>
      </c>
      <c r="Z202" s="477" t="str">
        <f>IF($X$202="","",$Z$180)</f>
        <v/>
      </c>
      <c r="AA202" s="477" t="str">
        <f>IF($AC$202="","",ROW($A$202)-ROW($A$180))</f>
        <v/>
      </c>
      <c r="AB202" s="478"/>
      <c r="AC202" s="34"/>
      <c r="AD202" s="356"/>
      <c r="AE202" s="479"/>
      <c r="AF202" s="475"/>
      <c r="AG202" s="480" t="str">
        <f t="shared" si="40"/>
        <v/>
      </c>
      <c r="AH202" s="481" t="str">
        <f t="shared" si="41"/>
        <v/>
      </c>
      <c r="AI202" s="477" t="str">
        <f>IF($AC$202="","",IFERROR(INDEX($AZ$74:$AZ$119,MATCH($AH$202,$AY$74:$AY$119,0)),"AUTRE"))</f>
        <v/>
      </c>
      <c r="AJ202" s="482" t="str">
        <f>IF($AC$202="","",IFERROR(INDEX($BA$74:$BA$119,MATCH($AH$202,$AY$74:$AY$119,0)),1))</f>
        <v/>
      </c>
      <c r="AK202" s="482" t="str">
        <f t="shared" si="42"/>
        <v/>
      </c>
      <c r="AL202" s="477" t="str">
        <f>IF($AC$202="","",IFERROR(INDEX($BB$74:$BB$119,MATCH($AH$202,$AY$74:$AY$119,0)),$AH$202))</f>
        <v/>
      </c>
      <c r="AM202" s="483" t="str">
        <f t="shared" si="43"/>
        <v/>
      </c>
      <c r="AN202" s="484" t="str">
        <f t="shared" si="44"/>
        <v/>
      </c>
      <c r="AO202" s="473" t="str">
        <f t="shared" si="45"/>
        <v/>
      </c>
      <c r="AP202" s="473" t="str">
        <f t="shared" si="46"/>
        <v/>
      </c>
      <c r="AQ202" s="473" t="str">
        <f t="shared" si="47"/>
        <v/>
      </c>
      <c r="AR202" s="473" t="str">
        <f t="shared" si="48"/>
        <v/>
      </c>
      <c r="AS202" s="473" t="str">
        <f t="shared" si="49"/>
        <v/>
      </c>
      <c r="AT202" s="473" t="str">
        <f t="shared" si="50"/>
        <v/>
      </c>
      <c r="AU202" s="473" t="str">
        <f t="shared" si="51"/>
        <v/>
      </c>
      <c r="AZ202" s="32" t="s">
        <v>8135</v>
      </c>
      <c r="BA202" s="34" t="s">
        <v>476</v>
      </c>
      <c r="BB202" s="499"/>
      <c r="BC202" s="271"/>
      <c r="BD202" s="279">
        <v>1</v>
      </c>
      <c r="BE202" s="271"/>
      <c r="BF202" s="271"/>
      <c r="BG202" s="271"/>
      <c r="BH202" s="271"/>
      <c r="BI202" s="271"/>
      <c r="BJ202" s="271"/>
      <c r="BK202" s="271"/>
      <c r="BL202" s="271"/>
    </row>
    <row r="203" spans="18:64" ht="21" customHeight="1" x14ac:dyDescent="0.25">
      <c r="R203" s="34" t="s">
        <v>473</v>
      </c>
      <c r="S203" s="451"/>
      <c r="T203" s="32" t="s">
        <v>307</v>
      </c>
      <c r="V203" s="475">
        <v>4</v>
      </c>
      <c r="W203" s="475" t="str">
        <f>IF($AC$203="","",$W$180)</f>
        <v/>
      </c>
      <c r="X203" s="476" t="str">
        <f>IF($AC$203="","",$X$180)</f>
        <v/>
      </c>
      <c r="Y203" s="477" t="str">
        <f>IF($X$203="","",$Y$180)</f>
        <v/>
      </c>
      <c r="Z203" s="477" t="str">
        <f>IF($X$203="","",$Z$180)</f>
        <v/>
      </c>
      <c r="AA203" s="477" t="str">
        <f>IF($AC$203="","",ROW($A$203)-ROW($A$180))</f>
        <v/>
      </c>
      <c r="AB203" s="478"/>
      <c r="AC203" s="34"/>
      <c r="AD203" s="356"/>
      <c r="AE203" s="479"/>
      <c r="AF203" s="475"/>
      <c r="AG203" s="480" t="str">
        <f t="shared" si="40"/>
        <v/>
      </c>
      <c r="AH203" s="481" t="str">
        <f t="shared" si="41"/>
        <v/>
      </c>
      <c r="AI203" s="477" t="str">
        <f>IF($AC$203="","",IFERROR(INDEX($AZ$74:$AZ$119,MATCH($AH$203,$AY$74:$AY$119,0)),"AUTRE"))</f>
        <v/>
      </c>
      <c r="AJ203" s="482" t="str">
        <f>IF($AC$203="","",IFERROR(INDEX($BA$74:$BA$119,MATCH($AH$203,$AY$74:$AY$119,0)),1))</f>
        <v/>
      </c>
      <c r="AK203" s="482" t="str">
        <f t="shared" si="42"/>
        <v/>
      </c>
      <c r="AL203" s="477" t="str">
        <f>IF($AC$203="","",IFERROR(INDEX($BB$74:$BB$119,MATCH($AH$203,$AY$74:$AY$119,0)),$AH$203))</f>
        <v/>
      </c>
      <c r="AM203" s="483" t="str">
        <f t="shared" si="43"/>
        <v/>
      </c>
      <c r="AN203" s="484" t="str">
        <f t="shared" si="44"/>
        <v/>
      </c>
      <c r="AO203" s="473" t="str">
        <f t="shared" si="45"/>
        <v/>
      </c>
      <c r="AP203" s="473" t="str">
        <f t="shared" si="46"/>
        <v/>
      </c>
      <c r="AQ203" s="473" t="str">
        <f t="shared" si="47"/>
        <v/>
      </c>
      <c r="AR203" s="473" t="str">
        <f t="shared" si="48"/>
        <v/>
      </c>
      <c r="AS203" s="473" t="str">
        <f t="shared" si="49"/>
        <v/>
      </c>
      <c r="AT203" s="473" t="str">
        <f t="shared" si="50"/>
        <v/>
      </c>
      <c r="AU203" s="473" t="str">
        <f t="shared" si="51"/>
        <v/>
      </c>
      <c r="AZ203" s="32" t="s">
        <v>8137</v>
      </c>
      <c r="BA203" s="34" t="s">
        <v>468</v>
      </c>
      <c r="BB203" s="499"/>
      <c r="BC203" s="271"/>
      <c r="BD203" s="279">
        <v>1</v>
      </c>
      <c r="BE203" s="271"/>
      <c r="BF203" s="271"/>
      <c r="BG203" s="271"/>
      <c r="BH203" s="271"/>
      <c r="BI203" s="271"/>
      <c r="BJ203" s="271"/>
      <c r="BK203" s="271"/>
      <c r="BL203" s="271"/>
    </row>
    <row r="204" spans="18:64" ht="21" customHeight="1" x14ac:dyDescent="0.25">
      <c r="R204" s="34" t="s">
        <v>497</v>
      </c>
      <c r="S204" s="451"/>
      <c r="T204" s="32" t="s">
        <v>322</v>
      </c>
      <c r="V204" s="475">
        <v>4</v>
      </c>
      <c r="W204" s="475" t="str">
        <f>IF($AC$204="","",$W$180)</f>
        <v/>
      </c>
      <c r="X204" s="476" t="str">
        <f>IF($AC$204="","",$X$180)</f>
        <v/>
      </c>
      <c r="Y204" s="477" t="str">
        <f>IF($X$204="","",$Y$180)</f>
        <v/>
      </c>
      <c r="Z204" s="477" t="str">
        <f>IF($X$204="","",$Z$180)</f>
        <v/>
      </c>
      <c r="AA204" s="477" t="str">
        <f>IF($AC$204="","",ROW($A$204)-ROW($A$180))</f>
        <v/>
      </c>
      <c r="AB204" s="478"/>
      <c r="AC204" s="34"/>
      <c r="AD204" s="356"/>
      <c r="AE204" s="479"/>
      <c r="AF204" s="475"/>
      <c r="AG204" s="480" t="str">
        <f t="shared" si="40"/>
        <v/>
      </c>
      <c r="AH204" s="481" t="str">
        <f t="shared" si="41"/>
        <v/>
      </c>
      <c r="AI204" s="477" t="str">
        <f>IF($AC$204="","",IFERROR(INDEX($AZ$74:$AZ$119,MATCH($AH$204,$AY$74:$AY$119,0)),"AUTRE"))</f>
        <v/>
      </c>
      <c r="AJ204" s="482" t="str">
        <f>IF($AC$204="","",IFERROR(INDEX($BA$74:$BA$119,MATCH($AH$204,$AY$74:$AY$119,0)),1))</f>
        <v/>
      </c>
      <c r="AK204" s="482" t="str">
        <f t="shared" si="42"/>
        <v/>
      </c>
      <c r="AL204" s="477" t="str">
        <f>IF($AC$204="","",IFERROR(INDEX($BB$74:$BB$119,MATCH($AH$204,$AY$74:$AY$119,0)),$AH$204))</f>
        <v/>
      </c>
      <c r="AM204" s="483" t="str">
        <f t="shared" si="43"/>
        <v/>
      </c>
      <c r="AN204" s="484" t="str">
        <f t="shared" si="44"/>
        <v/>
      </c>
      <c r="AO204" s="473" t="str">
        <f t="shared" si="45"/>
        <v/>
      </c>
      <c r="AP204" s="473" t="str">
        <f t="shared" si="46"/>
        <v/>
      </c>
      <c r="AQ204" s="473" t="str">
        <f t="shared" si="47"/>
        <v/>
      </c>
      <c r="AR204" s="473" t="str">
        <f t="shared" si="48"/>
        <v/>
      </c>
      <c r="AS204" s="473" t="str">
        <f t="shared" si="49"/>
        <v/>
      </c>
      <c r="AT204" s="473" t="str">
        <f t="shared" si="50"/>
        <v/>
      </c>
      <c r="AU204" s="473" t="str">
        <f t="shared" si="51"/>
        <v/>
      </c>
      <c r="AZ204" s="32" t="s">
        <v>8139</v>
      </c>
      <c r="BA204" s="34" t="s">
        <v>473</v>
      </c>
      <c r="BB204" s="499"/>
      <c r="BC204" s="271"/>
      <c r="BD204" s="279">
        <v>1</v>
      </c>
      <c r="BE204" s="271"/>
      <c r="BF204" s="271"/>
      <c r="BG204" s="271"/>
      <c r="BH204" s="271"/>
      <c r="BI204" s="271"/>
      <c r="BJ204" s="271"/>
      <c r="BK204" s="271"/>
      <c r="BL204" s="271"/>
    </row>
    <row r="205" spans="18:64" ht="21" customHeight="1" x14ac:dyDescent="0.25">
      <c r="R205" s="34" t="s">
        <v>470</v>
      </c>
      <c r="S205" s="451"/>
      <c r="T205" s="32" t="s">
        <v>305</v>
      </c>
      <c r="V205" s="475">
        <v>4</v>
      </c>
      <c r="W205" s="475" t="str">
        <f>IF($AC$205="","",$W$180)</f>
        <v/>
      </c>
      <c r="X205" s="476" t="str">
        <f>IF($AC$205="","",$X$180)</f>
        <v/>
      </c>
      <c r="Y205" s="477" t="str">
        <f>IF($X$205="","",$Y$180)</f>
        <v/>
      </c>
      <c r="Z205" s="477" t="str">
        <f>IF($X$205="","",$Z$180)</f>
        <v/>
      </c>
      <c r="AA205" s="477" t="str">
        <f>IF($AC$205="","",ROW($A$205)-ROW($A$180))</f>
        <v/>
      </c>
      <c r="AB205" s="478"/>
      <c r="AC205" s="34"/>
      <c r="AD205" s="356"/>
      <c r="AE205" s="479"/>
      <c r="AF205" s="475"/>
      <c r="AG205" s="480" t="str">
        <f t="shared" si="40"/>
        <v/>
      </c>
      <c r="AH205" s="481" t="str">
        <f t="shared" si="41"/>
        <v/>
      </c>
      <c r="AI205" s="477" t="str">
        <f>IF($AC$205="","",IFERROR(INDEX($AZ$74:$AZ$119,MATCH($AH$205,$AY$74:$AY$119,0)),"AUTRE"))</f>
        <v/>
      </c>
      <c r="AJ205" s="482" t="str">
        <f>IF($AC$205="","",IFERROR(INDEX($BA$74:$BA$119,MATCH($AH$205,$AY$74:$AY$119,0)),1))</f>
        <v/>
      </c>
      <c r="AK205" s="482" t="str">
        <f t="shared" si="42"/>
        <v/>
      </c>
      <c r="AL205" s="477" t="str">
        <f>IF($AC$205="","",IFERROR(INDEX($BB$74:$BB$119,MATCH($AH$205,$AY$74:$AY$119,0)),$AH$205))</f>
        <v/>
      </c>
      <c r="AM205" s="483" t="str">
        <f t="shared" si="43"/>
        <v/>
      </c>
      <c r="AN205" s="484" t="str">
        <f t="shared" si="44"/>
        <v/>
      </c>
      <c r="AO205" s="473" t="str">
        <f t="shared" si="45"/>
        <v/>
      </c>
      <c r="AP205" s="473" t="str">
        <f t="shared" si="46"/>
        <v/>
      </c>
      <c r="AQ205" s="473" t="str">
        <f t="shared" si="47"/>
        <v/>
      </c>
      <c r="AR205" s="473" t="str">
        <f t="shared" si="48"/>
        <v/>
      </c>
      <c r="AS205" s="473" t="str">
        <f t="shared" si="49"/>
        <v/>
      </c>
      <c r="AT205" s="473" t="str">
        <f t="shared" si="50"/>
        <v/>
      </c>
      <c r="AU205" s="473" t="str">
        <f t="shared" si="51"/>
        <v/>
      </c>
      <c r="AZ205" s="32" t="s">
        <v>8141</v>
      </c>
      <c r="BA205" s="34" t="s">
        <v>497</v>
      </c>
      <c r="BB205" s="499"/>
      <c r="BC205" s="271"/>
      <c r="BD205" s="279">
        <v>1</v>
      </c>
      <c r="BE205" s="271"/>
      <c r="BF205" s="271"/>
      <c r="BG205" s="271"/>
      <c r="BH205" s="271"/>
      <c r="BI205" s="271"/>
      <c r="BJ205" s="271"/>
      <c r="BK205" s="271"/>
      <c r="BL205" s="271"/>
    </row>
    <row r="206" spans="18:64" ht="21" customHeight="1" x14ac:dyDescent="0.25">
      <c r="R206" s="34" t="s">
        <v>477</v>
      </c>
      <c r="S206" s="451"/>
      <c r="T206" s="32" t="s">
        <v>309</v>
      </c>
      <c r="V206" s="475">
        <v>4</v>
      </c>
      <c r="W206" s="475" t="str">
        <f>IF($AC$206="","",$W$180)</f>
        <v/>
      </c>
      <c r="X206" s="476" t="str">
        <f>IF($AC$206="","",$X$180)</f>
        <v/>
      </c>
      <c r="Y206" s="477" t="str">
        <f>IF($X$206="","",$Y$180)</f>
        <v/>
      </c>
      <c r="Z206" s="477" t="str">
        <f>IF($X$206="","",$Z$180)</f>
        <v/>
      </c>
      <c r="AA206" s="477" t="str">
        <f>IF($AC$206="","",ROW($A$206)-ROW($A$180))</f>
        <v/>
      </c>
      <c r="AB206" s="478"/>
      <c r="AC206" s="34"/>
      <c r="AD206" s="356"/>
      <c r="AE206" s="479"/>
      <c r="AF206" s="475"/>
      <c r="AG206" s="480" t="str">
        <f t="shared" si="40"/>
        <v/>
      </c>
      <c r="AH206" s="481" t="str">
        <f t="shared" si="41"/>
        <v/>
      </c>
      <c r="AI206" s="477" t="str">
        <f>IF($AC$206="","",IFERROR(INDEX($AZ$74:$AZ$119,MATCH($AH$206,$AY$74:$AY$119,0)),"AUTRE"))</f>
        <v/>
      </c>
      <c r="AJ206" s="482" t="str">
        <f>IF($AC$206="","",IFERROR(INDEX($BA$74:$BA$119,MATCH($AH$206,$AY$74:$AY$119,0)),1))</f>
        <v/>
      </c>
      <c r="AK206" s="482" t="str">
        <f t="shared" si="42"/>
        <v/>
      </c>
      <c r="AL206" s="477" t="str">
        <f>IF($AC$206="","",IFERROR(INDEX($BB$74:$BB$119,MATCH($AH$206,$AY$74:$AY$119,0)),$AH$206))</f>
        <v/>
      </c>
      <c r="AM206" s="483" t="str">
        <f t="shared" si="43"/>
        <v/>
      </c>
      <c r="AN206" s="484" t="str">
        <f t="shared" si="44"/>
        <v/>
      </c>
      <c r="AO206" s="473" t="str">
        <f t="shared" si="45"/>
        <v/>
      </c>
      <c r="AP206" s="473" t="str">
        <f t="shared" si="46"/>
        <v/>
      </c>
      <c r="AQ206" s="473" t="str">
        <f t="shared" si="47"/>
        <v/>
      </c>
      <c r="AR206" s="473" t="str">
        <f t="shared" si="48"/>
        <v/>
      </c>
      <c r="AS206" s="473" t="str">
        <f t="shared" si="49"/>
        <v/>
      </c>
      <c r="AT206" s="473" t="str">
        <f t="shared" si="50"/>
        <v/>
      </c>
      <c r="AU206" s="473" t="str">
        <f t="shared" si="51"/>
        <v/>
      </c>
      <c r="AZ206" s="32" t="s">
        <v>8143</v>
      </c>
      <c r="BA206" s="34" t="s">
        <v>470</v>
      </c>
      <c r="BB206" s="499"/>
      <c r="BC206" s="271"/>
      <c r="BD206" s="279">
        <v>1</v>
      </c>
      <c r="BE206" s="271"/>
      <c r="BF206" s="271"/>
      <c r="BG206" s="271"/>
      <c r="BH206" s="271"/>
      <c r="BI206" s="271"/>
      <c r="BJ206" s="271"/>
      <c r="BK206" s="271"/>
      <c r="BL206" s="271"/>
    </row>
    <row r="207" spans="18:64" ht="21" customHeight="1" x14ac:dyDescent="0.25">
      <c r="S207" s="451"/>
      <c r="T207" s="32" t="s">
        <v>311</v>
      </c>
      <c r="V207" s="475">
        <v>4</v>
      </c>
      <c r="W207" s="475" t="str">
        <f>IF($AC$207="","",$W$180)</f>
        <v/>
      </c>
      <c r="X207" s="476" t="str">
        <f>IF($AC$207="","",$X$180)</f>
        <v/>
      </c>
      <c r="Y207" s="477" t="str">
        <f>IF($X$207="","",$Y$180)</f>
        <v/>
      </c>
      <c r="Z207" s="477" t="str">
        <f>IF($X$207="","",$Z$180)</f>
        <v/>
      </c>
      <c r="AA207" s="477" t="str">
        <f>IF($AC$207="","",ROW($A$207)-ROW($A$180))</f>
        <v/>
      </c>
      <c r="AB207" s="478"/>
      <c r="AC207" s="34"/>
      <c r="AD207" s="356"/>
      <c r="AE207" s="479"/>
      <c r="AF207" s="475"/>
      <c r="AG207" s="480" t="str">
        <f t="shared" si="40"/>
        <v/>
      </c>
      <c r="AH207" s="481" t="str">
        <f t="shared" si="41"/>
        <v/>
      </c>
      <c r="AI207" s="477" t="str">
        <f>IF($AC$207="","",IFERROR(INDEX($AZ$74:$AZ$119,MATCH($AH$207,$AY$74:$AY$119,0)),"AUTRE"))</f>
        <v/>
      </c>
      <c r="AJ207" s="482" t="str">
        <f>IF($AC$207="","",IFERROR(INDEX($BA$74:$BA$119,MATCH($AH$207,$AY$74:$AY$119,0)),1))</f>
        <v/>
      </c>
      <c r="AK207" s="482" t="str">
        <f t="shared" si="42"/>
        <v/>
      </c>
      <c r="AL207" s="477" t="str">
        <f>IF($AC$207="","",IFERROR(INDEX($BB$74:$BB$119,MATCH($AH$207,$AY$74:$AY$119,0)),$AH$207))</f>
        <v/>
      </c>
      <c r="AM207" s="483" t="str">
        <f t="shared" si="43"/>
        <v/>
      </c>
      <c r="AN207" s="484" t="str">
        <f t="shared" si="44"/>
        <v/>
      </c>
      <c r="AO207" s="473" t="str">
        <f t="shared" si="45"/>
        <v/>
      </c>
      <c r="AP207" s="473" t="str">
        <f t="shared" si="46"/>
        <v/>
      </c>
      <c r="AQ207" s="473" t="str">
        <f t="shared" si="47"/>
        <v/>
      </c>
      <c r="AR207" s="473" t="str">
        <f t="shared" si="48"/>
        <v/>
      </c>
      <c r="AS207" s="473" t="str">
        <f t="shared" si="49"/>
        <v/>
      </c>
      <c r="AT207" s="473" t="str">
        <f t="shared" si="50"/>
        <v/>
      </c>
      <c r="AU207" s="473" t="str">
        <f t="shared" si="51"/>
        <v/>
      </c>
      <c r="AZ207" s="497" t="s">
        <v>8145</v>
      </c>
      <c r="BA207" s="34" t="s">
        <v>477</v>
      </c>
      <c r="BB207" s="499"/>
      <c r="BC207" s="271"/>
      <c r="BD207" s="279">
        <v>1</v>
      </c>
      <c r="BE207" s="271"/>
      <c r="BF207" s="271"/>
      <c r="BG207" s="271"/>
      <c r="BH207" s="271"/>
      <c r="BI207" s="271"/>
      <c r="BJ207" s="271"/>
      <c r="BK207" s="271"/>
      <c r="BL207" s="271"/>
    </row>
    <row r="208" spans="18:64" ht="21" customHeight="1" x14ac:dyDescent="0.25">
      <c r="R208" s="25" t="s">
        <v>6134</v>
      </c>
      <c r="S208" s="451"/>
      <c r="T208" s="32" t="s">
        <v>8135</v>
      </c>
      <c r="V208" s="475">
        <v>4</v>
      </c>
      <c r="W208" s="475" t="str">
        <f>IF($AC$208="","",$W$180)</f>
        <v/>
      </c>
      <c r="X208" s="476" t="str">
        <f>IF($AC$208="","",$X$180)</f>
        <v/>
      </c>
      <c r="Y208" s="477" t="str">
        <f>IF($X$208="","",$Y$180)</f>
        <v/>
      </c>
      <c r="Z208" s="477" t="str">
        <f>IF($X$208="","",$Z$180)</f>
        <v/>
      </c>
      <c r="AA208" s="477" t="str">
        <f>IF($AC$208="","",ROW($A$208)-ROW($A$180))</f>
        <v/>
      </c>
      <c r="AB208" s="478"/>
      <c r="AC208" s="34"/>
      <c r="AD208" s="356"/>
      <c r="AE208" s="479"/>
      <c r="AF208" s="475"/>
      <c r="AG208" s="480" t="str">
        <f t="shared" si="40"/>
        <v/>
      </c>
      <c r="AH208" s="481" t="str">
        <f t="shared" si="41"/>
        <v/>
      </c>
      <c r="AI208" s="477" t="str">
        <f>IF($AC$208="","",IFERROR(INDEX($AZ$74:$AZ$119,MATCH($AH$208,$AY$74:$AY$119,0)),"AUTRE"))</f>
        <v/>
      </c>
      <c r="AJ208" s="482" t="str">
        <f>IF($AC$208="","",IFERROR(INDEX($BA$74:$BA$119,MATCH($AH$208,$AY$74:$AY$119,0)),1))</f>
        <v/>
      </c>
      <c r="AK208" s="482" t="str">
        <f t="shared" si="42"/>
        <v/>
      </c>
      <c r="AL208" s="477" t="str">
        <f>IF($AC$208="","",IFERROR(INDEX($BB$74:$BB$119,MATCH($AH$208,$AY$74:$AY$119,0)),$AH$208))</f>
        <v/>
      </c>
      <c r="AM208" s="483" t="str">
        <f t="shared" si="43"/>
        <v/>
      </c>
      <c r="AN208" s="484" t="str">
        <f t="shared" si="44"/>
        <v/>
      </c>
      <c r="AO208" s="473" t="str">
        <f t="shared" si="45"/>
        <v/>
      </c>
      <c r="AP208" s="473" t="str">
        <f t="shared" si="46"/>
        <v/>
      </c>
      <c r="AQ208" s="473" t="str">
        <f t="shared" si="47"/>
        <v/>
      </c>
      <c r="AR208" s="473" t="str">
        <f t="shared" si="48"/>
        <v/>
      </c>
      <c r="AS208" s="473" t="str">
        <f t="shared" si="49"/>
        <v/>
      </c>
      <c r="AT208" s="473" t="str">
        <f t="shared" si="50"/>
        <v/>
      </c>
      <c r="AU208" s="473" t="str">
        <f t="shared" si="51"/>
        <v/>
      </c>
      <c r="AY208" s="271"/>
      <c r="AZ208" s="497" t="s">
        <v>462</v>
      </c>
      <c r="BB208" s="499"/>
      <c r="BC208" s="271"/>
      <c r="BD208" s="279">
        <v>1</v>
      </c>
      <c r="BE208" s="271"/>
      <c r="BF208" s="271"/>
      <c r="BG208" s="271"/>
      <c r="BH208" s="271"/>
      <c r="BI208" s="271"/>
      <c r="BJ208" s="271"/>
      <c r="BK208" s="271"/>
      <c r="BL208" s="271"/>
    </row>
    <row r="209" spans="18:64" ht="21" customHeight="1" x14ac:dyDescent="0.25">
      <c r="R209" s="34" t="s">
        <v>481</v>
      </c>
      <c r="S209" s="451"/>
      <c r="T209" s="497" t="s">
        <v>462</v>
      </c>
      <c r="V209" s="475">
        <v>4</v>
      </c>
      <c r="W209" s="475" t="str">
        <f>IF($AC$209="","",$W$180)</f>
        <v/>
      </c>
      <c r="X209" s="476" t="str">
        <f>IF($AC$209="","",$X$180)</f>
        <v/>
      </c>
      <c r="Y209" s="477" t="str">
        <f>IF($X$209="","",$Y$180)</f>
        <v/>
      </c>
      <c r="Z209" s="477" t="str">
        <f>IF($X$209="","",$Z$180)</f>
        <v/>
      </c>
      <c r="AA209" s="477" t="str">
        <f>IF($AC$209="","",ROW($A$209)-ROW($A$180))</f>
        <v/>
      </c>
      <c r="AB209" s="478"/>
      <c r="AC209" s="34"/>
      <c r="AD209" s="356"/>
      <c r="AE209" s="479"/>
      <c r="AF209" s="475"/>
      <c r="AG209" s="480" t="str">
        <f t="shared" si="40"/>
        <v/>
      </c>
      <c r="AH209" s="481" t="str">
        <f t="shared" si="41"/>
        <v/>
      </c>
      <c r="AI209" s="477" t="str">
        <f>IF($AC$209="","",IFERROR(INDEX($AZ$74:$AZ$119,MATCH($AH$209,$AY$74:$AY$119,0)),"AUTRE"))</f>
        <v/>
      </c>
      <c r="AJ209" s="482" t="str">
        <f>IF($AC$209="","",IFERROR(INDEX($BA$74:$BA$119,MATCH($AH$209,$AY$74:$AY$119,0)),1))</f>
        <v/>
      </c>
      <c r="AK209" s="482" t="str">
        <f t="shared" si="42"/>
        <v/>
      </c>
      <c r="AL209" s="477" t="str">
        <f>IF($AC$209="","",IFERROR(INDEX($BB$74:$BB$119,MATCH($AH$209,$AY$74:$AY$119,0)),$AH$209))</f>
        <v/>
      </c>
      <c r="AM209" s="483" t="str">
        <f t="shared" si="43"/>
        <v/>
      </c>
      <c r="AN209" s="484" t="str">
        <f t="shared" si="44"/>
        <v/>
      </c>
      <c r="AO209" s="473" t="str">
        <f t="shared" si="45"/>
        <v/>
      </c>
      <c r="AP209" s="473" t="str">
        <f t="shared" si="46"/>
        <v/>
      </c>
      <c r="AQ209" s="473" t="str">
        <f t="shared" si="47"/>
        <v/>
      </c>
      <c r="AR209" s="473" t="str">
        <f t="shared" si="48"/>
        <v/>
      </c>
      <c r="AS209" s="473" t="str">
        <f t="shared" si="49"/>
        <v/>
      </c>
      <c r="AT209" s="473" t="str">
        <f t="shared" si="50"/>
        <v/>
      </c>
      <c r="AU209" s="473" t="str">
        <f t="shared" si="51"/>
        <v/>
      </c>
      <c r="AY209" s="497" t="s">
        <v>8145</v>
      </c>
      <c r="AZ209" s="497" t="s">
        <v>463</v>
      </c>
      <c r="BA209" s="25" t="s">
        <v>6134</v>
      </c>
      <c r="BB209" s="499"/>
      <c r="BC209" s="271"/>
      <c r="BD209" s="279">
        <v>1</v>
      </c>
      <c r="BE209" s="271"/>
      <c r="BF209" s="271"/>
      <c r="BG209" s="271"/>
      <c r="BH209" s="271"/>
      <c r="BI209" s="271"/>
      <c r="BJ209" s="271"/>
      <c r="BK209" s="271"/>
      <c r="BL209" s="271"/>
    </row>
    <row r="210" spans="18:64" ht="21" customHeight="1" x14ac:dyDescent="0.25">
      <c r="R210" s="34" t="s">
        <v>475</v>
      </c>
      <c r="S210" s="451"/>
      <c r="T210" s="497" t="s">
        <v>463</v>
      </c>
      <c r="V210" s="475">
        <v>4</v>
      </c>
      <c r="W210" s="475" t="str">
        <f>IF($AC$210="","",$W$180)</f>
        <v/>
      </c>
      <c r="X210" s="476" t="str">
        <f>IF($AC$210="","",$X$180)</f>
        <v/>
      </c>
      <c r="Y210" s="477" t="str">
        <f>IF($X$210="","",$Y$180)</f>
        <v/>
      </c>
      <c r="Z210" s="477" t="str">
        <f>IF($X$210="","",$Z$180)</f>
        <v/>
      </c>
      <c r="AA210" s="477" t="str">
        <f>IF($AC$210="","",ROW($A$210)-ROW($A$180))</f>
        <v/>
      </c>
      <c r="AB210" s="478"/>
      <c r="AC210" s="34"/>
      <c r="AD210" s="356"/>
      <c r="AE210" s="479"/>
      <c r="AF210" s="475"/>
      <c r="AG210" s="480" t="str">
        <f t="shared" si="40"/>
        <v/>
      </c>
      <c r="AH210" s="481" t="str">
        <f t="shared" si="41"/>
        <v/>
      </c>
      <c r="AI210" s="477" t="str">
        <f>IF($AC$210="","",IFERROR(INDEX($AZ$74:$AZ$119,MATCH($AH$210,$AY$74:$AY$119,0)),"AUTRE"))</f>
        <v/>
      </c>
      <c r="AJ210" s="482" t="str">
        <f>IF($AC$210="","",IFERROR(INDEX($BA$74:$BA$119,MATCH($AH$210,$AY$74:$AY$119,0)),1))</f>
        <v/>
      </c>
      <c r="AK210" s="482" t="str">
        <f t="shared" si="42"/>
        <v/>
      </c>
      <c r="AL210" s="477" t="str">
        <f>IF($AC$210="","",IFERROR(INDEX($BB$74:$BB$119,MATCH($AH$210,$AY$74:$AY$119,0)),$AH$210))</f>
        <v/>
      </c>
      <c r="AM210" s="483" t="str">
        <f t="shared" si="43"/>
        <v/>
      </c>
      <c r="AN210" s="484" t="str">
        <f t="shared" si="44"/>
        <v/>
      </c>
      <c r="AO210" s="473" t="str">
        <f t="shared" si="45"/>
        <v/>
      </c>
      <c r="AP210" s="473" t="str">
        <f t="shared" si="46"/>
        <v/>
      </c>
      <c r="AQ210" s="473" t="str">
        <f t="shared" si="47"/>
        <v/>
      </c>
      <c r="AR210" s="473" t="str">
        <f t="shared" si="48"/>
        <v/>
      </c>
      <c r="AS210" s="473" t="str">
        <f t="shared" si="49"/>
        <v/>
      </c>
      <c r="AT210" s="473" t="str">
        <f t="shared" si="50"/>
        <v/>
      </c>
      <c r="AU210" s="473" t="str">
        <f t="shared" si="51"/>
        <v/>
      </c>
      <c r="AY210" s="497" t="s">
        <v>462</v>
      </c>
      <c r="AZ210" s="497" t="s">
        <v>8147</v>
      </c>
      <c r="BA210" s="34" t="s">
        <v>481</v>
      </c>
      <c r="BB210" s="499"/>
      <c r="BC210" s="271"/>
      <c r="BD210" s="279">
        <v>1</v>
      </c>
      <c r="BE210" s="271"/>
      <c r="BF210" s="271"/>
      <c r="BG210" s="271"/>
      <c r="BH210" s="271"/>
      <c r="BI210" s="271"/>
      <c r="BJ210" s="271"/>
      <c r="BK210" s="271"/>
      <c r="BL210" s="271"/>
    </row>
    <row r="211" spans="18:64" ht="21" customHeight="1" x14ac:dyDescent="0.25">
      <c r="R211" s="34" t="s">
        <v>457</v>
      </c>
      <c r="S211" s="451"/>
      <c r="T211" s="497" t="s">
        <v>8147</v>
      </c>
      <c r="V211" s="475">
        <v>4</v>
      </c>
      <c r="W211" s="475" t="str">
        <f>IF($AC$211="","",$W$180)</f>
        <v/>
      </c>
      <c r="X211" s="476" t="str">
        <f>IF($AC$211="","",$X$180)</f>
        <v/>
      </c>
      <c r="Y211" s="477" t="str">
        <f>IF($X$211="","",$Y$180)</f>
        <v/>
      </c>
      <c r="Z211" s="477" t="str">
        <f>IF($X$211="","",$Z$180)</f>
        <v/>
      </c>
      <c r="AA211" s="477" t="str">
        <f>IF($AC$211="","",ROW($A$211)-ROW($A$180))</f>
        <v/>
      </c>
      <c r="AB211" s="478"/>
      <c r="AC211" s="34"/>
      <c r="AD211" s="356"/>
      <c r="AE211" s="479"/>
      <c r="AF211" s="475"/>
      <c r="AG211" s="480" t="str">
        <f t="shared" si="40"/>
        <v/>
      </c>
      <c r="AH211" s="481" t="str">
        <f t="shared" si="41"/>
        <v/>
      </c>
      <c r="AI211" s="477" t="str">
        <f>IF($AC$211="","",IFERROR(INDEX($AZ$74:$AZ$119,MATCH($AH$211,$AY$74:$AY$119,0)),"AUTRE"))</f>
        <v/>
      </c>
      <c r="AJ211" s="482" t="str">
        <f>IF($AC$211="","",IFERROR(INDEX($BA$74:$BA$119,MATCH($AH$211,$AY$74:$AY$119,0)),1))</f>
        <v/>
      </c>
      <c r="AK211" s="482" t="str">
        <f t="shared" si="42"/>
        <v/>
      </c>
      <c r="AL211" s="477" t="str">
        <f>IF($AC$211="","",IFERROR(INDEX($BB$74:$BB$119,MATCH($AH$211,$AY$74:$AY$119,0)),$AH$211))</f>
        <v/>
      </c>
      <c r="AM211" s="483" t="str">
        <f t="shared" si="43"/>
        <v/>
      </c>
      <c r="AN211" s="484" t="str">
        <f t="shared" si="44"/>
        <v/>
      </c>
      <c r="AO211" s="473" t="str">
        <f t="shared" si="45"/>
        <v/>
      </c>
      <c r="AP211" s="473" t="str">
        <f t="shared" si="46"/>
        <v/>
      </c>
      <c r="AQ211" s="473" t="str">
        <f t="shared" si="47"/>
        <v/>
      </c>
      <c r="AR211" s="473" t="str">
        <f t="shared" si="48"/>
        <v/>
      </c>
      <c r="AS211" s="473" t="str">
        <f t="shared" si="49"/>
        <v/>
      </c>
      <c r="AT211" s="473" t="str">
        <f t="shared" si="50"/>
        <v/>
      </c>
      <c r="AU211" s="473" t="str">
        <f t="shared" si="51"/>
        <v/>
      </c>
      <c r="AY211" s="497" t="s">
        <v>463</v>
      </c>
      <c r="AZ211" s="497" t="s">
        <v>465</v>
      </c>
      <c r="BA211" s="34" t="s">
        <v>475</v>
      </c>
      <c r="BB211" s="499"/>
      <c r="BC211" s="271"/>
      <c r="BD211" s="279">
        <v>1</v>
      </c>
      <c r="BE211" s="271"/>
      <c r="BF211" s="271"/>
      <c r="BG211" s="271"/>
      <c r="BH211" s="271"/>
      <c r="BI211" s="271"/>
      <c r="BJ211" s="271"/>
      <c r="BK211" s="271"/>
      <c r="BL211" s="271"/>
    </row>
    <row r="212" spans="18:64" ht="21" customHeight="1" x14ac:dyDescent="0.25">
      <c r="R212" s="34" t="s">
        <v>482</v>
      </c>
      <c r="S212" s="451"/>
      <c r="T212" s="497" t="s">
        <v>465</v>
      </c>
      <c r="V212" s="475">
        <v>4</v>
      </c>
      <c r="W212" s="475" t="str">
        <f>IF($AC$212="","",$W$180)</f>
        <v/>
      </c>
      <c r="X212" s="476" t="str">
        <f>IF($AC$212="","",$X$180)</f>
        <v/>
      </c>
      <c r="Y212" s="477" t="str">
        <f>IF($X$212="","",$Y$180)</f>
        <v/>
      </c>
      <c r="Z212" s="477" t="str">
        <f>IF($X$212="","",$Z$180)</f>
        <v/>
      </c>
      <c r="AA212" s="477" t="str">
        <f>IF($AC$212="","",ROW($A$212)-ROW($A$180))</f>
        <v/>
      </c>
      <c r="AB212" s="478"/>
      <c r="AC212" s="34"/>
      <c r="AD212" s="356"/>
      <c r="AE212" s="479"/>
      <c r="AF212" s="475"/>
      <c r="AG212" s="480" t="str">
        <f t="shared" si="40"/>
        <v/>
      </c>
      <c r="AH212" s="481" t="str">
        <f t="shared" si="41"/>
        <v/>
      </c>
      <c r="AI212" s="477" t="str">
        <f>IF($AC$212="","",IFERROR(INDEX($AZ$74:$AZ$119,MATCH($AH$212,$AY$74:$AY$119,0)),"AUTRE"))</f>
        <v/>
      </c>
      <c r="AJ212" s="482" t="str">
        <f>IF($AC$212="","",IFERROR(INDEX($BA$74:$BA$119,MATCH($AH$212,$AY$74:$AY$119,0)),1))</f>
        <v/>
      </c>
      <c r="AK212" s="482" t="str">
        <f t="shared" si="42"/>
        <v/>
      </c>
      <c r="AL212" s="477" t="str">
        <f>IF($AC$212="","",IFERROR(INDEX($BB$74:$BB$119,MATCH($AH$212,$AY$74:$AY$119,0)),$AH$212))</f>
        <v/>
      </c>
      <c r="AM212" s="483" t="str">
        <f t="shared" si="43"/>
        <v/>
      </c>
      <c r="AN212" s="484" t="str">
        <f t="shared" si="44"/>
        <v/>
      </c>
      <c r="AO212" s="473" t="str">
        <f t="shared" si="45"/>
        <v/>
      </c>
      <c r="AP212" s="473" t="str">
        <f t="shared" si="46"/>
        <v/>
      </c>
      <c r="AQ212" s="473" t="str">
        <f t="shared" si="47"/>
        <v/>
      </c>
      <c r="AR212" s="473" t="str">
        <f t="shared" si="48"/>
        <v/>
      </c>
      <c r="AS212" s="473" t="str">
        <f t="shared" si="49"/>
        <v/>
      </c>
      <c r="AT212" s="473" t="str">
        <f t="shared" si="50"/>
        <v/>
      </c>
      <c r="AU212" s="473" t="str">
        <f t="shared" si="51"/>
        <v/>
      </c>
      <c r="AY212" s="497" t="s">
        <v>8147</v>
      </c>
      <c r="AZ212" s="497" t="s">
        <v>466</v>
      </c>
      <c r="BA212" s="34" t="s">
        <v>457</v>
      </c>
      <c r="BB212" s="499"/>
      <c r="BC212" s="271"/>
      <c r="BD212" s="279">
        <v>1</v>
      </c>
      <c r="BE212" s="271"/>
      <c r="BF212" s="271"/>
      <c r="BG212" s="271"/>
      <c r="BH212" s="271"/>
      <c r="BI212" s="271"/>
      <c r="BJ212" s="271"/>
      <c r="BK212" s="271"/>
      <c r="BL212" s="271"/>
    </row>
    <row r="213" spans="18:64" ht="21" customHeight="1" x14ac:dyDescent="0.25">
      <c r="R213" s="34" t="s">
        <v>496</v>
      </c>
      <c r="S213" s="451"/>
      <c r="T213" s="497" t="s">
        <v>466</v>
      </c>
      <c r="V213" s="475">
        <v>4</v>
      </c>
      <c r="W213" s="475" t="str">
        <f>IF($AC$213="","",$W$180)</f>
        <v/>
      </c>
      <c r="X213" s="476" t="str">
        <f>IF($AC$213="","",$X$180)</f>
        <v/>
      </c>
      <c r="Y213" s="477" t="str">
        <f>IF($X$213="","",$Y$180)</f>
        <v/>
      </c>
      <c r="Z213" s="477" t="str">
        <f>IF($X$213="","",$Z$180)</f>
        <v/>
      </c>
      <c r="AA213" s="477" t="str">
        <f>IF($AC$213="","",ROW($A$213)-ROW($A$180))</f>
        <v/>
      </c>
      <c r="AB213" s="478"/>
      <c r="AC213" s="34"/>
      <c r="AD213" s="356"/>
      <c r="AE213" s="479"/>
      <c r="AF213" s="475"/>
      <c r="AG213" s="480" t="str">
        <f t="shared" si="40"/>
        <v/>
      </c>
      <c r="AH213" s="481" t="str">
        <f t="shared" si="41"/>
        <v/>
      </c>
      <c r="AI213" s="477" t="str">
        <f>IF($AC$213="","",IFERROR(INDEX($AZ$74:$AZ$119,MATCH($AH$213,$AY$74:$AY$119,0)),"AUTRE"))</f>
        <v/>
      </c>
      <c r="AJ213" s="482" t="str">
        <f>IF($AC$213="","",IFERROR(INDEX($BA$74:$BA$119,MATCH($AH$213,$AY$74:$AY$119,0)),1))</f>
        <v/>
      </c>
      <c r="AK213" s="482" t="str">
        <f t="shared" si="42"/>
        <v/>
      </c>
      <c r="AL213" s="477" t="str">
        <f>IF($AC$213="","",IFERROR(INDEX($BB$74:$BB$119,MATCH($AH$213,$AY$74:$AY$119,0)),$AH$213))</f>
        <v/>
      </c>
      <c r="AM213" s="483" t="str">
        <f t="shared" si="43"/>
        <v/>
      </c>
      <c r="AN213" s="484" t="str">
        <f t="shared" si="44"/>
        <v/>
      </c>
      <c r="AO213" s="473" t="str">
        <f t="shared" si="45"/>
        <v/>
      </c>
      <c r="AP213" s="473" t="str">
        <f t="shared" si="46"/>
        <v/>
      </c>
      <c r="AQ213" s="473" t="str">
        <f t="shared" si="47"/>
        <v/>
      </c>
      <c r="AR213" s="473" t="str">
        <f t="shared" si="48"/>
        <v/>
      </c>
      <c r="AS213" s="473" t="str">
        <f t="shared" si="49"/>
        <v/>
      </c>
      <c r="AT213" s="473" t="str">
        <f t="shared" si="50"/>
        <v/>
      </c>
      <c r="AU213" s="473" t="str">
        <f t="shared" si="51"/>
        <v/>
      </c>
      <c r="AY213" s="497" t="s">
        <v>465</v>
      </c>
      <c r="AZ213" s="14" t="s">
        <v>7</v>
      </c>
      <c r="BA213" s="34" t="s">
        <v>482</v>
      </c>
      <c r="BB213" s="499"/>
      <c r="BC213" s="271"/>
      <c r="BD213" s="279">
        <v>1</v>
      </c>
      <c r="BE213" s="271"/>
      <c r="BF213" s="271"/>
      <c r="BG213" s="271"/>
      <c r="BH213" s="271"/>
      <c r="BI213" s="271"/>
      <c r="BJ213" s="271"/>
      <c r="BK213" s="271"/>
      <c r="BL213" s="271"/>
    </row>
    <row r="214" spans="18:64" ht="21" customHeight="1" x14ac:dyDescent="0.25">
      <c r="R214" s="34" t="s">
        <v>483</v>
      </c>
      <c r="S214" s="451"/>
      <c r="T214" s="440" t="s">
        <v>8110</v>
      </c>
      <c r="V214" s="475">
        <v>4</v>
      </c>
      <c r="W214" s="475" t="str">
        <f>IF($AC$214="","",$W$180)</f>
        <v/>
      </c>
      <c r="X214" s="476" t="str">
        <f>IF($AC$214="","",$X$180)</f>
        <v/>
      </c>
      <c r="Y214" s="477" t="str">
        <f>IF($X$214="","",$Y$180)</f>
        <v/>
      </c>
      <c r="Z214" s="477" t="str">
        <f>IF($X$214="","",$Z$180)</f>
        <v/>
      </c>
      <c r="AA214" s="477" t="str">
        <f>IF($AC$214="","",ROW($A$214)-ROW($A$180))</f>
        <v/>
      </c>
      <c r="AB214" s="478"/>
      <c r="AC214" s="34"/>
      <c r="AD214" s="356"/>
      <c r="AE214" s="479"/>
      <c r="AF214" s="475"/>
      <c r="AG214" s="491" t="str">
        <f t="shared" si="40"/>
        <v/>
      </c>
      <c r="AH214" s="481" t="str">
        <f t="shared" si="41"/>
        <v/>
      </c>
      <c r="AI214" s="477" t="str">
        <f>IF($AC$214="","",IFERROR(INDEX($AZ$74:$AZ$119,MATCH($AH$214,$AY$74:$AY$119,0)),"AUTRE"))</f>
        <v/>
      </c>
      <c r="AJ214" s="482" t="str">
        <f>IF($AC$214="","",IFERROR(INDEX($BA$74:$BA$119,MATCH($AH$214,$AY$74:$AY$119,0)),1))</f>
        <v/>
      </c>
      <c r="AK214" s="482" t="str">
        <f t="shared" si="42"/>
        <v/>
      </c>
      <c r="AL214" s="477" t="str">
        <f>IF($AC$214="","",IFERROR(INDEX($BB$74:$BB$119,MATCH($AH$214,$AY$74:$AY$119,0)),$AH$214))</f>
        <v/>
      </c>
      <c r="AM214" s="483" t="str">
        <f t="shared" si="43"/>
        <v/>
      </c>
      <c r="AN214" s="484" t="str">
        <f t="shared" si="44"/>
        <v/>
      </c>
      <c r="AO214" s="473" t="str">
        <f t="shared" si="45"/>
        <v/>
      </c>
      <c r="AP214" s="473" t="str">
        <f t="shared" si="46"/>
        <v/>
      </c>
      <c r="AQ214" s="473" t="str">
        <f t="shared" si="47"/>
        <v/>
      </c>
      <c r="AR214" s="473" t="str">
        <f t="shared" si="48"/>
        <v/>
      </c>
      <c r="AS214" s="473" t="str">
        <f t="shared" si="49"/>
        <v/>
      </c>
      <c r="AT214" s="473" t="str">
        <f t="shared" si="50"/>
        <v/>
      </c>
      <c r="AU214" s="473" t="str">
        <f t="shared" si="51"/>
        <v/>
      </c>
      <c r="AY214" s="497" t="s">
        <v>466</v>
      </c>
      <c r="AZ214" s="27" t="s">
        <v>8</v>
      </c>
      <c r="BA214" s="34" t="s">
        <v>496</v>
      </c>
      <c r="BB214" s="499"/>
      <c r="BC214" s="271"/>
      <c r="BD214" s="279">
        <v>1</v>
      </c>
      <c r="BE214" s="271"/>
      <c r="BF214" s="271"/>
      <c r="BG214" s="271"/>
      <c r="BH214" s="271"/>
      <c r="BI214" s="271"/>
      <c r="BJ214" s="271"/>
      <c r="BK214" s="271"/>
      <c r="BL214" s="271"/>
    </row>
    <row r="215" spans="18:64" ht="30" customHeight="1" x14ac:dyDescent="0.25">
      <c r="R215" s="34" t="s">
        <v>493</v>
      </c>
      <c r="S215" s="451"/>
      <c r="T215" s="452" t="s">
        <v>8113</v>
      </c>
      <c r="V215" s="453" t="s">
        <v>324</v>
      </c>
      <c r="W215" s="453" t="s">
        <v>7912</v>
      </c>
      <c r="X215" s="453" t="s">
        <v>326</v>
      </c>
      <c r="Y215" s="453" t="s">
        <v>327</v>
      </c>
      <c r="Z215" s="454" t="s">
        <v>7930</v>
      </c>
      <c r="AA215" s="453" t="s">
        <v>7937</v>
      </c>
      <c r="AB215" s="455" t="s">
        <v>39</v>
      </c>
      <c r="AC215" s="455" t="s">
        <v>338</v>
      </c>
      <c r="AD215" s="455" t="s">
        <v>8114</v>
      </c>
      <c r="AE215" s="455" t="s">
        <v>339</v>
      </c>
      <c r="AF215" s="455" t="s">
        <v>7997</v>
      </c>
      <c r="AG215" s="453" t="s">
        <v>8018</v>
      </c>
      <c r="AH215" s="453" t="s">
        <v>8023</v>
      </c>
      <c r="AI215" s="453" t="s">
        <v>330</v>
      </c>
      <c r="AJ215" s="453" t="s">
        <v>8031</v>
      </c>
      <c r="AK215" s="453" t="s">
        <v>8037</v>
      </c>
      <c r="AL215" s="453" t="s">
        <v>8041</v>
      </c>
      <c r="AM215" s="453" t="s">
        <v>343</v>
      </c>
      <c r="AN215" s="457" t="s">
        <v>8115</v>
      </c>
      <c r="AO215" s="457" t="s">
        <v>8116</v>
      </c>
      <c r="AP215" s="656" t="s">
        <v>8117</v>
      </c>
      <c r="AQ215" s="656"/>
      <c r="AR215" s="656"/>
      <c r="AS215" s="656"/>
      <c r="AT215" s="656"/>
      <c r="AU215" s="657"/>
      <c r="AZ215" s="28" t="s">
        <v>13</v>
      </c>
      <c r="BA215" s="34" t="s">
        <v>483</v>
      </c>
      <c r="BB215" s="499"/>
      <c r="BC215" s="271"/>
      <c r="BD215" s="279">
        <v>1</v>
      </c>
      <c r="BE215" s="271"/>
      <c r="BF215" s="271"/>
      <c r="BG215" s="271"/>
      <c r="BH215" s="271"/>
      <c r="BI215" s="271"/>
      <c r="BJ215" s="271"/>
      <c r="BK215" s="271"/>
      <c r="BL215" s="271"/>
    </row>
    <row r="216" spans="18:64" ht="30" customHeight="1" x14ac:dyDescent="0.25">
      <c r="R216" s="34" t="s">
        <v>494</v>
      </c>
      <c r="S216" s="451"/>
      <c r="T216" s="14" t="s">
        <v>7</v>
      </c>
      <c r="V216" s="459">
        <v>5</v>
      </c>
      <c r="W216" s="460" t="s">
        <v>8120</v>
      </c>
      <c r="X216" s="461" t="s">
        <v>8153</v>
      </c>
      <c r="Y216" s="462"/>
      <c r="Z216" s="463">
        <v>100</v>
      </c>
      <c r="AA216" s="464">
        <f>IF($AC$396="","",ROW($A$396)-ROW($A$396))</f>
        <v>0</v>
      </c>
      <c r="AB216" s="461"/>
      <c r="AC216" s="465" t="s">
        <v>8154</v>
      </c>
      <c r="AD216" s="390"/>
      <c r="AE216" s="390"/>
      <c r="AF216" s="466"/>
      <c r="AG216" s="467" t="str">
        <f t="shared" ref="AG216:AG250" si="52">IF($AC216="","",IF(LEN($AN216&amp;"")=0,"",$AN216))</f>
        <v/>
      </c>
      <c r="AH216" s="468" t="str">
        <f t="shared" ref="AH216:AH250" si="53">IF($AC216="","",IF($AF216&lt;&gt;"",UPPER(TRIM(SUBSTITUTE(SUBSTITUTE($AF216&amp;"",CHAR(160)," ")," "," "))),$AP216))</f>
        <v/>
      </c>
      <c r="AI216" s="469" t="str">
        <f>IF($AC$216="","",IFERROR(INDEX($AZ$74:$AZ$119,MATCH($AH$216,$AY$74:$AY$119,0)),"AUTRE"))</f>
        <v>AUTRE</v>
      </c>
      <c r="AJ216" s="470">
        <f>IF($AC$216="","",IFERROR(INDEX($BA$74:$BA$119,MATCH($AH$216,$AY$74:$AY$119,0)),1))</f>
        <v>1</v>
      </c>
      <c r="AK216" s="470" t="str">
        <f t="shared" ref="AK216:AK250" si="54">IF(OR(AG216="",AJ216=""),"",AG216*AJ216)</f>
        <v/>
      </c>
      <c r="AL216" s="469" t="str">
        <f>IF($AC$216="","",IFERROR(INDEX($BB$74:$BB$119,MATCH($AH$216,$AY$74:$AY$119,0)),$AH$216))</f>
        <v/>
      </c>
      <c r="AM216" s="471" t="str">
        <f t="shared" ref="AM216:AM250" si="55">IF($AC216="","",IF($AH216="QT. SUFFISANTE","OK",IF($AG216="","TEXTE",IF(NOT(ISNUMBER($AG216)),"QUANTITÉ À CONTRÔLER",IF(COUNTIF($AY$74:$AY$119,$AH216)=0,"UNITÉ À CONTRÔLER","OK")))))</f>
        <v>TEXTE</v>
      </c>
      <c r="AN216" s="474" t="str">
        <f t="shared" ref="AN216:AN250" si="56">IF($AE216&lt;&gt;"",$AE216,IF($AD216="","",IF(ISNUMBER($AD216),$AD216,IF($AO216="QT",0,IF($AO216="","",IFERROR(IF(ISNUMBER(SEARCH("/",$AO216)),VALUE(TRIM(LEFT($AO216,SEARCH("/",$AO216)-1)))/VALUE(TRIM(MID($AO216,SEARCH("/",$AO216)+1,99))),VALUE(SUBSTITUTE($AO216,".",","))),""))))))</f>
        <v/>
      </c>
      <c r="AO216" s="473" t="str">
        <f t="shared" ref="AO216:AO250" si="57">IF($AD216="","",IF(ISNUMBER($AD216),$AD216,IF(OR(LEFT($AQ216,3)="QT.",LEFT($AQ216,4)="QUAN"),"QT",IF($AR216=999,$AQ216,TRIM(LEFT($AQ216,$AR216-1))))))</f>
        <v/>
      </c>
      <c r="AP216" s="473" t="str">
        <f t="shared" ref="AP216:AP250" si="58">IF($AD216="","",IF(ISNUMBER($AD216),"",IF(OR(LEFT($AQ216,3)="QT.",LEFT($AQ216,4)="QUAN"),"QT. SUFFISANTE",IF($AO216="","",TRIM(MID($AQ216,LEN($AO216&amp;"")+1,999))))))</f>
        <v/>
      </c>
      <c r="AQ216" s="473" t="str">
        <f t="shared" ref="AQ216:AQ250" si="59">IF($AD216="","",UPPER(TRIM(SUBSTITUTE(SUBSTITUTE($AD216&amp;"",CHAR(160)," ")," "," "))))</f>
        <v/>
      </c>
      <c r="AR216" s="473" t="str">
        <f t="shared" ref="AR216:AR250" si="60">IF($AQ216="","",MIN($AS216,$AT216,$AU216))</f>
        <v/>
      </c>
      <c r="AS216" s="473" t="str">
        <f t="shared" ref="AS216:AS250" si="61">IF($AQ216="","",MIN(IFERROR(SEARCH("A",$AQ216),999),IFERROR(SEARCH("B",$AQ216),999),IFERROR(SEARCH("C",$AQ216),999),IFERROR(SEARCH("D",$AQ216),999),IFERROR(SEARCH("E",$AQ216),999),IFERROR(SEARCH("F",$AQ216),999),IFERROR(SEARCH("G",$AQ216),999),IFERROR(SEARCH("H",$AQ216),999),IFERROR(SEARCH("I",$AQ216),999)))</f>
        <v/>
      </c>
      <c r="AT216" s="473" t="str">
        <f t="shared" ref="AT216:AT250" si="62">IF($AQ216="","",MIN(IFERROR(SEARCH("J",$AQ216),999),IFERROR(SEARCH("K",$AQ216),999),IFERROR(SEARCH("L",$AQ216),999),IFERROR(SEARCH("M",$AQ216),999),IFERROR(SEARCH("N",$AQ216),999),IFERROR(SEARCH("O",$AQ216),999),IFERROR(SEARCH("P",$AQ216),999),IFERROR(SEARCH("Q",$AQ216),999),IFERROR(SEARCH("R",$AQ216),999)))</f>
        <v/>
      </c>
      <c r="AU216" s="473" t="str">
        <f t="shared" ref="AU216:AU250" si="63">IF($AQ216="","",MIN(IFERROR(SEARCH("S",$AQ216),999),IFERROR(SEARCH("T",$AQ216),999),IFERROR(SEARCH("U",$AQ216),999),IFERROR(SEARCH("V",$AQ216),999),IFERROR(SEARCH("W",$AQ216),999),IFERROR(SEARCH("X",$AQ216),999),IFERROR(SEARCH("Y",$AQ216),999),IFERROR(SEARCH("Z",$AQ216),999)))</f>
        <v/>
      </c>
      <c r="AZ216" s="28" t="s">
        <v>14</v>
      </c>
      <c r="BA216" s="34" t="s">
        <v>493</v>
      </c>
      <c r="BB216" s="499"/>
      <c r="BC216" s="271"/>
      <c r="BD216" s="279">
        <v>1</v>
      </c>
      <c r="BE216" s="271"/>
      <c r="BF216" s="271"/>
      <c r="BG216" s="271"/>
      <c r="BH216" s="271"/>
      <c r="BI216" s="271"/>
      <c r="BJ216" s="271"/>
      <c r="BK216" s="271"/>
      <c r="BL216" s="271"/>
    </row>
    <row r="217" spans="18:64" ht="21" customHeight="1" x14ac:dyDescent="0.25">
      <c r="S217" s="451"/>
      <c r="T217" s="27" t="s">
        <v>8</v>
      </c>
      <c r="V217" s="475">
        <f>$V$216</f>
        <v>5</v>
      </c>
      <c r="W217" s="475" t="str">
        <f>IF($AC$217="","",$W$216)</f>
        <v/>
      </c>
      <c r="X217" s="476" t="str">
        <f>IF($AC$217="","",$X$216)</f>
        <v/>
      </c>
      <c r="Y217" s="477" t="str">
        <f>IF($X$217="","",$Y$216)</f>
        <v/>
      </c>
      <c r="Z217" s="477" t="str">
        <f>IF($X$217="","",$Z$216)</f>
        <v/>
      </c>
      <c r="AA217" s="477" t="str">
        <f>IF($AC$217="","",ROW($A$217)-ROW($A$216))</f>
        <v/>
      </c>
      <c r="AB217" s="478"/>
      <c r="AC217" s="34"/>
      <c r="AD217" s="356"/>
      <c r="AE217" s="479"/>
      <c r="AF217" s="475"/>
      <c r="AG217" s="480" t="str">
        <f t="shared" si="52"/>
        <v/>
      </c>
      <c r="AH217" s="481" t="str">
        <f t="shared" si="53"/>
        <v/>
      </c>
      <c r="AI217" s="477" t="str">
        <f>IF($AC$217="","",IFERROR(INDEX($AZ$74:$AZ$119,MATCH($AH$217,$AY$74:$AY$119,0)),"AUTRE"))</f>
        <v/>
      </c>
      <c r="AJ217" s="482" t="str">
        <f>IF($AC$217="","",IFERROR(INDEX($BA$74:$BA$119,MATCH($AH$217,$AY$74:$AY$119,0)),1))</f>
        <v/>
      </c>
      <c r="AK217" s="482" t="str">
        <f t="shared" si="54"/>
        <v/>
      </c>
      <c r="AL217" s="477" t="str">
        <f>IF($AC$217="","",IFERROR(INDEX($BB$74:$BB$119,MATCH($AH$217,$AY$74:$AY$119,0)),$AH$217))</f>
        <v/>
      </c>
      <c r="AM217" s="483" t="str">
        <f t="shared" si="55"/>
        <v/>
      </c>
      <c r="AN217" s="484" t="str">
        <f t="shared" si="56"/>
        <v/>
      </c>
      <c r="AO217" s="473" t="str">
        <f t="shared" si="57"/>
        <v/>
      </c>
      <c r="AP217" s="473" t="str">
        <f t="shared" si="58"/>
        <v/>
      </c>
      <c r="AQ217" s="473" t="str">
        <f t="shared" si="59"/>
        <v/>
      </c>
      <c r="AR217" s="473" t="str">
        <f t="shared" si="60"/>
        <v/>
      </c>
      <c r="AS217" s="473" t="str">
        <f t="shared" si="61"/>
        <v/>
      </c>
      <c r="AT217" s="473" t="str">
        <f t="shared" si="62"/>
        <v/>
      </c>
      <c r="AU217" s="473" t="str">
        <f t="shared" si="63"/>
        <v/>
      </c>
      <c r="AZ217" s="28" t="s">
        <v>15</v>
      </c>
      <c r="BA217" s="34" t="s">
        <v>494</v>
      </c>
      <c r="BB217" s="499"/>
      <c r="BC217" s="271"/>
      <c r="BD217" s="279">
        <v>1</v>
      </c>
      <c r="BE217" s="271"/>
      <c r="BF217" s="271"/>
      <c r="BG217" s="271"/>
      <c r="BH217" s="271"/>
      <c r="BI217" s="271"/>
      <c r="BJ217" s="271"/>
      <c r="BK217" s="271"/>
      <c r="BL217" s="271"/>
    </row>
    <row r="218" spans="18:64" ht="21" customHeight="1" x14ac:dyDescent="0.25">
      <c r="R218" s="25" t="s">
        <v>6115</v>
      </c>
      <c r="S218" s="451"/>
      <c r="T218" s="28" t="s">
        <v>13</v>
      </c>
      <c r="V218" s="475">
        <v>5</v>
      </c>
      <c r="W218" s="475" t="str">
        <f>IF($AC$218="","",$W$216)</f>
        <v/>
      </c>
      <c r="X218" s="476" t="str">
        <f>IF($AC$218="","",$X$216)</f>
        <v/>
      </c>
      <c r="Y218" s="477" t="str">
        <f>IF($X$218="","",$Y$216)</f>
        <v/>
      </c>
      <c r="Z218" s="477" t="str">
        <f>IF($X$218="","",$Z$216)</f>
        <v/>
      </c>
      <c r="AA218" s="477" t="str">
        <f>IF($AC$218="","",ROW($A$218)-ROW($A$216))</f>
        <v/>
      </c>
      <c r="AB218" s="478"/>
      <c r="AC218" s="34"/>
      <c r="AD218" s="356"/>
      <c r="AE218" s="479"/>
      <c r="AF218" s="475"/>
      <c r="AG218" s="480" t="str">
        <f t="shared" si="52"/>
        <v/>
      </c>
      <c r="AH218" s="481" t="str">
        <f t="shared" si="53"/>
        <v/>
      </c>
      <c r="AI218" s="477" t="str">
        <f>IF($AC$218="","",IFERROR(INDEX($AZ$74:$AZ$119,MATCH($AH$218,$AY$74:$AY$119,0)),"AUTRE"))</f>
        <v/>
      </c>
      <c r="AJ218" s="482" t="str">
        <f>IF($AC$218="","",IFERROR(INDEX($BA$74:$BA$119,MATCH($AH$218,$AY$74:$AY$119,0)),1))</f>
        <v/>
      </c>
      <c r="AK218" s="482" t="str">
        <f t="shared" si="54"/>
        <v/>
      </c>
      <c r="AL218" s="477" t="str">
        <f>IF($AC$218="","",IFERROR(INDEX($BB$74:$BB$119,MATCH($AH$218,$AY$74:$AY$119,0)),$AH$218))</f>
        <v/>
      </c>
      <c r="AM218" s="483" t="str">
        <f t="shared" si="55"/>
        <v/>
      </c>
      <c r="AN218" s="484" t="str">
        <f t="shared" si="56"/>
        <v/>
      </c>
      <c r="AO218" s="473" t="str">
        <f t="shared" si="57"/>
        <v/>
      </c>
      <c r="AP218" s="473" t="str">
        <f t="shared" si="58"/>
        <v/>
      </c>
      <c r="AQ218" s="473" t="str">
        <f t="shared" si="59"/>
        <v/>
      </c>
      <c r="AR218" s="473" t="str">
        <f t="shared" si="60"/>
        <v/>
      </c>
      <c r="AS218" s="473" t="str">
        <f t="shared" si="61"/>
        <v/>
      </c>
      <c r="AT218" s="473" t="str">
        <f t="shared" si="62"/>
        <v/>
      </c>
      <c r="AU218" s="473" t="str">
        <f t="shared" si="63"/>
        <v/>
      </c>
      <c r="AZ218" s="29" t="s">
        <v>9</v>
      </c>
      <c r="BB218" s="499"/>
      <c r="BC218" s="271"/>
      <c r="BD218" s="279">
        <v>1</v>
      </c>
      <c r="BE218" s="271"/>
      <c r="BF218" s="271"/>
      <c r="BG218" s="271"/>
      <c r="BH218" s="271"/>
      <c r="BI218" s="271"/>
      <c r="BJ218" s="271"/>
      <c r="BK218" s="271"/>
      <c r="BL218" s="271"/>
    </row>
    <row r="219" spans="18:64" ht="21" customHeight="1" x14ac:dyDescent="0.25">
      <c r="R219" s="34" t="s">
        <v>471</v>
      </c>
      <c r="S219" s="451"/>
      <c r="T219" s="28" t="s">
        <v>14</v>
      </c>
      <c r="V219" s="475">
        <v>5</v>
      </c>
      <c r="W219" s="475" t="str">
        <f>IF($AC$219="","",$W$216)</f>
        <v/>
      </c>
      <c r="X219" s="476" t="str">
        <f>IF($AC$219="","",$X$216)</f>
        <v/>
      </c>
      <c r="Y219" s="477" t="str">
        <f>IF($X$219="","",$Y$216)</f>
        <v/>
      </c>
      <c r="Z219" s="477" t="str">
        <f>IF($X$219="","",$Z$216)</f>
        <v/>
      </c>
      <c r="AA219" s="477" t="str">
        <f>IF($AC$219="","",ROW($A$219)-ROW($A$216))</f>
        <v/>
      </c>
      <c r="AB219" s="478"/>
      <c r="AC219" s="34"/>
      <c r="AD219" s="356"/>
      <c r="AE219" s="479"/>
      <c r="AF219" s="475"/>
      <c r="AG219" s="480" t="str">
        <f t="shared" si="52"/>
        <v/>
      </c>
      <c r="AH219" s="481" t="str">
        <f t="shared" si="53"/>
        <v/>
      </c>
      <c r="AI219" s="477" t="str">
        <f>IF($AC$219="","",IFERROR(INDEX($AZ$74:$AZ$119,MATCH($AH$219,$AY$74:$AY$119,0)),"AUTRE"))</f>
        <v/>
      </c>
      <c r="AJ219" s="482" t="str">
        <f>IF($AC$219="","",IFERROR(INDEX($BA$74:$BA$119,MATCH($AH$219,$AY$74:$AY$119,0)),1))</f>
        <v/>
      </c>
      <c r="AK219" s="482" t="str">
        <f t="shared" si="54"/>
        <v/>
      </c>
      <c r="AL219" s="477" t="str">
        <f>IF($AC$219="","",IFERROR(INDEX($BB$74:$BB$119,MATCH($AH$219,$AY$74:$AY$119,0)),$AH$219))</f>
        <v/>
      </c>
      <c r="AM219" s="483" t="str">
        <f t="shared" si="55"/>
        <v/>
      </c>
      <c r="AN219" s="484" t="str">
        <f t="shared" si="56"/>
        <v/>
      </c>
      <c r="AO219" s="473" t="str">
        <f t="shared" si="57"/>
        <v/>
      </c>
      <c r="AP219" s="473" t="str">
        <f t="shared" si="58"/>
        <v/>
      </c>
      <c r="AQ219" s="473" t="str">
        <f t="shared" si="59"/>
        <v/>
      </c>
      <c r="AR219" s="473" t="str">
        <f t="shared" si="60"/>
        <v/>
      </c>
      <c r="AS219" s="473" t="str">
        <f t="shared" si="61"/>
        <v/>
      </c>
      <c r="AT219" s="473" t="str">
        <f t="shared" si="62"/>
        <v/>
      </c>
      <c r="AU219" s="473" t="str">
        <f t="shared" si="63"/>
        <v/>
      </c>
      <c r="AZ219" s="30" t="s">
        <v>10</v>
      </c>
      <c r="BA219" s="25" t="s">
        <v>6115</v>
      </c>
      <c r="BB219" s="499"/>
      <c r="BC219" s="271"/>
      <c r="BD219" s="279">
        <v>1</v>
      </c>
      <c r="BE219" s="271"/>
      <c r="BF219" s="271"/>
      <c r="BG219" s="271"/>
      <c r="BH219" s="271"/>
      <c r="BI219" s="271"/>
      <c r="BJ219" s="271"/>
      <c r="BK219" s="271"/>
      <c r="BL219" s="271"/>
    </row>
    <row r="220" spans="18:64" ht="21" customHeight="1" x14ac:dyDescent="0.25">
      <c r="R220" s="34" t="s">
        <v>472</v>
      </c>
      <c r="S220" s="451"/>
      <c r="T220" s="28" t="s">
        <v>15</v>
      </c>
      <c r="V220" s="475">
        <v>5</v>
      </c>
      <c r="W220" s="475" t="str">
        <f>IF($AC$220="","",$W$216)</f>
        <v/>
      </c>
      <c r="X220" s="476" t="str">
        <f>IF($AC$220="","",$X$216)</f>
        <v/>
      </c>
      <c r="Y220" s="477" t="str">
        <f>IF($X$220="","",$Y$216)</f>
        <v/>
      </c>
      <c r="Z220" s="477" t="str">
        <f>IF($X$220="","",$Z$216)</f>
        <v/>
      </c>
      <c r="AA220" s="477" t="str">
        <f>IF($AC$220="","",ROW($A$220)-ROW($A$216))</f>
        <v/>
      </c>
      <c r="AB220" s="478"/>
      <c r="AC220" s="34"/>
      <c r="AD220" s="356"/>
      <c r="AE220" s="479"/>
      <c r="AF220" s="475"/>
      <c r="AG220" s="480" t="str">
        <f t="shared" si="52"/>
        <v/>
      </c>
      <c r="AH220" s="481" t="str">
        <f t="shared" si="53"/>
        <v/>
      </c>
      <c r="AI220" s="477" t="str">
        <f>IF($AC$220="","",IFERROR(INDEX($AZ$74:$AZ$119,MATCH($AH$220,$AY$74:$AY$119,0)),"AUTRE"))</f>
        <v/>
      </c>
      <c r="AJ220" s="482" t="str">
        <f>IF($AC$220="","",IFERROR(INDEX($BA$74:$BA$119,MATCH($AH$220,$AY$74:$AY$119,0)),1))</f>
        <v/>
      </c>
      <c r="AK220" s="482" t="str">
        <f t="shared" si="54"/>
        <v/>
      </c>
      <c r="AL220" s="477" t="str">
        <f>IF($AC$220="","",IFERROR(INDEX($BB$74:$BB$119,MATCH($AH$220,$AY$74:$AY$119,0)),$AH$220))</f>
        <v/>
      </c>
      <c r="AM220" s="483" t="str">
        <f t="shared" si="55"/>
        <v/>
      </c>
      <c r="AN220" s="484" t="str">
        <f t="shared" si="56"/>
        <v/>
      </c>
      <c r="AO220" s="473" t="str">
        <f t="shared" si="57"/>
        <v/>
      </c>
      <c r="AP220" s="473" t="str">
        <f t="shared" si="58"/>
        <v/>
      </c>
      <c r="AQ220" s="473" t="str">
        <f t="shared" si="59"/>
        <v/>
      </c>
      <c r="AR220" s="473" t="str">
        <f t="shared" si="60"/>
        <v/>
      </c>
      <c r="AS220" s="473" t="str">
        <f t="shared" si="61"/>
        <v/>
      </c>
      <c r="AT220" s="473" t="str">
        <f t="shared" si="62"/>
        <v/>
      </c>
      <c r="AU220" s="473" t="str">
        <f t="shared" si="63"/>
        <v/>
      </c>
      <c r="AZ220" s="30" t="s">
        <v>11</v>
      </c>
      <c r="BA220" s="34" t="s">
        <v>471</v>
      </c>
      <c r="BB220" s="499"/>
      <c r="BC220" s="271"/>
      <c r="BD220" s="279">
        <v>1</v>
      </c>
      <c r="BE220" s="271"/>
      <c r="BF220" s="271"/>
      <c r="BG220" s="271"/>
      <c r="BH220" s="271"/>
      <c r="BI220" s="271"/>
      <c r="BJ220" s="271"/>
      <c r="BK220" s="271"/>
      <c r="BL220" s="271"/>
    </row>
    <row r="221" spans="18:64" ht="21" customHeight="1" x14ac:dyDescent="0.25">
      <c r="R221" s="34" t="s">
        <v>6112</v>
      </c>
      <c r="S221" s="451"/>
      <c r="T221" s="28" t="s">
        <v>21</v>
      </c>
      <c r="V221" s="475">
        <v>5</v>
      </c>
      <c r="W221" s="475" t="str">
        <f>IF($AC$221="","",$W$216)</f>
        <v/>
      </c>
      <c r="X221" s="476" t="str">
        <f>IF($AC$221="","",$X$216)</f>
        <v/>
      </c>
      <c r="Y221" s="477" t="str">
        <f>IF($X$221="","",$Y$216)</f>
        <v/>
      </c>
      <c r="Z221" s="477" t="str">
        <f>IF($X$221="","",$Z$216)</f>
        <v/>
      </c>
      <c r="AA221" s="477" t="str">
        <f>IF($AC$221="","",ROW($A$221)-ROW($A$216))</f>
        <v/>
      </c>
      <c r="AB221" s="478"/>
      <c r="AC221" s="34"/>
      <c r="AD221" s="356"/>
      <c r="AE221" s="479"/>
      <c r="AF221" s="475"/>
      <c r="AG221" s="480" t="str">
        <f t="shared" si="52"/>
        <v/>
      </c>
      <c r="AH221" s="481" t="str">
        <f t="shared" si="53"/>
        <v/>
      </c>
      <c r="AI221" s="477" t="str">
        <f>IF($AC$221="","",IFERROR(INDEX($AZ$74:$AZ$119,MATCH($AH$221,$AY$74:$AY$119,0)),"AUTRE"))</f>
        <v/>
      </c>
      <c r="AJ221" s="482" t="str">
        <f>IF($AC$221="","",IFERROR(INDEX($BA$74:$BA$119,MATCH($AH$221,$AY$74:$AY$119,0)),1))</f>
        <v/>
      </c>
      <c r="AK221" s="482" t="str">
        <f t="shared" si="54"/>
        <v/>
      </c>
      <c r="AL221" s="477" t="str">
        <f>IF($AC$221="","",IFERROR(INDEX($BB$74:$BB$119,MATCH($AH$221,$AY$74:$AY$119,0)),$AH$221))</f>
        <v/>
      </c>
      <c r="AM221" s="483" t="str">
        <f t="shared" si="55"/>
        <v/>
      </c>
      <c r="AN221" s="484" t="str">
        <f t="shared" si="56"/>
        <v/>
      </c>
      <c r="AO221" s="473" t="str">
        <f t="shared" si="57"/>
        <v/>
      </c>
      <c r="AP221" s="473" t="str">
        <f t="shared" si="58"/>
        <v/>
      </c>
      <c r="AQ221" s="473" t="str">
        <f t="shared" si="59"/>
        <v/>
      </c>
      <c r="AR221" s="473" t="str">
        <f t="shared" si="60"/>
        <v/>
      </c>
      <c r="AS221" s="473" t="str">
        <f t="shared" si="61"/>
        <v/>
      </c>
      <c r="AT221" s="473" t="str">
        <f t="shared" si="62"/>
        <v/>
      </c>
      <c r="AU221" s="473" t="str">
        <f t="shared" si="63"/>
        <v/>
      </c>
      <c r="AZ221" s="30" t="s">
        <v>12</v>
      </c>
      <c r="BA221" s="34" t="s">
        <v>472</v>
      </c>
      <c r="BB221" s="499"/>
      <c r="BC221" s="271"/>
      <c r="BD221" s="279">
        <v>1</v>
      </c>
      <c r="BE221" s="271"/>
      <c r="BF221" s="271"/>
      <c r="BG221" s="271"/>
      <c r="BH221" s="271"/>
      <c r="BI221" s="271"/>
      <c r="BJ221" s="271"/>
      <c r="BK221" s="271"/>
      <c r="BL221" s="271"/>
    </row>
    <row r="222" spans="18:64" ht="21" customHeight="1" x14ac:dyDescent="0.25">
      <c r="R222" s="25" t="s">
        <v>6116</v>
      </c>
      <c r="S222" s="451"/>
      <c r="T222" s="28" t="s">
        <v>22</v>
      </c>
      <c r="V222" s="475">
        <v>5</v>
      </c>
      <c r="W222" s="475" t="str">
        <f>IF($AC$222="","",$W$216)</f>
        <v/>
      </c>
      <c r="X222" s="476" t="str">
        <f>IF($AC$222="","",$X$216)</f>
        <v/>
      </c>
      <c r="Y222" s="477" t="str">
        <f>IF($X$222="","",$Y$216)</f>
        <v/>
      </c>
      <c r="Z222" s="477" t="str">
        <f>IF($X$222="","",$Z$216)</f>
        <v/>
      </c>
      <c r="AA222" s="477" t="str">
        <f>IF($AC$222="","",ROW($A$222)-ROW($A$216))</f>
        <v/>
      </c>
      <c r="AB222" s="478"/>
      <c r="AC222" s="34"/>
      <c r="AD222" s="356"/>
      <c r="AE222" s="479"/>
      <c r="AF222" s="475"/>
      <c r="AG222" s="480" t="str">
        <f t="shared" si="52"/>
        <v/>
      </c>
      <c r="AH222" s="481" t="str">
        <f t="shared" si="53"/>
        <v/>
      </c>
      <c r="AI222" s="477" t="str">
        <f>IF($AC$222="","",IFERROR(INDEX($AZ$74:$AZ$119,MATCH($AH$222,$AY$74:$AY$119,0)),"AUTRE"))</f>
        <v/>
      </c>
      <c r="AJ222" s="482" t="str">
        <f>IF($AC$222="","",IFERROR(INDEX($BA$74:$BA$119,MATCH($AH$222,$AY$74:$AY$119,0)),1))</f>
        <v/>
      </c>
      <c r="AK222" s="482" t="str">
        <f t="shared" si="54"/>
        <v/>
      </c>
      <c r="AL222" s="477" t="str">
        <f>IF($AC$222="","",IFERROR(INDEX($BB$74:$BB$119,MATCH($AH$222,$AY$74:$AY$119,0)),$AH$222))</f>
        <v/>
      </c>
      <c r="AM222" s="483" t="str">
        <f t="shared" si="55"/>
        <v/>
      </c>
      <c r="AN222" s="484" t="str">
        <f t="shared" si="56"/>
        <v/>
      </c>
      <c r="AO222" s="473" t="str">
        <f t="shared" si="57"/>
        <v/>
      </c>
      <c r="AP222" s="473" t="str">
        <f t="shared" si="58"/>
        <v/>
      </c>
      <c r="AQ222" s="473" t="str">
        <f t="shared" si="59"/>
        <v/>
      </c>
      <c r="AR222" s="473" t="str">
        <f t="shared" si="60"/>
        <v/>
      </c>
      <c r="AS222" s="473" t="str">
        <f t="shared" si="61"/>
        <v/>
      </c>
      <c r="AT222" s="473" t="str">
        <f t="shared" si="62"/>
        <v/>
      </c>
      <c r="AU222" s="473" t="str">
        <f t="shared" si="63"/>
        <v/>
      </c>
      <c r="AZ222" s="31" t="s">
        <v>16</v>
      </c>
      <c r="BA222" s="34" t="s">
        <v>6112</v>
      </c>
      <c r="BB222" s="499"/>
      <c r="BC222" s="271"/>
      <c r="BD222" s="279">
        <v>1</v>
      </c>
      <c r="BE222" s="271"/>
      <c r="BF222" s="271"/>
      <c r="BG222" s="271"/>
      <c r="BH222" s="271"/>
      <c r="BI222" s="271"/>
      <c r="BJ222" s="271"/>
      <c r="BK222" s="271"/>
      <c r="BL222" s="271"/>
    </row>
    <row r="223" spans="18:64" ht="21" customHeight="1" x14ac:dyDescent="0.25">
      <c r="R223" s="34" t="s">
        <v>6117</v>
      </c>
      <c r="S223" s="451"/>
      <c r="T223" s="28" t="s">
        <v>23</v>
      </c>
      <c r="V223" s="475">
        <v>5</v>
      </c>
      <c r="W223" s="475" t="str">
        <f>IF($AC$223="","",$W$216)</f>
        <v/>
      </c>
      <c r="X223" s="476" t="str">
        <f>IF($AC$223="","",$X$216)</f>
        <v/>
      </c>
      <c r="Y223" s="477" t="str">
        <f>IF($X$223="","",$Y$216)</f>
        <v/>
      </c>
      <c r="Z223" s="477" t="str">
        <f>IF($X$223="","",$Z$216)</f>
        <v/>
      </c>
      <c r="AA223" s="477" t="str">
        <f>IF($AC$223="","",ROW($A$223)-ROW($A$216))</f>
        <v/>
      </c>
      <c r="AB223" s="478"/>
      <c r="AC223" s="34"/>
      <c r="AD223" s="356"/>
      <c r="AE223" s="479"/>
      <c r="AF223" s="475"/>
      <c r="AG223" s="480" t="str">
        <f t="shared" si="52"/>
        <v/>
      </c>
      <c r="AH223" s="481" t="str">
        <f t="shared" si="53"/>
        <v/>
      </c>
      <c r="AI223" s="477" t="str">
        <f>IF($AC$223="","",IFERROR(INDEX($AZ$74:$AZ$119,MATCH($AH$223,$AY$74:$AY$119,0)),"AUTRE"))</f>
        <v/>
      </c>
      <c r="AJ223" s="482" t="str">
        <f>IF($AC$223="","",IFERROR(INDEX($BA$74:$BA$119,MATCH($AH$223,$AY$74:$AY$119,0)),1))</f>
        <v/>
      </c>
      <c r="AK223" s="482" t="str">
        <f t="shared" si="54"/>
        <v/>
      </c>
      <c r="AL223" s="477" t="str">
        <f>IF($AC$223="","",IFERROR(INDEX($BB$74:$BB$119,MATCH($AH$223,$AY$74:$AY$119,0)),$AH$223))</f>
        <v/>
      </c>
      <c r="AM223" s="483" t="str">
        <f t="shared" si="55"/>
        <v/>
      </c>
      <c r="AN223" s="484" t="str">
        <f t="shared" si="56"/>
        <v/>
      </c>
      <c r="AO223" s="473" t="str">
        <f t="shared" si="57"/>
        <v/>
      </c>
      <c r="AP223" s="473" t="str">
        <f t="shared" si="58"/>
        <v/>
      </c>
      <c r="AQ223" s="473" t="str">
        <f t="shared" si="59"/>
        <v/>
      </c>
      <c r="AR223" s="473" t="str">
        <f t="shared" si="60"/>
        <v/>
      </c>
      <c r="AS223" s="473" t="str">
        <f t="shared" si="61"/>
        <v/>
      </c>
      <c r="AT223" s="473" t="str">
        <f t="shared" si="62"/>
        <v/>
      </c>
      <c r="AU223" s="473" t="str">
        <f t="shared" si="63"/>
        <v/>
      </c>
      <c r="AZ223" s="31" t="s">
        <v>17</v>
      </c>
      <c r="BA223" s="25" t="s">
        <v>6116</v>
      </c>
      <c r="BB223" s="499"/>
      <c r="BC223" s="271"/>
      <c r="BD223" s="279">
        <v>1</v>
      </c>
      <c r="BE223" s="271"/>
      <c r="BF223" s="271"/>
      <c r="BG223" s="271"/>
      <c r="BH223" s="271"/>
      <c r="BI223" s="271"/>
      <c r="BJ223" s="271"/>
      <c r="BK223" s="271"/>
      <c r="BL223" s="271"/>
    </row>
    <row r="224" spans="18:64" ht="21" customHeight="1" x14ac:dyDescent="0.25">
      <c r="R224" s="34" t="s">
        <v>469</v>
      </c>
      <c r="S224" s="451"/>
      <c r="T224" s="28" t="s">
        <v>24</v>
      </c>
      <c r="V224" s="475">
        <v>5</v>
      </c>
      <c r="W224" s="475" t="str">
        <f>IF($AC$224="","",$W$216)</f>
        <v/>
      </c>
      <c r="X224" s="476" t="str">
        <f>IF($AC$224="","",$X$216)</f>
        <v/>
      </c>
      <c r="Y224" s="477" t="str">
        <f>IF($X$224="","",$Y$216)</f>
        <v/>
      </c>
      <c r="Z224" s="477" t="str">
        <f>IF($X$224="","",$Z$216)</f>
        <v/>
      </c>
      <c r="AA224" s="477" t="str">
        <f>IF($AC$224="","",ROW($A$224)-ROW($A$216))</f>
        <v/>
      </c>
      <c r="AB224" s="478"/>
      <c r="AC224" s="34"/>
      <c r="AD224" s="356"/>
      <c r="AE224" s="479"/>
      <c r="AF224" s="475"/>
      <c r="AG224" s="480" t="str">
        <f t="shared" si="52"/>
        <v/>
      </c>
      <c r="AH224" s="481" t="str">
        <f t="shared" si="53"/>
        <v/>
      </c>
      <c r="AI224" s="477" t="str">
        <f>IF($AC$224="","",IFERROR(INDEX($AZ$74:$AZ$119,MATCH($AH$224,$AY$74:$AY$119,0)),"AUTRE"))</f>
        <v/>
      </c>
      <c r="AJ224" s="482" t="str">
        <f>IF($AC$224="","",IFERROR(INDEX($BA$74:$BA$119,MATCH($AH$224,$AY$74:$AY$119,0)),1))</f>
        <v/>
      </c>
      <c r="AK224" s="482" t="str">
        <f t="shared" si="54"/>
        <v/>
      </c>
      <c r="AL224" s="477" t="str">
        <f>IF($AC$224="","",IFERROR(INDEX($BB$74:$BB$119,MATCH($AH$224,$AY$74:$AY$119,0)),$AH$224))</f>
        <v/>
      </c>
      <c r="AM224" s="483" t="str">
        <f t="shared" si="55"/>
        <v/>
      </c>
      <c r="AN224" s="484" t="str">
        <f t="shared" si="56"/>
        <v/>
      </c>
      <c r="AO224" s="473" t="str">
        <f t="shared" si="57"/>
        <v/>
      </c>
      <c r="AP224" s="473" t="str">
        <f t="shared" si="58"/>
        <v/>
      </c>
      <c r="AQ224" s="473" t="str">
        <f t="shared" si="59"/>
        <v/>
      </c>
      <c r="AR224" s="473" t="str">
        <f t="shared" si="60"/>
        <v/>
      </c>
      <c r="AS224" s="473" t="str">
        <f t="shared" si="61"/>
        <v/>
      </c>
      <c r="AT224" s="473" t="str">
        <f t="shared" si="62"/>
        <v/>
      </c>
      <c r="AU224" s="473" t="str">
        <f t="shared" si="63"/>
        <v/>
      </c>
      <c r="AZ224" s="31" t="s">
        <v>18</v>
      </c>
      <c r="BA224" s="34" t="s">
        <v>6117</v>
      </c>
      <c r="BB224" s="499"/>
      <c r="BC224" s="271"/>
      <c r="BD224" s="279">
        <v>1</v>
      </c>
      <c r="BE224" s="271"/>
      <c r="BF224" s="271"/>
      <c r="BG224" s="271"/>
      <c r="BH224" s="271"/>
      <c r="BI224" s="271"/>
      <c r="BJ224" s="271"/>
      <c r="BK224" s="271"/>
      <c r="BL224" s="271"/>
    </row>
    <row r="225" spans="18:64" ht="21" customHeight="1" x14ac:dyDescent="0.25">
      <c r="R225" s="34" t="s">
        <v>6118</v>
      </c>
      <c r="S225" s="451"/>
      <c r="T225" s="29" t="s">
        <v>9</v>
      </c>
      <c r="V225" s="475">
        <v>5</v>
      </c>
      <c r="W225" s="475" t="str">
        <f>IF($AC$225="","",$W$216)</f>
        <v/>
      </c>
      <c r="X225" s="476" t="str">
        <f>IF($AC$225="","",$X$216)</f>
        <v/>
      </c>
      <c r="Y225" s="477" t="str">
        <f>IF($X$225="","",$Y$216)</f>
        <v/>
      </c>
      <c r="Z225" s="477" t="str">
        <f>IF($X$225="","",$Z$216)</f>
        <v/>
      </c>
      <c r="AA225" s="477" t="str">
        <f>IF($AC$225="","",ROW($A$225)-ROW($A$216))</f>
        <v/>
      </c>
      <c r="AB225" s="478"/>
      <c r="AC225" s="34"/>
      <c r="AD225" s="356"/>
      <c r="AE225" s="479"/>
      <c r="AF225" s="475"/>
      <c r="AG225" s="480" t="str">
        <f t="shared" si="52"/>
        <v/>
      </c>
      <c r="AH225" s="481" t="str">
        <f t="shared" si="53"/>
        <v/>
      </c>
      <c r="AI225" s="477" t="str">
        <f>IF($AC$225="","",IFERROR(INDEX($AZ$74:$AZ$119,MATCH($AH$225,$AY$74:$AY$119,0)),"AUTRE"))</f>
        <v/>
      </c>
      <c r="AJ225" s="482" t="str">
        <f>IF($AC$225="","",IFERROR(INDEX($BA$74:$BA$119,MATCH($AH$225,$AY$74:$AY$119,0)),1))</f>
        <v/>
      </c>
      <c r="AK225" s="482" t="str">
        <f t="shared" si="54"/>
        <v/>
      </c>
      <c r="AL225" s="477" t="str">
        <f>IF($AC$225="","",IFERROR(INDEX($BB$74:$BB$119,MATCH($AH$225,$AY$74:$AY$119,0)),$AH$225))</f>
        <v/>
      </c>
      <c r="AM225" s="483" t="str">
        <f t="shared" si="55"/>
        <v/>
      </c>
      <c r="AN225" s="484" t="str">
        <f t="shared" si="56"/>
        <v/>
      </c>
      <c r="AO225" s="473" t="str">
        <f t="shared" si="57"/>
        <v/>
      </c>
      <c r="AP225" s="473" t="str">
        <f t="shared" si="58"/>
        <v/>
      </c>
      <c r="AQ225" s="473" t="str">
        <f t="shared" si="59"/>
        <v/>
      </c>
      <c r="AR225" s="473" t="str">
        <f t="shared" si="60"/>
        <v/>
      </c>
      <c r="AS225" s="473" t="str">
        <f t="shared" si="61"/>
        <v/>
      </c>
      <c r="AT225" s="473" t="str">
        <f t="shared" si="62"/>
        <v/>
      </c>
      <c r="AU225" s="473" t="str">
        <f t="shared" si="63"/>
        <v/>
      </c>
      <c r="AZ225" s="31" t="s">
        <v>19</v>
      </c>
      <c r="BA225" s="34" t="s">
        <v>469</v>
      </c>
      <c r="BB225" s="499"/>
      <c r="BC225" s="271"/>
      <c r="BD225" s="279">
        <v>1</v>
      </c>
      <c r="BE225" s="271"/>
      <c r="BF225" s="271"/>
      <c r="BG225" s="271"/>
      <c r="BH225" s="271"/>
      <c r="BI225" s="271"/>
      <c r="BJ225" s="271"/>
      <c r="BK225" s="271"/>
      <c r="BL225" s="271"/>
    </row>
    <row r="226" spans="18:64" ht="21" customHeight="1" x14ac:dyDescent="0.25">
      <c r="R226" s="34" t="s">
        <v>492</v>
      </c>
      <c r="S226" s="451"/>
      <c r="T226" s="30" t="s">
        <v>10</v>
      </c>
      <c r="V226" s="475">
        <v>5</v>
      </c>
      <c r="W226" s="475" t="str">
        <f>IF($AC$226="","",$W$216)</f>
        <v/>
      </c>
      <c r="X226" s="476" t="str">
        <f>IF($AC$226="","",$X$216)</f>
        <v/>
      </c>
      <c r="Y226" s="477" t="str">
        <f>IF($X$226="","",$Y$216)</f>
        <v/>
      </c>
      <c r="Z226" s="477" t="str">
        <f>IF($X$226="","",$Z$216)</f>
        <v/>
      </c>
      <c r="AA226" s="477" t="str">
        <f>IF($AC$226="","",ROW($A$226)-ROW($A$216))</f>
        <v/>
      </c>
      <c r="AB226" s="478"/>
      <c r="AC226" s="34"/>
      <c r="AD226" s="356"/>
      <c r="AE226" s="479"/>
      <c r="AF226" s="475"/>
      <c r="AG226" s="480" t="str">
        <f t="shared" si="52"/>
        <v/>
      </c>
      <c r="AH226" s="481" t="str">
        <f t="shared" si="53"/>
        <v/>
      </c>
      <c r="AI226" s="477" t="str">
        <f>IF($AC$226="","",IFERROR(INDEX($AZ$74:$AZ$119,MATCH($AH$226,$AY$74:$AY$119,0)),"AUTRE"))</f>
        <v/>
      </c>
      <c r="AJ226" s="482" t="str">
        <f>IF($AC$226="","",IFERROR(INDEX($BA$74:$BA$119,MATCH($AH$226,$AY$74:$AY$119,0)),1))</f>
        <v/>
      </c>
      <c r="AK226" s="482" t="str">
        <f t="shared" si="54"/>
        <v/>
      </c>
      <c r="AL226" s="477" t="str">
        <f>IF($AC$226="","",IFERROR(INDEX($BB$74:$BB$119,MATCH($AH$226,$AY$74:$AY$119,0)),$AH$226))</f>
        <v/>
      </c>
      <c r="AM226" s="483" t="str">
        <f t="shared" si="55"/>
        <v/>
      </c>
      <c r="AN226" s="484" t="str">
        <f t="shared" si="56"/>
        <v/>
      </c>
      <c r="AO226" s="473" t="str">
        <f t="shared" si="57"/>
        <v/>
      </c>
      <c r="AP226" s="473" t="str">
        <f t="shared" si="58"/>
        <v/>
      </c>
      <c r="AQ226" s="473" t="str">
        <f t="shared" si="59"/>
        <v/>
      </c>
      <c r="AR226" s="473" t="str">
        <f t="shared" si="60"/>
        <v/>
      </c>
      <c r="AS226" s="473" t="str">
        <f t="shared" si="61"/>
        <v/>
      </c>
      <c r="AT226" s="473" t="str">
        <f t="shared" si="62"/>
        <v/>
      </c>
      <c r="AU226" s="473" t="str">
        <f t="shared" si="63"/>
        <v/>
      </c>
      <c r="AZ226" s="31" t="s">
        <v>211</v>
      </c>
      <c r="BA226" s="34" t="s">
        <v>6118</v>
      </c>
      <c r="BB226" s="499"/>
      <c r="BC226" s="271"/>
      <c r="BD226" s="279">
        <v>1</v>
      </c>
      <c r="BE226" s="271"/>
      <c r="BF226" s="271"/>
      <c r="BG226" s="271"/>
      <c r="BH226" s="271"/>
      <c r="BI226" s="271"/>
      <c r="BJ226" s="271"/>
      <c r="BK226" s="271"/>
      <c r="BL226" s="271"/>
    </row>
    <row r="227" spans="18:64" ht="21" customHeight="1" x14ac:dyDescent="0.25">
      <c r="R227" s="34" t="s">
        <v>458</v>
      </c>
      <c r="S227" s="451"/>
      <c r="T227" s="30" t="s">
        <v>11</v>
      </c>
      <c r="V227" s="475">
        <v>5</v>
      </c>
      <c r="W227" s="475" t="str">
        <f>IF($AC$227="","",$W$216)</f>
        <v/>
      </c>
      <c r="X227" s="476" t="str">
        <f>IF($AC$227="","",$X$216)</f>
        <v/>
      </c>
      <c r="Y227" s="477" t="str">
        <f>IF($X$227="","",$Y$216)</f>
        <v/>
      </c>
      <c r="Z227" s="477" t="str">
        <f>IF($X$227="","",$Z$216)</f>
        <v/>
      </c>
      <c r="AA227" s="477" t="str">
        <f>IF($AC$227="","",ROW($A$227)-ROW($A$216))</f>
        <v/>
      </c>
      <c r="AB227" s="478"/>
      <c r="AC227" s="34"/>
      <c r="AD227" s="356"/>
      <c r="AE227" s="479"/>
      <c r="AF227" s="475"/>
      <c r="AG227" s="480" t="str">
        <f t="shared" si="52"/>
        <v/>
      </c>
      <c r="AH227" s="481" t="str">
        <f t="shared" si="53"/>
        <v/>
      </c>
      <c r="AI227" s="477" t="str">
        <f>IF($AC$227="","",IFERROR(INDEX($AZ$74:$AZ$119,MATCH($AH$227,$AY$74:$AY$119,0)),"AUTRE"))</f>
        <v/>
      </c>
      <c r="AJ227" s="482" t="str">
        <f>IF($AC$227="","",IFERROR(INDEX($BA$74:$BA$119,MATCH($AH$227,$AY$74:$AY$119,0)),1))</f>
        <v/>
      </c>
      <c r="AK227" s="482" t="str">
        <f t="shared" si="54"/>
        <v/>
      </c>
      <c r="AL227" s="477" t="str">
        <f>IF($AC$227="","",IFERROR(INDEX($BB$74:$BB$119,MATCH($AH$227,$AY$74:$AY$119,0)),$AH$227))</f>
        <v/>
      </c>
      <c r="AM227" s="483" t="str">
        <f t="shared" si="55"/>
        <v/>
      </c>
      <c r="AN227" s="484" t="str">
        <f t="shared" si="56"/>
        <v/>
      </c>
      <c r="AO227" s="473" t="str">
        <f t="shared" si="57"/>
        <v/>
      </c>
      <c r="AP227" s="473" t="str">
        <f t="shared" si="58"/>
        <v/>
      </c>
      <c r="AQ227" s="473" t="str">
        <f t="shared" si="59"/>
        <v/>
      </c>
      <c r="AR227" s="473" t="str">
        <f t="shared" si="60"/>
        <v/>
      </c>
      <c r="AS227" s="473" t="str">
        <f t="shared" si="61"/>
        <v/>
      </c>
      <c r="AT227" s="473" t="str">
        <f t="shared" si="62"/>
        <v/>
      </c>
      <c r="AU227" s="473" t="str">
        <f t="shared" si="63"/>
        <v/>
      </c>
      <c r="AZ227" s="31" t="s">
        <v>20</v>
      </c>
      <c r="BA227" s="34" t="s">
        <v>492</v>
      </c>
      <c r="BB227" s="499"/>
      <c r="BC227" s="271"/>
      <c r="BD227" s="279">
        <v>1</v>
      </c>
      <c r="BE227" s="271"/>
      <c r="BF227" s="271"/>
      <c r="BG227" s="271"/>
      <c r="BH227" s="271"/>
      <c r="BI227" s="271"/>
      <c r="BJ227" s="271"/>
      <c r="BK227" s="271"/>
      <c r="BL227" s="271"/>
    </row>
    <row r="228" spans="18:64" ht="21" customHeight="1" x14ac:dyDescent="0.25">
      <c r="R228" s="490"/>
      <c r="S228" s="451"/>
      <c r="T228" s="30" t="s">
        <v>12</v>
      </c>
      <c r="V228" s="475">
        <v>5</v>
      </c>
      <c r="W228" s="475" t="str">
        <f>IF($AC$228="","",$W$216)</f>
        <v/>
      </c>
      <c r="X228" s="476" t="str">
        <f>IF($AC$228="","",$X$216)</f>
        <v/>
      </c>
      <c r="Y228" s="477" t="str">
        <f>IF($X$228="","",$Y$216)</f>
        <v/>
      </c>
      <c r="Z228" s="477" t="str">
        <f>IF($X$228="","",$Z$216)</f>
        <v/>
      </c>
      <c r="AA228" s="477" t="str">
        <f>IF($AC$228="","",ROW($A$228)-ROW($A$216))</f>
        <v/>
      </c>
      <c r="AB228" s="478"/>
      <c r="AC228" s="34"/>
      <c r="AD228" s="356"/>
      <c r="AE228" s="479"/>
      <c r="AF228" s="475"/>
      <c r="AG228" s="480" t="str">
        <f t="shared" si="52"/>
        <v/>
      </c>
      <c r="AH228" s="481" t="str">
        <f t="shared" si="53"/>
        <v/>
      </c>
      <c r="AI228" s="477" t="str">
        <f>IF($AC$228="","",IFERROR(INDEX($AZ$74:$AZ$119,MATCH($AH$228,$AY$74:$AY$119,0)),"AUTRE"))</f>
        <v/>
      </c>
      <c r="AJ228" s="482" t="str">
        <f>IF($AC$228="","",IFERROR(INDEX($BA$74:$BA$119,MATCH($AH$228,$AY$74:$AY$119,0)),1))</f>
        <v/>
      </c>
      <c r="AK228" s="482" t="str">
        <f t="shared" si="54"/>
        <v/>
      </c>
      <c r="AL228" s="477" t="str">
        <f>IF($AC$228="","",IFERROR(INDEX($BB$74:$BB$119,MATCH($AH$228,$AY$74:$AY$119,0)),$AH$228))</f>
        <v/>
      </c>
      <c r="AM228" s="483" t="str">
        <f t="shared" si="55"/>
        <v/>
      </c>
      <c r="AN228" s="484" t="str">
        <f t="shared" si="56"/>
        <v/>
      </c>
      <c r="AO228" s="473" t="str">
        <f t="shared" si="57"/>
        <v/>
      </c>
      <c r="AP228" s="473" t="str">
        <f t="shared" si="58"/>
        <v/>
      </c>
      <c r="AQ228" s="473" t="str">
        <f t="shared" si="59"/>
        <v/>
      </c>
      <c r="AR228" s="473" t="str">
        <f t="shared" si="60"/>
        <v/>
      </c>
      <c r="AS228" s="473" t="str">
        <f t="shared" si="61"/>
        <v/>
      </c>
      <c r="AT228" s="473" t="str">
        <f t="shared" si="62"/>
        <v/>
      </c>
      <c r="AU228" s="473" t="str">
        <f t="shared" si="63"/>
        <v/>
      </c>
      <c r="AZ228" s="31" t="s">
        <v>304</v>
      </c>
      <c r="BA228" s="34" t="s">
        <v>458</v>
      </c>
      <c r="BB228" s="499"/>
      <c r="BC228" s="271"/>
      <c r="BD228" s="279">
        <v>1</v>
      </c>
      <c r="BE228" s="271"/>
      <c r="BF228" s="271"/>
      <c r="BG228" s="271"/>
      <c r="BH228" s="271"/>
      <c r="BI228" s="271"/>
      <c r="BJ228" s="271"/>
      <c r="BK228" s="271"/>
      <c r="BL228" s="271"/>
    </row>
    <row r="229" spans="18:64" ht="21" customHeight="1" x14ac:dyDescent="0.25">
      <c r="R229" s="25" t="s">
        <v>6119</v>
      </c>
      <c r="S229" s="451"/>
      <c r="T229" s="31" t="s">
        <v>16</v>
      </c>
      <c r="V229" s="475">
        <v>5</v>
      </c>
      <c r="W229" s="475" t="str">
        <f>IF($AC$229="","",$W$216)</f>
        <v/>
      </c>
      <c r="X229" s="476" t="str">
        <f>IF($AC$229="","",$X$216)</f>
        <v/>
      </c>
      <c r="Y229" s="477" t="str">
        <f>IF($X$229="","",$Y$216)</f>
        <v/>
      </c>
      <c r="Z229" s="477" t="str">
        <f>IF($X$229="","",$Z$216)</f>
        <v/>
      </c>
      <c r="AA229" s="477" t="str">
        <f>IF($AC$229="","",ROW($A$229)-ROW($A$216))</f>
        <v/>
      </c>
      <c r="AB229" s="478"/>
      <c r="AC229" s="34"/>
      <c r="AD229" s="356"/>
      <c r="AE229" s="479"/>
      <c r="AF229" s="475"/>
      <c r="AG229" s="480" t="str">
        <f t="shared" si="52"/>
        <v/>
      </c>
      <c r="AH229" s="481" t="str">
        <f t="shared" si="53"/>
        <v/>
      </c>
      <c r="AI229" s="477" t="str">
        <f>IF($AC$229="","",IFERROR(INDEX($AZ$74:$AZ$119,MATCH($AH$229,$AY$74:$AY$119,0)),"AUTRE"))</f>
        <v/>
      </c>
      <c r="AJ229" s="482" t="str">
        <f>IF($AC$229="","",IFERROR(INDEX($BA$74:$BA$119,MATCH($AH$229,$AY$74:$AY$119,0)),1))</f>
        <v/>
      </c>
      <c r="AK229" s="482" t="str">
        <f t="shared" si="54"/>
        <v/>
      </c>
      <c r="AL229" s="477" t="str">
        <f>IF($AC$229="","",IFERROR(INDEX($BB$74:$BB$119,MATCH($AH$229,$AY$74:$AY$119,0)),$AH$229))</f>
        <v/>
      </c>
      <c r="AM229" s="483" t="str">
        <f t="shared" si="55"/>
        <v/>
      </c>
      <c r="AN229" s="484" t="str">
        <f t="shared" si="56"/>
        <v/>
      </c>
      <c r="AO229" s="473" t="str">
        <f t="shared" si="57"/>
        <v/>
      </c>
      <c r="AP229" s="473" t="str">
        <f t="shared" si="58"/>
        <v/>
      </c>
      <c r="AQ229" s="473" t="str">
        <f t="shared" si="59"/>
        <v/>
      </c>
      <c r="AR229" s="473" t="str">
        <f t="shared" si="60"/>
        <v/>
      </c>
      <c r="AS229" s="473" t="str">
        <f t="shared" si="61"/>
        <v/>
      </c>
      <c r="AT229" s="473" t="str">
        <f t="shared" si="62"/>
        <v/>
      </c>
      <c r="AU229" s="473" t="str">
        <f t="shared" si="63"/>
        <v/>
      </c>
      <c r="AZ229" s="31" t="s">
        <v>352</v>
      </c>
      <c r="BA229" s="490"/>
      <c r="BB229" s="499"/>
      <c r="BC229" s="271"/>
      <c r="BD229" s="279">
        <v>1</v>
      </c>
      <c r="BE229" s="271"/>
      <c r="BF229" s="271"/>
      <c r="BG229" s="271"/>
      <c r="BH229" s="271"/>
      <c r="BI229" s="271"/>
      <c r="BJ229" s="271"/>
      <c r="BK229" s="271"/>
      <c r="BL229" s="271"/>
    </row>
    <row r="230" spans="18:64" ht="21" customHeight="1" x14ac:dyDescent="0.25">
      <c r="R230" s="34" t="s">
        <v>6120</v>
      </c>
      <c r="S230" s="451"/>
      <c r="T230" s="31" t="s">
        <v>17</v>
      </c>
      <c r="V230" s="475">
        <v>5</v>
      </c>
      <c r="W230" s="475" t="str">
        <f>IF($AC$230="","",$W$216)</f>
        <v/>
      </c>
      <c r="X230" s="476" t="str">
        <f>IF($AC$230="","",$X$216)</f>
        <v/>
      </c>
      <c r="Y230" s="477" t="str">
        <f>IF($X$230="","",$Y$216)</f>
        <v/>
      </c>
      <c r="Z230" s="477" t="str">
        <f>IF($X$230="","",$Z$216)</f>
        <v/>
      </c>
      <c r="AA230" s="477" t="str">
        <f>IF($AC$230="","",ROW($A$230)-ROW($A$216))</f>
        <v/>
      </c>
      <c r="AB230" s="478"/>
      <c r="AC230" s="34"/>
      <c r="AD230" s="356"/>
      <c r="AE230" s="479"/>
      <c r="AF230" s="475"/>
      <c r="AG230" s="480" t="str">
        <f t="shared" si="52"/>
        <v/>
      </c>
      <c r="AH230" s="481" t="str">
        <f t="shared" si="53"/>
        <v/>
      </c>
      <c r="AI230" s="477" t="str">
        <f>IF($AC$230="","",IFERROR(INDEX($AZ$74:$AZ$119,MATCH($AH$230,$AY$74:$AY$119,0)),"AUTRE"))</f>
        <v/>
      </c>
      <c r="AJ230" s="482" t="str">
        <f>IF($AC$230="","",IFERROR(INDEX($BA$74:$BA$119,MATCH($AH$230,$AY$74:$AY$119,0)),1))</f>
        <v/>
      </c>
      <c r="AK230" s="482" t="str">
        <f t="shared" si="54"/>
        <v/>
      </c>
      <c r="AL230" s="477" t="str">
        <f>IF($AC$230="","",IFERROR(INDEX($BB$74:$BB$119,MATCH($AH$230,$AY$74:$AY$119,0)),$AH$230))</f>
        <v/>
      </c>
      <c r="AM230" s="483" t="str">
        <f t="shared" si="55"/>
        <v/>
      </c>
      <c r="AN230" s="484" t="str">
        <f t="shared" si="56"/>
        <v/>
      </c>
      <c r="AO230" s="473" t="str">
        <f t="shared" si="57"/>
        <v/>
      </c>
      <c r="AP230" s="473" t="str">
        <f t="shared" si="58"/>
        <v/>
      </c>
      <c r="AQ230" s="473" t="str">
        <f t="shared" si="59"/>
        <v/>
      </c>
      <c r="AR230" s="473" t="str">
        <f t="shared" si="60"/>
        <v/>
      </c>
      <c r="AS230" s="473" t="str">
        <f t="shared" si="61"/>
        <v/>
      </c>
      <c r="AT230" s="473" t="str">
        <f t="shared" si="62"/>
        <v/>
      </c>
      <c r="AU230" s="473" t="str">
        <f t="shared" si="63"/>
        <v/>
      </c>
      <c r="AZ230" s="31" t="s">
        <v>27</v>
      </c>
      <c r="BA230" s="25" t="s">
        <v>6119</v>
      </c>
      <c r="BB230" s="499"/>
      <c r="BC230" s="271"/>
      <c r="BD230" s="279">
        <v>1</v>
      </c>
      <c r="BE230" s="271"/>
      <c r="BF230" s="271"/>
      <c r="BG230" s="271"/>
      <c r="BH230" s="271"/>
      <c r="BI230" s="271"/>
      <c r="BJ230" s="271"/>
      <c r="BK230" s="271"/>
      <c r="BL230" s="271"/>
    </row>
    <row r="231" spans="18:64" ht="21" customHeight="1" x14ac:dyDescent="0.25">
      <c r="R231" s="34" t="s">
        <v>6121</v>
      </c>
      <c r="S231" s="451"/>
      <c r="T231" s="31" t="s">
        <v>18</v>
      </c>
      <c r="V231" s="475">
        <v>5</v>
      </c>
      <c r="W231" s="475" t="str">
        <f>IF($AC$231="","",$W$216)</f>
        <v/>
      </c>
      <c r="X231" s="476" t="str">
        <f>IF($AC$231="","",$X$216)</f>
        <v/>
      </c>
      <c r="Y231" s="477" t="str">
        <f>IF($X$231="","",$Y$216)</f>
        <v/>
      </c>
      <c r="Z231" s="477" t="str">
        <f>IF($X$231="","",$Z$216)</f>
        <v/>
      </c>
      <c r="AA231" s="477" t="str">
        <f>IF($AC$231="","",ROW($A$231)-ROW($A$216))</f>
        <v/>
      </c>
      <c r="AB231" s="478"/>
      <c r="AC231" s="34"/>
      <c r="AD231" s="356"/>
      <c r="AE231" s="479"/>
      <c r="AF231" s="475"/>
      <c r="AG231" s="480" t="str">
        <f t="shared" si="52"/>
        <v/>
      </c>
      <c r="AH231" s="481" t="str">
        <f t="shared" si="53"/>
        <v/>
      </c>
      <c r="AI231" s="477" t="str">
        <f>IF($AC$231="","",IFERROR(INDEX($AZ$74:$AZ$119,MATCH($AH$231,$AY$74:$AY$119,0)),"AUTRE"))</f>
        <v/>
      </c>
      <c r="AJ231" s="482" t="str">
        <f>IF($AC$231="","",IFERROR(INDEX($BA$74:$BA$119,MATCH($AH$231,$AY$74:$AY$119,0)),1))</f>
        <v/>
      </c>
      <c r="AK231" s="482" t="str">
        <f t="shared" si="54"/>
        <v/>
      </c>
      <c r="AL231" s="477" t="str">
        <f>IF($AC$231="","",IFERROR(INDEX($BB$74:$BB$119,MATCH($AH$231,$AY$74:$AY$119,0)),$AH$231))</f>
        <v/>
      </c>
      <c r="AM231" s="483" t="str">
        <f t="shared" si="55"/>
        <v/>
      </c>
      <c r="AN231" s="484" t="str">
        <f t="shared" si="56"/>
        <v/>
      </c>
      <c r="AO231" s="473" t="str">
        <f t="shared" si="57"/>
        <v/>
      </c>
      <c r="AP231" s="473" t="str">
        <f t="shared" si="58"/>
        <v/>
      </c>
      <c r="AQ231" s="473" t="str">
        <f t="shared" si="59"/>
        <v/>
      </c>
      <c r="AR231" s="473" t="str">
        <f t="shared" si="60"/>
        <v/>
      </c>
      <c r="AS231" s="473" t="str">
        <f t="shared" si="61"/>
        <v/>
      </c>
      <c r="AT231" s="473" t="str">
        <f t="shared" si="62"/>
        <v/>
      </c>
      <c r="AU231" s="473" t="str">
        <f t="shared" si="63"/>
        <v/>
      </c>
      <c r="AZ231" s="31" t="s">
        <v>28</v>
      </c>
      <c r="BA231" s="34" t="s">
        <v>6120</v>
      </c>
      <c r="BB231" s="499"/>
      <c r="BC231" s="271"/>
      <c r="BD231" s="279">
        <v>1</v>
      </c>
      <c r="BE231" s="271"/>
      <c r="BF231" s="271"/>
      <c r="BG231" s="271"/>
      <c r="BH231" s="271"/>
      <c r="BI231" s="271"/>
      <c r="BJ231" s="271"/>
      <c r="BK231" s="271"/>
      <c r="BL231" s="271"/>
    </row>
    <row r="232" spans="18:64" ht="21" customHeight="1" x14ac:dyDescent="0.25">
      <c r="R232" s="34" t="s">
        <v>6122</v>
      </c>
      <c r="S232" s="451"/>
      <c r="T232" s="31" t="s">
        <v>19</v>
      </c>
      <c r="V232" s="475">
        <v>5</v>
      </c>
      <c r="W232" s="475" t="str">
        <f>IF($AC$232="","",$W$216)</f>
        <v/>
      </c>
      <c r="X232" s="476" t="str">
        <f>IF($AC$232="","",$X$216)</f>
        <v/>
      </c>
      <c r="Y232" s="477" t="str">
        <f>IF($X$232="","",$Y$216)</f>
        <v/>
      </c>
      <c r="Z232" s="477" t="str">
        <f>IF($X$232="","",$Z$216)</f>
        <v/>
      </c>
      <c r="AA232" s="477" t="str">
        <f>IF($AC$232="","",ROW($A$232)-ROW($A$216))</f>
        <v/>
      </c>
      <c r="AB232" s="478"/>
      <c r="AC232" s="34"/>
      <c r="AD232" s="356"/>
      <c r="AE232" s="479"/>
      <c r="AF232" s="475"/>
      <c r="AG232" s="480" t="str">
        <f t="shared" si="52"/>
        <v/>
      </c>
      <c r="AH232" s="481" t="str">
        <f t="shared" si="53"/>
        <v/>
      </c>
      <c r="AI232" s="477" t="str">
        <f>IF($AC$232="","",IFERROR(INDEX($AZ$74:$AZ$119,MATCH($AH$232,$AY$74:$AY$119,0)),"AUTRE"))</f>
        <v/>
      </c>
      <c r="AJ232" s="482" t="str">
        <f>IF($AC$232="","",IFERROR(INDEX($BA$74:$BA$119,MATCH($AH$232,$AY$74:$AY$119,0)),1))</f>
        <v/>
      </c>
      <c r="AK232" s="482" t="str">
        <f t="shared" si="54"/>
        <v/>
      </c>
      <c r="AL232" s="477" t="str">
        <f>IF($AC$232="","",IFERROR(INDEX($BB$74:$BB$119,MATCH($AH$232,$AY$74:$AY$119,0)),$AH$232))</f>
        <v/>
      </c>
      <c r="AM232" s="483" t="str">
        <f t="shared" si="55"/>
        <v/>
      </c>
      <c r="AN232" s="484" t="str">
        <f t="shared" si="56"/>
        <v/>
      </c>
      <c r="AO232" s="473" t="str">
        <f t="shared" si="57"/>
        <v/>
      </c>
      <c r="AP232" s="473" t="str">
        <f t="shared" si="58"/>
        <v/>
      </c>
      <c r="AQ232" s="473" t="str">
        <f t="shared" si="59"/>
        <v/>
      </c>
      <c r="AR232" s="473" t="str">
        <f t="shared" si="60"/>
        <v/>
      </c>
      <c r="AS232" s="473" t="str">
        <f t="shared" si="61"/>
        <v/>
      </c>
      <c r="AT232" s="473" t="str">
        <f t="shared" si="62"/>
        <v/>
      </c>
      <c r="AU232" s="473" t="str">
        <f t="shared" si="63"/>
        <v/>
      </c>
      <c r="AZ232" s="31" t="s">
        <v>29</v>
      </c>
      <c r="BA232" s="34" t="s">
        <v>6121</v>
      </c>
      <c r="BB232" s="499"/>
      <c r="BC232" s="271"/>
      <c r="BD232" s="279">
        <v>1</v>
      </c>
      <c r="BE232" s="271"/>
      <c r="BF232" s="271"/>
      <c r="BG232" s="271"/>
      <c r="BH232" s="271"/>
      <c r="BI232" s="271"/>
      <c r="BJ232" s="271"/>
      <c r="BK232" s="271"/>
      <c r="BL232" s="271"/>
    </row>
    <row r="233" spans="18:64" ht="21" customHeight="1" x14ac:dyDescent="0.25">
      <c r="R233" s="34" t="s">
        <v>6123</v>
      </c>
      <c r="S233" s="451"/>
      <c r="T233" s="31" t="s">
        <v>211</v>
      </c>
      <c r="V233" s="475">
        <v>5</v>
      </c>
      <c r="W233" s="475" t="str">
        <f>IF($AC$233="","",$W$216)</f>
        <v/>
      </c>
      <c r="X233" s="476" t="str">
        <f>IF($AC$233="","",$X$216)</f>
        <v/>
      </c>
      <c r="Y233" s="477" t="str">
        <f>IF($X$233="","",$Y$216)</f>
        <v/>
      </c>
      <c r="Z233" s="477" t="str">
        <f>IF($X$233="","",$Z$216)</f>
        <v/>
      </c>
      <c r="AA233" s="477" t="str">
        <f>IF($AC$233="","",ROW($A$233)-ROW($A$216))</f>
        <v/>
      </c>
      <c r="AB233" s="478"/>
      <c r="AC233" s="34"/>
      <c r="AD233" s="356"/>
      <c r="AE233" s="479"/>
      <c r="AF233" s="475"/>
      <c r="AG233" s="480" t="str">
        <f t="shared" si="52"/>
        <v/>
      </c>
      <c r="AH233" s="481" t="str">
        <f t="shared" si="53"/>
        <v/>
      </c>
      <c r="AI233" s="477" t="str">
        <f>IF($AC$233="","",IFERROR(INDEX($AZ$74:$AZ$119,MATCH($AH$233,$AY$74:$AY$119,0)),"AUTRE"))</f>
        <v/>
      </c>
      <c r="AJ233" s="482" t="str">
        <f>IF($AC$233="","",IFERROR(INDEX($BA$74:$BA$119,MATCH($AH$233,$AY$74:$AY$119,0)),1))</f>
        <v/>
      </c>
      <c r="AK233" s="482" t="str">
        <f t="shared" si="54"/>
        <v/>
      </c>
      <c r="AL233" s="477" t="str">
        <f>IF($AC$233="","",IFERROR(INDEX($BB$74:$BB$119,MATCH($AH$233,$AY$74:$AY$119,0)),$AH$233))</f>
        <v/>
      </c>
      <c r="AM233" s="483" t="str">
        <f t="shared" si="55"/>
        <v/>
      </c>
      <c r="AN233" s="484" t="str">
        <f t="shared" si="56"/>
        <v/>
      </c>
      <c r="AO233" s="473" t="str">
        <f t="shared" si="57"/>
        <v/>
      </c>
      <c r="AP233" s="473" t="str">
        <f t="shared" si="58"/>
        <v/>
      </c>
      <c r="AQ233" s="473" t="str">
        <f t="shared" si="59"/>
        <v/>
      </c>
      <c r="AR233" s="473" t="str">
        <f t="shared" si="60"/>
        <v/>
      </c>
      <c r="AS233" s="473" t="str">
        <f t="shared" si="61"/>
        <v/>
      </c>
      <c r="AT233" s="473" t="str">
        <f t="shared" si="62"/>
        <v/>
      </c>
      <c r="AU233" s="473" t="str">
        <f t="shared" si="63"/>
        <v/>
      </c>
      <c r="AZ233" s="31" t="s">
        <v>30</v>
      </c>
      <c r="BA233" s="34" t="s">
        <v>6122</v>
      </c>
      <c r="BB233" s="499"/>
      <c r="BC233" s="271"/>
      <c r="BD233" s="279">
        <v>1</v>
      </c>
      <c r="BE233" s="271"/>
      <c r="BF233" s="271"/>
      <c r="BG233" s="271"/>
      <c r="BH233" s="271"/>
      <c r="BI233" s="271"/>
      <c r="BJ233" s="271"/>
      <c r="BK233" s="271"/>
      <c r="BL233" s="271"/>
    </row>
    <row r="234" spans="18:64" ht="21" customHeight="1" x14ac:dyDescent="0.25">
      <c r="R234" s="34" t="s">
        <v>6124</v>
      </c>
      <c r="S234" s="451"/>
      <c r="T234" s="31" t="s">
        <v>20</v>
      </c>
      <c r="V234" s="475">
        <v>5</v>
      </c>
      <c r="W234" s="475" t="str">
        <f>IF($AC$234="","",$W$216)</f>
        <v/>
      </c>
      <c r="X234" s="476" t="str">
        <f>IF($AC$234="","",$X$216)</f>
        <v/>
      </c>
      <c r="Y234" s="477" t="str">
        <f>IF($X$234="","",$Y$216)</f>
        <v/>
      </c>
      <c r="Z234" s="477" t="str">
        <f>IF($X$234="","",$Z$216)</f>
        <v/>
      </c>
      <c r="AA234" s="477" t="str">
        <f>IF($AC$234="","",ROW($A$234)-ROW($A$216))</f>
        <v/>
      </c>
      <c r="AB234" s="478"/>
      <c r="AC234" s="34"/>
      <c r="AD234" s="356"/>
      <c r="AE234" s="479"/>
      <c r="AF234" s="475"/>
      <c r="AG234" s="480" t="str">
        <f t="shared" si="52"/>
        <v/>
      </c>
      <c r="AH234" s="481" t="str">
        <f t="shared" si="53"/>
        <v/>
      </c>
      <c r="AI234" s="477" t="str">
        <f>IF($AC$234="","",IFERROR(INDEX($AZ$74:$AZ$119,MATCH($AH$234,$AY$74:$AY$119,0)),"AUTRE"))</f>
        <v/>
      </c>
      <c r="AJ234" s="482" t="str">
        <f>IF($AC$234="","",IFERROR(INDEX($BA$74:$BA$119,MATCH($AH$234,$AY$74:$AY$119,0)),1))</f>
        <v/>
      </c>
      <c r="AK234" s="482" t="str">
        <f t="shared" si="54"/>
        <v/>
      </c>
      <c r="AL234" s="477" t="str">
        <f>IF($AC$234="","",IFERROR(INDEX($BB$74:$BB$119,MATCH($AH$234,$AY$74:$AY$119,0)),$AH$234))</f>
        <v/>
      </c>
      <c r="AM234" s="483" t="str">
        <f t="shared" si="55"/>
        <v/>
      </c>
      <c r="AN234" s="484" t="str">
        <f t="shared" si="56"/>
        <v/>
      </c>
      <c r="AO234" s="473" t="str">
        <f t="shared" si="57"/>
        <v/>
      </c>
      <c r="AP234" s="473" t="str">
        <f t="shared" si="58"/>
        <v/>
      </c>
      <c r="AQ234" s="473" t="str">
        <f t="shared" si="59"/>
        <v/>
      </c>
      <c r="AR234" s="473" t="str">
        <f t="shared" si="60"/>
        <v/>
      </c>
      <c r="AS234" s="473" t="str">
        <f t="shared" si="61"/>
        <v/>
      </c>
      <c r="AT234" s="473" t="str">
        <f t="shared" si="62"/>
        <v/>
      </c>
      <c r="AU234" s="473" t="str">
        <f t="shared" si="63"/>
        <v/>
      </c>
      <c r="AZ234" s="32" t="s">
        <v>33</v>
      </c>
      <c r="BA234" s="34" t="s">
        <v>6123</v>
      </c>
      <c r="BB234" s="499"/>
      <c r="BC234" s="271"/>
      <c r="BD234" s="279">
        <v>1</v>
      </c>
      <c r="BE234" s="271"/>
      <c r="BF234" s="271"/>
      <c r="BG234" s="271"/>
      <c r="BH234" s="271"/>
      <c r="BI234" s="271"/>
      <c r="BJ234" s="271"/>
      <c r="BK234" s="271"/>
      <c r="BL234" s="271"/>
    </row>
    <row r="235" spans="18:64" ht="21" customHeight="1" x14ac:dyDescent="0.25">
      <c r="R235" s="34" t="s">
        <v>6125</v>
      </c>
      <c r="S235" s="451"/>
      <c r="T235" s="31" t="s">
        <v>304</v>
      </c>
      <c r="V235" s="475">
        <v>5</v>
      </c>
      <c r="W235" s="475" t="str">
        <f>IF($AC$235="","",$W$216)</f>
        <v/>
      </c>
      <c r="X235" s="476" t="str">
        <f>IF($AC$235="","",$X$216)</f>
        <v/>
      </c>
      <c r="Y235" s="477" t="str">
        <f>IF($X$235="","",$Y$216)</f>
        <v/>
      </c>
      <c r="Z235" s="477" t="str">
        <f>IF($X$235="","",$Z$216)</f>
        <v/>
      </c>
      <c r="AA235" s="477" t="str">
        <f>IF($AC$235="","",ROW($A$235)-ROW($A$216))</f>
        <v/>
      </c>
      <c r="AB235" s="478"/>
      <c r="AC235" s="34"/>
      <c r="AD235" s="356"/>
      <c r="AE235" s="479"/>
      <c r="AF235" s="475"/>
      <c r="AG235" s="480" t="str">
        <f t="shared" si="52"/>
        <v/>
      </c>
      <c r="AH235" s="481" t="str">
        <f t="shared" si="53"/>
        <v/>
      </c>
      <c r="AI235" s="477" t="str">
        <f>IF($AC$235="","",IFERROR(INDEX($AZ$74:$AZ$119,MATCH($AH$235,$AY$74:$AY$119,0)),"AUTRE"))</f>
        <v/>
      </c>
      <c r="AJ235" s="482" t="str">
        <f>IF($AC$235="","",IFERROR(INDEX($BA$74:$BA$119,MATCH($AH$235,$AY$74:$AY$119,0)),1))</f>
        <v/>
      </c>
      <c r="AK235" s="482" t="str">
        <f t="shared" si="54"/>
        <v/>
      </c>
      <c r="AL235" s="477" t="str">
        <f>IF($AC$235="","",IFERROR(INDEX($BB$74:$BB$119,MATCH($AH$235,$AY$74:$AY$119,0)),$AH$235))</f>
        <v/>
      </c>
      <c r="AM235" s="483" t="str">
        <f t="shared" si="55"/>
        <v/>
      </c>
      <c r="AN235" s="484" t="str">
        <f t="shared" si="56"/>
        <v/>
      </c>
      <c r="AO235" s="473" t="str">
        <f t="shared" si="57"/>
        <v/>
      </c>
      <c r="AP235" s="473" t="str">
        <f t="shared" si="58"/>
        <v/>
      </c>
      <c r="AQ235" s="473" t="str">
        <f t="shared" si="59"/>
        <v/>
      </c>
      <c r="AR235" s="473" t="str">
        <f t="shared" si="60"/>
        <v/>
      </c>
      <c r="AS235" s="473" t="str">
        <f t="shared" si="61"/>
        <v/>
      </c>
      <c r="AT235" s="473" t="str">
        <f t="shared" si="62"/>
        <v/>
      </c>
      <c r="AU235" s="473" t="str">
        <f t="shared" si="63"/>
        <v/>
      </c>
      <c r="AZ235" s="32" t="s">
        <v>8125</v>
      </c>
      <c r="BA235" s="34" t="s">
        <v>6124</v>
      </c>
      <c r="BB235" s="499"/>
      <c r="BC235" s="271"/>
      <c r="BD235" s="279">
        <v>1</v>
      </c>
      <c r="BE235" s="271"/>
      <c r="BF235" s="271"/>
      <c r="BG235" s="271"/>
      <c r="BH235" s="271"/>
      <c r="BI235" s="271"/>
      <c r="BJ235" s="271"/>
      <c r="BK235" s="271"/>
      <c r="BL235" s="271"/>
    </row>
    <row r="236" spans="18:64" ht="21" customHeight="1" x14ac:dyDescent="0.25">
      <c r="R236" s="34" t="s">
        <v>6126</v>
      </c>
      <c r="S236" s="451"/>
      <c r="T236" s="31" t="s">
        <v>352</v>
      </c>
      <c r="V236" s="475">
        <v>5</v>
      </c>
      <c r="W236" s="475" t="str">
        <f>IF($AC$236="","",$W$216)</f>
        <v/>
      </c>
      <c r="X236" s="476" t="str">
        <f>IF($AC$236="","",$X$216)</f>
        <v/>
      </c>
      <c r="Y236" s="477" t="str">
        <f>IF($X$236="","",$Y$216)</f>
        <v/>
      </c>
      <c r="Z236" s="477" t="str">
        <f>IF($X$236="","",$Z$216)</f>
        <v/>
      </c>
      <c r="AA236" s="477" t="str">
        <f>IF($AC$236="","",ROW($A$236)-ROW($A$216))</f>
        <v/>
      </c>
      <c r="AB236" s="478"/>
      <c r="AC236" s="34"/>
      <c r="AD236" s="356"/>
      <c r="AE236" s="479"/>
      <c r="AF236" s="475"/>
      <c r="AG236" s="480" t="str">
        <f t="shared" si="52"/>
        <v/>
      </c>
      <c r="AH236" s="481" t="str">
        <f t="shared" si="53"/>
        <v/>
      </c>
      <c r="AI236" s="477" t="str">
        <f>IF($AC$236="","",IFERROR(INDEX($AZ$74:$AZ$119,MATCH($AH$236,$AY$74:$AY$119,0)),"AUTRE"))</f>
        <v/>
      </c>
      <c r="AJ236" s="482" t="str">
        <f>IF($AC$236="","",IFERROR(INDEX($BA$74:$BA$119,MATCH($AH$236,$AY$74:$AY$119,0)),1))</f>
        <v/>
      </c>
      <c r="AK236" s="482" t="str">
        <f t="shared" si="54"/>
        <v/>
      </c>
      <c r="AL236" s="477" t="str">
        <f>IF($AC$236="","",IFERROR(INDEX($BB$74:$BB$119,MATCH($AH$236,$AY$74:$AY$119,0)),$AH$236))</f>
        <v/>
      </c>
      <c r="AM236" s="483" t="str">
        <f t="shared" si="55"/>
        <v/>
      </c>
      <c r="AN236" s="484" t="str">
        <f t="shared" si="56"/>
        <v/>
      </c>
      <c r="AO236" s="473" t="str">
        <f t="shared" si="57"/>
        <v/>
      </c>
      <c r="AP236" s="473" t="str">
        <f t="shared" si="58"/>
        <v/>
      </c>
      <c r="AQ236" s="473" t="str">
        <f t="shared" si="59"/>
        <v/>
      </c>
      <c r="AR236" s="473" t="str">
        <f t="shared" si="60"/>
        <v/>
      </c>
      <c r="AS236" s="473" t="str">
        <f t="shared" si="61"/>
        <v/>
      </c>
      <c r="AT236" s="473" t="str">
        <f t="shared" si="62"/>
        <v/>
      </c>
      <c r="AU236" s="473" t="str">
        <f t="shared" si="63"/>
        <v/>
      </c>
      <c r="AZ236" s="32" t="s">
        <v>8127</v>
      </c>
      <c r="BA236" s="34" t="s">
        <v>6125</v>
      </c>
      <c r="BB236" s="499"/>
      <c r="BC236" s="271"/>
      <c r="BD236" s="279">
        <v>1</v>
      </c>
      <c r="BE236" s="271"/>
      <c r="BF236" s="271"/>
      <c r="BG236" s="271"/>
      <c r="BH236" s="271"/>
      <c r="BI236" s="271"/>
      <c r="BJ236" s="271"/>
      <c r="BK236" s="271"/>
      <c r="BL236" s="271"/>
    </row>
    <row r="237" spans="18:64" ht="21" customHeight="1" x14ac:dyDescent="0.25">
      <c r="R237" s="34" t="s">
        <v>6127</v>
      </c>
      <c r="S237" s="451"/>
      <c r="T237" s="31" t="s">
        <v>25</v>
      </c>
      <c r="V237" s="475">
        <v>5</v>
      </c>
      <c r="W237" s="475" t="str">
        <f>IF($AC$237="","",$W$216)</f>
        <v/>
      </c>
      <c r="X237" s="476" t="str">
        <f>IF($AC$237="","",$X$216)</f>
        <v/>
      </c>
      <c r="Y237" s="477" t="str">
        <f>IF($X$237="","",$Y$216)</f>
        <v/>
      </c>
      <c r="Z237" s="477" t="str">
        <f>IF($X$237="","",$Z$216)</f>
        <v/>
      </c>
      <c r="AA237" s="477" t="str">
        <f>IF($AC$237="","",ROW($A$237)-ROW($A$216))</f>
        <v/>
      </c>
      <c r="AB237" s="478"/>
      <c r="AC237" s="34"/>
      <c r="AD237" s="356"/>
      <c r="AE237" s="479"/>
      <c r="AF237" s="475"/>
      <c r="AG237" s="480" t="str">
        <f t="shared" si="52"/>
        <v/>
      </c>
      <c r="AH237" s="481" t="str">
        <f t="shared" si="53"/>
        <v/>
      </c>
      <c r="AI237" s="477" t="str">
        <f>IF($AC$237="","",IFERROR(INDEX($AZ$74:$AZ$119,MATCH($AH$237,$AY$74:$AY$119,0)),"AUTRE"))</f>
        <v/>
      </c>
      <c r="AJ237" s="482" t="str">
        <f>IF($AC$237="","",IFERROR(INDEX($BA$74:$BA$119,MATCH($AH$237,$AY$74:$AY$119,0)),1))</f>
        <v/>
      </c>
      <c r="AK237" s="482" t="str">
        <f t="shared" si="54"/>
        <v/>
      </c>
      <c r="AL237" s="477" t="str">
        <f>IF($AC$237="","",IFERROR(INDEX($BB$74:$BB$119,MATCH($AH$237,$AY$74:$AY$119,0)),$AH$237))</f>
        <v/>
      </c>
      <c r="AM237" s="483" t="str">
        <f t="shared" si="55"/>
        <v/>
      </c>
      <c r="AN237" s="484" t="str">
        <f t="shared" si="56"/>
        <v/>
      </c>
      <c r="AO237" s="473" t="str">
        <f t="shared" si="57"/>
        <v/>
      </c>
      <c r="AP237" s="473" t="str">
        <f t="shared" si="58"/>
        <v/>
      </c>
      <c r="AQ237" s="473" t="str">
        <f t="shared" si="59"/>
        <v/>
      </c>
      <c r="AR237" s="473" t="str">
        <f t="shared" si="60"/>
        <v/>
      </c>
      <c r="AS237" s="473" t="str">
        <f t="shared" si="61"/>
        <v/>
      </c>
      <c r="AT237" s="473" t="str">
        <f t="shared" si="62"/>
        <v/>
      </c>
      <c r="AU237" s="473" t="str">
        <f t="shared" si="63"/>
        <v/>
      </c>
      <c r="AZ237" s="32" t="s">
        <v>320</v>
      </c>
      <c r="BA237" s="34" t="s">
        <v>6126</v>
      </c>
      <c r="BB237" s="499"/>
      <c r="BC237" s="271"/>
      <c r="BD237" s="279">
        <v>1</v>
      </c>
      <c r="BE237" s="271"/>
      <c r="BF237" s="271"/>
      <c r="BG237" s="271"/>
      <c r="BH237" s="271"/>
      <c r="BI237" s="271"/>
      <c r="BJ237" s="271"/>
      <c r="BK237" s="271"/>
      <c r="BL237" s="271"/>
    </row>
    <row r="238" spans="18:64" ht="21" customHeight="1" x14ac:dyDescent="0.25">
      <c r="R238" s="25" t="s">
        <v>6128</v>
      </c>
      <c r="S238" s="451"/>
      <c r="T238" s="31" t="s">
        <v>26</v>
      </c>
      <c r="V238" s="475">
        <v>5</v>
      </c>
      <c r="W238" s="475" t="str">
        <f>IF($AC$238="","",$W$216)</f>
        <v/>
      </c>
      <c r="X238" s="476" t="str">
        <f>IF($AC$238="","",$X$216)</f>
        <v/>
      </c>
      <c r="Y238" s="477" t="str">
        <f>IF($X$238="","",$Y$216)</f>
        <v/>
      </c>
      <c r="Z238" s="477" t="str">
        <f>IF($X$238="","",$Z$216)</f>
        <v/>
      </c>
      <c r="AA238" s="477" t="str">
        <f>IF($AC$238="","",ROW($A$238)-ROW($A$216))</f>
        <v/>
      </c>
      <c r="AB238" s="478"/>
      <c r="AC238" s="34"/>
      <c r="AD238" s="356"/>
      <c r="AE238" s="479"/>
      <c r="AF238" s="475"/>
      <c r="AG238" s="480" t="str">
        <f t="shared" si="52"/>
        <v/>
      </c>
      <c r="AH238" s="481" t="str">
        <f t="shared" si="53"/>
        <v/>
      </c>
      <c r="AI238" s="477" t="str">
        <f>IF($AC$238="","",IFERROR(INDEX($AZ$74:$AZ$119,MATCH($AH$238,$AY$74:$AY$119,0)),"AUTRE"))</f>
        <v/>
      </c>
      <c r="AJ238" s="482" t="str">
        <f>IF($AC$238="","",IFERROR(INDEX($BA$74:$BA$119,MATCH($AH$238,$AY$74:$AY$119,0)),1))</f>
        <v/>
      </c>
      <c r="AK238" s="482" t="str">
        <f t="shared" si="54"/>
        <v/>
      </c>
      <c r="AL238" s="477" t="str">
        <f>IF($AC$238="","",IFERROR(INDEX($BB$74:$BB$119,MATCH($AH$238,$AY$74:$AY$119,0)),$AH$238))</f>
        <v/>
      </c>
      <c r="AM238" s="483" t="str">
        <f t="shared" si="55"/>
        <v/>
      </c>
      <c r="AN238" s="484" t="str">
        <f t="shared" si="56"/>
        <v/>
      </c>
      <c r="AO238" s="473" t="str">
        <f t="shared" si="57"/>
        <v/>
      </c>
      <c r="AP238" s="473" t="str">
        <f t="shared" si="58"/>
        <v/>
      </c>
      <c r="AQ238" s="473" t="str">
        <f t="shared" si="59"/>
        <v/>
      </c>
      <c r="AR238" s="473" t="str">
        <f t="shared" si="60"/>
        <v/>
      </c>
      <c r="AS238" s="473" t="str">
        <f t="shared" si="61"/>
        <v/>
      </c>
      <c r="AT238" s="473" t="str">
        <f t="shared" si="62"/>
        <v/>
      </c>
      <c r="AU238" s="473" t="str">
        <f t="shared" si="63"/>
        <v/>
      </c>
      <c r="AZ238" s="32" t="s">
        <v>318</v>
      </c>
      <c r="BA238" s="34" t="s">
        <v>6127</v>
      </c>
      <c r="BB238" s="499"/>
      <c r="BC238" s="271"/>
      <c r="BD238" s="279">
        <v>1</v>
      </c>
      <c r="BE238" s="271"/>
      <c r="BF238" s="271"/>
      <c r="BG238" s="271"/>
      <c r="BH238" s="271"/>
      <c r="BI238" s="271"/>
      <c r="BJ238" s="271"/>
      <c r="BK238" s="271"/>
      <c r="BL238" s="271"/>
    </row>
    <row r="239" spans="18:64" ht="21" customHeight="1" x14ac:dyDescent="0.25">
      <c r="R239" s="34" t="s">
        <v>474</v>
      </c>
      <c r="S239" s="451"/>
      <c r="T239" s="31" t="s">
        <v>27</v>
      </c>
      <c r="V239" s="475">
        <v>5</v>
      </c>
      <c r="W239" s="475" t="str">
        <f>IF($AC$239="","",$W$216)</f>
        <v/>
      </c>
      <c r="X239" s="476" t="str">
        <f>IF($AC$239="","",$X$216)</f>
        <v/>
      </c>
      <c r="Y239" s="477" t="str">
        <f>IF($X$239="","",$Y$216)</f>
        <v/>
      </c>
      <c r="Z239" s="477" t="str">
        <f>IF($X$239="","",$Z$216)</f>
        <v/>
      </c>
      <c r="AA239" s="477" t="str">
        <f>IF($AC$239="","",ROW($A$239)-ROW($A$216))</f>
        <v/>
      </c>
      <c r="AB239" s="478"/>
      <c r="AC239" s="34"/>
      <c r="AD239" s="356"/>
      <c r="AE239" s="479"/>
      <c r="AF239" s="475"/>
      <c r="AG239" s="480" t="str">
        <f t="shared" si="52"/>
        <v/>
      </c>
      <c r="AH239" s="481" t="str">
        <f t="shared" si="53"/>
        <v/>
      </c>
      <c r="AI239" s="477" t="str">
        <f>IF($AC$239="","",IFERROR(INDEX($AZ$74:$AZ$119,MATCH($AH$239,$AY$74:$AY$119,0)),"AUTRE"))</f>
        <v/>
      </c>
      <c r="AJ239" s="482" t="str">
        <f>IF($AC$239="","",IFERROR(INDEX($BA$74:$BA$119,MATCH($AH$239,$AY$74:$AY$119,0)),1))</f>
        <v/>
      </c>
      <c r="AK239" s="482" t="str">
        <f t="shared" si="54"/>
        <v/>
      </c>
      <c r="AL239" s="477" t="str">
        <f>IF($AC$239="","",IFERROR(INDEX($BB$74:$BB$119,MATCH($AH$239,$AY$74:$AY$119,0)),$AH$239))</f>
        <v/>
      </c>
      <c r="AM239" s="483" t="str">
        <f t="shared" si="55"/>
        <v/>
      </c>
      <c r="AN239" s="484" t="str">
        <f t="shared" si="56"/>
        <v/>
      </c>
      <c r="AO239" s="473" t="str">
        <f t="shared" si="57"/>
        <v/>
      </c>
      <c r="AP239" s="473" t="str">
        <f t="shared" si="58"/>
        <v/>
      </c>
      <c r="AQ239" s="473" t="str">
        <f t="shared" si="59"/>
        <v/>
      </c>
      <c r="AR239" s="473" t="str">
        <f t="shared" si="60"/>
        <v/>
      </c>
      <c r="AS239" s="473" t="str">
        <f t="shared" si="61"/>
        <v/>
      </c>
      <c r="AT239" s="473" t="str">
        <f t="shared" si="62"/>
        <v/>
      </c>
      <c r="AU239" s="473" t="str">
        <f t="shared" si="63"/>
        <v/>
      </c>
      <c r="AZ239" s="32" t="s">
        <v>316</v>
      </c>
      <c r="BA239" s="25" t="s">
        <v>6128</v>
      </c>
      <c r="BB239" s="499"/>
      <c r="BC239" s="271"/>
      <c r="BD239" s="279">
        <v>1</v>
      </c>
      <c r="BE239" s="271"/>
      <c r="BF239" s="271"/>
      <c r="BG239" s="271"/>
      <c r="BH239" s="271"/>
      <c r="BI239" s="271"/>
      <c r="BJ239" s="271"/>
      <c r="BK239" s="271"/>
      <c r="BL239" s="271"/>
    </row>
    <row r="240" spans="18:64" ht="21" customHeight="1" x14ac:dyDescent="0.25">
      <c r="R240" s="34" t="s">
        <v>490</v>
      </c>
      <c r="S240" s="451"/>
      <c r="T240" s="31" t="s">
        <v>28</v>
      </c>
      <c r="V240" s="475">
        <v>5</v>
      </c>
      <c r="W240" s="475" t="str">
        <f>IF($AC$240="","",$W$216)</f>
        <v/>
      </c>
      <c r="X240" s="476" t="str">
        <f>IF($AC$240="","",$X$216)</f>
        <v/>
      </c>
      <c r="Y240" s="477" t="str">
        <f>IF($X$240="","",$Y$216)</f>
        <v/>
      </c>
      <c r="Z240" s="477" t="str">
        <f>IF($X$240="","",$Z$216)</f>
        <v/>
      </c>
      <c r="AA240" s="477" t="str">
        <f>IF($AC$240="","",ROW($A$240)-ROW($A$216))</f>
        <v/>
      </c>
      <c r="AB240" s="478"/>
      <c r="AC240" s="34"/>
      <c r="AD240" s="356"/>
      <c r="AE240" s="479"/>
      <c r="AF240" s="475"/>
      <c r="AG240" s="480" t="str">
        <f t="shared" si="52"/>
        <v/>
      </c>
      <c r="AH240" s="481" t="str">
        <f t="shared" si="53"/>
        <v/>
      </c>
      <c r="AI240" s="477" t="str">
        <f>IF($AC$240="","",IFERROR(INDEX($AZ$74:$AZ$119,MATCH($AH$240,$AY$74:$AY$119,0)),"AUTRE"))</f>
        <v/>
      </c>
      <c r="AJ240" s="482" t="str">
        <f>IF($AC$240="","",IFERROR(INDEX($BA$74:$BA$119,MATCH($AH$240,$AY$74:$AY$119,0)),1))</f>
        <v/>
      </c>
      <c r="AK240" s="482" t="str">
        <f t="shared" si="54"/>
        <v/>
      </c>
      <c r="AL240" s="477" t="str">
        <f>IF($AC$240="","",IFERROR(INDEX($BB$74:$BB$119,MATCH($AH$240,$AY$74:$AY$119,0)),$AH$240))</f>
        <v/>
      </c>
      <c r="AM240" s="483" t="str">
        <f t="shared" si="55"/>
        <v/>
      </c>
      <c r="AN240" s="484" t="str">
        <f t="shared" si="56"/>
        <v/>
      </c>
      <c r="AO240" s="473" t="str">
        <f t="shared" si="57"/>
        <v/>
      </c>
      <c r="AP240" s="473" t="str">
        <f t="shared" si="58"/>
        <v/>
      </c>
      <c r="AQ240" s="473" t="str">
        <f t="shared" si="59"/>
        <v/>
      </c>
      <c r="AR240" s="473" t="str">
        <f t="shared" si="60"/>
        <v/>
      </c>
      <c r="AS240" s="473" t="str">
        <f t="shared" si="61"/>
        <v/>
      </c>
      <c r="AT240" s="473" t="str">
        <f t="shared" si="62"/>
        <v/>
      </c>
      <c r="AU240" s="473" t="str">
        <f t="shared" si="63"/>
        <v/>
      </c>
      <c r="AZ240" s="32" t="s">
        <v>313</v>
      </c>
      <c r="BA240" s="34" t="s">
        <v>474</v>
      </c>
      <c r="BB240" s="499"/>
      <c r="BC240" s="271"/>
      <c r="BD240" s="279">
        <v>1</v>
      </c>
      <c r="BE240" s="271"/>
      <c r="BF240" s="271"/>
      <c r="BG240" s="271"/>
      <c r="BH240" s="271"/>
      <c r="BI240" s="271"/>
      <c r="BJ240" s="271"/>
      <c r="BK240" s="271"/>
      <c r="BL240" s="271"/>
    </row>
    <row r="241" spans="18:64" ht="21" customHeight="1" x14ac:dyDescent="0.25">
      <c r="R241" s="34" t="s">
        <v>6129</v>
      </c>
      <c r="S241" s="451"/>
      <c r="T241" s="31" t="s">
        <v>29</v>
      </c>
      <c r="V241" s="475">
        <v>5</v>
      </c>
      <c r="W241" s="475" t="str">
        <f>IF($AC$241="","",$W$216)</f>
        <v/>
      </c>
      <c r="X241" s="476" t="str">
        <f>IF($AC$241="","",$X$216)</f>
        <v/>
      </c>
      <c r="Y241" s="477" t="str">
        <f>IF($X$241="","",$Y$216)</f>
        <v/>
      </c>
      <c r="Z241" s="477" t="str">
        <f>IF($X$241="","",$Z$216)</f>
        <v/>
      </c>
      <c r="AA241" s="477" t="str">
        <f>IF($AC$241="","",ROW($A$241)-ROW($A$216))</f>
        <v/>
      </c>
      <c r="AB241" s="478"/>
      <c r="AC241" s="34"/>
      <c r="AD241" s="356"/>
      <c r="AE241" s="479"/>
      <c r="AF241" s="475"/>
      <c r="AG241" s="480" t="str">
        <f t="shared" si="52"/>
        <v/>
      </c>
      <c r="AH241" s="481" t="str">
        <f t="shared" si="53"/>
        <v/>
      </c>
      <c r="AI241" s="477" t="str">
        <f>IF($AC$241="","",IFERROR(INDEX($AZ$74:$AZ$119,MATCH($AH$241,$AY$74:$AY$119,0)),"AUTRE"))</f>
        <v/>
      </c>
      <c r="AJ241" s="482" t="str">
        <f>IF($AC$241="","",IFERROR(INDEX($BA$74:$BA$119,MATCH($AH$241,$AY$74:$AY$119,0)),1))</f>
        <v/>
      </c>
      <c r="AK241" s="482" t="str">
        <f t="shared" si="54"/>
        <v/>
      </c>
      <c r="AL241" s="477" t="str">
        <f>IF($AC$241="","",IFERROR(INDEX($BB$74:$BB$119,MATCH($AH$241,$AY$74:$AY$119,0)),$AH$241))</f>
        <v/>
      </c>
      <c r="AM241" s="483" t="str">
        <f t="shared" si="55"/>
        <v/>
      </c>
      <c r="AN241" s="484" t="str">
        <f t="shared" si="56"/>
        <v/>
      </c>
      <c r="AO241" s="473" t="str">
        <f t="shared" si="57"/>
        <v/>
      </c>
      <c r="AP241" s="473" t="str">
        <f t="shared" si="58"/>
        <v/>
      </c>
      <c r="AQ241" s="473" t="str">
        <f t="shared" si="59"/>
        <v/>
      </c>
      <c r="AR241" s="473" t="str">
        <f t="shared" si="60"/>
        <v/>
      </c>
      <c r="AS241" s="473" t="str">
        <f t="shared" si="61"/>
        <v/>
      </c>
      <c r="AT241" s="473" t="str">
        <f t="shared" si="62"/>
        <v/>
      </c>
      <c r="AU241" s="473" t="str">
        <f t="shared" si="63"/>
        <v/>
      </c>
      <c r="AZ241" s="32" t="s">
        <v>307</v>
      </c>
      <c r="BA241" s="34" t="s">
        <v>490</v>
      </c>
      <c r="BB241" s="499"/>
      <c r="BC241" s="271"/>
      <c r="BD241" s="279">
        <v>1</v>
      </c>
      <c r="BE241" s="271"/>
      <c r="BF241" s="271"/>
      <c r="BG241" s="271"/>
      <c r="BH241" s="271"/>
      <c r="BI241" s="271"/>
      <c r="BJ241" s="271"/>
      <c r="BK241" s="271"/>
      <c r="BL241" s="271"/>
    </row>
    <row r="242" spans="18:64" ht="21" customHeight="1" x14ac:dyDescent="0.25">
      <c r="R242" s="34" t="s">
        <v>478</v>
      </c>
      <c r="S242" s="451"/>
      <c r="T242" s="31" t="s">
        <v>30</v>
      </c>
      <c r="V242" s="475">
        <v>5</v>
      </c>
      <c r="W242" s="475" t="str">
        <f>IF($AC$242="","",$W$216)</f>
        <v/>
      </c>
      <c r="X242" s="476" t="str">
        <f>IF($AC$242="","",$X$216)</f>
        <v/>
      </c>
      <c r="Y242" s="477" t="str">
        <f>IF($X$242="","",$Y$216)</f>
        <v/>
      </c>
      <c r="Z242" s="477" t="str">
        <f>IF($X$242="","",$Z$216)</f>
        <v/>
      </c>
      <c r="AA242" s="477" t="str">
        <f>IF($AC$242="","",ROW($A$242)-ROW($A$216))</f>
        <v/>
      </c>
      <c r="AB242" s="478"/>
      <c r="AC242" s="34"/>
      <c r="AD242" s="356"/>
      <c r="AE242" s="479"/>
      <c r="AF242" s="475"/>
      <c r="AG242" s="480" t="str">
        <f t="shared" si="52"/>
        <v/>
      </c>
      <c r="AH242" s="481" t="str">
        <f t="shared" si="53"/>
        <v/>
      </c>
      <c r="AI242" s="477" t="str">
        <f>IF($AC$242="","",IFERROR(INDEX($AZ$74:$AZ$119,MATCH($AH$242,$AY$74:$AY$119,0)),"AUTRE"))</f>
        <v/>
      </c>
      <c r="AJ242" s="482" t="str">
        <f>IF($AC$242="","",IFERROR(INDEX($BA$74:$BA$119,MATCH($AH$242,$AY$74:$AY$119,0)),1))</f>
        <v/>
      </c>
      <c r="AK242" s="482" t="str">
        <f t="shared" si="54"/>
        <v/>
      </c>
      <c r="AL242" s="477" t="str">
        <f>IF($AC$242="","",IFERROR(INDEX($BB$74:$BB$119,MATCH($AH$242,$AY$74:$AY$119,0)),$AH$242))</f>
        <v/>
      </c>
      <c r="AM242" s="483" t="str">
        <f t="shared" si="55"/>
        <v/>
      </c>
      <c r="AN242" s="484" t="str">
        <f t="shared" si="56"/>
        <v/>
      </c>
      <c r="AO242" s="473" t="str">
        <f t="shared" si="57"/>
        <v/>
      </c>
      <c r="AP242" s="473" t="str">
        <f t="shared" si="58"/>
        <v/>
      </c>
      <c r="AQ242" s="473" t="str">
        <f t="shared" si="59"/>
        <v/>
      </c>
      <c r="AR242" s="473" t="str">
        <f t="shared" si="60"/>
        <v/>
      </c>
      <c r="AS242" s="473" t="str">
        <f t="shared" si="61"/>
        <v/>
      </c>
      <c r="AT242" s="473" t="str">
        <f t="shared" si="62"/>
        <v/>
      </c>
      <c r="AU242" s="473" t="str">
        <f t="shared" si="63"/>
        <v/>
      </c>
      <c r="AZ242" s="32" t="s">
        <v>322</v>
      </c>
      <c r="BA242" s="34" t="s">
        <v>6129</v>
      </c>
      <c r="BB242" s="499"/>
      <c r="BC242" s="271"/>
      <c r="BD242" s="279">
        <v>1</v>
      </c>
      <c r="BE242" s="271"/>
      <c r="BF242" s="271"/>
      <c r="BG242" s="271"/>
      <c r="BH242" s="271"/>
      <c r="BI242" s="271"/>
      <c r="BJ242" s="271"/>
      <c r="BK242" s="271"/>
      <c r="BL242" s="271"/>
    </row>
    <row r="243" spans="18:64" ht="21" customHeight="1" x14ac:dyDescent="0.25">
      <c r="R243" s="34" t="s">
        <v>6130</v>
      </c>
      <c r="S243" s="451"/>
      <c r="T243" s="31" t="s">
        <v>31</v>
      </c>
      <c r="V243" s="475">
        <v>5</v>
      </c>
      <c r="W243" s="475" t="str">
        <f>IF($AC$243="","",$W$216)</f>
        <v/>
      </c>
      <c r="X243" s="476" t="str">
        <f>IF($AC$243="","",$X$216)</f>
        <v/>
      </c>
      <c r="Y243" s="477" t="str">
        <f>IF($X$243="","",$Y$216)</f>
        <v/>
      </c>
      <c r="Z243" s="477" t="str">
        <f>IF($X$243="","",$Z$216)</f>
        <v/>
      </c>
      <c r="AA243" s="477" t="str">
        <f>IF($AC$243="","",ROW($A$243)-ROW($A$216))</f>
        <v/>
      </c>
      <c r="AB243" s="478"/>
      <c r="AC243" s="34"/>
      <c r="AD243" s="356"/>
      <c r="AE243" s="479"/>
      <c r="AF243" s="475"/>
      <c r="AG243" s="480" t="str">
        <f t="shared" si="52"/>
        <v/>
      </c>
      <c r="AH243" s="481" t="str">
        <f t="shared" si="53"/>
        <v/>
      </c>
      <c r="AI243" s="477" t="str">
        <f>IF($AC$243="","",IFERROR(INDEX($AZ$74:$AZ$119,MATCH($AH$243,$AY$74:$AY$119,0)),"AUTRE"))</f>
        <v/>
      </c>
      <c r="AJ243" s="482" t="str">
        <f>IF($AC$243="","",IFERROR(INDEX($BA$74:$BA$119,MATCH($AH$243,$AY$74:$AY$119,0)),1))</f>
        <v/>
      </c>
      <c r="AK243" s="482" t="str">
        <f t="shared" si="54"/>
        <v/>
      </c>
      <c r="AL243" s="477" t="str">
        <f>IF($AC$243="","",IFERROR(INDEX($BB$74:$BB$119,MATCH($AH$243,$AY$74:$AY$119,0)),$AH$243))</f>
        <v/>
      </c>
      <c r="AM243" s="483" t="str">
        <f t="shared" si="55"/>
        <v/>
      </c>
      <c r="AN243" s="484" t="str">
        <f t="shared" si="56"/>
        <v/>
      </c>
      <c r="AO243" s="473" t="str">
        <f t="shared" si="57"/>
        <v/>
      </c>
      <c r="AP243" s="473" t="str">
        <f t="shared" si="58"/>
        <v/>
      </c>
      <c r="AQ243" s="473" t="str">
        <f t="shared" si="59"/>
        <v/>
      </c>
      <c r="AR243" s="473" t="str">
        <f t="shared" si="60"/>
        <v/>
      </c>
      <c r="AS243" s="473" t="str">
        <f t="shared" si="61"/>
        <v/>
      </c>
      <c r="AT243" s="473" t="str">
        <f t="shared" si="62"/>
        <v/>
      </c>
      <c r="AU243" s="473" t="str">
        <f t="shared" si="63"/>
        <v/>
      </c>
      <c r="AZ243" s="32" t="s">
        <v>305</v>
      </c>
      <c r="BA243" s="34" t="s">
        <v>478</v>
      </c>
      <c r="BB243" s="499"/>
      <c r="BC243" s="271"/>
      <c r="BD243" s="279">
        <v>1</v>
      </c>
      <c r="BE243" s="271"/>
      <c r="BF243" s="271"/>
      <c r="BG243" s="271"/>
      <c r="BH243" s="271"/>
      <c r="BI243" s="271"/>
      <c r="BJ243" s="271"/>
      <c r="BK243" s="271"/>
      <c r="BL243" s="271"/>
    </row>
    <row r="244" spans="18:64" ht="21" customHeight="1" x14ac:dyDescent="0.25">
      <c r="R244" s="34" t="s">
        <v>486</v>
      </c>
      <c r="S244" s="451"/>
      <c r="T244" s="32" t="s">
        <v>33</v>
      </c>
      <c r="V244" s="475">
        <v>5</v>
      </c>
      <c r="W244" s="475" t="str">
        <f>IF($AC$244="","",$W$216)</f>
        <v/>
      </c>
      <c r="X244" s="476" t="str">
        <f>IF($AC$244="","",$X$216)</f>
        <v/>
      </c>
      <c r="Y244" s="477" t="str">
        <f>IF($X$244="","",$Y$216)</f>
        <v/>
      </c>
      <c r="Z244" s="477" t="str">
        <f>IF($X$244="","",$Z$216)</f>
        <v/>
      </c>
      <c r="AA244" s="477" t="str">
        <f>IF($AC$244="","",ROW($A$244)-ROW($A$216))</f>
        <v/>
      </c>
      <c r="AB244" s="478"/>
      <c r="AC244" s="34"/>
      <c r="AD244" s="356"/>
      <c r="AE244" s="479"/>
      <c r="AF244" s="475"/>
      <c r="AG244" s="480" t="str">
        <f t="shared" si="52"/>
        <v/>
      </c>
      <c r="AH244" s="481" t="str">
        <f t="shared" si="53"/>
        <v/>
      </c>
      <c r="AI244" s="477" t="str">
        <f>IF($AC$244="","",IFERROR(INDEX($AZ$74:$AZ$119,MATCH($AH$244,$AY$74:$AY$119,0)),"AUTRE"))</f>
        <v/>
      </c>
      <c r="AJ244" s="482" t="str">
        <f>IF($AC$244="","",IFERROR(INDEX($BA$74:$BA$119,MATCH($AH$244,$AY$74:$AY$119,0)),1))</f>
        <v/>
      </c>
      <c r="AK244" s="482" t="str">
        <f t="shared" si="54"/>
        <v/>
      </c>
      <c r="AL244" s="477" t="str">
        <f>IF($AC$244="","",IFERROR(INDEX($BB$74:$BB$119,MATCH($AH$244,$AY$74:$AY$119,0)),$AH$244))</f>
        <v/>
      </c>
      <c r="AM244" s="483" t="str">
        <f t="shared" si="55"/>
        <v/>
      </c>
      <c r="AN244" s="484" t="str">
        <f t="shared" si="56"/>
        <v/>
      </c>
      <c r="AO244" s="473" t="str">
        <f t="shared" si="57"/>
        <v/>
      </c>
      <c r="AP244" s="473" t="str">
        <f t="shared" si="58"/>
        <v/>
      </c>
      <c r="AQ244" s="473" t="str">
        <f t="shared" si="59"/>
        <v/>
      </c>
      <c r="AR244" s="473" t="str">
        <f t="shared" si="60"/>
        <v/>
      </c>
      <c r="AS244" s="473" t="str">
        <f t="shared" si="61"/>
        <v/>
      </c>
      <c r="AT244" s="473" t="str">
        <f t="shared" si="62"/>
        <v/>
      </c>
      <c r="AU244" s="473" t="str">
        <f t="shared" si="63"/>
        <v/>
      </c>
      <c r="AY244" s="271"/>
      <c r="AZ244" s="32" t="s">
        <v>8129</v>
      </c>
      <c r="BA244" s="34" t="s">
        <v>6130</v>
      </c>
      <c r="BB244" s="499"/>
      <c r="BC244" s="271"/>
      <c r="BD244" s="279">
        <v>1</v>
      </c>
      <c r="BE244" s="271"/>
      <c r="BF244" s="271"/>
      <c r="BG244" s="271"/>
      <c r="BH244" s="271"/>
      <c r="BI244" s="271"/>
      <c r="BJ244" s="271"/>
      <c r="BK244" s="271"/>
      <c r="BL244" s="271"/>
    </row>
    <row r="245" spans="18:64" ht="21" customHeight="1" x14ac:dyDescent="0.25">
      <c r="R245" s="34" t="s">
        <v>479</v>
      </c>
      <c r="S245" s="451"/>
      <c r="T245" s="32" t="s">
        <v>8125</v>
      </c>
      <c r="V245" s="475">
        <v>5</v>
      </c>
      <c r="W245" s="475" t="str">
        <f>IF($AC$245="","",$W$216)</f>
        <v/>
      </c>
      <c r="X245" s="476" t="str">
        <f>IF($AC$245="","",$X$216)</f>
        <v/>
      </c>
      <c r="Y245" s="477" t="str">
        <f>IF($X$245="","",$Y$216)</f>
        <v/>
      </c>
      <c r="Z245" s="477" t="str">
        <f>IF($X$245="","",$Z$216)</f>
        <v/>
      </c>
      <c r="AA245" s="477" t="str">
        <f>IF($AC$245="","",ROW($A$245)-ROW($A$216))</f>
        <v/>
      </c>
      <c r="AB245" s="478"/>
      <c r="AC245" s="34"/>
      <c r="AD245" s="356"/>
      <c r="AE245" s="479"/>
      <c r="AF245" s="475"/>
      <c r="AG245" s="480" t="str">
        <f t="shared" si="52"/>
        <v/>
      </c>
      <c r="AH245" s="481" t="str">
        <f t="shared" si="53"/>
        <v/>
      </c>
      <c r="AI245" s="477" t="str">
        <f>IF($AC$245="","",IFERROR(INDEX($AZ$74:$AZ$119,MATCH($AH$245,$AY$74:$AY$119,0)),"AUTRE"))</f>
        <v/>
      </c>
      <c r="AJ245" s="482" t="str">
        <f>IF($AC$245="","",IFERROR(INDEX($BA$74:$BA$119,MATCH($AH$245,$AY$74:$AY$119,0)),1))</f>
        <v/>
      </c>
      <c r="AK245" s="482" t="str">
        <f t="shared" si="54"/>
        <v/>
      </c>
      <c r="AL245" s="477" t="str">
        <f>IF($AC$245="","",IFERROR(INDEX($BB$74:$BB$119,MATCH($AH$245,$AY$74:$AY$119,0)),$AH$245))</f>
        <v/>
      </c>
      <c r="AM245" s="483" t="str">
        <f t="shared" si="55"/>
        <v/>
      </c>
      <c r="AN245" s="484" t="str">
        <f t="shared" si="56"/>
        <v/>
      </c>
      <c r="AO245" s="473" t="str">
        <f t="shared" si="57"/>
        <v/>
      </c>
      <c r="AP245" s="473" t="str">
        <f t="shared" si="58"/>
        <v/>
      </c>
      <c r="AQ245" s="473" t="str">
        <f t="shared" si="59"/>
        <v/>
      </c>
      <c r="AR245" s="473" t="str">
        <f t="shared" si="60"/>
        <v/>
      </c>
      <c r="AS245" s="473" t="str">
        <f t="shared" si="61"/>
        <v/>
      </c>
      <c r="AT245" s="473" t="str">
        <f t="shared" si="62"/>
        <v/>
      </c>
      <c r="AU245" s="473" t="str">
        <f t="shared" si="63"/>
        <v/>
      </c>
      <c r="AY245" s="497" t="s">
        <v>8145</v>
      </c>
      <c r="AZ245" s="32" t="s">
        <v>8131</v>
      </c>
      <c r="BA245" s="34" t="s">
        <v>486</v>
      </c>
      <c r="BB245" s="499"/>
      <c r="BC245" s="271"/>
      <c r="BD245" s="279">
        <v>1</v>
      </c>
      <c r="BE245" s="271"/>
      <c r="BF245" s="271"/>
      <c r="BG245" s="271"/>
      <c r="BH245" s="271"/>
      <c r="BI245" s="271"/>
      <c r="BJ245" s="271"/>
      <c r="BK245" s="271"/>
      <c r="BL245" s="271"/>
    </row>
    <row r="246" spans="18:64" ht="21" customHeight="1" x14ac:dyDescent="0.25">
      <c r="R246" s="34" t="s">
        <v>6131</v>
      </c>
      <c r="S246" s="451"/>
      <c r="T246" s="32" t="s">
        <v>8127</v>
      </c>
      <c r="V246" s="475">
        <v>5</v>
      </c>
      <c r="W246" s="475" t="str">
        <f>IF($AC$246="","",$W$216)</f>
        <v/>
      </c>
      <c r="X246" s="476" t="str">
        <f>IF($AC$246="","",$X$216)</f>
        <v/>
      </c>
      <c r="Y246" s="477" t="str">
        <f>IF($X$246="","",$Y$216)</f>
        <v/>
      </c>
      <c r="Z246" s="477" t="str">
        <f>IF($X$246="","",$Z$216)</f>
        <v/>
      </c>
      <c r="AA246" s="477" t="str">
        <f>IF($AC$246="","",ROW($A$246)-ROW($A$216))</f>
        <v/>
      </c>
      <c r="AB246" s="478"/>
      <c r="AC246" s="34"/>
      <c r="AD246" s="356"/>
      <c r="AE246" s="479"/>
      <c r="AF246" s="475"/>
      <c r="AG246" s="480" t="str">
        <f t="shared" si="52"/>
        <v/>
      </c>
      <c r="AH246" s="481" t="str">
        <f t="shared" si="53"/>
        <v/>
      </c>
      <c r="AI246" s="477" t="str">
        <f>IF($AC$246="","",IFERROR(INDEX($AZ$74:$AZ$119,MATCH($AH$246,$AY$74:$AY$119,0)),"AUTRE"))</f>
        <v/>
      </c>
      <c r="AJ246" s="482" t="str">
        <f>IF($AC$246="","",IFERROR(INDEX($BA$74:$BA$119,MATCH($AH$246,$AY$74:$AY$119,0)),1))</f>
        <v/>
      </c>
      <c r="AK246" s="482" t="str">
        <f t="shared" si="54"/>
        <v/>
      </c>
      <c r="AL246" s="477" t="str">
        <f>IF($AC$246="","",IFERROR(INDEX($BB$74:$BB$119,MATCH($AH$246,$AY$74:$AY$119,0)),$AH$246))</f>
        <v/>
      </c>
      <c r="AM246" s="483" t="str">
        <f t="shared" si="55"/>
        <v/>
      </c>
      <c r="AN246" s="484" t="str">
        <f t="shared" si="56"/>
        <v/>
      </c>
      <c r="AO246" s="473" t="str">
        <f t="shared" si="57"/>
        <v/>
      </c>
      <c r="AP246" s="473" t="str">
        <f t="shared" si="58"/>
        <v/>
      </c>
      <c r="AQ246" s="473" t="str">
        <f t="shared" si="59"/>
        <v/>
      </c>
      <c r="AR246" s="473" t="str">
        <f t="shared" si="60"/>
        <v/>
      </c>
      <c r="AS246" s="473" t="str">
        <f t="shared" si="61"/>
        <v/>
      </c>
      <c r="AT246" s="473" t="str">
        <f t="shared" si="62"/>
        <v/>
      </c>
      <c r="AU246" s="473" t="str">
        <f t="shared" si="63"/>
        <v/>
      </c>
      <c r="AY246" s="497" t="s">
        <v>462</v>
      </c>
      <c r="AZ246" s="32" t="s">
        <v>309</v>
      </c>
      <c r="BA246" s="34" t="s">
        <v>479</v>
      </c>
      <c r="BB246" s="499"/>
      <c r="BC246" s="271"/>
      <c r="BD246" s="279">
        <v>1</v>
      </c>
      <c r="BE246" s="271"/>
      <c r="BF246" s="271"/>
      <c r="BG246" s="271"/>
      <c r="BH246" s="271"/>
      <c r="BI246" s="271"/>
      <c r="BJ246" s="271"/>
      <c r="BK246" s="271"/>
      <c r="BL246" s="271"/>
    </row>
    <row r="247" spans="18:64" ht="21" customHeight="1" x14ac:dyDescent="0.25">
      <c r="R247" s="34" t="s">
        <v>485</v>
      </c>
      <c r="S247" s="451"/>
      <c r="T247" s="32" t="s">
        <v>320</v>
      </c>
      <c r="V247" s="475">
        <v>5</v>
      </c>
      <c r="W247" s="475" t="str">
        <f>IF($AC$247="","",$W$216)</f>
        <v/>
      </c>
      <c r="X247" s="476" t="str">
        <f>IF($AC$247="","",$X$216)</f>
        <v/>
      </c>
      <c r="Y247" s="477" t="str">
        <f>IF($X$247="","",$Y$216)</f>
        <v/>
      </c>
      <c r="Z247" s="477" t="str">
        <f>IF($X$247="","",$Z$216)</f>
        <v/>
      </c>
      <c r="AA247" s="477" t="str">
        <f>IF($AC$247="","",ROW($A$247)-ROW($A$216))</f>
        <v/>
      </c>
      <c r="AB247" s="478"/>
      <c r="AC247" s="34"/>
      <c r="AD247" s="356"/>
      <c r="AE247" s="479"/>
      <c r="AF247" s="475"/>
      <c r="AG247" s="480" t="str">
        <f t="shared" si="52"/>
        <v/>
      </c>
      <c r="AH247" s="481" t="str">
        <f t="shared" si="53"/>
        <v/>
      </c>
      <c r="AI247" s="477" t="str">
        <f>IF($AC$247="","",IFERROR(INDEX($AZ$74:$AZ$119,MATCH($AH$247,$AY$74:$AY$119,0)),"AUTRE"))</f>
        <v/>
      </c>
      <c r="AJ247" s="482" t="str">
        <f>IF($AC$247="","",IFERROR(INDEX($BA$74:$BA$119,MATCH($AH$247,$AY$74:$AY$119,0)),1))</f>
        <v/>
      </c>
      <c r="AK247" s="482" t="str">
        <f t="shared" si="54"/>
        <v/>
      </c>
      <c r="AL247" s="477" t="str">
        <f>IF($AC$247="","",IFERROR(INDEX($BB$74:$BB$119,MATCH($AH$247,$AY$74:$AY$119,0)),$AH$247))</f>
        <v/>
      </c>
      <c r="AM247" s="483" t="str">
        <f t="shared" si="55"/>
        <v/>
      </c>
      <c r="AN247" s="484" t="str">
        <f t="shared" si="56"/>
        <v/>
      </c>
      <c r="AO247" s="473" t="str">
        <f t="shared" si="57"/>
        <v/>
      </c>
      <c r="AP247" s="473" t="str">
        <f t="shared" si="58"/>
        <v/>
      </c>
      <c r="AQ247" s="473" t="str">
        <f t="shared" si="59"/>
        <v/>
      </c>
      <c r="AR247" s="473" t="str">
        <f t="shared" si="60"/>
        <v/>
      </c>
      <c r="AS247" s="473" t="str">
        <f t="shared" si="61"/>
        <v/>
      </c>
      <c r="AT247" s="473" t="str">
        <f t="shared" si="62"/>
        <v/>
      </c>
      <c r="AU247" s="473" t="str">
        <f t="shared" si="63"/>
        <v/>
      </c>
      <c r="AY247" s="497" t="s">
        <v>463</v>
      </c>
      <c r="AZ247" s="32" t="s">
        <v>311</v>
      </c>
      <c r="BA247" s="34" t="s">
        <v>6131</v>
      </c>
      <c r="BB247" s="499"/>
      <c r="BC247" s="271"/>
      <c r="BD247" s="279">
        <v>1</v>
      </c>
      <c r="BE247" s="271"/>
      <c r="BF247" s="271"/>
      <c r="BG247" s="271"/>
      <c r="BH247" s="271"/>
      <c r="BI247" s="271"/>
      <c r="BJ247" s="271"/>
      <c r="BK247" s="271"/>
      <c r="BL247" s="271"/>
    </row>
    <row r="248" spans="18:64" ht="21" customHeight="1" x14ac:dyDescent="0.25">
      <c r="R248" s="34" t="s">
        <v>6132</v>
      </c>
      <c r="S248" s="451"/>
      <c r="T248" s="32" t="s">
        <v>318</v>
      </c>
      <c r="V248" s="475">
        <v>5</v>
      </c>
      <c r="W248" s="475" t="str">
        <f>IF($AC$248="","",$W$216)</f>
        <v/>
      </c>
      <c r="X248" s="476" t="str">
        <f>IF($AC$248="","",$X$216)</f>
        <v/>
      </c>
      <c r="Y248" s="477" t="str">
        <f>IF($X$248="","",$Y$216)</f>
        <v/>
      </c>
      <c r="Z248" s="477" t="str">
        <f>IF($X$248="","",$Z$216)</f>
        <v/>
      </c>
      <c r="AA248" s="477" t="str">
        <f>IF($AC$248="","",ROW($A$248)-ROW($A$216))</f>
        <v/>
      </c>
      <c r="AB248" s="478"/>
      <c r="AC248" s="34"/>
      <c r="AD248" s="356"/>
      <c r="AE248" s="479"/>
      <c r="AF248" s="475"/>
      <c r="AG248" s="480" t="str">
        <f t="shared" si="52"/>
        <v/>
      </c>
      <c r="AH248" s="481" t="str">
        <f t="shared" si="53"/>
        <v/>
      </c>
      <c r="AI248" s="477" t="str">
        <f>IF($AC$248="","",IFERROR(INDEX($AZ$74:$AZ$119,MATCH($AH$248,$AY$74:$AY$119,0)),"AUTRE"))</f>
        <v/>
      </c>
      <c r="AJ248" s="482" t="str">
        <f>IF($AC$248="","",IFERROR(INDEX($BA$74:$BA$119,MATCH($AH$248,$AY$74:$AY$119,0)),1))</f>
        <v/>
      </c>
      <c r="AK248" s="482" t="str">
        <f t="shared" si="54"/>
        <v/>
      </c>
      <c r="AL248" s="477" t="str">
        <f>IF($AC$248="","",IFERROR(INDEX($BB$74:$BB$119,MATCH($AH$248,$AY$74:$AY$119,0)),$AH$248))</f>
        <v/>
      </c>
      <c r="AM248" s="483" t="str">
        <f t="shared" si="55"/>
        <v/>
      </c>
      <c r="AN248" s="484" t="str">
        <f t="shared" si="56"/>
        <v/>
      </c>
      <c r="AO248" s="473" t="str">
        <f t="shared" si="57"/>
        <v/>
      </c>
      <c r="AP248" s="473" t="str">
        <f t="shared" si="58"/>
        <v/>
      </c>
      <c r="AQ248" s="473" t="str">
        <f t="shared" si="59"/>
        <v/>
      </c>
      <c r="AR248" s="473" t="str">
        <f t="shared" si="60"/>
        <v/>
      </c>
      <c r="AS248" s="473" t="str">
        <f t="shared" si="61"/>
        <v/>
      </c>
      <c r="AT248" s="473" t="str">
        <f t="shared" si="62"/>
        <v/>
      </c>
      <c r="AU248" s="473" t="str">
        <f t="shared" si="63"/>
        <v/>
      </c>
      <c r="AY248" s="497" t="s">
        <v>8147</v>
      </c>
      <c r="AZ248" s="32" t="s">
        <v>8135</v>
      </c>
      <c r="BA248" s="34" t="s">
        <v>485</v>
      </c>
      <c r="BB248" s="499"/>
      <c r="BC248" s="271"/>
      <c r="BD248" s="279">
        <v>1</v>
      </c>
      <c r="BE248" s="271"/>
      <c r="BF248" s="271"/>
      <c r="BG248" s="271"/>
      <c r="BH248" s="271"/>
      <c r="BI248" s="271"/>
      <c r="BJ248" s="271"/>
      <c r="BK248" s="271"/>
      <c r="BL248" s="271"/>
    </row>
    <row r="249" spans="18:64" ht="21" customHeight="1" x14ac:dyDescent="0.25">
      <c r="R249" s="25" t="s">
        <v>6133</v>
      </c>
      <c r="S249" s="451"/>
      <c r="T249" s="32" t="s">
        <v>316</v>
      </c>
      <c r="V249" s="475">
        <v>5</v>
      </c>
      <c r="W249" s="475" t="str">
        <f>IF($AC$249="","",$W$216)</f>
        <v/>
      </c>
      <c r="X249" s="476" t="str">
        <f>IF($AC$249="","",$X$216)</f>
        <v/>
      </c>
      <c r="Y249" s="477" t="str">
        <f>IF($X$249="","",$Y$216)</f>
        <v/>
      </c>
      <c r="Z249" s="477" t="str">
        <f>IF($X$249="","",$Z$216)</f>
        <v/>
      </c>
      <c r="AA249" s="477" t="str">
        <f>IF($AC$249="","",ROW($A$249)-ROW($A$216))</f>
        <v/>
      </c>
      <c r="AB249" s="478"/>
      <c r="AC249" s="34"/>
      <c r="AD249" s="356"/>
      <c r="AE249" s="479"/>
      <c r="AF249" s="475"/>
      <c r="AG249" s="480" t="str">
        <f t="shared" si="52"/>
        <v/>
      </c>
      <c r="AH249" s="481" t="str">
        <f t="shared" si="53"/>
        <v/>
      </c>
      <c r="AI249" s="477" t="str">
        <f>IF($AC$249="","",IFERROR(INDEX($AZ$74:$AZ$119,MATCH($AH$249,$AY$74:$AY$119,0)),"AUTRE"))</f>
        <v/>
      </c>
      <c r="AJ249" s="482" t="str">
        <f>IF($AC$249="","",IFERROR(INDEX($BA$74:$BA$119,MATCH($AH$249,$AY$74:$AY$119,0)),1))</f>
        <v/>
      </c>
      <c r="AK249" s="482" t="str">
        <f t="shared" si="54"/>
        <v/>
      </c>
      <c r="AL249" s="477" t="str">
        <f>IF($AC$249="","",IFERROR(INDEX($BB$74:$BB$119,MATCH($AH$249,$AY$74:$AY$119,0)),$AH$249))</f>
        <v/>
      </c>
      <c r="AM249" s="483" t="str">
        <f t="shared" si="55"/>
        <v/>
      </c>
      <c r="AN249" s="484" t="str">
        <f t="shared" si="56"/>
        <v/>
      </c>
      <c r="AO249" s="473" t="str">
        <f t="shared" si="57"/>
        <v/>
      </c>
      <c r="AP249" s="473" t="str">
        <f t="shared" si="58"/>
        <v/>
      </c>
      <c r="AQ249" s="473" t="str">
        <f t="shared" si="59"/>
        <v/>
      </c>
      <c r="AR249" s="473" t="str">
        <f t="shared" si="60"/>
        <v/>
      </c>
      <c r="AS249" s="473" t="str">
        <f t="shared" si="61"/>
        <v/>
      </c>
      <c r="AT249" s="473" t="str">
        <f t="shared" si="62"/>
        <v/>
      </c>
      <c r="AU249" s="473" t="str">
        <f t="shared" si="63"/>
        <v/>
      </c>
      <c r="AY249" s="497" t="s">
        <v>465</v>
      </c>
      <c r="AZ249" s="32" t="s">
        <v>8137</v>
      </c>
      <c r="BA249" s="34" t="s">
        <v>6132</v>
      </c>
      <c r="BB249" s="499"/>
      <c r="BC249" s="271"/>
      <c r="BD249" s="279">
        <v>1</v>
      </c>
      <c r="BE249" s="271"/>
      <c r="BF249" s="271"/>
      <c r="BG249" s="271"/>
      <c r="BH249" s="271"/>
      <c r="BI249" s="271"/>
      <c r="BJ249" s="271"/>
      <c r="BK249" s="271"/>
      <c r="BL249" s="271"/>
    </row>
    <row r="250" spans="18:64" ht="21" customHeight="1" x14ac:dyDescent="0.25">
      <c r="R250" s="34" t="s">
        <v>476</v>
      </c>
      <c r="S250" s="451"/>
      <c r="T250" s="32" t="s">
        <v>313</v>
      </c>
      <c r="V250" s="475">
        <v>5</v>
      </c>
      <c r="W250" s="475" t="str">
        <f>IF($AC$250="","",$W$216)</f>
        <v/>
      </c>
      <c r="X250" s="476" t="str">
        <f>IF($AC$250="","",$X$216)</f>
        <v/>
      </c>
      <c r="Y250" s="477" t="str">
        <f>IF($X$250="","",$Y$216)</f>
        <v/>
      </c>
      <c r="Z250" s="477" t="str">
        <f>IF($X$250="","",$Z$216)</f>
        <v/>
      </c>
      <c r="AA250" s="477" t="str">
        <f>IF($AC$250="","",ROW($A$250)-ROW($A$216))</f>
        <v/>
      </c>
      <c r="AB250" s="478"/>
      <c r="AC250" s="34"/>
      <c r="AD250" s="356"/>
      <c r="AE250" s="479"/>
      <c r="AF250" s="475"/>
      <c r="AG250" s="491" t="str">
        <f t="shared" si="52"/>
        <v/>
      </c>
      <c r="AH250" s="481" t="str">
        <f t="shared" si="53"/>
        <v/>
      </c>
      <c r="AI250" s="477" t="str">
        <f>IF($AC$250="","",IFERROR(INDEX($AZ$74:$AZ$119,MATCH($AH$250,$AY$74:$AY$119,0)),"AUTRE"))</f>
        <v/>
      </c>
      <c r="AJ250" s="482" t="str">
        <f>IF($AC$250="","",IFERROR(INDEX($BA$74:$BA$119,MATCH($AH$250,$AY$74:$AY$119,0)),1))</f>
        <v/>
      </c>
      <c r="AK250" s="482" t="str">
        <f t="shared" si="54"/>
        <v/>
      </c>
      <c r="AL250" s="477" t="str">
        <f>IF($AC$250="","",IFERROR(INDEX($BB$74:$BB$119,MATCH($AH$250,$AY$74:$AY$119,0)),$AH$250))</f>
        <v/>
      </c>
      <c r="AM250" s="483" t="str">
        <f t="shared" si="55"/>
        <v/>
      </c>
      <c r="AN250" s="484" t="str">
        <f t="shared" si="56"/>
        <v/>
      </c>
      <c r="AO250" s="473" t="str">
        <f t="shared" si="57"/>
        <v/>
      </c>
      <c r="AP250" s="473" t="str">
        <f t="shared" si="58"/>
        <v/>
      </c>
      <c r="AQ250" s="473" t="str">
        <f t="shared" si="59"/>
        <v/>
      </c>
      <c r="AR250" s="473" t="str">
        <f t="shared" si="60"/>
        <v/>
      </c>
      <c r="AS250" s="473" t="str">
        <f t="shared" si="61"/>
        <v/>
      </c>
      <c r="AT250" s="473" t="str">
        <f t="shared" si="62"/>
        <v/>
      </c>
      <c r="AU250" s="473" t="str">
        <f t="shared" si="63"/>
        <v/>
      </c>
      <c r="AY250" s="497" t="s">
        <v>466</v>
      </c>
      <c r="AZ250" s="32" t="s">
        <v>8139</v>
      </c>
      <c r="BA250" s="25" t="s">
        <v>6133</v>
      </c>
      <c r="BB250" s="499"/>
      <c r="BC250" s="271"/>
      <c r="BD250" s="279">
        <v>1</v>
      </c>
      <c r="BE250" s="271"/>
      <c r="BF250" s="271"/>
      <c r="BG250" s="271"/>
      <c r="BH250" s="271"/>
      <c r="BI250" s="271"/>
      <c r="BJ250" s="271"/>
      <c r="BK250" s="271"/>
      <c r="BL250" s="271"/>
    </row>
    <row r="251" spans="18:64" ht="30" customHeight="1" x14ac:dyDescent="0.25">
      <c r="R251" s="34" t="s">
        <v>468</v>
      </c>
      <c r="S251" s="451"/>
      <c r="T251" s="32" t="s">
        <v>307</v>
      </c>
      <c r="V251" s="453" t="s">
        <v>324</v>
      </c>
      <c r="W251" s="453" t="s">
        <v>7912</v>
      </c>
      <c r="X251" s="453" t="s">
        <v>326</v>
      </c>
      <c r="Y251" s="453" t="s">
        <v>327</v>
      </c>
      <c r="Z251" s="454" t="s">
        <v>7930</v>
      </c>
      <c r="AA251" s="453" t="s">
        <v>7937</v>
      </c>
      <c r="AB251" s="455" t="s">
        <v>39</v>
      </c>
      <c r="AC251" s="455" t="s">
        <v>338</v>
      </c>
      <c r="AD251" s="455" t="s">
        <v>8114</v>
      </c>
      <c r="AE251" s="455" t="s">
        <v>339</v>
      </c>
      <c r="AF251" s="455" t="s">
        <v>7997</v>
      </c>
      <c r="AG251" s="453" t="s">
        <v>8018</v>
      </c>
      <c r="AH251" s="453" t="s">
        <v>8023</v>
      </c>
      <c r="AI251" s="453" t="s">
        <v>330</v>
      </c>
      <c r="AJ251" s="453" t="s">
        <v>8031</v>
      </c>
      <c r="AK251" s="453" t="s">
        <v>8037</v>
      </c>
      <c r="AL251" s="453" t="s">
        <v>8041</v>
      </c>
      <c r="AM251" s="453" t="s">
        <v>343</v>
      </c>
      <c r="AN251" s="457" t="s">
        <v>8115</v>
      </c>
      <c r="AO251" s="457" t="s">
        <v>8116</v>
      </c>
      <c r="AP251" s="656" t="s">
        <v>8117</v>
      </c>
      <c r="AQ251" s="656"/>
      <c r="AR251" s="656"/>
      <c r="AS251" s="656"/>
      <c r="AT251" s="656"/>
      <c r="AU251" s="657"/>
      <c r="AZ251" s="32" t="s">
        <v>8141</v>
      </c>
      <c r="BA251" s="34" t="s">
        <v>476</v>
      </c>
      <c r="BB251" s="499"/>
      <c r="BC251" s="271"/>
      <c r="BD251" s="279">
        <v>1</v>
      </c>
      <c r="BE251" s="271"/>
      <c r="BF251" s="271"/>
      <c r="BG251" s="271"/>
      <c r="BH251" s="271"/>
      <c r="BI251" s="271"/>
      <c r="BJ251" s="271"/>
      <c r="BK251" s="271"/>
      <c r="BL251" s="271"/>
    </row>
    <row r="252" spans="18:64" ht="30" customHeight="1" x14ac:dyDescent="0.25">
      <c r="R252" s="34" t="s">
        <v>473</v>
      </c>
      <c r="S252" s="451"/>
      <c r="T252" s="32" t="s">
        <v>322</v>
      </c>
      <c r="V252" s="459">
        <v>6</v>
      </c>
      <c r="W252" s="460" t="s">
        <v>8120</v>
      </c>
      <c r="X252" s="461" t="s">
        <v>8155</v>
      </c>
      <c r="Y252" s="462"/>
      <c r="Z252" s="463">
        <v>100</v>
      </c>
      <c r="AA252" s="464">
        <f>IF($AC$396="","",ROW($A$396)-ROW($A$396))</f>
        <v>0</v>
      </c>
      <c r="AB252" s="461"/>
      <c r="AC252" s="465" t="s">
        <v>8156</v>
      </c>
      <c r="AD252" s="390"/>
      <c r="AE252" s="390"/>
      <c r="AF252" s="466"/>
      <c r="AG252" s="467" t="str">
        <f t="shared" ref="AG252:AG286" si="64">IF($AC252="","",IF(LEN($AN252&amp;"")=0,"",$AN252))</f>
        <v/>
      </c>
      <c r="AH252" s="468" t="str">
        <f t="shared" ref="AH252:AH286" si="65">IF($AC252="","",IF($AF252&lt;&gt;"",UPPER(TRIM(SUBSTITUTE(SUBSTITUTE($AF252&amp;"",CHAR(160)," ")," "," "))),$AP252))</f>
        <v/>
      </c>
      <c r="AI252" s="469" t="str">
        <f>IF($AC$252="","",IFERROR(INDEX($AZ$74:$AZ$119,MATCH($AH$252,$AY$74:$AY$119,0)),"AUTRE"))</f>
        <v>AUTRE</v>
      </c>
      <c r="AJ252" s="470">
        <f>IF($AC$252="","",IFERROR(INDEX($BA$74:$BA$119,MATCH($AH$252,$AY$74:$AY$119,0)),1))</f>
        <v>1</v>
      </c>
      <c r="AK252" s="470" t="str">
        <f t="shared" ref="AK252:AK315" si="66">IF(OR(AG252="",AJ252=""),"",AG252*AJ252)</f>
        <v/>
      </c>
      <c r="AL252" s="469" t="str">
        <f>IF($AC$252="","",IFERROR(INDEX($BB$74:$BB$119,MATCH($AH$252,$AY$74:$AY$119,0)),$AH$252))</f>
        <v/>
      </c>
      <c r="AM252" s="471" t="str">
        <f t="shared" ref="AM252:AM286" si="67">IF($AC252="","",IF($AH252="QT. SUFFISANTE","OK",IF($AG252="","TEXTE",IF(NOT(ISNUMBER($AG252)),"QUANTITÉ À CONTRÔLER",IF(COUNTIF($AY$74:$AY$119,$AH252)=0,"UNITÉ À CONTRÔLER","OK")))))</f>
        <v>TEXTE</v>
      </c>
      <c r="AN252" s="474" t="str">
        <f t="shared" ref="AN252:AN286" si="68">IF($AE252&lt;&gt;"",$AE252,IF($AD252="","",IF(ISNUMBER($AD252),$AD252,IF($AO252="QT",0,IF($AO252="","",IFERROR(IF(ISNUMBER(SEARCH("/",$AO252)),VALUE(TRIM(LEFT($AO252,SEARCH("/",$AO252)-1)))/VALUE(TRIM(MID($AO252,SEARCH("/",$AO252)+1,99))),VALUE(SUBSTITUTE($AO252,".",","))),""))))))</f>
        <v/>
      </c>
      <c r="AO252" s="473" t="str">
        <f t="shared" ref="AO252:AO286" si="69">IF($AD252="","",IF(ISNUMBER($AD252),$AD252,IF(OR(LEFT($AQ252,3)="QT.",LEFT($AQ252,4)="QUAN"),"QT",IF($AR252=999,$AQ252,TRIM(LEFT($AQ252,$AR252-1))))))</f>
        <v/>
      </c>
      <c r="AP252" s="473" t="str">
        <f t="shared" ref="AP252:AP286" si="70">IF($AD252="","",IF(ISNUMBER($AD252),"",IF(OR(LEFT($AQ252,3)="QT.",LEFT($AQ252,4)="QUAN"),"QT. SUFFISANTE",IF($AO252="","",TRIM(MID($AQ252,LEN($AO252&amp;"")+1,999))))))</f>
        <v/>
      </c>
      <c r="AQ252" s="473" t="str">
        <f t="shared" ref="AQ252:AQ286" si="71">IF($AD252="","",UPPER(TRIM(SUBSTITUTE(SUBSTITUTE($AD252&amp;"",CHAR(160)," ")," "," "))))</f>
        <v/>
      </c>
      <c r="AR252" s="473" t="str">
        <f t="shared" ref="AR252:AR286" si="72">IF($AQ252="","",MIN($AS252,$AT252,$AU252))</f>
        <v/>
      </c>
      <c r="AS252" s="473" t="str">
        <f t="shared" ref="AS252:AS286" si="73">IF($AQ252="","",MIN(IFERROR(SEARCH("A",$AQ252),999),IFERROR(SEARCH("B",$AQ252),999),IFERROR(SEARCH("C",$AQ252),999),IFERROR(SEARCH("D",$AQ252),999),IFERROR(SEARCH("E",$AQ252),999),IFERROR(SEARCH("F",$AQ252),999),IFERROR(SEARCH("G",$AQ252),999),IFERROR(SEARCH("H",$AQ252),999),IFERROR(SEARCH("I",$AQ252),999)))</f>
        <v/>
      </c>
      <c r="AT252" s="473" t="str">
        <f t="shared" ref="AT252:AT286" si="74">IF($AQ252="","",MIN(IFERROR(SEARCH("J",$AQ252),999),IFERROR(SEARCH("K",$AQ252),999),IFERROR(SEARCH("L",$AQ252),999),IFERROR(SEARCH("M",$AQ252),999),IFERROR(SEARCH("N",$AQ252),999),IFERROR(SEARCH("O",$AQ252),999),IFERROR(SEARCH("P",$AQ252),999),IFERROR(SEARCH("Q",$AQ252),999),IFERROR(SEARCH("R",$AQ252),999)))</f>
        <v/>
      </c>
      <c r="AU252" s="473" t="str">
        <f t="shared" ref="AU252:AU286" si="75">IF($AQ252="","",MIN(IFERROR(SEARCH("S",$AQ252),999),IFERROR(SEARCH("T",$AQ252),999),IFERROR(SEARCH("U",$AQ252),999),IFERROR(SEARCH("V",$AQ252),999),IFERROR(SEARCH("W",$AQ252),999),IFERROR(SEARCH("X",$AQ252),999),IFERROR(SEARCH("Y",$AQ252),999),IFERROR(SEARCH("Z",$AQ252),999)))</f>
        <v/>
      </c>
      <c r="AZ252" s="32" t="s">
        <v>8143</v>
      </c>
      <c r="BA252" s="34" t="s">
        <v>468</v>
      </c>
      <c r="BB252" s="499"/>
      <c r="BC252" s="271"/>
      <c r="BD252" s="279">
        <v>1</v>
      </c>
      <c r="BE252" s="271"/>
      <c r="BF252" s="271"/>
      <c r="BG252" s="271"/>
      <c r="BH252" s="271"/>
      <c r="BI252" s="271"/>
      <c r="BJ252" s="271"/>
      <c r="BK252" s="271"/>
      <c r="BL252" s="271"/>
    </row>
    <row r="253" spans="18:64" ht="21" customHeight="1" x14ac:dyDescent="0.25">
      <c r="R253" s="34" t="s">
        <v>497</v>
      </c>
      <c r="S253" s="451"/>
      <c r="T253" s="32" t="s">
        <v>305</v>
      </c>
      <c r="V253" s="475">
        <f>$V$252</f>
        <v>6</v>
      </c>
      <c r="W253" s="475" t="str">
        <f>IF($AC$253="","",$W$252)</f>
        <v/>
      </c>
      <c r="X253" s="476" t="str">
        <f>IF($AC$253="","",$X$252)</f>
        <v/>
      </c>
      <c r="Y253" s="477" t="str">
        <f>IF($X$253="","",$Y$252)</f>
        <v/>
      </c>
      <c r="Z253" s="477" t="str">
        <f>IF($X$253="","",$Z$252)</f>
        <v/>
      </c>
      <c r="AA253" s="477" t="str">
        <f>IF($AC$253="","",ROW($A$253)-ROW($A$252))</f>
        <v/>
      </c>
      <c r="AB253" s="478"/>
      <c r="AC253" s="34"/>
      <c r="AD253" s="356"/>
      <c r="AE253" s="479"/>
      <c r="AF253" s="475"/>
      <c r="AG253" s="480" t="str">
        <f t="shared" si="64"/>
        <v/>
      </c>
      <c r="AH253" s="481" t="str">
        <f t="shared" si="65"/>
        <v/>
      </c>
      <c r="AI253" s="477" t="str">
        <f>IF($AC$253="","",IFERROR(INDEX($AZ$74:$AZ$119,MATCH($AH$253,$AY$74:$AY$119,0)),"AUTRE"))</f>
        <v/>
      </c>
      <c r="AJ253" s="482" t="str">
        <f>IF($AC$253="","",IFERROR(INDEX($BA$74:$BA$119,MATCH($AH$253,$AY$74:$AY$119,0)),1))</f>
        <v/>
      </c>
      <c r="AK253" s="482" t="str">
        <f t="shared" si="66"/>
        <v/>
      </c>
      <c r="AL253" s="477" t="str">
        <f>IF($AC$253="","",IFERROR(INDEX($BB$74:$BB$119,MATCH($AH$253,$AY$74:$AY$119,0)),$AH$253))</f>
        <v/>
      </c>
      <c r="AM253" s="483" t="str">
        <f t="shared" si="67"/>
        <v/>
      </c>
      <c r="AN253" s="484" t="str">
        <f t="shared" si="68"/>
        <v/>
      </c>
      <c r="AO253" s="473" t="str">
        <f t="shared" si="69"/>
        <v/>
      </c>
      <c r="AP253" s="473" t="str">
        <f t="shared" si="70"/>
        <v/>
      </c>
      <c r="AQ253" s="473" t="str">
        <f t="shared" si="71"/>
        <v/>
      </c>
      <c r="AR253" s="473" t="str">
        <f t="shared" si="72"/>
        <v/>
      </c>
      <c r="AS253" s="473" t="str">
        <f t="shared" si="73"/>
        <v/>
      </c>
      <c r="AT253" s="473" t="str">
        <f t="shared" si="74"/>
        <v/>
      </c>
      <c r="AU253" s="473" t="str">
        <f t="shared" si="75"/>
        <v/>
      </c>
      <c r="AZ253" s="497" t="s">
        <v>8145</v>
      </c>
      <c r="BA253" s="34" t="s">
        <v>473</v>
      </c>
      <c r="BB253" s="499"/>
      <c r="BC253" s="271"/>
      <c r="BD253" s="279">
        <v>1</v>
      </c>
      <c r="BE253" s="271"/>
      <c r="BF253" s="271"/>
      <c r="BG253" s="271"/>
      <c r="BH253" s="271"/>
      <c r="BI253" s="271"/>
      <c r="BJ253" s="271"/>
      <c r="BK253" s="271"/>
      <c r="BL253" s="271"/>
    </row>
    <row r="254" spans="18:64" ht="21" customHeight="1" x14ac:dyDescent="0.25">
      <c r="R254" s="34" t="s">
        <v>470</v>
      </c>
      <c r="S254" s="451"/>
      <c r="T254" s="32" t="s">
        <v>309</v>
      </c>
      <c r="V254" s="475">
        <v>6</v>
      </c>
      <c r="W254" s="475" t="str">
        <f>IF($AC$254="","",$W$252)</f>
        <v/>
      </c>
      <c r="X254" s="476" t="str">
        <f>IF($AC$254="","",$X$252)</f>
        <v/>
      </c>
      <c r="Y254" s="477" t="str">
        <f>IF($X$254="","",$Y$252)</f>
        <v/>
      </c>
      <c r="Z254" s="477" t="str">
        <f>IF($X$254="","",$Z$252)</f>
        <v/>
      </c>
      <c r="AA254" s="477" t="str">
        <f>IF($AC$254="","",ROW($A$254)-ROW($A$252))</f>
        <v/>
      </c>
      <c r="AB254" s="478"/>
      <c r="AC254" s="34"/>
      <c r="AD254" s="356"/>
      <c r="AE254" s="479"/>
      <c r="AF254" s="475"/>
      <c r="AG254" s="480" t="str">
        <f t="shared" si="64"/>
        <v/>
      </c>
      <c r="AH254" s="481" t="str">
        <f t="shared" si="65"/>
        <v/>
      </c>
      <c r="AI254" s="477" t="str">
        <f>IF($AC$254="","",IFERROR(INDEX($AZ$74:$AZ$119,MATCH($AH$254,$AY$74:$AY$119,0)),"AUTRE"))</f>
        <v/>
      </c>
      <c r="AJ254" s="482" t="str">
        <f>IF($AC$254="","",IFERROR(INDEX($BA$74:$BA$119,MATCH($AH$254,$AY$74:$AY$119,0)),1))</f>
        <v/>
      </c>
      <c r="AK254" s="482" t="str">
        <f t="shared" si="66"/>
        <v/>
      </c>
      <c r="AL254" s="477" t="str">
        <f>IF($AC$254="","",IFERROR(INDEX($BB$74:$BB$119,MATCH($AH$254,$AY$74:$AY$119,0)),$AH$254))</f>
        <v/>
      </c>
      <c r="AM254" s="483" t="str">
        <f t="shared" si="67"/>
        <v/>
      </c>
      <c r="AN254" s="484" t="str">
        <f t="shared" si="68"/>
        <v/>
      </c>
      <c r="AO254" s="473" t="str">
        <f t="shared" si="69"/>
        <v/>
      </c>
      <c r="AP254" s="473" t="str">
        <f t="shared" si="70"/>
        <v/>
      </c>
      <c r="AQ254" s="473" t="str">
        <f t="shared" si="71"/>
        <v/>
      </c>
      <c r="AR254" s="473" t="str">
        <f t="shared" si="72"/>
        <v/>
      </c>
      <c r="AS254" s="473" t="str">
        <f t="shared" si="73"/>
        <v/>
      </c>
      <c r="AT254" s="473" t="str">
        <f t="shared" si="74"/>
        <v/>
      </c>
      <c r="AU254" s="473" t="str">
        <f t="shared" si="75"/>
        <v/>
      </c>
      <c r="AZ254" s="497" t="s">
        <v>462</v>
      </c>
      <c r="BA254" s="34" t="s">
        <v>497</v>
      </c>
      <c r="BB254" s="499"/>
      <c r="BC254" s="271"/>
      <c r="BD254" s="279">
        <v>1</v>
      </c>
      <c r="BE254" s="271"/>
      <c r="BF254" s="271"/>
      <c r="BG254" s="271"/>
      <c r="BH254" s="271"/>
      <c r="BI254" s="271"/>
      <c r="BJ254" s="271"/>
      <c r="BK254" s="271"/>
      <c r="BL254" s="271"/>
    </row>
    <row r="255" spans="18:64" ht="21" customHeight="1" x14ac:dyDescent="0.25">
      <c r="R255" s="34" t="s">
        <v>477</v>
      </c>
      <c r="S255" s="451"/>
      <c r="T255" s="32" t="s">
        <v>311</v>
      </c>
      <c r="V255" s="475">
        <v>6</v>
      </c>
      <c r="W255" s="475" t="str">
        <f>IF($AC$255="","",$W$252)</f>
        <v/>
      </c>
      <c r="X255" s="476" t="str">
        <f>IF($AC$255="","",$X$252)</f>
        <v/>
      </c>
      <c r="Y255" s="477" t="str">
        <f>IF($X$255="","",$Y$252)</f>
        <v/>
      </c>
      <c r="Z255" s="477" t="str">
        <f>IF($X$255="","",$Z$252)</f>
        <v/>
      </c>
      <c r="AA255" s="477" t="str">
        <f>IF($AC$255="","",ROW($A$255)-ROW($A$252))</f>
        <v/>
      </c>
      <c r="AB255" s="478"/>
      <c r="AC255" s="34"/>
      <c r="AD255" s="356"/>
      <c r="AE255" s="479"/>
      <c r="AF255" s="475"/>
      <c r="AG255" s="480" t="str">
        <f t="shared" si="64"/>
        <v/>
      </c>
      <c r="AH255" s="481" t="str">
        <f t="shared" si="65"/>
        <v/>
      </c>
      <c r="AI255" s="477" t="str">
        <f>IF($AC$255="","",IFERROR(INDEX($AZ$74:$AZ$119,MATCH($AH$255,$AY$74:$AY$119,0)),"AUTRE"))</f>
        <v/>
      </c>
      <c r="AJ255" s="482" t="str">
        <f>IF($AC$255="","",IFERROR(INDEX($BA$74:$BA$119,MATCH($AH$255,$AY$74:$AY$119,0)),1))</f>
        <v/>
      </c>
      <c r="AK255" s="482" t="str">
        <f t="shared" si="66"/>
        <v/>
      </c>
      <c r="AL255" s="477" t="str">
        <f>IF($AC$255="","",IFERROR(INDEX($BB$74:$BB$119,MATCH($AH$255,$AY$74:$AY$119,0)),$AH$255))</f>
        <v/>
      </c>
      <c r="AM255" s="483" t="str">
        <f t="shared" si="67"/>
        <v/>
      </c>
      <c r="AN255" s="484" t="str">
        <f t="shared" si="68"/>
        <v/>
      </c>
      <c r="AO255" s="473" t="str">
        <f t="shared" si="69"/>
        <v/>
      </c>
      <c r="AP255" s="473" t="str">
        <f t="shared" si="70"/>
        <v/>
      </c>
      <c r="AQ255" s="473" t="str">
        <f t="shared" si="71"/>
        <v/>
      </c>
      <c r="AR255" s="473" t="str">
        <f t="shared" si="72"/>
        <v/>
      </c>
      <c r="AS255" s="473" t="str">
        <f t="shared" si="73"/>
        <v/>
      </c>
      <c r="AT255" s="473" t="str">
        <f t="shared" si="74"/>
        <v/>
      </c>
      <c r="AU255" s="473" t="str">
        <f t="shared" si="75"/>
        <v/>
      </c>
      <c r="AZ255" s="497" t="s">
        <v>463</v>
      </c>
      <c r="BA255" s="34" t="s">
        <v>470</v>
      </c>
      <c r="BB255" s="499"/>
      <c r="BC255" s="271"/>
      <c r="BD255" s="279">
        <v>1</v>
      </c>
      <c r="BE255" s="271"/>
      <c r="BF255" s="271"/>
      <c r="BG255" s="271"/>
      <c r="BH255" s="271"/>
      <c r="BI255" s="271"/>
      <c r="BJ255" s="271"/>
      <c r="BK255" s="271"/>
      <c r="BL255" s="271"/>
    </row>
    <row r="256" spans="18:64" ht="21" customHeight="1" x14ac:dyDescent="0.25">
      <c r="S256" s="451"/>
      <c r="T256" s="32" t="s">
        <v>8135</v>
      </c>
      <c r="V256" s="475">
        <v>6</v>
      </c>
      <c r="W256" s="475" t="str">
        <f>IF($AC$256="","",$W$252)</f>
        <v/>
      </c>
      <c r="X256" s="476" t="str">
        <f>IF($AC$256="","",$X$252)</f>
        <v/>
      </c>
      <c r="Y256" s="477" t="str">
        <f>IF($X$256="","",$Y$252)</f>
        <v/>
      </c>
      <c r="Z256" s="477" t="str">
        <f>IF($X$256="","",$Z$252)</f>
        <v/>
      </c>
      <c r="AA256" s="477" t="str">
        <f>IF($AC$256="","",ROW($A$256)-ROW($A$252))</f>
        <v/>
      </c>
      <c r="AB256" s="478"/>
      <c r="AC256" s="34"/>
      <c r="AD256" s="356"/>
      <c r="AE256" s="479"/>
      <c r="AF256" s="475"/>
      <c r="AG256" s="480" t="str">
        <f t="shared" si="64"/>
        <v/>
      </c>
      <c r="AH256" s="481" t="str">
        <f t="shared" si="65"/>
        <v/>
      </c>
      <c r="AI256" s="477" t="str">
        <f>IF($AC$256="","",IFERROR(INDEX($AZ$74:$AZ$119,MATCH($AH$256,$AY$74:$AY$119,0)),"AUTRE"))</f>
        <v/>
      </c>
      <c r="AJ256" s="482" t="str">
        <f>IF($AC$256="","",IFERROR(INDEX($BA$74:$BA$119,MATCH($AH$256,$AY$74:$AY$119,0)),1))</f>
        <v/>
      </c>
      <c r="AK256" s="482" t="str">
        <f t="shared" si="66"/>
        <v/>
      </c>
      <c r="AL256" s="477" t="str">
        <f>IF($AC$256="","",IFERROR(INDEX($BB$74:$BB$119,MATCH($AH$256,$AY$74:$AY$119,0)),$AH$256))</f>
        <v/>
      </c>
      <c r="AM256" s="483" t="str">
        <f t="shared" si="67"/>
        <v/>
      </c>
      <c r="AN256" s="484" t="str">
        <f t="shared" si="68"/>
        <v/>
      </c>
      <c r="AO256" s="473" t="str">
        <f t="shared" si="69"/>
        <v/>
      </c>
      <c r="AP256" s="473" t="str">
        <f t="shared" si="70"/>
        <v/>
      </c>
      <c r="AQ256" s="473" t="str">
        <f t="shared" si="71"/>
        <v/>
      </c>
      <c r="AR256" s="473" t="str">
        <f t="shared" si="72"/>
        <v/>
      </c>
      <c r="AS256" s="473" t="str">
        <f t="shared" si="73"/>
        <v/>
      </c>
      <c r="AT256" s="473" t="str">
        <f t="shared" si="74"/>
        <v/>
      </c>
      <c r="AU256" s="473" t="str">
        <f t="shared" si="75"/>
        <v/>
      </c>
      <c r="AZ256" s="497" t="s">
        <v>8147</v>
      </c>
      <c r="BA256" s="34" t="s">
        <v>477</v>
      </c>
      <c r="BB256" s="499"/>
      <c r="BC256" s="271"/>
      <c r="BD256" s="279">
        <v>1</v>
      </c>
      <c r="BE256" s="271"/>
      <c r="BF256" s="271"/>
      <c r="BG256" s="271"/>
      <c r="BH256" s="271"/>
      <c r="BI256" s="271"/>
      <c r="BJ256" s="271"/>
      <c r="BK256" s="271"/>
      <c r="BL256" s="271"/>
    </row>
    <row r="257" spans="18:64" ht="21" customHeight="1" x14ac:dyDescent="0.25">
      <c r="R257" s="25" t="s">
        <v>6134</v>
      </c>
      <c r="S257" s="451"/>
      <c r="T257" s="497" t="s">
        <v>462</v>
      </c>
      <c r="V257" s="475">
        <v>6</v>
      </c>
      <c r="W257" s="475" t="str">
        <f>IF($AC$257="","",$W$252)</f>
        <v/>
      </c>
      <c r="X257" s="476" t="str">
        <f>IF($AC$257="","",$X$252)</f>
        <v/>
      </c>
      <c r="Y257" s="477" t="str">
        <f>IF($X$257="","",$Y$252)</f>
        <v/>
      </c>
      <c r="Z257" s="477" t="str">
        <f>IF($X$257="","",$Z$252)</f>
        <v/>
      </c>
      <c r="AA257" s="477" t="str">
        <f>IF($AC$257="","",ROW($A$257)-ROW($A$252))</f>
        <v/>
      </c>
      <c r="AB257" s="478"/>
      <c r="AC257" s="34"/>
      <c r="AD257" s="356"/>
      <c r="AE257" s="479"/>
      <c r="AF257" s="475"/>
      <c r="AG257" s="480" t="str">
        <f t="shared" si="64"/>
        <v/>
      </c>
      <c r="AH257" s="481" t="str">
        <f t="shared" si="65"/>
        <v/>
      </c>
      <c r="AI257" s="477" t="str">
        <f>IF($AC$257="","",IFERROR(INDEX($AZ$74:$AZ$119,MATCH($AH$257,$AY$74:$AY$119,0)),"AUTRE"))</f>
        <v/>
      </c>
      <c r="AJ257" s="482" t="str">
        <f>IF($AC$257="","",IFERROR(INDEX($BA$74:$BA$119,MATCH($AH$257,$AY$74:$AY$119,0)),1))</f>
        <v/>
      </c>
      <c r="AK257" s="482" t="str">
        <f t="shared" si="66"/>
        <v/>
      </c>
      <c r="AL257" s="477" t="str">
        <f>IF($AC$257="","",IFERROR(INDEX($BB$74:$BB$119,MATCH($AH$257,$AY$74:$AY$119,0)),$AH$257))</f>
        <v/>
      </c>
      <c r="AM257" s="483" t="str">
        <f t="shared" si="67"/>
        <v/>
      </c>
      <c r="AN257" s="484" t="str">
        <f t="shared" si="68"/>
        <v/>
      </c>
      <c r="AO257" s="473" t="str">
        <f t="shared" si="69"/>
        <v/>
      </c>
      <c r="AP257" s="473" t="str">
        <f t="shared" si="70"/>
        <v/>
      </c>
      <c r="AQ257" s="473" t="str">
        <f t="shared" si="71"/>
        <v/>
      </c>
      <c r="AR257" s="473" t="str">
        <f t="shared" si="72"/>
        <v/>
      </c>
      <c r="AS257" s="473" t="str">
        <f t="shared" si="73"/>
        <v/>
      </c>
      <c r="AT257" s="473" t="str">
        <f t="shared" si="74"/>
        <v/>
      </c>
      <c r="AU257" s="473" t="str">
        <f t="shared" si="75"/>
        <v/>
      </c>
      <c r="AZ257" s="497" t="s">
        <v>465</v>
      </c>
      <c r="BB257" s="499"/>
      <c r="BC257" s="271"/>
      <c r="BD257" s="279">
        <v>1</v>
      </c>
      <c r="BE257" s="271"/>
      <c r="BF257" s="271"/>
      <c r="BG257" s="271"/>
      <c r="BH257" s="271"/>
      <c r="BI257" s="271"/>
      <c r="BJ257" s="271"/>
      <c r="BK257" s="271"/>
      <c r="BL257" s="271"/>
    </row>
    <row r="258" spans="18:64" ht="21" customHeight="1" x14ac:dyDescent="0.25">
      <c r="R258" s="34" t="s">
        <v>481</v>
      </c>
      <c r="S258" s="451"/>
      <c r="T258" s="497" t="s">
        <v>463</v>
      </c>
      <c r="V258" s="475">
        <v>6</v>
      </c>
      <c r="W258" s="475" t="str">
        <f>IF($AC$258="","",$W$252)</f>
        <v/>
      </c>
      <c r="X258" s="476" t="str">
        <f>IF($AC$258="","",$X$252)</f>
        <v/>
      </c>
      <c r="Y258" s="477" t="str">
        <f>IF($X$258="","",$Y$252)</f>
        <v/>
      </c>
      <c r="Z258" s="477" t="str">
        <f>IF($X$258="","",$Z$252)</f>
        <v/>
      </c>
      <c r="AA258" s="477" t="str">
        <f>IF($AC$258="","",ROW($A$258)-ROW($A$252))</f>
        <v/>
      </c>
      <c r="AB258" s="478"/>
      <c r="AC258" s="34"/>
      <c r="AD258" s="356"/>
      <c r="AE258" s="479"/>
      <c r="AF258" s="475"/>
      <c r="AG258" s="480" t="str">
        <f t="shared" si="64"/>
        <v/>
      </c>
      <c r="AH258" s="481" t="str">
        <f t="shared" si="65"/>
        <v/>
      </c>
      <c r="AI258" s="477" t="str">
        <f>IF($AC$258="","",IFERROR(INDEX($AZ$74:$AZ$119,MATCH($AH$258,$AY$74:$AY$119,0)),"AUTRE"))</f>
        <v/>
      </c>
      <c r="AJ258" s="482" t="str">
        <f>IF($AC$258="","",IFERROR(INDEX($BA$74:$BA$119,MATCH($AH$258,$AY$74:$AY$119,0)),1))</f>
        <v/>
      </c>
      <c r="AK258" s="482" t="str">
        <f t="shared" si="66"/>
        <v/>
      </c>
      <c r="AL258" s="477" t="str">
        <f>IF($AC$258="","",IFERROR(INDEX($BB$74:$BB$119,MATCH($AH$258,$AY$74:$AY$119,0)),$AH$258))</f>
        <v/>
      </c>
      <c r="AM258" s="483" t="str">
        <f t="shared" si="67"/>
        <v/>
      </c>
      <c r="AN258" s="484" t="str">
        <f t="shared" si="68"/>
        <v/>
      </c>
      <c r="AO258" s="473" t="str">
        <f t="shared" si="69"/>
        <v/>
      </c>
      <c r="AP258" s="473" t="str">
        <f t="shared" si="70"/>
        <v/>
      </c>
      <c r="AQ258" s="473" t="str">
        <f t="shared" si="71"/>
        <v/>
      </c>
      <c r="AR258" s="473" t="str">
        <f t="shared" si="72"/>
        <v/>
      </c>
      <c r="AS258" s="473" t="str">
        <f t="shared" si="73"/>
        <v/>
      </c>
      <c r="AT258" s="473" t="str">
        <f t="shared" si="74"/>
        <v/>
      </c>
      <c r="AU258" s="473" t="str">
        <f t="shared" si="75"/>
        <v/>
      </c>
      <c r="AZ258" s="497" t="s">
        <v>466</v>
      </c>
      <c r="BA258" s="25" t="s">
        <v>6134</v>
      </c>
      <c r="BB258" s="499"/>
      <c r="BC258" s="271"/>
      <c r="BD258" s="279">
        <v>1</v>
      </c>
      <c r="BE258" s="271"/>
      <c r="BF258" s="271"/>
      <c r="BG258" s="271"/>
      <c r="BH258" s="271"/>
      <c r="BI258" s="271"/>
      <c r="BJ258" s="271"/>
      <c r="BK258" s="271"/>
      <c r="BL258" s="271"/>
    </row>
    <row r="259" spans="18:64" ht="21" customHeight="1" x14ac:dyDescent="0.25">
      <c r="R259" s="34" t="s">
        <v>475</v>
      </c>
      <c r="S259" s="451"/>
      <c r="T259" s="497" t="s">
        <v>8147</v>
      </c>
      <c r="V259" s="475">
        <v>6</v>
      </c>
      <c r="W259" s="475" t="str">
        <f>IF($AC$259="","",$W$252)</f>
        <v/>
      </c>
      <c r="X259" s="476" t="str">
        <f>IF($AC$259="","",$X$252)</f>
        <v/>
      </c>
      <c r="Y259" s="477" t="str">
        <f>IF($X$259="","",$Y$252)</f>
        <v/>
      </c>
      <c r="Z259" s="477" t="str">
        <f>IF($X$259="","",$Z$252)</f>
        <v/>
      </c>
      <c r="AA259" s="477" t="str">
        <f>IF($AC$259="","",ROW($A$259)-ROW($A$252))</f>
        <v/>
      </c>
      <c r="AB259" s="478"/>
      <c r="AC259" s="34"/>
      <c r="AD259" s="356"/>
      <c r="AE259" s="479"/>
      <c r="AF259" s="475"/>
      <c r="AG259" s="480" t="str">
        <f t="shared" si="64"/>
        <v/>
      </c>
      <c r="AH259" s="481" t="str">
        <f t="shared" si="65"/>
        <v/>
      </c>
      <c r="AI259" s="477" t="str">
        <f>IF($AC$259="","",IFERROR(INDEX($AZ$74:$AZ$119,MATCH($AH$259,$AY$74:$AY$119,0)),"AUTRE"))</f>
        <v/>
      </c>
      <c r="AJ259" s="482" t="str">
        <f>IF($AC$259="","",IFERROR(INDEX($BA$74:$BA$119,MATCH($AH$259,$AY$74:$AY$119,0)),1))</f>
        <v/>
      </c>
      <c r="AK259" s="482" t="str">
        <f t="shared" si="66"/>
        <v/>
      </c>
      <c r="AL259" s="477" t="str">
        <f>IF($AC$259="","",IFERROR(INDEX($BB$74:$BB$119,MATCH($AH$259,$AY$74:$AY$119,0)),$AH$259))</f>
        <v/>
      </c>
      <c r="AM259" s="483" t="str">
        <f t="shared" si="67"/>
        <v/>
      </c>
      <c r="AN259" s="484" t="str">
        <f t="shared" si="68"/>
        <v/>
      </c>
      <c r="AO259" s="473" t="str">
        <f t="shared" si="69"/>
        <v/>
      </c>
      <c r="AP259" s="473" t="str">
        <f t="shared" si="70"/>
        <v/>
      </c>
      <c r="AQ259" s="473" t="str">
        <f t="shared" si="71"/>
        <v/>
      </c>
      <c r="AR259" s="473" t="str">
        <f t="shared" si="72"/>
        <v/>
      </c>
      <c r="AS259" s="473" t="str">
        <f t="shared" si="73"/>
        <v/>
      </c>
      <c r="AT259" s="473" t="str">
        <f t="shared" si="74"/>
        <v/>
      </c>
      <c r="AU259" s="473" t="str">
        <f t="shared" si="75"/>
        <v/>
      </c>
      <c r="AZ259" s="14" t="s">
        <v>7</v>
      </c>
      <c r="BA259" s="34" t="s">
        <v>481</v>
      </c>
      <c r="BB259" s="499"/>
      <c r="BC259" s="271"/>
      <c r="BD259" s="279">
        <v>1</v>
      </c>
      <c r="BE259" s="271"/>
      <c r="BF259" s="271"/>
      <c r="BG259" s="271"/>
      <c r="BH259" s="271"/>
      <c r="BI259" s="271"/>
      <c r="BJ259" s="271"/>
      <c r="BK259" s="271"/>
      <c r="BL259" s="271"/>
    </row>
    <row r="260" spans="18:64" ht="21" customHeight="1" x14ac:dyDescent="0.25">
      <c r="R260" s="34" t="s">
        <v>457</v>
      </c>
      <c r="S260" s="451"/>
      <c r="T260" s="497" t="s">
        <v>465</v>
      </c>
      <c r="V260" s="475">
        <v>6</v>
      </c>
      <c r="W260" s="475" t="str">
        <f>IF($AC$260="","",$W$252)</f>
        <v/>
      </c>
      <c r="X260" s="476" t="str">
        <f>IF($AC$260="","",$X$252)</f>
        <v/>
      </c>
      <c r="Y260" s="477" t="str">
        <f>IF($X$260="","",$Y$252)</f>
        <v/>
      </c>
      <c r="Z260" s="477" t="str">
        <f>IF($X$260="","",$Z$252)</f>
        <v/>
      </c>
      <c r="AA260" s="477" t="str">
        <f>IF($AC$260="","",ROW($A$260)-ROW($A$252))</f>
        <v/>
      </c>
      <c r="AB260" s="478"/>
      <c r="AC260" s="34"/>
      <c r="AD260" s="356"/>
      <c r="AE260" s="479"/>
      <c r="AF260" s="475"/>
      <c r="AG260" s="480" t="str">
        <f t="shared" si="64"/>
        <v/>
      </c>
      <c r="AH260" s="481" t="str">
        <f t="shared" si="65"/>
        <v/>
      </c>
      <c r="AI260" s="477" t="str">
        <f>IF($AC$260="","",IFERROR(INDEX($AZ$74:$AZ$119,MATCH($AH$260,$AY$74:$AY$119,0)),"AUTRE"))</f>
        <v/>
      </c>
      <c r="AJ260" s="482" t="str">
        <f>IF($AC$260="","",IFERROR(INDEX($BA$74:$BA$119,MATCH($AH$260,$AY$74:$AY$119,0)),1))</f>
        <v/>
      </c>
      <c r="AK260" s="482" t="str">
        <f t="shared" si="66"/>
        <v/>
      </c>
      <c r="AL260" s="477" t="str">
        <f>IF($AC$260="","",IFERROR(INDEX($BB$74:$BB$119,MATCH($AH$260,$AY$74:$AY$119,0)),$AH$260))</f>
        <v/>
      </c>
      <c r="AM260" s="483" t="str">
        <f t="shared" si="67"/>
        <v/>
      </c>
      <c r="AN260" s="484" t="str">
        <f t="shared" si="68"/>
        <v/>
      </c>
      <c r="AO260" s="473" t="str">
        <f t="shared" si="69"/>
        <v/>
      </c>
      <c r="AP260" s="473" t="str">
        <f t="shared" si="70"/>
        <v/>
      </c>
      <c r="AQ260" s="473" t="str">
        <f t="shared" si="71"/>
        <v/>
      </c>
      <c r="AR260" s="473" t="str">
        <f t="shared" si="72"/>
        <v/>
      </c>
      <c r="AS260" s="473" t="str">
        <f t="shared" si="73"/>
        <v/>
      </c>
      <c r="AT260" s="473" t="str">
        <f t="shared" si="74"/>
        <v/>
      </c>
      <c r="AU260" s="473" t="str">
        <f t="shared" si="75"/>
        <v/>
      </c>
      <c r="AZ260" s="27" t="s">
        <v>8</v>
      </c>
      <c r="BA260" s="34" t="s">
        <v>475</v>
      </c>
      <c r="BB260" s="499"/>
      <c r="BC260" s="271"/>
      <c r="BD260" s="279">
        <v>1</v>
      </c>
      <c r="BE260" s="271"/>
      <c r="BF260" s="271"/>
      <c r="BG260" s="271"/>
      <c r="BH260" s="271"/>
      <c r="BI260" s="271"/>
      <c r="BJ260" s="271"/>
      <c r="BK260" s="271"/>
      <c r="BL260" s="271"/>
    </row>
    <row r="261" spans="18:64" ht="21" customHeight="1" x14ac:dyDescent="0.25">
      <c r="R261" s="34" t="s">
        <v>482</v>
      </c>
      <c r="S261" s="451"/>
      <c r="T261" s="497" t="s">
        <v>466</v>
      </c>
      <c r="V261" s="475">
        <v>6</v>
      </c>
      <c r="W261" s="475" t="str">
        <f>IF($AC$261="","",$W$252)</f>
        <v/>
      </c>
      <c r="X261" s="476" t="str">
        <f>IF($AC$261="","",$X$252)</f>
        <v/>
      </c>
      <c r="Y261" s="477" t="str">
        <f>IF($X$261="","",$Y$252)</f>
        <v/>
      </c>
      <c r="Z261" s="477" t="str">
        <f>IF($X$261="","",$Z$252)</f>
        <v/>
      </c>
      <c r="AA261" s="477" t="str">
        <f>IF($AC$261="","",ROW($A$261)-ROW($A$252))</f>
        <v/>
      </c>
      <c r="AB261" s="478"/>
      <c r="AC261" s="34"/>
      <c r="AD261" s="356"/>
      <c r="AE261" s="479"/>
      <c r="AF261" s="475"/>
      <c r="AG261" s="480" t="str">
        <f t="shared" si="64"/>
        <v/>
      </c>
      <c r="AH261" s="481" t="str">
        <f t="shared" si="65"/>
        <v/>
      </c>
      <c r="AI261" s="477" t="str">
        <f>IF($AC$261="","",IFERROR(INDEX($AZ$74:$AZ$119,MATCH($AH$261,$AY$74:$AY$119,0)),"AUTRE"))</f>
        <v/>
      </c>
      <c r="AJ261" s="482" t="str">
        <f>IF($AC$261="","",IFERROR(INDEX($BA$74:$BA$119,MATCH($AH$261,$AY$74:$AY$119,0)),1))</f>
        <v/>
      </c>
      <c r="AK261" s="482" t="str">
        <f t="shared" si="66"/>
        <v/>
      </c>
      <c r="AL261" s="477" t="str">
        <f>IF($AC$261="","",IFERROR(INDEX($BB$74:$BB$119,MATCH($AH$261,$AY$74:$AY$119,0)),$AH$261))</f>
        <v/>
      </c>
      <c r="AM261" s="483" t="str">
        <f t="shared" si="67"/>
        <v/>
      </c>
      <c r="AN261" s="484" t="str">
        <f t="shared" si="68"/>
        <v/>
      </c>
      <c r="AO261" s="473" t="str">
        <f t="shared" si="69"/>
        <v/>
      </c>
      <c r="AP261" s="473" t="str">
        <f t="shared" si="70"/>
        <v/>
      </c>
      <c r="AQ261" s="473" t="str">
        <f t="shared" si="71"/>
        <v/>
      </c>
      <c r="AR261" s="473" t="str">
        <f t="shared" si="72"/>
        <v/>
      </c>
      <c r="AS261" s="473" t="str">
        <f t="shared" si="73"/>
        <v/>
      </c>
      <c r="AT261" s="473" t="str">
        <f t="shared" si="74"/>
        <v/>
      </c>
      <c r="AU261" s="473" t="str">
        <f t="shared" si="75"/>
        <v/>
      </c>
      <c r="AZ261" s="28" t="s">
        <v>13</v>
      </c>
      <c r="BA261" s="34" t="s">
        <v>457</v>
      </c>
      <c r="BB261" s="499"/>
      <c r="BC261" s="271"/>
      <c r="BD261" s="279">
        <v>1</v>
      </c>
      <c r="BE261" s="271"/>
      <c r="BF261" s="271"/>
      <c r="BG261" s="271"/>
      <c r="BH261" s="271"/>
      <c r="BI261" s="271"/>
      <c r="BJ261" s="271"/>
      <c r="BK261" s="271"/>
      <c r="BL261" s="271"/>
    </row>
    <row r="262" spans="18:64" ht="21" customHeight="1" x14ac:dyDescent="0.25">
      <c r="R262" s="34" t="s">
        <v>496</v>
      </c>
      <c r="S262" s="451"/>
      <c r="T262" s="440" t="s">
        <v>8110</v>
      </c>
      <c r="V262" s="475">
        <v>6</v>
      </c>
      <c r="W262" s="475" t="str">
        <f>IF($AC$262="","",$W$252)</f>
        <v/>
      </c>
      <c r="X262" s="476" t="str">
        <f>IF($AC$262="","",$X$252)</f>
        <v/>
      </c>
      <c r="Y262" s="477" t="str">
        <f>IF($X$262="","",$Y$252)</f>
        <v/>
      </c>
      <c r="Z262" s="477" t="str">
        <f>IF($X$262="","",$Z$252)</f>
        <v/>
      </c>
      <c r="AA262" s="477" t="str">
        <f>IF($AC$262="","",ROW($A$262)-ROW($A$252))</f>
        <v/>
      </c>
      <c r="AB262" s="478"/>
      <c r="AC262" s="34"/>
      <c r="AD262" s="356"/>
      <c r="AE262" s="479"/>
      <c r="AF262" s="475"/>
      <c r="AG262" s="480" t="str">
        <f t="shared" si="64"/>
        <v/>
      </c>
      <c r="AH262" s="481" t="str">
        <f t="shared" si="65"/>
        <v/>
      </c>
      <c r="AI262" s="477" t="str">
        <f>IF($AC$262="","",IFERROR(INDEX($AZ$74:$AZ$119,MATCH($AH$262,$AY$74:$AY$119,0)),"AUTRE"))</f>
        <v/>
      </c>
      <c r="AJ262" s="482" t="str">
        <f>IF($AC$262="","",IFERROR(INDEX($BA$74:$BA$119,MATCH($AH$262,$AY$74:$AY$119,0)),1))</f>
        <v/>
      </c>
      <c r="AK262" s="482" t="str">
        <f t="shared" si="66"/>
        <v/>
      </c>
      <c r="AL262" s="477" t="str">
        <f>IF($AC$262="","",IFERROR(INDEX($BB$74:$BB$119,MATCH($AH$262,$AY$74:$AY$119,0)),$AH$262))</f>
        <v/>
      </c>
      <c r="AM262" s="483" t="str">
        <f t="shared" si="67"/>
        <v/>
      </c>
      <c r="AN262" s="484" t="str">
        <f t="shared" si="68"/>
        <v/>
      </c>
      <c r="AO262" s="473" t="str">
        <f t="shared" si="69"/>
        <v/>
      </c>
      <c r="AP262" s="473" t="str">
        <f t="shared" si="70"/>
        <v/>
      </c>
      <c r="AQ262" s="473" t="str">
        <f t="shared" si="71"/>
        <v/>
      </c>
      <c r="AR262" s="473" t="str">
        <f t="shared" si="72"/>
        <v/>
      </c>
      <c r="AS262" s="473" t="str">
        <f t="shared" si="73"/>
        <v/>
      </c>
      <c r="AT262" s="473" t="str">
        <f t="shared" si="74"/>
        <v/>
      </c>
      <c r="AU262" s="473" t="str">
        <f t="shared" si="75"/>
        <v/>
      </c>
      <c r="AZ262" s="28" t="s">
        <v>14</v>
      </c>
      <c r="BA262" s="34" t="s">
        <v>482</v>
      </c>
      <c r="BB262" s="499"/>
      <c r="BC262" s="271"/>
      <c r="BD262" s="279">
        <v>1</v>
      </c>
      <c r="BE262" s="271"/>
      <c r="BF262" s="271"/>
      <c r="BG262" s="271"/>
      <c r="BH262" s="271"/>
      <c r="BI262" s="271"/>
      <c r="BJ262" s="271"/>
      <c r="BK262" s="271"/>
      <c r="BL262" s="271"/>
    </row>
    <row r="263" spans="18:64" ht="21" customHeight="1" x14ac:dyDescent="0.25">
      <c r="R263" s="34" t="s">
        <v>483</v>
      </c>
      <c r="S263" s="451"/>
      <c r="T263" s="452" t="s">
        <v>8113</v>
      </c>
      <c r="V263" s="475">
        <v>6</v>
      </c>
      <c r="W263" s="475" t="str">
        <f>IF($AC$263="","",$W$252)</f>
        <v/>
      </c>
      <c r="X263" s="476" t="str">
        <f>IF($AC$263="","",$X$252)</f>
        <v/>
      </c>
      <c r="Y263" s="477" t="str">
        <f>IF($X$263="","",$Y$252)</f>
        <v/>
      </c>
      <c r="Z263" s="477" t="str">
        <f>IF($X$263="","",$Z$252)</f>
        <v/>
      </c>
      <c r="AA263" s="477" t="str">
        <f>IF($AC$263="","",ROW($A$263)-ROW($A$252))</f>
        <v/>
      </c>
      <c r="AB263" s="478"/>
      <c r="AC263" s="34"/>
      <c r="AD263" s="356"/>
      <c r="AE263" s="479"/>
      <c r="AF263" s="475"/>
      <c r="AG263" s="480" t="str">
        <f t="shared" si="64"/>
        <v/>
      </c>
      <c r="AH263" s="481" t="str">
        <f t="shared" si="65"/>
        <v/>
      </c>
      <c r="AI263" s="477" t="str">
        <f>IF($AC$263="","",IFERROR(INDEX($AZ$74:$AZ$119,MATCH($AH$263,$AY$74:$AY$119,0)),"AUTRE"))</f>
        <v/>
      </c>
      <c r="AJ263" s="482" t="str">
        <f>IF($AC$263="","",IFERROR(INDEX($BA$74:$BA$119,MATCH($AH$263,$AY$74:$AY$119,0)),1))</f>
        <v/>
      </c>
      <c r="AK263" s="482" t="str">
        <f t="shared" si="66"/>
        <v/>
      </c>
      <c r="AL263" s="477" t="str">
        <f>IF($AC$263="","",IFERROR(INDEX($BB$74:$BB$119,MATCH($AH$263,$AY$74:$AY$119,0)),$AH$263))</f>
        <v/>
      </c>
      <c r="AM263" s="483" t="str">
        <f t="shared" si="67"/>
        <v/>
      </c>
      <c r="AN263" s="484" t="str">
        <f t="shared" si="68"/>
        <v/>
      </c>
      <c r="AO263" s="473" t="str">
        <f t="shared" si="69"/>
        <v/>
      </c>
      <c r="AP263" s="473" t="str">
        <f t="shared" si="70"/>
        <v/>
      </c>
      <c r="AQ263" s="473" t="str">
        <f t="shared" si="71"/>
        <v/>
      </c>
      <c r="AR263" s="473" t="str">
        <f t="shared" si="72"/>
        <v/>
      </c>
      <c r="AS263" s="473" t="str">
        <f t="shared" si="73"/>
        <v/>
      </c>
      <c r="AT263" s="473" t="str">
        <f t="shared" si="74"/>
        <v/>
      </c>
      <c r="AU263" s="473" t="str">
        <f t="shared" si="75"/>
        <v/>
      </c>
      <c r="AZ263" s="28" t="s">
        <v>15</v>
      </c>
      <c r="BA263" s="34" t="s">
        <v>496</v>
      </c>
      <c r="BB263" s="499"/>
      <c r="BC263" s="271"/>
      <c r="BD263" s="279">
        <v>1</v>
      </c>
      <c r="BE263" s="271"/>
      <c r="BF263" s="271"/>
      <c r="BG263" s="271"/>
      <c r="BH263" s="271"/>
      <c r="BI263" s="271"/>
      <c r="BJ263" s="271"/>
      <c r="BK263" s="271"/>
      <c r="BL263" s="271"/>
    </row>
    <row r="264" spans="18:64" ht="21" customHeight="1" x14ac:dyDescent="0.25">
      <c r="R264" s="34" t="s">
        <v>493</v>
      </c>
      <c r="S264" s="451"/>
      <c r="T264" s="14" t="s">
        <v>7</v>
      </c>
      <c r="V264" s="475">
        <v>6</v>
      </c>
      <c r="W264" s="475" t="str">
        <f>IF($AC$264="","",$W$252)</f>
        <v/>
      </c>
      <c r="X264" s="476" t="str">
        <f>IF($AC$264="","",$X$252)</f>
        <v/>
      </c>
      <c r="Y264" s="477" t="str">
        <f>IF($X$264="","",$Y$252)</f>
        <v/>
      </c>
      <c r="Z264" s="477" t="str">
        <f>IF($X$264="","",$Z$252)</f>
        <v/>
      </c>
      <c r="AA264" s="477" t="str">
        <f>IF($AC$264="","",ROW($A$264)-ROW($A$252))</f>
        <v/>
      </c>
      <c r="AB264" s="478"/>
      <c r="AC264" s="34"/>
      <c r="AD264" s="356"/>
      <c r="AE264" s="479"/>
      <c r="AF264" s="475"/>
      <c r="AG264" s="480" t="str">
        <f t="shared" si="64"/>
        <v/>
      </c>
      <c r="AH264" s="481" t="str">
        <f t="shared" si="65"/>
        <v/>
      </c>
      <c r="AI264" s="477" t="str">
        <f>IF($AC$264="","",IFERROR(INDEX($AZ$74:$AZ$119,MATCH($AH$264,$AY$74:$AY$119,0)),"AUTRE"))</f>
        <v/>
      </c>
      <c r="AJ264" s="482" t="str">
        <f>IF($AC$264="","",IFERROR(INDEX($BA$74:$BA$119,MATCH($AH$264,$AY$74:$AY$119,0)),1))</f>
        <v/>
      </c>
      <c r="AK264" s="482" t="str">
        <f t="shared" si="66"/>
        <v/>
      </c>
      <c r="AL264" s="477" t="str">
        <f>IF($AC$264="","",IFERROR(INDEX($BB$74:$BB$119,MATCH($AH$264,$AY$74:$AY$119,0)),$AH$264))</f>
        <v/>
      </c>
      <c r="AM264" s="483" t="str">
        <f t="shared" si="67"/>
        <v/>
      </c>
      <c r="AN264" s="484" t="str">
        <f t="shared" si="68"/>
        <v/>
      </c>
      <c r="AO264" s="473" t="str">
        <f t="shared" si="69"/>
        <v/>
      </c>
      <c r="AP264" s="473" t="str">
        <f t="shared" si="70"/>
        <v/>
      </c>
      <c r="AQ264" s="473" t="str">
        <f t="shared" si="71"/>
        <v/>
      </c>
      <c r="AR264" s="473" t="str">
        <f t="shared" si="72"/>
        <v/>
      </c>
      <c r="AS264" s="473" t="str">
        <f t="shared" si="73"/>
        <v/>
      </c>
      <c r="AT264" s="473" t="str">
        <f t="shared" si="74"/>
        <v/>
      </c>
      <c r="AU264" s="473" t="str">
        <f t="shared" si="75"/>
        <v/>
      </c>
      <c r="AZ264" s="29" t="s">
        <v>9</v>
      </c>
      <c r="BA264" s="34" t="s">
        <v>483</v>
      </c>
      <c r="BB264" s="499"/>
      <c r="BC264" s="271"/>
      <c r="BD264" s="279">
        <v>1</v>
      </c>
      <c r="BE264" s="271"/>
      <c r="BF264" s="271"/>
      <c r="BG264" s="271"/>
      <c r="BH264" s="271"/>
      <c r="BI264" s="271"/>
      <c r="BJ264" s="271"/>
      <c r="BK264" s="271"/>
      <c r="BL264" s="271"/>
    </row>
    <row r="265" spans="18:64" ht="21" customHeight="1" x14ac:dyDescent="0.25">
      <c r="R265" s="34" t="s">
        <v>494</v>
      </c>
      <c r="S265" s="451"/>
      <c r="T265" s="27" t="s">
        <v>8</v>
      </c>
      <c r="V265" s="475">
        <v>6</v>
      </c>
      <c r="W265" s="475" t="str">
        <f>IF($AC$265="","",$W$252)</f>
        <v/>
      </c>
      <c r="X265" s="476" t="str">
        <f>IF($AC$265="","",$X$252)</f>
        <v/>
      </c>
      <c r="Y265" s="477" t="str">
        <f>IF($X$265="","",$Y$252)</f>
        <v/>
      </c>
      <c r="Z265" s="477" t="str">
        <f>IF($X$265="","",$Z$252)</f>
        <v/>
      </c>
      <c r="AA265" s="477" t="str">
        <f>IF($AC$265="","",ROW($A$265)-ROW($A$252))</f>
        <v/>
      </c>
      <c r="AB265" s="478"/>
      <c r="AC265" s="34"/>
      <c r="AD265" s="356"/>
      <c r="AE265" s="479"/>
      <c r="AF265" s="475"/>
      <c r="AG265" s="480" t="str">
        <f t="shared" si="64"/>
        <v/>
      </c>
      <c r="AH265" s="481" t="str">
        <f t="shared" si="65"/>
        <v/>
      </c>
      <c r="AI265" s="477" t="str">
        <f>IF($AC$265="","",IFERROR(INDEX($AZ$74:$AZ$119,MATCH($AH$265,$AY$74:$AY$119,0)),"AUTRE"))</f>
        <v/>
      </c>
      <c r="AJ265" s="482" t="str">
        <f>IF($AC$265="","",IFERROR(INDEX($BA$74:$BA$119,MATCH($AH$265,$AY$74:$AY$119,0)),1))</f>
        <v/>
      </c>
      <c r="AK265" s="482" t="str">
        <f t="shared" si="66"/>
        <v/>
      </c>
      <c r="AL265" s="477" t="str">
        <f>IF($AC$265="","",IFERROR(INDEX($BB$74:$BB$119,MATCH($AH$265,$AY$74:$AY$119,0)),$AH$265))</f>
        <v/>
      </c>
      <c r="AM265" s="483" t="str">
        <f t="shared" si="67"/>
        <v/>
      </c>
      <c r="AN265" s="484" t="str">
        <f t="shared" si="68"/>
        <v/>
      </c>
      <c r="AO265" s="473" t="str">
        <f t="shared" si="69"/>
        <v/>
      </c>
      <c r="AP265" s="473" t="str">
        <f t="shared" si="70"/>
        <v/>
      </c>
      <c r="AQ265" s="473" t="str">
        <f t="shared" si="71"/>
        <v/>
      </c>
      <c r="AR265" s="473" t="str">
        <f t="shared" si="72"/>
        <v/>
      </c>
      <c r="AS265" s="473" t="str">
        <f t="shared" si="73"/>
        <v/>
      </c>
      <c r="AT265" s="473" t="str">
        <f t="shared" si="74"/>
        <v/>
      </c>
      <c r="AU265" s="473" t="str">
        <f t="shared" si="75"/>
        <v/>
      </c>
      <c r="AZ265" s="30" t="s">
        <v>10</v>
      </c>
      <c r="BA265" s="34" t="s">
        <v>493</v>
      </c>
      <c r="BB265" s="499"/>
      <c r="BC265" s="271"/>
      <c r="BD265" s="279">
        <v>1</v>
      </c>
      <c r="BE265" s="271"/>
      <c r="BF265" s="271"/>
      <c r="BG265" s="271"/>
      <c r="BH265" s="271"/>
      <c r="BI265" s="271"/>
      <c r="BJ265" s="271"/>
      <c r="BK265" s="271"/>
      <c r="BL265" s="271"/>
    </row>
    <row r="266" spans="18:64" ht="21" customHeight="1" x14ac:dyDescent="0.25">
      <c r="S266" s="451"/>
      <c r="T266" s="28" t="s">
        <v>13</v>
      </c>
      <c r="V266" s="475">
        <v>6</v>
      </c>
      <c r="W266" s="475" t="str">
        <f>IF($AC$266="","",$W$252)</f>
        <v/>
      </c>
      <c r="X266" s="476" t="str">
        <f>IF($AC$266="","",$X$252)</f>
        <v/>
      </c>
      <c r="Y266" s="477" t="str">
        <f>IF($X$266="","",$Y$252)</f>
        <v/>
      </c>
      <c r="Z266" s="477" t="str">
        <f>IF($X$266="","",$Z$252)</f>
        <v/>
      </c>
      <c r="AA266" s="477" t="str">
        <f>IF($AC$266="","",ROW($A$266)-ROW($A$252))</f>
        <v/>
      </c>
      <c r="AB266" s="478"/>
      <c r="AC266" s="34"/>
      <c r="AD266" s="356"/>
      <c r="AE266" s="479"/>
      <c r="AF266" s="475"/>
      <c r="AG266" s="480" t="str">
        <f t="shared" si="64"/>
        <v/>
      </c>
      <c r="AH266" s="481" t="str">
        <f t="shared" si="65"/>
        <v/>
      </c>
      <c r="AI266" s="477" t="str">
        <f>IF($AC$266="","",IFERROR(INDEX($AZ$74:$AZ$119,MATCH($AH$266,$AY$74:$AY$119,0)),"AUTRE"))</f>
        <v/>
      </c>
      <c r="AJ266" s="482" t="str">
        <f>IF($AC$266="","",IFERROR(INDEX($BA$74:$BA$119,MATCH($AH$266,$AY$74:$AY$119,0)),1))</f>
        <v/>
      </c>
      <c r="AK266" s="482" t="str">
        <f t="shared" si="66"/>
        <v/>
      </c>
      <c r="AL266" s="477" t="str">
        <f>IF($AC$266="","",IFERROR(INDEX($BB$74:$BB$119,MATCH($AH$266,$AY$74:$AY$119,0)),$AH$266))</f>
        <v/>
      </c>
      <c r="AM266" s="483" t="str">
        <f t="shared" si="67"/>
        <v/>
      </c>
      <c r="AN266" s="484" t="str">
        <f t="shared" si="68"/>
        <v/>
      </c>
      <c r="AO266" s="473" t="str">
        <f t="shared" si="69"/>
        <v/>
      </c>
      <c r="AP266" s="473" t="str">
        <f t="shared" si="70"/>
        <v/>
      </c>
      <c r="AQ266" s="473" t="str">
        <f t="shared" si="71"/>
        <v/>
      </c>
      <c r="AR266" s="473" t="str">
        <f t="shared" si="72"/>
        <v/>
      </c>
      <c r="AS266" s="473" t="str">
        <f t="shared" si="73"/>
        <v/>
      </c>
      <c r="AT266" s="473" t="str">
        <f t="shared" si="74"/>
        <v/>
      </c>
      <c r="AU266" s="473" t="str">
        <f t="shared" si="75"/>
        <v/>
      </c>
      <c r="AZ266" s="30" t="s">
        <v>11</v>
      </c>
      <c r="BA266" s="34" t="s">
        <v>494</v>
      </c>
      <c r="BB266" s="499"/>
      <c r="BC266" s="271"/>
      <c r="BD266" s="279">
        <v>1</v>
      </c>
      <c r="BE266" s="271"/>
      <c r="BF266" s="271"/>
      <c r="BG266" s="271"/>
      <c r="BH266" s="271"/>
      <c r="BI266" s="271"/>
      <c r="BJ266" s="271"/>
      <c r="BK266" s="271"/>
      <c r="BL266" s="271"/>
    </row>
    <row r="267" spans="18:64" ht="21" customHeight="1" x14ac:dyDescent="0.25">
      <c r="R267" s="25" t="s">
        <v>6115</v>
      </c>
      <c r="S267" s="451"/>
      <c r="T267" s="28" t="s">
        <v>14</v>
      </c>
      <c r="V267" s="475">
        <v>6</v>
      </c>
      <c r="W267" s="475" t="str">
        <f>IF($AC$267="","",$W$252)</f>
        <v/>
      </c>
      <c r="X267" s="476" t="str">
        <f>IF($AC$267="","",$X$252)</f>
        <v/>
      </c>
      <c r="Y267" s="477" t="str">
        <f>IF($X$267="","",$Y$252)</f>
        <v/>
      </c>
      <c r="Z267" s="477" t="str">
        <f>IF($X$267="","",$Z$252)</f>
        <v/>
      </c>
      <c r="AA267" s="477" t="str">
        <f>IF($AC$267="","",ROW($A$267)-ROW($A$252))</f>
        <v/>
      </c>
      <c r="AB267" s="478"/>
      <c r="AC267" s="34"/>
      <c r="AD267" s="356"/>
      <c r="AE267" s="479"/>
      <c r="AF267" s="475"/>
      <c r="AG267" s="480" t="str">
        <f t="shared" si="64"/>
        <v/>
      </c>
      <c r="AH267" s="481" t="str">
        <f t="shared" si="65"/>
        <v/>
      </c>
      <c r="AI267" s="477" t="str">
        <f>IF($AC$267="","",IFERROR(INDEX($AZ$74:$AZ$119,MATCH($AH$267,$AY$74:$AY$119,0)),"AUTRE"))</f>
        <v/>
      </c>
      <c r="AJ267" s="482" t="str">
        <f>IF($AC$267="","",IFERROR(INDEX($BA$74:$BA$119,MATCH($AH$267,$AY$74:$AY$119,0)),1))</f>
        <v/>
      </c>
      <c r="AK267" s="482" t="str">
        <f t="shared" si="66"/>
        <v/>
      </c>
      <c r="AL267" s="477" t="str">
        <f>IF($AC$267="","",IFERROR(INDEX($BB$74:$BB$119,MATCH($AH$267,$AY$74:$AY$119,0)),$AH$267))</f>
        <v/>
      </c>
      <c r="AM267" s="483" t="str">
        <f t="shared" si="67"/>
        <v/>
      </c>
      <c r="AN267" s="484" t="str">
        <f t="shared" si="68"/>
        <v/>
      </c>
      <c r="AO267" s="473" t="str">
        <f t="shared" si="69"/>
        <v/>
      </c>
      <c r="AP267" s="473" t="str">
        <f t="shared" si="70"/>
        <v/>
      </c>
      <c r="AQ267" s="473" t="str">
        <f t="shared" si="71"/>
        <v/>
      </c>
      <c r="AR267" s="473" t="str">
        <f t="shared" si="72"/>
        <v/>
      </c>
      <c r="AS267" s="473" t="str">
        <f t="shared" si="73"/>
        <v/>
      </c>
      <c r="AT267" s="473" t="str">
        <f t="shared" si="74"/>
        <v/>
      </c>
      <c r="AU267" s="473" t="str">
        <f t="shared" si="75"/>
        <v/>
      </c>
      <c r="AZ267" s="30" t="s">
        <v>12</v>
      </c>
      <c r="BB267" s="499"/>
      <c r="BC267" s="271"/>
      <c r="BD267" s="279">
        <v>1</v>
      </c>
      <c r="BE267" s="271"/>
      <c r="BF267" s="271"/>
      <c r="BG267" s="271"/>
      <c r="BH267" s="271"/>
      <c r="BI267" s="271"/>
      <c r="BJ267" s="271"/>
      <c r="BK267" s="271"/>
      <c r="BL267" s="271"/>
    </row>
    <row r="268" spans="18:64" ht="21" customHeight="1" x14ac:dyDescent="0.25">
      <c r="R268" s="34" t="s">
        <v>471</v>
      </c>
      <c r="S268" s="451"/>
      <c r="T268" s="28" t="s">
        <v>15</v>
      </c>
      <c r="V268" s="475">
        <v>6</v>
      </c>
      <c r="W268" s="475" t="str">
        <f>IF($AC$268="","",$W$252)</f>
        <v/>
      </c>
      <c r="X268" s="476" t="str">
        <f>IF($AC$268="","",$X$252)</f>
        <v/>
      </c>
      <c r="Y268" s="477" t="str">
        <f>IF($X$268="","",$Y$252)</f>
        <v/>
      </c>
      <c r="Z268" s="477" t="str">
        <f>IF($X$268="","",$Z$252)</f>
        <v/>
      </c>
      <c r="AA268" s="477" t="str">
        <f>IF($AC$268="","",ROW($A$268)-ROW($A$252))</f>
        <v/>
      </c>
      <c r="AB268" s="478"/>
      <c r="AC268" s="34"/>
      <c r="AD268" s="356"/>
      <c r="AE268" s="479"/>
      <c r="AF268" s="475"/>
      <c r="AG268" s="480" t="str">
        <f t="shared" si="64"/>
        <v/>
      </c>
      <c r="AH268" s="481" t="str">
        <f t="shared" si="65"/>
        <v/>
      </c>
      <c r="AI268" s="477" t="str">
        <f>IF($AC$268="","",IFERROR(INDEX($AZ$74:$AZ$119,MATCH($AH$268,$AY$74:$AY$119,0)),"AUTRE"))</f>
        <v/>
      </c>
      <c r="AJ268" s="482" t="str">
        <f>IF($AC$268="","",IFERROR(INDEX($BA$74:$BA$119,MATCH($AH$268,$AY$74:$AY$119,0)),1))</f>
        <v/>
      </c>
      <c r="AK268" s="482" t="str">
        <f t="shared" si="66"/>
        <v/>
      </c>
      <c r="AL268" s="477" t="str">
        <f>IF($AC$268="","",IFERROR(INDEX($BB$74:$BB$119,MATCH($AH$268,$AY$74:$AY$119,0)),$AH$268))</f>
        <v/>
      </c>
      <c r="AM268" s="483" t="str">
        <f t="shared" si="67"/>
        <v/>
      </c>
      <c r="AN268" s="484" t="str">
        <f t="shared" si="68"/>
        <v/>
      </c>
      <c r="AO268" s="473" t="str">
        <f t="shared" si="69"/>
        <v/>
      </c>
      <c r="AP268" s="473" t="str">
        <f t="shared" si="70"/>
        <v/>
      </c>
      <c r="AQ268" s="473" t="str">
        <f t="shared" si="71"/>
        <v/>
      </c>
      <c r="AR268" s="473" t="str">
        <f t="shared" si="72"/>
        <v/>
      </c>
      <c r="AS268" s="473" t="str">
        <f t="shared" si="73"/>
        <v/>
      </c>
      <c r="AT268" s="473" t="str">
        <f t="shared" si="74"/>
        <v/>
      </c>
      <c r="AU268" s="473" t="str">
        <f t="shared" si="75"/>
        <v/>
      </c>
      <c r="AZ268" s="31" t="s">
        <v>16</v>
      </c>
      <c r="BA268" s="25" t="s">
        <v>6115</v>
      </c>
      <c r="BB268" s="499"/>
      <c r="BC268" s="271"/>
      <c r="BD268" s="279">
        <v>1</v>
      </c>
      <c r="BE268" s="271"/>
      <c r="BF268" s="271"/>
      <c r="BG268" s="271"/>
      <c r="BH268" s="271"/>
      <c r="BI268" s="271"/>
      <c r="BJ268" s="271"/>
      <c r="BK268" s="271"/>
      <c r="BL268" s="271"/>
    </row>
    <row r="269" spans="18:64" ht="21" customHeight="1" x14ac:dyDescent="0.25">
      <c r="R269" s="34" t="s">
        <v>472</v>
      </c>
      <c r="S269" s="451"/>
      <c r="T269" s="28" t="s">
        <v>21</v>
      </c>
      <c r="V269" s="475">
        <v>6</v>
      </c>
      <c r="W269" s="475" t="str">
        <f>IF($AC$269="","",$W$252)</f>
        <v/>
      </c>
      <c r="X269" s="476" t="str">
        <f>IF($AC$269="","",$X$252)</f>
        <v/>
      </c>
      <c r="Y269" s="477" t="str">
        <f>IF($X$269="","",$Y$252)</f>
        <v/>
      </c>
      <c r="Z269" s="477" t="str">
        <f>IF($X$269="","",$Z$252)</f>
        <v/>
      </c>
      <c r="AA269" s="477" t="str">
        <f>IF($AC$269="","",ROW($A$269)-ROW($A$252))</f>
        <v/>
      </c>
      <c r="AB269" s="478"/>
      <c r="AC269" s="34"/>
      <c r="AD269" s="356"/>
      <c r="AE269" s="479"/>
      <c r="AF269" s="475"/>
      <c r="AG269" s="480" t="str">
        <f t="shared" si="64"/>
        <v/>
      </c>
      <c r="AH269" s="481" t="str">
        <f t="shared" si="65"/>
        <v/>
      </c>
      <c r="AI269" s="477" t="str">
        <f>IF($AC$269="","",IFERROR(INDEX($AZ$74:$AZ$119,MATCH($AH$269,$AY$74:$AY$119,0)),"AUTRE"))</f>
        <v/>
      </c>
      <c r="AJ269" s="482" t="str">
        <f>IF($AC$269="","",IFERROR(INDEX($BA$74:$BA$119,MATCH($AH$269,$AY$74:$AY$119,0)),1))</f>
        <v/>
      </c>
      <c r="AK269" s="482" t="str">
        <f t="shared" si="66"/>
        <v/>
      </c>
      <c r="AL269" s="477" t="str">
        <f>IF($AC$269="","",IFERROR(INDEX($BB$74:$BB$119,MATCH($AH$269,$AY$74:$AY$119,0)),$AH$269))</f>
        <v/>
      </c>
      <c r="AM269" s="483" t="str">
        <f t="shared" si="67"/>
        <v/>
      </c>
      <c r="AN269" s="484" t="str">
        <f t="shared" si="68"/>
        <v/>
      </c>
      <c r="AO269" s="473" t="str">
        <f t="shared" si="69"/>
        <v/>
      </c>
      <c r="AP269" s="473" t="str">
        <f t="shared" si="70"/>
        <v/>
      </c>
      <c r="AQ269" s="473" t="str">
        <f t="shared" si="71"/>
        <v/>
      </c>
      <c r="AR269" s="473" t="str">
        <f t="shared" si="72"/>
        <v/>
      </c>
      <c r="AS269" s="473" t="str">
        <f t="shared" si="73"/>
        <v/>
      </c>
      <c r="AT269" s="473" t="str">
        <f t="shared" si="74"/>
        <v/>
      </c>
      <c r="AU269" s="473" t="str">
        <f t="shared" si="75"/>
        <v/>
      </c>
      <c r="AZ269" s="31" t="s">
        <v>17</v>
      </c>
      <c r="BA269" s="34" t="s">
        <v>471</v>
      </c>
      <c r="BB269" s="499"/>
      <c r="BC269" s="271"/>
      <c r="BD269" s="279">
        <v>1</v>
      </c>
      <c r="BE269" s="271"/>
      <c r="BF269" s="271"/>
      <c r="BG269" s="271"/>
      <c r="BH269" s="271"/>
      <c r="BI269" s="271"/>
      <c r="BJ269" s="271"/>
      <c r="BK269" s="271"/>
      <c r="BL269" s="271"/>
    </row>
    <row r="270" spans="18:64" ht="21" customHeight="1" x14ac:dyDescent="0.25">
      <c r="R270" s="34" t="s">
        <v>6112</v>
      </c>
      <c r="S270" s="451"/>
      <c r="T270" s="28" t="s">
        <v>22</v>
      </c>
      <c r="V270" s="475">
        <v>6</v>
      </c>
      <c r="W270" s="475" t="str">
        <f>IF($AC$270="","",$W$252)</f>
        <v/>
      </c>
      <c r="X270" s="476" t="str">
        <f>IF($AC$270="","",$X$252)</f>
        <v/>
      </c>
      <c r="Y270" s="477" t="str">
        <f>IF($X$270="","",$Y$252)</f>
        <v/>
      </c>
      <c r="Z270" s="477" t="str">
        <f>IF($X$270="","",$Z$252)</f>
        <v/>
      </c>
      <c r="AA270" s="477" t="str">
        <f>IF($AC$270="","",ROW($A$270)-ROW($A$252))</f>
        <v/>
      </c>
      <c r="AB270" s="478"/>
      <c r="AC270" s="34"/>
      <c r="AD270" s="356"/>
      <c r="AE270" s="479"/>
      <c r="AF270" s="475"/>
      <c r="AG270" s="480" t="str">
        <f t="shared" si="64"/>
        <v/>
      </c>
      <c r="AH270" s="481" t="str">
        <f t="shared" si="65"/>
        <v/>
      </c>
      <c r="AI270" s="477" t="str">
        <f>IF($AC$270="","",IFERROR(INDEX($AZ$74:$AZ$119,MATCH($AH$270,$AY$74:$AY$119,0)),"AUTRE"))</f>
        <v/>
      </c>
      <c r="AJ270" s="482" t="str">
        <f>IF($AC$270="","",IFERROR(INDEX($BA$74:$BA$119,MATCH($AH$270,$AY$74:$AY$119,0)),1))</f>
        <v/>
      </c>
      <c r="AK270" s="482" t="str">
        <f t="shared" si="66"/>
        <v/>
      </c>
      <c r="AL270" s="477" t="str">
        <f>IF($AC$270="","",IFERROR(INDEX($BB$74:$BB$119,MATCH($AH$270,$AY$74:$AY$119,0)),$AH$270))</f>
        <v/>
      </c>
      <c r="AM270" s="483" t="str">
        <f t="shared" si="67"/>
        <v/>
      </c>
      <c r="AN270" s="484" t="str">
        <f t="shared" si="68"/>
        <v/>
      </c>
      <c r="AO270" s="473" t="str">
        <f t="shared" si="69"/>
        <v/>
      </c>
      <c r="AP270" s="473" t="str">
        <f t="shared" si="70"/>
        <v/>
      </c>
      <c r="AQ270" s="473" t="str">
        <f t="shared" si="71"/>
        <v/>
      </c>
      <c r="AR270" s="473" t="str">
        <f t="shared" si="72"/>
        <v/>
      </c>
      <c r="AS270" s="473" t="str">
        <f t="shared" si="73"/>
        <v/>
      </c>
      <c r="AT270" s="473" t="str">
        <f t="shared" si="74"/>
        <v/>
      </c>
      <c r="AU270" s="473" t="str">
        <f t="shared" si="75"/>
        <v/>
      </c>
      <c r="AZ270" s="31" t="s">
        <v>18</v>
      </c>
      <c r="BA270" s="34" t="s">
        <v>472</v>
      </c>
      <c r="BB270" s="499"/>
      <c r="BC270" s="271"/>
      <c r="BD270" s="279">
        <v>1</v>
      </c>
      <c r="BE270" s="271"/>
      <c r="BF270" s="271"/>
      <c r="BG270" s="271"/>
      <c r="BH270" s="271"/>
      <c r="BI270" s="271"/>
      <c r="BJ270" s="271"/>
      <c r="BK270" s="271"/>
      <c r="BL270" s="271"/>
    </row>
    <row r="271" spans="18:64" ht="21" customHeight="1" x14ac:dyDescent="0.25">
      <c r="R271" s="25" t="s">
        <v>6116</v>
      </c>
      <c r="S271" s="451"/>
      <c r="T271" s="28" t="s">
        <v>23</v>
      </c>
      <c r="V271" s="475">
        <v>6</v>
      </c>
      <c r="W271" s="475" t="str">
        <f>IF($AC$271="","",$W$252)</f>
        <v/>
      </c>
      <c r="X271" s="476" t="str">
        <f>IF($AC$271="","",$X$252)</f>
        <v/>
      </c>
      <c r="Y271" s="477" t="str">
        <f>IF($X$271="","",$Y$252)</f>
        <v/>
      </c>
      <c r="Z271" s="477" t="str">
        <f>IF($X$271="","",$Z$252)</f>
        <v/>
      </c>
      <c r="AA271" s="477" t="str">
        <f>IF($AC$271="","",ROW($A$271)-ROW($A$252))</f>
        <v/>
      </c>
      <c r="AB271" s="478"/>
      <c r="AC271" s="34"/>
      <c r="AD271" s="356"/>
      <c r="AE271" s="479"/>
      <c r="AF271" s="475"/>
      <c r="AG271" s="480" t="str">
        <f t="shared" si="64"/>
        <v/>
      </c>
      <c r="AH271" s="481" t="str">
        <f t="shared" si="65"/>
        <v/>
      </c>
      <c r="AI271" s="477" t="str">
        <f>IF($AC$271="","",IFERROR(INDEX($AZ$74:$AZ$119,MATCH($AH$271,$AY$74:$AY$119,0)),"AUTRE"))</f>
        <v/>
      </c>
      <c r="AJ271" s="482" t="str">
        <f>IF($AC$271="","",IFERROR(INDEX($BA$74:$BA$119,MATCH($AH$271,$AY$74:$AY$119,0)),1))</f>
        <v/>
      </c>
      <c r="AK271" s="482" t="str">
        <f t="shared" si="66"/>
        <v/>
      </c>
      <c r="AL271" s="477" t="str">
        <f>IF($AC$271="","",IFERROR(INDEX($BB$74:$BB$119,MATCH($AH$271,$AY$74:$AY$119,0)),$AH$271))</f>
        <v/>
      </c>
      <c r="AM271" s="483" t="str">
        <f t="shared" si="67"/>
        <v/>
      </c>
      <c r="AN271" s="484" t="str">
        <f t="shared" si="68"/>
        <v/>
      </c>
      <c r="AO271" s="473" t="str">
        <f t="shared" si="69"/>
        <v/>
      </c>
      <c r="AP271" s="473" t="str">
        <f t="shared" si="70"/>
        <v/>
      </c>
      <c r="AQ271" s="473" t="str">
        <f t="shared" si="71"/>
        <v/>
      </c>
      <c r="AR271" s="473" t="str">
        <f t="shared" si="72"/>
        <v/>
      </c>
      <c r="AS271" s="473" t="str">
        <f t="shared" si="73"/>
        <v/>
      </c>
      <c r="AT271" s="473" t="str">
        <f t="shared" si="74"/>
        <v/>
      </c>
      <c r="AU271" s="473" t="str">
        <f t="shared" si="75"/>
        <v/>
      </c>
      <c r="AZ271" s="31" t="s">
        <v>19</v>
      </c>
      <c r="BA271" s="34" t="s">
        <v>6112</v>
      </c>
      <c r="BB271" s="499"/>
      <c r="BC271" s="271"/>
      <c r="BD271" s="279">
        <v>1</v>
      </c>
      <c r="BE271" s="271"/>
      <c r="BF271" s="271"/>
      <c r="BG271" s="271"/>
      <c r="BH271" s="271"/>
      <c r="BI271" s="271"/>
      <c r="BJ271" s="271"/>
      <c r="BK271" s="271"/>
      <c r="BL271" s="271"/>
    </row>
    <row r="272" spans="18:64" ht="21" customHeight="1" x14ac:dyDescent="0.25">
      <c r="R272" s="34" t="s">
        <v>6117</v>
      </c>
      <c r="S272" s="451"/>
      <c r="T272" s="28" t="s">
        <v>24</v>
      </c>
      <c r="V272" s="475">
        <v>6</v>
      </c>
      <c r="W272" s="475" t="str">
        <f>IF($AC$272="","",$W$252)</f>
        <v/>
      </c>
      <c r="X272" s="476" t="str">
        <f>IF($AC$272="","",$X$252)</f>
        <v/>
      </c>
      <c r="Y272" s="477" t="str">
        <f>IF($X$272="","",$Y$252)</f>
        <v/>
      </c>
      <c r="Z272" s="477" t="str">
        <f>IF($X$272="","",$Z$252)</f>
        <v/>
      </c>
      <c r="AA272" s="477" t="str">
        <f>IF($AC$272="","",ROW($A$272)-ROW($A$252))</f>
        <v/>
      </c>
      <c r="AB272" s="478"/>
      <c r="AC272" s="34"/>
      <c r="AD272" s="356"/>
      <c r="AE272" s="479"/>
      <c r="AF272" s="475"/>
      <c r="AG272" s="480" t="str">
        <f t="shared" si="64"/>
        <v/>
      </c>
      <c r="AH272" s="481" t="str">
        <f t="shared" si="65"/>
        <v/>
      </c>
      <c r="AI272" s="477" t="str">
        <f>IF($AC$272="","",IFERROR(INDEX($AZ$74:$AZ$119,MATCH($AH$272,$AY$74:$AY$119,0)),"AUTRE"))</f>
        <v/>
      </c>
      <c r="AJ272" s="482" t="str">
        <f>IF($AC$272="","",IFERROR(INDEX($BA$74:$BA$119,MATCH($AH$272,$AY$74:$AY$119,0)),1))</f>
        <v/>
      </c>
      <c r="AK272" s="482" t="str">
        <f t="shared" si="66"/>
        <v/>
      </c>
      <c r="AL272" s="477" t="str">
        <f>IF($AC$272="","",IFERROR(INDEX($BB$74:$BB$119,MATCH($AH$272,$AY$74:$AY$119,0)),$AH$272))</f>
        <v/>
      </c>
      <c r="AM272" s="483" t="str">
        <f t="shared" si="67"/>
        <v/>
      </c>
      <c r="AN272" s="484" t="str">
        <f t="shared" si="68"/>
        <v/>
      </c>
      <c r="AO272" s="473" t="str">
        <f t="shared" si="69"/>
        <v/>
      </c>
      <c r="AP272" s="473" t="str">
        <f t="shared" si="70"/>
        <v/>
      </c>
      <c r="AQ272" s="473" t="str">
        <f t="shared" si="71"/>
        <v/>
      </c>
      <c r="AR272" s="473" t="str">
        <f t="shared" si="72"/>
        <v/>
      </c>
      <c r="AS272" s="473" t="str">
        <f t="shared" si="73"/>
        <v/>
      </c>
      <c r="AT272" s="473" t="str">
        <f t="shared" si="74"/>
        <v/>
      </c>
      <c r="AU272" s="473" t="str">
        <f t="shared" si="75"/>
        <v/>
      </c>
      <c r="AZ272" s="31" t="s">
        <v>211</v>
      </c>
      <c r="BA272" s="25" t="s">
        <v>6116</v>
      </c>
      <c r="BB272" s="499"/>
      <c r="BC272" s="271"/>
      <c r="BD272" s="279">
        <v>1</v>
      </c>
      <c r="BE272" s="271"/>
      <c r="BF272" s="271"/>
      <c r="BG272" s="271"/>
      <c r="BH272" s="271"/>
      <c r="BI272" s="271"/>
      <c r="BJ272" s="271"/>
      <c r="BK272" s="271"/>
      <c r="BL272" s="271"/>
    </row>
    <row r="273" spans="18:64" ht="21" customHeight="1" x14ac:dyDescent="0.25">
      <c r="R273" s="34" t="s">
        <v>469</v>
      </c>
      <c r="S273" s="451"/>
      <c r="T273" s="29" t="s">
        <v>9</v>
      </c>
      <c r="V273" s="475">
        <v>6</v>
      </c>
      <c r="W273" s="475" t="str">
        <f>IF($AC$273="","",$W$252)</f>
        <v/>
      </c>
      <c r="X273" s="476" t="str">
        <f>IF($AC$273="","",$X$252)</f>
        <v/>
      </c>
      <c r="Y273" s="477" t="str">
        <f>IF($X$273="","",$Y$252)</f>
        <v/>
      </c>
      <c r="Z273" s="477" t="str">
        <f>IF($X$273="","",$Z$252)</f>
        <v/>
      </c>
      <c r="AA273" s="477" t="str">
        <f>IF($AC$273="","",ROW($A$273)-ROW($A$252))</f>
        <v/>
      </c>
      <c r="AB273" s="478"/>
      <c r="AC273" s="34"/>
      <c r="AD273" s="356"/>
      <c r="AE273" s="479"/>
      <c r="AF273" s="475"/>
      <c r="AG273" s="480" t="str">
        <f t="shared" si="64"/>
        <v/>
      </c>
      <c r="AH273" s="481" t="str">
        <f t="shared" si="65"/>
        <v/>
      </c>
      <c r="AI273" s="477" t="str">
        <f>IF($AC$273="","",IFERROR(INDEX($AZ$74:$AZ$119,MATCH($AH$273,$AY$74:$AY$119,0)),"AUTRE"))</f>
        <v/>
      </c>
      <c r="AJ273" s="482" t="str">
        <f>IF($AC$273="","",IFERROR(INDEX($BA$74:$BA$119,MATCH($AH$273,$AY$74:$AY$119,0)),1))</f>
        <v/>
      </c>
      <c r="AK273" s="482" t="str">
        <f t="shared" si="66"/>
        <v/>
      </c>
      <c r="AL273" s="477" t="str">
        <f>IF($AC$273="","",IFERROR(INDEX($BB$74:$BB$119,MATCH($AH$273,$AY$74:$AY$119,0)),$AH$273))</f>
        <v/>
      </c>
      <c r="AM273" s="483" t="str">
        <f t="shared" si="67"/>
        <v/>
      </c>
      <c r="AN273" s="484" t="str">
        <f t="shared" si="68"/>
        <v/>
      </c>
      <c r="AO273" s="473" t="str">
        <f t="shared" si="69"/>
        <v/>
      </c>
      <c r="AP273" s="473" t="str">
        <f t="shared" si="70"/>
        <v/>
      </c>
      <c r="AQ273" s="473" t="str">
        <f t="shared" si="71"/>
        <v/>
      </c>
      <c r="AR273" s="473" t="str">
        <f t="shared" si="72"/>
        <v/>
      </c>
      <c r="AS273" s="473" t="str">
        <f t="shared" si="73"/>
        <v/>
      </c>
      <c r="AT273" s="473" t="str">
        <f t="shared" si="74"/>
        <v/>
      </c>
      <c r="AU273" s="473" t="str">
        <f t="shared" si="75"/>
        <v/>
      </c>
      <c r="AZ273" s="31" t="s">
        <v>20</v>
      </c>
      <c r="BA273" s="34" t="s">
        <v>6117</v>
      </c>
      <c r="BB273" s="499"/>
      <c r="BC273" s="271"/>
      <c r="BD273" s="279">
        <v>1</v>
      </c>
      <c r="BE273" s="271"/>
      <c r="BF273" s="271"/>
      <c r="BG273" s="271"/>
      <c r="BH273" s="271"/>
      <c r="BI273" s="271"/>
      <c r="BJ273" s="271"/>
      <c r="BK273" s="271"/>
      <c r="BL273" s="271"/>
    </row>
    <row r="274" spans="18:64" ht="21" customHeight="1" x14ac:dyDescent="0.25">
      <c r="R274" s="34" t="s">
        <v>6118</v>
      </c>
      <c r="S274" s="451"/>
      <c r="T274" s="30" t="s">
        <v>10</v>
      </c>
      <c r="V274" s="475">
        <v>6</v>
      </c>
      <c r="W274" s="475" t="str">
        <f>IF($AC$274="","",$W$252)</f>
        <v/>
      </c>
      <c r="X274" s="476" t="str">
        <f>IF($AC$274="","",$X$252)</f>
        <v/>
      </c>
      <c r="Y274" s="477" t="str">
        <f>IF($X$274="","",$Y$252)</f>
        <v/>
      </c>
      <c r="Z274" s="477" t="str">
        <f>IF($X$274="","",$Z$252)</f>
        <v/>
      </c>
      <c r="AA274" s="477" t="str">
        <f>IF($AC$274="","",ROW($A$274)-ROW($A$252))</f>
        <v/>
      </c>
      <c r="AB274" s="478"/>
      <c r="AC274" s="34"/>
      <c r="AD274" s="356"/>
      <c r="AE274" s="479"/>
      <c r="AF274" s="475"/>
      <c r="AG274" s="480" t="str">
        <f t="shared" si="64"/>
        <v/>
      </c>
      <c r="AH274" s="481" t="str">
        <f t="shared" si="65"/>
        <v/>
      </c>
      <c r="AI274" s="477" t="str">
        <f>IF($AC$274="","",IFERROR(INDEX($AZ$74:$AZ$119,MATCH($AH$274,$AY$74:$AY$119,0)),"AUTRE"))</f>
        <v/>
      </c>
      <c r="AJ274" s="482" t="str">
        <f>IF($AC$274="","",IFERROR(INDEX($BA$74:$BA$119,MATCH($AH$274,$AY$74:$AY$119,0)),1))</f>
        <v/>
      </c>
      <c r="AK274" s="482" t="str">
        <f t="shared" si="66"/>
        <v/>
      </c>
      <c r="AL274" s="477" t="str">
        <f>IF($AC$274="","",IFERROR(INDEX($BB$74:$BB$119,MATCH($AH$274,$AY$74:$AY$119,0)),$AH$274))</f>
        <v/>
      </c>
      <c r="AM274" s="483" t="str">
        <f t="shared" si="67"/>
        <v/>
      </c>
      <c r="AN274" s="484" t="str">
        <f t="shared" si="68"/>
        <v/>
      </c>
      <c r="AO274" s="473" t="str">
        <f t="shared" si="69"/>
        <v/>
      </c>
      <c r="AP274" s="473" t="str">
        <f t="shared" si="70"/>
        <v/>
      </c>
      <c r="AQ274" s="473" t="str">
        <f t="shared" si="71"/>
        <v/>
      </c>
      <c r="AR274" s="473" t="str">
        <f t="shared" si="72"/>
        <v/>
      </c>
      <c r="AS274" s="473" t="str">
        <f t="shared" si="73"/>
        <v/>
      </c>
      <c r="AT274" s="473" t="str">
        <f t="shared" si="74"/>
        <v/>
      </c>
      <c r="AU274" s="473" t="str">
        <f t="shared" si="75"/>
        <v/>
      </c>
      <c r="AZ274" s="31" t="s">
        <v>304</v>
      </c>
      <c r="BA274" s="34" t="s">
        <v>469</v>
      </c>
      <c r="BB274" s="499"/>
      <c r="BC274" s="271"/>
      <c r="BD274" s="279">
        <v>1</v>
      </c>
      <c r="BE274" s="271"/>
      <c r="BF274" s="271"/>
      <c r="BG274" s="271"/>
      <c r="BH274" s="271"/>
      <c r="BI274" s="271"/>
      <c r="BJ274" s="271"/>
      <c r="BK274" s="271"/>
      <c r="BL274" s="271"/>
    </row>
    <row r="275" spans="18:64" ht="21" customHeight="1" x14ac:dyDescent="0.25">
      <c r="R275" s="34" t="s">
        <v>492</v>
      </c>
      <c r="S275" s="451"/>
      <c r="T275" s="30" t="s">
        <v>11</v>
      </c>
      <c r="V275" s="475">
        <v>6</v>
      </c>
      <c r="W275" s="475" t="str">
        <f>IF($AC$275="","",$W$252)</f>
        <v/>
      </c>
      <c r="X275" s="476" t="str">
        <f>IF($AC$275="","",$X$252)</f>
        <v/>
      </c>
      <c r="Y275" s="477" t="str">
        <f>IF($X$275="","",$Y$252)</f>
        <v/>
      </c>
      <c r="Z275" s="477" t="str">
        <f>IF($X$275="","",$Z$252)</f>
        <v/>
      </c>
      <c r="AA275" s="477" t="str">
        <f>IF($AC$275="","",ROW($A$275)-ROW($A$252))</f>
        <v/>
      </c>
      <c r="AB275" s="478"/>
      <c r="AC275" s="34"/>
      <c r="AD275" s="356"/>
      <c r="AE275" s="479"/>
      <c r="AF275" s="475"/>
      <c r="AG275" s="480" t="str">
        <f t="shared" si="64"/>
        <v/>
      </c>
      <c r="AH275" s="481" t="str">
        <f t="shared" si="65"/>
        <v/>
      </c>
      <c r="AI275" s="477" t="str">
        <f>IF($AC$275="","",IFERROR(INDEX($AZ$74:$AZ$119,MATCH($AH$275,$AY$74:$AY$119,0)),"AUTRE"))</f>
        <v/>
      </c>
      <c r="AJ275" s="482" t="str">
        <f>IF($AC$275="","",IFERROR(INDEX($BA$74:$BA$119,MATCH($AH$275,$AY$74:$AY$119,0)),1))</f>
        <v/>
      </c>
      <c r="AK275" s="482" t="str">
        <f t="shared" si="66"/>
        <v/>
      </c>
      <c r="AL275" s="477" t="str">
        <f>IF($AC$275="","",IFERROR(INDEX($BB$74:$BB$119,MATCH($AH$275,$AY$74:$AY$119,0)),$AH$275))</f>
        <v/>
      </c>
      <c r="AM275" s="483" t="str">
        <f t="shared" si="67"/>
        <v/>
      </c>
      <c r="AN275" s="484" t="str">
        <f t="shared" si="68"/>
        <v/>
      </c>
      <c r="AO275" s="473" t="str">
        <f t="shared" si="69"/>
        <v/>
      </c>
      <c r="AP275" s="473" t="str">
        <f t="shared" si="70"/>
        <v/>
      </c>
      <c r="AQ275" s="473" t="str">
        <f t="shared" si="71"/>
        <v/>
      </c>
      <c r="AR275" s="473" t="str">
        <f t="shared" si="72"/>
        <v/>
      </c>
      <c r="AS275" s="473" t="str">
        <f t="shared" si="73"/>
        <v/>
      </c>
      <c r="AT275" s="473" t="str">
        <f t="shared" si="74"/>
        <v/>
      </c>
      <c r="AU275" s="473" t="str">
        <f t="shared" si="75"/>
        <v/>
      </c>
      <c r="AZ275" s="31" t="s">
        <v>352</v>
      </c>
      <c r="BA275" s="34" t="s">
        <v>6118</v>
      </c>
      <c r="BB275" s="499"/>
      <c r="BC275" s="271"/>
      <c r="BD275" s="279">
        <v>1</v>
      </c>
      <c r="BE275" s="271"/>
      <c r="BF275" s="271"/>
      <c r="BG275" s="271"/>
      <c r="BH275" s="271"/>
      <c r="BI275" s="271"/>
      <c r="BJ275" s="271"/>
      <c r="BK275" s="271"/>
      <c r="BL275" s="271"/>
    </row>
    <row r="276" spans="18:64" ht="21" customHeight="1" x14ac:dyDescent="0.25">
      <c r="R276" s="34" t="s">
        <v>458</v>
      </c>
      <c r="S276" s="451"/>
      <c r="T276" s="30" t="s">
        <v>12</v>
      </c>
      <c r="V276" s="475">
        <v>6</v>
      </c>
      <c r="W276" s="475" t="str">
        <f>IF($AC$276="","",$W$252)</f>
        <v/>
      </c>
      <c r="X276" s="476" t="str">
        <f>IF($AC$276="","",$X$252)</f>
        <v/>
      </c>
      <c r="Y276" s="477" t="str">
        <f>IF($X$276="","",$Y$252)</f>
        <v/>
      </c>
      <c r="Z276" s="477" t="str">
        <f>IF($X$276="","",$Z$252)</f>
        <v/>
      </c>
      <c r="AA276" s="477" t="str">
        <f>IF($AC$276="","",ROW($A$276)-ROW($A$252))</f>
        <v/>
      </c>
      <c r="AB276" s="478"/>
      <c r="AC276" s="34"/>
      <c r="AD276" s="356"/>
      <c r="AE276" s="479"/>
      <c r="AF276" s="475"/>
      <c r="AG276" s="480" t="str">
        <f t="shared" si="64"/>
        <v/>
      </c>
      <c r="AH276" s="481" t="str">
        <f t="shared" si="65"/>
        <v/>
      </c>
      <c r="AI276" s="477" t="str">
        <f>IF($AC$276="","",IFERROR(INDEX($AZ$74:$AZ$119,MATCH($AH$276,$AY$74:$AY$119,0)),"AUTRE"))</f>
        <v/>
      </c>
      <c r="AJ276" s="482" t="str">
        <f>IF($AC$276="","",IFERROR(INDEX($BA$74:$BA$119,MATCH($AH$276,$AY$74:$AY$119,0)),1))</f>
        <v/>
      </c>
      <c r="AK276" s="482" t="str">
        <f t="shared" si="66"/>
        <v/>
      </c>
      <c r="AL276" s="477" t="str">
        <f>IF($AC$276="","",IFERROR(INDEX($BB$74:$BB$119,MATCH($AH$276,$AY$74:$AY$119,0)),$AH$276))</f>
        <v/>
      </c>
      <c r="AM276" s="483" t="str">
        <f t="shared" si="67"/>
        <v/>
      </c>
      <c r="AN276" s="484" t="str">
        <f t="shared" si="68"/>
        <v/>
      </c>
      <c r="AO276" s="473" t="str">
        <f t="shared" si="69"/>
        <v/>
      </c>
      <c r="AP276" s="473" t="str">
        <f t="shared" si="70"/>
        <v/>
      </c>
      <c r="AQ276" s="473" t="str">
        <f t="shared" si="71"/>
        <v/>
      </c>
      <c r="AR276" s="473" t="str">
        <f t="shared" si="72"/>
        <v/>
      </c>
      <c r="AS276" s="473" t="str">
        <f t="shared" si="73"/>
        <v/>
      </c>
      <c r="AT276" s="473" t="str">
        <f t="shared" si="74"/>
        <v/>
      </c>
      <c r="AU276" s="473" t="str">
        <f t="shared" si="75"/>
        <v/>
      </c>
      <c r="AZ276" s="31" t="s">
        <v>27</v>
      </c>
      <c r="BA276" s="34" t="s">
        <v>492</v>
      </c>
      <c r="BB276" s="499"/>
      <c r="BC276" s="271"/>
      <c r="BD276" s="279">
        <v>1</v>
      </c>
      <c r="BE276" s="271"/>
      <c r="BF276" s="271"/>
      <c r="BG276" s="271"/>
      <c r="BH276" s="271"/>
      <c r="BI276" s="271"/>
      <c r="BJ276" s="271"/>
      <c r="BK276" s="271"/>
      <c r="BL276" s="271"/>
    </row>
    <row r="277" spans="18:64" ht="21" customHeight="1" x14ac:dyDescent="0.25">
      <c r="R277" s="490"/>
      <c r="S277" s="451"/>
      <c r="T277" s="31" t="s">
        <v>16</v>
      </c>
      <c r="V277" s="475">
        <v>6</v>
      </c>
      <c r="W277" s="475" t="str">
        <f>IF($AC$277="","",$W$252)</f>
        <v/>
      </c>
      <c r="X277" s="476" t="str">
        <f>IF($AC$277="","",$X$252)</f>
        <v/>
      </c>
      <c r="Y277" s="477" t="str">
        <f>IF($X$277="","",$Y$252)</f>
        <v/>
      </c>
      <c r="Z277" s="477" t="str">
        <f>IF($X$277="","",$Z$252)</f>
        <v/>
      </c>
      <c r="AA277" s="477" t="str">
        <f>IF($AC$277="","",ROW($A$277)-ROW($A$252))</f>
        <v/>
      </c>
      <c r="AB277" s="478"/>
      <c r="AC277" s="34"/>
      <c r="AD277" s="356"/>
      <c r="AE277" s="479"/>
      <c r="AF277" s="475"/>
      <c r="AG277" s="480" t="str">
        <f t="shared" si="64"/>
        <v/>
      </c>
      <c r="AH277" s="481" t="str">
        <f t="shared" si="65"/>
        <v/>
      </c>
      <c r="AI277" s="477" t="str">
        <f>IF($AC$277="","",IFERROR(INDEX($AZ$74:$AZ$119,MATCH($AH$277,$AY$74:$AY$119,0)),"AUTRE"))</f>
        <v/>
      </c>
      <c r="AJ277" s="482" t="str">
        <f>IF($AC$277="","",IFERROR(INDEX($BA$74:$BA$119,MATCH($AH$277,$AY$74:$AY$119,0)),1))</f>
        <v/>
      </c>
      <c r="AK277" s="482" t="str">
        <f t="shared" si="66"/>
        <v/>
      </c>
      <c r="AL277" s="477" t="str">
        <f>IF($AC$277="","",IFERROR(INDEX($BB$74:$BB$119,MATCH($AH$277,$AY$74:$AY$119,0)),$AH$277))</f>
        <v/>
      </c>
      <c r="AM277" s="483" t="str">
        <f t="shared" si="67"/>
        <v/>
      </c>
      <c r="AN277" s="484" t="str">
        <f t="shared" si="68"/>
        <v/>
      </c>
      <c r="AO277" s="473" t="str">
        <f t="shared" si="69"/>
        <v/>
      </c>
      <c r="AP277" s="473" t="str">
        <f t="shared" si="70"/>
        <v/>
      </c>
      <c r="AQ277" s="473" t="str">
        <f t="shared" si="71"/>
        <v/>
      </c>
      <c r="AR277" s="473" t="str">
        <f t="shared" si="72"/>
        <v/>
      </c>
      <c r="AS277" s="473" t="str">
        <f t="shared" si="73"/>
        <v/>
      </c>
      <c r="AT277" s="473" t="str">
        <f t="shared" si="74"/>
        <v/>
      </c>
      <c r="AU277" s="473" t="str">
        <f t="shared" si="75"/>
        <v/>
      </c>
      <c r="AZ277" s="31" t="s">
        <v>28</v>
      </c>
      <c r="BA277" s="34" t="s">
        <v>458</v>
      </c>
      <c r="BB277" s="499"/>
      <c r="BC277" s="271"/>
      <c r="BD277" s="279">
        <v>1</v>
      </c>
      <c r="BE277" s="271"/>
      <c r="BF277" s="271"/>
      <c r="BG277" s="271"/>
      <c r="BH277" s="271"/>
      <c r="BI277" s="271"/>
      <c r="BJ277" s="271"/>
      <c r="BK277" s="271"/>
      <c r="BL277" s="271"/>
    </row>
    <row r="278" spans="18:64" ht="21" customHeight="1" x14ac:dyDescent="0.25">
      <c r="R278" s="25" t="s">
        <v>6119</v>
      </c>
      <c r="S278" s="451"/>
      <c r="T278" s="31" t="s">
        <v>17</v>
      </c>
      <c r="V278" s="475">
        <v>6</v>
      </c>
      <c r="W278" s="475" t="str">
        <f>IF($AC$278="","",$W$252)</f>
        <v/>
      </c>
      <c r="X278" s="476" t="str">
        <f>IF($AC$278="","",$X$252)</f>
        <v/>
      </c>
      <c r="Y278" s="477" t="str">
        <f>IF($X$278="","",$Y$252)</f>
        <v/>
      </c>
      <c r="Z278" s="477" t="str">
        <f>IF($X$278="","",$Z$252)</f>
        <v/>
      </c>
      <c r="AA278" s="477" t="str">
        <f>IF($AC$278="","",ROW($A$278)-ROW($A$252))</f>
        <v/>
      </c>
      <c r="AB278" s="478"/>
      <c r="AC278" s="34"/>
      <c r="AD278" s="356"/>
      <c r="AE278" s="479"/>
      <c r="AF278" s="475"/>
      <c r="AG278" s="480" t="str">
        <f t="shared" si="64"/>
        <v/>
      </c>
      <c r="AH278" s="481" t="str">
        <f t="shared" si="65"/>
        <v/>
      </c>
      <c r="AI278" s="477" t="str">
        <f>IF($AC$278="","",IFERROR(INDEX($AZ$74:$AZ$119,MATCH($AH$278,$AY$74:$AY$119,0)),"AUTRE"))</f>
        <v/>
      </c>
      <c r="AJ278" s="482" t="str">
        <f>IF($AC$278="","",IFERROR(INDEX($BA$74:$BA$119,MATCH($AH$278,$AY$74:$AY$119,0)),1))</f>
        <v/>
      </c>
      <c r="AK278" s="482" t="str">
        <f t="shared" si="66"/>
        <v/>
      </c>
      <c r="AL278" s="477" t="str">
        <f>IF($AC$278="","",IFERROR(INDEX($BB$74:$BB$119,MATCH($AH$278,$AY$74:$AY$119,0)),$AH$278))</f>
        <v/>
      </c>
      <c r="AM278" s="483" t="str">
        <f t="shared" si="67"/>
        <v/>
      </c>
      <c r="AN278" s="484" t="str">
        <f t="shared" si="68"/>
        <v/>
      </c>
      <c r="AO278" s="473" t="str">
        <f t="shared" si="69"/>
        <v/>
      </c>
      <c r="AP278" s="473" t="str">
        <f t="shared" si="70"/>
        <v/>
      </c>
      <c r="AQ278" s="473" t="str">
        <f t="shared" si="71"/>
        <v/>
      </c>
      <c r="AR278" s="473" t="str">
        <f t="shared" si="72"/>
        <v/>
      </c>
      <c r="AS278" s="473" t="str">
        <f t="shared" si="73"/>
        <v/>
      </c>
      <c r="AT278" s="473" t="str">
        <f t="shared" si="74"/>
        <v/>
      </c>
      <c r="AU278" s="473" t="str">
        <f t="shared" si="75"/>
        <v/>
      </c>
      <c r="AZ278" s="31" t="s">
        <v>29</v>
      </c>
      <c r="BA278" s="490"/>
      <c r="BB278" s="499"/>
      <c r="BC278" s="271"/>
      <c r="BD278" s="279">
        <v>1</v>
      </c>
      <c r="BE278" s="271"/>
      <c r="BF278" s="271"/>
      <c r="BG278" s="271"/>
      <c r="BH278" s="271"/>
      <c r="BI278" s="271"/>
      <c r="BJ278" s="271"/>
      <c r="BK278" s="271"/>
      <c r="BL278" s="271"/>
    </row>
    <row r="279" spans="18:64" ht="21" customHeight="1" x14ac:dyDescent="0.25">
      <c r="R279" s="34" t="s">
        <v>6120</v>
      </c>
      <c r="S279" s="451"/>
      <c r="T279" s="31" t="s">
        <v>18</v>
      </c>
      <c r="V279" s="475">
        <v>6</v>
      </c>
      <c r="W279" s="475" t="str">
        <f>IF($AC$279="","",$W$252)</f>
        <v/>
      </c>
      <c r="X279" s="476" t="str">
        <f>IF($AC$279="","",$X$252)</f>
        <v/>
      </c>
      <c r="Y279" s="477" t="str">
        <f>IF($X$279="","",$Y$252)</f>
        <v/>
      </c>
      <c r="Z279" s="477" t="str">
        <f>IF($X$279="","",$Z$252)</f>
        <v/>
      </c>
      <c r="AA279" s="477" t="str">
        <f>IF($AC$279="","",ROW($A$279)-ROW($A$252))</f>
        <v/>
      </c>
      <c r="AB279" s="478"/>
      <c r="AC279" s="34"/>
      <c r="AD279" s="356"/>
      <c r="AE279" s="479"/>
      <c r="AF279" s="475"/>
      <c r="AG279" s="480" t="str">
        <f t="shared" si="64"/>
        <v/>
      </c>
      <c r="AH279" s="481" t="str">
        <f t="shared" si="65"/>
        <v/>
      </c>
      <c r="AI279" s="477" t="str">
        <f>IF($AC$279="","",IFERROR(INDEX($AZ$74:$AZ$119,MATCH($AH$279,$AY$74:$AY$119,0)),"AUTRE"))</f>
        <v/>
      </c>
      <c r="AJ279" s="482" t="str">
        <f>IF($AC$279="","",IFERROR(INDEX($BA$74:$BA$119,MATCH($AH$279,$AY$74:$AY$119,0)),1))</f>
        <v/>
      </c>
      <c r="AK279" s="482" t="str">
        <f t="shared" si="66"/>
        <v/>
      </c>
      <c r="AL279" s="477" t="str">
        <f>IF($AC$279="","",IFERROR(INDEX($BB$74:$BB$119,MATCH($AH$279,$AY$74:$AY$119,0)),$AH$279))</f>
        <v/>
      </c>
      <c r="AM279" s="483" t="str">
        <f t="shared" si="67"/>
        <v/>
      </c>
      <c r="AN279" s="484" t="str">
        <f t="shared" si="68"/>
        <v/>
      </c>
      <c r="AO279" s="473" t="str">
        <f t="shared" si="69"/>
        <v/>
      </c>
      <c r="AP279" s="473" t="str">
        <f t="shared" si="70"/>
        <v/>
      </c>
      <c r="AQ279" s="473" t="str">
        <f t="shared" si="71"/>
        <v/>
      </c>
      <c r="AR279" s="473" t="str">
        <f t="shared" si="72"/>
        <v/>
      </c>
      <c r="AS279" s="473" t="str">
        <f t="shared" si="73"/>
        <v/>
      </c>
      <c r="AT279" s="473" t="str">
        <f t="shared" si="74"/>
        <v/>
      </c>
      <c r="AU279" s="473" t="str">
        <f t="shared" si="75"/>
        <v/>
      </c>
      <c r="AZ279" s="31" t="s">
        <v>30</v>
      </c>
      <c r="BA279" s="25" t="s">
        <v>6119</v>
      </c>
      <c r="BB279" s="499"/>
      <c r="BC279" s="271"/>
      <c r="BD279" s="279">
        <v>1</v>
      </c>
      <c r="BE279" s="271"/>
      <c r="BF279" s="271"/>
      <c r="BG279" s="271"/>
      <c r="BH279" s="271"/>
      <c r="BI279" s="271"/>
      <c r="BJ279" s="271"/>
      <c r="BK279" s="271"/>
      <c r="BL279" s="271"/>
    </row>
    <row r="280" spans="18:64" ht="21" customHeight="1" x14ac:dyDescent="0.25">
      <c r="R280" s="34" t="s">
        <v>6121</v>
      </c>
      <c r="S280" s="451"/>
      <c r="T280" s="31" t="s">
        <v>19</v>
      </c>
      <c r="V280" s="475">
        <v>6</v>
      </c>
      <c r="W280" s="475" t="str">
        <f>IF($AC$280="","",$W$252)</f>
        <v/>
      </c>
      <c r="X280" s="476" t="str">
        <f>IF($AC$280="","",$X$252)</f>
        <v/>
      </c>
      <c r="Y280" s="477" t="str">
        <f>IF($X$280="","",$Y$252)</f>
        <v/>
      </c>
      <c r="Z280" s="477" t="str">
        <f>IF($X$280="","",$Z$252)</f>
        <v/>
      </c>
      <c r="AA280" s="477" t="str">
        <f>IF($AC$280="","",ROW($A$280)-ROW($A$252))</f>
        <v/>
      </c>
      <c r="AB280" s="478"/>
      <c r="AC280" s="34"/>
      <c r="AD280" s="356"/>
      <c r="AE280" s="479"/>
      <c r="AF280" s="475"/>
      <c r="AG280" s="480" t="str">
        <f t="shared" si="64"/>
        <v/>
      </c>
      <c r="AH280" s="481" t="str">
        <f t="shared" si="65"/>
        <v/>
      </c>
      <c r="AI280" s="477" t="str">
        <f>IF($AC$280="","",IFERROR(INDEX($AZ$74:$AZ$119,MATCH($AH$280,$AY$74:$AY$119,0)),"AUTRE"))</f>
        <v/>
      </c>
      <c r="AJ280" s="482" t="str">
        <f>IF($AC$280="","",IFERROR(INDEX($BA$74:$BA$119,MATCH($AH$280,$AY$74:$AY$119,0)),1))</f>
        <v/>
      </c>
      <c r="AK280" s="482" t="str">
        <f t="shared" si="66"/>
        <v/>
      </c>
      <c r="AL280" s="477" t="str">
        <f>IF($AC$280="","",IFERROR(INDEX($BB$74:$BB$119,MATCH($AH$280,$AY$74:$AY$119,0)),$AH$280))</f>
        <v/>
      </c>
      <c r="AM280" s="483" t="str">
        <f t="shared" si="67"/>
        <v/>
      </c>
      <c r="AN280" s="484" t="str">
        <f t="shared" si="68"/>
        <v/>
      </c>
      <c r="AO280" s="473" t="str">
        <f t="shared" si="69"/>
        <v/>
      </c>
      <c r="AP280" s="473" t="str">
        <f t="shared" si="70"/>
        <v/>
      </c>
      <c r="AQ280" s="473" t="str">
        <f t="shared" si="71"/>
        <v/>
      </c>
      <c r="AR280" s="473" t="str">
        <f t="shared" si="72"/>
        <v/>
      </c>
      <c r="AS280" s="473" t="str">
        <f t="shared" si="73"/>
        <v/>
      </c>
      <c r="AT280" s="473" t="str">
        <f t="shared" si="74"/>
        <v/>
      </c>
      <c r="AU280" s="473" t="str">
        <f t="shared" si="75"/>
        <v/>
      </c>
      <c r="AY280" s="271"/>
      <c r="AZ280" s="32" t="s">
        <v>33</v>
      </c>
      <c r="BA280" s="34" t="s">
        <v>6120</v>
      </c>
      <c r="BB280" s="499"/>
      <c r="BC280" s="271"/>
      <c r="BD280" s="279">
        <v>1</v>
      </c>
      <c r="BE280" s="271"/>
      <c r="BF280" s="271"/>
      <c r="BG280" s="271"/>
      <c r="BH280" s="271"/>
      <c r="BI280" s="271"/>
      <c r="BJ280" s="271"/>
      <c r="BK280" s="271"/>
      <c r="BL280" s="271"/>
    </row>
    <row r="281" spans="18:64" ht="21" customHeight="1" x14ac:dyDescent="0.25">
      <c r="R281" s="34" t="s">
        <v>6122</v>
      </c>
      <c r="S281" s="451"/>
      <c r="T281" s="31" t="s">
        <v>211</v>
      </c>
      <c r="V281" s="475">
        <v>6</v>
      </c>
      <c r="W281" s="475" t="str">
        <f>IF($AC$281="","",$W$252)</f>
        <v/>
      </c>
      <c r="X281" s="476" t="str">
        <f>IF($AC$281="","",$X$252)</f>
        <v/>
      </c>
      <c r="Y281" s="477" t="str">
        <f>IF($X$281="","",$Y$252)</f>
        <v/>
      </c>
      <c r="Z281" s="477" t="str">
        <f>IF($X$281="","",$Z$252)</f>
        <v/>
      </c>
      <c r="AA281" s="477" t="str">
        <f>IF($AC$281="","",ROW($A$281)-ROW($A$252))</f>
        <v/>
      </c>
      <c r="AB281" s="478"/>
      <c r="AC281" s="34"/>
      <c r="AD281" s="356"/>
      <c r="AE281" s="479"/>
      <c r="AF281" s="475"/>
      <c r="AG281" s="480" t="str">
        <f t="shared" si="64"/>
        <v/>
      </c>
      <c r="AH281" s="481" t="str">
        <f t="shared" si="65"/>
        <v/>
      </c>
      <c r="AI281" s="477" t="str">
        <f>IF($AC$281="","",IFERROR(INDEX($AZ$74:$AZ$119,MATCH($AH$281,$AY$74:$AY$119,0)),"AUTRE"))</f>
        <v/>
      </c>
      <c r="AJ281" s="482" t="str">
        <f>IF($AC$281="","",IFERROR(INDEX($BA$74:$BA$119,MATCH($AH$281,$AY$74:$AY$119,0)),1))</f>
        <v/>
      </c>
      <c r="AK281" s="482" t="str">
        <f t="shared" si="66"/>
        <v/>
      </c>
      <c r="AL281" s="477" t="str">
        <f>IF($AC$281="","",IFERROR(INDEX($BB$74:$BB$119,MATCH($AH$281,$AY$74:$AY$119,0)),$AH$281))</f>
        <v/>
      </c>
      <c r="AM281" s="483" t="str">
        <f t="shared" si="67"/>
        <v/>
      </c>
      <c r="AN281" s="484" t="str">
        <f t="shared" si="68"/>
        <v/>
      </c>
      <c r="AO281" s="473" t="str">
        <f t="shared" si="69"/>
        <v/>
      </c>
      <c r="AP281" s="473" t="str">
        <f t="shared" si="70"/>
        <v/>
      </c>
      <c r="AQ281" s="473" t="str">
        <f t="shared" si="71"/>
        <v/>
      </c>
      <c r="AR281" s="473" t="str">
        <f t="shared" si="72"/>
        <v/>
      </c>
      <c r="AS281" s="473" t="str">
        <f t="shared" si="73"/>
        <v/>
      </c>
      <c r="AT281" s="473" t="str">
        <f t="shared" si="74"/>
        <v/>
      </c>
      <c r="AU281" s="473" t="str">
        <f t="shared" si="75"/>
        <v/>
      </c>
      <c r="AY281" s="497" t="s">
        <v>8145</v>
      </c>
      <c r="AZ281" s="32" t="s">
        <v>8125</v>
      </c>
      <c r="BA281" s="34" t="s">
        <v>6121</v>
      </c>
      <c r="BB281" s="499"/>
      <c r="BC281" s="271"/>
      <c r="BD281" s="279">
        <v>1</v>
      </c>
      <c r="BE281" s="271"/>
      <c r="BF281" s="271"/>
      <c r="BG281" s="271"/>
      <c r="BH281" s="271"/>
      <c r="BI281" s="271"/>
      <c r="BJ281" s="271"/>
      <c r="BK281" s="271"/>
      <c r="BL281" s="271"/>
    </row>
    <row r="282" spans="18:64" ht="21" customHeight="1" x14ac:dyDescent="0.25">
      <c r="R282" s="34" t="s">
        <v>6123</v>
      </c>
      <c r="S282" s="451"/>
      <c r="T282" s="31" t="s">
        <v>20</v>
      </c>
      <c r="V282" s="475">
        <v>6</v>
      </c>
      <c r="W282" s="475" t="str">
        <f>IF($AC$282="","",$W$252)</f>
        <v/>
      </c>
      <c r="X282" s="476" t="str">
        <f>IF($AC$282="","",$X$252)</f>
        <v/>
      </c>
      <c r="Y282" s="477" t="str">
        <f>IF($X$282="","",$Y$252)</f>
        <v/>
      </c>
      <c r="Z282" s="477" t="str">
        <f>IF($X$282="","",$Z$252)</f>
        <v/>
      </c>
      <c r="AA282" s="477" t="str">
        <f>IF($AC$282="","",ROW($A$282)-ROW($A$252))</f>
        <v/>
      </c>
      <c r="AB282" s="478"/>
      <c r="AC282" s="34"/>
      <c r="AD282" s="356"/>
      <c r="AE282" s="479"/>
      <c r="AF282" s="475"/>
      <c r="AG282" s="480" t="str">
        <f t="shared" si="64"/>
        <v/>
      </c>
      <c r="AH282" s="481" t="str">
        <f t="shared" si="65"/>
        <v/>
      </c>
      <c r="AI282" s="477" t="str">
        <f>IF($AC$282="","",IFERROR(INDEX($AZ$74:$AZ$119,MATCH($AH$282,$AY$74:$AY$119,0)),"AUTRE"))</f>
        <v/>
      </c>
      <c r="AJ282" s="482" t="str">
        <f>IF($AC$282="","",IFERROR(INDEX($BA$74:$BA$119,MATCH($AH$282,$AY$74:$AY$119,0)),1))</f>
        <v/>
      </c>
      <c r="AK282" s="482" t="str">
        <f t="shared" si="66"/>
        <v/>
      </c>
      <c r="AL282" s="477" t="str">
        <f>IF($AC$282="","",IFERROR(INDEX($BB$74:$BB$119,MATCH($AH$282,$AY$74:$AY$119,0)),$AH$282))</f>
        <v/>
      </c>
      <c r="AM282" s="483" t="str">
        <f t="shared" si="67"/>
        <v/>
      </c>
      <c r="AN282" s="484" t="str">
        <f t="shared" si="68"/>
        <v/>
      </c>
      <c r="AO282" s="473" t="str">
        <f t="shared" si="69"/>
        <v/>
      </c>
      <c r="AP282" s="473" t="str">
        <f t="shared" si="70"/>
        <v/>
      </c>
      <c r="AQ282" s="473" t="str">
        <f t="shared" si="71"/>
        <v/>
      </c>
      <c r="AR282" s="473" t="str">
        <f t="shared" si="72"/>
        <v/>
      </c>
      <c r="AS282" s="473" t="str">
        <f t="shared" si="73"/>
        <v/>
      </c>
      <c r="AT282" s="473" t="str">
        <f t="shared" si="74"/>
        <v/>
      </c>
      <c r="AU282" s="473" t="str">
        <f t="shared" si="75"/>
        <v/>
      </c>
      <c r="AY282" s="497" t="s">
        <v>462</v>
      </c>
      <c r="AZ282" s="32" t="s">
        <v>8127</v>
      </c>
      <c r="BA282" s="34" t="s">
        <v>6122</v>
      </c>
      <c r="BB282" s="499"/>
      <c r="BC282" s="271"/>
      <c r="BD282" s="279">
        <v>1</v>
      </c>
      <c r="BE282" s="271"/>
      <c r="BF282" s="271"/>
      <c r="BG282" s="271"/>
      <c r="BH282" s="271"/>
      <c r="BI282" s="271"/>
      <c r="BJ282" s="271"/>
      <c r="BK282" s="271"/>
      <c r="BL282" s="271"/>
    </row>
    <row r="283" spans="18:64" ht="21" customHeight="1" x14ac:dyDescent="0.25">
      <c r="R283" s="34" t="s">
        <v>6124</v>
      </c>
      <c r="S283" s="451"/>
      <c r="T283" s="31" t="s">
        <v>304</v>
      </c>
      <c r="V283" s="475">
        <v>6</v>
      </c>
      <c r="W283" s="475" t="str">
        <f>IF($AC$283="","",$W$252)</f>
        <v/>
      </c>
      <c r="X283" s="476" t="str">
        <f>IF($AC$283="","",$X$252)</f>
        <v/>
      </c>
      <c r="Y283" s="477" t="str">
        <f>IF($X$283="","",$Y$252)</f>
        <v/>
      </c>
      <c r="Z283" s="477" t="str">
        <f>IF($X$283="","",$Z$252)</f>
        <v/>
      </c>
      <c r="AA283" s="477" t="str">
        <f>IF($AC$283="","",ROW($A$283)-ROW($A$252))</f>
        <v/>
      </c>
      <c r="AB283" s="478"/>
      <c r="AC283" s="34"/>
      <c r="AD283" s="356"/>
      <c r="AE283" s="479"/>
      <c r="AF283" s="475"/>
      <c r="AG283" s="480" t="str">
        <f t="shared" si="64"/>
        <v/>
      </c>
      <c r="AH283" s="481" t="str">
        <f t="shared" si="65"/>
        <v/>
      </c>
      <c r="AI283" s="477" t="str">
        <f>IF($AC$283="","",IFERROR(INDEX($AZ$74:$AZ$119,MATCH($AH$283,$AY$74:$AY$119,0)),"AUTRE"))</f>
        <v/>
      </c>
      <c r="AJ283" s="482" t="str">
        <f>IF($AC$283="","",IFERROR(INDEX($BA$74:$BA$119,MATCH($AH$283,$AY$74:$AY$119,0)),1))</f>
        <v/>
      </c>
      <c r="AK283" s="482" t="str">
        <f t="shared" si="66"/>
        <v/>
      </c>
      <c r="AL283" s="477" t="str">
        <f>IF($AC$283="","",IFERROR(INDEX($BB$74:$BB$119,MATCH($AH$283,$AY$74:$AY$119,0)),$AH$283))</f>
        <v/>
      </c>
      <c r="AM283" s="483" t="str">
        <f t="shared" si="67"/>
        <v/>
      </c>
      <c r="AN283" s="484" t="str">
        <f t="shared" si="68"/>
        <v/>
      </c>
      <c r="AO283" s="473" t="str">
        <f t="shared" si="69"/>
        <v/>
      </c>
      <c r="AP283" s="473" t="str">
        <f t="shared" si="70"/>
        <v/>
      </c>
      <c r="AQ283" s="473" t="str">
        <f t="shared" si="71"/>
        <v/>
      </c>
      <c r="AR283" s="473" t="str">
        <f t="shared" si="72"/>
        <v/>
      </c>
      <c r="AS283" s="473" t="str">
        <f t="shared" si="73"/>
        <v/>
      </c>
      <c r="AT283" s="473" t="str">
        <f t="shared" si="74"/>
        <v/>
      </c>
      <c r="AU283" s="473" t="str">
        <f t="shared" si="75"/>
        <v/>
      </c>
      <c r="AY283" s="497" t="s">
        <v>463</v>
      </c>
      <c r="AZ283" s="32" t="s">
        <v>320</v>
      </c>
      <c r="BA283" s="34" t="s">
        <v>6123</v>
      </c>
      <c r="BB283" s="499"/>
      <c r="BC283" s="271"/>
      <c r="BD283" s="279">
        <v>1</v>
      </c>
      <c r="BE283" s="271"/>
      <c r="BF283" s="271"/>
      <c r="BG283" s="271"/>
      <c r="BH283" s="271"/>
      <c r="BI283" s="271"/>
      <c r="BJ283" s="271"/>
      <c r="BK283" s="271"/>
      <c r="BL283" s="271"/>
    </row>
    <row r="284" spans="18:64" ht="21" customHeight="1" x14ac:dyDescent="0.25">
      <c r="R284" s="34" t="s">
        <v>6125</v>
      </c>
      <c r="S284" s="451"/>
      <c r="T284" s="31" t="s">
        <v>352</v>
      </c>
      <c r="V284" s="475">
        <v>6</v>
      </c>
      <c r="W284" s="475" t="str">
        <f>IF($AC$284="","",$W$252)</f>
        <v/>
      </c>
      <c r="X284" s="476" t="str">
        <f>IF($AC$284="","",$X$252)</f>
        <v/>
      </c>
      <c r="Y284" s="477" t="str">
        <f>IF($X$284="","",$Y$252)</f>
        <v/>
      </c>
      <c r="Z284" s="477" t="str">
        <f>IF($X$284="","",$Z$252)</f>
        <v/>
      </c>
      <c r="AA284" s="477" t="str">
        <f>IF($AC$284="","",ROW($A$284)-ROW($A$252))</f>
        <v/>
      </c>
      <c r="AB284" s="478"/>
      <c r="AC284" s="34"/>
      <c r="AD284" s="356"/>
      <c r="AE284" s="479"/>
      <c r="AF284" s="475"/>
      <c r="AG284" s="480" t="str">
        <f t="shared" si="64"/>
        <v/>
      </c>
      <c r="AH284" s="481" t="str">
        <f t="shared" si="65"/>
        <v/>
      </c>
      <c r="AI284" s="477" t="str">
        <f>IF($AC$284="","",IFERROR(INDEX($AZ$74:$AZ$119,MATCH($AH$284,$AY$74:$AY$119,0)),"AUTRE"))</f>
        <v/>
      </c>
      <c r="AJ284" s="482" t="str">
        <f>IF($AC$284="","",IFERROR(INDEX($BA$74:$BA$119,MATCH($AH$284,$AY$74:$AY$119,0)),1))</f>
        <v/>
      </c>
      <c r="AK284" s="482" t="str">
        <f t="shared" si="66"/>
        <v/>
      </c>
      <c r="AL284" s="477" t="str">
        <f>IF($AC$284="","",IFERROR(INDEX($BB$74:$BB$119,MATCH($AH$284,$AY$74:$AY$119,0)),$AH$284))</f>
        <v/>
      </c>
      <c r="AM284" s="483" t="str">
        <f t="shared" si="67"/>
        <v/>
      </c>
      <c r="AN284" s="484" t="str">
        <f t="shared" si="68"/>
        <v/>
      </c>
      <c r="AO284" s="473" t="str">
        <f t="shared" si="69"/>
        <v/>
      </c>
      <c r="AP284" s="473" t="str">
        <f t="shared" si="70"/>
        <v/>
      </c>
      <c r="AQ284" s="473" t="str">
        <f t="shared" si="71"/>
        <v/>
      </c>
      <c r="AR284" s="473" t="str">
        <f t="shared" si="72"/>
        <v/>
      </c>
      <c r="AS284" s="473" t="str">
        <f t="shared" si="73"/>
        <v/>
      </c>
      <c r="AT284" s="473" t="str">
        <f t="shared" si="74"/>
        <v/>
      </c>
      <c r="AU284" s="473" t="str">
        <f t="shared" si="75"/>
        <v/>
      </c>
      <c r="AY284" s="497" t="s">
        <v>8147</v>
      </c>
      <c r="AZ284" s="32" t="s">
        <v>318</v>
      </c>
      <c r="BA284" s="34" t="s">
        <v>6124</v>
      </c>
      <c r="BB284" s="499"/>
      <c r="BC284" s="271"/>
      <c r="BD284" s="279">
        <v>1</v>
      </c>
      <c r="BE284" s="271"/>
      <c r="BF284" s="271"/>
      <c r="BG284" s="271"/>
      <c r="BH284" s="271"/>
      <c r="BI284" s="271"/>
      <c r="BJ284" s="271"/>
      <c r="BK284" s="271"/>
      <c r="BL284" s="271"/>
    </row>
    <row r="285" spans="18:64" ht="21" customHeight="1" x14ac:dyDescent="0.25">
      <c r="R285" s="34" t="s">
        <v>6126</v>
      </c>
      <c r="S285" s="451"/>
      <c r="T285" s="31" t="s">
        <v>25</v>
      </c>
      <c r="V285" s="475">
        <v>6</v>
      </c>
      <c r="W285" s="475" t="str">
        <f>IF($AC$285="","",$W$252)</f>
        <v/>
      </c>
      <c r="X285" s="476" t="str">
        <f>IF($AC$285="","",$X$252)</f>
        <v/>
      </c>
      <c r="Y285" s="477" t="str">
        <f>IF($X$285="","",$Y$252)</f>
        <v/>
      </c>
      <c r="Z285" s="477" t="str">
        <f>IF($X$285="","",$Z$252)</f>
        <v/>
      </c>
      <c r="AA285" s="477" t="str">
        <f>IF($AC$285="","",ROW($A$285)-ROW($A$252))</f>
        <v/>
      </c>
      <c r="AB285" s="478"/>
      <c r="AC285" s="34"/>
      <c r="AD285" s="356"/>
      <c r="AE285" s="479"/>
      <c r="AF285" s="475"/>
      <c r="AG285" s="480" t="str">
        <f t="shared" si="64"/>
        <v/>
      </c>
      <c r="AH285" s="481" t="str">
        <f t="shared" si="65"/>
        <v/>
      </c>
      <c r="AI285" s="477" t="str">
        <f>IF($AC$285="","",IFERROR(INDEX($AZ$74:$AZ$119,MATCH($AH$285,$AY$74:$AY$119,0)),"AUTRE"))</f>
        <v/>
      </c>
      <c r="AJ285" s="482" t="str">
        <f>IF($AC$285="","",IFERROR(INDEX($BA$74:$BA$119,MATCH($AH$285,$AY$74:$AY$119,0)),1))</f>
        <v/>
      </c>
      <c r="AK285" s="482" t="str">
        <f t="shared" si="66"/>
        <v/>
      </c>
      <c r="AL285" s="477" t="str">
        <f>IF($AC$285="","",IFERROR(INDEX($BB$74:$BB$119,MATCH($AH$285,$AY$74:$AY$119,0)),$AH$285))</f>
        <v/>
      </c>
      <c r="AM285" s="483" t="str">
        <f t="shared" si="67"/>
        <v/>
      </c>
      <c r="AN285" s="484" t="str">
        <f t="shared" si="68"/>
        <v/>
      </c>
      <c r="AO285" s="473" t="str">
        <f t="shared" si="69"/>
        <v/>
      </c>
      <c r="AP285" s="473" t="str">
        <f t="shared" si="70"/>
        <v/>
      </c>
      <c r="AQ285" s="473" t="str">
        <f t="shared" si="71"/>
        <v/>
      </c>
      <c r="AR285" s="473" t="str">
        <f t="shared" si="72"/>
        <v/>
      </c>
      <c r="AS285" s="473" t="str">
        <f t="shared" si="73"/>
        <v/>
      </c>
      <c r="AT285" s="473" t="str">
        <f t="shared" si="74"/>
        <v/>
      </c>
      <c r="AU285" s="473" t="str">
        <f t="shared" si="75"/>
        <v/>
      </c>
      <c r="AY285" s="497" t="s">
        <v>465</v>
      </c>
      <c r="AZ285" s="32" t="s">
        <v>316</v>
      </c>
      <c r="BA285" s="34" t="s">
        <v>6125</v>
      </c>
      <c r="BB285" s="499"/>
      <c r="BC285" s="271"/>
      <c r="BD285" s="279">
        <v>1</v>
      </c>
      <c r="BE285" s="271"/>
      <c r="BF285" s="271"/>
      <c r="BG285" s="271"/>
      <c r="BH285" s="271"/>
      <c r="BI285" s="271"/>
      <c r="BJ285" s="271"/>
      <c r="BK285" s="271"/>
      <c r="BL285" s="271"/>
    </row>
    <row r="286" spans="18:64" ht="21" customHeight="1" x14ac:dyDescent="0.25">
      <c r="R286" s="34" t="s">
        <v>6127</v>
      </c>
      <c r="S286" s="451"/>
      <c r="T286" s="31" t="s">
        <v>26</v>
      </c>
      <c r="V286" s="475">
        <v>6</v>
      </c>
      <c r="W286" s="475" t="str">
        <f>IF($AC$286="","",$W$252)</f>
        <v/>
      </c>
      <c r="X286" s="476" t="str">
        <f>IF($AC$286="","",$X$252)</f>
        <v/>
      </c>
      <c r="Y286" s="477" t="str">
        <f>IF($X$286="","",$Y$252)</f>
        <v/>
      </c>
      <c r="Z286" s="477" t="str">
        <f>IF($X$286="","",$Z$252)</f>
        <v/>
      </c>
      <c r="AA286" s="477" t="str">
        <f>IF($AC$286="","",ROW($A$286)-ROW($A$252))</f>
        <v/>
      </c>
      <c r="AB286" s="478"/>
      <c r="AC286" s="34"/>
      <c r="AD286" s="356"/>
      <c r="AE286" s="479"/>
      <c r="AF286" s="475"/>
      <c r="AG286" s="491" t="str">
        <f t="shared" si="64"/>
        <v/>
      </c>
      <c r="AH286" s="481" t="str">
        <f t="shared" si="65"/>
        <v/>
      </c>
      <c r="AI286" s="477" t="str">
        <f>IF($AC$286="","",IFERROR(INDEX($AZ$74:$AZ$119,MATCH($AH$286,$AY$74:$AY$119,0)),"AUTRE"))</f>
        <v/>
      </c>
      <c r="AJ286" s="482" t="str">
        <f>IF($AC$286="","",IFERROR(INDEX($BA$74:$BA$119,MATCH($AH$286,$AY$74:$AY$119,0)),1))</f>
        <v/>
      </c>
      <c r="AK286" s="482" t="str">
        <f t="shared" si="66"/>
        <v/>
      </c>
      <c r="AL286" s="477" t="str">
        <f>IF($AC$286="","",IFERROR(INDEX($BB$74:$BB$119,MATCH($AH$286,$AY$74:$AY$119,0)),$AH$286))</f>
        <v/>
      </c>
      <c r="AM286" s="483" t="str">
        <f t="shared" si="67"/>
        <v/>
      </c>
      <c r="AN286" s="484" t="str">
        <f t="shared" si="68"/>
        <v/>
      </c>
      <c r="AO286" s="473" t="str">
        <f t="shared" si="69"/>
        <v/>
      </c>
      <c r="AP286" s="473" t="str">
        <f t="shared" si="70"/>
        <v/>
      </c>
      <c r="AQ286" s="473" t="str">
        <f t="shared" si="71"/>
        <v/>
      </c>
      <c r="AR286" s="473" t="str">
        <f t="shared" si="72"/>
        <v/>
      </c>
      <c r="AS286" s="473" t="str">
        <f t="shared" si="73"/>
        <v/>
      </c>
      <c r="AT286" s="473" t="str">
        <f t="shared" si="74"/>
        <v/>
      </c>
      <c r="AU286" s="473" t="str">
        <f t="shared" si="75"/>
        <v/>
      </c>
      <c r="AY286" s="497" t="s">
        <v>466</v>
      </c>
      <c r="AZ286" s="32" t="s">
        <v>313</v>
      </c>
      <c r="BA286" s="34" t="s">
        <v>6126</v>
      </c>
      <c r="BB286" s="499"/>
      <c r="BC286" s="271"/>
      <c r="BD286" s="279">
        <v>1</v>
      </c>
      <c r="BE286" s="271"/>
      <c r="BF286" s="271"/>
      <c r="BG286" s="271"/>
      <c r="BH286" s="271"/>
      <c r="BI286" s="271"/>
      <c r="BJ286" s="271"/>
      <c r="BK286" s="271"/>
      <c r="BL286" s="271"/>
    </row>
    <row r="287" spans="18:64" ht="30" customHeight="1" x14ac:dyDescent="0.25">
      <c r="R287" s="25" t="s">
        <v>6128</v>
      </c>
      <c r="S287" s="451"/>
      <c r="T287" s="31" t="s">
        <v>27</v>
      </c>
      <c r="V287" s="453" t="s">
        <v>324</v>
      </c>
      <c r="W287" s="453" t="s">
        <v>7912</v>
      </c>
      <c r="X287" s="453" t="s">
        <v>326</v>
      </c>
      <c r="Y287" s="453" t="s">
        <v>327</v>
      </c>
      <c r="Z287" s="454" t="s">
        <v>7930</v>
      </c>
      <c r="AA287" s="453" t="s">
        <v>7937</v>
      </c>
      <c r="AB287" s="455" t="s">
        <v>39</v>
      </c>
      <c r="AC287" s="455" t="s">
        <v>338</v>
      </c>
      <c r="AD287" s="455" t="s">
        <v>8114</v>
      </c>
      <c r="AE287" s="455" t="s">
        <v>339</v>
      </c>
      <c r="AF287" s="455" t="s">
        <v>7997</v>
      </c>
      <c r="AG287" s="453" t="s">
        <v>8018</v>
      </c>
      <c r="AH287" s="453" t="s">
        <v>8023</v>
      </c>
      <c r="AI287" s="453" t="s">
        <v>330</v>
      </c>
      <c r="AJ287" s="453" t="s">
        <v>8031</v>
      </c>
      <c r="AK287" s="453" t="s">
        <v>8037</v>
      </c>
      <c r="AL287" s="453" t="s">
        <v>8041</v>
      </c>
      <c r="AM287" s="453" t="s">
        <v>343</v>
      </c>
      <c r="AN287" s="457" t="s">
        <v>8115</v>
      </c>
      <c r="AO287" s="457" t="s">
        <v>8116</v>
      </c>
      <c r="AP287" s="656" t="s">
        <v>8117</v>
      </c>
      <c r="AQ287" s="656"/>
      <c r="AR287" s="656"/>
      <c r="AS287" s="656"/>
      <c r="AT287" s="656"/>
      <c r="AU287" s="657"/>
      <c r="AZ287" s="32" t="s">
        <v>307</v>
      </c>
      <c r="BA287" s="34" t="s">
        <v>6127</v>
      </c>
      <c r="BB287" s="499"/>
      <c r="BC287" s="271"/>
      <c r="BD287" s="279">
        <v>1</v>
      </c>
      <c r="BE287" s="271"/>
      <c r="BF287" s="271"/>
      <c r="BG287" s="271"/>
      <c r="BH287" s="271"/>
      <c r="BI287" s="271"/>
      <c r="BJ287" s="271"/>
      <c r="BK287" s="271"/>
      <c r="BL287" s="271"/>
    </row>
    <row r="288" spans="18:64" ht="30" customHeight="1" x14ac:dyDescent="0.25">
      <c r="R288" s="34" t="s">
        <v>474</v>
      </c>
      <c r="S288" s="451"/>
      <c r="T288" s="31" t="s">
        <v>28</v>
      </c>
      <c r="V288" s="459">
        <v>7</v>
      </c>
      <c r="W288" s="460" t="s">
        <v>8120</v>
      </c>
      <c r="X288" s="461" t="s">
        <v>8157</v>
      </c>
      <c r="Y288" s="462"/>
      <c r="Z288" s="463">
        <v>100</v>
      </c>
      <c r="AA288" s="464">
        <f>IF($AC$396="","",ROW($A$396)-ROW($A$396))</f>
        <v>0</v>
      </c>
      <c r="AB288" s="461"/>
      <c r="AC288" s="465" t="s">
        <v>8158</v>
      </c>
      <c r="AD288" s="390"/>
      <c r="AE288" s="390"/>
      <c r="AF288" s="466"/>
      <c r="AG288" s="467" t="str">
        <f t="shared" ref="AG288:AG322" si="76">IF($AC288="","",IF(LEN($AN288&amp;"")=0,"",$AN288))</f>
        <v/>
      </c>
      <c r="AH288" s="468" t="str">
        <f t="shared" ref="AH288:AH322" si="77">IF($AC288="","",IF($AF288&lt;&gt;"",UPPER(TRIM(SUBSTITUTE(SUBSTITUTE($AF288&amp;"",CHAR(160)," ")," "," "))),$AP288))</f>
        <v/>
      </c>
      <c r="AI288" s="469" t="str">
        <f>IF($AC$288="","",IFERROR(INDEX($AZ$74:$AZ$119,MATCH($AH$288,$AY$74:$AY$119,0)),"AUTRE"))</f>
        <v>AUTRE</v>
      </c>
      <c r="AJ288" s="470">
        <f>IF($AC$288="","",IFERROR(INDEX($BA$74:$BA$119,MATCH($AH$288,$AY$74:$AY$119,0)),1))</f>
        <v>1</v>
      </c>
      <c r="AK288" s="470" t="str">
        <f t="shared" si="66"/>
        <v/>
      </c>
      <c r="AL288" s="469" t="str">
        <f>IF($AC$288="","",IFERROR(INDEX($BB$74:$BB$119,MATCH($AH$288,$AY$74:$AY$119,0)),$AH$288))</f>
        <v/>
      </c>
      <c r="AM288" s="471" t="str">
        <f t="shared" ref="AM288:AM322" si="78">IF($AC288="","",IF($AH288="QT. SUFFISANTE","OK",IF($AG288="","TEXTE",IF(NOT(ISNUMBER($AG288)),"QUANTITÉ À CONTRÔLER",IF(COUNTIF($AY$74:$AY$119,$AH288)=0,"UNITÉ À CONTRÔLER","OK")))))</f>
        <v>TEXTE</v>
      </c>
      <c r="AN288" s="474" t="str">
        <f t="shared" ref="AN288:AN322" si="79">IF($AE288&lt;&gt;"",$AE288,IF($AD288="","",IF(ISNUMBER($AD288),$AD288,IF($AO288="QT",0,IF($AO288="","",IFERROR(IF(ISNUMBER(SEARCH("/",$AO288)),VALUE(TRIM(LEFT($AO288,SEARCH("/",$AO288)-1)))/VALUE(TRIM(MID($AO288,SEARCH("/",$AO288)+1,99))),VALUE(SUBSTITUTE($AO288,".",","))),""))))))</f>
        <v/>
      </c>
      <c r="AO288" s="473" t="str">
        <f t="shared" ref="AO288:AO322" si="80">IF($AD288="","",IF(ISNUMBER($AD288),$AD288,IF(OR(LEFT($AQ288,3)="QT.",LEFT($AQ288,4)="QUAN"),"QT",IF($AR288=999,$AQ288,TRIM(LEFT($AQ288,$AR288-1))))))</f>
        <v/>
      </c>
      <c r="AP288" s="473" t="str">
        <f t="shared" ref="AP288:AP322" si="81">IF($AD288="","",IF(ISNUMBER($AD288),"",IF(OR(LEFT($AQ288,3)="QT.",LEFT($AQ288,4)="QUAN"),"QT. SUFFISANTE",IF($AO288="","",TRIM(MID($AQ288,LEN($AO288&amp;"")+1,999))))))</f>
        <v/>
      </c>
      <c r="AQ288" s="473" t="str">
        <f t="shared" ref="AQ288:AQ322" si="82">IF($AD288="","",UPPER(TRIM(SUBSTITUTE(SUBSTITUTE($AD288&amp;"",CHAR(160)," ")," "," "))))</f>
        <v/>
      </c>
      <c r="AR288" s="473" t="str">
        <f t="shared" ref="AR288:AR322" si="83">IF($AQ288="","",MIN($AS288,$AT288,$AU288))</f>
        <v/>
      </c>
      <c r="AS288" s="473" t="str">
        <f t="shared" ref="AS288:AS322" si="84">IF($AQ288="","",MIN(IFERROR(SEARCH("A",$AQ288),999),IFERROR(SEARCH("B",$AQ288),999),IFERROR(SEARCH("C",$AQ288),999),IFERROR(SEARCH("D",$AQ288),999),IFERROR(SEARCH("E",$AQ288),999),IFERROR(SEARCH("F",$AQ288),999),IFERROR(SEARCH("G",$AQ288),999),IFERROR(SEARCH("H",$AQ288),999),IFERROR(SEARCH("I",$AQ288),999)))</f>
        <v/>
      </c>
      <c r="AT288" s="473" t="str">
        <f t="shared" ref="AT288:AT322" si="85">IF($AQ288="","",MIN(IFERROR(SEARCH("J",$AQ288),999),IFERROR(SEARCH("K",$AQ288),999),IFERROR(SEARCH("L",$AQ288),999),IFERROR(SEARCH("M",$AQ288),999),IFERROR(SEARCH("N",$AQ288),999),IFERROR(SEARCH("O",$AQ288),999),IFERROR(SEARCH("P",$AQ288),999),IFERROR(SEARCH("Q",$AQ288),999),IFERROR(SEARCH("R",$AQ288),999)))</f>
        <v/>
      </c>
      <c r="AU288" s="473" t="str">
        <f t="shared" ref="AU288:AU322" si="86">IF($AQ288="","",MIN(IFERROR(SEARCH("S",$AQ288),999),IFERROR(SEARCH("T",$AQ288),999),IFERROR(SEARCH("U",$AQ288),999),IFERROR(SEARCH("V",$AQ288),999),IFERROR(SEARCH("W",$AQ288),999),IFERROR(SEARCH("X",$AQ288),999),IFERROR(SEARCH("Y",$AQ288),999),IFERROR(SEARCH("Z",$AQ288),999)))</f>
        <v/>
      </c>
      <c r="AZ288" s="32" t="s">
        <v>322</v>
      </c>
      <c r="BA288" s="25" t="s">
        <v>6128</v>
      </c>
      <c r="BB288" s="499"/>
      <c r="BC288" s="271"/>
      <c r="BD288" s="279">
        <v>1</v>
      </c>
      <c r="BE288" s="271"/>
      <c r="BF288" s="271"/>
      <c r="BG288" s="271"/>
      <c r="BH288" s="271"/>
      <c r="BI288" s="271"/>
      <c r="BJ288" s="271"/>
      <c r="BK288" s="271"/>
      <c r="BL288" s="271"/>
    </row>
    <row r="289" spans="18:64" ht="21" customHeight="1" x14ac:dyDescent="0.25">
      <c r="R289" s="34" t="s">
        <v>490</v>
      </c>
      <c r="S289" s="451"/>
      <c r="T289" s="31" t="s">
        <v>29</v>
      </c>
      <c r="V289" s="475">
        <f>$V$288</f>
        <v>7</v>
      </c>
      <c r="W289" s="475" t="str">
        <f>IF($AC$289="","",$W$288)</f>
        <v/>
      </c>
      <c r="X289" s="476" t="str">
        <f>IF($AC$289="","",$X$288)</f>
        <v/>
      </c>
      <c r="Y289" s="477" t="str">
        <f>IF($X$289="","",$Y$288)</f>
        <v/>
      </c>
      <c r="Z289" s="477" t="str">
        <f>IF($X$289="","",$Z$288)</f>
        <v/>
      </c>
      <c r="AA289" s="477" t="str">
        <f>IF($AC$289="","",ROW($A$289)-ROW($A$288))</f>
        <v/>
      </c>
      <c r="AB289" s="478"/>
      <c r="AC289" s="34"/>
      <c r="AD289" s="356"/>
      <c r="AE289" s="479"/>
      <c r="AF289" s="475"/>
      <c r="AG289" s="480" t="str">
        <f t="shared" si="76"/>
        <v/>
      </c>
      <c r="AH289" s="481" t="str">
        <f t="shared" si="77"/>
        <v/>
      </c>
      <c r="AI289" s="477" t="str">
        <f>IF($AC$289="","",IFERROR(INDEX($AZ$74:$AZ$119,MATCH($AH$289,$AY$74:$AY$119,0)),"AUTRE"))</f>
        <v/>
      </c>
      <c r="AJ289" s="482" t="str">
        <f>IF($AC$289="","",IFERROR(INDEX($BA$74:$BA$119,MATCH($AH$289,$AY$74:$AY$119,0)),1))</f>
        <v/>
      </c>
      <c r="AK289" s="482" t="str">
        <f t="shared" si="66"/>
        <v/>
      </c>
      <c r="AL289" s="477" t="str">
        <f>IF($AC$289="","",IFERROR(INDEX($BB$74:$BB$119,MATCH($AH$289,$AY$74:$AY$119,0)),$AH$289))</f>
        <v/>
      </c>
      <c r="AM289" s="483" t="str">
        <f t="shared" si="78"/>
        <v/>
      </c>
      <c r="AN289" s="484" t="str">
        <f t="shared" si="79"/>
        <v/>
      </c>
      <c r="AO289" s="473" t="str">
        <f t="shared" si="80"/>
        <v/>
      </c>
      <c r="AP289" s="473" t="str">
        <f t="shared" si="81"/>
        <v/>
      </c>
      <c r="AQ289" s="473" t="str">
        <f t="shared" si="82"/>
        <v/>
      </c>
      <c r="AR289" s="473" t="str">
        <f t="shared" si="83"/>
        <v/>
      </c>
      <c r="AS289" s="473" t="str">
        <f t="shared" si="84"/>
        <v/>
      </c>
      <c r="AT289" s="473" t="str">
        <f t="shared" si="85"/>
        <v/>
      </c>
      <c r="AU289" s="473" t="str">
        <f t="shared" si="86"/>
        <v/>
      </c>
      <c r="AZ289" s="32" t="s">
        <v>305</v>
      </c>
      <c r="BA289" s="34" t="s">
        <v>474</v>
      </c>
      <c r="BB289" s="499"/>
      <c r="BC289" s="271"/>
      <c r="BD289" s="279">
        <v>1</v>
      </c>
      <c r="BE289" s="271"/>
      <c r="BF289" s="271"/>
      <c r="BG289" s="271"/>
      <c r="BH289" s="271"/>
      <c r="BI289" s="271"/>
      <c r="BJ289" s="271"/>
      <c r="BK289" s="271"/>
      <c r="BL289" s="271"/>
    </row>
    <row r="290" spans="18:64" ht="21" customHeight="1" x14ac:dyDescent="0.25">
      <c r="R290" s="34" t="s">
        <v>6129</v>
      </c>
      <c r="S290" s="451"/>
      <c r="T290" s="31" t="s">
        <v>30</v>
      </c>
      <c r="V290" s="475">
        <v>7</v>
      </c>
      <c r="W290" s="475" t="str">
        <f>IF($AC$290="","",$W$288)</f>
        <v/>
      </c>
      <c r="X290" s="476" t="str">
        <f>IF($AC$290="","",$X$288)</f>
        <v/>
      </c>
      <c r="Y290" s="477" t="str">
        <f>IF($X$290="","",$Y$288)</f>
        <v/>
      </c>
      <c r="Z290" s="477" t="str">
        <f>IF($X$290="","",$Z$288)</f>
        <v/>
      </c>
      <c r="AA290" s="477" t="str">
        <f>IF($AC$290="","",ROW($A$290)-ROW($A$288))</f>
        <v/>
      </c>
      <c r="AB290" s="478"/>
      <c r="AC290" s="34"/>
      <c r="AD290" s="356"/>
      <c r="AE290" s="479"/>
      <c r="AF290" s="475"/>
      <c r="AG290" s="480" t="str">
        <f t="shared" si="76"/>
        <v/>
      </c>
      <c r="AH290" s="481" t="str">
        <f t="shared" si="77"/>
        <v/>
      </c>
      <c r="AI290" s="477" t="str">
        <f>IF($AC$290="","",IFERROR(INDEX($AZ$74:$AZ$119,MATCH($AH$290,$AY$74:$AY$119,0)),"AUTRE"))</f>
        <v/>
      </c>
      <c r="AJ290" s="482" t="str">
        <f>IF($AC$290="","",IFERROR(INDEX($BA$74:$BA$119,MATCH($AH$290,$AY$74:$AY$119,0)),1))</f>
        <v/>
      </c>
      <c r="AK290" s="482" t="str">
        <f t="shared" si="66"/>
        <v/>
      </c>
      <c r="AL290" s="477" t="str">
        <f>IF($AC$290="","",IFERROR(INDEX($BB$74:$BB$119,MATCH($AH$290,$AY$74:$AY$119,0)),$AH$290))</f>
        <v/>
      </c>
      <c r="AM290" s="483" t="str">
        <f t="shared" si="78"/>
        <v/>
      </c>
      <c r="AN290" s="484" t="str">
        <f t="shared" si="79"/>
        <v/>
      </c>
      <c r="AO290" s="473" t="str">
        <f t="shared" si="80"/>
        <v/>
      </c>
      <c r="AP290" s="473" t="str">
        <f t="shared" si="81"/>
        <v/>
      </c>
      <c r="AQ290" s="473" t="str">
        <f t="shared" si="82"/>
        <v/>
      </c>
      <c r="AR290" s="473" t="str">
        <f t="shared" si="83"/>
        <v/>
      </c>
      <c r="AS290" s="473" t="str">
        <f t="shared" si="84"/>
        <v/>
      </c>
      <c r="AT290" s="473" t="str">
        <f t="shared" si="85"/>
        <v/>
      </c>
      <c r="AU290" s="473" t="str">
        <f t="shared" si="86"/>
        <v/>
      </c>
      <c r="AZ290" s="32" t="s">
        <v>8129</v>
      </c>
      <c r="BA290" s="34" t="s">
        <v>490</v>
      </c>
      <c r="BB290" s="499"/>
      <c r="BC290" s="271"/>
      <c r="BD290" s="279">
        <v>1</v>
      </c>
      <c r="BE290" s="271"/>
      <c r="BF290" s="271"/>
      <c r="BG290" s="271"/>
      <c r="BH290" s="271"/>
      <c r="BI290" s="271"/>
      <c r="BJ290" s="271"/>
      <c r="BK290" s="271"/>
      <c r="BL290" s="271"/>
    </row>
    <row r="291" spans="18:64" ht="21" customHeight="1" x14ac:dyDescent="0.25">
      <c r="R291" s="34" t="s">
        <v>478</v>
      </c>
      <c r="S291" s="451"/>
      <c r="T291" s="31" t="s">
        <v>31</v>
      </c>
      <c r="V291" s="475">
        <v>7</v>
      </c>
      <c r="W291" s="475" t="str">
        <f>IF($AC$291="","",$W$288)</f>
        <v/>
      </c>
      <c r="X291" s="476" t="str">
        <f>IF($AC$291="","",$X$288)</f>
        <v/>
      </c>
      <c r="Y291" s="477" t="str">
        <f>IF($X$291="","",$Y$288)</f>
        <v/>
      </c>
      <c r="Z291" s="477" t="str">
        <f>IF($X$291="","",$Z$288)</f>
        <v/>
      </c>
      <c r="AA291" s="477" t="str">
        <f>IF($AC$291="","",ROW($A$291)-ROW($A$288))</f>
        <v/>
      </c>
      <c r="AB291" s="478"/>
      <c r="AC291" s="34"/>
      <c r="AD291" s="356"/>
      <c r="AE291" s="479"/>
      <c r="AF291" s="475"/>
      <c r="AG291" s="480" t="str">
        <f t="shared" si="76"/>
        <v/>
      </c>
      <c r="AH291" s="481" t="str">
        <f t="shared" si="77"/>
        <v/>
      </c>
      <c r="AI291" s="477" t="str">
        <f>IF($AC$291="","",IFERROR(INDEX($AZ$74:$AZ$119,MATCH($AH$291,$AY$74:$AY$119,0)),"AUTRE"))</f>
        <v/>
      </c>
      <c r="AJ291" s="482" t="str">
        <f>IF($AC$291="","",IFERROR(INDEX($BA$74:$BA$119,MATCH($AH$291,$AY$74:$AY$119,0)),1))</f>
        <v/>
      </c>
      <c r="AK291" s="482" t="str">
        <f t="shared" si="66"/>
        <v/>
      </c>
      <c r="AL291" s="477" t="str">
        <f>IF($AC$291="","",IFERROR(INDEX($BB$74:$BB$119,MATCH($AH$291,$AY$74:$AY$119,0)),$AH$291))</f>
        <v/>
      </c>
      <c r="AM291" s="483" t="str">
        <f t="shared" si="78"/>
        <v/>
      </c>
      <c r="AN291" s="484" t="str">
        <f t="shared" si="79"/>
        <v/>
      </c>
      <c r="AO291" s="473" t="str">
        <f t="shared" si="80"/>
        <v/>
      </c>
      <c r="AP291" s="473" t="str">
        <f t="shared" si="81"/>
        <v/>
      </c>
      <c r="AQ291" s="473" t="str">
        <f t="shared" si="82"/>
        <v/>
      </c>
      <c r="AR291" s="473" t="str">
        <f t="shared" si="83"/>
        <v/>
      </c>
      <c r="AS291" s="473" t="str">
        <f t="shared" si="84"/>
        <v/>
      </c>
      <c r="AT291" s="473" t="str">
        <f t="shared" si="85"/>
        <v/>
      </c>
      <c r="AU291" s="473" t="str">
        <f t="shared" si="86"/>
        <v/>
      </c>
      <c r="AZ291" s="32" t="s">
        <v>8131</v>
      </c>
      <c r="BA291" s="34" t="s">
        <v>6129</v>
      </c>
      <c r="BB291" s="499"/>
      <c r="BC291" s="271"/>
      <c r="BD291" s="279">
        <v>1</v>
      </c>
      <c r="BE291" s="271"/>
      <c r="BF291" s="271"/>
      <c r="BG291" s="271"/>
      <c r="BH291" s="271"/>
      <c r="BI291" s="271"/>
      <c r="BJ291" s="271"/>
      <c r="BK291" s="271"/>
      <c r="BL291" s="271"/>
    </row>
    <row r="292" spans="18:64" ht="21" customHeight="1" x14ac:dyDescent="0.25">
      <c r="R292" s="34" t="s">
        <v>6130</v>
      </c>
      <c r="S292" s="451"/>
      <c r="T292" s="32" t="s">
        <v>33</v>
      </c>
      <c r="V292" s="475">
        <v>7</v>
      </c>
      <c r="W292" s="475" t="str">
        <f>IF($AC$292="","",$W$288)</f>
        <v/>
      </c>
      <c r="X292" s="476" t="str">
        <f>IF($AC$292="","",$X$288)</f>
        <v/>
      </c>
      <c r="Y292" s="477" t="str">
        <f>IF($X$292="","",$Y$288)</f>
        <v/>
      </c>
      <c r="Z292" s="477" t="str">
        <f>IF($X$292="","",$Z$288)</f>
        <v/>
      </c>
      <c r="AA292" s="477" t="str">
        <f>IF($AC$292="","",ROW($A$292)-ROW($A$288))</f>
        <v/>
      </c>
      <c r="AB292" s="478"/>
      <c r="AC292" s="34"/>
      <c r="AD292" s="356"/>
      <c r="AE292" s="479"/>
      <c r="AF292" s="475"/>
      <c r="AG292" s="480" t="str">
        <f t="shared" si="76"/>
        <v/>
      </c>
      <c r="AH292" s="481" t="str">
        <f t="shared" si="77"/>
        <v/>
      </c>
      <c r="AI292" s="477" t="str">
        <f>IF($AC$292="","",IFERROR(INDEX($AZ$74:$AZ$119,MATCH($AH$292,$AY$74:$AY$119,0)),"AUTRE"))</f>
        <v/>
      </c>
      <c r="AJ292" s="482" t="str">
        <f>IF($AC$292="","",IFERROR(INDEX($BA$74:$BA$119,MATCH($AH$292,$AY$74:$AY$119,0)),1))</f>
        <v/>
      </c>
      <c r="AK292" s="482" t="str">
        <f t="shared" si="66"/>
        <v/>
      </c>
      <c r="AL292" s="477" t="str">
        <f>IF($AC$292="","",IFERROR(INDEX($BB$74:$BB$119,MATCH($AH$292,$AY$74:$AY$119,0)),$AH$292))</f>
        <v/>
      </c>
      <c r="AM292" s="483" t="str">
        <f t="shared" si="78"/>
        <v/>
      </c>
      <c r="AN292" s="484" t="str">
        <f t="shared" si="79"/>
        <v/>
      </c>
      <c r="AO292" s="473" t="str">
        <f t="shared" si="80"/>
        <v/>
      </c>
      <c r="AP292" s="473" t="str">
        <f t="shared" si="81"/>
        <v/>
      </c>
      <c r="AQ292" s="473" t="str">
        <f t="shared" si="82"/>
        <v/>
      </c>
      <c r="AR292" s="473" t="str">
        <f t="shared" si="83"/>
        <v/>
      </c>
      <c r="AS292" s="473" t="str">
        <f t="shared" si="84"/>
        <v/>
      </c>
      <c r="AT292" s="473" t="str">
        <f t="shared" si="85"/>
        <v/>
      </c>
      <c r="AU292" s="473" t="str">
        <f t="shared" si="86"/>
        <v/>
      </c>
      <c r="AZ292" s="32" t="s">
        <v>309</v>
      </c>
      <c r="BA292" s="34" t="s">
        <v>478</v>
      </c>
      <c r="BB292" s="499"/>
      <c r="BC292" s="271"/>
      <c r="BD292" s="279">
        <v>1</v>
      </c>
      <c r="BE292" s="271"/>
      <c r="BF292" s="271"/>
      <c r="BG292" s="271"/>
      <c r="BH292" s="271"/>
      <c r="BI292" s="271"/>
      <c r="BJ292" s="271"/>
      <c r="BK292" s="271"/>
      <c r="BL292" s="271"/>
    </row>
    <row r="293" spans="18:64" ht="21" customHeight="1" x14ac:dyDescent="0.25">
      <c r="R293" s="34" t="s">
        <v>486</v>
      </c>
      <c r="S293" s="451"/>
      <c r="T293" s="32" t="s">
        <v>8125</v>
      </c>
      <c r="V293" s="475">
        <v>7</v>
      </c>
      <c r="W293" s="475" t="str">
        <f>IF($AC$293="","",$W$288)</f>
        <v/>
      </c>
      <c r="X293" s="476" t="str">
        <f>IF($AC$293="","",$X$288)</f>
        <v/>
      </c>
      <c r="Y293" s="477" t="str">
        <f>IF($X$293="","",$Y$288)</f>
        <v/>
      </c>
      <c r="Z293" s="477" t="str">
        <f>IF($X$293="","",$Z$288)</f>
        <v/>
      </c>
      <c r="AA293" s="477" t="str">
        <f>IF($AC$293="","",ROW($A$293)-ROW($A$288))</f>
        <v/>
      </c>
      <c r="AB293" s="478"/>
      <c r="AC293" s="34"/>
      <c r="AD293" s="356"/>
      <c r="AE293" s="479"/>
      <c r="AF293" s="475"/>
      <c r="AG293" s="480" t="str">
        <f t="shared" si="76"/>
        <v/>
      </c>
      <c r="AH293" s="481" t="str">
        <f t="shared" si="77"/>
        <v/>
      </c>
      <c r="AI293" s="477" t="str">
        <f>IF($AC$293="","",IFERROR(INDEX($AZ$74:$AZ$119,MATCH($AH$293,$AY$74:$AY$119,0)),"AUTRE"))</f>
        <v/>
      </c>
      <c r="AJ293" s="482" t="str">
        <f>IF($AC$293="","",IFERROR(INDEX($BA$74:$BA$119,MATCH($AH$293,$AY$74:$AY$119,0)),1))</f>
        <v/>
      </c>
      <c r="AK293" s="482" t="str">
        <f t="shared" si="66"/>
        <v/>
      </c>
      <c r="AL293" s="477" t="str">
        <f>IF($AC$293="","",IFERROR(INDEX($BB$74:$BB$119,MATCH($AH$293,$AY$74:$AY$119,0)),$AH$293))</f>
        <v/>
      </c>
      <c r="AM293" s="483" t="str">
        <f t="shared" si="78"/>
        <v/>
      </c>
      <c r="AN293" s="484" t="str">
        <f t="shared" si="79"/>
        <v/>
      </c>
      <c r="AO293" s="473" t="str">
        <f t="shared" si="80"/>
        <v/>
      </c>
      <c r="AP293" s="473" t="str">
        <f t="shared" si="81"/>
        <v/>
      </c>
      <c r="AQ293" s="473" t="str">
        <f t="shared" si="82"/>
        <v/>
      </c>
      <c r="AR293" s="473" t="str">
        <f t="shared" si="83"/>
        <v/>
      </c>
      <c r="AS293" s="473" t="str">
        <f t="shared" si="84"/>
        <v/>
      </c>
      <c r="AT293" s="473" t="str">
        <f t="shared" si="85"/>
        <v/>
      </c>
      <c r="AU293" s="473" t="str">
        <f t="shared" si="86"/>
        <v/>
      </c>
      <c r="AZ293" s="32" t="s">
        <v>311</v>
      </c>
      <c r="BA293" s="34" t="s">
        <v>6130</v>
      </c>
      <c r="BB293" s="499"/>
      <c r="BC293" s="271"/>
      <c r="BD293" s="279">
        <v>1</v>
      </c>
      <c r="BE293" s="271"/>
      <c r="BF293" s="271"/>
      <c r="BG293" s="271"/>
      <c r="BH293" s="271"/>
      <c r="BI293" s="271"/>
      <c r="BJ293" s="271"/>
      <c r="BK293" s="271"/>
      <c r="BL293" s="271"/>
    </row>
    <row r="294" spans="18:64" ht="21" customHeight="1" x14ac:dyDescent="0.25">
      <c r="R294" s="34" t="s">
        <v>479</v>
      </c>
      <c r="S294" s="451"/>
      <c r="T294" s="32" t="s">
        <v>8127</v>
      </c>
      <c r="V294" s="475">
        <v>7</v>
      </c>
      <c r="W294" s="475" t="str">
        <f>IF($AC$294="","",$W$288)</f>
        <v/>
      </c>
      <c r="X294" s="476" t="str">
        <f>IF($AC$294="","",$X$288)</f>
        <v/>
      </c>
      <c r="Y294" s="477" t="str">
        <f>IF($X$294="","",$Y$288)</f>
        <v/>
      </c>
      <c r="Z294" s="477" t="str">
        <f>IF($X$294="","",$Z$288)</f>
        <v/>
      </c>
      <c r="AA294" s="477" t="str">
        <f>IF($AC$294="","",ROW($A$294)-ROW($A$288))</f>
        <v/>
      </c>
      <c r="AB294" s="478"/>
      <c r="AC294" s="34"/>
      <c r="AD294" s="356"/>
      <c r="AE294" s="479"/>
      <c r="AF294" s="475"/>
      <c r="AG294" s="480" t="str">
        <f t="shared" si="76"/>
        <v/>
      </c>
      <c r="AH294" s="481" t="str">
        <f t="shared" si="77"/>
        <v/>
      </c>
      <c r="AI294" s="477" t="str">
        <f>IF($AC$294="","",IFERROR(INDEX($AZ$74:$AZ$119,MATCH($AH$294,$AY$74:$AY$119,0)),"AUTRE"))</f>
        <v/>
      </c>
      <c r="AJ294" s="482" t="str">
        <f>IF($AC$294="","",IFERROR(INDEX($BA$74:$BA$119,MATCH($AH$294,$AY$74:$AY$119,0)),1))</f>
        <v/>
      </c>
      <c r="AK294" s="482" t="str">
        <f t="shared" si="66"/>
        <v/>
      </c>
      <c r="AL294" s="477" t="str">
        <f>IF($AC$294="","",IFERROR(INDEX($BB$74:$BB$119,MATCH($AH$294,$AY$74:$AY$119,0)),$AH$294))</f>
        <v/>
      </c>
      <c r="AM294" s="483" t="str">
        <f t="shared" si="78"/>
        <v/>
      </c>
      <c r="AN294" s="484" t="str">
        <f t="shared" si="79"/>
        <v/>
      </c>
      <c r="AO294" s="473" t="str">
        <f t="shared" si="80"/>
        <v/>
      </c>
      <c r="AP294" s="473" t="str">
        <f t="shared" si="81"/>
        <v/>
      </c>
      <c r="AQ294" s="473" t="str">
        <f t="shared" si="82"/>
        <v/>
      </c>
      <c r="AR294" s="473" t="str">
        <f t="shared" si="83"/>
        <v/>
      </c>
      <c r="AS294" s="473" t="str">
        <f t="shared" si="84"/>
        <v/>
      </c>
      <c r="AT294" s="473" t="str">
        <f t="shared" si="85"/>
        <v/>
      </c>
      <c r="AU294" s="473" t="str">
        <f t="shared" si="86"/>
        <v/>
      </c>
      <c r="AZ294" s="32" t="s">
        <v>8135</v>
      </c>
      <c r="BA294" s="34" t="s">
        <v>486</v>
      </c>
      <c r="BB294" s="499"/>
      <c r="BC294" s="271"/>
      <c r="BD294" s="279">
        <v>1</v>
      </c>
      <c r="BE294" s="271"/>
      <c r="BF294" s="271"/>
      <c r="BG294" s="271"/>
      <c r="BH294" s="271"/>
      <c r="BI294" s="271"/>
      <c r="BJ294" s="271"/>
      <c r="BK294" s="271"/>
      <c r="BL294" s="271"/>
    </row>
    <row r="295" spans="18:64" ht="21" customHeight="1" x14ac:dyDescent="0.25">
      <c r="R295" s="34" t="s">
        <v>6131</v>
      </c>
      <c r="S295" s="451"/>
      <c r="T295" s="32" t="s">
        <v>320</v>
      </c>
      <c r="V295" s="475">
        <v>7</v>
      </c>
      <c r="W295" s="475" t="str">
        <f>IF($AC$295="","",$W$288)</f>
        <v/>
      </c>
      <c r="X295" s="476" t="str">
        <f>IF($AC$295="","",$X$288)</f>
        <v/>
      </c>
      <c r="Y295" s="477" t="str">
        <f>IF($X$295="","",$Y$288)</f>
        <v/>
      </c>
      <c r="Z295" s="477" t="str">
        <f>IF($X$295="","",$Z$288)</f>
        <v/>
      </c>
      <c r="AA295" s="477" t="str">
        <f>IF($AC$295="","",ROW($A$295)-ROW($A$288))</f>
        <v/>
      </c>
      <c r="AB295" s="478"/>
      <c r="AC295" s="34"/>
      <c r="AD295" s="356"/>
      <c r="AE295" s="479"/>
      <c r="AF295" s="475"/>
      <c r="AG295" s="480" t="str">
        <f t="shared" si="76"/>
        <v/>
      </c>
      <c r="AH295" s="481" t="str">
        <f t="shared" si="77"/>
        <v/>
      </c>
      <c r="AI295" s="477" t="str">
        <f>IF($AC$295="","",IFERROR(INDEX($AZ$74:$AZ$119,MATCH($AH$295,$AY$74:$AY$119,0)),"AUTRE"))</f>
        <v/>
      </c>
      <c r="AJ295" s="482" t="str">
        <f>IF($AC$295="","",IFERROR(INDEX($BA$74:$BA$119,MATCH($AH$295,$AY$74:$AY$119,0)),1))</f>
        <v/>
      </c>
      <c r="AK295" s="482" t="str">
        <f t="shared" si="66"/>
        <v/>
      </c>
      <c r="AL295" s="477" t="str">
        <f>IF($AC$295="","",IFERROR(INDEX($BB$74:$BB$119,MATCH($AH$295,$AY$74:$AY$119,0)),$AH$295))</f>
        <v/>
      </c>
      <c r="AM295" s="483" t="str">
        <f t="shared" si="78"/>
        <v/>
      </c>
      <c r="AN295" s="484" t="str">
        <f t="shared" si="79"/>
        <v/>
      </c>
      <c r="AO295" s="473" t="str">
        <f t="shared" si="80"/>
        <v/>
      </c>
      <c r="AP295" s="473" t="str">
        <f t="shared" si="81"/>
        <v/>
      </c>
      <c r="AQ295" s="473" t="str">
        <f t="shared" si="82"/>
        <v/>
      </c>
      <c r="AR295" s="473" t="str">
        <f t="shared" si="83"/>
        <v/>
      </c>
      <c r="AS295" s="473" t="str">
        <f t="shared" si="84"/>
        <v/>
      </c>
      <c r="AT295" s="473" t="str">
        <f t="shared" si="85"/>
        <v/>
      </c>
      <c r="AU295" s="473" t="str">
        <f t="shared" si="86"/>
        <v/>
      </c>
      <c r="AZ295" s="32" t="s">
        <v>8137</v>
      </c>
      <c r="BA295" s="34" t="s">
        <v>479</v>
      </c>
      <c r="BB295" s="499"/>
      <c r="BC295" s="271"/>
      <c r="BD295" s="279">
        <v>1</v>
      </c>
      <c r="BE295" s="271"/>
      <c r="BF295" s="271"/>
      <c r="BG295" s="271"/>
      <c r="BH295" s="271"/>
      <c r="BI295" s="271"/>
      <c r="BJ295" s="271"/>
      <c r="BK295" s="271"/>
      <c r="BL295" s="271"/>
    </row>
    <row r="296" spans="18:64" ht="21" customHeight="1" x14ac:dyDescent="0.25">
      <c r="R296" s="34" t="s">
        <v>485</v>
      </c>
      <c r="S296" s="451"/>
      <c r="T296" s="32" t="s">
        <v>318</v>
      </c>
      <c r="V296" s="475">
        <v>7</v>
      </c>
      <c r="W296" s="475" t="str">
        <f>IF($AC$296="","",$W$288)</f>
        <v/>
      </c>
      <c r="X296" s="476" t="str">
        <f>IF($AC$296="","",$X$288)</f>
        <v/>
      </c>
      <c r="Y296" s="477" t="str">
        <f>IF($X$296="","",$Y$288)</f>
        <v/>
      </c>
      <c r="Z296" s="477" t="str">
        <f>IF($X$296="","",$Z$288)</f>
        <v/>
      </c>
      <c r="AA296" s="477" t="str">
        <f>IF($AC$296="","",ROW($A$296)-ROW($A$288))</f>
        <v/>
      </c>
      <c r="AB296" s="478"/>
      <c r="AC296" s="34"/>
      <c r="AD296" s="356"/>
      <c r="AE296" s="479"/>
      <c r="AF296" s="475"/>
      <c r="AG296" s="480" t="str">
        <f t="shared" si="76"/>
        <v/>
      </c>
      <c r="AH296" s="481" t="str">
        <f t="shared" si="77"/>
        <v/>
      </c>
      <c r="AI296" s="477" t="str">
        <f>IF($AC$296="","",IFERROR(INDEX($AZ$74:$AZ$119,MATCH($AH$296,$AY$74:$AY$119,0)),"AUTRE"))</f>
        <v/>
      </c>
      <c r="AJ296" s="482" t="str">
        <f>IF($AC$296="","",IFERROR(INDEX($BA$74:$BA$119,MATCH($AH$296,$AY$74:$AY$119,0)),1))</f>
        <v/>
      </c>
      <c r="AK296" s="482" t="str">
        <f t="shared" si="66"/>
        <v/>
      </c>
      <c r="AL296" s="477" t="str">
        <f>IF($AC$296="","",IFERROR(INDEX($BB$74:$BB$119,MATCH($AH$296,$AY$74:$AY$119,0)),$AH$296))</f>
        <v/>
      </c>
      <c r="AM296" s="483" t="str">
        <f t="shared" si="78"/>
        <v/>
      </c>
      <c r="AN296" s="484" t="str">
        <f t="shared" si="79"/>
        <v/>
      </c>
      <c r="AO296" s="473" t="str">
        <f t="shared" si="80"/>
        <v/>
      </c>
      <c r="AP296" s="473" t="str">
        <f t="shared" si="81"/>
        <v/>
      </c>
      <c r="AQ296" s="473" t="str">
        <f t="shared" si="82"/>
        <v/>
      </c>
      <c r="AR296" s="473" t="str">
        <f t="shared" si="83"/>
        <v/>
      </c>
      <c r="AS296" s="473" t="str">
        <f t="shared" si="84"/>
        <v/>
      </c>
      <c r="AT296" s="473" t="str">
        <f t="shared" si="85"/>
        <v/>
      </c>
      <c r="AU296" s="473" t="str">
        <f t="shared" si="86"/>
        <v/>
      </c>
      <c r="AZ296" s="32" t="s">
        <v>8139</v>
      </c>
      <c r="BA296" s="34" t="s">
        <v>6131</v>
      </c>
      <c r="BB296" s="499"/>
      <c r="BC296" s="271"/>
      <c r="BD296" s="279">
        <v>1</v>
      </c>
      <c r="BE296" s="271"/>
      <c r="BF296" s="271"/>
      <c r="BG296" s="271"/>
      <c r="BH296" s="271"/>
      <c r="BI296" s="271"/>
      <c r="BJ296" s="271"/>
      <c r="BK296" s="271"/>
      <c r="BL296" s="271"/>
    </row>
    <row r="297" spans="18:64" ht="21" customHeight="1" x14ac:dyDescent="0.25">
      <c r="R297" s="34" t="s">
        <v>6132</v>
      </c>
      <c r="S297" s="451"/>
      <c r="T297" s="32" t="s">
        <v>316</v>
      </c>
      <c r="V297" s="475">
        <v>7</v>
      </c>
      <c r="W297" s="475" t="str">
        <f>IF($AC$297="","",$W$288)</f>
        <v/>
      </c>
      <c r="X297" s="476" t="str">
        <f>IF($AC$297="","",$X$288)</f>
        <v/>
      </c>
      <c r="Y297" s="477" t="str">
        <f>IF($X$297="","",$Y$288)</f>
        <v/>
      </c>
      <c r="Z297" s="477" t="str">
        <f>IF($X$297="","",$Z$288)</f>
        <v/>
      </c>
      <c r="AA297" s="477" t="str">
        <f>IF($AC$297="","",ROW($A$297)-ROW($A$288))</f>
        <v/>
      </c>
      <c r="AB297" s="478"/>
      <c r="AC297" s="34"/>
      <c r="AD297" s="356"/>
      <c r="AE297" s="479"/>
      <c r="AF297" s="475"/>
      <c r="AG297" s="480" t="str">
        <f t="shared" si="76"/>
        <v/>
      </c>
      <c r="AH297" s="481" t="str">
        <f t="shared" si="77"/>
        <v/>
      </c>
      <c r="AI297" s="477" t="str">
        <f>IF($AC$297="","",IFERROR(INDEX($AZ$74:$AZ$119,MATCH($AH$297,$AY$74:$AY$119,0)),"AUTRE"))</f>
        <v/>
      </c>
      <c r="AJ297" s="482" t="str">
        <f>IF($AC$297="","",IFERROR(INDEX($BA$74:$BA$119,MATCH($AH$297,$AY$74:$AY$119,0)),1))</f>
        <v/>
      </c>
      <c r="AK297" s="482" t="str">
        <f t="shared" si="66"/>
        <v/>
      </c>
      <c r="AL297" s="477" t="str">
        <f>IF($AC$297="","",IFERROR(INDEX($BB$74:$BB$119,MATCH($AH$297,$AY$74:$AY$119,0)),$AH$297))</f>
        <v/>
      </c>
      <c r="AM297" s="483" t="str">
        <f t="shared" si="78"/>
        <v/>
      </c>
      <c r="AN297" s="484" t="str">
        <f t="shared" si="79"/>
        <v/>
      </c>
      <c r="AO297" s="473" t="str">
        <f t="shared" si="80"/>
        <v/>
      </c>
      <c r="AP297" s="473" t="str">
        <f t="shared" si="81"/>
        <v/>
      </c>
      <c r="AQ297" s="473" t="str">
        <f t="shared" si="82"/>
        <v/>
      </c>
      <c r="AR297" s="473" t="str">
        <f t="shared" si="83"/>
        <v/>
      </c>
      <c r="AS297" s="473" t="str">
        <f t="shared" si="84"/>
        <v/>
      </c>
      <c r="AT297" s="473" t="str">
        <f t="shared" si="85"/>
        <v/>
      </c>
      <c r="AU297" s="473" t="str">
        <f t="shared" si="86"/>
        <v/>
      </c>
      <c r="AZ297" s="32" t="s">
        <v>8141</v>
      </c>
      <c r="BA297" s="34" t="s">
        <v>485</v>
      </c>
      <c r="BB297" s="499"/>
      <c r="BC297" s="271"/>
      <c r="BD297" s="279">
        <v>1</v>
      </c>
      <c r="BE297" s="271"/>
      <c r="BF297" s="271"/>
      <c r="BG297" s="271"/>
      <c r="BH297" s="271"/>
      <c r="BI297" s="271"/>
      <c r="BJ297" s="271"/>
      <c r="BK297" s="271"/>
      <c r="BL297" s="271"/>
    </row>
    <row r="298" spans="18:64" ht="21" customHeight="1" x14ac:dyDescent="0.25">
      <c r="R298" s="25" t="s">
        <v>6133</v>
      </c>
      <c r="S298" s="451"/>
      <c r="T298" s="32" t="s">
        <v>313</v>
      </c>
      <c r="V298" s="475">
        <v>7</v>
      </c>
      <c r="W298" s="475" t="str">
        <f>IF($AC$298="","",$W$288)</f>
        <v/>
      </c>
      <c r="X298" s="476" t="str">
        <f>IF($AC$298="","",$X$288)</f>
        <v/>
      </c>
      <c r="Y298" s="477" t="str">
        <f>IF($X$298="","",$Y$288)</f>
        <v/>
      </c>
      <c r="Z298" s="477" t="str">
        <f>IF($X$298="","",$Z$288)</f>
        <v/>
      </c>
      <c r="AA298" s="477" t="str">
        <f>IF($AC$298="","",ROW($A$298)-ROW($A$288))</f>
        <v/>
      </c>
      <c r="AB298" s="478"/>
      <c r="AC298" s="34"/>
      <c r="AD298" s="356"/>
      <c r="AE298" s="479"/>
      <c r="AF298" s="475"/>
      <c r="AG298" s="480" t="str">
        <f t="shared" si="76"/>
        <v/>
      </c>
      <c r="AH298" s="481" t="str">
        <f t="shared" si="77"/>
        <v/>
      </c>
      <c r="AI298" s="477" t="str">
        <f>IF($AC$298="","",IFERROR(INDEX($AZ$74:$AZ$119,MATCH($AH$298,$AY$74:$AY$119,0)),"AUTRE"))</f>
        <v/>
      </c>
      <c r="AJ298" s="482" t="str">
        <f>IF($AC$298="","",IFERROR(INDEX($BA$74:$BA$119,MATCH($AH$298,$AY$74:$AY$119,0)),1))</f>
        <v/>
      </c>
      <c r="AK298" s="482" t="str">
        <f t="shared" si="66"/>
        <v/>
      </c>
      <c r="AL298" s="477" t="str">
        <f>IF($AC$298="","",IFERROR(INDEX($BB$74:$BB$119,MATCH($AH$298,$AY$74:$AY$119,0)),$AH$298))</f>
        <v/>
      </c>
      <c r="AM298" s="483" t="str">
        <f t="shared" si="78"/>
        <v/>
      </c>
      <c r="AN298" s="484" t="str">
        <f t="shared" si="79"/>
        <v/>
      </c>
      <c r="AO298" s="473" t="str">
        <f t="shared" si="80"/>
        <v/>
      </c>
      <c r="AP298" s="473" t="str">
        <f t="shared" si="81"/>
        <v/>
      </c>
      <c r="AQ298" s="473" t="str">
        <f t="shared" si="82"/>
        <v/>
      </c>
      <c r="AR298" s="473" t="str">
        <f t="shared" si="83"/>
        <v/>
      </c>
      <c r="AS298" s="473" t="str">
        <f t="shared" si="84"/>
        <v/>
      </c>
      <c r="AT298" s="473" t="str">
        <f t="shared" si="85"/>
        <v/>
      </c>
      <c r="AU298" s="473" t="str">
        <f t="shared" si="86"/>
        <v/>
      </c>
      <c r="AZ298" s="32" t="s">
        <v>8143</v>
      </c>
      <c r="BA298" s="34" t="s">
        <v>6132</v>
      </c>
      <c r="BB298" s="499"/>
      <c r="BC298" s="271"/>
      <c r="BD298" s="279">
        <v>1</v>
      </c>
      <c r="BE298" s="271"/>
      <c r="BF298" s="271"/>
      <c r="BG298" s="271"/>
      <c r="BH298" s="271"/>
      <c r="BI298" s="271"/>
      <c r="BJ298" s="271"/>
      <c r="BK298" s="271"/>
      <c r="BL298" s="271"/>
    </row>
    <row r="299" spans="18:64" ht="21" customHeight="1" x14ac:dyDescent="0.25">
      <c r="R299" s="34" t="s">
        <v>476</v>
      </c>
      <c r="S299" s="451"/>
      <c r="T299" s="32" t="s">
        <v>307</v>
      </c>
      <c r="V299" s="475">
        <v>7</v>
      </c>
      <c r="W299" s="475" t="str">
        <f>IF($AC$299="","",$W$288)</f>
        <v/>
      </c>
      <c r="X299" s="476" t="str">
        <f>IF($AC$299="","",$X$288)</f>
        <v/>
      </c>
      <c r="Y299" s="477" t="str">
        <f>IF($X$299="","",$Y$288)</f>
        <v/>
      </c>
      <c r="Z299" s="477" t="str">
        <f>IF($X$299="","",$Z$288)</f>
        <v/>
      </c>
      <c r="AA299" s="477" t="str">
        <f>IF($AC$299="","",ROW($A$299)-ROW($A$288))</f>
        <v/>
      </c>
      <c r="AB299" s="478"/>
      <c r="AC299" s="34"/>
      <c r="AD299" s="356"/>
      <c r="AE299" s="479"/>
      <c r="AF299" s="475"/>
      <c r="AG299" s="480" t="str">
        <f t="shared" si="76"/>
        <v/>
      </c>
      <c r="AH299" s="481" t="str">
        <f t="shared" si="77"/>
        <v/>
      </c>
      <c r="AI299" s="477" t="str">
        <f>IF($AC$299="","",IFERROR(INDEX($AZ$74:$AZ$119,MATCH($AH$299,$AY$74:$AY$119,0)),"AUTRE"))</f>
        <v/>
      </c>
      <c r="AJ299" s="482" t="str">
        <f>IF($AC$299="","",IFERROR(INDEX($BA$74:$BA$119,MATCH($AH$299,$AY$74:$AY$119,0)),1))</f>
        <v/>
      </c>
      <c r="AK299" s="482" t="str">
        <f t="shared" si="66"/>
        <v/>
      </c>
      <c r="AL299" s="477" t="str">
        <f>IF($AC$299="","",IFERROR(INDEX($BB$74:$BB$119,MATCH($AH$299,$AY$74:$AY$119,0)),$AH$299))</f>
        <v/>
      </c>
      <c r="AM299" s="483" t="str">
        <f t="shared" si="78"/>
        <v/>
      </c>
      <c r="AN299" s="484" t="str">
        <f t="shared" si="79"/>
        <v/>
      </c>
      <c r="AO299" s="473" t="str">
        <f t="shared" si="80"/>
        <v/>
      </c>
      <c r="AP299" s="473" t="str">
        <f t="shared" si="81"/>
        <v/>
      </c>
      <c r="AQ299" s="473" t="str">
        <f t="shared" si="82"/>
        <v/>
      </c>
      <c r="AR299" s="473" t="str">
        <f t="shared" si="83"/>
        <v/>
      </c>
      <c r="AS299" s="473" t="str">
        <f t="shared" si="84"/>
        <v/>
      </c>
      <c r="AT299" s="473" t="str">
        <f t="shared" si="85"/>
        <v/>
      </c>
      <c r="AU299" s="473" t="str">
        <f t="shared" si="86"/>
        <v/>
      </c>
      <c r="AZ299" s="497" t="s">
        <v>8145</v>
      </c>
      <c r="BA299" s="25" t="s">
        <v>6133</v>
      </c>
      <c r="BB299" s="499"/>
      <c r="BC299" s="271"/>
      <c r="BD299" s="279">
        <v>1</v>
      </c>
      <c r="BE299" s="271"/>
      <c r="BF299" s="271"/>
      <c r="BG299" s="271"/>
      <c r="BH299" s="271"/>
      <c r="BI299" s="271"/>
      <c r="BJ299" s="271"/>
      <c r="BK299" s="271"/>
      <c r="BL299" s="271"/>
    </row>
    <row r="300" spans="18:64" ht="21" customHeight="1" x14ac:dyDescent="0.25">
      <c r="R300" s="34" t="s">
        <v>468</v>
      </c>
      <c r="S300" s="451"/>
      <c r="T300" s="32" t="s">
        <v>322</v>
      </c>
      <c r="V300" s="475">
        <v>7</v>
      </c>
      <c r="W300" s="475" t="str">
        <f>IF($AC$300="","",$W$288)</f>
        <v/>
      </c>
      <c r="X300" s="476" t="str">
        <f>IF($AC$300="","",$X$288)</f>
        <v/>
      </c>
      <c r="Y300" s="477" t="str">
        <f>IF($X$300="","",$Y$288)</f>
        <v/>
      </c>
      <c r="Z300" s="477" t="str">
        <f>IF($X$300="","",$Z$288)</f>
        <v/>
      </c>
      <c r="AA300" s="477" t="str">
        <f>IF($AC$300="","",ROW($A$300)-ROW($A$288))</f>
        <v/>
      </c>
      <c r="AB300" s="478"/>
      <c r="AC300" s="34"/>
      <c r="AD300" s="356"/>
      <c r="AE300" s="479"/>
      <c r="AF300" s="475"/>
      <c r="AG300" s="480" t="str">
        <f t="shared" si="76"/>
        <v/>
      </c>
      <c r="AH300" s="481" t="str">
        <f t="shared" si="77"/>
        <v/>
      </c>
      <c r="AI300" s="477" t="str">
        <f>IF($AC$300="","",IFERROR(INDEX($AZ$74:$AZ$119,MATCH($AH$300,$AY$74:$AY$119,0)),"AUTRE"))</f>
        <v/>
      </c>
      <c r="AJ300" s="482" t="str">
        <f>IF($AC$300="","",IFERROR(INDEX($BA$74:$BA$119,MATCH($AH$300,$AY$74:$AY$119,0)),1))</f>
        <v/>
      </c>
      <c r="AK300" s="482" t="str">
        <f t="shared" si="66"/>
        <v/>
      </c>
      <c r="AL300" s="477" t="str">
        <f>IF($AC$300="","",IFERROR(INDEX($BB$74:$BB$119,MATCH($AH$300,$AY$74:$AY$119,0)),$AH$300))</f>
        <v/>
      </c>
      <c r="AM300" s="483" t="str">
        <f t="shared" si="78"/>
        <v/>
      </c>
      <c r="AN300" s="484" t="str">
        <f t="shared" si="79"/>
        <v/>
      </c>
      <c r="AO300" s="473" t="str">
        <f t="shared" si="80"/>
        <v/>
      </c>
      <c r="AP300" s="473" t="str">
        <f t="shared" si="81"/>
        <v/>
      </c>
      <c r="AQ300" s="473" t="str">
        <f t="shared" si="82"/>
        <v/>
      </c>
      <c r="AR300" s="473" t="str">
        <f t="shared" si="83"/>
        <v/>
      </c>
      <c r="AS300" s="473" t="str">
        <f t="shared" si="84"/>
        <v/>
      </c>
      <c r="AT300" s="473" t="str">
        <f t="shared" si="85"/>
        <v/>
      </c>
      <c r="AU300" s="473" t="str">
        <f t="shared" si="86"/>
        <v/>
      </c>
      <c r="AZ300" s="497" t="s">
        <v>462</v>
      </c>
      <c r="BA300" s="34" t="s">
        <v>476</v>
      </c>
      <c r="BB300" s="499"/>
      <c r="BC300" s="271"/>
      <c r="BD300" s="279">
        <v>1</v>
      </c>
      <c r="BE300" s="271"/>
      <c r="BF300" s="271"/>
      <c r="BG300" s="271"/>
      <c r="BH300" s="271"/>
      <c r="BI300" s="271"/>
      <c r="BJ300" s="271"/>
      <c r="BK300" s="271"/>
      <c r="BL300" s="271"/>
    </row>
    <row r="301" spans="18:64" ht="21" customHeight="1" x14ac:dyDescent="0.25">
      <c r="R301" s="34" t="s">
        <v>473</v>
      </c>
      <c r="S301" s="451"/>
      <c r="T301" s="32" t="s">
        <v>305</v>
      </c>
      <c r="V301" s="475">
        <v>7</v>
      </c>
      <c r="W301" s="475" t="str">
        <f>IF($AC$301="","",$W$288)</f>
        <v/>
      </c>
      <c r="X301" s="476" t="str">
        <f>IF($AC$301="","",$X$288)</f>
        <v/>
      </c>
      <c r="Y301" s="477" t="str">
        <f>IF($X$301="","",$Y$288)</f>
        <v/>
      </c>
      <c r="Z301" s="477" t="str">
        <f>IF($X$301="","",$Z$288)</f>
        <v/>
      </c>
      <c r="AA301" s="477" t="str">
        <f>IF($AC$301="","",ROW($A$301)-ROW($A$288))</f>
        <v/>
      </c>
      <c r="AB301" s="478"/>
      <c r="AC301" s="34"/>
      <c r="AD301" s="356"/>
      <c r="AE301" s="479"/>
      <c r="AF301" s="475"/>
      <c r="AG301" s="480" t="str">
        <f t="shared" si="76"/>
        <v/>
      </c>
      <c r="AH301" s="481" t="str">
        <f t="shared" si="77"/>
        <v/>
      </c>
      <c r="AI301" s="477" t="str">
        <f>IF($AC$301="","",IFERROR(INDEX($AZ$74:$AZ$119,MATCH($AH$301,$AY$74:$AY$119,0)),"AUTRE"))</f>
        <v/>
      </c>
      <c r="AJ301" s="482" t="str">
        <f>IF($AC$301="","",IFERROR(INDEX($BA$74:$BA$119,MATCH($AH$301,$AY$74:$AY$119,0)),1))</f>
        <v/>
      </c>
      <c r="AK301" s="482" t="str">
        <f t="shared" si="66"/>
        <v/>
      </c>
      <c r="AL301" s="477" t="str">
        <f>IF($AC$301="","",IFERROR(INDEX($BB$74:$BB$119,MATCH($AH$301,$AY$74:$AY$119,0)),$AH$301))</f>
        <v/>
      </c>
      <c r="AM301" s="483" t="str">
        <f t="shared" si="78"/>
        <v/>
      </c>
      <c r="AN301" s="484" t="str">
        <f t="shared" si="79"/>
        <v/>
      </c>
      <c r="AO301" s="473" t="str">
        <f t="shared" si="80"/>
        <v/>
      </c>
      <c r="AP301" s="473" t="str">
        <f t="shared" si="81"/>
        <v/>
      </c>
      <c r="AQ301" s="473" t="str">
        <f t="shared" si="82"/>
        <v/>
      </c>
      <c r="AR301" s="473" t="str">
        <f t="shared" si="83"/>
        <v/>
      </c>
      <c r="AS301" s="473" t="str">
        <f t="shared" si="84"/>
        <v/>
      </c>
      <c r="AT301" s="473" t="str">
        <f t="shared" si="85"/>
        <v/>
      </c>
      <c r="AU301" s="473" t="str">
        <f t="shared" si="86"/>
        <v/>
      </c>
      <c r="AZ301" s="497" t="s">
        <v>463</v>
      </c>
      <c r="BA301" s="34" t="s">
        <v>468</v>
      </c>
      <c r="BB301" s="499"/>
      <c r="BC301" s="271"/>
      <c r="BD301" s="279">
        <v>1</v>
      </c>
      <c r="BE301" s="271"/>
      <c r="BF301" s="271"/>
      <c r="BG301" s="271"/>
      <c r="BH301" s="271"/>
      <c r="BI301" s="271"/>
      <c r="BJ301" s="271"/>
      <c r="BK301" s="271"/>
      <c r="BL301" s="271"/>
    </row>
    <row r="302" spans="18:64" ht="21" customHeight="1" x14ac:dyDescent="0.25">
      <c r="R302" s="34" t="s">
        <v>497</v>
      </c>
      <c r="S302" s="451"/>
      <c r="T302" s="32" t="s">
        <v>309</v>
      </c>
      <c r="V302" s="475">
        <v>7</v>
      </c>
      <c r="W302" s="475" t="str">
        <f>IF($AC$302="","",$W$288)</f>
        <v/>
      </c>
      <c r="X302" s="476" t="str">
        <f>IF($AC$302="","",$X$288)</f>
        <v/>
      </c>
      <c r="Y302" s="477" t="str">
        <f>IF($X$302="","",$Y$288)</f>
        <v/>
      </c>
      <c r="Z302" s="477" t="str">
        <f>IF($X$302="","",$Z$288)</f>
        <v/>
      </c>
      <c r="AA302" s="477" t="str">
        <f>IF($AC$302="","",ROW($A$302)-ROW($A$288))</f>
        <v/>
      </c>
      <c r="AB302" s="478"/>
      <c r="AC302" s="34"/>
      <c r="AD302" s="356"/>
      <c r="AE302" s="479"/>
      <c r="AF302" s="475"/>
      <c r="AG302" s="480" t="str">
        <f t="shared" si="76"/>
        <v/>
      </c>
      <c r="AH302" s="481" t="str">
        <f t="shared" si="77"/>
        <v/>
      </c>
      <c r="AI302" s="477" t="str">
        <f>IF($AC$302="","",IFERROR(INDEX($AZ$74:$AZ$119,MATCH($AH$302,$AY$74:$AY$119,0)),"AUTRE"))</f>
        <v/>
      </c>
      <c r="AJ302" s="482" t="str">
        <f>IF($AC$302="","",IFERROR(INDEX($BA$74:$BA$119,MATCH($AH$302,$AY$74:$AY$119,0)),1))</f>
        <v/>
      </c>
      <c r="AK302" s="482" t="str">
        <f t="shared" si="66"/>
        <v/>
      </c>
      <c r="AL302" s="477" t="str">
        <f>IF($AC$302="","",IFERROR(INDEX($BB$74:$BB$119,MATCH($AH$302,$AY$74:$AY$119,0)),$AH$302))</f>
        <v/>
      </c>
      <c r="AM302" s="483" t="str">
        <f t="shared" si="78"/>
        <v/>
      </c>
      <c r="AN302" s="484" t="str">
        <f t="shared" si="79"/>
        <v/>
      </c>
      <c r="AO302" s="473" t="str">
        <f t="shared" si="80"/>
        <v/>
      </c>
      <c r="AP302" s="473" t="str">
        <f t="shared" si="81"/>
        <v/>
      </c>
      <c r="AQ302" s="473" t="str">
        <f t="shared" si="82"/>
        <v/>
      </c>
      <c r="AR302" s="473" t="str">
        <f t="shared" si="83"/>
        <v/>
      </c>
      <c r="AS302" s="473" t="str">
        <f t="shared" si="84"/>
        <v/>
      </c>
      <c r="AT302" s="473" t="str">
        <f t="shared" si="85"/>
        <v/>
      </c>
      <c r="AU302" s="473" t="str">
        <f t="shared" si="86"/>
        <v/>
      </c>
      <c r="AZ302" s="497" t="s">
        <v>8147</v>
      </c>
      <c r="BA302" s="34" t="s">
        <v>473</v>
      </c>
      <c r="BB302" s="499"/>
      <c r="BC302" s="271"/>
      <c r="BD302" s="279">
        <v>1</v>
      </c>
      <c r="BE302" s="271"/>
      <c r="BF302" s="271"/>
      <c r="BG302" s="271"/>
      <c r="BH302" s="271"/>
      <c r="BI302" s="271"/>
      <c r="BJ302" s="271"/>
      <c r="BK302" s="271"/>
      <c r="BL302" s="271"/>
    </row>
    <row r="303" spans="18:64" ht="21" customHeight="1" x14ac:dyDescent="0.25">
      <c r="R303" s="34" t="s">
        <v>470</v>
      </c>
      <c r="S303" s="451"/>
      <c r="T303" s="32" t="s">
        <v>311</v>
      </c>
      <c r="V303" s="475">
        <v>7</v>
      </c>
      <c r="W303" s="475" t="str">
        <f>IF($AC$303="","",$W$288)</f>
        <v/>
      </c>
      <c r="X303" s="476" t="str">
        <f>IF($AC$303="","",$X$288)</f>
        <v/>
      </c>
      <c r="Y303" s="477" t="str">
        <f>IF($X$303="","",$Y$288)</f>
        <v/>
      </c>
      <c r="Z303" s="477" t="str">
        <f>IF($X$303="","",$Z$288)</f>
        <v/>
      </c>
      <c r="AA303" s="477" t="str">
        <f>IF($AC$303="","",ROW($A$303)-ROW($A$288))</f>
        <v/>
      </c>
      <c r="AB303" s="478"/>
      <c r="AC303" s="34"/>
      <c r="AD303" s="356"/>
      <c r="AE303" s="479"/>
      <c r="AF303" s="475"/>
      <c r="AG303" s="480" t="str">
        <f t="shared" si="76"/>
        <v/>
      </c>
      <c r="AH303" s="481" t="str">
        <f t="shared" si="77"/>
        <v/>
      </c>
      <c r="AI303" s="477" t="str">
        <f>IF($AC$303="","",IFERROR(INDEX($AZ$74:$AZ$119,MATCH($AH$303,$AY$74:$AY$119,0)),"AUTRE"))</f>
        <v/>
      </c>
      <c r="AJ303" s="482" t="str">
        <f>IF($AC$303="","",IFERROR(INDEX($BA$74:$BA$119,MATCH($AH$303,$AY$74:$AY$119,0)),1))</f>
        <v/>
      </c>
      <c r="AK303" s="482" t="str">
        <f t="shared" si="66"/>
        <v/>
      </c>
      <c r="AL303" s="477" t="str">
        <f>IF($AC$303="","",IFERROR(INDEX($BB$74:$BB$119,MATCH($AH$303,$AY$74:$AY$119,0)),$AH$303))</f>
        <v/>
      </c>
      <c r="AM303" s="483" t="str">
        <f t="shared" si="78"/>
        <v/>
      </c>
      <c r="AN303" s="484" t="str">
        <f t="shared" si="79"/>
        <v/>
      </c>
      <c r="AO303" s="473" t="str">
        <f t="shared" si="80"/>
        <v/>
      </c>
      <c r="AP303" s="473" t="str">
        <f t="shared" si="81"/>
        <v/>
      </c>
      <c r="AQ303" s="473" t="str">
        <f t="shared" si="82"/>
        <v/>
      </c>
      <c r="AR303" s="473" t="str">
        <f t="shared" si="83"/>
        <v/>
      </c>
      <c r="AS303" s="473" t="str">
        <f t="shared" si="84"/>
        <v/>
      </c>
      <c r="AT303" s="473" t="str">
        <f t="shared" si="85"/>
        <v/>
      </c>
      <c r="AU303" s="473" t="str">
        <f t="shared" si="86"/>
        <v/>
      </c>
      <c r="AZ303" s="497" t="s">
        <v>465</v>
      </c>
      <c r="BA303" s="34" t="s">
        <v>497</v>
      </c>
      <c r="BB303" s="499"/>
      <c r="BC303" s="271"/>
      <c r="BD303" s="279">
        <v>1</v>
      </c>
      <c r="BE303" s="271"/>
      <c r="BF303" s="271"/>
      <c r="BG303" s="271"/>
      <c r="BH303" s="271"/>
      <c r="BI303" s="271"/>
      <c r="BJ303" s="271"/>
      <c r="BK303" s="271"/>
      <c r="BL303" s="271"/>
    </row>
    <row r="304" spans="18:64" ht="21" customHeight="1" x14ac:dyDescent="0.25">
      <c r="R304" s="34" t="s">
        <v>477</v>
      </c>
      <c r="S304" s="451"/>
      <c r="T304" s="32" t="s">
        <v>8135</v>
      </c>
      <c r="V304" s="475">
        <v>7</v>
      </c>
      <c r="W304" s="475" t="str">
        <f>IF($AC$304="","",$W$288)</f>
        <v/>
      </c>
      <c r="X304" s="476" t="str">
        <f>IF($AC$304="","",$X$288)</f>
        <v/>
      </c>
      <c r="Y304" s="477" t="str">
        <f>IF($X$304="","",$Y$288)</f>
        <v/>
      </c>
      <c r="Z304" s="477" t="str">
        <f>IF($X$304="","",$Z$288)</f>
        <v/>
      </c>
      <c r="AA304" s="477" t="str">
        <f>IF($AC$304="","",ROW($A$304)-ROW($A$288))</f>
        <v/>
      </c>
      <c r="AB304" s="478"/>
      <c r="AC304" s="34"/>
      <c r="AD304" s="356"/>
      <c r="AE304" s="479"/>
      <c r="AF304" s="475"/>
      <c r="AG304" s="480" t="str">
        <f t="shared" si="76"/>
        <v/>
      </c>
      <c r="AH304" s="481" t="str">
        <f t="shared" si="77"/>
        <v/>
      </c>
      <c r="AI304" s="477" t="str">
        <f>IF($AC$304="","",IFERROR(INDEX($AZ$74:$AZ$119,MATCH($AH$304,$AY$74:$AY$119,0)),"AUTRE"))</f>
        <v/>
      </c>
      <c r="AJ304" s="482" t="str">
        <f>IF($AC$304="","",IFERROR(INDEX($BA$74:$BA$119,MATCH($AH$304,$AY$74:$AY$119,0)),1))</f>
        <v/>
      </c>
      <c r="AK304" s="482" t="str">
        <f t="shared" si="66"/>
        <v/>
      </c>
      <c r="AL304" s="477" t="str">
        <f>IF($AC$304="","",IFERROR(INDEX($BB$74:$BB$119,MATCH($AH$304,$AY$74:$AY$119,0)),$AH$304))</f>
        <v/>
      </c>
      <c r="AM304" s="483" t="str">
        <f t="shared" si="78"/>
        <v/>
      </c>
      <c r="AN304" s="484" t="str">
        <f t="shared" si="79"/>
        <v/>
      </c>
      <c r="AO304" s="473" t="str">
        <f t="shared" si="80"/>
        <v/>
      </c>
      <c r="AP304" s="473" t="str">
        <f t="shared" si="81"/>
        <v/>
      </c>
      <c r="AQ304" s="473" t="str">
        <f t="shared" si="82"/>
        <v/>
      </c>
      <c r="AR304" s="473" t="str">
        <f t="shared" si="83"/>
        <v/>
      </c>
      <c r="AS304" s="473" t="str">
        <f t="shared" si="84"/>
        <v/>
      </c>
      <c r="AT304" s="473" t="str">
        <f t="shared" si="85"/>
        <v/>
      </c>
      <c r="AU304" s="473" t="str">
        <f t="shared" si="86"/>
        <v/>
      </c>
      <c r="AZ304" s="497" t="s">
        <v>466</v>
      </c>
      <c r="BA304" s="34" t="s">
        <v>470</v>
      </c>
      <c r="BB304" s="499"/>
      <c r="BC304" s="271"/>
      <c r="BD304" s="279">
        <v>1</v>
      </c>
      <c r="BE304" s="271"/>
      <c r="BF304" s="271"/>
      <c r="BG304" s="271"/>
      <c r="BH304" s="271"/>
      <c r="BI304" s="271"/>
      <c r="BJ304" s="271"/>
      <c r="BK304" s="271"/>
      <c r="BL304" s="271"/>
    </row>
    <row r="305" spans="18:64" ht="21" customHeight="1" x14ac:dyDescent="0.25">
      <c r="S305" s="451"/>
      <c r="T305" s="497" t="s">
        <v>462</v>
      </c>
      <c r="V305" s="475">
        <v>7</v>
      </c>
      <c r="W305" s="475" t="str">
        <f>IF($AC$305="","",$W$288)</f>
        <v/>
      </c>
      <c r="X305" s="476" t="str">
        <f>IF($AC$305="","",$X$288)</f>
        <v/>
      </c>
      <c r="Y305" s="477" t="str">
        <f>IF($X$305="","",$Y$288)</f>
        <v/>
      </c>
      <c r="Z305" s="477" t="str">
        <f>IF($X$305="","",$Z$288)</f>
        <v/>
      </c>
      <c r="AA305" s="477" t="str">
        <f>IF($AC$305="","",ROW($A$305)-ROW($A$288))</f>
        <v/>
      </c>
      <c r="AB305" s="478"/>
      <c r="AC305" s="34"/>
      <c r="AD305" s="356"/>
      <c r="AE305" s="479"/>
      <c r="AF305" s="475"/>
      <c r="AG305" s="480" t="str">
        <f t="shared" si="76"/>
        <v/>
      </c>
      <c r="AH305" s="481" t="str">
        <f t="shared" si="77"/>
        <v/>
      </c>
      <c r="AI305" s="477" t="str">
        <f>IF($AC$305="","",IFERROR(INDEX($AZ$74:$AZ$119,MATCH($AH$305,$AY$74:$AY$119,0)),"AUTRE"))</f>
        <v/>
      </c>
      <c r="AJ305" s="482" t="str">
        <f>IF($AC$305="","",IFERROR(INDEX($BA$74:$BA$119,MATCH($AH$305,$AY$74:$AY$119,0)),1))</f>
        <v/>
      </c>
      <c r="AK305" s="482" t="str">
        <f t="shared" si="66"/>
        <v/>
      </c>
      <c r="AL305" s="477" t="str">
        <f>IF($AC$305="","",IFERROR(INDEX($BB$74:$BB$119,MATCH($AH$305,$AY$74:$AY$119,0)),$AH$305))</f>
        <v/>
      </c>
      <c r="AM305" s="483" t="str">
        <f t="shared" si="78"/>
        <v/>
      </c>
      <c r="AN305" s="484" t="str">
        <f t="shared" si="79"/>
        <v/>
      </c>
      <c r="AO305" s="473" t="str">
        <f t="shared" si="80"/>
        <v/>
      </c>
      <c r="AP305" s="473" t="str">
        <f t="shared" si="81"/>
        <v/>
      </c>
      <c r="AQ305" s="473" t="str">
        <f t="shared" si="82"/>
        <v/>
      </c>
      <c r="AR305" s="473" t="str">
        <f t="shared" si="83"/>
        <v/>
      </c>
      <c r="AS305" s="473" t="str">
        <f t="shared" si="84"/>
        <v/>
      </c>
      <c r="AT305" s="473" t="str">
        <f t="shared" si="85"/>
        <v/>
      </c>
      <c r="AU305" s="473" t="str">
        <f t="shared" si="86"/>
        <v/>
      </c>
      <c r="AZ305" s="14" t="s">
        <v>7</v>
      </c>
      <c r="BA305" s="34" t="s">
        <v>477</v>
      </c>
      <c r="BB305" s="499"/>
      <c r="BC305" s="271"/>
      <c r="BD305" s="279">
        <v>1</v>
      </c>
      <c r="BE305" s="271"/>
      <c r="BF305" s="271"/>
      <c r="BG305" s="271"/>
      <c r="BH305" s="271"/>
      <c r="BI305" s="271"/>
      <c r="BJ305" s="271"/>
      <c r="BK305" s="271"/>
      <c r="BL305" s="271"/>
    </row>
    <row r="306" spans="18:64" ht="21" customHeight="1" x14ac:dyDescent="0.25">
      <c r="R306" s="25" t="s">
        <v>6134</v>
      </c>
      <c r="S306" s="451"/>
      <c r="T306" s="497" t="s">
        <v>463</v>
      </c>
      <c r="V306" s="475">
        <v>7</v>
      </c>
      <c r="W306" s="475" t="str">
        <f>IF($AC$306="","",$W$288)</f>
        <v/>
      </c>
      <c r="X306" s="476" t="str">
        <f>IF($AC$306="","",$X$288)</f>
        <v/>
      </c>
      <c r="Y306" s="477" t="str">
        <f>IF($X$306="","",$Y$288)</f>
        <v/>
      </c>
      <c r="Z306" s="477" t="str">
        <f>IF($X$306="","",$Z$288)</f>
        <v/>
      </c>
      <c r="AA306" s="477" t="str">
        <f>IF($AC$306="","",ROW($A$306)-ROW($A$288))</f>
        <v/>
      </c>
      <c r="AB306" s="478"/>
      <c r="AC306" s="34"/>
      <c r="AD306" s="356"/>
      <c r="AE306" s="479"/>
      <c r="AF306" s="475"/>
      <c r="AG306" s="480" t="str">
        <f t="shared" si="76"/>
        <v/>
      </c>
      <c r="AH306" s="481" t="str">
        <f t="shared" si="77"/>
        <v/>
      </c>
      <c r="AI306" s="477" t="str">
        <f>IF($AC$306="","",IFERROR(INDEX($AZ$74:$AZ$119,MATCH($AH$306,$AY$74:$AY$119,0)),"AUTRE"))</f>
        <v/>
      </c>
      <c r="AJ306" s="482" t="str">
        <f>IF($AC$306="","",IFERROR(INDEX($BA$74:$BA$119,MATCH($AH$306,$AY$74:$AY$119,0)),1))</f>
        <v/>
      </c>
      <c r="AK306" s="482" t="str">
        <f t="shared" si="66"/>
        <v/>
      </c>
      <c r="AL306" s="477" t="str">
        <f>IF($AC$306="","",IFERROR(INDEX($BB$74:$BB$119,MATCH($AH$306,$AY$74:$AY$119,0)),$AH$306))</f>
        <v/>
      </c>
      <c r="AM306" s="483" t="str">
        <f t="shared" si="78"/>
        <v/>
      </c>
      <c r="AN306" s="484" t="str">
        <f t="shared" si="79"/>
        <v/>
      </c>
      <c r="AO306" s="473" t="str">
        <f t="shared" si="80"/>
        <v/>
      </c>
      <c r="AP306" s="473" t="str">
        <f t="shared" si="81"/>
        <v/>
      </c>
      <c r="AQ306" s="473" t="str">
        <f t="shared" si="82"/>
        <v/>
      </c>
      <c r="AR306" s="473" t="str">
        <f t="shared" si="83"/>
        <v/>
      </c>
      <c r="AS306" s="473" t="str">
        <f t="shared" si="84"/>
        <v/>
      </c>
      <c r="AT306" s="473" t="str">
        <f t="shared" si="85"/>
        <v/>
      </c>
      <c r="AU306" s="473" t="str">
        <f t="shared" si="86"/>
        <v/>
      </c>
      <c r="AZ306" s="27" t="s">
        <v>8</v>
      </c>
      <c r="BB306" s="499"/>
      <c r="BC306" s="271"/>
      <c r="BD306" s="279">
        <v>1</v>
      </c>
      <c r="BE306" s="271"/>
      <c r="BF306" s="271"/>
      <c r="BG306" s="271"/>
      <c r="BH306" s="271"/>
      <c r="BI306" s="271"/>
      <c r="BJ306" s="271"/>
      <c r="BK306" s="271"/>
      <c r="BL306" s="271"/>
    </row>
    <row r="307" spans="18:64" ht="21" customHeight="1" x14ac:dyDescent="0.25">
      <c r="R307" s="34" t="s">
        <v>481</v>
      </c>
      <c r="S307" s="451"/>
      <c r="T307" s="497" t="s">
        <v>8147</v>
      </c>
      <c r="V307" s="475">
        <v>7</v>
      </c>
      <c r="W307" s="475" t="str">
        <f>IF($AC$307="","",$W$288)</f>
        <v/>
      </c>
      <c r="X307" s="476" t="str">
        <f>IF($AC$307="","",$X$288)</f>
        <v/>
      </c>
      <c r="Y307" s="477" t="str">
        <f>IF($X$307="","",$Y$288)</f>
        <v/>
      </c>
      <c r="Z307" s="477" t="str">
        <f>IF($X$307="","",$Z$288)</f>
        <v/>
      </c>
      <c r="AA307" s="477" t="str">
        <f>IF($AC$307="","",ROW($A$307)-ROW($A$288))</f>
        <v/>
      </c>
      <c r="AB307" s="478"/>
      <c r="AC307" s="34"/>
      <c r="AD307" s="356"/>
      <c r="AE307" s="479"/>
      <c r="AF307" s="475"/>
      <c r="AG307" s="480" t="str">
        <f t="shared" si="76"/>
        <v/>
      </c>
      <c r="AH307" s="481" t="str">
        <f t="shared" si="77"/>
        <v/>
      </c>
      <c r="AI307" s="477" t="str">
        <f>IF($AC$307="","",IFERROR(INDEX($AZ$74:$AZ$119,MATCH($AH$307,$AY$74:$AY$119,0)),"AUTRE"))</f>
        <v/>
      </c>
      <c r="AJ307" s="482" t="str">
        <f>IF($AC$307="","",IFERROR(INDEX($BA$74:$BA$119,MATCH($AH$307,$AY$74:$AY$119,0)),1))</f>
        <v/>
      </c>
      <c r="AK307" s="482" t="str">
        <f t="shared" si="66"/>
        <v/>
      </c>
      <c r="AL307" s="477" t="str">
        <f>IF($AC$307="","",IFERROR(INDEX($BB$74:$BB$119,MATCH($AH$307,$AY$74:$AY$119,0)),$AH$307))</f>
        <v/>
      </c>
      <c r="AM307" s="483" t="str">
        <f t="shared" si="78"/>
        <v/>
      </c>
      <c r="AN307" s="484" t="str">
        <f t="shared" si="79"/>
        <v/>
      </c>
      <c r="AO307" s="473" t="str">
        <f t="shared" si="80"/>
        <v/>
      </c>
      <c r="AP307" s="473" t="str">
        <f t="shared" si="81"/>
        <v/>
      </c>
      <c r="AQ307" s="473" t="str">
        <f t="shared" si="82"/>
        <v/>
      </c>
      <c r="AR307" s="473" t="str">
        <f t="shared" si="83"/>
        <v/>
      </c>
      <c r="AS307" s="473" t="str">
        <f t="shared" si="84"/>
        <v/>
      </c>
      <c r="AT307" s="473" t="str">
        <f t="shared" si="85"/>
        <v/>
      </c>
      <c r="AU307" s="473" t="str">
        <f t="shared" si="86"/>
        <v/>
      </c>
      <c r="AZ307" s="28" t="s">
        <v>13</v>
      </c>
      <c r="BA307" s="25" t="s">
        <v>6134</v>
      </c>
      <c r="BB307" s="499"/>
      <c r="BC307" s="271"/>
      <c r="BD307" s="279">
        <v>1</v>
      </c>
      <c r="BE307" s="271"/>
      <c r="BF307" s="271"/>
      <c r="BG307" s="271"/>
      <c r="BH307" s="271"/>
      <c r="BI307" s="271"/>
      <c r="BJ307" s="271"/>
      <c r="BK307" s="271"/>
      <c r="BL307" s="271"/>
    </row>
    <row r="308" spans="18:64" ht="21" customHeight="1" x14ac:dyDescent="0.25">
      <c r="R308" s="34" t="s">
        <v>475</v>
      </c>
      <c r="S308" s="451"/>
      <c r="T308" s="497" t="s">
        <v>465</v>
      </c>
      <c r="V308" s="475">
        <v>7</v>
      </c>
      <c r="W308" s="475" t="str">
        <f>IF($AC$308="","",$W$288)</f>
        <v/>
      </c>
      <c r="X308" s="476" t="str">
        <f>IF($AC$308="","",$X$288)</f>
        <v/>
      </c>
      <c r="Y308" s="477" t="str">
        <f>IF($X$308="","",$Y$288)</f>
        <v/>
      </c>
      <c r="Z308" s="477" t="str">
        <f>IF($X$308="","",$Z$288)</f>
        <v/>
      </c>
      <c r="AA308" s="477" t="str">
        <f>IF($AC$308="","",ROW($A$308)-ROW($A$288))</f>
        <v/>
      </c>
      <c r="AB308" s="478"/>
      <c r="AC308" s="34"/>
      <c r="AD308" s="356"/>
      <c r="AE308" s="479"/>
      <c r="AF308" s="475"/>
      <c r="AG308" s="480" t="str">
        <f t="shared" si="76"/>
        <v/>
      </c>
      <c r="AH308" s="481" t="str">
        <f t="shared" si="77"/>
        <v/>
      </c>
      <c r="AI308" s="477" t="str">
        <f>IF($AC$308="","",IFERROR(INDEX($AZ$74:$AZ$119,MATCH($AH$308,$AY$74:$AY$119,0)),"AUTRE"))</f>
        <v/>
      </c>
      <c r="AJ308" s="482" t="str">
        <f>IF($AC$308="","",IFERROR(INDEX($BA$74:$BA$119,MATCH($AH$308,$AY$74:$AY$119,0)),1))</f>
        <v/>
      </c>
      <c r="AK308" s="482" t="str">
        <f t="shared" si="66"/>
        <v/>
      </c>
      <c r="AL308" s="477" t="str">
        <f>IF($AC$308="","",IFERROR(INDEX($BB$74:$BB$119,MATCH($AH$308,$AY$74:$AY$119,0)),$AH$308))</f>
        <v/>
      </c>
      <c r="AM308" s="483" t="str">
        <f t="shared" si="78"/>
        <v/>
      </c>
      <c r="AN308" s="484" t="str">
        <f t="shared" si="79"/>
        <v/>
      </c>
      <c r="AO308" s="473" t="str">
        <f t="shared" si="80"/>
        <v/>
      </c>
      <c r="AP308" s="473" t="str">
        <f t="shared" si="81"/>
        <v/>
      </c>
      <c r="AQ308" s="473" t="str">
        <f t="shared" si="82"/>
        <v/>
      </c>
      <c r="AR308" s="473" t="str">
        <f t="shared" si="83"/>
        <v/>
      </c>
      <c r="AS308" s="473" t="str">
        <f t="shared" si="84"/>
        <v/>
      </c>
      <c r="AT308" s="473" t="str">
        <f t="shared" si="85"/>
        <v/>
      </c>
      <c r="AU308" s="473" t="str">
        <f t="shared" si="86"/>
        <v/>
      </c>
      <c r="AZ308" s="28" t="s">
        <v>14</v>
      </c>
      <c r="BA308" s="34" t="s">
        <v>481</v>
      </c>
      <c r="BB308" s="499"/>
      <c r="BC308" s="271"/>
      <c r="BD308" s="279">
        <v>1</v>
      </c>
      <c r="BE308" s="271"/>
      <c r="BF308" s="271"/>
      <c r="BG308" s="271"/>
      <c r="BH308" s="271"/>
      <c r="BI308" s="271"/>
      <c r="BJ308" s="271"/>
      <c r="BK308" s="271"/>
      <c r="BL308" s="271"/>
    </row>
    <row r="309" spans="18:64" ht="21" customHeight="1" x14ac:dyDescent="0.25">
      <c r="R309" s="34" t="s">
        <v>457</v>
      </c>
      <c r="S309" s="451"/>
      <c r="T309" s="497" t="s">
        <v>466</v>
      </c>
      <c r="V309" s="475">
        <v>7</v>
      </c>
      <c r="W309" s="475" t="str">
        <f>IF($AC$309="","",$W$288)</f>
        <v/>
      </c>
      <c r="X309" s="476" t="str">
        <f>IF($AC$309="","",$X$288)</f>
        <v/>
      </c>
      <c r="Y309" s="477" t="str">
        <f>IF($X$309="","",$Y$288)</f>
        <v/>
      </c>
      <c r="Z309" s="477" t="str">
        <f>IF($X$309="","",$Z$288)</f>
        <v/>
      </c>
      <c r="AA309" s="477" t="str">
        <f>IF($AC$309="","",ROW($A$309)-ROW($A$288))</f>
        <v/>
      </c>
      <c r="AB309" s="478"/>
      <c r="AC309" s="34"/>
      <c r="AD309" s="356"/>
      <c r="AE309" s="479"/>
      <c r="AF309" s="475"/>
      <c r="AG309" s="480" t="str">
        <f t="shared" si="76"/>
        <v/>
      </c>
      <c r="AH309" s="481" t="str">
        <f t="shared" si="77"/>
        <v/>
      </c>
      <c r="AI309" s="477" t="str">
        <f>IF($AC$309="","",IFERROR(INDEX($AZ$74:$AZ$119,MATCH($AH$309,$AY$74:$AY$119,0)),"AUTRE"))</f>
        <v/>
      </c>
      <c r="AJ309" s="482" t="str">
        <f>IF($AC$309="","",IFERROR(INDEX($BA$74:$BA$119,MATCH($AH$309,$AY$74:$AY$119,0)),1))</f>
        <v/>
      </c>
      <c r="AK309" s="482" t="str">
        <f t="shared" si="66"/>
        <v/>
      </c>
      <c r="AL309" s="477" t="str">
        <f>IF($AC$309="","",IFERROR(INDEX($BB$74:$BB$119,MATCH($AH$309,$AY$74:$AY$119,0)),$AH$309))</f>
        <v/>
      </c>
      <c r="AM309" s="483" t="str">
        <f t="shared" si="78"/>
        <v/>
      </c>
      <c r="AN309" s="484" t="str">
        <f t="shared" si="79"/>
        <v/>
      </c>
      <c r="AO309" s="473" t="str">
        <f t="shared" si="80"/>
        <v/>
      </c>
      <c r="AP309" s="473" t="str">
        <f t="shared" si="81"/>
        <v/>
      </c>
      <c r="AQ309" s="473" t="str">
        <f t="shared" si="82"/>
        <v/>
      </c>
      <c r="AR309" s="473" t="str">
        <f t="shared" si="83"/>
        <v/>
      </c>
      <c r="AS309" s="473" t="str">
        <f t="shared" si="84"/>
        <v/>
      </c>
      <c r="AT309" s="473" t="str">
        <f t="shared" si="85"/>
        <v/>
      </c>
      <c r="AU309" s="473" t="str">
        <f t="shared" si="86"/>
        <v/>
      </c>
      <c r="AZ309" s="28" t="s">
        <v>15</v>
      </c>
      <c r="BA309" s="34" t="s">
        <v>475</v>
      </c>
      <c r="BB309" s="499"/>
      <c r="BC309" s="271"/>
      <c r="BD309" s="279">
        <v>1</v>
      </c>
      <c r="BE309" s="271"/>
      <c r="BF309" s="271"/>
      <c r="BG309" s="271"/>
      <c r="BH309" s="271"/>
      <c r="BI309" s="271"/>
      <c r="BJ309" s="271"/>
      <c r="BK309" s="271"/>
      <c r="BL309" s="271"/>
    </row>
    <row r="310" spans="18:64" ht="21" customHeight="1" x14ac:dyDescent="0.25">
      <c r="R310" s="34" t="s">
        <v>482</v>
      </c>
      <c r="S310" s="451"/>
      <c r="T310" s="440" t="s">
        <v>8110</v>
      </c>
      <c r="V310" s="475">
        <v>7</v>
      </c>
      <c r="W310" s="475" t="str">
        <f>IF($AC$310="","",$W$288)</f>
        <v/>
      </c>
      <c r="X310" s="476" t="str">
        <f>IF($AC$310="","",$X$288)</f>
        <v/>
      </c>
      <c r="Y310" s="477" t="str">
        <f>IF($X$310="","",$Y$288)</f>
        <v/>
      </c>
      <c r="Z310" s="477" t="str">
        <f>IF($X$310="","",$Z$288)</f>
        <v/>
      </c>
      <c r="AA310" s="477" t="str">
        <f>IF($AC$310="","",ROW($A$310)-ROW($A$288))</f>
        <v/>
      </c>
      <c r="AB310" s="478"/>
      <c r="AC310" s="34"/>
      <c r="AD310" s="356"/>
      <c r="AE310" s="479"/>
      <c r="AF310" s="475"/>
      <c r="AG310" s="480" t="str">
        <f t="shared" si="76"/>
        <v/>
      </c>
      <c r="AH310" s="481" t="str">
        <f t="shared" si="77"/>
        <v/>
      </c>
      <c r="AI310" s="477" t="str">
        <f>IF($AC$310="","",IFERROR(INDEX($AZ$74:$AZ$119,MATCH($AH$310,$AY$74:$AY$119,0)),"AUTRE"))</f>
        <v/>
      </c>
      <c r="AJ310" s="482" t="str">
        <f>IF($AC$310="","",IFERROR(INDEX($BA$74:$BA$119,MATCH($AH$310,$AY$74:$AY$119,0)),1))</f>
        <v/>
      </c>
      <c r="AK310" s="482" t="str">
        <f t="shared" si="66"/>
        <v/>
      </c>
      <c r="AL310" s="477" t="str">
        <f>IF($AC$310="","",IFERROR(INDEX($BB$74:$BB$119,MATCH($AH$310,$AY$74:$AY$119,0)),$AH$310))</f>
        <v/>
      </c>
      <c r="AM310" s="483" t="str">
        <f t="shared" si="78"/>
        <v/>
      </c>
      <c r="AN310" s="484" t="str">
        <f t="shared" si="79"/>
        <v/>
      </c>
      <c r="AO310" s="473" t="str">
        <f t="shared" si="80"/>
        <v/>
      </c>
      <c r="AP310" s="473" t="str">
        <f t="shared" si="81"/>
        <v/>
      </c>
      <c r="AQ310" s="473" t="str">
        <f t="shared" si="82"/>
        <v/>
      </c>
      <c r="AR310" s="473" t="str">
        <f t="shared" si="83"/>
        <v/>
      </c>
      <c r="AS310" s="473" t="str">
        <f t="shared" si="84"/>
        <v/>
      </c>
      <c r="AT310" s="473" t="str">
        <f t="shared" si="85"/>
        <v/>
      </c>
      <c r="AU310" s="473" t="str">
        <f t="shared" si="86"/>
        <v/>
      </c>
      <c r="AZ310" s="29" t="s">
        <v>9</v>
      </c>
      <c r="BA310" s="34" t="s">
        <v>457</v>
      </c>
      <c r="BB310" s="499"/>
      <c r="BC310" s="271"/>
      <c r="BD310" s="279">
        <v>1</v>
      </c>
      <c r="BE310" s="271"/>
      <c r="BF310" s="271"/>
      <c r="BG310" s="271"/>
      <c r="BH310" s="271"/>
      <c r="BI310" s="271"/>
      <c r="BJ310" s="271"/>
      <c r="BK310" s="271"/>
      <c r="BL310" s="271"/>
    </row>
    <row r="311" spans="18:64" ht="21" customHeight="1" x14ac:dyDescent="0.25">
      <c r="R311" s="34" t="s">
        <v>496</v>
      </c>
      <c r="S311" s="451"/>
      <c r="T311" s="452" t="s">
        <v>8113</v>
      </c>
      <c r="V311" s="475">
        <v>7</v>
      </c>
      <c r="W311" s="475" t="str">
        <f>IF($AC$311="","",$W$288)</f>
        <v/>
      </c>
      <c r="X311" s="476" t="str">
        <f>IF($AC$311="","",$X$288)</f>
        <v/>
      </c>
      <c r="Y311" s="477" t="str">
        <f>IF($X$311="","",$Y$288)</f>
        <v/>
      </c>
      <c r="Z311" s="477" t="str">
        <f>IF($X$311="","",$Z$288)</f>
        <v/>
      </c>
      <c r="AA311" s="477" t="str">
        <f>IF($AC$311="","",ROW($A$311)-ROW($A$288))</f>
        <v/>
      </c>
      <c r="AB311" s="478"/>
      <c r="AC311" s="34"/>
      <c r="AD311" s="356"/>
      <c r="AE311" s="479"/>
      <c r="AF311" s="475"/>
      <c r="AG311" s="480" t="str">
        <f t="shared" si="76"/>
        <v/>
      </c>
      <c r="AH311" s="481" t="str">
        <f t="shared" si="77"/>
        <v/>
      </c>
      <c r="AI311" s="477" t="str">
        <f>IF($AC$311="","",IFERROR(INDEX($AZ$74:$AZ$119,MATCH($AH$311,$AY$74:$AY$119,0)),"AUTRE"))</f>
        <v/>
      </c>
      <c r="AJ311" s="482" t="str">
        <f>IF($AC$311="","",IFERROR(INDEX($BA$74:$BA$119,MATCH($AH$311,$AY$74:$AY$119,0)),1))</f>
        <v/>
      </c>
      <c r="AK311" s="482" t="str">
        <f t="shared" si="66"/>
        <v/>
      </c>
      <c r="AL311" s="477" t="str">
        <f>IF($AC$311="","",IFERROR(INDEX($BB$74:$BB$119,MATCH($AH$311,$AY$74:$AY$119,0)),$AH$311))</f>
        <v/>
      </c>
      <c r="AM311" s="483" t="str">
        <f t="shared" si="78"/>
        <v/>
      </c>
      <c r="AN311" s="484" t="str">
        <f t="shared" si="79"/>
        <v/>
      </c>
      <c r="AO311" s="473" t="str">
        <f t="shared" si="80"/>
        <v/>
      </c>
      <c r="AP311" s="473" t="str">
        <f t="shared" si="81"/>
        <v/>
      </c>
      <c r="AQ311" s="473" t="str">
        <f t="shared" si="82"/>
        <v/>
      </c>
      <c r="AR311" s="473" t="str">
        <f t="shared" si="83"/>
        <v/>
      </c>
      <c r="AS311" s="473" t="str">
        <f t="shared" si="84"/>
        <v/>
      </c>
      <c r="AT311" s="473" t="str">
        <f t="shared" si="85"/>
        <v/>
      </c>
      <c r="AU311" s="473" t="str">
        <f t="shared" si="86"/>
        <v/>
      </c>
      <c r="AZ311" s="30" t="s">
        <v>10</v>
      </c>
      <c r="BA311" s="34" t="s">
        <v>482</v>
      </c>
      <c r="BB311" s="499"/>
      <c r="BC311" s="271"/>
      <c r="BD311" s="279">
        <v>1</v>
      </c>
      <c r="BE311" s="271"/>
      <c r="BF311" s="271"/>
      <c r="BG311" s="271"/>
      <c r="BH311" s="271"/>
      <c r="BI311" s="271"/>
      <c r="BJ311" s="271"/>
      <c r="BK311" s="271"/>
      <c r="BL311" s="271"/>
    </row>
    <row r="312" spans="18:64" ht="21" customHeight="1" x14ac:dyDescent="0.25">
      <c r="R312" s="34" t="s">
        <v>483</v>
      </c>
      <c r="S312" s="451"/>
      <c r="T312" s="14" t="s">
        <v>7</v>
      </c>
      <c r="V312" s="475">
        <v>7</v>
      </c>
      <c r="W312" s="475" t="str">
        <f>IF($AC$312="","",$W$288)</f>
        <v/>
      </c>
      <c r="X312" s="476" t="str">
        <f>IF($AC$312="","",$X$288)</f>
        <v/>
      </c>
      <c r="Y312" s="477" t="str">
        <f>IF($X$312="","",$Y$288)</f>
        <v/>
      </c>
      <c r="Z312" s="477" t="str">
        <f>IF($X$312="","",$Z$288)</f>
        <v/>
      </c>
      <c r="AA312" s="477" t="str">
        <f>IF($AC$312="","",ROW($A$312)-ROW($A$288))</f>
        <v/>
      </c>
      <c r="AB312" s="478"/>
      <c r="AC312" s="34"/>
      <c r="AD312" s="356"/>
      <c r="AE312" s="479"/>
      <c r="AF312" s="475"/>
      <c r="AG312" s="480" t="str">
        <f t="shared" si="76"/>
        <v/>
      </c>
      <c r="AH312" s="481" t="str">
        <f t="shared" si="77"/>
        <v/>
      </c>
      <c r="AI312" s="477" t="str">
        <f>IF($AC$312="","",IFERROR(INDEX($AZ$74:$AZ$119,MATCH($AH$312,$AY$74:$AY$119,0)),"AUTRE"))</f>
        <v/>
      </c>
      <c r="AJ312" s="482" t="str">
        <f>IF($AC$312="","",IFERROR(INDEX($BA$74:$BA$119,MATCH($AH$312,$AY$74:$AY$119,0)),1))</f>
        <v/>
      </c>
      <c r="AK312" s="482" t="str">
        <f t="shared" si="66"/>
        <v/>
      </c>
      <c r="AL312" s="477" t="str">
        <f>IF($AC$312="","",IFERROR(INDEX($BB$74:$BB$119,MATCH($AH$312,$AY$74:$AY$119,0)),$AH$312))</f>
        <v/>
      </c>
      <c r="AM312" s="483" t="str">
        <f t="shared" si="78"/>
        <v/>
      </c>
      <c r="AN312" s="484" t="str">
        <f t="shared" si="79"/>
        <v/>
      </c>
      <c r="AO312" s="473" t="str">
        <f t="shared" si="80"/>
        <v/>
      </c>
      <c r="AP312" s="473" t="str">
        <f t="shared" si="81"/>
        <v/>
      </c>
      <c r="AQ312" s="473" t="str">
        <f t="shared" si="82"/>
        <v/>
      </c>
      <c r="AR312" s="473" t="str">
        <f t="shared" si="83"/>
        <v/>
      </c>
      <c r="AS312" s="473" t="str">
        <f t="shared" si="84"/>
        <v/>
      </c>
      <c r="AT312" s="473" t="str">
        <f t="shared" si="85"/>
        <v/>
      </c>
      <c r="AU312" s="473" t="str">
        <f t="shared" si="86"/>
        <v/>
      </c>
      <c r="AZ312" s="30" t="s">
        <v>11</v>
      </c>
      <c r="BA312" s="34" t="s">
        <v>496</v>
      </c>
      <c r="BB312" s="499"/>
      <c r="BC312" s="271"/>
      <c r="BD312" s="279">
        <v>1</v>
      </c>
      <c r="BE312" s="271"/>
      <c r="BF312" s="271"/>
      <c r="BG312" s="271"/>
      <c r="BH312" s="271"/>
      <c r="BI312" s="271"/>
      <c r="BJ312" s="271"/>
      <c r="BK312" s="271"/>
      <c r="BL312" s="271"/>
    </row>
    <row r="313" spans="18:64" ht="21" customHeight="1" x14ac:dyDescent="0.25">
      <c r="R313" s="34" t="s">
        <v>493</v>
      </c>
      <c r="S313" s="451"/>
      <c r="T313" s="27" t="s">
        <v>8</v>
      </c>
      <c r="V313" s="475">
        <v>7</v>
      </c>
      <c r="W313" s="475" t="str">
        <f>IF($AC$313="","",$W$288)</f>
        <v/>
      </c>
      <c r="X313" s="476" t="str">
        <f>IF($AC$313="","",$X$288)</f>
        <v/>
      </c>
      <c r="Y313" s="477" t="str">
        <f>IF($X$313="","",$Y$288)</f>
        <v/>
      </c>
      <c r="Z313" s="477" t="str">
        <f>IF($X$313="","",$Z$288)</f>
        <v/>
      </c>
      <c r="AA313" s="477" t="str">
        <f>IF($AC$313="","",ROW($A$313)-ROW($A$288))</f>
        <v/>
      </c>
      <c r="AB313" s="478"/>
      <c r="AC313" s="34"/>
      <c r="AD313" s="356"/>
      <c r="AE313" s="479"/>
      <c r="AF313" s="475"/>
      <c r="AG313" s="480" t="str">
        <f t="shared" si="76"/>
        <v/>
      </c>
      <c r="AH313" s="481" t="str">
        <f t="shared" si="77"/>
        <v/>
      </c>
      <c r="AI313" s="477" t="str">
        <f>IF($AC$313="","",IFERROR(INDEX($AZ$74:$AZ$119,MATCH($AH$313,$AY$74:$AY$119,0)),"AUTRE"))</f>
        <v/>
      </c>
      <c r="AJ313" s="482" t="str">
        <f>IF($AC$313="","",IFERROR(INDEX($BA$74:$BA$119,MATCH($AH$313,$AY$74:$AY$119,0)),1))</f>
        <v/>
      </c>
      <c r="AK313" s="482" t="str">
        <f t="shared" si="66"/>
        <v/>
      </c>
      <c r="AL313" s="477" t="str">
        <f>IF($AC$313="","",IFERROR(INDEX($BB$74:$BB$119,MATCH($AH$313,$AY$74:$AY$119,0)),$AH$313))</f>
        <v/>
      </c>
      <c r="AM313" s="483" t="str">
        <f t="shared" si="78"/>
        <v/>
      </c>
      <c r="AN313" s="484" t="str">
        <f t="shared" si="79"/>
        <v/>
      </c>
      <c r="AO313" s="473" t="str">
        <f t="shared" si="80"/>
        <v/>
      </c>
      <c r="AP313" s="473" t="str">
        <f t="shared" si="81"/>
        <v/>
      </c>
      <c r="AQ313" s="473" t="str">
        <f t="shared" si="82"/>
        <v/>
      </c>
      <c r="AR313" s="473" t="str">
        <f t="shared" si="83"/>
        <v/>
      </c>
      <c r="AS313" s="473" t="str">
        <f t="shared" si="84"/>
        <v/>
      </c>
      <c r="AT313" s="473" t="str">
        <f t="shared" si="85"/>
        <v/>
      </c>
      <c r="AU313" s="473" t="str">
        <f t="shared" si="86"/>
        <v/>
      </c>
      <c r="AZ313" s="30" t="s">
        <v>12</v>
      </c>
      <c r="BA313" s="34" t="s">
        <v>483</v>
      </c>
      <c r="BB313" s="499"/>
      <c r="BC313" s="271"/>
      <c r="BD313" s="279">
        <v>1</v>
      </c>
      <c r="BE313" s="271"/>
      <c r="BF313" s="271"/>
      <c r="BG313" s="271"/>
      <c r="BH313" s="271"/>
      <c r="BI313" s="271"/>
      <c r="BJ313" s="271"/>
      <c r="BK313" s="271"/>
      <c r="BL313" s="271"/>
    </row>
    <row r="314" spans="18:64" ht="21" customHeight="1" x14ac:dyDescent="0.25">
      <c r="R314" s="34" t="s">
        <v>494</v>
      </c>
      <c r="S314" s="451"/>
      <c r="T314" s="28" t="s">
        <v>13</v>
      </c>
      <c r="V314" s="475">
        <v>7</v>
      </c>
      <c r="W314" s="475" t="str">
        <f>IF($AC$314="","",$W$288)</f>
        <v/>
      </c>
      <c r="X314" s="476" t="str">
        <f>IF($AC$314="","",$X$288)</f>
        <v/>
      </c>
      <c r="Y314" s="477" t="str">
        <f>IF($X$314="","",$Y$288)</f>
        <v/>
      </c>
      <c r="Z314" s="477" t="str">
        <f>IF($X$314="","",$Z$288)</f>
        <v/>
      </c>
      <c r="AA314" s="477" t="str">
        <f>IF($AC$314="","",ROW($A$314)-ROW($A$288))</f>
        <v/>
      </c>
      <c r="AB314" s="478"/>
      <c r="AC314" s="34"/>
      <c r="AD314" s="356"/>
      <c r="AE314" s="479"/>
      <c r="AF314" s="475"/>
      <c r="AG314" s="480" t="str">
        <f t="shared" si="76"/>
        <v/>
      </c>
      <c r="AH314" s="481" t="str">
        <f t="shared" si="77"/>
        <v/>
      </c>
      <c r="AI314" s="477" t="str">
        <f>IF($AC$314="","",IFERROR(INDEX($AZ$74:$AZ$119,MATCH($AH$314,$AY$74:$AY$119,0)),"AUTRE"))</f>
        <v/>
      </c>
      <c r="AJ314" s="482" t="str">
        <f>IF($AC$314="","",IFERROR(INDEX($BA$74:$BA$119,MATCH($AH$314,$AY$74:$AY$119,0)),1))</f>
        <v/>
      </c>
      <c r="AK314" s="482" t="str">
        <f t="shared" si="66"/>
        <v/>
      </c>
      <c r="AL314" s="477" t="str">
        <f>IF($AC$314="","",IFERROR(INDEX($BB$74:$BB$119,MATCH($AH$314,$AY$74:$AY$119,0)),$AH$314))</f>
        <v/>
      </c>
      <c r="AM314" s="483" t="str">
        <f t="shared" si="78"/>
        <v/>
      </c>
      <c r="AN314" s="484" t="str">
        <f t="shared" si="79"/>
        <v/>
      </c>
      <c r="AO314" s="473" t="str">
        <f t="shared" si="80"/>
        <v/>
      </c>
      <c r="AP314" s="473" t="str">
        <f t="shared" si="81"/>
        <v/>
      </c>
      <c r="AQ314" s="473" t="str">
        <f t="shared" si="82"/>
        <v/>
      </c>
      <c r="AR314" s="473" t="str">
        <f t="shared" si="83"/>
        <v/>
      </c>
      <c r="AS314" s="473" t="str">
        <f t="shared" si="84"/>
        <v/>
      </c>
      <c r="AT314" s="473" t="str">
        <f t="shared" si="85"/>
        <v/>
      </c>
      <c r="AU314" s="473" t="str">
        <f t="shared" si="86"/>
        <v/>
      </c>
      <c r="AZ314" s="31" t="s">
        <v>16</v>
      </c>
      <c r="BA314" s="34" t="s">
        <v>493</v>
      </c>
      <c r="BB314" s="499"/>
      <c r="BC314" s="271"/>
      <c r="BD314" s="279">
        <v>1</v>
      </c>
      <c r="BE314" s="271"/>
      <c r="BF314" s="271"/>
      <c r="BG314" s="271"/>
      <c r="BH314" s="271"/>
      <c r="BI314" s="271"/>
      <c r="BJ314" s="271"/>
      <c r="BK314" s="271"/>
      <c r="BL314" s="271"/>
    </row>
    <row r="315" spans="18:64" ht="21" customHeight="1" x14ac:dyDescent="0.25">
      <c r="S315" s="451"/>
      <c r="T315" s="28" t="s">
        <v>14</v>
      </c>
      <c r="V315" s="475">
        <v>7</v>
      </c>
      <c r="W315" s="475" t="str">
        <f>IF($AC$315="","",$W$288)</f>
        <v/>
      </c>
      <c r="X315" s="476" t="str">
        <f>IF($AC$315="","",$X$288)</f>
        <v/>
      </c>
      <c r="Y315" s="477" t="str">
        <f>IF($X$315="","",$Y$288)</f>
        <v/>
      </c>
      <c r="Z315" s="477" t="str">
        <f>IF($X$315="","",$Z$288)</f>
        <v/>
      </c>
      <c r="AA315" s="477" t="str">
        <f>IF($AC$315="","",ROW($A$315)-ROW($A$288))</f>
        <v/>
      </c>
      <c r="AB315" s="478"/>
      <c r="AC315" s="34"/>
      <c r="AD315" s="356"/>
      <c r="AE315" s="479"/>
      <c r="AF315" s="475"/>
      <c r="AG315" s="480" t="str">
        <f t="shared" si="76"/>
        <v/>
      </c>
      <c r="AH315" s="481" t="str">
        <f t="shared" si="77"/>
        <v/>
      </c>
      <c r="AI315" s="477" t="str">
        <f>IF($AC$315="","",IFERROR(INDEX($AZ$74:$AZ$119,MATCH($AH$315,$AY$74:$AY$119,0)),"AUTRE"))</f>
        <v/>
      </c>
      <c r="AJ315" s="482" t="str">
        <f>IF($AC$315="","",IFERROR(INDEX($BA$74:$BA$119,MATCH($AH$315,$AY$74:$AY$119,0)),1))</f>
        <v/>
      </c>
      <c r="AK315" s="482" t="str">
        <f t="shared" si="66"/>
        <v/>
      </c>
      <c r="AL315" s="477" t="str">
        <f>IF($AC$315="","",IFERROR(INDEX($BB$74:$BB$119,MATCH($AH$315,$AY$74:$AY$119,0)),$AH$315))</f>
        <v/>
      </c>
      <c r="AM315" s="483" t="str">
        <f t="shared" si="78"/>
        <v/>
      </c>
      <c r="AN315" s="484" t="str">
        <f t="shared" si="79"/>
        <v/>
      </c>
      <c r="AO315" s="473" t="str">
        <f t="shared" si="80"/>
        <v/>
      </c>
      <c r="AP315" s="473" t="str">
        <f t="shared" si="81"/>
        <v/>
      </c>
      <c r="AQ315" s="473" t="str">
        <f t="shared" si="82"/>
        <v/>
      </c>
      <c r="AR315" s="473" t="str">
        <f t="shared" si="83"/>
        <v/>
      </c>
      <c r="AS315" s="473" t="str">
        <f t="shared" si="84"/>
        <v/>
      </c>
      <c r="AT315" s="473" t="str">
        <f t="shared" si="85"/>
        <v/>
      </c>
      <c r="AU315" s="473" t="str">
        <f t="shared" si="86"/>
        <v/>
      </c>
      <c r="AZ315" s="31" t="s">
        <v>17</v>
      </c>
      <c r="BA315" s="34" t="s">
        <v>494</v>
      </c>
      <c r="BB315" s="499"/>
      <c r="BC315" s="271"/>
      <c r="BD315" s="279">
        <v>1</v>
      </c>
      <c r="BE315" s="271"/>
      <c r="BF315" s="271"/>
      <c r="BG315" s="271"/>
      <c r="BH315" s="271"/>
      <c r="BI315" s="271"/>
      <c r="BJ315" s="271"/>
      <c r="BK315" s="271"/>
      <c r="BL315" s="271"/>
    </row>
    <row r="316" spans="18:64" ht="21" customHeight="1" x14ac:dyDescent="0.25">
      <c r="R316" s="25" t="s">
        <v>6115</v>
      </c>
      <c r="S316" s="451"/>
      <c r="T316" s="28" t="s">
        <v>15</v>
      </c>
      <c r="V316" s="475">
        <v>7</v>
      </c>
      <c r="W316" s="475" t="str">
        <f>IF($AC$316="","",$W$288)</f>
        <v/>
      </c>
      <c r="X316" s="476" t="str">
        <f>IF($AC$316="","",$X$288)</f>
        <v/>
      </c>
      <c r="Y316" s="477" t="str">
        <f>IF($X$316="","",$Y$288)</f>
        <v/>
      </c>
      <c r="Z316" s="477" t="str">
        <f>IF($X$316="","",$Z$288)</f>
        <v/>
      </c>
      <c r="AA316" s="477" t="str">
        <f>IF($AC$316="","",ROW($A$316)-ROW($A$288))</f>
        <v/>
      </c>
      <c r="AB316" s="478"/>
      <c r="AC316" s="34"/>
      <c r="AD316" s="356"/>
      <c r="AE316" s="479"/>
      <c r="AF316" s="475"/>
      <c r="AG316" s="480" t="str">
        <f t="shared" si="76"/>
        <v/>
      </c>
      <c r="AH316" s="481" t="str">
        <f t="shared" si="77"/>
        <v/>
      </c>
      <c r="AI316" s="477" t="str">
        <f>IF($AC$316="","",IFERROR(INDEX($AZ$74:$AZ$119,MATCH($AH$316,$AY$74:$AY$119,0)),"AUTRE"))</f>
        <v/>
      </c>
      <c r="AJ316" s="482" t="str">
        <f>IF($AC$316="","",IFERROR(INDEX($BA$74:$BA$119,MATCH($AH$316,$AY$74:$AY$119,0)),1))</f>
        <v/>
      </c>
      <c r="AK316" s="482" t="str">
        <f t="shared" ref="AK316:AK322" si="87">IF(OR(AG316="",AJ316=""),"",AG316*AJ316)</f>
        <v/>
      </c>
      <c r="AL316" s="477" t="str">
        <f>IF($AC$316="","",IFERROR(INDEX($BB$74:$BB$119,MATCH($AH$316,$AY$74:$AY$119,0)),$AH$316))</f>
        <v/>
      </c>
      <c r="AM316" s="483" t="str">
        <f t="shared" si="78"/>
        <v/>
      </c>
      <c r="AN316" s="484" t="str">
        <f t="shared" si="79"/>
        <v/>
      </c>
      <c r="AO316" s="473" t="str">
        <f t="shared" si="80"/>
        <v/>
      </c>
      <c r="AP316" s="473" t="str">
        <f t="shared" si="81"/>
        <v/>
      </c>
      <c r="AQ316" s="473" t="str">
        <f t="shared" si="82"/>
        <v/>
      </c>
      <c r="AR316" s="473" t="str">
        <f t="shared" si="83"/>
        <v/>
      </c>
      <c r="AS316" s="473" t="str">
        <f t="shared" si="84"/>
        <v/>
      </c>
      <c r="AT316" s="473" t="str">
        <f t="shared" si="85"/>
        <v/>
      </c>
      <c r="AU316" s="473" t="str">
        <f t="shared" si="86"/>
        <v/>
      </c>
      <c r="AY316" s="271"/>
      <c r="AZ316" s="31" t="s">
        <v>18</v>
      </c>
      <c r="BB316" s="499"/>
      <c r="BC316" s="271"/>
      <c r="BD316" s="279">
        <v>1</v>
      </c>
      <c r="BE316" s="271"/>
      <c r="BF316" s="271"/>
      <c r="BG316" s="271"/>
      <c r="BH316" s="271"/>
      <c r="BI316" s="271"/>
      <c r="BJ316" s="271"/>
      <c r="BK316" s="271"/>
      <c r="BL316" s="271"/>
    </row>
    <row r="317" spans="18:64" ht="21" customHeight="1" x14ac:dyDescent="0.25">
      <c r="R317" s="34" t="s">
        <v>471</v>
      </c>
      <c r="S317" s="451"/>
      <c r="T317" s="28" t="s">
        <v>21</v>
      </c>
      <c r="V317" s="475">
        <v>7</v>
      </c>
      <c r="W317" s="475" t="str">
        <f>IF($AC$317="","",$W$288)</f>
        <v/>
      </c>
      <c r="X317" s="476" t="str">
        <f>IF($AC$317="","",$X$288)</f>
        <v/>
      </c>
      <c r="Y317" s="477" t="str">
        <f>IF($X$317="","",$Y$288)</f>
        <v/>
      </c>
      <c r="Z317" s="477" t="str">
        <f>IF($X$317="","",$Z$288)</f>
        <v/>
      </c>
      <c r="AA317" s="477" t="str">
        <f>IF($AC$317="","",ROW($A$317)-ROW($A$288))</f>
        <v/>
      </c>
      <c r="AB317" s="478"/>
      <c r="AC317" s="34"/>
      <c r="AD317" s="356"/>
      <c r="AE317" s="479"/>
      <c r="AF317" s="475"/>
      <c r="AG317" s="480" t="str">
        <f t="shared" si="76"/>
        <v/>
      </c>
      <c r="AH317" s="481" t="str">
        <f t="shared" si="77"/>
        <v/>
      </c>
      <c r="AI317" s="477" t="str">
        <f>IF($AC$317="","",IFERROR(INDEX($AZ$74:$AZ$119,MATCH($AH$317,$AY$74:$AY$119,0)),"AUTRE"))</f>
        <v/>
      </c>
      <c r="AJ317" s="482" t="str">
        <f>IF($AC$317="","",IFERROR(INDEX($BA$74:$BA$119,MATCH($AH$317,$AY$74:$AY$119,0)),1))</f>
        <v/>
      </c>
      <c r="AK317" s="482" t="str">
        <f t="shared" si="87"/>
        <v/>
      </c>
      <c r="AL317" s="477" t="str">
        <f>IF($AC$317="","",IFERROR(INDEX($BB$74:$BB$119,MATCH($AH$317,$AY$74:$AY$119,0)),$AH$317))</f>
        <v/>
      </c>
      <c r="AM317" s="483" t="str">
        <f t="shared" si="78"/>
        <v/>
      </c>
      <c r="AN317" s="484" t="str">
        <f t="shared" si="79"/>
        <v/>
      </c>
      <c r="AO317" s="473" t="str">
        <f t="shared" si="80"/>
        <v/>
      </c>
      <c r="AP317" s="473" t="str">
        <f t="shared" si="81"/>
        <v/>
      </c>
      <c r="AQ317" s="473" t="str">
        <f t="shared" si="82"/>
        <v/>
      </c>
      <c r="AR317" s="473" t="str">
        <f t="shared" si="83"/>
        <v/>
      </c>
      <c r="AS317" s="473" t="str">
        <f t="shared" si="84"/>
        <v/>
      </c>
      <c r="AT317" s="473" t="str">
        <f t="shared" si="85"/>
        <v/>
      </c>
      <c r="AU317" s="473" t="str">
        <f t="shared" si="86"/>
        <v/>
      </c>
      <c r="AY317" s="497" t="s">
        <v>8145</v>
      </c>
      <c r="AZ317" s="31" t="s">
        <v>19</v>
      </c>
      <c r="BA317" s="25" t="s">
        <v>6115</v>
      </c>
      <c r="BB317" s="499"/>
      <c r="BC317" s="271"/>
      <c r="BD317" s="279">
        <v>1</v>
      </c>
      <c r="BE317" s="271"/>
      <c r="BF317" s="271"/>
      <c r="BG317" s="271"/>
      <c r="BH317" s="271"/>
      <c r="BI317" s="271"/>
      <c r="BJ317" s="271"/>
      <c r="BK317" s="271"/>
      <c r="BL317" s="271"/>
    </row>
    <row r="318" spans="18:64" ht="21" customHeight="1" x14ac:dyDescent="0.25">
      <c r="R318" s="34" t="s">
        <v>472</v>
      </c>
      <c r="S318" s="451"/>
      <c r="T318" s="28" t="s">
        <v>22</v>
      </c>
      <c r="V318" s="475">
        <v>7</v>
      </c>
      <c r="W318" s="475" t="str">
        <f>IF($AC$318="","",$W$288)</f>
        <v/>
      </c>
      <c r="X318" s="476" t="str">
        <f>IF($AC$318="","",$X$288)</f>
        <v/>
      </c>
      <c r="Y318" s="477" t="str">
        <f>IF($X$318="","",$Y$288)</f>
        <v/>
      </c>
      <c r="Z318" s="477" t="str">
        <f>IF($X$318="","",$Z$288)</f>
        <v/>
      </c>
      <c r="AA318" s="477" t="str">
        <f>IF($AC$318="","",ROW($A$318)-ROW($A$288))</f>
        <v/>
      </c>
      <c r="AB318" s="478"/>
      <c r="AC318" s="34"/>
      <c r="AD318" s="356"/>
      <c r="AE318" s="479"/>
      <c r="AF318" s="475"/>
      <c r="AG318" s="480" t="str">
        <f t="shared" si="76"/>
        <v/>
      </c>
      <c r="AH318" s="481" t="str">
        <f t="shared" si="77"/>
        <v/>
      </c>
      <c r="AI318" s="477" t="str">
        <f>IF($AC$318="","",IFERROR(INDEX($AZ$74:$AZ$119,MATCH($AH$318,$AY$74:$AY$119,0)),"AUTRE"))</f>
        <v/>
      </c>
      <c r="AJ318" s="482" t="str">
        <f>IF($AC$318="","",IFERROR(INDEX($BA$74:$BA$119,MATCH($AH$318,$AY$74:$AY$119,0)),1))</f>
        <v/>
      </c>
      <c r="AK318" s="482" t="str">
        <f t="shared" si="87"/>
        <v/>
      </c>
      <c r="AL318" s="477" t="str">
        <f>IF($AC$318="","",IFERROR(INDEX($BB$74:$BB$119,MATCH($AH$318,$AY$74:$AY$119,0)),$AH$318))</f>
        <v/>
      </c>
      <c r="AM318" s="483" t="str">
        <f t="shared" si="78"/>
        <v/>
      </c>
      <c r="AN318" s="484" t="str">
        <f t="shared" si="79"/>
        <v/>
      </c>
      <c r="AO318" s="473" t="str">
        <f t="shared" si="80"/>
        <v/>
      </c>
      <c r="AP318" s="473" t="str">
        <f t="shared" si="81"/>
        <v/>
      </c>
      <c r="AQ318" s="473" t="str">
        <f t="shared" si="82"/>
        <v/>
      </c>
      <c r="AR318" s="473" t="str">
        <f t="shared" si="83"/>
        <v/>
      </c>
      <c r="AS318" s="473" t="str">
        <f t="shared" si="84"/>
        <v/>
      </c>
      <c r="AT318" s="473" t="str">
        <f t="shared" si="85"/>
        <v/>
      </c>
      <c r="AU318" s="473" t="str">
        <f t="shared" si="86"/>
        <v/>
      </c>
      <c r="AY318" s="497" t="s">
        <v>462</v>
      </c>
      <c r="AZ318" s="31" t="s">
        <v>211</v>
      </c>
      <c r="BA318" s="34" t="s">
        <v>471</v>
      </c>
      <c r="BB318" s="499"/>
      <c r="BC318" s="271"/>
      <c r="BD318" s="279">
        <v>1</v>
      </c>
      <c r="BE318" s="271"/>
      <c r="BF318" s="271"/>
      <c r="BG318" s="271"/>
      <c r="BH318" s="271"/>
      <c r="BI318" s="271"/>
      <c r="BJ318" s="271"/>
      <c r="BK318" s="271"/>
      <c r="BL318" s="271"/>
    </row>
    <row r="319" spans="18:64" ht="21" customHeight="1" x14ac:dyDescent="0.25">
      <c r="R319" s="34" t="s">
        <v>6112</v>
      </c>
      <c r="S319" s="451"/>
      <c r="T319" s="28" t="s">
        <v>23</v>
      </c>
      <c r="V319" s="475">
        <v>7</v>
      </c>
      <c r="W319" s="475" t="str">
        <f>IF($AC$319="","",$W$288)</f>
        <v/>
      </c>
      <c r="X319" s="476" t="str">
        <f>IF($AC$319="","",$X$288)</f>
        <v/>
      </c>
      <c r="Y319" s="477" t="str">
        <f>IF($X$319="","",$Y$288)</f>
        <v/>
      </c>
      <c r="Z319" s="477" t="str">
        <f>IF($X$319="","",$Z$288)</f>
        <v/>
      </c>
      <c r="AA319" s="477" t="str">
        <f>IF($AC$319="","",ROW($A$319)-ROW($A$288))</f>
        <v/>
      </c>
      <c r="AB319" s="478"/>
      <c r="AC319" s="34"/>
      <c r="AD319" s="356"/>
      <c r="AE319" s="479"/>
      <c r="AF319" s="475"/>
      <c r="AG319" s="480" t="str">
        <f t="shared" si="76"/>
        <v/>
      </c>
      <c r="AH319" s="481" t="str">
        <f t="shared" si="77"/>
        <v/>
      </c>
      <c r="AI319" s="477" t="str">
        <f>IF($AC$319="","",IFERROR(INDEX($AZ$74:$AZ$119,MATCH($AH$319,$AY$74:$AY$119,0)),"AUTRE"))</f>
        <v/>
      </c>
      <c r="AJ319" s="482" t="str">
        <f>IF($AC$319="","",IFERROR(INDEX($BA$74:$BA$119,MATCH($AH$319,$AY$74:$AY$119,0)),1))</f>
        <v/>
      </c>
      <c r="AK319" s="482" t="str">
        <f t="shared" si="87"/>
        <v/>
      </c>
      <c r="AL319" s="477" t="str">
        <f>IF($AC$319="","",IFERROR(INDEX($BB$74:$BB$119,MATCH($AH$319,$AY$74:$AY$119,0)),$AH$319))</f>
        <v/>
      </c>
      <c r="AM319" s="483" t="str">
        <f t="shared" si="78"/>
        <v/>
      </c>
      <c r="AN319" s="484" t="str">
        <f t="shared" si="79"/>
        <v/>
      </c>
      <c r="AO319" s="473" t="str">
        <f t="shared" si="80"/>
        <v/>
      </c>
      <c r="AP319" s="473" t="str">
        <f t="shared" si="81"/>
        <v/>
      </c>
      <c r="AQ319" s="473" t="str">
        <f t="shared" si="82"/>
        <v/>
      </c>
      <c r="AR319" s="473" t="str">
        <f t="shared" si="83"/>
        <v/>
      </c>
      <c r="AS319" s="473" t="str">
        <f t="shared" si="84"/>
        <v/>
      </c>
      <c r="AT319" s="473" t="str">
        <f t="shared" si="85"/>
        <v/>
      </c>
      <c r="AU319" s="473" t="str">
        <f t="shared" si="86"/>
        <v/>
      </c>
      <c r="AY319" s="497" t="s">
        <v>463</v>
      </c>
      <c r="AZ319" s="31" t="s">
        <v>20</v>
      </c>
      <c r="BA319" s="34" t="s">
        <v>472</v>
      </c>
      <c r="BB319" s="499"/>
      <c r="BC319" s="271"/>
      <c r="BD319" s="279">
        <v>1</v>
      </c>
      <c r="BE319" s="271"/>
      <c r="BF319" s="271"/>
      <c r="BG319" s="271"/>
      <c r="BH319" s="271"/>
      <c r="BI319" s="271"/>
      <c r="BJ319" s="271"/>
      <c r="BK319" s="271"/>
      <c r="BL319" s="271"/>
    </row>
    <row r="320" spans="18:64" ht="21" customHeight="1" x14ac:dyDescent="0.25">
      <c r="R320" s="25" t="s">
        <v>6116</v>
      </c>
      <c r="S320" s="451"/>
      <c r="T320" s="28" t="s">
        <v>24</v>
      </c>
      <c r="V320" s="475">
        <v>7</v>
      </c>
      <c r="W320" s="475" t="str">
        <f>IF($AC$320="","",$W$288)</f>
        <v/>
      </c>
      <c r="X320" s="476" t="str">
        <f>IF($AC$320="","",$X$288)</f>
        <v/>
      </c>
      <c r="Y320" s="477" t="str">
        <f>IF($X$320="","",$Y$288)</f>
        <v/>
      </c>
      <c r="Z320" s="477" t="str">
        <f>IF($X$320="","",$Z$288)</f>
        <v/>
      </c>
      <c r="AA320" s="477" t="str">
        <f>IF($AC$320="","",ROW($A$320)-ROW($A$288))</f>
        <v/>
      </c>
      <c r="AB320" s="478"/>
      <c r="AC320" s="34"/>
      <c r="AD320" s="356"/>
      <c r="AE320" s="479"/>
      <c r="AF320" s="475"/>
      <c r="AG320" s="480" t="str">
        <f t="shared" si="76"/>
        <v/>
      </c>
      <c r="AH320" s="481" t="str">
        <f t="shared" si="77"/>
        <v/>
      </c>
      <c r="AI320" s="477" t="str">
        <f>IF($AC$320="","",IFERROR(INDEX($AZ$74:$AZ$119,MATCH($AH$320,$AY$74:$AY$119,0)),"AUTRE"))</f>
        <v/>
      </c>
      <c r="AJ320" s="482" t="str">
        <f>IF($AC$320="","",IFERROR(INDEX($BA$74:$BA$119,MATCH($AH$320,$AY$74:$AY$119,0)),1))</f>
        <v/>
      </c>
      <c r="AK320" s="482" t="str">
        <f t="shared" si="87"/>
        <v/>
      </c>
      <c r="AL320" s="477" t="str">
        <f>IF($AC$320="","",IFERROR(INDEX($BB$74:$BB$119,MATCH($AH$320,$AY$74:$AY$119,0)),$AH$320))</f>
        <v/>
      </c>
      <c r="AM320" s="483" t="str">
        <f t="shared" si="78"/>
        <v/>
      </c>
      <c r="AN320" s="484" t="str">
        <f t="shared" si="79"/>
        <v/>
      </c>
      <c r="AO320" s="473" t="str">
        <f t="shared" si="80"/>
        <v/>
      </c>
      <c r="AP320" s="473" t="str">
        <f t="shared" si="81"/>
        <v/>
      </c>
      <c r="AQ320" s="473" t="str">
        <f t="shared" si="82"/>
        <v/>
      </c>
      <c r="AR320" s="473" t="str">
        <f t="shared" si="83"/>
        <v/>
      </c>
      <c r="AS320" s="473" t="str">
        <f t="shared" si="84"/>
        <v/>
      </c>
      <c r="AT320" s="473" t="str">
        <f t="shared" si="85"/>
        <v/>
      </c>
      <c r="AU320" s="473" t="str">
        <f t="shared" si="86"/>
        <v/>
      </c>
      <c r="AY320" s="497" t="s">
        <v>8147</v>
      </c>
      <c r="AZ320" s="31" t="s">
        <v>304</v>
      </c>
      <c r="BA320" s="34" t="s">
        <v>6112</v>
      </c>
      <c r="BB320" s="499"/>
      <c r="BC320" s="271"/>
      <c r="BD320" s="279">
        <v>1</v>
      </c>
      <c r="BE320" s="271"/>
      <c r="BF320" s="271"/>
      <c r="BG320" s="271"/>
      <c r="BH320" s="271"/>
      <c r="BI320" s="271"/>
      <c r="BJ320" s="271"/>
      <c r="BK320" s="271"/>
      <c r="BL320" s="271"/>
    </row>
    <row r="321" spans="18:64" ht="21" customHeight="1" x14ac:dyDescent="0.25">
      <c r="R321" s="34" t="s">
        <v>6117</v>
      </c>
      <c r="S321" s="451"/>
      <c r="T321" s="29" t="s">
        <v>9</v>
      </c>
      <c r="V321" s="475">
        <v>7</v>
      </c>
      <c r="W321" s="475" t="str">
        <f>IF($AC$321="","",$W$288)</f>
        <v/>
      </c>
      <c r="X321" s="476" t="str">
        <f>IF($AC$321="","",$X$288)</f>
        <v/>
      </c>
      <c r="Y321" s="477" t="str">
        <f>IF($X$321="","",$Y$288)</f>
        <v/>
      </c>
      <c r="Z321" s="477" t="str">
        <f>IF($X$321="","",$Z$288)</f>
        <v/>
      </c>
      <c r="AA321" s="477" t="str">
        <f>IF($AC$321="","",ROW($A$321)-ROW($A$288))</f>
        <v/>
      </c>
      <c r="AB321" s="478"/>
      <c r="AC321" s="34"/>
      <c r="AD321" s="356"/>
      <c r="AE321" s="479"/>
      <c r="AF321" s="475"/>
      <c r="AG321" s="480" t="str">
        <f t="shared" si="76"/>
        <v/>
      </c>
      <c r="AH321" s="481" t="str">
        <f t="shared" si="77"/>
        <v/>
      </c>
      <c r="AI321" s="477" t="str">
        <f>IF($AC$321="","",IFERROR(INDEX($AZ$74:$AZ$119,MATCH($AH$321,$AY$74:$AY$119,0)),"AUTRE"))</f>
        <v/>
      </c>
      <c r="AJ321" s="482" t="str">
        <f>IF($AC$321="","",IFERROR(INDEX($BA$74:$BA$119,MATCH($AH$321,$AY$74:$AY$119,0)),1))</f>
        <v/>
      </c>
      <c r="AK321" s="482" t="str">
        <f t="shared" si="87"/>
        <v/>
      </c>
      <c r="AL321" s="477" t="str">
        <f>IF($AC$321="","",IFERROR(INDEX($BB$74:$BB$119,MATCH($AH$321,$AY$74:$AY$119,0)),$AH$321))</f>
        <v/>
      </c>
      <c r="AM321" s="483" t="str">
        <f t="shared" si="78"/>
        <v/>
      </c>
      <c r="AN321" s="484" t="str">
        <f t="shared" si="79"/>
        <v/>
      </c>
      <c r="AO321" s="473" t="str">
        <f t="shared" si="80"/>
        <v/>
      </c>
      <c r="AP321" s="473" t="str">
        <f t="shared" si="81"/>
        <v/>
      </c>
      <c r="AQ321" s="473" t="str">
        <f t="shared" si="82"/>
        <v/>
      </c>
      <c r="AR321" s="473" t="str">
        <f t="shared" si="83"/>
        <v/>
      </c>
      <c r="AS321" s="473" t="str">
        <f t="shared" si="84"/>
        <v/>
      </c>
      <c r="AT321" s="473" t="str">
        <f t="shared" si="85"/>
        <v/>
      </c>
      <c r="AU321" s="473" t="str">
        <f t="shared" si="86"/>
        <v/>
      </c>
      <c r="AY321" s="497" t="s">
        <v>465</v>
      </c>
      <c r="AZ321" s="31" t="s">
        <v>352</v>
      </c>
      <c r="BA321" s="25" t="s">
        <v>6116</v>
      </c>
      <c r="BB321" s="499"/>
      <c r="BC321" s="271"/>
      <c r="BD321" s="279">
        <v>1</v>
      </c>
      <c r="BE321" s="271"/>
      <c r="BF321" s="271"/>
      <c r="BG321" s="271"/>
      <c r="BH321" s="271"/>
      <c r="BI321" s="271"/>
      <c r="BJ321" s="271"/>
      <c r="BK321" s="271"/>
      <c r="BL321" s="271"/>
    </row>
    <row r="322" spans="18:64" ht="21" customHeight="1" x14ac:dyDescent="0.25">
      <c r="R322" s="34" t="s">
        <v>469</v>
      </c>
      <c r="S322" s="451"/>
      <c r="T322" s="30" t="s">
        <v>10</v>
      </c>
      <c r="V322" s="475">
        <v>7</v>
      </c>
      <c r="W322" s="475" t="str">
        <f>IF($AC$322="","",$W$288)</f>
        <v/>
      </c>
      <c r="X322" s="476" t="str">
        <f>IF($AC$322="","",$X$288)</f>
        <v/>
      </c>
      <c r="Y322" s="477" t="str">
        <f>IF($X$322="","",$Y$288)</f>
        <v/>
      </c>
      <c r="Z322" s="477" t="str">
        <f>IF($X$322="","",$Z$288)</f>
        <v/>
      </c>
      <c r="AA322" s="477" t="str">
        <f>IF($AC$322="","",ROW($A$322)-ROW($A$288))</f>
        <v/>
      </c>
      <c r="AB322" s="478"/>
      <c r="AC322" s="34"/>
      <c r="AD322" s="356"/>
      <c r="AE322" s="479"/>
      <c r="AF322" s="475"/>
      <c r="AG322" s="491" t="str">
        <f t="shared" si="76"/>
        <v/>
      </c>
      <c r="AH322" s="481" t="str">
        <f t="shared" si="77"/>
        <v/>
      </c>
      <c r="AI322" s="477" t="str">
        <f>IF($AC$322="","",IFERROR(INDEX($AZ$74:$AZ$119,MATCH($AH$322,$AY$74:$AY$119,0)),"AUTRE"))</f>
        <v/>
      </c>
      <c r="AJ322" s="482" t="str">
        <f>IF($AC$322="","",IFERROR(INDEX($BA$74:$BA$119,MATCH($AH$322,$AY$74:$AY$119,0)),1))</f>
        <v/>
      </c>
      <c r="AK322" s="482" t="str">
        <f t="shared" si="87"/>
        <v/>
      </c>
      <c r="AL322" s="477" t="str">
        <f>IF($AC$322="","",IFERROR(INDEX($BB$74:$BB$119,MATCH($AH$322,$AY$74:$AY$119,0)),$AH$322))</f>
        <v/>
      </c>
      <c r="AM322" s="483" t="str">
        <f t="shared" si="78"/>
        <v/>
      </c>
      <c r="AN322" s="484" t="str">
        <f t="shared" si="79"/>
        <v/>
      </c>
      <c r="AO322" s="473" t="str">
        <f t="shared" si="80"/>
        <v/>
      </c>
      <c r="AP322" s="473" t="str">
        <f t="shared" si="81"/>
        <v/>
      </c>
      <c r="AQ322" s="473" t="str">
        <f t="shared" si="82"/>
        <v/>
      </c>
      <c r="AR322" s="473" t="str">
        <f t="shared" si="83"/>
        <v/>
      </c>
      <c r="AS322" s="473" t="str">
        <f t="shared" si="84"/>
        <v/>
      </c>
      <c r="AT322" s="473" t="str">
        <f t="shared" si="85"/>
        <v/>
      </c>
      <c r="AU322" s="473" t="str">
        <f t="shared" si="86"/>
        <v/>
      </c>
      <c r="AY322" s="497" t="s">
        <v>466</v>
      </c>
      <c r="AZ322" s="31" t="s">
        <v>27</v>
      </c>
      <c r="BA322" s="34" t="s">
        <v>6117</v>
      </c>
      <c r="BB322" s="499"/>
      <c r="BC322" s="271"/>
      <c r="BD322" s="279">
        <v>1</v>
      </c>
      <c r="BE322" s="271"/>
      <c r="BF322" s="271"/>
      <c r="BG322" s="271"/>
      <c r="BH322" s="271"/>
      <c r="BI322" s="271"/>
      <c r="BJ322" s="271"/>
      <c r="BK322" s="271"/>
      <c r="BL322" s="271"/>
    </row>
    <row r="323" spans="18:64" ht="30" customHeight="1" x14ac:dyDescent="0.25">
      <c r="R323" s="34" t="s">
        <v>6118</v>
      </c>
      <c r="S323" s="451"/>
      <c r="T323" s="30" t="s">
        <v>11</v>
      </c>
      <c r="V323" s="453" t="s">
        <v>324</v>
      </c>
      <c r="W323" s="453" t="s">
        <v>7912</v>
      </c>
      <c r="X323" s="453" t="s">
        <v>326</v>
      </c>
      <c r="Y323" s="453" t="s">
        <v>327</v>
      </c>
      <c r="Z323" s="454" t="s">
        <v>7930</v>
      </c>
      <c r="AA323" s="453" t="s">
        <v>7937</v>
      </c>
      <c r="AB323" s="455" t="s">
        <v>39</v>
      </c>
      <c r="AC323" s="455" t="s">
        <v>338</v>
      </c>
      <c r="AD323" s="455" t="s">
        <v>8114</v>
      </c>
      <c r="AE323" s="455" t="s">
        <v>339</v>
      </c>
      <c r="AF323" s="455" t="s">
        <v>7997</v>
      </c>
      <c r="AG323" s="453" t="s">
        <v>8018</v>
      </c>
      <c r="AH323" s="453" t="s">
        <v>8023</v>
      </c>
      <c r="AI323" s="453" t="s">
        <v>330</v>
      </c>
      <c r="AJ323" s="453" t="s">
        <v>8031</v>
      </c>
      <c r="AK323" s="453" t="s">
        <v>8037</v>
      </c>
      <c r="AL323" s="453" t="s">
        <v>8041</v>
      </c>
      <c r="AM323" s="453" t="s">
        <v>343</v>
      </c>
      <c r="AN323" s="457" t="s">
        <v>8115</v>
      </c>
      <c r="AO323" s="457" t="s">
        <v>8116</v>
      </c>
      <c r="AP323" s="656" t="s">
        <v>8117</v>
      </c>
      <c r="AQ323" s="656"/>
      <c r="AR323" s="656"/>
      <c r="AS323" s="656"/>
      <c r="AT323" s="656"/>
      <c r="AU323" s="657"/>
      <c r="AZ323" s="31" t="s">
        <v>28</v>
      </c>
      <c r="BA323" s="34" t="s">
        <v>469</v>
      </c>
      <c r="BB323" s="499"/>
      <c r="BC323" s="271"/>
      <c r="BD323" s="279">
        <v>1</v>
      </c>
      <c r="BE323" s="271"/>
      <c r="BF323" s="271"/>
      <c r="BG323" s="271"/>
      <c r="BH323" s="271"/>
      <c r="BI323" s="271"/>
      <c r="BJ323" s="271"/>
      <c r="BK323" s="271"/>
      <c r="BL323" s="271"/>
    </row>
    <row r="324" spans="18:64" ht="30" customHeight="1" x14ac:dyDescent="0.25">
      <c r="R324" s="34" t="s">
        <v>492</v>
      </c>
      <c r="S324" s="451"/>
      <c r="T324" s="30" t="s">
        <v>12</v>
      </c>
      <c r="V324" s="459">
        <v>8</v>
      </c>
      <c r="W324" s="460" t="s">
        <v>8159</v>
      </c>
      <c r="X324" s="461" t="s">
        <v>8160</v>
      </c>
      <c r="Y324" s="462"/>
      <c r="Z324" s="463">
        <v>100</v>
      </c>
      <c r="AA324" s="464">
        <f>IF($AC$396="","",ROW($A$396)-ROW($A$396))</f>
        <v>0</v>
      </c>
      <c r="AB324" s="461"/>
      <c r="AC324" s="465" t="s">
        <v>8161</v>
      </c>
      <c r="AD324" s="390"/>
      <c r="AE324" s="390"/>
      <c r="AF324" s="466"/>
      <c r="AG324" s="467" t="str">
        <f t="shared" ref="AG324:AG358" si="88">IF($AC324="","",IF(LEN($AN324&amp;"")=0,"",$AN324))</f>
        <v/>
      </c>
      <c r="AH324" s="468" t="str">
        <f t="shared" ref="AH324:AH358" si="89">IF($AC324="","",IF($AF324&lt;&gt;"",UPPER(TRIM(SUBSTITUTE(SUBSTITUTE($AF324&amp;"",CHAR(160)," ")," "," "))),$AP324))</f>
        <v/>
      </c>
      <c r="AI324" s="469" t="str">
        <f>IF($AC$324="","",IFERROR(INDEX($AZ$74:$AZ$119,MATCH($AH$324,$AY$74:$AY$119,0)),"AUTRE"))</f>
        <v>AUTRE</v>
      </c>
      <c r="AJ324" s="470">
        <f>IF($AC$324="","",IFERROR(INDEX($BA$74:$BA$119,MATCH($AH$324,$AY$74:$AY$119,0)),1))</f>
        <v>1</v>
      </c>
      <c r="AK324" s="470" t="str">
        <f t="shared" ref="AK324:AK358" si="90">IF(OR(AG324="",AJ324=""),"",AG324*AJ324)</f>
        <v/>
      </c>
      <c r="AL324" s="469" t="str">
        <f>IF($AC$324="","",IFERROR(INDEX($BB$74:$BB$119,MATCH($AH$324,$AY$74:$AY$119,0)),$AH$324))</f>
        <v/>
      </c>
      <c r="AM324" s="471" t="str">
        <f t="shared" ref="AM324:AM358" si="91">IF($AC324="","",IF($AH324="QT. SUFFISANTE","OK",IF($AG324="","TEXTE",IF(NOT(ISNUMBER($AG324)),"QUANTITÉ À CONTRÔLER",IF(COUNTIF($AY$74:$AY$119,$AH324)=0,"UNITÉ À CONTRÔLER","OK")))))</f>
        <v>TEXTE</v>
      </c>
      <c r="AN324" s="474" t="str">
        <f t="shared" ref="AN324:AN358" si="92">IF($AE324&lt;&gt;"",$AE324,IF($AD324="","",IF(ISNUMBER($AD324),$AD324,IF($AO324="QT",0,IF($AO324="","",IFERROR(IF(ISNUMBER(SEARCH("/",$AO324)),VALUE(TRIM(LEFT($AO324,SEARCH("/",$AO324)-1)))/VALUE(TRIM(MID($AO324,SEARCH("/",$AO324)+1,99))),VALUE(SUBSTITUTE($AO324,".",","))),""))))))</f>
        <v/>
      </c>
      <c r="AO324" s="473" t="str">
        <f t="shared" ref="AO324:AO358" si="93">IF($AD324="","",IF(ISNUMBER($AD324),$AD324,IF(OR(LEFT($AQ324,3)="QT.",LEFT($AQ324,4)="QUAN"),"QT",IF($AR324=999,$AQ324,TRIM(LEFT($AQ324,$AR324-1))))))</f>
        <v/>
      </c>
      <c r="AP324" s="473" t="str">
        <f t="shared" ref="AP324:AP358" si="94">IF($AD324="","",IF(ISNUMBER($AD324),"",IF(OR(LEFT($AQ324,3)="QT.",LEFT($AQ324,4)="QUAN"),"QT. SUFFISANTE",IF($AO324="","",TRIM(MID($AQ324,LEN($AO324&amp;"")+1,999))))))</f>
        <v/>
      </c>
      <c r="AQ324" s="473" t="str">
        <f t="shared" ref="AQ324:AQ358" si="95">IF($AD324="","",UPPER(TRIM(SUBSTITUTE(SUBSTITUTE($AD324&amp;"",CHAR(160)," ")," "," "))))</f>
        <v/>
      </c>
      <c r="AR324" s="473" t="str">
        <f t="shared" ref="AR324:AR358" si="96">IF($AQ324="","",MIN($AS324,$AT324,$AU324))</f>
        <v/>
      </c>
      <c r="AS324" s="473" t="str">
        <f t="shared" ref="AS324:AS358" si="97">IF($AQ324="","",MIN(IFERROR(SEARCH("A",$AQ324),999),IFERROR(SEARCH("B",$AQ324),999),IFERROR(SEARCH("C",$AQ324),999),IFERROR(SEARCH("D",$AQ324),999),IFERROR(SEARCH("E",$AQ324),999),IFERROR(SEARCH("F",$AQ324),999),IFERROR(SEARCH("G",$AQ324),999),IFERROR(SEARCH("H",$AQ324),999),IFERROR(SEARCH("I",$AQ324),999)))</f>
        <v/>
      </c>
      <c r="AT324" s="473" t="str">
        <f t="shared" ref="AT324:AT358" si="98">IF($AQ324="","",MIN(IFERROR(SEARCH("J",$AQ324),999),IFERROR(SEARCH("K",$AQ324),999),IFERROR(SEARCH("L",$AQ324),999),IFERROR(SEARCH("M",$AQ324),999),IFERROR(SEARCH("N",$AQ324),999),IFERROR(SEARCH("O",$AQ324),999),IFERROR(SEARCH("P",$AQ324),999),IFERROR(SEARCH("Q",$AQ324),999),IFERROR(SEARCH("R",$AQ324),999)))</f>
        <v/>
      </c>
      <c r="AU324" s="473" t="str">
        <f t="shared" ref="AU324:AU358" si="99">IF($AQ324="","",MIN(IFERROR(SEARCH("S",$AQ324),999),IFERROR(SEARCH("T",$AQ324),999),IFERROR(SEARCH("U",$AQ324),999),IFERROR(SEARCH("V",$AQ324),999),IFERROR(SEARCH("W",$AQ324),999),IFERROR(SEARCH("X",$AQ324),999),IFERROR(SEARCH("Y",$AQ324),999),IFERROR(SEARCH("Z",$AQ324),999)))</f>
        <v/>
      </c>
      <c r="AZ324" s="31" t="s">
        <v>29</v>
      </c>
      <c r="BA324" s="34" t="s">
        <v>6118</v>
      </c>
      <c r="BB324" s="499"/>
      <c r="BC324" s="271"/>
      <c r="BD324" s="279">
        <v>1</v>
      </c>
      <c r="BE324" s="271"/>
      <c r="BF324" s="271"/>
      <c r="BG324" s="271"/>
      <c r="BH324" s="271"/>
      <c r="BI324" s="271"/>
      <c r="BJ324" s="271"/>
      <c r="BK324" s="271"/>
      <c r="BL324" s="271"/>
    </row>
    <row r="325" spans="18:64" ht="21" customHeight="1" x14ac:dyDescent="0.25">
      <c r="R325" s="34" t="s">
        <v>458</v>
      </c>
      <c r="S325" s="451"/>
      <c r="T325" s="31" t="s">
        <v>16</v>
      </c>
      <c r="V325" s="475">
        <f>$V$324</f>
        <v>8</v>
      </c>
      <c r="W325" s="475" t="str">
        <f>IF($AC$325="","",$W$324)</f>
        <v/>
      </c>
      <c r="X325" s="476" t="str">
        <f>IF($AC$325="","",$X$324)</f>
        <v/>
      </c>
      <c r="Y325" s="477" t="str">
        <f>IF($X$325="","",$Y$324)</f>
        <v/>
      </c>
      <c r="Z325" s="477" t="str">
        <f>IF($X$325="","",$Z$324)</f>
        <v/>
      </c>
      <c r="AA325" s="477" t="str">
        <f>IF($AC$325="","",ROW($A$325)-ROW($A$324))</f>
        <v/>
      </c>
      <c r="AB325" s="478"/>
      <c r="AC325" s="34"/>
      <c r="AD325" s="356"/>
      <c r="AE325" s="479"/>
      <c r="AF325" s="475"/>
      <c r="AG325" s="480" t="str">
        <f t="shared" si="88"/>
        <v/>
      </c>
      <c r="AH325" s="481" t="str">
        <f t="shared" si="89"/>
        <v/>
      </c>
      <c r="AI325" s="477" t="str">
        <f>IF($AC$325="","",IFERROR(INDEX($AZ$74:$AZ$119,MATCH($AH$325,$AY$74:$AY$119,0)),"AUTRE"))</f>
        <v/>
      </c>
      <c r="AJ325" s="482" t="str">
        <f>IF($AC$325="","",IFERROR(INDEX($BA$74:$BA$119,MATCH($AH$325,$AY$74:$AY$119,0)),1))</f>
        <v/>
      </c>
      <c r="AK325" s="482" t="str">
        <f t="shared" si="90"/>
        <v/>
      </c>
      <c r="AL325" s="477" t="str">
        <f>IF($AC$325="","",IFERROR(INDEX($BB$74:$BB$119,MATCH($AH$325,$AY$74:$AY$119,0)),$AH$325))</f>
        <v/>
      </c>
      <c r="AM325" s="483" t="str">
        <f t="shared" si="91"/>
        <v/>
      </c>
      <c r="AN325" s="484" t="str">
        <f t="shared" si="92"/>
        <v/>
      </c>
      <c r="AO325" s="473" t="str">
        <f t="shared" si="93"/>
        <v/>
      </c>
      <c r="AP325" s="473" t="str">
        <f t="shared" si="94"/>
        <v/>
      </c>
      <c r="AQ325" s="473" t="str">
        <f t="shared" si="95"/>
        <v/>
      </c>
      <c r="AR325" s="473" t="str">
        <f t="shared" si="96"/>
        <v/>
      </c>
      <c r="AS325" s="473" t="str">
        <f t="shared" si="97"/>
        <v/>
      </c>
      <c r="AT325" s="473" t="str">
        <f t="shared" si="98"/>
        <v/>
      </c>
      <c r="AU325" s="473" t="str">
        <f t="shared" si="99"/>
        <v/>
      </c>
      <c r="AZ325" s="31" t="s">
        <v>30</v>
      </c>
      <c r="BA325" s="34" t="s">
        <v>492</v>
      </c>
      <c r="BB325" s="499"/>
      <c r="BC325" s="271"/>
      <c r="BD325" s="279">
        <v>1</v>
      </c>
      <c r="BE325" s="271"/>
      <c r="BF325" s="271"/>
      <c r="BG325" s="271"/>
      <c r="BH325" s="271"/>
      <c r="BI325" s="271"/>
      <c r="BJ325" s="271"/>
      <c r="BK325" s="271"/>
      <c r="BL325" s="271"/>
    </row>
    <row r="326" spans="18:64" ht="21" customHeight="1" x14ac:dyDescent="0.25">
      <c r="R326" s="490"/>
      <c r="S326" s="451"/>
      <c r="T326" s="31" t="s">
        <v>17</v>
      </c>
      <c r="V326" s="475">
        <v>8</v>
      </c>
      <c r="W326" s="475" t="str">
        <f>IF($AC$326="","",$W$324)</f>
        <v/>
      </c>
      <c r="X326" s="476" t="str">
        <f>IF($AC$326="","",$X$324)</f>
        <v/>
      </c>
      <c r="Y326" s="477" t="str">
        <f>IF($X$326="","",$Y$324)</f>
        <v/>
      </c>
      <c r="Z326" s="477" t="str">
        <f>IF($X$326="","",$Z$324)</f>
        <v/>
      </c>
      <c r="AA326" s="477" t="str">
        <f>IF($AC$326="","",ROW($A$326)-ROW($A$324))</f>
        <v/>
      </c>
      <c r="AB326" s="478"/>
      <c r="AC326" s="34"/>
      <c r="AD326" s="356"/>
      <c r="AE326" s="479"/>
      <c r="AF326" s="475"/>
      <c r="AG326" s="480" t="str">
        <f t="shared" si="88"/>
        <v/>
      </c>
      <c r="AH326" s="481" t="str">
        <f t="shared" si="89"/>
        <v/>
      </c>
      <c r="AI326" s="477" t="str">
        <f>IF($AC$326="","",IFERROR(INDEX($AZ$74:$AZ$119,MATCH($AH$326,$AY$74:$AY$119,0)),"AUTRE"))</f>
        <v/>
      </c>
      <c r="AJ326" s="482" t="str">
        <f>IF($AC$326="","",IFERROR(INDEX($BA$74:$BA$119,MATCH($AH$326,$AY$74:$AY$119,0)),1))</f>
        <v/>
      </c>
      <c r="AK326" s="482" t="str">
        <f t="shared" si="90"/>
        <v/>
      </c>
      <c r="AL326" s="477" t="str">
        <f>IF($AC$326="","",IFERROR(INDEX($BB$74:$BB$119,MATCH($AH$326,$AY$74:$AY$119,0)),$AH$326))</f>
        <v/>
      </c>
      <c r="AM326" s="483" t="str">
        <f t="shared" si="91"/>
        <v/>
      </c>
      <c r="AN326" s="484" t="str">
        <f t="shared" si="92"/>
        <v/>
      </c>
      <c r="AO326" s="473" t="str">
        <f t="shared" si="93"/>
        <v/>
      </c>
      <c r="AP326" s="473" t="str">
        <f t="shared" si="94"/>
        <v/>
      </c>
      <c r="AQ326" s="473" t="str">
        <f t="shared" si="95"/>
        <v/>
      </c>
      <c r="AR326" s="473" t="str">
        <f t="shared" si="96"/>
        <v/>
      </c>
      <c r="AS326" s="473" t="str">
        <f t="shared" si="97"/>
        <v/>
      </c>
      <c r="AT326" s="473" t="str">
        <f t="shared" si="98"/>
        <v/>
      </c>
      <c r="AU326" s="473" t="str">
        <f t="shared" si="99"/>
        <v/>
      </c>
      <c r="AZ326" s="32" t="s">
        <v>33</v>
      </c>
      <c r="BA326" s="34" t="s">
        <v>458</v>
      </c>
      <c r="BB326" s="499"/>
      <c r="BC326" s="271"/>
      <c r="BD326" s="279">
        <v>1</v>
      </c>
      <c r="BE326" s="271"/>
      <c r="BF326" s="271"/>
      <c r="BG326" s="271"/>
      <c r="BH326" s="271"/>
      <c r="BI326" s="271"/>
      <c r="BJ326" s="271"/>
      <c r="BK326" s="271"/>
      <c r="BL326" s="271"/>
    </row>
    <row r="327" spans="18:64" ht="21" customHeight="1" x14ac:dyDescent="0.25">
      <c r="R327" s="25" t="s">
        <v>6119</v>
      </c>
      <c r="S327" s="451"/>
      <c r="T327" s="31" t="s">
        <v>18</v>
      </c>
      <c r="V327" s="475">
        <v>8</v>
      </c>
      <c r="W327" s="475" t="str">
        <f>IF($AC$327="","",$W$324)</f>
        <v/>
      </c>
      <c r="X327" s="476" t="str">
        <f>IF($AC$327="","",$X$324)</f>
        <v/>
      </c>
      <c r="Y327" s="477" t="str">
        <f>IF($X$327="","",$Y$324)</f>
        <v/>
      </c>
      <c r="Z327" s="477" t="str">
        <f>IF($X$327="","",$Z$324)</f>
        <v/>
      </c>
      <c r="AA327" s="477" t="str">
        <f>IF($AC$327="","",ROW($A$327)-ROW($A$324))</f>
        <v/>
      </c>
      <c r="AB327" s="478"/>
      <c r="AC327" s="34"/>
      <c r="AD327" s="356"/>
      <c r="AE327" s="479"/>
      <c r="AF327" s="475"/>
      <c r="AG327" s="480" t="str">
        <f t="shared" si="88"/>
        <v/>
      </c>
      <c r="AH327" s="481" t="str">
        <f t="shared" si="89"/>
        <v/>
      </c>
      <c r="AI327" s="477" t="str">
        <f>IF($AC$327="","",IFERROR(INDEX($AZ$74:$AZ$119,MATCH($AH$327,$AY$74:$AY$119,0)),"AUTRE"))</f>
        <v/>
      </c>
      <c r="AJ327" s="482" t="str">
        <f>IF($AC$327="","",IFERROR(INDEX($BA$74:$BA$119,MATCH($AH$327,$AY$74:$AY$119,0)),1))</f>
        <v/>
      </c>
      <c r="AK327" s="482" t="str">
        <f t="shared" si="90"/>
        <v/>
      </c>
      <c r="AL327" s="477" t="str">
        <f>IF($AC$327="","",IFERROR(INDEX($BB$74:$BB$119,MATCH($AH$327,$AY$74:$AY$119,0)),$AH$327))</f>
        <v/>
      </c>
      <c r="AM327" s="483" t="str">
        <f t="shared" si="91"/>
        <v/>
      </c>
      <c r="AN327" s="484" t="str">
        <f t="shared" si="92"/>
        <v/>
      </c>
      <c r="AO327" s="473" t="str">
        <f t="shared" si="93"/>
        <v/>
      </c>
      <c r="AP327" s="473" t="str">
        <f t="shared" si="94"/>
        <v/>
      </c>
      <c r="AQ327" s="473" t="str">
        <f t="shared" si="95"/>
        <v/>
      </c>
      <c r="AR327" s="473" t="str">
        <f t="shared" si="96"/>
        <v/>
      </c>
      <c r="AS327" s="473" t="str">
        <f t="shared" si="97"/>
        <v/>
      </c>
      <c r="AT327" s="473" t="str">
        <f t="shared" si="98"/>
        <v/>
      </c>
      <c r="AU327" s="473" t="str">
        <f t="shared" si="99"/>
        <v/>
      </c>
      <c r="AZ327" s="32" t="s">
        <v>8125</v>
      </c>
      <c r="BA327" s="490"/>
      <c r="BB327" s="499"/>
      <c r="BC327" s="271"/>
      <c r="BD327" s="279">
        <v>1</v>
      </c>
      <c r="BE327" s="271"/>
      <c r="BF327" s="271"/>
      <c r="BG327" s="271"/>
      <c r="BH327" s="271"/>
      <c r="BI327" s="271"/>
      <c r="BJ327" s="271"/>
      <c r="BK327" s="271"/>
      <c r="BL327" s="271"/>
    </row>
    <row r="328" spans="18:64" ht="21" customHeight="1" x14ac:dyDescent="0.25">
      <c r="R328" s="34" t="s">
        <v>6120</v>
      </c>
      <c r="S328" s="451"/>
      <c r="T328" s="31" t="s">
        <v>19</v>
      </c>
      <c r="V328" s="475">
        <v>8</v>
      </c>
      <c r="W328" s="475" t="str">
        <f>IF($AC$328="","",$W$324)</f>
        <v/>
      </c>
      <c r="X328" s="476" t="str">
        <f>IF($AC$328="","",$X$324)</f>
        <v/>
      </c>
      <c r="Y328" s="477" t="str">
        <f>IF($X$328="","",$Y$324)</f>
        <v/>
      </c>
      <c r="Z328" s="477" t="str">
        <f>IF($X$328="","",$Z$324)</f>
        <v/>
      </c>
      <c r="AA328" s="477" t="str">
        <f>IF($AC$328="","",ROW($A$328)-ROW($A$324))</f>
        <v/>
      </c>
      <c r="AB328" s="478"/>
      <c r="AC328" s="34"/>
      <c r="AD328" s="356"/>
      <c r="AE328" s="479"/>
      <c r="AF328" s="475"/>
      <c r="AG328" s="480" t="str">
        <f t="shared" si="88"/>
        <v/>
      </c>
      <c r="AH328" s="481" t="str">
        <f t="shared" si="89"/>
        <v/>
      </c>
      <c r="AI328" s="477" t="str">
        <f>IF($AC$328="","",IFERROR(INDEX($AZ$74:$AZ$119,MATCH($AH$328,$AY$74:$AY$119,0)),"AUTRE"))</f>
        <v/>
      </c>
      <c r="AJ328" s="482" t="str">
        <f>IF($AC$328="","",IFERROR(INDEX($BA$74:$BA$119,MATCH($AH$328,$AY$74:$AY$119,0)),1))</f>
        <v/>
      </c>
      <c r="AK328" s="482" t="str">
        <f t="shared" si="90"/>
        <v/>
      </c>
      <c r="AL328" s="477" t="str">
        <f>IF($AC$328="","",IFERROR(INDEX($BB$74:$BB$119,MATCH($AH$328,$AY$74:$AY$119,0)),$AH$328))</f>
        <v/>
      </c>
      <c r="AM328" s="483" t="str">
        <f t="shared" si="91"/>
        <v/>
      </c>
      <c r="AN328" s="484" t="str">
        <f t="shared" si="92"/>
        <v/>
      </c>
      <c r="AO328" s="473" t="str">
        <f t="shared" si="93"/>
        <v/>
      </c>
      <c r="AP328" s="473" t="str">
        <f t="shared" si="94"/>
        <v/>
      </c>
      <c r="AQ328" s="473" t="str">
        <f t="shared" si="95"/>
        <v/>
      </c>
      <c r="AR328" s="473" t="str">
        <f t="shared" si="96"/>
        <v/>
      </c>
      <c r="AS328" s="473" t="str">
        <f t="shared" si="97"/>
        <v/>
      </c>
      <c r="AT328" s="473" t="str">
        <f t="shared" si="98"/>
        <v/>
      </c>
      <c r="AU328" s="473" t="str">
        <f t="shared" si="99"/>
        <v/>
      </c>
      <c r="AZ328" s="32" t="s">
        <v>8127</v>
      </c>
      <c r="BA328" s="25" t="s">
        <v>6119</v>
      </c>
      <c r="BB328" s="499"/>
      <c r="BC328" s="271"/>
      <c r="BD328" s="279">
        <v>1</v>
      </c>
      <c r="BE328" s="271"/>
      <c r="BF328" s="271"/>
      <c r="BG328" s="271"/>
      <c r="BH328" s="271"/>
      <c r="BI328" s="271"/>
      <c r="BJ328" s="271"/>
      <c r="BK328" s="271"/>
      <c r="BL328" s="271"/>
    </row>
    <row r="329" spans="18:64" ht="21" customHeight="1" x14ac:dyDescent="0.25">
      <c r="R329" s="34" t="s">
        <v>6121</v>
      </c>
      <c r="S329" s="451"/>
      <c r="T329" s="31" t="s">
        <v>211</v>
      </c>
      <c r="V329" s="475">
        <v>8</v>
      </c>
      <c r="W329" s="475" t="str">
        <f>IF($AC$329="","",$W$324)</f>
        <v/>
      </c>
      <c r="X329" s="476" t="str">
        <f>IF($AC$329="","",$X$324)</f>
        <v/>
      </c>
      <c r="Y329" s="477" t="str">
        <f>IF($X$329="","",$Y$324)</f>
        <v/>
      </c>
      <c r="Z329" s="477" t="str">
        <f>IF($X$329="","",$Z$324)</f>
        <v/>
      </c>
      <c r="AA329" s="477" t="str">
        <f>IF($AC$329="","",ROW($A$329)-ROW($A$324))</f>
        <v/>
      </c>
      <c r="AB329" s="478"/>
      <c r="AC329" s="34"/>
      <c r="AD329" s="356"/>
      <c r="AE329" s="479"/>
      <c r="AF329" s="475"/>
      <c r="AG329" s="480" t="str">
        <f t="shared" si="88"/>
        <v/>
      </c>
      <c r="AH329" s="481" t="str">
        <f t="shared" si="89"/>
        <v/>
      </c>
      <c r="AI329" s="477" t="str">
        <f>IF($AC$329="","",IFERROR(INDEX($AZ$74:$AZ$119,MATCH($AH$329,$AY$74:$AY$119,0)),"AUTRE"))</f>
        <v/>
      </c>
      <c r="AJ329" s="482" t="str">
        <f>IF($AC$329="","",IFERROR(INDEX($BA$74:$BA$119,MATCH($AH$329,$AY$74:$AY$119,0)),1))</f>
        <v/>
      </c>
      <c r="AK329" s="482" t="str">
        <f t="shared" si="90"/>
        <v/>
      </c>
      <c r="AL329" s="477" t="str">
        <f>IF($AC$329="","",IFERROR(INDEX($BB$74:$BB$119,MATCH($AH$329,$AY$74:$AY$119,0)),$AH$329))</f>
        <v/>
      </c>
      <c r="AM329" s="483" t="str">
        <f t="shared" si="91"/>
        <v/>
      </c>
      <c r="AN329" s="484" t="str">
        <f t="shared" si="92"/>
        <v/>
      </c>
      <c r="AO329" s="473" t="str">
        <f t="shared" si="93"/>
        <v/>
      </c>
      <c r="AP329" s="473" t="str">
        <f t="shared" si="94"/>
        <v/>
      </c>
      <c r="AQ329" s="473" t="str">
        <f t="shared" si="95"/>
        <v/>
      </c>
      <c r="AR329" s="473" t="str">
        <f t="shared" si="96"/>
        <v/>
      </c>
      <c r="AS329" s="473" t="str">
        <f t="shared" si="97"/>
        <v/>
      </c>
      <c r="AT329" s="473" t="str">
        <f t="shared" si="98"/>
        <v/>
      </c>
      <c r="AU329" s="473" t="str">
        <f t="shared" si="99"/>
        <v/>
      </c>
      <c r="AZ329" s="32" t="s">
        <v>320</v>
      </c>
      <c r="BA329" s="34" t="s">
        <v>6120</v>
      </c>
      <c r="BB329" s="499"/>
      <c r="BC329" s="271"/>
      <c r="BD329" s="279">
        <v>1</v>
      </c>
      <c r="BE329" s="271"/>
      <c r="BF329" s="271"/>
      <c r="BG329" s="271"/>
      <c r="BH329" s="271"/>
      <c r="BI329" s="271"/>
      <c r="BJ329" s="271"/>
      <c r="BK329" s="271"/>
      <c r="BL329" s="271"/>
    </row>
    <row r="330" spans="18:64" ht="21" customHeight="1" x14ac:dyDescent="0.25">
      <c r="R330" s="34" t="s">
        <v>6122</v>
      </c>
      <c r="S330" s="451"/>
      <c r="T330" s="31" t="s">
        <v>20</v>
      </c>
      <c r="V330" s="475">
        <v>8</v>
      </c>
      <c r="W330" s="475" t="str">
        <f>IF($AC$330="","",$W$324)</f>
        <v/>
      </c>
      <c r="X330" s="476" t="str">
        <f>IF($AC$330="","",$X$324)</f>
        <v/>
      </c>
      <c r="Y330" s="477" t="str">
        <f>IF($X$330="","",$Y$324)</f>
        <v/>
      </c>
      <c r="Z330" s="477" t="str">
        <f>IF($X$330="","",$Z$324)</f>
        <v/>
      </c>
      <c r="AA330" s="477" t="str">
        <f>IF($AC$330="","",ROW($A$330)-ROW($A$324))</f>
        <v/>
      </c>
      <c r="AB330" s="478"/>
      <c r="AC330" s="34"/>
      <c r="AD330" s="356"/>
      <c r="AE330" s="479"/>
      <c r="AF330" s="475"/>
      <c r="AG330" s="480" t="str">
        <f t="shared" si="88"/>
        <v/>
      </c>
      <c r="AH330" s="481" t="str">
        <f t="shared" si="89"/>
        <v/>
      </c>
      <c r="AI330" s="477" t="str">
        <f>IF($AC$330="","",IFERROR(INDEX($AZ$74:$AZ$119,MATCH($AH$330,$AY$74:$AY$119,0)),"AUTRE"))</f>
        <v/>
      </c>
      <c r="AJ330" s="482" t="str">
        <f>IF($AC$330="","",IFERROR(INDEX($BA$74:$BA$119,MATCH($AH$330,$AY$74:$AY$119,0)),1))</f>
        <v/>
      </c>
      <c r="AK330" s="482" t="str">
        <f t="shared" si="90"/>
        <v/>
      </c>
      <c r="AL330" s="477" t="str">
        <f>IF($AC$330="","",IFERROR(INDEX($BB$74:$BB$119,MATCH($AH$330,$AY$74:$AY$119,0)),$AH$330))</f>
        <v/>
      </c>
      <c r="AM330" s="483" t="str">
        <f t="shared" si="91"/>
        <v/>
      </c>
      <c r="AN330" s="484" t="str">
        <f t="shared" si="92"/>
        <v/>
      </c>
      <c r="AO330" s="473" t="str">
        <f t="shared" si="93"/>
        <v/>
      </c>
      <c r="AP330" s="473" t="str">
        <f t="shared" si="94"/>
        <v/>
      </c>
      <c r="AQ330" s="473" t="str">
        <f t="shared" si="95"/>
        <v/>
      </c>
      <c r="AR330" s="473" t="str">
        <f t="shared" si="96"/>
        <v/>
      </c>
      <c r="AS330" s="473" t="str">
        <f t="shared" si="97"/>
        <v/>
      </c>
      <c r="AT330" s="473" t="str">
        <f t="shared" si="98"/>
        <v/>
      </c>
      <c r="AU330" s="473" t="str">
        <f t="shared" si="99"/>
        <v/>
      </c>
      <c r="AZ330" s="32" t="s">
        <v>318</v>
      </c>
      <c r="BA330" s="34" t="s">
        <v>6121</v>
      </c>
      <c r="BB330" s="499"/>
      <c r="BC330" s="271"/>
      <c r="BD330" s="279">
        <v>1</v>
      </c>
      <c r="BE330" s="271"/>
      <c r="BF330" s="271"/>
      <c r="BG330" s="271"/>
      <c r="BH330" s="271"/>
      <c r="BI330" s="271"/>
      <c r="BJ330" s="271"/>
      <c r="BK330" s="271"/>
      <c r="BL330" s="271"/>
    </row>
    <row r="331" spans="18:64" ht="21" customHeight="1" x14ac:dyDescent="0.25">
      <c r="R331" s="34" t="s">
        <v>6123</v>
      </c>
      <c r="S331" s="451"/>
      <c r="T331" s="31" t="s">
        <v>304</v>
      </c>
      <c r="V331" s="475">
        <v>8</v>
      </c>
      <c r="W331" s="475" t="str">
        <f>IF($AC$331="","",$W$324)</f>
        <v/>
      </c>
      <c r="X331" s="476" t="str">
        <f>IF($AC$331="","",$X$324)</f>
        <v/>
      </c>
      <c r="Y331" s="477" t="str">
        <f>IF($X$331="","",$Y$324)</f>
        <v/>
      </c>
      <c r="Z331" s="477" t="str">
        <f>IF($X$331="","",$Z$324)</f>
        <v/>
      </c>
      <c r="AA331" s="477" t="str">
        <f>IF($AC$331="","",ROW($A$331)-ROW($A$324))</f>
        <v/>
      </c>
      <c r="AB331" s="478"/>
      <c r="AC331" s="34"/>
      <c r="AD331" s="356"/>
      <c r="AE331" s="479"/>
      <c r="AF331" s="475"/>
      <c r="AG331" s="480" t="str">
        <f t="shared" si="88"/>
        <v/>
      </c>
      <c r="AH331" s="481" t="str">
        <f t="shared" si="89"/>
        <v/>
      </c>
      <c r="AI331" s="477" t="str">
        <f>IF($AC$331="","",IFERROR(INDEX($AZ$74:$AZ$119,MATCH($AH$331,$AY$74:$AY$119,0)),"AUTRE"))</f>
        <v/>
      </c>
      <c r="AJ331" s="482" t="str">
        <f>IF($AC$331="","",IFERROR(INDEX($BA$74:$BA$119,MATCH($AH$331,$AY$74:$AY$119,0)),1))</f>
        <v/>
      </c>
      <c r="AK331" s="482" t="str">
        <f t="shared" si="90"/>
        <v/>
      </c>
      <c r="AL331" s="477" t="str">
        <f>IF($AC$331="","",IFERROR(INDEX($BB$74:$BB$119,MATCH($AH$331,$AY$74:$AY$119,0)),$AH$331))</f>
        <v/>
      </c>
      <c r="AM331" s="483" t="str">
        <f t="shared" si="91"/>
        <v/>
      </c>
      <c r="AN331" s="484" t="str">
        <f t="shared" si="92"/>
        <v/>
      </c>
      <c r="AO331" s="473" t="str">
        <f t="shared" si="93"/>
        <v/>
      </c>
      <c r="AP331" s="473" t="str">
        <f t="shared" si="94"/>
        <v/>
      </c>
      <c r="AQ331" s="473" t="str">
        <f t="shared" si="95"/>
        <v/>
      </c>
      <c r="AR331" s="473" t="str">
        <f t="shared" si="96"/>
        <v/>
      </c>
      <c r="AS331" s="473" t="str">
        <f t="shared" si="97"/>
        <v/>
      </c>
      <c r="AT331" s="473" t="str">
        <f t="shared" si="98"/>
        <v/>
      </c>
      <c r="AU331" s="473" t="str">
        <f t="shared" si="99"/>
        <v/>
      </c>
      <c r="AZ331" s="32" t="s">
        <v>316</v>
      </c>
      <c r="BA331" s="34" t="s">
        <v>6122</v>
      </c>
      <c r="BB331" s="499"/>
      <c r="BC331" s="271"/>
      <c r="BD331" s="279">
        <v>1</v>
      </c>
      <c r="BE331" s="271"/>
      <c r="BF331" s="271"/>
      <c r="BG331" s="271"/>
      <c r="BH331" s="271"/>
      <c r="BI331" s="271"/>
      <c r="BJ331" s="271"/>
      <c r="BK331" s="271"/>
      <c r="BL331" s="271"/>
    </row>
    <row r="332" spans="18:64" ht="21" customHeight="1" x14ac:dyDescent="0.25">
      <c r="R332" s="34" t="s">
        <v>6124</v>
      </c>
      <c r="S332" s="451"/>
      <c r="T332" s="31" t="s">
        <v>352</v>
      </c>
      <c r="V332" s="475">
        <v>8</v>
      </c>
      <c r="W332" s="475" t="str">
        <f>IF($AC$332="","",$W$324)</f>
        <v/>
      </c>
      <c r="X332" s="476" t="str">
        <f>IF($AC$332="","",$X$324)</f>
        <v/>
      </c>
      <c r="Y332" s="477" t="str">
        <f>IF($X$332="","",$Y$324)</f>
        <v/>
      </c>
      <c r="Z332" s="477" t="str">
        <f>IF($X$332="","",$Z$324)</f>
        <v/>
      </c>
      <c r="AA332" s="477" t="str">
        <f>IF($AC$332="","",ROW($A$332)-ROW($A$324))</f>
        <v/>
      </c>
      <c r="AB332" s="478"/>
      <c r="AC332" s="34"/>
      <c r="AD332" s="356"/>
      <c r="AE332" s="479"/>
      <c r="AF332" s="475"/>
      <c r="AG332" s="480" t="str">
        <f t="shared" si="88"/>
        <v/>
      </c>
      <c r="AH332" s="481" t="str">
        <f t="shared" si="89"/>
        <v/>
      </c>
      <c r="AI332" s="477" t="str">
        <f>IF($AC$332="","",IFERROR(INDEX($AZ$74:$AZ$119,MATCH($AH$332,$AY$74:$AY$119,0)),"AUTRE"))</f>
        <v/>
      </c>
      <c r="AJ332" s="482" t="str">
        <f>IF($AC$332="","",IFERROR(INDEX($BA$74:$BA$119,MATCH($AH$332,$AY$74:$AY$119,0)),1))</f>
        <v/>
      </c>
      <c r="AK332" s="482" t="str">
        <f t="shared" si="90"/>
        <v/>
      </c>
      <c r="AL332" s="477" t="str">
        <f>IF($AC$332="","",IFERROR(INDEX($BB$74:$BB$119,MATCH($AH$332,$AY$74:$AY$119,0)),$AH$332))</f>
        <v/>
      </c>
      <c r="AM332" s="483" t="str">
        <f t="shared" si="91"/>
        <v/>
      </c>
      <c r="AN332" s="484" t="str">
        <f t="shared" si="92"/>
        <v/>
      </c>
      <c r="AO332" s="473" t="str">
        <f t="shared" si="93"/>
        <v/>
      </c>
      <c r="AP332" s="473" t="str">
        <f t="shared" si="94"/>
        <v/>
      </c>
      <c r="AQ332" s="473" t="str">
        <f t="shared" si="95"/>
        <v/>
      </c>
      <c r="AR332" s="473" t="str">
        <f t="shared" si="96"/>
        <v/>
      </c>
      <c r="AS332" s="473" t="str">
        <f t="shared" si="97"/>
        <v/>
      </c>
      <c r="AT332" s="473" t="str">
        <f t="shared" si="98"/>
        <v/>
      </c>
      <c r="AU332" s="473" t="str">
        <f t="shared" si="99"/>
        <v/>
      </c>
      <c r="AZ332" s="32" t="s">
        <v>313</v>
      </c>
      <c r="BA332" s="34" t="s">
        <v>6123</v>
      </c>
      <c r="BB332" s="499"/>
      <c r="BC332" s="271"/>
      <c r="BD332" s="279">
        <v>1</v>
      </c>
      <c r="BE332" s="271"/>
      <c r="BF332" s="271"/>
      <c r="BG332" s="271"/>
      <c r="BH332" s="271"/>
      <c r="BI332" s="271"/>
      <c r="BJ332" s="271"/>
      <c r="BK332" s="271"/>
      <c r="BL332" s="271"/>
    </row>
    <row r="333" spans="18:64" ht="21" customHeight="1" x14ac:dyDescent="0.25">
      <c r="R333" s="34" t="s">
        <v>6125</v>
      </c>
      <c r="S333" s="451"/>
      <c r="T333" s="31" t="s">
        <v>25</v>
      </c>
      <c r="V333" s="475">
        <v>8</v>
      </c>
      <c r="W333" s="475" t="str">
        <f>IF($AC$333="","",$W$324)</f>
        <v/>
      </c>
      <c r="X333" s="476" t="str">
        <f>IF($AC$333="","",$X$324)</f>
        <v/>
      </c>
      <c r="Y333" s="477" t="str">
        <f>IF($X$333="","",$Y$324)</f>
        <v/>
      </c>
      <c r="Z333" s="477" t="str">
        <f>IF($X$333="","",$Z$324)</f>
        <v/>
      </c>
      <c r="AA333" s="477" t="str">
        <f>IF($AC$333="","",ROW($A$333)-ROW($A$324))</f>
        <v/>
      </c>
      <c r="AB333" s="478"/>
      <c r="AC333" s="34"/>
      <c r="AD333" s="356"/>
      <c r="AE333" s="479"/>
      <c r="AF333" s="475"/>
      <c r="AG333" s="480" t="str">
        <f t="shared" si="88"/>
        <v/>
      </c>
      <c r="AH333" s="481" t="str">
        <f t="shared" si="89"/>
        <v/>
      </c>
      <c r="AI333" s="477" t="str">
        <f>IF($AC$333="","",IFERROR(INDEX($AZ$74:$AZ$119,MATCH($AH$333,$AY$74:$AY$119,0)),"AUTRE"))</f>
        <v/>
      </c>
      <c r="AJ333" s="482" t="str">
        <f>IF($AC$333="","",IFERROR(INDEX($BA$74:$BA$119,MATCH($AH$333,$AY$74:$AY$119,0)),1))</f>
        <v/>
      </c>
      <c r="AK333" s="482" t="str">
        <f t="shared" si="90"/>
        <v/>
      </c>
      <c r="AL333" s="477" t="str">
        <f>IF($AC$333="","",IFERROR(INDEX($BB$74:$BB$119,MATCH($AH$333,$AY$74:$AY$119,0)),$AH$333))</f>
        <v/>
      </c>
      <c r="AM333" s="483" t="str">
        <f t="shared" si="91"/>
        <v/>
      </c>
      <c r="AN333" s="484" t="str">
        <f t="shared" si="92"/>
        <v/>
      </c>
      <c r="AO333" s="473" t="str">
        <f t="shared" si="93"/>
        <v/>
      </c>
      <c r="AP333" s="473" t="str">
        <f t="shared" si="94"/>
        <v/>
      </c>
      <c r="AQ333" s="473" t="str">
        <f t="shared" si="95"/>
        <v/>
      </c>
      <c r="AR333" s="473" t="str">
        <f t="shared" si="96"/>
        <v/>
      </c>
      <c r="AS333" s="473" t="str">
        <f t="shared" si="97"/>
        <v/>
      </c>
      <c r="AT333" s="473" t="str">
        <f t="shared" si="98"/>
        <v/>
      </c>
      <c r="AU333" s="473" t="str">
        <f t="shared" si="99"/>
        <v/>
      </c>
      <c r="AZ333" s="32" t="s">
        <v>307</v>
      </c>
      <c r="BA333" s="34" t="s">
        <v>6124</v>
      </c>
      <c r="BB333" s="499"/>
      <c r="BC333" s="271"/>
      <c r="BD333" s="279">
        <v>1</v>
      </c>
      <c r="BE333" s="271"/>
      <c r="BF333" s="271"/>
      <c r="BG333" s="271"/>
      <c r="BH333" s="271"/>
      <c r="BI333" s="271"/>
      <c r="BJ333" s="271"/>
      <c r="BK333" s="271"/>
      <c r="BL333" s="271"/>
    </row>
    <row r="334" spans="18:64" ht="21" customHeight="1" x14ac:dyDescent="0.25">
      <c r="R334" s="34" t="s">
        <v>6126</v>
      </c>
      <c r="S334" s="451"/>
      <c r="T334" s="31" t="s">
        <v>26</v>
      </c>
      <c r="V334" s="475">
        <v>8</v>
      </c>
      <c r="W334" s="475" t="str">
        <f>IF($AC$334="","",$W$324)</f>
        <v/>
      </c>
      <c r="X334" s="476" t="str">
        <f>IF($AC$334="","",$X$324)</f>
        <v/>
      </c>
      <c r="Y334" s="477" t="str">
        <f>IF($X$334="","",$Y$324)</f>
        <v/>
      </c>
      <c r="Z334" s="477" t="str">
        <f>IF($X$334="","",$Z$324)</f>
        <v/>
      </c>
      <c r="AA334" s="477" t="str">
        <f>IF($AC$334="","",ROW($A$334)-ROW($A$324))</f>
        <v/>
      </c>
      <c r="AB334" s="478"/>
      <c r="AC334" s="34"/>
      <c r="AD334" s="356"/>
      <c r="AE334" s="479"/>
      <c r="AF334" s="475"/>
      <c r="AG334" s="480" t="str">
        <f t="shared" si="88"/>
        <v/>
      </c>
      <c r="AH334" s="481" t="str">
        <f t="shared" si="89"/>
        <v/>
      </c>
      <c r="AI334" s="477" t="str">
        <f>IF($AC$334="","",IFERROR(INDEX($AZ$74:$AZ$119,MATCH($AH$334,$AY$74:$AY$119,0)),"AUTRE"))</f>
        <v/>
      </c>
      <c r="AJ334" s="482" t="str">
        <f>IF($AC$334="","",IFERROR(INDEX($BA$74:$BA$119,MATCH($AH$334,$AY$74:$AY$119,0)),1))</f>
        <v/>
      </c>
      <c r="AK334" s="482" t="str">
        <f t="shared" si="90"/>
        <v/>
      </c>
      <c r="AL334" s="477" t="str">
        <f>IF($AC$334="","",IFERROR(INDEX($BB$74:$BB$119,MATCH($AH$334,$AY$74:$AY$119,0)),$AH$334))</f>
        <v/>
      </c>
      <c r="AM334" s="483" t="str">
        <f t="shared" si="91"/>
        <v/>
      </c>
      <c r="AN334" s="484" t="str">
        <f t="shared" si="92"/>
        <v/>
      </c>
      <c r="AO334" s="473" t="str">
        <f t="shared" si="93"/>
        <v/>
      </c>
      <c r="AP334" s="473" t="str">
        <f t="shared" si="94"/>
        <v/>
      </c>
      <c r="AQ334" s="473" t="str">
        <f t="shared" si="95"/>
        <v/>
      </c>
      <c r="AR334" s="473" t="str">
        <f t="shared" si="96"/>
        <v/>
      </c>
      <c r="AS334" s="473" t="str">
        <f t="shared" si="97"/>
        <v/>
      </c>
      <c r="AT334" s="473" t="str">
        <f t="shared" si="98"/>
        <v/>
      </c>
      <c r="AU334" s="473" t="str">
        <f t="shared" si="99"/>
        <v/>
      </c>
      <c r="AZ334" s="32" t="s">
        <v>322</v>
      </c>
      <c r="BA334" s="34" t="s">
        <v>6125</v>
      </c>
      <c r="BB334" s="499"/>
      <c r="BC334" s="271"/>
      <c r="BD334" s="279">
        <v>1</v>
      </c>
      <c r="BE334" s="271"/>
      <c r="BF334" s="271"/>
      <c r="BG334" s="271"/>
      <c r="BH334" s="271"/>
      <c r="BI334" s="271"/>
      <c r="BJ334" s="271"/>
      <c r="BK334" s="271"/>
      <c r="BL334" s="271"/>
    </row>
    <row r="335" spans="18:64" ht="21" customHeight="1" x14ac:dyDescent="0.25">
      <c r="R335" s="34" t="s">
        <v>6127</v>
      </c>
      <c r="S335" s="451"/>
      <c r="T335" s="31" t="s">
        <v>27</v>
      </c>
      <c r="V335" s="475">
        <v>8</v>
      </c>
      <c r="W335" s="475" t="str">
        <f>IF($AC$335="","",$W$324)</f>
        <v/>
      </c>
      <c r="X335" s="476" t="str">
        <f>IF($AC$335="","",$X$324)</f>
        <v/>
      </c>
      <c r="Y335" s="477" t="str">
        <f>IF($X$335="","",$Y$324)</f>
        <v/>
      </c>
      <c r="Z335" s="477" t="str">
        <f>IF($X$335="","",$Z$324)</f>
        <v/>
      </c>
      <c r="AA335" s="477" t="str">
        <f>IF($AC$335="","",ROW($A$335)-ROW($A$324))</f>
        <v/>
      </c>
      <c r="AB335" s="478"/>
      <c r="AC335" s="34"/>
      <c r="AD335" s="356"/>
      <c r="AE335" s="479"/>
      <c r="AF335" s="475"/>
      <c r="AG335" s="480" t="str">
        <f t="shared" si="88"/>
        <v/>
      </c>
      <c r="AH335" s="481" t="str">
        <f t="shared" si="89"/>
        <v/>
      </c>
      <c r="AI335" s="477" t="str">
        <f>IF($AC$335="","",IFERROR(INDEX($AZ$74:$AZ$119,MATCH($AH$335,$AY$74:$AY$119,0)),"AUTRE"))</f>
        <v/>
      </c>
      <c r="AJ335" s="482" t="str">
        <f>IF($AC$335="","",IFERROR(INDEX($BA$74:$BA$119,MATCH($AH$335,$AY$74:$AY$119,0)),1))</f>
        <v/>
      </c>
      <c r="AK335" s="482" t="str">
        <f t="shared" si="90"/>
        <v/>
      </c>
      <c r="AL335" s="477" t="str">
        <f>IF($AC$335="","",IFERROR(INDEX($BB$74:$BB$119,MATCH($AH$335,$AY$74:$AY$119,0)),$AH$335))</f>
        <v/>
      </c>
      <c r="AM335" s="483" t="str">
        <f t="shared" si="91"/>
        <v/>
      </c>
      <c r="AN335" s="484" t="str">
        <f t="shared" si="92"/>
        <v/>
      </c>
      <c r="AO335" s="473" t="str">
        <f t="shared" si="93"/>
        <v/>
      </c>
      <c r="AP335" s="473" t="str">
        <f t="shared" si="94"/>
        <v/>
      </c>
      <c r="AQ335" s="473" t="str">
        <f t="shared" si="95"/>
        <v/>
      </c>
      <c r="AR335" s="473" t="str">
        <f t="shared" si="96"/>
        <v/>
      </c>
      <c r="AS335" s="473" t="str">
        <f t="shared" si="97"/>
        <v/>
      </c>
      <c r="AT335" s="473" t="str">
        <f t="shared" si="98"/>
        <v/>
      </c>
      <c r="AU335" s="473" t="str">
        <f t="shared" si="99"/>
        <v/>
      </c>
      <c r="AZ335" s="32" t="s">
        <v>305</v>
      </c>
      <c r="BA335" s="34" t="s">
        <v>6126</v>
      </c>
      <c r="BB335" s="499"/>
      <c r="BC335" s="271"/>
      <c r="BD335" s="279">
        <v>1</v>
      </c>
      <c r="BE335" s="271"/>
      <c r="BF335" s="271"/>
      <c r="BG335" s="271"/>
      <c r="BH335" s="271"/>
      <c r="BI335" s="271"/>
      <c r="BJ335" s="271"/>
      <c r="BK335" s="271"/>
      <c r="BL335" s="271"/>
    </row>
    <row r="336" spans="18:64" ht="21" customHeight="1" x14ac:dyDescent="0.25">
      <c r="R336" s="25" t="s">
        <v>6128</v>
      </c>
      <c r="S336" s="451"/>
      <c r="T336" s="31" t="s">
        <v>28</v>
      </c>
      <c r="V336" s="475">
        <v>8</v>
      </c>
      <c r="W336" s="475" t="str">
        <f>IF($AC$336="","",$W$324)</f>
        <v/>
      </c>
      <c r="X336" s="476" t="str">
        <f>IF($AC$336="","",$X$324)</f>
        <v/>
      </c>
      <c r="Y336" s="477" t="str">
        <f>IF($X$336="","",$Y$324)</f>
        <v/>
      </c>
      <c r="Z336" s="477" t="str">
        <f>IF($X$336="","",$Z$324)</f>
        <v/>
      </c>
      <c r="AA336" s="477" t="str">
        <f>IF($AC$336="","",ROW($A$336)-ROW($A$324))</f>
        <v/>
      </c>
      <c r="AB336" s="478"/>
      <c r="AC336" s="34"/>
      <c r="AD336" s="356"/>
      <c r="AE336" s="479"/>
      <c r="AF336" s="475"/>
      <c r="AG336" s="480" t="str">
        <f t="shared" si="88"/>
        <v/>
      </c>
      <c r="AH336" s="481" t="str">
        <f t="shared" si="89"/>
        <v/>
      </c>
      <c r="AI336" s="477" t="str">
        <f>IF($AC$336="","",IFERROR(INDEX($AZ$74:$AZ$119,MATCH($AH$336,$AY$74:$AY$119,0)),"AUTRE"))</f>
        <v/>
      </c>
      <c r="AJ336" s="482" t="str">
        <f>IF($AC$336="","",IFERROR(INDEX($BA$74:$BA$119,MATCH($AH$336,$AY$74:$AY$119,0)),1))</f>
        <v/>
      </c>
      <c r="AK336" s="482" t="str">
        <f t="shared" si="90"/>
        <v/>
      </c>
      <c r="AL336" s="477" t="str">
        <f>IF($AC$336="","",IFERROR(INDEX($BB$74:$BB$119,MATCH($AH$336,$AY$74:$AY$119,0)),$AH$336))</f>
        <v/>
      </c>
      <c r="AM336" s="483" t="str">
        <f t="shared" si="91"/>
        <v/>
      </c>
      <c r="AN336" s="484" t="str">
        <f t="shared" si="92"/>
        <v/>
      </c>
      <c r="AO336" s="473" t="str">
        <f t="shared" si="93"/>
        <v/>
      </c>
      <c r="AP336" s="473" t="str">
        <f t="shared" si="94"/>
        <v/>
      </c>
      <c r="AQ336" s="473" t="str">
        <f t="shared" si="95"/>
        <v/>
      </c>
      <c r="AR336" s="473" t="str">
        <f t="shared" si="96"/>
        <v/>
      </c>
      <c r="AS336" s="473" t="str">
        <f t="shared" si="97"/>
        <v/>
      </c>
      <c r="AT336" s="473" t="str">
        <f t="shared" si="98"/>
        <v/>
      </c>
      <c r="AU336" s="473" t="str">
        <f t="shared" si="99"/>
        <v/>
      </c>
      <c r="AZ336" s="32" t="s">
        <v>8129</v>
      </c>
      <c r="BA336" s="34" t="s">
        <v>6127</v>
      </c>
      <c r="BB336" s="499"/>
      <c r="BC336" s="271"/>
      <c r="BD336" s="279">
        <v>1</v>
      </c>
      <c r="BE336" s="271"/>
      <c r="BF336" s="271"/>
      <c r="BG336" s="271"/>
      <c r="BH336" s="271"/>
      <c r="BI336" s="271"/>
      <c r="BJ336" s="271"/>
      <c r="BK336" s="271"/>
      <c r="BL336" s="271"/>
    </row>
    <row r="337" spans="18:64" ht="21" customHeight="1" x14ac:dyDescent="0.25">
      <c r="R337" s="34" t="s">
        <v>474</v>
      </c>
      <c r="S337" s="451"/>
      <c r="T337" s="31" t="s">
        <v>29</v>
      </c>
      <c r="V337" s="475">
        <v>8</v>
      </c>
      <c r="W337" s="475" t="str">
        <f>IF($AC$337="","",$W$324)</f>
        <v/>
      </c>
      <c r="X337" s="476" t="str">
        <f>IF($AC$337="","",$X$324)</f>
        <v/>
      </c>
      <c r="Y337" s="477" t="str">
        <f>IF($X$337="","",$Y$324)</f>
        <v/>
      </c>
      <c r="Z337" s="477" t="str">
        <f>IF($X$337="","",$Z$324)</f>
        <v/>
      </c>
      <c r="AA337" s="477" t="str">
        <f>IF($AC$337="","",ROW($A$337)-ROW($A$324))</f>
        <v/>
      </c>
      <c r="AB337" s="478"/>
      <c r="AC337" s="34"/>
      <c r="AD337" s="356"/>
      <c r="AE337" s="479"/>
      <c r="AF337" s="475"/>
      <c r="AG337" s="480" t="str">
        <f t="shared" si="88"/>
        <v/>
      </c>
      <c r="AH337" s="481" t="str">
        <f t="shared" si="89"/>
        <v/>
      </c>
      <c r="AI337" s="477" t="str">
        <f>IF($AC$337="","",IFERROR(INDEX($AZ$74:$AZ$119,MATCH($AH$337,$AY$74:$AY$119,0)),"AUTRE"))</f>
        <v/>
      </c>
      <c r="AJ337" s="482" t="str">
        <f>IF($AC$337="","",IFERROR(INDEX($BA$74:$BA$119,MATCH($AH$337,$AY$74:$AY$119,0)),1))</f>
        <v/>
      </c>
      <c r="AK337" s="482" t="str">
        <f t="shared" si="90"/>
        <v/>
      </c>
      <c r="AL337" s="477" t="str">
        <f>IF($AC$337="","",IFERROR(INDEX($BB$74:$BB$119,MATCH($AH$337,$AY$74:$AY$119,0)),$AH$337))</f>
        <v/>
      </c>
      <c r="AM337" s="483" t="str">
        <f t="shared" si="91"/>
        <v/>
      </c>
      <c r="AN337" s="484" t="str">
        <f t="shared" si="92"/>
        <v/>
      </c>
      <c r="AO337" s="473" t="str">
        <f t="shared" si="93"/>
        <v/>
      </c>
      <c r="AP337" s="473" t="str">
        <f t="shared" si="94"/>
        <v/>
      </c>
      <c r="AQ337" s="473" t="str">
        <f t="shared" si="95"/>
        <v/>
      </c>
      <c r="AR337" s="473" t="str">
        <f t="shared" si="96"/>
        <v/>
      </c>
      <c r="AS337" s="473" t="str">
        <f t="shared" si="97"/>
        <v/>
      </c>
      <c r="AT337" s="473" t="str">
        <f t="shared" si="98"/>
        <v/>
      </c>
      <c r="AU337" s="473" t="str">
        <f t="shared" si="99"/>
        <v/>
      </c>
      <c r="AZ337" s="32" t="s">
        <v>8131</v>
      </c>
      <c r="BA337" s="25" t="s">
        <v>6128</v>
      </c>
      <c r="BB337" s="499"/>
      <c r="BC337" s="271"/>
      <c r="BD337" s="279">
        <v>1</v>
      </c>
      <c r="BE337" s="271"/>
      <c r="BF337" s="271"/>
      <c r="BG337" s="271"/>
      <c r="BH337" s="271"/>
      <c r="BI337" s="271"/>
      <c r="BJ337" s="271"/>
      <c r="BK337" s="271"/>
      <c r="BL337" s="271"/>
    </row>
    <row r="338" spans="18:64" ht="21" customHeight="1" x14ac:dyDescent="0.25">
      <c r="R338" s="34" t="s">
        <v>490</v>
      </c>
      <c r="S338" s="451"/>
      <c r="T338" s="31" t="s">
        <v>30</v>
      </c>
      <c r="V338" s="475">
        <v>8</v>
      </c>
      <c r="W338" s="475" t="str">
        <f>IF($AC$338="","",$W$324)</f>
        <v/>
      </c>
      <c r="X338" s="476" t="str">
        <f>IF($AC$338="","",$X$324)</f>
        <v/>
      </c>
      <c r="Y338" s="477" t="str">
        <f>IF($X$338="","",$Y$324)</f>
        <v/>
      </c>
      <c r="Z338" s="477" t="str">
        <f>IF($X$338="","",$Z$324)</f>
        <v/>
      </c>
      <c r="AA338" s="477" t="str">
        <f>IF($AC$338="","",ROW($A$338)-ROW($A$324))</f>
        <v/>
      </c>
      <c r="AB338" s="478"/>
      <c r="AC338" s="34"/>
      <c r="AD338" s="356"/>
      <c r="AE338" s="479"/>
      <c r="AF338" s="475"/>
      <c r="AG338" s="480" t="str">
        <f t="shared" si="88"/>
        <v/>
      </c>
      <c r="AH338" s="481" t="str">
        <f t="shared" si="89"/>
        <v/>
      </c>
      <c r="AI338" s="477" t="str">
        <f>IF($AC$338="","",IFERROR(INDEX($AZ$74:$AZ$119,MATCH($AH$338,$AY$74:$AY$119,0)),"AUTRE"))</f>
        <v/>
      </c>
      <c r="AJ338" s="482" t="str">
        <f>IF($AC$338="","",IFERROR(INDEX($BA$74:$BA$119,MATCH($AH$338,$AY$74:$AY$119,0)),1))</f>
        <v/>
      </c>
      <c r="AK338" s="482" t="str">
        <f t="shared" si="90"/>
        <v/>
      </c>
      <c r="AL338" s="477" t="str">
        <f>IF($AC$338="","",IFERROR(INDEX($BB$74:$BB$119,MATCH($AH$338,$AY$74:$AY$119,0)),$AH$338))</f>
        <v/>
      </c>
      <c r="AM338" s="483" t="str">
        <f t="shared" si="91"/>
        <v/>
      </c>
      <c r="AN338" s="484" t="str">
        <f t="shared" si="92"/>
        <v/>
      </c>
      <c r="AO338" s="473" t="str">
        <f t="shared" si="93"/>
        <v/>
      </c>
      <c r="AP338" s="473" t="str">
        <f t="shared" si="94"/>
        <v/>
      </c>
      <c r="AQ338" s="473" t="str">
        <f t="shared" si="95"/>
        <v/>
      </c>
      <c r="AR338" s="473" t="str">
        <f t="shared" si="96"/>
        <v/>
      </c>
      <c r="AS338" s="473" t="str">
        <f t="shared" si="97"/>
        <v/>
      </c>
      <c r="AT338" s="473" t="str">
        <f t="shared" si="98"/>
        <v/>
      </c>
      <c r="AU338" s="473" t="str">
        <f t="shared" si="99"/>
        <v/>
      </c>
      <c r="AZ338" s="32" t="s">
        <v>309</v>
      </c>
      <c r="BA338" s="34" t="s">
        <v>474</v>
      </c>
      <c r="BB338" s="499"/>
      <c r="BC338" s="271"/>
      <c r="BD338" s="279">
        <v>1</v>
      </c>
      <c r="BE338" s="271"/>
      <c r="BF338" s="271"/>
      <c r="BG338" s="271"/>
      <c r="BH338" s="271"/>
      <c r="BI338" s="271"/>
      <c r="BJ338" s="271"/>
      <c r="BK338" s="271"/>
      <c r="BL338" s="271"/>
    </row>
    <row r="339" spans="18:64" ht="21" customHeight="1" x14ac:dyDescent="0.25">
      <c r="R339" s="34" t="s">
        <v>6129</v>
      </c>
      <c r="S339" s="451"/>
      <c r="T339" s="31" t="s">
        <v>31</v>
      </c>
      <c r="V339" s="475">
        <v>8</v>
      </c>
      <c r="W339" s="475" t="str">
        <f>IF($AC$339="","",$W$324)</f>
        <v/>
      </c>
      <c r="X339" s="476" t="str">
        <f>IF($AC$339="","",$X$324)</f>
        <v/>
      </c>
      <c r="Y339" s="477" t="str">
        <f>IF($X$339="","",$Y$324)</f>
        <v/>
      </c>
      <c r="Z339" s="477" t="str">
        <f>IF($X$339="","",$Z$324)</f>
        <v/>
      </c>
      <c r="AA339" s="477" t="str">
        <f>IF($AC$339="","",ROW($A$339)-ROW($A$324))</f>
        <v/>
      </c>
      <c r="AB339" s="478"/>
      <c r="AC339" s="34"/>
      <c r="AD339" s="356"/>
      <c r="AE339" s="479"/>
      <c r="AF339" s="475"/>
      <c r="AG339" s="480" t="str">
        <f t="shared" si="88"/>
        <v/>
      </c>
      <c r="AH339" s="481" t="str">
        <f t="shared" si="89"/>
        <v/>
      </c>
      <c r="AI339" s="477" t="str">
        <f>IF($AC$339="","",IFERROR(INDEX($AZ$74:$AZ$119,MATCH($AH$339,$AY$74:$AY$119,0)),"AUTRE"))</f>
        <v/>
      </c>
      <c r="AJ339" s="482" t="str">
        <f>IF($AC$339="","",IFERROR(INDEX($BA$74:$BA$119,MATCH($AH$339,$AY$74:$AY$119,0)),1))</f>
        <v/>
      </c>
      <c r="AK339" s="482" t="str">
        <f t="shared" si="90"/>
        <v/>
      </c>
      <c r="AL339" s="477" t="str">
        <f>IF($AC$339="","",IFERROR(INDEX($BB$74:$BB$119,MATCH($AH$339,$AY$74:$AY$119,0)),$AH$339))</f>
        <v/>
      </c>
      <c r="AM339" s="483" t="str">
        <f t="shared" si="91"/>
        <v/>
      </c>
      <c r="AN339" s="484" t="str">
        <f t="shared" si="92"/>
        <v/>
      </c>
      <c r="AO339" s="473" t="str">
        <f t="shared" si="93"/>
        <v/>
      </c>
      <c r="AP339" s="473" t="str">
        <f t="shared" si="94"/>
        <v/>
      </c>
      <c r="AQ339" s="473" t="str">
        <f t="shared" si="95"/>
        <v/>
      </c>
      <c r="AR339" s="473" t="str">
        <f t="shared" si="96"/>
        <v/>
      </c>
      <c r="AS339" s="473" t="str">
        <f t="shared" si="97"/>
        <v/>
      </c>
      <c r="AT339" s="473" t="str">
        <f t="shared" si="98"/>
        <v/>
      </c>
      <c r="AU339" s="473" t="str">
        <f t="shared" si="99"/>
        <v/>
      </c>
      <c r="AZ339" s="32" t="s">
        <v>311</v>
      </c>
      <c r="BA339" s="34" t="s">
        <v>490</v>
      </c>
      <c r="BB339" s="499"/>
      <c r="BC339" s="271"/>
      <c r="BD339" s="279">
        <v>1</v>
      </c>
      <c r="BE339" s="271"/>
      <c r="BF339" s="271"/>
      <c r="BG339" s="271"/>
      <c r="BH339" s="271"/>
      <c r="BI339" s="271"/>
      <c r="BJ339" s="271"/>
      <c r="BK339" s="271"/>
      <c r="BL339" s="271"/>
    </row>
    <row r="340" spans="18:64" ht="21" customHeight="1" x14ac:dyDescent="0.25">
      <c r="R340" s="34" t="s">
        <v>478</v>
      </c>
      <c r="S340" s="451"/>
      <c r="T340" s="32" t="s">
        <v>33</v>
      </c>
      <c r="V340" s="475">
        <v>8</v>
      </c>
      <c r="W340" s="475" t="str">
        <f>IF($AC$340="","",$W$324)</f>
        <v/>
      </c>
      <c r="X340" s="476" t="str">
        <f>IF($AC$340="","",$X$324)</f>
        <v/>
      </c>
      <c r="Y340" s="477" t="str">
        <f>IF($X$340="","",$Y$324)</f>
        <v/>
      </c>
      <c r="Z340" s="477" t="str">
        <f>IF($X$340="","",$Z$324)</f>
        <v/>
      </c>
      <c r="AA340" s="477" t="str">
        <f>IF($AC$340="","",ROW($A$340)-ROW($A$324))</f>
        <v/>
      </c>
      <c r="AB340" s="478"/>
      <c r="AC340" s="34"/>
      <c r="AD340" s="356"/>
      <c r="AE340" s="479"/>
      <c r="AF340" s="475"/>
      <c r="AG340" s="480" t="str">
        <f t="shared" si="88"/>
        <v/>
      </c>
      <c r="AH340" s="481" t="str">
        <f t="shared" si="89"/>
        <v/>
      </c>
      <c r="AI340" s="477" t="str">
        <f>IF($AC$340="","",IFERROR(INDEX($AZ$74:$AZ$119,MATCH($AH$340,$AY$74:$AY$119,0)),"AUTRE"))</f>
        <v/>
      </c>
      <c r="AJ340" s="482" t="str">
        <f>IF($AC$340="","",IFERROR(INDEX($BA$74:$BA$119,MATCH($AH$340,$AY$74:$AY$119,0)),1))</f>
        <v/>
      </c>
      <c r="AK340" s="482" t="str">
        <f t="shared" si="90"/>
        <v/>
      </c>
      <c r="AL340" s="477" t="str">
        <f>IF($AC$340="","",IFERROR(INDEX($BB$74:$BB$119,MATCH($AH$340,$AY$74:$AY$119,0)),$AH$340))</f>
        <v/>
      </c>
      <c r="AM340" s="483" t="str">
        <f t="shared" si="91"/>
        <v/>
      </c>
      <c r="AN340" s="484" t="str">
        <f t="shared" si="92"/>
        <v/>
      </c>
      <c r="AO340" s="473" t="str">
        <f t="shared" si="93"/>
        <v/>
      </c>
      <c r="AP340" s="473" t="str">
        <f t="shared" si="94"/>
        <v/>
      </c>
      <c r="AQ340" s="473" t="str">
        <f t="shared" si="95"/>
        <v/>
      </c>
      <c r="AR340" s="473" t="str">
        <f t="shared" si="96"/>
        <v/>
      </c>
      <c r="AS340" s="473" t="str">
        <f t="shared" si="97"/>
        <v/>
      </c>
      <c r="AT340" s="473" t="str">
        <f t="shared" si="98"/>
        <v/>
      </c>
      <c r="AU340" s="473" t="str">
        <f t="shared" si="99"/>
        <v/>
      </c>
      <c r="AZ340" s="32" t="s">
        <v>8135</v>
      </c>
      <c r="BA340" s="34" t="s">
        <v>6129</v>
      </c>
      <c r="BB340" s="499"/>
      <c r="BC340" s="271"/>
      <c r="BD340" s="279">
        <v>1</v>
      </c>
      <c r="BE340" s="271"/>
      <c r="BF340" s="271"/>
      <c r="BG340" s="271"/>
      <c r="BH340" s="271"/>
      <c r="BI340" s="271"/>
      <c r="BJ340" s="271"/>
      <c r="BK340" s="271"/>
      <c r="BL340" s="271"/>
    </row>
    <row r="341" spans="18:64" ht="21" customHeight="1" x14ac:dyDescent="0.25">
      <c r="R341" s="34" t="s">
        <v>6130</v>
      </c>
      <c r="S341" s="451"/>
      <c r="T341" s="32" t="s">
        <v>8125</v>
      </c>
      <c r="V341" s="475">
        <v>8</v>
      </c>
      <c r="W341" s="475" t="str">
        <f>IF($AC$341="","",$W$324)</f>
        <v/>
      </c>
      <c r="X341" s="476" t="str">
        <f>IF($AC$341="","",$X$324)</f>
        <v/>
      </c>
      <c r="Y341" s="477" t="str">
        <f>IF($X$341="","",$Y$324)</f>
        <v/>
      </c>
      <c r="Z341" s="477" t="str">
        <f>IF($X$341="","",$Z$324)</f>
        <v/>
      </c>
      <c r="AA341" s="477" t="str">
        <f>IF($AC$341="","",ROW($A$341)-ROW($A$324))</f>
        <v/>
      </c>
      <c r="AB341" s="478"/>
      <c r="AC341" s="34"/>
      <c r="AD341" s="356"/>
      <c r="AE341" s="479"/>
      <c r="AF341" s="475"/>
      <c r="AG341" s="480" t="str">
        <f t="shared" si="88"/>
        <v/>
      </c>
      <c r="AH341" s="481" t="str">
        <f t="shared" si="89"/>
        <v/>
      </c>
      <c r="AI341" s="477" t="str">
        <f>IF($AC$341="","",IFERROR(INDEX($AZ$74:$AZ$119,MATCH($AH$341,$AY$74:$AY$119,0)),"AUTRE"))</f>
        <v/>
      </c>
      <c r="AJ341" s="482" t="str">
        <f>IF($AC$341="","",IFERROR(INDEX($BA$74:$BA$119,MATCH($AH$341,$AY$74:$AY$119,0)),1))</f>
        <v/>
      </c>
      <c r="AK341" s="482" t="str">
        <f t="shared" si="90"/>
        <v/>
      </c>
      <c r="AL341" s="477" t="str">
        <f>IF($AC$341="","",IFERROR(INDEX($BB$74:$BB$119,MATCH($AH$341,$AY$74:$AY$119,0)),$AH$341))</f>
        <v/>
      </c>
      <c r="AM341" s="483" t="str">
        <f t="shared" si="91"/>
        <v/>
      </c>
      <c r="AN341" s="484" t="str">
        <f t="shared" si="92"/>
        <v/>
      </c>
      <c r="AO341" s="473" t="str">
        <f t="shared" si="93"/>
        <v/>
      </c>
      <c r="AP341" s="473" t="str">
        <f t="shared" si="94"/>
        <v/>
      </c>
      <c r="AQ341" s="473" t="str">
        <f t="shared" si="95"/>
        <v/>
      </c>
      <c r="AR341" s="473" t="str">
        <f t="shared" si="96"/>
        <v/>
      </c>
      <c r="AS341" s="473" t="str">
        <f t="shared" si="97"/>
        <v/>
      </c>
      <c r="AT341" s="473" t="str">
        <f t="shared" si="98"/>
        <v/>
      </c>
      <c r="AU341" s="473" t="str">
        <f t="shared" si="99"/>
        <v/>
      </c>
      <c r="AZ341" s="32" t="s">
        <v>8137</v>
      </c>
      <c r="BA341" s="34" t="s">
        <v>478</v>
      </c>
      <c r="BB341" s="499"/>
      <c r="BC341" s="271"/>
      <c r="BD341" s="279">
        <v>1</v>
      </c>
      <c r="BE341" s="271"/>
      <c r="BF341" s="271"/>
      <c r="BG341" s="271"/>
      <c r="BH341" s="271"/>
      <c r="BI341" s="271"/>
      <c r="BJ341" s="271"/>
      <c r="BK341" s="271"/>
      <c r="BL341" s="271"/>
    </row>
    <row r="342" spans="18:64" ht="21" customHeight="1" x14ac:dyDescent="0.25">
      <c r="R342" s="34" t="s">
        <v>486</v>
      </c>
      <c r="S342" s="451"/>
      <c r="T342" s="32" t="s">
        <v>8127</v>
      </c>
      <c r="V342" s="475">
        <v>8</v>
      </c>
      <c r="W342" s="475" t="str">
        <f>IF($AC$342="","",$W$324)</f>
        <v/>
      </c>
      <c r="X342" s="476" t="str">
        <f>IF($AC$342="","",$X$324)</f>
        <v/>
      </c>
      <c r="Y342" s="477" t="str">
        <f>IF($X$342="","",$Y$324)</f>
        <v/>
      </c>
      <c r="Z342" s="477" t="str">
        <f>IF($X$342="","",$Z$324)</f>
        <v/>
      </c>
      <c r="AA342" s="477" t="str">
        <f>IF($AC$342="","",ROW($A$342)-ROW($A$324))</f>
        <v/>
      </c>
      <c r="AB342" s="478"/>
      <c r="AC342" s="34"/>
      <c r="AD342" s="356"/>
      <c r="AE342" s="479"/>
      <c r="AF342" s="475"/>
      <c r="AG342" s="480" t="str">
        <f t="shared" si="88"/>
        <v/>
      </c>
      <c r="AH342" s="481" t="str">
        <f t="shared" si="89"/>
        <v/>
      </c>
      <c r="AI342" s="477" t="str">
        <f>IF($AC$342="","",IFERROR(INDEX($AZ$74:$AZ$119,MATCH($AH$342,$AY$74:$AY$119,0)),"AUTRE"))</f>
        <v/>
      </c>
      <c r="AJ342" s="482" t="str">
        <f>IF($AC$342="","",IFERROR(INDEX($BA$74:$BA$119,MATCH($AH$342,$AY$74:$AY$119,0)),1))</f>
        <v/>
      </c>
      <c r="AK342" s="482" t="str">
        <f t="shared" si="90"/>
        <v/>
      </c>
      <c r="AL342" s="477" t="str">
        <f>IF($AC$342="","",IFERROR(INDEX($BB$74:$BB$119,MATCH($AH$342,$AY$74:$AY$119,0)),$AH$342))</f>
        <v/>
      </c>
      <c r="AM342" s="483" t="str">
        <f t="shared" si="91"/>
        <v/>
      </c>
      <c r="AN342" s="484" t="str">
        <f t="shared" si="92"/>
        <v/>
      </c>
      <c r="AO342" s="473" t="str">
        <f t="shared" si="93"/>
        <v/>
      </c>
      <c r="AP342" s="473" t="str">
        <f t="shared" si="94"/>
        <v/>
      </c>
      <c r="AQ342" s="473" t="str">
        <f t="shared" si="95"/>
        <v/>
      </c>
      <c r="AR342" s="473" t="str">
        <f t="shared" si="96"/>
        <v/>
      </c>
      <c r="AS342" s="473" t="str">
        <f t="shared" si="97"/>
        <v/>
      </c>
      <c r="AT342" s="473" t="str">
        <f t="shared" si="98"/>
        <v/>
      </c>
      <c r="AU342" s="473" t="str">
        <f t="shared" si="99"/>
        <v/>
      </c>
      <c r="AZ342" s="32" t="s">
        <v>8139</v>
      </c>
      <c r="BA342" s="34" t="s">
        <v>6130</v>
      </c>
      <c r="BB342" s="499"/>
      <c r="BC342" s="271"/>
      <c r="BD342" s="279">
        <v>1</v>
      </c>
      <c r="BE342" s="271"/>
      <c r="BF342" s="271"/>
      <c r="BG342" s="271"/>
      <c r="BH342" s="271"/>
      <c r="BI342" s="271"/>
      <c r="BJ342" s="271"/>
      <c r="BK342" s="271"/>
      <c r="BL342" s="271"/>
    </row>
    <row r="343" spans="18:64" ht="21" customHeight="1" x14ac:dyDescent="0.25">
      <c r="R343" s="34" t="s">
        <v>479</v>
      </c>
      <c r="S343" s="451"/>
      <c r="T343" s="32" t="s">
        <v>320</v>
      </c>
      <c r="V343" s="475">
        <v>8</v>
      </c>
      <c r="W343" s="475" t="str">
        <f>IF($AC$343="","",$W$324)</f>
        <v/>
      </c>
      <c r="X343" s="476" t="str">
        <f>IF($AC$343="","",$X$324)</f>
        <v/>
      </c>
      <c r="Y343" s="477" t="str">
        <f>IF($X$343="","",$Y$324)</f>
        <v/>
      </c>
      <c r="Z343" s="477" t="str">
        <f>IF($X$343="","",$Z$324)</f>
        <v/>
      </c>
      <c r="AA343" s="477" t="str">
        <f>IF($AC$343="","",ROW($A$343)-ROW($A$324))</f>
        <v/>
      </c>
      <c r="AB343" s="478"/>
      <c r="AC343" s="34"/>
      <c r="AD343" s="356"/>
      <c r="AE343" s="479"/>
      <c r="AF343" s="475"/>
      <c r="AG343" s="480" t="str">
        <f t="shared" si="88"/>
        <v/>
      </c>
      <c r="AH343" s="481" t="str">
        <f t="shared" si="89"/>
        <v/>
      </c>
      <c r="AI343" s="477" t="str">
        <f>IF($AC$343="","",IFERROR(INDEX($AZ$74:$AZ$119,MATCH($AH$343,$AY$74:$AY$119,0)),"AUTRE"))</f>
        <v/>
      </c>
      <c r="AJ343" s="482" t="str">
        <f>IF($AC$343="","",IFERROR(INDEX($BA$74:$BA$119,MATCH($AH$343,$AY$74:$AY$119,0)),1))</f>
        <v/>
      </c>
      <c r="AK343" s="482" t="str">
        <f t="shared" si="90"/>
        <v/>
      </c>
      <c r="AL343" s="477" t="str">
        <f>IF($AC$343="","",IFERROR(INDEX($BB$74:$BB$119,MATCH($AH$343,$AY$74:$AY$119,0)),$AH$343))</f>
        <v/>
      </c>
      <c r="AM343" s="483" t="str">
        <f t="shared" si="91"/>
        <v/>
      </c>
      <c r="AN343" s="484" t="str">
        <f t="shared" si="92"/>
        <v/>
      </c>
      <c r="AO343" s="473" t="str">
        <f t="shared" si="93"/>
        <v/>
      </c>
      <c r="AP343" s="473" t="str">
        <f t="shared" si="94"/>
        <v/>
      </c>
      <c r="AQ343" s="473" t="str">
        <f t="shared" si="95"/>
        <v/>
      </c>
      <c r="AR343" s="473" t="str">
        <f t="shared" si="96"/>
        <v/>
      </c>
      <c r="AS343" s="473" t="str">
        <f t="shared" si="97"/>
        <v/>
      </c>
      <c r="AT343" s="473" t="str">
        <f t="shared" si="98"/>
        <v/>
      </c>
      <c r="AU343" s="473" t="str">
        <f t="shared" si="99"/>
        <v/>
      </c>
      <c r="AZ343" s="32" t="s">
        <v>8141</v>
      </c>
      <c r="BA343" s="34" t="s">
        <v>486</v>
      </c>
      <c r="BB343" s="499"/>
      <c r="BC343" s="271"/>
      <c r="BD343" s="279">
        <v>1</v>
      </c>
      <c r="BE343" s="271"/>
      <c r="BF343" s="271"/>
      <c r="BG343" s="271"/>
      <c r="BH343" s="271"/>
      <c r="BI343" s="271"/>
      <c r="BJ343" s="271"/>
      <c r="BK343" s="271"/>
      <c r="BL343" s="271"/>
    </row>
    <row r="344" spans="18:64" ht="21" customHeight="1" x14ac:dyDescent="0.25">
      <c r="R344" s="34" t="s">
        <v>6131</v>
      </c>
      <c r="S344" s="451"/>
      <c r="T344" s="32" t="s">
        <v>318</v>
      </c>
      <c r="V344" s="475">
        <v>8</v>
      </c>
      <c r="W344" s="475" t="str">
        <f>IF($AC$344="","",$W$324)</f>
        <v/>
      </c>
      <c r="X344" s="476" t="str">
        <f>IF($AC$344="","",$X$324)</f>
        <v/>
      </c>
      <c r="Y344" s="477" t="str">
        <f>IF($X$344="","",$Y$324)</f>
        <v/>
      </c>
      <c r="Z344" s="477" t="str">
        <f>IF($X$344="","",$Z$324)</f>
        <v/>
      </c>
      <c r="AA344" s="477" t="str">
        <f>IF($AC$344="","",ROW($A$344)-ROW($A$324))</f>
        <v/>
      </c>
      <c r="AB344" s="478"/>
      <c r="AC344" s="34"/>
      <c r="AD344" s="356"/>
      <c r="AE344" s="479"/>
      <c r="AF344" s="475"/>
      <c r="AG344" s="480" t="str">
        <f t="shared" si="88"/>
        <v/>
      </c>
      <c r="AH344" s="481" t="str">
        <f t="shared" si="89"/>
        <v/>
      </c>
      <c r="AI344" s="477" t="str">
        <f>IF($AC$344="","",IFERROR(INDEX($AZ$74:$AZ$119,MATCH($AH$344,$AY$74:$AY$119,0)),"AUTRE"))</f>
        <v/>
      </c>
      <c r="AJ344" s="482" t="str">
        <f>IF($AC$344="","",IFERROR(INDEX($BA$74:$BA$119,MATCH($AH$344,$AY$74:$AY$119,0)),1))</f>
        <v/>
      </c>
      <c r="AK344" s="482" t="str">
        <f t="shared" si="90"/>
        <v/>
      </c>
      <c r="AL344" s="477" t="str">
        <f>IF($AC$344="","",IFERROR(INDEX($BB$74:$BB$119,MATCH($AH$344,$AY$74:$AY$119,0)),$AH$344))</f>
        <v/>
      </c>
      <c r="AM344" s="483" t="str">
        <f t="shared" si="91"/>
        <v/>
      </c>
      <c r="AN344" s="484" t="str">
        <f t="shared" si="92"/>
        <v/>
      </c>
      <c r="AO344" s="473" t="str">
        <f t="shared" si="93"/>
        <v/>
      </c>
      <c r="AP344" s="473" t="str">
        <f t="shared" si="94"/>
        <v/>
      </c>
      <c r="AQ344" s="473" t="str">
        <f t="shared" si="95"/>
        <v/>
      </c>
      <c r="AR344" s="473" t="str">
        <f t="shared" si="96"/>
        <v/>
      </c>
      <c r="AS344" s="473" t="str">
        <f t="shared" si="97"/>
        <v/>
      </c>
      <c r="AT344" s="473" t="str">
        <f t="shared" si="98"/>
        <v/>
      </c>
      <c r="AU344" s="473" t="str">
        <f t="shared" si="99"/>
        <v/>
      </c>
      <c r="AZ344" s="32" t="s">
        <v>8143</v>
      </c>
      <c r="BA344" s="34" t="s">
        <v>479</v>
      </c>
      <c r="BB344" s="499"/>
      <c r="BC344" s="271"/>
      <c r="BD344" s="279">
        <v>1</v>
      </c>
      <c r="BE344" s="271"/>
      <c r="BF344" s="271"/>
      <c r="BG344" s="271"/>
      <c r="BH344" s="271"/>
      <c r="BI344" s="271"/>
      <c r="BJ344" s="271"/>
      <c r="BK344" s="271"/>
      <c r="BL344" s="271"/>
    </row>
    <row r="345" spans="18:64" ht="21" customHeight="1" x14ac:dyDescent="0.25">
      <c r="R345" s="34" t="s">
        <v>485</v>
      </c>
      <c r="S345" s="451"/>
      <c r="T345" s="32" t="s">
        <v>316</v>
      </c>
      <c r="V345" s="475">
        <v>8</v>
      </c>
      <c r="W345" s="475" t="str">
        <f>IF($AC$345="","",$W$324)</f>
        <v/>
      </c>
      <c r="X345" s="476" t="str">
        <f>IF($AC$345="","",$X$324)</f>
        <v/>
      </c>
      <c r="Y345" s="477" t="str">
        <f>IF($X$345="","",$Y$324)</f>
        <v/>
      </c>
      <c r="Z345" s="477" t="str">
        <f>IF($X$345="","",$Z$324)</f>
        <v/>
      </c>
      <c r="AA345" s="477" t="str">
        <f>IF($AC$345="","",ROW($A$345)-ROW($A$324))</f>
        <v/>
      </c>
      <c r="AB345" s="478"/>
      <c r="AC345" s="34"/>
      <c r="AD345" s="356"/>
      <c r="AE345" s="479"/>
      <c r="AF345" s="475"/>
      <c r="AG345" s="480" t="str">
        <f t="shared" si="88"/>
        <v/>
      </c>
      <c r="AH345" s="481" t="str">
        <f t="shared" si="89"/>
        <v/>
      </c>
      <c r="AI345" s="477" t="str">
        <f>IF($AC$345="","",IFERROR(INDEX($AZ$74:$AZ$119,MATCH($AH$345,$AY$74:$AY$119,0)),"AUTRE"))</f>
        <v/>
      </c>
      <c r="AJ345" s="482" t="str">
        <f>IF($AC$345="","",IFERROR(INDEX($BA$74:$BA$119,MATCH($AH$345,$AY$74:$AY$119,0)),1))</f>
        <v/>
      </c>
      <c r="AK345" s="482" t="str">
        <f t="shared" si="90"/>
        <v/>
      </c>
      <c r="AL345" s="477" t="str">
        <f>IF($AC$345="","",IFERROR(INDEX($BB$74:$BB$119,MATCH($AH$345,$AY$74:$AY$119,0)),$AH$345))</f>
        <v/>
      </c>
      <c r="AM345" s="483" t="str">
        <f t="shared" si="91"/>
        <v/>
      </c>
      <c r="AN345" s="484" t="str">
        <f t="shared" si="92"/>
        <v/>
      </c>
      <c r="AO345" s="473" t="str">
        <f t="shared" si="93"/>
        <v/>
      </c>
      <c r="AP345" s="473" t="str">
        <f t="shared" si="94"/>
        <v/>
      </c>
      <c r="AQ345" s="473" t="str">
        <f t="shared" si="95"/>
        <v/>
      </c>
      <c r="AR345" s="473" t="str">
        <f t="shared" si="96"/>
        <v/>
      </c>
      <c r="AS345" s="473" t="str">
        <f t="shared" si="97"/>
        <v/>
      </c>
      <c r="AT345" s="473" t="str">
        <f t="shared" si="98"/>
        <v/>
      </c>
      <c r="AU345" s="473" t="str">
        <f t="shared" si="99"/>
        <v/>
      </c>
      <c r="AZ345" s="497" t="s">
        <v>8145</v>
      </c>
      <c r="BA345" s="34" t="s">
        <v>6131</v>
      </c>
      <c r="BB345" s="499"/>
      <c r="BC345" s="271"/>
      <c r="BD345" s="279">
        <v>1</v>
      </c>
      <c r="BE345" s="271"/>
      <c r="BF345" s="271"/>
      <c r="BG345" s="271"/>
      <c r="BH345" s="271"/>
      <c r="BI345" s="271"/>
      <c r="BJ345" s="271"/>
      <c r="BK345" s="271"/>
      <c r="BL345" s="271"/>
    </row>
    <row r="346" spans="18:64" ht="21" customHeight="1" x14ac:dyDescent="0.25">
      <c r="R346" s="34" t="s">
        <v>6132</v>
      </c>
      <c r="S346" s="451"/>
      <c r="T346" s="32" t="s">
        <v>313</v>
      </c>
      <c r="V346" s="475">
        <v>8</v>
      </c>
      <c r="W346" s="475" t="str">
        <f>IF($AC$346="","",$W$324)</f>
        <v/>
      </c>
      <c r="X346" s="476" t="str">
        <f>IF($AC$346="","",$X$324)</f>
        <v/>
      </c>
      <c r="Y346" s="477" t="str">
        <f>IF($X$346="","",$Y$324)</f>
        <v/>
      </c>
      <c r="Z346" s="477" t="str">
        <f>IF($X$346="","",$Z$324)</f>
        <v/>
      </c>
      <c r="AA346" s="477" t="str">
        <f>IF($AC$346="","",ROW($A$346)-ROW($A$324))</f>
        <v/>
      </c>
      <c r="AB346" s="478"/>
      <c r="AC346" s="34"/>
      <c r="AD346" s="356"/>
      <c r="AE346" s="479"/>
      <c r="AF346" s="475"/>
      <c r="AG346" s="480" t="str">
        <f t="shared" si="88"/>
        <v/>
      </c>
      <c r="AH346" s="481" t="str">
        <f t="shared" si="89"/>
        <v/>
      </c>
      <c r="AI346" s="477" t="str">
        <f>IF($AC$346="","",IFERROR(INDEX($AZ$74:$AZ$119,MATCH($AH$346,$AY$74:$AY$119,0)),"AUTRE"))</f>
        <v/>
      </c>
      <c r="AJ346" s="482" t="str">
        <f>IF($AC$346="","",IFERROR(INDEX($BA$74:$BA$119,MATCH($AH$346,$AY$74:$AY$119,0)),1))</f>
        <v/>
      </c>
      <c r="AK346" s="482" t="str">
        <f t="shared" si="90"/>
        <v/>
      </c>
      <c r="AL346" s="477" t="str">
        <f>IF($AC$346="","",IFERROR(INDEX($BB$74:$BB$119,MATCH($AH$346,$AY$74:$AY$119,0)),$AH$346))</f>
        <v/>
      </c>
      <c r="AM346" s="483" t="str">
        <f t="shared" si="91"/>
        <v/>
      </c>
      <c r="AN346" s="484" t="str">
        <f t="shared" si="92"/>
        <v/>
      </c>
      <c r="AO346" s="473" t="str">
        <f t="shared" si="93"/>
        <v/>
      </c>
      <c r="AP346" s="473" t="str">
        <f t="shared" si="94"/>
        <v/>
      </c>
      <c r="AQ346" s="473" t="str">
        <f t="shared" si="95"/>
        <v/>
      </c>
      <c r="AR346" s="473" t="str">
        <f t="shared" si="96"/>
        <v/>
      </c>
      <c r="AS346" s="473" t="str">
        <f t="shared" si="97"/>
        <v/>
      </c>
      <c r="AT346" s="473" t="str">
        <f t="shared" si="98"/>
        <v/>
      </c>
      <c r="AU346" s="473" t="str">
        <f t="shared" si="99"/>
        <v/>
      </c>
      <c r="AZ346" s="497" t="s">
        <v>462</v>
      </c>
      <c r="BA346" s="34" t="s">
        <v>485</v>
      </c>
      <c r="BB346" s="499"/>
      <c r="BC346" s="271"/>
      <c r="BD346" s="279">
        <v>1</v>
      </c>
      <c r="BE346" s="271"/>
      <c r="BF346" s="271"/>
      <c r="BG346" s="271"/>
      <c r="BH346" s="271"/>
      <c r="BI346" s="271"/>
      <c r="BJ346" s="271"/>
      <c r="BK346" s="271"/>
      <c r="BL346" s="271"/>
    </row>
    <row r="347" spans="18:64" ht="21" customHeight="1" x14ac:dyDescent="0.25">
      <c r="R347" s="25" t="s">
        <v>6133</v>
      </c>
      <c r="S347" s="451"/>
      <c r="T347" s="32" t="s">
        <v>307</v>
      </c>
      <c r="V347" s="475">
        <v>8</v>
      </c>
      <c r="W347" s="475" t="str">
        <f>IF($AC$347="","",$W$324)</f>
        <v/>
      </c>
      <c r="X347" s="476" t="str">
        <f>IF($AC$347="","",$X$324)</f>
        <v/>
      </c>
      <c r="Y347" s="477" t="str">
        <f>IF($X$347="","",$Y$324)</f>
        <v/>
      </c>
      <c r="Z347" s="477" t="str">
        <f>IF($X$347="","",$Z$324)</f>
        <v/>
      </c>
      <c r="AA347" s="477" t="str">
        <f>IF($AC$347="","",ROW($A$347)-ROW($A$324))</f>
        <v/>
      </c>
      <c r="AB347" s="478"/>
      <c r="AC347" s="34"/>
      <c r="AD347" s="356"/>
      <c r="AE347" s="479"/>
      <c r="AF347" s="475"/>
      <c r="AG347" s="480" t="str">
        <f t="shared" si="88"/>
        <v/>
      </c>
      <c r="AH347" s="481" t="str">
        <f t="shared" si="89"/>
        <v/>
      </c>
      <c r="AI347" s="477" t="str">
        <f>IF($AC$347="","",IFERROR(INDEX($AZ$74:$AZ$119,MATCH($AH$347,$AY$74:$AY$119,0)),"AUTRE"))</f>
        <v/>
      </c>
      <c r="AJ347" s="482" t="str">
        <f>IF($AC$347="","",IFERROR(INDEX($BA$74:$BA$119,MATCH($AH$347,$AY$74:$AY$119,0)),1))</f>
        <v/>
      </c>
      <c r="AK347" s="482" t="str">
        <f t="shared" si="90"/>
        <v/>
      </c>
      <c r="AL347" s="477" t="str">
        <f>IF($AC$347="","",IFERROR(INDEX($BB$74:$BB$119,MATCH($AH$347,$AY$74:$AY$119,0)),$AH$347))</f>
        <v/>
      </c>
      <c r="AM347" s="483" t="str">
        <f t="shared" si="91"/>
        <v/>
      </c>
      <c r="AN347" s="484" t="str">
        <f t="shared" si="92"/>
        <v/>
      </c>
      <c r="AO347" s="473" t="str">
        <f t="shared" si="93"/>
        <v/>
      </c>
      <c r="AP347" s="473" t="str">
        <f t="shared" si="94"/>
        <v/>
      </c>
      <c r="AQ347" s="473" t="str">
        <f t="shared" si="95"/>
        <v/>
      </c>
      <c r="AR347" s="473" t="str">
        <f t="shared" si="96"/>
        <v/>
      </c>
      <c r="AS347" s="473" t="str">
        <f t="shared" si="97"/>
        <v/>
      </c>
      <c r="AT347" s="473" t="str">
        <f t="shared" si="98"/>
        <v/>
      </c>
      <c r="AU347" s="473" t="str">
        <f t="shared" si="99"/>
        <v/>
      </c>
      <c r="AZ347" s="497" t="s">
        <v>463</v>
      </c>
      <c r="BA347" s="34" t="s">
        <v>6132</v>
      </c>
      <c r="BB347" s="499"/>
      <c r="BC347" s="271"/>
      <c r="BD347" s="279">
        <v>1</v>
      </c>
      <c r="BE347" s="271"/>
      <c r="BF347" s="271"/>
      <c r="BG347" s="271"/>
      <c r="BH347" s="271"/>
      <c r="BI347" s="271"/>
      <c r="BJ347" s="271"/>
      <c r="BK347" s="271"/>
      <c r="BL347" s="271"/>
    </row>
    <row r="348" spans="18:64" ht="21" customHeight="1" x14ac:dyDescent="0.25">
      <c r="R348" s="34" t="s">
        <v>476</v>
      </c>
      <c r="S348" s="451"/>
      <c r="T348" s="32" t="s">
        <v>322</v>
      </c>
      <c r="V348" s="475">
        <v>8</v>
      </c>
      <c r="W348" s="475" t="str">
        <f>IF($AC$348="","",$W$324)</f>
        <v/>
      </c>
      <c r="X348" s="476" t="str">
        <f>IF($AC$348="","",$X$324)</f>
        <v/>
      </c>
      <c r="Y348" s="477" t="str">
        <f>IF($X$348="","",$Y$324)</f>
        <v/>
      </c>
      <c r="Z348" s="477" t="str">
        <f>IF($X$348="","",$Z$324)</f>
        <v/>
      </c>
      <c r="AA348" s="477" t="str">
        <f>IF($AC$348="","",ROW($A$348)-ROW($A$324))</f>
        <v/>
      </c>
      <c r="AB348" s="478"/>
      <c r="AC348" s="34"/>
      <c r="AD348" s="356"/>
      <c r="AE348" s="479"/>
      <c r="AF348" s="475"/>
      <c r="AG348" s="480" t="str">
        <f t="shared" si="88"/>
        <v/>
      </c>
      <c r="AH348" s="481" t="str">
        <f t="shared" si="89"/>
        <v/>
      </c>
      <c r="AI348" s="477" t="str">
        <f>IF($AC$348="","",IFERROR(INDEX($AZ$74:$AZ$119,MATCH($AH$348,$AY$74:$AY$119,0)),"AUTRE"))</f>
        <v/>
      </c>
      <c r="AJ348" s="482" t="str">
        <f>IF($AC$348="","",IFERROR(INDEX($BA$74:$BA$119,MATCH($AH$348,$AY$74:$AY$119,0)),1))</f>
        <v/>
      </c>
      <c r="AK348" s="482" t="str">
        <f t="shared" si="90"/>
        <v/>
      </c>
      <c r="AL348" s="477" t="str">
        <f>IF($AC$348="","",IFERROR(INDEX($BB$74:$BB$119,MATCH($AH$348,$AY$74:$AY$119,0)),$AH$348))</f>
        <v/>
      </c>
      <c r="AM348" s="483" t="str">
        <f t="shared" si="91"/>
        <v/>
      </c>
      <c r="AN348" s="484" t="str">
        <f t="shared" si="92"/>
        <v/>
      </c>
      <c r="AO348" s="473" t="str">
        <f t="shared" si="93"/>
        <v/>
      </c>
      <c r="AP348" s="473" t="str">
        <f t="shared" si="94"/>
        <v/>
      </c>
      <c r="AQ348" s="473" t="str">
        <f t="shared" si="95"/>
        <v/>
      </c>
      <c r="AR348" s="473" t="str">
        <f t="shared" si="96"/>
        <v/>
      </c>
      <c r="AS348" s="473" t="str">
        <f t="shared" si="97"/>
        <v/>
      </c>
      <c r="AT348" s="473" t="str">
        <f t="shared" si="98"/>
        <v/>
      </c>
      <c r="AU348" s="473" t="str">
        <f t="shared" si="99"/>
        <v/>
      </c>
      <c r="AZ348" s="497" t="s">
        <v>8147</v>
      </c>
      <c r="BA348" s="25" t="s">
        <v>6133</v>
      </c>
      <c r="BB348" s="499"/>
      <c r="BC348" s="271"/>
      <c r="BD348" s="279">
        <v>1</v>
      </c>
      <c r="BE348" s="271"/>
      <c r="BF348" s="271"/>
      <c r="BG348" s="271"/>
      <c r="BH348" s="271"/>
      <c r="BI348" s="271"/>
      <c r="BJ348" s="271"/>
      <c r="BK348" s="271"/>
      <c r="BL348" s="271"/>
    </row>
    <row r="349" spans="18:64" ht="21" customHeight="1" x14ac:dyDescent="0.25">
      <c r="R349" s="34" t="s">
        <v>468</v>
      </c>
      <c r="S349" s="451"/>
      <c r="T349" s="32" t="s">
        <v>305</v>
      </c>
      <c r="V349" s="475">
        <v>8</v>
      </c>
      <c r="W349" s="475" t="str">
        <f>IF($AC$349="","",$W$324)</f>
        <v/>
      </c>
      <c r="X349" s="476" t="str">
        <f>IF($AC$349="","",$X$324)</f>
        <v/>
      </c>
      <c r="Y349" s="477" t="str">
        <f>IF($X$349="","",$Y$324)</f>
        <v/>
      </c>
      <c r="Z349" s="477" t="str">
        <f>IF($X$349="","",$Z$324)</f>
        <v/>
      </c>
      <c r="AA349" s="477" t="str">
        <f>IF($AC$349="","",ROW($A$349)-ROW($A$324))</f>
        <v/>
      </c>
      <c r="AB349" s="478"/>
      <c r="AC349" s="34"/>
      <c r="AD349" s="356"/>
      <c r="AE349" s="479"/>
      <c r="AF349" s="475"/>
      <c r="AG349" s="480" t="str">
        <f t="shared" si="88"/>
        <v/>
      </c>
      <c r="AH349" s="481" t="str">
        <f t="shared" si="89"/>
        <v/>
      </c>
      <c r="AI349" s="477" t="str">
        <f>IF($AC$349="","",IFERROR(INDEX($AZ$74:$AZ$119,MATCH($AH$349,$AY$74:$AY$119,0)),"AUTRE"))</f>
        <v/>
      </c>
      <c r="AJ349" s="482" t="str">
        <f>IF($AC$349="","",IFERROR(INDEX($BA$74:$BA$119,MATCH($AH$349,$AY$74:$AY$119,0)),1))</f>
        <v/>
      </c>
      <c r="AK349" s="482" t="str">
        <f t="shared" si="90"/>
        <v/>
      </c>
      <c r="AL349" s="477" t="str">
        <f>IF($AC$349="","",IFERROR(INDEX($BB$74:$BB$119,MATCH($AH$349,$AY$74:$AY$119,0)),$AH$349))</f>
        <v/>
      </c>
      <c r="AM349" s="483" t="str">
        <f t="shared" si="91"/>
        <v/>
      </c>
      <c r="AN349" s="484" t="str">
        <f t="shared" si="92"/>
        <v/>
      </c>
      <c r="AO349" s="473" t="str">
        <f t="shared" si="93"/>
        <v/>
      </c>
      <c r="AP349" s="473" t="str">
        <f t="shared" si="94"/>
        <v/>
      </c>
      <c r="AQ349" s="473" t="str">
        <f t="shared" si="95"/>
        <v/>
      </c>
      <c r="AR349" s="473" t="str">
        <f t="shared" si="96"/>
        <v/>
      </c>
      <c r="AS349" s="473" t="str">
        <f t="shared" si="97"/>
        <v/>
      </c>
      <c r="AT349" s="473" t="str">
        <f t="shared" si="98"/>
        <v/>
      </c>
      <c r="AU349" s="473" t="str">
        <f t="shared" si="99"/>
        <v/>
      </c>
      <c r="AZ349" s="497" t="s">
        <v>465</v>
      </c>
      <c r="BA349" s="34" t="s">
        <v>476</v>
      </c>
      <c r="BB349" s="499"/>
      <c r="BC349" s="271"/>
      <c r="BD349" s="279">
        <v>1</v>
      </c>
      <c r="BE349" s="271"/>
      <c r="BF349" s="271"/>
      <c r="BG349" s="271"/>
      <c r="BH349" s="271"/>
      <c r="BI349" s="271"/>
      <c r="BJ349" s="271"/>
      <c r="BK349" s="271"/>
      <c r="BL349" s="271"/>
    </row>
    <row r="350" spans="18:64" ht="21" customHeight="1" x14ac:dyDescent="0.25">
      <c r="R350" s="34" t="s">
        <v>473</v>
      </c>
      <c r="S350" s="451"/>
      <c r="T350" s="32" t="s">
        <v>309</v>
      </c>
      <c r="V350" s="475">
        <v>8</v>
      </c>
      <c r="W350" s="475" t="str">
        <f>IF($AC$350="","",$W$324)</f>
        <v/>
      </c>
      <c r="X350" s="476" t="str">
        <f>IF($AC$350="","",$X$324)</f>
        <v/>
      </c>
      <c r="Y350" s="477" t="str">
        <f>IF($X$350="","",$Y$324)</f>
        <v/>
      </c>
      <c r="Z350" s="477" t="str">
        <f>IF($X$350="","",$Z$324)</f>
        <v/>
      </c>
      <c r="AA350" s="477" t="str">
        <f>IF($AC$350="","",ROW($A$350)-ROW($A$324))</f>
        <v/>
      </c>
      <c r="AB350" s="478"/>
      <c r="AC350" s="34"/>
      <c r="AD350" s="356"/>
      <c r="AE350" s="479"/>
      <c r="AF350" s="475"/>
      <c r="AG350" s="480" t="str">
        <f t="shared" si="88"/>
        <v/>
      </c>
      <c r="AH350" s="481" t="str">
        <f t="shared" si="89"/>
        <v/>
      </c>
      <c r="AI350" s="477" t="str">
        <f>IF($AC$350="","",IFERROR(INDEX($AZ$74:$AZ$119,MATCH($AH$350,$AY$74:$AY$119,0)),"AUTRE"))</f>
        <v/>
      </c>
      <c r="AJ350" s="482" t="str">
        <f>IF($AC$350="","",IFERROR(INDEX($BA$74:$BA$119,MATCH($AH$350,$AY$74:$AY$119,0)),1))</f>
        <v/>
      </c>
      <c r="AK350" s="482" t="str">
        <f t="shared" si="90"/>
        <v/>
      </c>
      <c r="AL350" s="477" t="str">
        <f>IF($AC$350="","",IFERROR(INDEX($BB$74:$BB$119,MATCH($AH$350,$AY$74:$AY$119,0)),$AH$350))</f>
        <v/>
      </c>
      <c r="AM350" s="483" t="str">
        <f t="shared" si="91"/>
        <v/>
      </c>
      <c r="AN350" s="484" t="str">
        <f t="shared" si="92"/>
        <v/>
      </c>
      <c r="AO350" s="473" t="str">
        <f t="shared" si="93"/>
        <v/>
      </c>
      <c r="AP350" s="473" t="str">
        <f t="shared" si="94"/>
        <v/>
      </c>
      <c r="AQ350" s="473" t="str">
        <f t="shared" si="95"/>
        <v/>
      </c>
      <c r="AR350" s="473" t="str">
        <f t="shared" si="96"/>
        <v/>
      </c>
      <c r="AS350" s="473" t="str">
        <f t="shared" si="97"/>
        <v/>
      </c>
      <c r="AT350" s="473" t="str">
        <f t="shared" si="98"/>
        <v/>
      </c>
      <c r="AU350" s="473" t="str">
        <f t="shared" si="99"/>
        <v/>
      </c>
      <c r="AZ350" s="497" t="s">
        <v>466</v>
      </c>
      <c r="BA350" s="34" t="s">
        <v>468</v>
      </c>
      <c r="BB350" s="499"/>
      <c r="BC350" s="271"/>
      <c r="BD350" s="279">
        <v>1</v>
      </c>
      <c r="BE350" s="271"/>
      <c r="BF350" s="271"/>
      <c r="BG350" s="271"/>
      <c r="BH350" s="271"/>
      <c r="BI350" s="271"/>
      <c r="BJ350" s="271"/>
      <c r="BK350" s="271"/>
      <c r="BL350" s="271"/>
    </row>
    <row r="351" spans="18:64" ht="21" customHeight="1" x14ac:dyDescent="0.25">
      <c r="R351" s="34" t="s">
        <v>497</v>
      </c>
      <c r="S351" s="451"/>
      <c r="T351" s="32" t="s">
        <v>311</v>
      </c>
      <c r="V351" s="475">
        <v>8</v>
      </c>
      <c r="W351" s="475" t="str">
        <f>IF($AC$351="","",$W$324)</f>
        <v/>
      </c>
      <c r="X351" s="476" t="str">
        <f>IF($AC$351="","",$X$324)</f>
        <v/>
      </c>
      <c r="Y351" s="477" t="str">
        <f>IF($X$351="","",$Y$324)</f>
        <v/>
      </c>
      <c r="Z351" s="477" t="str">
        <f>IF($X$351="","",$Z$324)</f>
        <v/>
      </c>
      <c r="AA351" s="477" t="str">
        <f>IF($AC$351="","",ROW($A$351)-ROW($A$324))</f>
        <v/>
      </c>
      <c r="AB351" s="478"/>
      <c r="AC351" s="34"/>
      <c r="AD351" s="356"/>
      <c r="AE351" s="479"/>
      <c r="AF351" s="475"/>
      <c r="AG351" s="480" t="str">
        <f t="shared" si="88"/>
        <v/>
      </c>
      <c r="AH351" s="481" t="str">
        <f t="shared" si="89"/>
        <v/>
      </c>
      <c r="AI351" s="477" t="str">
        <f>IF($AC$351="","",IFERROR(INDEX($AZ$74:$AZ$119,MATCH($AH$351,$AY$74:$AY$119,0)),"AUTRE"))</f>
        <v/>
      </c>
      <c r="AJ351" s="482" t="str">
        <f>IF($AC$351="","",IFERROR(INDEX($BA$74:$BA$119,MATCH($AH$351,$AY$74:$AY$119,0)),1))</f>
        <v/>
      </c>
      <c r="AK351" s="482" t="str">
        <f t="shared" si="90"/>
        <v/>
      </c>
      <c r="AL351" s="477" t="str">
        <f>IF($AC$351="","",IFERROR(INDEX($BB$74:$BB$119,MATCH($AH$351,$AY$74:$AY$119,0)),$AH$351))</f>
        <v/>
      </c>
      <c r="AM351" s="483" t="str">
        <f t="shared" si="91"/>
        <v/>
      </c>
      <c r="AN351" s="484" t="str">
        <f t="shared" si="92"/>
        <v/>
      </c>
      <c r="AO351" s="473" t="str">
        <f t="shared" si="93"/>
        <v/>
      </c>
      <c r="AP351" s="473" t="str">
        <f t="shared" si="94"/>
        <v/>
      </c>
      <c r="AQ351" s="473" t="str">
        <f t="shared" si="95"/>
        <v/>
      </c>
      <c r="AR351" s="473" t="str">
        <f t="shared" si="96"/>
        <v/>
      </c>
      <c r="AS351" s="473" t="str">
        <f t="shared" si="97"/>
        <v/>
      </c>
      <c r="AT351" s="473" t="str">
        <f t="shared" si="98"/>
        <v/>
      </c>
      <c r="AU351" s="473" t="str">
        <f t="shared" si="99"/>
        <v/>
      </c>
      <c r="AZ351" s="14" t="s">
        <v>7</v>
      </c>
      <c r="BA351" s="34" t="s">
        <v>473</v>
      </c>
      <c r="BB351" s="499"/>
      <c r="BC351" s="271"/>
      <c r="BD351" s="279">
        <v>1</v>
      </c>
      <c r="BE351" s="271"/>
      <c r="BF351" s="271"/>
      <c r="BG351" s="271"/>
      <c r="BH351" s="271"/>
      <c r="BI351" s="271"/>
      <c r="BJ351" s="271"/>
      <c r="BK351" s="271"/>
      <c r="BL351" s="271"/>
    </row>
    <row r="352" spans="18:64" ht="21" customHeight="1" x14ac:dyDescent="0.25">
      <c r="R352" s="34" t="s">
        <v>470</v>
      </c>
      <c r="S352" s="451"/>
      <c r="T352" s="32" t="s">
        <v>8135</v>
      </c>
      <c r="V352" s="475">
        <v>8</v>
      </c>
      <c r="W352" s="475" t="str">
        <f>IF($AC$352="","",$W$324)</f>
        <v/>
      </c>
      <c r="X352" s="476" t="str">
        <f>IF($AC$352="","",$X$324)</f>
        <v/>
      </c>
      <c r="Y352" s="477" t="str">
        <f>IF($X$352="","",$Y$324)</f>
        <v/>
      </c>
      <c r="Z352" s="477" t="str">
        <f>IF($X$352="","",$Z$324)</f>
        <v/>
      </c>
      <c r="AA352" s="477" t="str">
        <f>IF($AC$352="","",ROW($A$352)-ROW($A$324))</f>
        <v/>
      </c>
      <c r="AB352" s="478"/>
      <c r="AC352" s="34"/>
      <c r="AD352" s="356"/>
      <c r="AE352" s="479"/>
      <c r="AF352" s="475"/>
      <c r="AG352" s="480" t="str">
        <f t="shared" si="88"/>
        <v/>
      </c>
      <c r="AH352" s="481" t="str">
        <f t="shared" si="89"/>
        <v/>
      </c>
      <c r="AI352" s="477" t="str">
        <f>IF($AC$352="","",IFERROR(INDEX($AZ$74:$AZ$119,MATCH($AH$352,$AY$74:$AY$119,0)),"AUTRE"))</f>
        <v/>
      </c>
      <c r="AJ352" s="482" t="str">
        <f>IF($AC$352="","",IFERROR(INDEX($BA$74:$BA$119,MATCH($AH$352,$AY$74:$AY$119,0)),1))</f>
        <v/>
      </c>
      <c r="AK352" s="482" t="str">
        <f t="shared" si="90"/>
        <v/>
      </c>
      <c r="AL352" s="477" t="str">
        <f>IF($AC$352="","",IFERROR(INDEX($BB$74:$BB$119,MATCH($AH$352,$AY$74:$AY$119,0)),$AH$352))</f>
        <v/>
      </c>
      <c r="AM352" s="483" t="str">
        <f t="shared" si="91"/>
        <v/>
      </c>
      <c r="AN352" s="484" t="str">
        <f t="shared" si="92"/>
        <v/>
      </c>
      <c r="AO352" s="473" t="str">
        <f t="shared" si="93"/>
        <v/>
      </c>
      <c r="AP352" s="473" t="str">
        <f t="shared" si="94"/>
        <v/>
      </c>
      <c r="AQ352" s="473" t="str">
        <f t="shared" si="95"/>
        <v/>
      </c>
      <c r="AR352" s="473" t="str">
        <f t="shared" si="96"/>
        <v/>
      </c>
      <c r="AS352" s="473" t="str">
        <f t="shared" si="97"/>
        <v/>
      </c>
      <c r="AT352" s="473" t="str">
        <f t="shared" si="98"/>
        <v/>
      </c>
      <c r="AU352" s="473" t="str">
        <f t="shared" si="99"/>
        <v/>
      </c>
      <c r="AY352" s="271"/>
      <c r="AZ352" s="27" t="s">
        <v>8</v>
      </c>
      <c r="BA352" s="34" t="s">
        <v>497</v>
      </c>
      <c r="BB352" s="499"/>
      <c r="BC352" s="271"/>
      <c r="BD352" s="279">
        <v>1</v>
      </c>
      <c r="BE352" s="271"/>
      <c r="BF352" s="271"/>
      <c r="BG352" s="271"/>
      <c r="BH352" s="271"/>
      <c r="BI352" s="271"/>
      <c r="BJ352" s="271"/>
      <c r="BK352" s="271"/>
      <c r="BL352" s="271"/>
    </row>
    <row r="353" spans="18:64" ht="21" customHeight="1" x14ac:dyDescent="0.25">
      <c r="R353" s="34" t="s">
        <v>477</v>
      </c>
      <c r="S353" s="451"/>
      <c r="T353" s="497" t="s">
        <v>462</v>
      </c>
      <c r="V353" s="475">
        <v>8</v>
      </c>
      <c r="W353" s="475" t="str">
        <f>IF($AC$353="","",$W$324)</f>
        <v/>
      </c>
      <c r="X353" s="476" t="str">
        <f>IF($AC$353="","",$X$324)</f>
        <v/>
      </c>
      <c r="Y353" s="477" t="str">
        <f>IF($X$353="","",$Y$324)</f>
        <v/>
      </c>
      <c r="Z353" s="477" t="str">
        <f>IF($X$353="","",$Z$324)</f>
        <v/>
      </c>
      <c r="AA353" s="477" t="str">
        <f>IF($AC$353="","",ROW($A$353)-ROW($A$324))</f>
        <v/>
      </c>
      <c r="AB353" s="478"/>
      <c r="AC353" s="34"/>
      <c r="AD353" s="356"/>
      <c r="AE353" s="479"/>
      <c r="AF353" s="475"/>
      <c r="AG353" s="480" t="str">
        <f t="shared" si="88"/>
        <v/>
      </c>
      <c r="AH353" s="481" t="str">
        <f t="shared" si="89"/>
        <v/>
      </c>
      <c r="AI353" s="477" t="str">
        <f>IF($AC$353="","",IFERROR(INDEX($AZ$74:$AZ$119,MATCH($AH$353,$AY$74:$AY$119,0)),"AUTRE"))</f>
        <v/>
      </c>
      <c r="AJ353" s="482" t="str">
        <f>IF($AC$353="","",IFERROR(INDEX($BA$74:$BA$119,MATCH($AH$353,$AY$74:$AY$119,0)),1))</f>
        <v/>
      </c>
      <c r="AK353" s="482" t="str">
        <f t="shared" si="90"/>
        <v/>
      </c>
      <c r="AL353" s="477" t="str">
        <f>IF($AC$353="","",IFERROR(INDEX($BB$74:$BB$119,MATCH($AH$353,$AY$74:$AY$119,0)),$AH$353))</f>
        <v/>
      </c>
      <c r="AM353" s="483" t="str">
        <f t="shared" si="91"/>
        <v/>
      </c>
      <c r="AN353" s="484" t="str">
        <f t="shared" si="92"/>
        <v/>
      </c>
      <c r="AO353" s="473" t="str">
        <f t="shared" si="93"/>
        <v/>
      </c>
      <c r="AP353" s="473" t="str">
        <f t="shared" si="94"/>
        <v/>
      </c>
      <c r="AQ353" s="473" t="str">
        <f t="shared" si="95"/>
        <v/>
      </c>
      <c r="AR353" s="473" t="str">
        <f t="shared" si="96"/>
        <v/>
      </c>
      <c r="AS353" s="473" t="str">
        <f t="shared" si="97"/>
        <v/>
      </c>
      <c r="AT353" s="473" t="str">
        <f t="shared" si="98"/>
        <v/>
      </c>
      <c r="AU353" s="473" t="str">
        <f t="shared" si="99"/>
        <v/>
      </c>
      <c r="AY353" s="497" t="s">
        <v>8145</v>
      </c>
      <c r="AZ353" s="28" t="s">
        <v>13</v>
      </c>
      <c r="BA353" s="34" t="s">
        <v>470</v>
      </c>
      <c r="BB353" s="499"/>
      <c r="BC353" s="271"/>
      <c r="BD353" s="279">
        <v>1</v>
      </c>
      <c r="BE353" s="271"/>
      <c r="BF353" s="271"/>
      <c r="BG353" s="271"/>
      <c r="BH353" s="271"/>
      <c r="BI353" s="271"/>
      <c r="BJ353" s="271"/>
      <c r="BK353" s="271"/>
      <c r="BL353" s="271"/>
    </row>
    <row r="354" spans="18:64" ht="21" customHeight="1" x14ac:dyDescent="0.25">
      <c r="S354" s="451"/>
      <c r="T354" s="497" t="s">
        <v>463</v>
      </c>
      <c r="V354" s="475">
        <v>8</v>
      </c>
      <c r="W354" s="475" t="str">
        <f>IF($AC$354="","",$W$324)</f>
        <v/>
      </c>
      <c r="X354" s="476" t="str">
        <f>IF($AC$354="","",$X$324)</f>
        <v/>
      </c>
      <c r="Y354" s="477" t="str">
        <f>IF($X$354="","",$Y$324)</f>
        <v/>
      </c>
      <c r="Z354" s="477" t="str">
        <f>IF($X$354="","",$Z$324)</f>
        <v/>
      </c>
      <c r="AA354" s="477" t="str">
        <f>IF($AC$354="","",ROW($A$354)-ROW($A$324))</f>
        <v/>
      </c>
      <c r="AB354" s="478"/>
      <c r="AC354" s="34"/>
      <c r="AD354" s="356"/>
      <c r="AE354" s="479"/>
      <c r="AF354" s="475"/>
      <c r="AG354" s="480" t="str">
        <f t="shared" si="88"/>
        <v/>
      </c>
      <c r="AH354" s="481" t="str">
        <f t="shared" si="89"/>
        <v/>
      </c>
      <c r="AI354" s="477" t="str">
        <f>IF($AC$354="","",IFERROR(INDEX($AZ$74:$AZ$119,MATCH($AH$354,$AY$74:$AY$119,0)),"AUTRE"))</f>
        <v/>
      </c>
      <c r="AJ354" s="482" t="str">
        <f>IF($AC$354="","",IFERROR(INDEX($BA$74:$BA$119,MATCH($AH$354,$AY$74:$AY$119,0)),1))</f>
        <v/>
      </c>
      <c r="AK354" s="482" t="str">
        <f t="shared" si="90"/>
        <v/>
      </c>
      <c r="AL354" s="477" t="str">
        <f>IF($AC$354="","",IFERROR(INDEX($BB$74:$BB$119,MATCH($AH$354,$AY$74:$AY$119,0)),$AH$354))</f>
        <v/>
      </c>
      <c r="AM354" s="483" t="str">
        <f t="shared" si="91"/>
        <v/>
      </c>
      <c r="AN354" s="484" t="str">
        <f t="shared" si="92"/>
        <v/>
      </c>
      <c r="AO354" s="473" t="str">
        <f t="shared" si="93"/>
        <v/>
      </c>
      <c r="AP354" s="473" t="str">
        <f t="shared" si="94"/>
        <v/>
      </c>
      <c r="AQ354" s="473" t="str">
        <f t="shared" si="95"/>
        <v/>
      </c>
      <c r="AR354" s="473" t="str">
        <f t="shared" si="96"/>
        <v/>
      </c>
      <c r="AS354" s="473" t="str">
        <f t="shared" si="97"/>
        <v/>
      </c>
      <c r="AT354" s="473" t="str">
        <f t="shared" si="98"/>
        <v/>
      </c>
      <c r="AU354" s="473" t="str">
        <f t="shared" si="99"/>
        <v/>
      </c>
      <c r="AY354" s="497" t="s">
        <v>462</v>
      </c>
      <c r="AZ354" s="28" t="s">
        <v>14</v>
      </c>
      <c r="BA354" s="34" t="s">
        <v>477</v>
      </c>
      <c r="BB354" s="499"/>
      <c r="BC354" s="271"/>
      <c r="BD354" s="279">
        <v>1</v>
      </c>
      <c r="BE354" s="271"/>
      <c r="BF354" s="271"/>
      <c r="BG354" s="271"/>
      <c r="BH354" s="271"/>
      <c r="BI354" s="271"/>
      <c r="BJ354" s="271"/>
      <c r="BK354" s="271"/>
      <c r="BL354" s="271"/>
    </row>
    <row r="355" spans="18:64" ht="21" customHeight="1" x14ac:dyDescent="0.25">
      <c r="R355" s="25" t="s">
        <v>6134</v>
      </c>
      <c r="S355" s="451"/>
      <c r="T355" s="497" t="s">
        <v>8147</v>
      </c>
      <c r="V355" s="475">
        <v>8</v>
      </c>
      <c r="W355" s="475" t="str">
        <f>IF($AC$355="","",$W$324)</f>
        <v/>
      </c>
      <c r="X355" s="476" t="str">
        <f>IF($AC$355="","",$X$324)</f>
        <v/>
      </c>
      <c r="Y355" s="477" t="str">
        <f>IF($X$355="","",$Y$324)</f>
        <v/>
      </c>
      <c r="Z355" s="477" t="str">
        <f>IF($X$355="","",$Z$324)</f>
        <v/>
      </c>
      <c r="AA355" s="477" t="str">
        <f>IF($AC$355="","",ROW($A$355)-ROW($A$324))</f>
        <v/>
      </c>
      <c r="AB355" s="478"/>
      <c r="AC355" s="34"/>
      <c r="AD355" s="356"/>
      <c r="AE355" s="479"/>
      <c r="AF355" s="475"/>
      <c r="AG355" s="480" t="str">
        <f t="shared" si="88"/>
        <v/>
      </c>
      <c r="AH355" s="481" t="str">
        <f t="shared" si="89"/>
        <v/>
      </c>
      <c r="AI355" s="477" t="str">
        <f>IF($AC$355="","",IFERROR(INDEX($AZ$74:$AZ$119,MATCH($AH$355,$AY$74:$AY$119,0)),"AUTRE"))</f>
        <v/>
      </c>
      <c r="AJ355" s="482" t="str">
        <f>IF($AC$355="","",IFERROR(INDEX($BA$74:$BA$119,MATCH($AH$355,$AY$74:$AY$119,0)),1))</f>
        <v/>
      </c>
      <c r="AK355" s="482" t="str">
        <f t="shared" si="90"/>
        <v/>
      </c>
      <c r="AL355" s="477" t="str">
        <f>IF($AC$355="","",IFERROR(INDEX($BB$74:$BB$119,MATCH($AH$355,$AY$74:$AY$119,0)),$AH$355))</f>
        <v/>
      </c>
      <c r="AM355" s="483" t="str">
        <f t="shared" si="91"/>
        <v/>
      </c>
      <c r="AN355" s="484" t="str">
        <f t="shared" si="92"/>
        <v/>
      </c>
      <c r="AO355" s="473" t="str">
        <f t="shared" si="93"/>
        <v/>
      </c>
      <c r="AP355" s="473" t="str">
        <f t="shared" si="94"/>
        <v/>
      </c>
      <c r="AQ355" s="473" t="str">
        <f t="shared" si="95"/>
        <v/>
      </c>
      <c r="AR355" s="473" t="str">
        <f t="shared" si="96"/>
        <v/>
      </c>
      <c r="AS355" s="473" t="str">
        <f t="shared" si="97"/>
        <v/>
      </c>
      <c r="AT355" s="473" t="str">
        <f t="shared" si="98"/>
        <v/>
      </c>
      <c r="AU355" s="473" t="str">
        <f t="shared" si="99"/>
        <v/>
      </c>
      <c r="AY355" s="497" t="s">
        <v>463</v>
      </c>
      <c r="AZ355" s="28" t="s">
        <v>15</v>
      </c>
      <c r="BB355" s="499"/>
      <c r="BC355" s="271"/>
      <c r="BD355" s="279">
        <v>1</v>
      </c>
      <c r="BE355" s="271"/>
      <c r="BF355" s="271"/>
      <c r="BG355" s="271"/>
      <c r="BH355" s="271"/>
      <c r="BI355" s="271"/>
      <c r="BJ355" s="271"/>
      <c r="BK355" s="271"/>
      <c r="BL355" s="271"/>
    </row>
    <row r="356" spans="18:64" ht="21" customHeight="1" x14ac:dyDescent="0.25">
      <c r="R356" s="34" t="s">
        <v>481</v>
      </c>
      <c r="S356" s="451"/>
      <c r="T356" s="497" t="s">
        <v>465</v>
      </c>
      <c r="V356" s="475">
        <v>8</v>
      </c>
      <c r="W356" s="475" t="str">
        <f>IF($AC$356="","",$W$324)</f>
        <v/>
      </c>
      <c r="X356" s="476" t="str">
        <f>IF($AC$356="","",$X$324)</f>
        <v/>
      </c>
      <c r="Y356" s="477" t="str">
        <f>IF($X$356="","",$Y$324)</f>
        <v/>
      </c>
      <c r="Z356" s="477" t="str">
        <f>IF($X$356="","",$Z$324)</f>
        <v/>
      </c>
      <c r="AA356" s="477" t="str">
        <f>IF($AC$356="","",ROW($A$356)-ROW($A$324))</f>
        <v/>
      </c>
      <c r="AB356" s="478"/>
      <c r="AC356" s="34"/>
      <c r="AD356" s="356"/>
      <c r="AE356" s="479"/>
      <c r="AF356" s="475"/>
      <c r="AG356" s="480" t="str">
        <f t="shared" si="88"/>
        <v/>
      </c>
      <c r="AH356" s="481" t="str">
        <f t="shared" si="89"/>
        <v/>
      </c>
      <c r="AI356" s="477" t="str">
        <f>IF($AC$356="","",IFERROR(INDEX($AZ$74:$AZ$119,MATCH($AH$356,$AY$74:$AY$119,0)),"AUTRE"))</f>
        <v/>
      </c>
      <c r="AJ356" s="482" t="str">
        <f>IF($AC$356="","",IFERROR(INDEX($BA$74:$BA$119,MATCH($AH$356,$AY$74:$AY$119,0)),1))</f>
        <v/>
      </c>
      <c r="AK356" s="482" t="str">
        <f t="shared" si="90"/>
        <v/>
      </c>
      <c r="AL356" s="477" t="str">
        <f>IF($AC$356="","",IFERROR(INDEX($BB$74:$BB$119,MATCH($AH$356,$AY$74:$AY$119,0)),$AH$356))</f>
        <v/>
      </c>
      <c r="AM356" s="483" t="str">
        <f t="shared" si="91"/>
        <v/>
      </c>
      <c r="AN356" s="484" t="str">
        <f t="shared" si="92"/>
        <v/>
      </c>
      <c r="AO356" s="473" t="str">
        <f t="shared" si="93"/>
        <v/>
      </c>
      <c r="AP356" s="473" t="str">
        <f t="shared" si="94"/>
        <v/>
      </c>
      <c r="AQ356" s="473" t="str">
        <f t="shared" si="95"/>
        <v/>
      </c>
      <c r="AR356" s="473" t="str">
        <f t="shared" si="96"/>
        <v/>
      </c>
      <c r="AS356" s="473" t="str">
        <f t="shared" si="97"/>
        <v/>
      </c>
      <c r="AT356" s="473" t="str">
        <f t="shared" si="98"/>
        <v/>
      </c>
      <c r="AU356" s="473" t="str">
        <f t="shared" si="99"/>
        <v/>
      </c>
      <c r="AY356" s="497" t="s">
        <v>8147</v>
      </c>
      <c r="AZ356" s="29" t="s">
        <v>9</v>
      </c>
      <c r="BA356" s="25" t="s">
        <v>6134</v>
      </c>
      <c r="BB356" s="499"/>
      <c r="BC356" s="271"/>
      <c r="BD356" s="279">
        <v>1</v>
      </c>
      <c r="BE356" s="271"/>
      <c r="BF356" s="271"/>
      <c r="BG356" s="271"/>
      <c r="BH356" s="271"/>
      <c r="BI356" s="271"/>
      <c r="BJ356" s="271"/>
      <c r="BK356" s="271"/>
      <c r="BL356" s="271"/>
    </row>
    <row r="357" spans="18:64" ht="21" customHeight="1" x14ac:dyDescent="0.25">
      <c r="R357" s="34" t="s">
        <v>475</v>
      </c>
      <c r="S357" s="451"/>
      <c r="T357" s="497" t="s">
        <v>466</v>
      </c>
      <c r="V357" s="475">
        <v>8</v>
      </c>
      <c r="W357" s="475" t="str">
        <f>IF($AC$357="","",$W$324)</f>
        <v/>
      </c>
      <c r="X357" s="476" t="str">
        <f>IF($AC$357="","",$X$324)</f>
        <v/>
      </c>
      <c r="Y357" s="477" t="str">
        <f>IF($X$357="","",$Y$324)</f>
        <v/>
      </c>
      <c r="Z357" s="477" t="str">
        <f>IF($X$357="","",$Z$324)</f>
        <v/>
      </c>
      <c r="AA357" s="477" t="str">
        <f>IF($AC$357="","",ROW($A$357)-ROW($A$324))</f>
        <v/>
      </c>
      <c r="AB357" s="478"/>
      <c r="AC357" s="34"/>
      <c r="AD357" s="356"/>
      <c r="AE357" s="479"/>
      <c r="AF357" s="475"/>
      <c r="AG357" s="480" t="str">
        <f t="shared" si="88"/>
        <v/>
      </c>
      <c r="AH357" s="481" t="str">
        <f t="shared" si="89"/>
        <v/>
      </c>
      <c r="AI357" s="477" t="str">
        <f>IF($AC$357="","",IFERROR(INDEX($AZ$74:$AZ$119,MATCH($AH$357,$AY$74:$AY$119,0)),"AUTRE"))</f>
        <v/>
      </c>
      <c r="AJ357" s="482" t="str">
        <f>IF($AC$357="","",IFERROR(INDEX($BA$74:$BA$119,MATCH($AH$357,$AY$74:$AY$119,0)),1))</f>
        <v/>
      </c>
      <c r="AK357" s="482" t="str">
        <f t="shared" si="90"/>
        <v/>
      </c>
      <c r="AL357" s="477" t="str">
        <f>IF($AC$357="","",IFERROR(INDEX($BB$74:$BB$119,MATCH($AH$357,$AY$74:$AY$119,0)),$AH$357))</f>
        <v/>
      </c>
      <c r="AM357" s="483" t="str">
        <f t="shared" si="91"/>
        <v/>
      </c>
      <c r="AN357" s="484" t="str">
        <f t="shared" si="92"/>
        <v/>
      </c>
      <c r="AO357" s="473" t="str">
        <f t="shared" si="93"/>
        <v/>
      </c>
      <c r="AP357" s="473" t="str">
        <f t="shared" si="94"/>
        <v/>
      </c>
      <c r="AQ357" s="473" t="str">
        <f t="shared" si="95"/>
        <v/>
      </c>
      <c r="AR357" s="473" t="str">
        <f t="shared" si="96"/>
        <v/>
      </c>
      <c r="AS357" s="473" t="str">
        <f t="shared" si="97"/>
        <v/>
      </c>
      <c r="AT357" s="473" t="str">
        <f t="shared" si="98"/>
        <v/>
      </c>
      <c r="AU357" s="473" t="str">
        <f t="shared" si="99"/>
        <v/>
      </c>
      <c r="AY357" s="497" t="s">
        <v>465</v>
      </c>
      <c r="AZ357" s="30" t="s">
        <v>10</v>
      </c>
      <c r="BA357" s="34" t="s">
        <v>481</v>
      </c>
      <c r="BB357" s="499"/>
      <c r="BC357" s="271"/>
      <c r="BD357" s="279">
        <v>1</v>
      </c>
      <c r="BE357" s="271"/>
      <c r="BF357" s="271"/>
      <c r="BG357" s="271"/>
      <c r="BH357" s="271"/>
      <c r="BI357" s="271"/>
      <c r="BJ357" s="271"/>
      <c r="BK357" s="271"/>
      <c r="BL357" s="271"/>
    </row>
    <row r="358" spans="18:64" ht="21" customHeight="1" x14ac:dyDescent="0.25">
      <c r="R358" s="34" t="s">
        <v>457</v>
      </c>
      <c r="S358" s="451"/>
      <c r="T358" s="440" t="s">
        <v>8110</v>
      </c>
      <c r="V358" s="475">
        <v>8</v>
      </c>
      <c r="W358" s="475" t="str">
        <f>IF($AC$358="","",$W$324)</f>
        <v/>
      </c>
      <c r="X358" s="476" t="str">
        <f>IF($AC$358="","",$X$324)</f>
        <v/>
      </c>
      <c r="Y358" s="477" t="str">
        <f>IF($X$358="","",$Y$324)</f>
        <v/>
      </c>
      <c r="Z358" s="477" t="str">
        <f>IF($X$358="","",$Z$324)</f>
        <v/>
      </c>
      <c r="AA358" s="477" t="str">
        <f>IF($AC$358="","",ROW($A$358)-ROW($A$324))</f>
        <v/>
      </c>
      <c r="AB358" s="478"/>
      <c r="AC358" s="34"/>
      <c r="AD358" s="356"/>
      <c r="AE358" s="479"/>
      <c r="AF358" s="475"/>
      <c r="AG358" s="491" t="str">
        <f t="shared" si="88"/>
        <v/>
      </c>
      <c r="AH358" s="481" t="str">
        <f t="shared" si="89"/>
        <v/>
      </c>
      <c r="AI358" s="477" t="str">
        <f>IF($AC$358="","",IFERROR(INDEX($AZ$74:$AZ$119,MATCH($AH$358,$AY$74:$AY$119,0)),"AUTRE"))</f>
        <v/>
      </c>
      <c r="AJ358" s="482" t="str">
        <f>IF($AC$358="","",IFERROR(INDEX($BA$74:$BA$119,MATCH($AH$358,$AY$74:$AY$119,0)),1))</f>
        <v/>
      </c>
      <c r="AK358" s="482" t="str">
        <f t="shared" si="90"/>
        <v/>
      </c>
      <c r="AL358" s="477" t="str">
        <f>IF($AC$358="","",IFERROR(INDEX($BB$74:$BB$119,MATCH($AH$358,$AY$74:$AY$119,0)),$AH$358))</f>
        <v/>
      </c>
      <c r="AM358" s="483" t="str">
        <f t="shared" si="91"/>
        <v/>
      </c>
      <c r="AN358" s="484" t="str">
        <f t="shared" si="92"/>
        <v/>
      </c>
      <c r="AO358" s="473" t="str">
        <f t="shared" si="93"/>
        <v/>
      </c>
      <c r="AP358" s="473" t="str">
        <f t="shared" si="94"/>
        <v/>
      </c>
      <c r="AQ358" s="473" t="str">
        <f t="shared" si="95"/>
        <v/>
      </c>
      <c r="AR358" s="473" t="str">
        <f t="shared" si="96"/>
        <v/>
      </c>
      <c r="AS358" s="473" t="str">
        <f t="shared" si="97"/>
        <v/>
      </c>
      <c r="AT358" s="473" t="str">
        <f t="shared" si="98"/>
        <v/>
      </c>
      <c r="AU358" s="473" t="str">
        <f t="shared" si="99"/>
        <v/>
      </c>
      <c r="AY358" s="497" t="s">
        <v>466</v>
      </c>
      <c r="AZ358" s="30" t="s">
        <v>11</v>
      </c>
      <c r="BA358" s="34" t="s">
        <v>475</v>
      </c>
      <c r="BB358" s="499"/>
      <c r="BC358" s="271"/>
      <c r="BD358" s="279">
        <v>1</v>
      </c>
      <c r="BE358" s="271"/>
      <c r="BF358" s="271"/>
      <c r="BG358" s="271"/>
      <c r="BH358" s="271"/>
      <c r="BI358" s="271"/>
      <c r="BJ358" s="271"/>
      <c r="BK358" s="271"/>
      <c r="BL358" s="271"/>
    </row>
    <row r="359" spans="18:64" ht="30" customHeight="1" x14ac:dyDescent="0.25">
      <c r="R359" s="34" t="s">
        <v>482</v>
      </c>
      <c r="S359" s="451"/>
      <c r="T359" s="452" t="s">
        <v>8113</v>
      </c>
      <c r="V359" s="453" t="s">
        <v>324</v>
      </c>
      <c r="W359" s="453" t="s">
        <v>7912</v>
      </c>
      <c r="X359" s="453" t="s">
        <v>326</v>
      </c>
      <c r="Y359" s="453" t="s">
        <v>327</v>
      </c>
      <c r="Z359" s="454" t="s">
        <v>7930</v>
      </c>
      <c r="AA359" s="453" t="s">
        <v>7937</v>
      </c>
      <c r="AB359" s="455" t="s">
        <v>39</v>
      </c>
      <c r="AC359" s="455" t="s">
        <v>338</v>
      </c>
      <c r="AD359" s="455" t="s">
        <v>8114</v>
      </c>
      <c r="AE359" s="455" t="s">
        <v>339</v>
      </c>
      <c r="AF359" s="455" t="s">
        <v>7997</v>
      </c>
      <c r="AG359" s="453" t="s">
        <v>8018</v>
      </c>
      <c r="AH359" s="453" t="s">
        <v>8023</v>
      </c>
      <c r="AI359" s="453" t="s">
        <v>330</v>
      </c>
      <c r="AJ359" s="453" t="s">
        <v>8031</v>
      </c>
      <c r="AK359" s="453" t="s">
        <v>8037</v>
      </c>
      <c r="AL359" s="453" t="s">
        <v>8041</v>
      </c>
      <c r="AM359" s="453" t="s">
        <v>343</v>
      </c>
      <c r="AN359" s="457" t="s">
        <v>8115</v>
      </c>
      <c r="AO359" s="457" t="s">
        <v>8116</v>
      </c>
      <c r="AP359" s="656" t="s">
        <v>8117</v>
      </c>
      <c r="AQ359" s="656"/>
      <c r="AR359" s="656"/>
      <c r="AS359" s="656"/>
      <c r="AT359" s="656"/>
      <c r="AU359" s="657"/>
      <c r="AZ359" s="30" t="s">
        <v>12</v>
      </c>
      <c r="BA359" s="34" t="s">
        <v>457</v>
      </c>
      <c r="BB359" s="499"/>
      <c r="BC359" s="271"/>
      <c r="BD359" s="279">
        <v>1</v>
      </c>
      <c r="BE359" s="271"/>
      <c r="BF359" s="271"/>
      <c r="BG359" s="271"/>
      <c r="BH359" s="271"/>
      <c r="BI359" s="271"/>
      <c r="BJ359" s="271"/>
      <c r="BK359" s="271"/>
      <c r="BL359" s="271"/>
    </row>
    <row r="360" spans="18:64" ht="30" customHeight="1" x14ac:dyDescent="0.25">
      <c r="R360" s="34" t="s">
        <v>496</v>
      </c>
      <c r="S360" s="451"/>
      <c r="T360" s="14" t="s">
        <v>7</v>
      </c>
      <c r="V360" s="459">
        <v>9</v>
      </c>
      <c r="W360" s="460" t="s">
        <v>8159</v>
      </c>
      <c r="X360" s="461" t="s">
        <v>8162</v>
      </c>
      <c r="Y360" s="462"/>
      <c r="Z360" s="463">
        <v>100</v>
      </c>
      <c r="AA360" s="464">
        <f>IF($AC$396="","",ROW($A$396)-ROW($A$396))</f>
        <v>0</v>
      </c>
      <c r="AB360" s="461"/>
      <c r="AC360" s="465" t="s">
        <v>8163</v>
      </c>
      <c r="AD360" s="390"/>
      <c r="AE360" s="390"/>
      <c r="AF360" s="466"/>
      <c r="AG360" s="467" t="str">
        <f t="shared" ref="AG360:AG394" si="100">IF($AC360="","",IF(LEN($AN360&amp;"")=0,"",$AN360))</f>
        <v/>
      </c>
      <c r="AH360" s="468" t="str">
        <f t="shared" ref="AH360:AH394" si="101">IF($AC360="","",IF($AF360&lt;&gt;"",UPPER(TRIM(SUBSTITUTE(SUBSTITUTE($AF360&amp;"",CHAR(160)," ")," "," "))),$AP360))</f>
        <v/>
      </c>
      <c r="AI360" s="469" t="str">
        <f>IF($AC$360="","",IFERROR(INDEX($AZ$74:$AZ$119,MATCH($AH$360,$AY$74:$AY$119,0)),"AUTRE"))</f>
        <v>AUTRE</v>
      </c>
      <c r="AJ360" s="470">
        <f>IF($AC$360="","",IFERROR(INDEX($BA$74:$BA$119,MATCH($AH$360,$AY$74:$AY$119,0)),1))</f>
        <v>1</v>
      </c>
      <c r="AK360" s="470" t="str">
        <f t="shared" ref="AK360:AK394" si="102">IF(OR(AG360="",AJ360=""),"",AG360*AJ360)</f>
        <v/>
      </c>
      <c r="AL360" s="469" t="str">
        <f>IF($AC$360="","",IFERROR(INDEX($BB$74:$BB$119,MATCH($AH$360,$AY$74:$AY$119,0)),$AH$360))</f>
        <v/>
      </c>
      <c r="AM360" s="471" t="str">
        <f t="shared" ref="AM360:AM394" si="103">IF($AC360="","",IF($AH360="QT. SUFFISANTE","OK",IF($AG360="","TEXTE",IF(NOT(ISNUMBER($AG360)),"QUANTITÉ À CONTRÔLER",IF(COUNTIF($AY$74:$AY$119,$AH360)=0,"UNITÉ À CONTRÔLER","OK")))))</f>
        <v>TEXTE</v>
      </c>
      <c r="AN360" s="474" t="str">
        <f t="shared" ref="AN360:AN394" si="104">IF($AE360&lt;&gt;"",$AE360,IF($AD360="","",IF(ISNUMBER($AD360),$AD360,IF($AO360="QT",0,IF($AO360="","",IFERROR(IF(ISNUMBER(SEARCH("/",$AO360)),VALUE(TRIM(LEFT($AO360,SEARCH("/",$AO360)-1)))/VALUE(TRIM(MID($AO360,SEARCH("/",$AO360)+1,99))),VALUE(SUBSTITUTE($AO360,".",","))),""))))))</f>
        <v/>
      </c>
      <c r="AO360" s="473" t="str">
        <f t="shared" ref="AO360:AO394" si="105">IF($AD360="","",IF(ISNUMBER($AD360),$AD360,IF(OR(LEFT($AQ360,3)="QT.",LEFT($AQ360,4)="QUAN"),"QT",IF($AR360=999,$AQ360,TRIM(LEFT($AQ360,$AR360-1))))))</f>
        <v/>
      </c>
      <c r="AP360" s="473" t="str">
        <f t="shared" ref="AP360:AP394" si="106">IF($AD360="","",IF(ISNUMBER($AD360),"",IF(OR(LEFT($AQ360,3)="QT.",LEFT($AQ360,4)="QUAN"),"QT. SUFFISANTE",IF($AO360="","",TRIM(MID($AQ360,LEN($AO360&amp;"")+1,999))))))</f>
        <v/>
      </c>
      <c r="AQ360" s="473" t="str">
        <f t="shared" ref="AQ360:AQ394" si="107">IF($AD360="","",UPPER(TRIM(SUBSTITUTE(SUBSTITUTE($AD360&amp;"",CHAR(160)," ")," "," "))))</f>
        <v/>
      </c>
      <c r="AR360" s="473" t="str">
        <f t="shared" ref="AR360:AR394" si="108">IF($AQ360="","",MIN($AS360,$AT360,$AU360))</f>
        <v/>
      </c>
      <c r="AS360" s="473" t="str">
        <f t="shared" ref="AS360:AS394" si="109">IF($AQ360="","",MIN(IFERROR(SEARCH("A",$AQ360),999),IFERROR(SEARCH("B",$AQ360),999),IFERROR(SEARCH("C",$AQ360),999),IFERROR(SEARCH("D",$AQ360),999),IFERROR(SEARCH("E",$AQ360),999),IFERROR(SEARCH("F",$AQ360),999),IFERROR(SEARCH("G",$AQ360),999),IFERROR(SEARCH("H",$AQ360),999),IFERROR(SEARCH("I",$AQ360),999)))</f>
        <v/>
      </c>
      <c r="AT360" s="473" t="str">
        <f t="shared" ref="AT360:AT394" si="110">IF($AQ360="","",MIN(IFERROR(SEARCH("J",$AQ360),999),IFERROR(SEARCH("K",$AQ360),999),IFERROR(SEARCH("L",$AQ360),999),IFERROR(SEARCH("M",$AQ360),999),IFERROR(SEARCH("N",$AQ360),999),IFERROR(SEARCH("O",$AQ360),999),IFERROR(SEARCH("P",$AQ360),999),IFERROR(SEARCH("Q",$AQ360),999),IFERROR(SEARCH("R",$AQ360),999)))</f>
        <v/>
      </c>
      <c r="AU360" s="473" t="str">
        <f t="shared" ref="AU360:AU394" si="111">IF($AQ360="","",MIN(IFERROR(SEARCH("S",$AQ360),999),IFERROR(SEARCH("T",$AQ360),999),IFERROR(SEARCH("U",$AQ360),999),IFERROR(SEARCH("V",$AQ360),999),IFERROR(SEARCH("W",$AQ360),999),IFERROR(SEARCH("X",$AQ360),999),IFERROR(SEARCH("Y",$AQ360),999),IFERROR(SEARCH("Z",$AQ360),999)))</f>
        <v/>
      </c>
      <c r="AZ360" s="31" t="s">
        <v>16</v>
      </c>
      <c r="BA360" s="34" t="s">
        <v>482</v>
      </c>
      <c r="BB360" s="499"/>
      <c r="BC360" s="271"/>
      <c r="BD360" s="279">
        <v>1</v>
      </c>
      <c r="BE360" s="271"/>
      <c r="BF360" s="271"/>
      <c r="BG360" s="271"/>
      <c r="BH360" s="271"/>
      <c r="BI360" s="271"/>
      <c r="BJ360" s="271"/>
      <c r="BK360" s="271"/>
      <c r="BL360" s="271"/>
    </row>
    <row r="361" spans="18:64" ht="21" customHeight="1" x14ac:dyDescent="0.25">
      <c r="R361" s="34" t="s">
        <v>483</v>
      </c>
      <c r="S361" s="451"/>
      <c r="T361" s="27" t="s">
        <v>8</v>
      </c>
      <c r="V361" s="475">
        <f>$V$360</f>
        <v>9</v>
      </c>
      <c r="W361" s="475" t="str">
        <f>IF($AC$361="","",$W$360)</f>
        <v/>
      </c>
      <c r="X361" s="476" t="str">
        <f>IF($AC$361="","",$X$360)</f>
        <v/>
      </c>
      <c r="Y361" s="477" t="str">
        <f>IF($X$361="","",$Y$360)</f>
        <v/>
      </c>
      <c r="Z361" s="477" t="str">
        <f>IF($X$361="","",$Z$360)</f>
        <v/>
      </c>
      <c r="AA361" s="477" t="str">
        <f>IF($AC$361="","",ROW($A$361)-ROW($A$360))</f>
        <v/>
      </c>
      <c r="AB361" s="478"/>
      <c r="AC361" s="34"/>
      <c r="AD361" s="356"/>
      <c r="AE361" s="479"/>
      <c r="AF361" s="475"/>
      <c r="AG361" s="480" t="str">
        <f t="shared" si="100"/>
        <v/>
      </c>
      <c r="AH361" s="481" t="str">
        <f t="shared" si="101"/>
        <v/>
      </c>
      <c r="AI361" s="477" t="str">
        <f>IF($AC$361="","",IFERROR(INDEX($AZ$74:$AZ$119,MATCH($AH$361,$AY$74:$AY$119,0)),"AUTRE"))</f>
        <v/>
      </c>
      <c r="AJ361" s="482" t="str">
        <f>IF($AC$361="","",IFERROR(INDEX($BA$74:$BA$119,MATCH($AH$361,$AY$74:$AY$119,0)),1))</f>
        <v/>
      </c>
      <c r="AK361" s="482" t="str">
        <f t="shared" si="102"/>
        <v/>
      </c>
      <c r="AL361" s="477" t="str">
        <f>IF($AC$361="","",IFERROR(INDEX($BB$74:$BB$119,MATCH($AH$361,$AY$74:$AY$119,0)),$AH$361))</f>
        <v/>
      </c>
      <c r="AM361" s="483" t="str">
        <f t="shared" si="103"/>
        <v/>
      </c>
      <c r="AN361" s="484" t="str">
        <f t="shared" si="104"/>
        <v/>
      </c>
      <c r="AO361" s="473" t="str">
        <f t="shared" si="105"/>
        <v/>
      </c>
      <c r="AP361" s="473" t="str">
        <f t="shared" si="106"/>
        <v/>
      </c>
      <c r="AQ361" s="473" t="str">
        <f t="shared" si="107"/>
        <v/>
      </c>
      <c r="AR361" s="473" t="str">
        <f t="shared" si="108"/>
        <v/>
      </c>
      <c r="AS361" s="473" t="str">
        <f t="shared" si="109"/>
        <v/>
      </c>
      <c r="AT361" s="473" t="str">
        <f t="shared" si="110"/>
        <v/>
      </c>
      <c r="AU361" s="473" t="str">
        <f t="shared" si="111"/>
        <v/>
      </c>
      <c r="AZ361" s="31" t="s">
        <v>17</v>
      </c>
      <c r="BA361" s="34" t="s">
        <v>496</v>
      </c>
      <c r="BB361" s="499"/>
      <c r="BC361" s="271"/>
      <c r="BD361" s="279">
        <v>1</v>
      </c>
      <c r="BE361" s="271"/>
      <c r="BF361" s="271"/>
      <c r="BG361" s="271"/>
      <c r="BH361" s="271"/>
      <c r="BI361" s="271"/>
      <c r="BJ361" s="271"/>
      <c r="BK361" s="271"/>
      <c r="BL361" s="271"/>
    </row>
    <row r="362" spans="18:64" ht="21" customHeight="1" x14ac:dyDescent="0.25">
      <c r="R362" s="34" t="s">
        <v>493</v>
      </c>
      <c r="S362" s="451"/>
      <c r="T362" s="28" t="s">
        <v>13</v>
      </c>
      <c r="V362" s="475">
        <v>9</v>
      </c>
      <c r="W362" s="475" t="str">
        <f>IF($AC$362="","",$W$360)</f>
        <v/>
      </c>
      <c r="X362" s="476" t="str">
        <f>IF($AC$362="","",$X$360)</f>
        <v/>
      </c>
      <c r="Y362" s="477" t="str">
        <f>IF($X$362="","",$Y$360)</f>
        <v/>
      </c>
      <c r="Z362" s="477" t="str">
        <f>IF($X$362="","",$Z$360)</f>
        <v/>
      </c>
      <c r="AA362" s="477" t="str">
        <f>IF($AC$362="","",ROW($A$362)-ROW($A$360))</f>
        <v/>
      </c>
      <c r="AB362" s="478"/>
      <c r="AC362" s="34"/>
      <c r="AD362" s="356"/>
      <c r="AE362" s="479"/>
      <c r="AF362" s="475"/>
      <c r="AG362" s="480" t="str">
        <f t="shared" si="100"/>
        <v/>
      </c>
      <c r="AH362" s="481" t="str">
        <f t="shared" si="101"/>
        <v/>
      </c>
      <c r="AI362" s="477" t="str">
        <f>IF($AC$362="","",IFERROR(INDEX($AZ$74:$AZ$119,MATCH($AH$362,$AY$74:$AY$119,0)),"AUTRE"))</f>
        <v/>
      </c>
      <c r="AJ362" s="482" t="str">
        <f>IF($AC$362="","",IFERROR(INDEX($BA$74:$BA$119,MATCH($AH$362,$AY$74:$AY$119,0)),1))</f>
        <v/>
      </c>
      <c r="AK362" s="482" t="str">
        <f t="shared" si="102"/>
        <v/>
      </c>
      <c r="AL362" s="477" t="str">
        <f>IF($AC$362="","",IFERROR(INDEX($BB$74:$BB$119,MATCH($AH$362,$AY$74:$AY$119,0)),$AH$362))</f>
        <v/>
      </c>
      <c r="AM362" s="483" t="str">
        <f t="shared" si="103"/>
        <v/>
      </c>
      <c r="AN362" s="484" t="str">
        <f t="shared" si="104"/>
        <v/>
      </c>
      <c r="AO362" s="473" t="str">
        <f t="shared" si="105"/>
        <v/>
      </c>
      <c r="AP362" s="473" t="str">
        <f t="shared" si="106"/>
        <v/>
      </c>
      <c r="AQ362" s="473" t="str">
        <f t="shared" si="107"/>
        <v/>
      </c>
      <c r="AR362" s="473" t="str">
        <f t="shared" si="108"/>
        <v/>
      </c>
      <c r="AS362" s="473" t="str">
        <f t="shared" si="109"/>
        <v/>
      </c>
      <c r="AT362" s="473" t="str">
        <f t="shared" si="110"/>
        <v/>
      </c>
      <c r="AU362" s="473" t="str">
        <f t="shared" si="111"/>
        <v/>
      </c>
      <c r="AZ362" s="31" t="s">
        <v>18</v>
      </c>
      <c r="BA362" s="34" t="s">
        <v>483</v>
      </c>
      <c r="BB362" s="499"/>
      <c r="BC362" s="271"/>
      <c r="BD362" s="279">
        <v>1</v>
      </c>
      <c r="BE362" s="271"/>
      <c r="BF362" s="271"/>
      <c r="BG362" s="271"/>
      <c r="BH362" s="271"/>
      <c r="BI362" s="271"/>
      <c r="BJ362" s="271"/>
      <c r="BK362" s="271"/>
      <c r="BL362" s="271"/>
    </row>
    <row r="363" spans="18:64" ht="21" customHeight="1" x14ac:dyDescent="0.25">
      <c r="R363" s="34" t="s">
        <v>494</v>
      </c>
      <c r="S363" s="451"/>
      <c r="T363" s="28" t="s">
        <v>14</v>
      </c>
      <c r="V363" s="475">
        <v>9</v>
      </c>
      <c r="W363" s="475" t="str">
        <f>IF($AC$363="","",$W$360)</f>
        <v/>
      </c>
      <c r="X363" s="476" t="str">
        <f>IF($AC$363="","",$X$360)</f>
        <v/>
      </c>
      <c r="Y363" s="477" t="str">
        <f>IF($X$363="","",$Y$360)</f>
        <v/>
      </c>
      <c r="Z363" s="477" t="str">
        <f>IF($X$363="","",$Z$360)</f>
        <v/>
      </c>
      <c r="AA363" s="477" t="str">
        <f>IF($AC$363="","",ROW($A$363)-ROW($A$360))</f>
        <v/>
      </c>
      <c r="AB363" s="478"/>
      <c r="AC363" s="34"/>
      <c r="AD363" s="356"/>
      <c r="AE363" s="479"/>
      <c r="AF363" s="475"/>
      <c r="AG363" s="480" t="str">
        <f t="shared" si="100"/>
        <v/>
      </c>
      <c r="AH363" s="481" t="str">
        <f t="shared" si="101"/>
        <v/>
      </c>
      <c r="AI363" s="477" t="str">
        <f>IF($AC$363="","",IFERROR(INDEX($AZ$74:$AZ$119,MATCH($AH$363,$AY$74:$AY$119,0)),"AUTRE"))</f>
        <v/>
      </c>
      <c r="AJ363" s="482" t="str">
        <f>IF($AC$363="","",IFERROR(INDEX($BA$74:$BA$119,MATCH($AH$363,$AY$74:$AY$119,0)),1))</f>
        <v/>
      </c>
      <c r="AK363" s="482" t="str">
        <f t="shared" si="102"/>
        <v/>
      </c>
      <c r="AL363" s="477" t="str">
        <f>IF($AC$363="","",IFERROR(INDEX($BB$74:$BB$119,MATCH($AH$363,$AY$74:$AY$119,0)),$AH$363))</f>
        <v/>
      </c>
      <c r="AM363" s="483" t="str">
        <f t="shared" si="103"/>
        <v/>
      </c>
      <c r="AN363" s="484" t="str">
        <f t="shared" si="104"/>
        <v/>
      </c>
      <c r="AO363" s="473" t="str">
        <f t="shared" si="105"/>
        <v/>
      </c>
      <c r="AP363" s="473" t="str">
        <f t="shared" si="106"/>
        <v/>
      </c>
      <c r="AQ363" s="473" t="str">
        <f t="shared" si="107"/>
        <v/>
      </c>
      <c r="AR363" s="473" t="str">
        <f t="shared" si="108"/>
        <v/>
      </c>
      <c r="AS363" s="473" t="str">
        <f t="shared" si="109"/>
        <v/>
      </c>
      <c r="AT363" s="473" t="str">
        <f t="shared" si="110"/>
        <v/>
      </c>
      <c r="AU363" s="473" t="str">
        <f t="shared" si="111"/>
        <v/>
      </c>
      <c r="AZ363" s="31" t="s">
        <v>19</v>
      </c>
      <c r="BA363" s="34" t="s">
        <v>493</v>
      </c>
      <c r="BB363" s="499"/>
      <c r="BC363" s="271"/>
      <c r="BD363" s="279">
        <v>1</v>
      </c>
      <c r="BE363" s="271"/>
      <c r="BF363" s="271"/>
      <c r="BG363" s="271"/>
      <c r="BH363" s="271"/>
      <c r="BI363" s="271"/>
      <c r="BJ363" s="271"/>
      <c r="BK363" s="271"/>
      <c r="BL363" s="271"/>
    </row>
    <row r="364" spans="18:64" ht="21" customHeight="1" x14ac:dyDescent="0.25">
      <c r="S364" s="451"/>
      <c r="T364" s="28" t="s">
        <v>15</v>
      </c>
      <c r="V364" s="475">
        <v>9</v>
      </c>
      <c r="W364" s="475" t="str">
        <f>IF($AC$364="","",$W$360)</f>
        <v/>
      </c>
      <c r="X364" s="476" t="str">
        <f>IF($AC$364="","",$X$360)</f>
        <v/>
      </c>
      <c r="Y364" s="477" t="str">
        <f>IF($X$364="","",$Y$360)</f>
        <v/>
      </c>
      <c r="Z364" s="477" t="str">
        <f>IF($X$364="","",$Z$360)</f>
        <v/>
      </c>
      <c r="AA364" s="477" t="str">
        <f>IF($AC$364="","",ROW($A$364)-ROW($A$360))</f>
        <v/>
      </c>
      <c r="AB364" s="478"/>
      <c r="AC364" s="34"/>
      <c r="AD364" s="356"/>
      <c r="AE364" s="479"/>
      <c r="AF364" s="475"/>
      <c r="AG364" s="480" t="str">
        <f t="shared" si="100"/>
        <v/>
      </c>
      <c r="AH364" s="481" t="str">
        <f t="shared" si="101"/>
        <v/>
      </c>
      <c r="AI364" s="477" t="str">
        <f>IF($AC$364="","",IFERROR(INDEX($AZ$74:$AZ$119,MATCH($AH$364,$AY$74:$AY$119,0)),"AUTRE"))</f>
        <v/>
      </c>
      <c r="AJ364" s="482" t="str">
        <f>IF($AC$364="","",IFERROR(INDEX($BA$74:$BA$119,MATCH($AH$364,$AY$74:$AY$119,0)),1))</f>
        <v/>
      </c>
      <c r="AK364" s="482" t="str">
        <f t="shared" si="102"/>
        <v/>
      </c>
      <c r="AL364" s="477" t="str">
        <f>IF($AC$364="","",IFERROR(INDEX($BB$74:$BB$119,MATCH($AH$364,$AY$74:$AY$119,0)),$AH$364))</f>
        <v/>
      </c>
      <c r="AM364" s="483" t="str">
        <f t="shared" si="103"/>
        <v/>
      </c>
      <c r="AN364" s="484" t="str">
        <f t="shared" si="104"/>
        <v/>
      </c>
      <c r="AO364" s="473" t="str">
        <f t="shared" si="105"/>
        <v/>
      </c>
      <c r="AP364" s="473" t="str">
        <f t="shared" si="106"/>
        <v/>
      </c>
      <c r="AQ364" s="473" t="str">
        <f t="shared" si="107"/>
        <v/>
      </c>
      <c r="AR364" s="473" t="str">
        <f t="shared" si="108"/>
        <v/>
      </c>
      <c r="AS364" s="473" t="str">
        <f t="shared" si="109"/>
        <v/>
      </c>
      <c r="AT364" s="473" t="str">
        <f t="shared" si="110"/>
        <v/>
      </c>
      <c r="AU364" s="473" t="str">
        <f t="shared" si="111"/>
        <v/>
      </c>
      <c r="AZ364" s="31" t="s">
        <v>211</v>
      </c>
      <c r="BA364" s="34" t="s">
        <v>494</v>
      </c>
      <c r="BB364" s="499"/>
      <c r="BC364" s="271"/>
      <c r="BD364" s="279">
        <v>1</v>
      </c>
      <c r="BE364" s="271"/>
      <c r="BF364" s="271"/>
      <c r="BG364" s="271"/>
      <c r="BH364" s="271"/>
      <c r="BI364" s="271"/>
      <c r="BJ364" s="271"/>
      <c r="BK364" s="271"/>
      <c r="BL364" s="271"/>
    </row>
    <row r="365" spans="18:64" ht="21" customHeight="1" x14ac:dyDescent="0.25">
      <c r="R365" s="25" t="s">
        <v>6115</v>
      </c>
      <c r="S365" s="451"/>
      <c r="T365" s="28" t="s">
        <v>21</v>
      </c>
      <c r="V365" s="475">
        <v>9</v>
      </c>
      <c r="W365" s="475" t="str">
        <f>IF($AC$365="","",$W$360)</f>
        <v/>
      </c>
      <c r="X365" s="476" t="str">
        <f>IF($AC$365="","",$X$360)</f>
        <v/>
      </c>
      <c r="Y365" s="477" t="str">
        <f>IF($X$365="","",$Y$360)</f>
        <v/>
      </c>
      <c r="Z365" s="477" t="str">
        <f>IF($X$365="","",$Z$360)</f>
        <v/>
      </c>
      <c r="AA365" s="477" t="str">
        <f>IF($AC$365="","",ROW($A$365)-ROW($A$360))</f>
        <v/>
      </c>
      <c r="AB365" s="478"/>
      <c r="AC365" s="34"/>
      <c r="AD365" s="356"/>
      <c r="AE365" s="479"/>
      <c r="AF365" s="475"/>
      <c r="AG365" s="480" t="str">
        <f t="shared" si="100"/>
        <v/>
      </c>
      <c r="AH365" s="481" t="str">
        <f t="shared" si="101"/>
        <v/>
      </c>
      <c r="AI365" s="477" t="str">
        <f>IF($AC$365="","",IFERROR(INDEX($AZ$74:$AZ$119,MATCH($AH$365,$AY$74:$AY$119,0)),"AUTRE"))</f>
        <v/>
      </c>
      <c r="AJ365" s="482" t="str">
        <f>IF($AC$365="","",IFERROR(INDEX($BA$74:$BA$119,MATCH($AH$365,$AY$74:$AY$119,0)),1))</f>
        <v/>
      </c>
      <c r="AK365" s="482" t="str">
        <f t="shared" si="102"/>
        <v/>
      </c>
      <c r="AL365" s="477" t="str">
        <f>IF($AC$365="","",IFERROR(INDEX($BB$74:$BB$119,MATCH($AH$365,$AY$74:$AY$119,0)),$AH$365))</f>
        <v/>
      </c>
      <c r="AM365" s="483" t="str">
        <f t="shared" si="103"/>
        <v/>
      </c>
      <c r="AN365" s="484" t="str">
        <f t="shared" si="104"/>
        <v/>
      </c>
      <c r="AO365" s="473" t="str">
        <f t="shared" si="105"/>
        <v/>
      </c>
      <c r="AP365" s="473" t="str">
        <f t="shared" si="106"/>
        <v/>
      </c>
      <c r="AQ365" s="473" t="str">
        <f t="shared" si="107"/>
        <v/>
      </c>
      <c r="AR365" s="473" t="str">
        <f t="shared" si="108"/>
        <v/>
      </c>
      <c r="AS365" s="473" t="str">
        <f t="shared" si="109"/>
        <v/>
      </c>
      <c r="AT365" s="473" t="str">
        <f t="shared" si="110"/>
        <v/>
      </c>
      <c r="AU365" s="473" t="str">
        <f t="shared" si="111"/>
        <v/>
      </c>
      <c r="AZ365" s="31" t="s">
        <v>20</v>
      </c>
      <c r="BB365" s="499"/>
      <c r="BC365" s="271"/>
      <c r="BD365" s="279">
        <v>1</v>
      </c>
      <c r="BE365" s="271"/>
      <c r="BF365" s="271"/>
      <c r="BG365" s="271"/>
      <c r="BH365" s="271"/>
      <c r="BI365" s="271"/>
      <c r="BJ365" s="271"/>
      <c r="BK365" s="271"/>
      <c r="BL365" s="271"/>
    </row>
    <row r="366" spans="18:64" ht="21" customHeight="1" x14ac:dyDescent="0.25">
      <c r="R366" s="34" t="s">
        <v>471</v>
      </c>
      <c r="S366" s="451"/>
      <c r="T366" s="28" t="s">
        <v>22</v>
      </c>
      <c r="V366" s="475">
        <v>9</v>
      </c>
      <c r="W366" s="475" t="str">
        <f>IF($AC$366="","",$W$360)</f>
        <v/>
      </c>
      <c r="X366" s="476" t="str">
        <f>IF($AC$366="","",$X$360)</f>
        <v/>
      </c>
      <c r="Y366" s="477" t="str">
        <f>IF($X$366="","",$Y$360)</f>
        <v/>
      </c>
      <c r="Z366" s="477" t="str">
        <f>IF($X$366="","",$Z$360)</f>
        <v/>
      </c>
      <c r="AA366" s="477" t="str">
        <f>IF($AC$366="","",ROW($A$366)-ROW($A$360))</f>
        <v/>
      </c>
      <c r="AB366" s="478"/>
      <c r="AC366" s="34"/>
      <c r="AD366" s="356"/>
      <c r="AE366" s="479"/>
      <c r="AF366" s="475"/>
      <c r="AG366" s="480" t="str">
        <f t="shared" si="100"/>
        <v/>
      </c>
      <c r="AH366" s="481" t="str">
        <f t="shared" si="101"/>
        <v/>
      </c>
      <c r="AI366" s="477" t="str">
        <f>IF($AC$366="","",IFERROR(INDEX($AZ$74:$AZ$119,MATCH($AH$366,$AY$74:$AY$119,0)),"AUTRE"))</f>
        <v/>
      </c>
      <c r="AJ366" s="482" t="str">
        <f>IF($AC$366="","",IFERROR(INDEX($BA$74:$BA$119,MATCH($AH$366,$AY$74:$AY$119,0)),1))</f>
        <v/>
      </c>
      <c r="AK366" s="482" t="str">
        <f t="shared" si="102"/>
        <v/>
      </c>
      <c r="AL366" s="477" t="str">
        <f>IF($AC$366="","",IFERROR(INDEX($BB$74:$BB$119,MATCH($AH$366,$AY$74:$AY$119,0)),$AH$366))</f>
        <v/>
      </c>
      <c r="AM366" s="483" t="str">
        <f t="shared" si="103"/>
        <v/>
      </c>
      <c r="AN366" s="484" t="str">
        <f t="shared" si="104"/>
        <v/>
      </c>
      <c r="AO366" s="473" t="str">
        <f t="shared" si="105"/>
        <v/>
      </c>
      <c r="AP366" s="473" t="str">
        <f t="shared" si="106"/>
        <v/>
      </c>
      <c r="AQ366" s="473" t="str">
        <f t="shared" si="107"/>
        <v/>
      </c>
      <c r="AR366" s="473" t="str">
        <f t="shared" si="108"/>
        <v/>
      </c>
      <c r="AS366" s="473" t="str">
        <f t="shared" si="109"/>
        <v/>
      </c>
      <c r="AT366" s="473" t="str">
        <f t="shared" si="110"/>
        <v/>
      </c>
      <c r="AU366" s="473" t="str">
        <f t="shared" si="111"/>
        <v/>
      </c>
      <c r="AZ366" s="31" t="s">
        <v>304</v>
      </c>
      <c r="BA366" s="25" t="s">
        <v>6115</v>
      </c>
      <c r="BB366" s="499"/>
      <c r="BC366" s="271"/>
      <c r="BD366" s="279">
        <v>1</v>
      </c>
      <c r="BE366" s="271"/>
      <c r="BF366" s="271"/>
      <c r="BG366" s="271"/>
      <c r="BH366" s="271"/>
      <c r="BI366" s="271"/>
      <c r="BJ366" s="271"/>
      <c r="BK366" s="271"/>
      <c r="BL366" s="271"/>
    </row>
    <row r="367" spans="18:64" ht="21" customHeight="1" x14ac:dyDescent="0.25">
      <c r="R367" s="34" t="s">
        <v>472</v>
      </c>
      <c r="S367" s="451"/>
      <c r="T367" s="28" t="s">
        <v>23</v>
      </c>
      <c r="V367" s="475">
        <v>9</v>
      </c>
      <c r="W367" s="475" t="str">
        <f>IF($AC$367="","",$W$360)</f>
        <v/>
      </c>
      <c r="X367" s="476" t="str">
        <f>IF($AC$367="","",$X$360)</f>
        <v/>
      </c>
      <c r="Y367" s="477" t="str">
        <f>IF($X$367="","",$Y$360)</f>
        <v/>
      </c>
      <c r="Z367" s="477" t="str">
        <f>IF($X$367="","",$Z$360)</f>
        <v/>
      </c>
      <c r="AA367" s="477" t="str">
        <f>IF($AC$367="","",ROW($A$367)-ROW($A$360))</f>
        <v/>
      </c>
      <c r="AB367" s="478"/>
      <c r="AC367" s="34"/>
      <c r="AD367" s="356"/>
      <c r="AE367" s="479"/>
      <c r="AF367" s="475"/>
      <c r="AG367" s="480" t="str">
        <f t="shared" si="100"/>
        <v/>
      </c>
      <c r="AH367" s="481" t="str">
        <f t="shared" si="101"/>
        <v/>
      </c>
      <c r="AI367" s="477" t="str">
        <f>IF($AC$367="","",IFERROR(INDEX($AZ$74:$AZ$119,MATCH($AH$367,$AY$74:$AY$119,0)),"AUTRE"))</f>
        <v/>
      </c>
      <c r="AJ367" s="482" t="str">
        <f>IF($AC$367="","",IFERROR(INDEX($BA$74:$BA$119,MATCH($AH$367,$AY$74:$AY$119,0)),1))</f>
        <v/>
      </c>
      <c r="AK367" s="482" t="str">
        <f t="shared" si="102"/>
        <v/>
      </c>
      <c r="AL367" s="477" t="str">
        <f>IF($AC$367="","",IFERROR(INDEX($BB$74:$BB$119,MATCH($AH$367,$AY$74:$AY$119,0)),$AH$367))</f>
        <v/>
      </c>
      <c r="AM367" s="483" t="str">
        <f t="shared" si="103"/>
        <v/>
      </c>
      <c r="AN367" s="484" t="str">
        <f t="shared" si="104"/>
        <v/>
      </c>
      <c r="AO367" s="473" t="str">
        <f t="shared" si="105"/>
        <v/>
      </c>
      <c r="AP367" s="473" t="str">
        <f t="shared" si="106"/>
        <v/>
      </c>
      <c r="AQ367" s="473" t="str">
        <f t="shared" si="107"/>
        <v/>
      </c>
      <c r="AR367" s="473" t="str">
        <f t="shared" si="108"/>
        <v/>
      </c>
      <c r="AS367" s="473" t="str">
        <f t="shared" si="109"/>
        <v/>
      </c>
      <c r="AT367" s="473" t="str">
        <f t="shared" si="110"/>
        <v/>
      </c>
      <c r="AU367" s="473" t="str">
        <f t="shared" si="111"/>
        <v/>
      </c>
      <c r="AZ367" s="31" t="s">
        <v>352</v>
      </c>
      <c r="BA367" s="34" t="s">
        <v>471</v>
      </c>
      <c r="BB367" s="499"/>
      <c r="BC367" s="271"/>
      <c r="BD367" s="279">
        <v>1</v>
      </c>
      <c r="BE367" s="271"/>
      <c r="BF367" s="271"/>
      <c r="BG367" s="271"/>
      <c r="BH367" s="271"/>
      <c r="BI367" s="271"/>
      <c r="BJ367" s="271"/>
      <c r="BK367" s="271"/>
      <c r="BL367" s="271"/>
    </row>
    <row r="368" spans="18:64" ht="21" customHeight="1" x14ac:dyDescent="0.25">
      <c r="R368" s="34" t="s">
        <v>6112</v>
      </c>
      <c r="S368" s="451"/>
      <c r="T368" s="28" t="s">
        <v>24</v>
      </c>
      <c r="V368" s="475">
        <v>9</v>
      </c>
      <c r="W368" s="475" t="str">
        <f>IF($AC$368="","",$W$360)</f>
        <v/>
      </c>
      <c r="X368" s="476" t="str">
        <f>IF($AC$368="","",$X$360)</f>
        <v/>
      </c>
      <c r="Y368" s="477" t="str">
        <f>IF($X$368="","",$Y$360)</f>
        <v/>
      </c>
      <c r="Z368" s="477" t="str">
        <f>IF($X$368="","",$Z$360)</f>
        <v/>
      </c>
      <c r="AA368" s="477" t="str">
        <f>IF($AC$368="","",ROW($A$368)-ROW($A$360))</f>
        <v/>
      </c>
      <c r="AB368" s="478"/>
      <c r="AC368" s="34"/>
      <c r="AD368" s="356"/>
      <c r="AE368" s="479"/>
      <c r="AF368" s="475"/>
      <c r="AG368" s="480" t="str">
        <f t="shared" si="100"/>
        <v/>
      </c>
      <c r="AH368" s="481" t="str">
        <f t="shared" si="101"/>
        <v/>
      </c>
      <c r="AI368" s="477" t="str">
        <f>IF($AC$368="","",IFERROR(INDEX($AZ$74:$AZ$119,MATCH($AH$368,$AY$74:$AY$119,0)),"AUTRE"))</f>
        <v/>
      </c>
      <c r="AJ368" s="482" t="str">
        <f>IF($AC$368="","",IFERROR(INDEX($BA$74:$BA$119,MATCH($AH$368,$AY$74:$AY$119,0)),1))</f>
        <v/>
      </c>
      <c r="AK368" s="482" t="str">
        <f t="shared" si="102"/>
        <v/>
      </c>
      <c r="AL368" s="477" t="str">
        <f>IF($AC$368="","",IFERROR(INDEX($BB$74:$BB$119,MATCH($AH$368,$AY$74:$AY$119,0)),$AH$368))</f>
        <v/>
      </c>
      <c r="AM368" s="483" t="str">
        <f t="shared" si="103"/>
        <v/>
      </c>
      <c r="AN368" s="484" t="str">
        <f t="shared" si="104"/>
        <v/>
      </c>
      <c r="AO368" s="473" t="str">
        <f t="shared" si="105"/>
        <v/>
      </c>
      <c r="AP368" s="473" t="str">
        <f t="shared" si="106"/>
        <v/>
      </c>
      <c r="AQ368" s="473" t="str">
        <f t="shared" si="107"/>
        <v/>
      </c>
      <c r="AR368" s="473" t="str">
        <f t="shared" si="108"/>
        <v/>
      </c>
      <c r="AS368" s="473" t="str">
        <f t="shared" si="109"/>
        <v/>
      </c>
      <c r="AT368" s="473" t="str">
        <f t="shared" si="110"/>
        <v/>
      </c>
      <c r="AU368" s="473" t="str">
        <f t="shared" si="111"/>
        <v/>
      </c>
      <c r="AZ368" s="31" t="s">
        <v>27</v>
      </c>
      <c r="BA368" s="34" t="s">
        <v>472</v>
      </c>
      <c r="BB368" s="499"/>
      <c r="BC368" s="271"/>
      <c r="BD368" s="279">
        <v>1</v>
      </c>
      <c r="BE368" s="271"/>
      <c r="BF368" s="271"/>
      <c r="BG368" s="271"/>
      <c r="BH368" s="271"/>
      <c r="BI368" s="271"/>
      <c r="BJ368" s="271"/>
      <c r="BK368" s="271"/>
      <c r="BL368" s="271"/>
    </row>
    <row r="369" spans="18:64" ht="21" customHeight="1" x14ac:dyDescent="0.25">
      <c r="R369" s="25" t="s">
        <v>6116</v>
      </c>
      <c r="S369" s="451"/>
      <c r="T369" s="29" t="s">
        <v>9</v>
      </c>
      <c r="V369" s="475">
        <v>9</v>
      </c>
      <c r="W369" s="475" t="str">
        <f>IF($AC$369="","",$W$360)</f>
        <v/>
      </c>
      <c r="X369" s="476" t="str">
        <f>IF($AC$369="","",$X$360)</f>
        <v/>
      </c>
      <c r="Y369" s="477" t="str">
        <f>IF($X$369="","",$Y$360)</f>
        <v/>
      </c>
      <c r="Z369" s="477" t="str">
        <f>IF($X$369="","",$Z$360)</f>
        <v/>
      </c>
      <c r="AA369" s="477" t="str">
        <f>IF($AC$369="","",ROW($A$369)-ROW($A$360))</f>
        <v/>
      </c>
      <c r="AB369" s="478"/>
      <c r="AC369" s="34"/>
      <c r="AD369" s="356"/>
      <c r="AE369" s="479"/>
      <c r="AF369" s="475"/>
      <c r="AG369" s="480" t="str">
        <f t="shared" si="100"/>
        <v/>
      </c>
      <c r="AH369" s="481" t="str">
        <f t="shared" si="101"/>
        <v/>
      </c>
      <c r="AI369" s="477" t="str">
        <f>IF($AC$369="","",IFERROR(INDEX($AZ$74:$AZ$119,MATCH($AH$369,$AY$74:$AY$119,0)),"AUTRE"))</f>
        <v/>
      </c>
      <c r="AJ369" s="482" t="str">
        <f>IF($AC$369="","",IFERROR(INDEX($BA$74:$BA$119,MATCH($AH$369,$AY$74:$AY$119,0)),1))</f>
        <v/>
      </c>
      <c r="AK369" s="482" t="str">
        <f t="shared" si="102"/>
        <v/>
      </c>
      <c r="AL369" s="477" t="str">
        <f>IF($AC$369="","",IFERROR(INDEX($BB$74:$BB$119,MATCH($AH$369,$AY$74:$AY$119,0)),$AH$369))</f>
        <v/>
      </c>
      <c r="AM369" s="483" t="str">
        <f t="shared" si="103"/>
        <v/>
      </c>
      <c r="AN369" s="484" t="str">
        <f t="shared" si="104"/>
        <v/>
      </c>
      <c r="AO369" s="473" t="str">
        <f t="shared" si="105"/>
        <v/>
      </c>
      <c r="AP369" s="473" t="str">
        <f t="shared" si="106"/>
        <v/>
      </c>
      <c r="AQ369" s="473" t="str">
        <f t="shared" si="107"/>
        <v/>
      </c>
      <c r="AR369" s="473" t="str">
        <f t="shared" si="108"/>
        <v/>
      </c>
      <c r="AS369" s="473" t="str">
        <f t="shared" si="109"/>
        <v/>
      </c>
      <c r="AT369" s="473" t="str">
        <f t="shared" si="110"/>
        <v/>
      </c>
      <c r="AU369" s="473" t="str">
        <f t="shared" si="111"/>
        <v/>
      </c>
      <c r="AZ369" s="31" t="s">
        <v>28</v>
      </c>
      <c r="BA369" s="34" t="s">
        <v>6112</v>
      </c>
      <c r="BB369" s="499"/>
      <c r="BC369" s="271"/>
      <c r="BD369" s="279">
        <v>1</v>
      </c>
      <c r="BE369" s="271"/>
      <c r="BF369" s="271"/>
      <c r="BG369" s="271"/>
      <c r="BH369" s="271"/>
      <c r="BI369" s="271"/>
      <c r="BJ369" s="271"/>
      <c r="BK369" s="271"/>
      <c r="BL369" s="271"/>
    </row>
    <row r="370" spans="18:64" ht="21" customHeight="1" x14ac:dyDescent="0.25">
      <c r="R370" s="34" t="s">
        <v>6117</v>
      </c>
      <c r="S370" s="451"/>
      <c r="T370" s="30" t="s">
        <v>10</v>
      </c>
      <c r="V370" s="475">
        <v>9</v>
      </c>
      <c r="W370" s="475" t="str">
        <f>IF($AC$370="","",$W$360)</f>
        <v/>
      </c>
      <c r="X370" s="476" t="str">
        <f>IF($AC$370="","",$X$360)</f>
        <v/>
      </c>
      <c r="Y370" s="477" t="str">
        <f>IF($X$370="","",$Y$360)</f>
        <v/>
      </c>
      <c r="Z370" s="477" t="str">
        <f>IF($X$370="","",$Z$360)</f>
        <v/>
      </c>
      <c r="AA370" s="477" t="str">
        <f>IF($AC$370="","",ROW($A$370)-ROW($A$360))</f>
        <v/>
      </c>
      <c r="AB370" s="478"/>
      <c r="AC370" s="34"/>
      <c r="AD370" s="356"/>
      <c r="AE370" s="479"/>
      <c r="AF370" s="475"/>
      <c r="AG370" s="480" t="str">
        <f t="shared" si="100"/>
        <v/>
      </c>
      <c r="AH370" s="481" t="str">
        <f t="shared" si="101"/>
        <v/>
      </c>
      <c r="AI370" s="477" t="str">
        <f>IF($AC$370="","",IFERROR(INDEX($AZ$74:$AZ$119,MATCH($AH$370,$AY$74:$AY$119,0)),"AUTRE"))</f>
        <v/>
      </c>
      <c r="AJ370" s="482" t="str">
        <f>IF($AC$370="","",IFERROR(INDEX($BA$74:$BA$119,MATCH($AH$370,$AY$74:$AY$119,0)),1))</f>
        <v/>
      </c>
      <c r="AK370" s="482" t="str">
        <f t="shared" si="102"/>
        <v/>
      </c>
      <c r="AL370" s="477" t="str">
        <f>IF($AC$370="","",IFERROR(INDEX($BB$74:$BB$119,MATCH($AH$370,$AY$74:$AY$119,0)),$AH$370))</f>
        <v/>
      </c>
      <c r="AM370" s="483" t="str">
        <f t="shared" si="103"/>
        <v/>
      </c>
      <c r="AN370" s="484" t="str">
        <f t="shared" si="104"/>
        <v/>
      </c>
      <c r="AO370" s="473" t="str">
        <f t="shared" si="105"/>
        <v/>
      </c>
      <c r="AP370" s="473" t="str">
        <f t="shared" si="106"/>
        <v/>
      </c>
      <c r="AQ370" s="473" t="str">
        <f t="shared" si="107"/>
        <v/>
      </c>
      <c r="AR370" s="473" t="str">
        <f t="shared" si="108"/>
        <v/>
      </c>
      <c r="AS370" s="473" t="str">
        <f t="shared" si="109"/>
        <v/>
      </c>
      <c r="AT370" s="473" t="str">
        <f t="shared" si="110"/>
        <v/>
      </c>
      <c r="AU370" s="473" t="str">
        <f t="shared" si="111"/>
        <v/>
      </c>
      <c r="AZ370" s="31" t="s">
        <v>29</v>
      </c>
      <c r="BA370" s="25" t="s">
        <v>6116</v>
      </c>
      <c r="BB370" s="499"/>
      <c r="BC370" s="271"/>
      <c r="BD370" s="279">
        <v>1</v>
      </c>
      <c r="BE370" s="271"/>
      <c r="BF370" s="271"/>
      <c r="BG370" s="271"/>
      <c r="BH370" s="271"/>
      <c r="BI370" s="271"/>
      <c r="BJ370" s="271"/>
      <c r="BK370" s="271"/>
      <c r="BL370" s="271"/>
    </row>
    <row r="371" spans="18:64" ht="21" customHeight="1" x14ac:dyDescent="0.25">
      <c r="R371" s="34" t="s">
        <v>469</v>
      </c>
      <c r="S371" s="451"/>
      <c r="T371" s="30" t="s">
        <v>11</v>
      </c>
      <c r="V371" s="475">
        <v>9</v>
      </c>
      <c r="W371" s="475" t="str">
        <f>IF($AC$371="","",$W$360)</f>
        <v/>
      </c>
      <c r="X371" s="476" t="str">
        <f>IF($AC$371="","",$X$360)</f>
        <v/>
      </c>
      <c r="Y371" s="477" t="str">
        <f>IF($X$371="","",$Y$360)</f>
        <v/>
      </c>
      <c r="Z371" s="477" t="str">
        <f>IF($X$371="","",$Z$360)</f>
        <v/>
      </c>
      <c r="AA371" s="477" t="str">
        <f>IF($AC$371="","",ROW($A$371)-ROW($A$360))</f>
        <v/>
      </c>
      <c r="AB371" s="478"/>
      <c r="AC371" s="34"/>
      <c r="AD371" s="356"/>
      <c r="AE371" s="479"/>
      <c r="AF371" s="475"/>
      <c r="AG371" s="480" t="str">
        <f t="shared" si="100"/>
        <v/>
      </c>
      <c r="AH371" s="481" t="str">
        <f t="shared" si="101"/>
        <v/>
      </c>
      <c r="AI371" s="477" t="str">
        <f>IF($AC$371="","",IFERROR(INDEX($AZ$74:$AZ$119,MATCH($AH$371,$AY$74:$AY$119,0)),"AUTRE"))</f>
        <v/>
      </c>
      <c r="AJ371" s="482" t="str">
        <f>IF($AC$371="","",IFERROR(INDEX($BA$74:$BA$119,MATCH($AH$371,$AY$74:$AY$119,0)),1))</f>
        <v/>
      </c>
      <c r="AK371" s="482" t="str">
        <f t="shared" si="102"/>
        <v/>
      </c>
      <c r="AL371" s="477" t="str">
        <f>IF($AC$371="","",IFERROR(INDEX($BB$74:$BB$119,MATCH($AH$371,$AY$74:$AY$119,0)),$AH$371))</f>
        <v/>
      </c>
      <c r="AM371" s="483" t="str">
        <f t="shared" si="103"/>
        <v/>
      </c>
      <c r="AN371" s="484" t="str">
        <f t="shared" si="104"/>
        <v/>
      </c>
      <c r="AO371" s="473" t="str">
        <f t="shared" si="105"/>
        <v/>
      </c>
      <c r="AP371" s="473" t="str">
        <f t="shared" si="106"/>
        <v/>
      </c>
      <c r="AQ371" s="473" t="str">
        <f t="shared" si="107"/>
        <v/>
      </c>
      <c r="AR371" s="473" t="str">
        <f t="shared" si="108"/>
        <v/>
      </c>
      <c r="AS371" s="473" t="str">
        <f t="shared" si="109"/>
        <v/>
      </c>
      <c r="AT371" s="473" t="str">
        <f t="shared" si="110"/>
        <v/>
      </c>
      <c r="AU371" s="473" t="str">
        <f t="shared" si="111"/>
        <v/>
      </c>
      <c r="AZ371" s="31" t="s">
        <v>30</v>
      </c>
      <c r="BA371" s="34" t="s">
        <v>6117</v>
      </c>
      <c r="BB371" s="499"/>
      <c r="BC371" s="271"/>
      <c r="BD371" s="279">
        <v>1</v>
      </c>
      <c r="BE371" s="271"/>
      <c r="BF371" s="271"/>
      <c r="BG371" s="271"/>
      <c r="BH371" s="271"/>
      <c r="BI371" s="271"/>
      <c r="BJ371" s="271"/>
      <c r="BK371" s="271"/>
      <c r="BL371" s="271"/>
    </row>
    <row r="372" spans="18:64" ht="21" customHeight="1" x14ac:dyDescent="0.25">
      <c r="R372" s="34" t="s">
        <v>6118</v>
      </c>
      <c r="S372" s="451"/>
      <c r="T372" s="30" t="s">
        <v>12</v>
      </c>
      <c r="V372" s="475">
        <v>9</v>
      </c>
      <c r="W372" s="475" t="str">
        <f>IF($AC$372="","",$W$360)</f>
        <v/>
      </c>
      <c r="X372" s="476" t="str">
        <f>IF($AC$372="","",$X$360)</f>
        <v/>
      </c>
      <c r="Y372" s="477" t="str">
        <f>IF($X$372="","",$Y$360)</f>
        <v/>
      </c>
      <c r="Z372" s="477" t="str">
        <f>IF($X$372="","",$Z$360)</f>
        <v/>
      </c>
      <c r="AA372" s="477" t="str">
        <f>IF($AC$372="","",ROW($A$372)-ROW($A$360))</f>
        <v/>
      </c>
      <c r="AB372" s="478"/>
      <c r="AC372" s="34"/>
      <c r="AD372" s="356"/>
      <c r="AE372" s="479"/>
      <c r="AF372" s="475"/>
      <c r="AG372" s="480" t="str">
        <f t="shared" si="100"/>
        <v/>
      </c>
      <c r="AH372" s="481" t="str">
        <f t="shared" si="101"/>
        <v/>
      </c>
      <c r="AI372" s="477" t="str">
        <f>IF($AC$372="","",IFERROR(INDEX($AZ$74:$AZ$119,MATCH($AH$372,$AY$74:$AY$119,0)),"AUTRE"))</f>
        <v/>
      </c>
      <c r="AJ372" s="482" t="str">
        <f>IF($AC$372="","",IFERROR(INDEX($BA$74:$BA$119,MATCH($AH$372,$AY$74:$AY$119,0)),1))</f>
        <v/>
      </c>
      <c r="AK372" s="482" t="str">
        <f t="shared" si="102"/>
        <v/>
      </c>
      <c r="AL372" s="477" t="str">
        <f>IF($AC$372="","",IFERROR(INDEX($BB$74:$BB$119,MATCH($AH$372,$AY$74:$AY$119,0)),$AH$372))</f>
        <v/>
      </c>
      <c r="AM372" s="483" t="str">
        <f t="shared" si="103"/>
        <v/>
      </c>
      <c r="AN372" s="484" t="str">
        <f t="shared" si="104"/>
        <v/>
      </c>
      <c r="AO372" s="473" t="str">
        <f t="shared" si="105"/>
        <v/>
      </c>
      <c r="AP372" s="473" t="str">
        <f t="shared" si="106"/>
        <v/>
      </c>
      <c r="AQ372" s="473" t="str">
        <f t="shared" si="107"/>
        <v/>
      </c>
      <c r="AR372" s="473" t="str">
        <f t="shared" si="108"/>
        <v/>
      </c>
      <c r="AS372" s="473" t="str">
        <f t="shared" si="109"/>
        <v/>
      </c>
      <c r="AT372" s="473" t="str">
        <f t="shared" si="110"/>
        <v/>
      </c>
      <c r="AU372" s="473" t="str">
        <f t="shared" si="111"/>
        <v/>
      </c>
      <c r="AZ372" s="32" t="s">
        <v>33</v>
      </c>
      <c r="BA372" s="34" t="s">
        <v>469</v>
      </c>
      <c r="BB372" s="499"/>
      <c r="BC372" s="271"/>
      <c r="BD372" s="279">
        <v>1</v>
      </c>
      <c r="BE372" s="271"/>
      <c r="BF372" s="271"/>
      <c r="BG372" s="271"/>
      <c r="BH372" s="271"/>
      <c r="BI372" s="271"/>
      <c r="BJ372" s="271"/>
      <c r="BK372" s="271"/>
      <c r="BL372" s="271"/>
    </row>
    <row r="373" spans="18:64" ht="21" customHeight="1" x14ac:dyDescent="0.25">
      <c r="R373" s="34" t="s">
        <v>492</v>
      </c>
      <c r="S373" s="451"/>
      <c r="T373" s="31" t="s">
        <v>16</v>
      </c>
      <c r="V373" s="475">
        <v>9</v>
      </c>
      <c r="W373" s="475" t="str">
        <f>IF($AC$373="","",$W$360)</f>
        <v/>
      </c>
      <c r="X373" s="476" t="str">
        <f>IF($AC$373="","",$X$360)</f>
        <v/>
      </c>
      <c r="Y373" s="477" t="str">
        <f>IF($X$373="","",$Y$360)</f>
        <v/>
      </c>
      <c r="Z373" s="477" t="str">
        <f>IF($X$373="","",$Z$360)</f>
        <v/>
      </c>
      <c r="AA373" s="477" t="str">
        <f>IF($AC$373="","",ROW($A$373)-ROW($A$360))</f>
        <v/>
      </c>
      <c r="AB373" s="478"/>
      <c r="AC373" s="34"/>
      <c r="AD373" s="356"/>
      <c r="AE373" s="479"/>
      <c r="AF373" s="475"/>
      <c r="AG373" s="480" t="str">
        <f t="shared" si="100"/>
        <v/>
      </c>
      <c r="AH373" s="481" t="str">
        <f t="shared" si="101"/>
        <v/>
      </c>
      <c r="AI373" s="477" t="str">
        <f>IF($AC$373="","",IFERROR(INDEX($AZ$74:$AZ$119,MATCH($AH$373,$AY$74:$AY$119,0)),"AUTRE"))</f>
        <v/>
      </c>
      <c r="AJ373" s="482" t="str">
        <f>IF($AC$373="","",IFERROR(INDEX($BA$74:$BA$119,MATCH($AH$373,$AY$74:$AY$119,0)),1))</f>
        <v/>
      </c>
      <c r="AK373" s="482" t="str">
        <f t="shared" si="102"/>
        <v/>
      </c>
      <c r="AL373" s="477" t="str">
        <f>IF($AC$373="","",IFERROR(INDEX($BB$74:$BB$119,MATCH($AH$373,$AY$74:$AY$119,0)),$AH$373))</f>
        <v/>
      </c>
      <c r="AM373" s="483" t="str">
        <f t="shared" si="103"/>
        <v/>
      </c>
      <c r="AN373" s="484" t="str">
        <f t="shared" si="104"/>
        <v/>
      </c>
      <c r="AO373" s="473" t="str">
        <f t="shared" si="105"/>
        <v/>
      </c>
      <c r="AP373" s="473" t="str">
        <f t="shared" si="106"/>
        <v/>
      </c>
      <c r="AQ373" s="473" t="str">
        <f t="shared" si="107"/>
        <v/>
      </c>
      <c r="AR373" s="473" t="str">
        <f t="shared" si="108"/>
        <v/>
      </c>
      <c r="AS373" s="473" t="str">
        <f t="shared" si="109"/>
        <v/>
      </c>
      <c r="AT373" s="473" t="str">
        <f t="shared" si="110"/>
        <v/>
      </c>
      <c r="AU373" s="473" t="str">
        <f t="shared" si="111"/>
        <v/>
      </c>
      <c r="AZ373" s="32" t="s">
        <v>8125</v>
      </c>
      <c r="BA373" s="34" t="s">
        <v>6118</v>
      </c>
      <c r="BB373" s="499"/>
      <c r="BC373" s="271"/>
      <c r="BD373" s="279">
        <v>1</v>
      </c>
      <c r="BE373" s="271"/>
      <c r="BF373" s="271"/>
      <c r="BG373" s="271"/>
      <c r="BH373" s="271"/>
      <c r="BI373" s="271"/>
      <c r="BJ373" s="271"/>
      <c r="BK373" s="271"/>
      <c r="BL373" s="271"/>
    </row>
    <row r="374" spans="18:64" ht="21" customHeight="1" x14ac:dyDescent="0.25">
      <c r="R374" s="34" t="s">
        <v>458</v>
      </c>
      <c r="S374" s="451"/>
      <c r="T374" s="31" t="s">
        <v>17</v>
      </c>
      <c r="V374" s="475">
        <v>9</v>
      </c>
      <c r="W374" s="475" t="str">
        <f>IF($AC$374="","",$W$360)</f>
        <v/>
      </c>
      <c r="X374" s="476" t="str">
        <f>IF($AC$374="","",$X$360)</f>
        <v/>
      </c>
      <c r="Y374" s="477" t="str">
        <f>IF($X$374="","",$Y$360)</f>
        <v/>
      </c>
      <c r="Z374" s="477" t="str">
        <f>IF($X$374="","",$Z$360)</f>
        <v/>
      </c>
      <c r="AA374" s="477" t="str">
        <f>IF($AC$374="","",ROW($A$374)-ROW($A$360))</f>
        <v/>
      </c>
      <c r="AB374" s="478"/>
      <c r="AC374" s="34"/>
      <c r="AD374" s="356"/>
      <c r="AE374" s="479"/>
      <c r="AF374" s="475"/>
      <c r="AG374" s="480" t="str">
        <f t="shared" si="100"/>
        <v/>
      </c>
      <c r="AH374" s="481" t="str">
        <f t="shared" si="101"/>
        <v/>
      </c>
      <c r="AI374" s="477" t="str">
        <f>IF($AC$374="","",IFERROR(INDEX($AZ$74:$AZ$119,MATCH($AH$374,$AY$74:$AY$119,0)),"AUTRE"))</f>
        <v/>
      </c>
      <c r="AJ374" s="482" t="str">
        <f>IF($AC$374="","",IFERROR(INDEX($BA$74:$BA$119,MATCH($AH$374,$AY$74:$AY$119,0)),1))</f>
        <v/>
      </c>
      <c r="AK374" s="482" t="str">
        <f t="shared" si="102"/>
        <v/>
      </c>
      <c r="AL374" s="477" t="str">
        <f>IF($AC$374="","",IFERROR(INDEX($BB$74:$BB$119,MATCH($AH$374,$AY$74:$AY$119,0)),$AH$374))</f>
        <v/>
      </c>
      <c r="AM374" s="483" t="str">
        <f t="shared" si="103"/>
        <v/>
      </c>
      <c r="AN374" s="484" t="str">
        <f t="shared" si="104"/>
        <v/>
      </c>
      <c r="AO374" s="473" t="str">
        <f t="shared" si="105"/>
        <v/>
      </c>
      <c r="AP374" s="473" t="str">
        <f t="shared" si="106"/>
        <v/>
      </c>
      <c r="AQ374" s="473" t="str">
        <f t="shared" si="107"/>
        <v/>
      </c>
      <c r="AR374" s="473" t="str">
        <f t="shared" si="108"/>
        <v/>
      </c>
      <c r="AS374" s="473" t="str">
        <f t="shared" si="109"/>
        <v/>
      </c>
      <c r="AT374" s="473" t="str">
        <f t="shared" si="110"/>
        <v/>
      </c>
      <c r="AU374" s="473" t="str">
        <f t="shared" si="111"/>
        <v/>
      </c>
      <c r="AZ374" s="32" t="s">
        <v>8127</v>
      </c>
      <c r="BA374" s="34" t="s">
        <v>492</v>
      </c>
      <c r="BB374" s="499"/>
      <c r="BC374" s="271"/>
      <c r="BD374" s="279">
        <v>1</v>
      </c>
      <c r="BE374" s="271"/>
      <c r="BF374" s="271"/>
      <c r="BG374" s="271"/>
      <c r="BH374" s="271"/>
      <c r="BI374" s="271"/>
      <c r="BJ374" s="271"/>
      <c r="BK374" s="271"/>
      <c r="BL374" s="271"/>
    </row>
    <row r="375" spans="18:64" ht="21" customHeight="1" x14ac:dyDescent="0.25">
      <c r="R375" s="490"/>
      <c r="S375" s="451"/>
      <c r="T375" s="31" t="s">
        <v>18</v>
      </c>
      <c r="V375" s="475">
        <v>9</v>
      </c>
      <c r="W375" s="475" t="str">
        <f>IF($AC$375="","",$W$360)</f>
        <v/>
      </c>
      <c r="X375" s="476" t="str">
        <f>IF($AC$375="","",$X$360)</f>
        <v/>
      </c>
      <c r="Y375" s="477" t="str">
        <f>IF($X$375="","",$Y$360)</f>
        <v/>
      </c>
      <c r="Z375" s="477" t="str">
        <f>IF($X$375="","",$Z$360)</f>
        <v/>
      </c>
      <c r="AA375" s="477" t="str">
        <f>IF($AC$375="","",ROW($A$375)-ROW($A$360))</f>
        <v/>
      </c>
      <c r="AB375" s="478"/>
      <c r="AC375" s="34"/>
      <c r="AD375" s="356"/>
      <c r="AE375" s="479"/>
      <c r="AF375" s="475"/>
      <c r="AG375" s="480" t="str">
        <f t="shared" si="100"/>
        <v/>
      </c>
      <c r="AH375" s="481" t="str">
        <f t="shared" si="101"/>
        <v/>
      </c>
      <c r="AI375" s="477" t="str">
        <f>IF($AC$375="","",IFERROR(INDEX($AZ$74:$AZ$119,MATCH($AH$375,$AY$74:$AY$119,0)),"AUTRE"))</f>
        <v/>
      </c>
      <c r="AJ375" s="482" t="str">
        <f>IF($AC$375="","",IFERROR(INDEX($BA$74:$BA$119,MATCH($AH$375,$AY$74:$AY$119,0)),1))</f>
        <v/>
      </c>
      <c r="AK375" s="482" t="str">
        <f t="shared" si="102"/>
        <v/>
      </c>
      <c r="AL375" s="477" t="str">
        <f>IF($AC$375="","",IFERROR(INDEX($BB$74:$BB$119,MATCH($AH$375,$AY$74:$AY$119,0)),$AH$375))</f>
        <v/>
      </c>
      <c r="AM375" s="483" t="str">
        <f t="shared" si="103"/>
        <v/>
      </c>
      <c r="AN375" s="484" t="str">
        <f t="shared" si="104"/>
        <v/>
      </c>
      <c r="AO375" s="473" t="str">
        <f t="shared" si="105"/>
        <v/>
      </c>
      <c r="AP375" s="473" t="str">
        <f t="shared" si="106"/>
        <v/>
      </c>
      <c r="AQ375" s="473" t="str">
        <f t="shared" si="107"/>
        <v/>
      </c>
      <c r="AR375" s="473" t="str">
        <f t="shared" si="108"/>
        <v/>
      </c>
      <c r="AS375" s="473" t="str">
        <f t="shared" si="109"/>
        <v/>
      </c>
      <c r="AT375" s="473" t="str">
        <f t="shared" si="110"/>
        <v/>
      </c>
      <c r="AU375" s="473" t="str">
        <f t="shared" si="111"/>
        <v/>
      </c>
      <c r="AZ375" s="32" t="s">
        <v>320</v>
      </c>
      <c r="BA375" s="34" t="s">
        <v>458</v>
      </c>
      <c r="BB375" s="499"/>
      <c r="BC375" s="271"/>
      <c r="BD375" s="279">
        <v>1</v>
      </c>
      <c r="BE375" s="271"/>
      <c r="BF375" s="271"/>
      <c r="BG375" s="271"/>
      <c r="BH375" s="271"/>
      <c r="BI375" s="271"/>
      <c r="BJ375" s="271"/>
      <c r="BK375" s="271"/>
      <c r="BL375" s="271"/>
    </row>
    <row r="376" spans="18:64" ht="21" customHeight="1" x14ac:dyDescent="0.25">
      <c r="R376" s="25" t="s">
        <v>6119</v>
      </c>
      <c r="S376" s="451"/>
      <c r="T376" s="31" t="s">
        <v>19</v>
      </c>
      <c r="V376" s="475">
        <v>9</v>
      </c>
      <c r="W376" s="475" t="str">
        <f>IF($AC$376="","",$W$360)</f>
        <v/>
      </c>
      <c r="X376" s="476" t="str">
        <f>IF($AC$376="","",$X$360)</f>
        <v/>
      </c>
      <c r="Y376" s="477" t="str">
        <f>IF($X$376="","",$Y$360)</f>
        <v/>
      </c>
      <c r="Z376" s="477" t="str">
        <f>IF($X$376="","",$Z$360)</f>
        <v/>
      </c>
      <c r="AA376" s="477" t="str">
        <f>IF($AC$376="","",ROW($A$376)-ROW($A$360))</f>
        <v/>
      </c>
      <c r="AB376" s="478"/>
      <c r="AC376" s="34"/>
      <c r="AD376" s="356"/>
      <c r="AE376" s="479"/>
      <c r="AF376" s="475"/>
      <c r="AG376" s="480" t="str">
        <f t="shared" si="100"/>
        <v/>
      </c>
      <c r="AH376" s="481" t="str">
        <f t="shared" si="101"/>
        <v/>
      </c>
      <c r="AI376" s="477" t="str">
        <f>IF($AC$376="","",IFERROR(INDEX($AZ$74:$AZ$119,MATCH($AH$376,$AY$74:$AY$119,0)),"AUTRE"))</f>
        <v/>
      </c>
      <c r="AJ376" s="482" t="str">
        <f>IF($AC$376="","",IFERROR(INDEX($BA$74:$BA$119,MATCH($AH$376,$AY$74:$AY$119,0)),1))</f>
        <v/>
      </c>
      <c r="AK376" s="482" t="str">
        <f t="shared" si="102"/>
        <v/>
      </c>
      <c r="AL376" s="477" t="str">
        <f>IF($AC$376="","",IFERROR(INDEX($BB$74:$BB$119,MATCH($AH$376,$AY$74:$AY$119,0)),$AH$376))</f>
        <v/>
      </c>
      <c r="AM376" s="483" t="str">
        <f t="shared" si="103"/>
        <v/>
      </c>
      <c r="AN376" s="484" t="str">
        <f t="shared" si="104"/>
        <v/>
      </c>
      <c r="AO376" s="473" t="str">
        <f t="shared" si="105"/>
        <v/>
      </c>
      <c r="AP376" s="473" t="str">
        <f t="shared" si="106"/>
        <v/>
      </c>
      <c r="AQ376" s="473" t="str">
        <f t="shared" si="107"/>
        <v/>
      </c>
      <c r="AR376" s="473" t="str">
        <f t="shared" si="108"/>
        <v/>
      </c>
      <c r="AS376" s="473" t="str">
        <f t="shared" si="109"/>
        <v/>
      </c>
      <c r="AT376" s="473" t="str">
        <f t="shared" si="110"/>
        <v/>
      </c>
      <c r="AU376" s="473" t="str">
        <f t="shared" si="111"/>
        <v/>
      </c>
      <c r="AZ376" s="32" t="s">
        <v>318</v>
      </c>
      <c r="BA376" s="490"/>
      <c r="BB376" s="499"/>
      <c r="BC376" s="271"/>
      <c r="BD376" s="279">
        <v>1</v>
      </c>
      <c r="BE376" s="271"/>
      <c r="BF376" s="271"/>
      <c r="BG376" s="271"/>
      <c r="BH376" s="271"/>
      <c r="BI376" s="271"/>
      <c r="BJ376" s="271"/>
      <c r="BK376" s="271"/>
      <c r="BL376" s="271"/>
    </row>
    <row r="377" spans="18:64" ht="21" customHeight="1" x14ac:dyDescent="0.25">
      <c r="R377" s="34" t="s">
        <v>6120</v>
      </c>
      <c r="S377" s="451"/>
      <c r="T377" s="31" t="s">
        <v>211</v>
      </c>
      <c r="V377" s="475">
        <v>9</v>
      </c>
      <c r="W377" s="475" t="str">
        <f>IF($AC$377="","",$W$360)</f>
        <v/>
      </c>
      <c r="X377" s="476" t="str">
        <f>IF($AC$377="","",$X$360)</f>
        <v/>
      </c>
      <c r="Y377" s="477" t="str">
        <f>IF($X$377="","",$Y$360)</f>
        <v/>
      </c>
      <c r="Z377" s="477" t="str">
        <f>IF($X$377="","",$Z$360)</f>
        <v/>
      </c>
      <c r="AA377" s="477" t="str">
        <f>IF($AC$377="","",ROW($A$377)-ROW($A$360))</f>
        <v/>
      </c>
      <c r="AB377" s="478"/>
      <c r="AC377" s="34"/>
      <c r="AD377" s="356"/>
      <c r="AE377" s="479"/>
      <c r="AF377" s="475"/>
      <c r="AG377" s="480" t="str">
        <f t="shared" si="100"/>
        <v/>
      </c>
      <c r="AH377" s="481" t="str">
        <f t="shared" si="101"/>
        <v/>
      </c>
      <c r="AI377" s="477" t="str">
        <f>IF($AC$377="","",IFERROR(INDEX($AZ$74:$AZ$119,MATCH($AH$377,$AY$74:$AY$119,0)),"AUTRE"))</f>
        <v/>
      </c>
      <c r="AJ377" s="482" t="str">
        <f>IF($AC$377="","",IFERROR(INDEX($BA$74:$BA$119,MATCH($AH$377,$AY$74:$AY$119,0)),1))</f>
        <v/>
      </c>
      <c r="AK377" s="482" t="str">
        <f t="shared" si="102"/>
        <v/>
      </c>
      <c r="AL377" s="477" t="str">
        <f>IF($AC$377="","",IFERROR(INDEX($BB$74:$BB$119,MATCH($AH$377,$AY$74:$AY$119,0)),$AH$377))</f>
        <v/>
      </c>
      <c r="AM377" s="483" t="str">
        <f t="shared" si="103"/>
        <v/>
      </c>
      <c r="AN377" s="484" t="str">
        <f t="shared" si="104"/>
        <v/>
      </c>
      <c r="AO377" s="473" t="str">
        <f t="shared" si="105"/>
        <v/>
      </c>
      <c r="AP377" s="473" t="str">
        <f t="shared" si="106"/>
        <v/>
      </c>
      <c r="AQ377" s="473" t="str">
        <f t="shared" si="107"/>
        <v/>
      </c>
      <c r="AR377" s="473" t="str">
        <f t="shared" si="108"/>
        <v/>
      </c>
      <c r="AS377" s="473" t="str">
        <f t="shared" si="109"/>
        <v/>
      </c>
      <c r="AT377" s="473" t="str">
        <f t="shared" si="110"/>
        <v/>
      </c>
      <c r="AU377" s="473" t="str">
        <f t="shared" si="111"/>
        <v/>
      </c>
      <c r="AZ377" s="32" t="s">
        <v>316</v>
      </c>
      <c r="BA377" s="25" t="s">
        <v>6119</v>
      </c>
      <c r="BB377" s="499"/>
      <c r="BC377" s="271"/>
      <c r="BD377" s="279">
        <v>1</v>
      </c>
      <c r="BE377" s="271"/>
      <c r="BF377" s="271"/>
      <c r="BG377" s="271"/>
      <c r="BH377" s="271"/>
      <c r="BI377" s="271"/>
      <c r="BJ377" s="271"/>
      <c r="BK377" s="271"/>
      <c r="BL377" s="271"/>
    </row>
    <row r="378" spans="18:64" ht="21" customHeight="1" x14ac:dyDescent="0.25">
      <c r="R378" s="34" t="s">
        <v>6121</v>
      </c>
      <c r="S378" s="451"/>
      <c r="T378" s="31" t="s">
        <v>20</v>
      </c>
      <c r="V378" s="475">
        <v>9</v>
      </c>
      <c r="W378" s="475" t="str">
        <f>IF($AC$378="","",$W$360)</f>
        <v/>
      </c>
      <c r="X378" s="476" t="str">
        <f>IF($AC$378="","",$X$360)</f>
        <v/>
      </c>
      <c r="Y378" s="477" t="str">
        <f>IF($X$378="","",$Y$360)</f>
        <v/>
      </c>
      <c r="Z378" s="477" t="str">
        <f>IF($X$378="","",$Z$360)</f>
        <v/>
      </c>
      <c r="AA378" s="477" t="str">
        <f>IF($AC$378="","",ROW($A$378)-ROW($A$360))</f>
        <v/>
      </c>
      <c r="AB378" s="478"/>
      <c r="AC378" s="34"/>
      <c r="AD378" s="356"/>
      <c r="AE378" s="479"/>
      <c r="AF378" s="475"/>
      <c r="AG378" s="480" t="str">
        <f t="shared" si="100"/>
        <v/>
      </c>
      <c r="AH378" s="481" t="str">
        <f t="shared" si="101"/>
        <v/>
      </c>
      <c r="AI378" s="477" t="str">
        <f>IF($AC$378="","",IFERROR(INDEX($AZ$74:$AZ$119,MATCH($AH$378,$AY$74:$AY$119,0)),"AUTRE"))</f>
        <v/>
      </c>
      <c r="AJ378" s="482" t="str">
        <f>IF($AC$378="","",IFERROR(INDEX($BA$74:$BA$119,MATCH($AH$378,$AY$74:$AY$119,0)),1))</f>
        <v/>
      </c>
      <c r="AK378" s="482" t="str">
        <f t="shared" si="102"/>
        <v/>
      </c>
      <c r="AL378" s="477" t="str">
        <f>IF($AC$378="","",IFERROR(INDEX($BB$74:$BB$119,MATCH($AH$378,$AY$74:$AY$119,0)),$AH$378))</f>
        <v/>
      </c>
      <c r="AM378" s="483" t="str">
        <f t="shared" si="103"/>
        <v/>
      </c>
      <c r="AN378" s="484" t="str">
        <f t="shared" si="104"/>
        <v/>
      </c>
      <c r="AO378" s="473" t="str">
        <f t="shared" si="105"/>
        <v/>
      </c>
      <c r="AP378" s="473" t="str">
        <f t="shared" si="106"/>
        <v/>
      </c>
      <c r="AQ378" s="473" t="str">
        <f t="shared" si="107"/>
        <v/>
      </c>
      <c r="AR378" s="473" t="str">
        <f t="shared" si="108"/>
        <v/>
      </c>
      <c r="AS378" s="473" t="str">
        <f t="shared" si="109"/>
        <v/>
      </c>
      <c r="AT378" s="473" t="str">
        <f t="shared" si="110"/>
        <v/>
      </c>
      <c r="AU378" s="473" t="str">
        <f t="shared" si="111"/>
        <v/>
      </c>
      <c r="AZ378" s="32" t="s">
        <v>313</v>
      </c>
      <c r="BA378" s="34" t="s">
        <v>6120</v>
      </c>
      <c r="BB378" s="499"/>
      <c r="BC378" s="271"/>
      <c r="BD378" s="279">
        <v>1</v>
      </c>
      <c r="BE378" s="271"/>
      <c r="BF378" s="271"/>
      <c r="BG378" s="271"/>
      <c r="BH378" s="271"/>
      <c r="BI378" s="271"/>
      <c r="BJ378" s="271"/>
      <c r="BK378" s="271"/>
      <c r="BL378" s="271"/>
    </row>
    <row r="379" spans="18:64" ht="21" customHeight="1" x14ac:dyDescent="0.25">
      <c r="R379" s="34" t="s">
        <v>6122</v>
      </c>
      <c r="S379" s="451"/>
      <c r="T379" s="31" t="s">
        <v>304</v>
      </c>
      <c r="V379" s="475">
        <v>9</v>
      </c>
      <c r="W379" s="475" t="str">
        <f>IF($AC$379="","",$W$360)</f>
        <v/>
      </c>
      <c r="X379" s="476" t="str">
        <f>IF($AC$379="","",$X$360)</f>
        <v/>
      </c>
      <c r="Y379" s="477" t="str">
        <f>IF($X$379="","",$Y$360)</f>
        <v/>
      </c>
      <c r="Z379" s="477" t="str">
        <f>IF($X$379="","",$Z$360)</f>
        <v/>
      </c>
      <c r="AA379" s="477" t="str">
        <f>IF($AC$379="","",ROW($A$379)-ROW($A$360))</f>
        <v/>
      </c>
      <c r="AB379" s="478"/>
      <c r="AC379" s="34"/>
      <c r="AD379" s="356"/>
      <c r="AE379" s="479"/>
      <c r="AF379" s="475"/>
      <c r="AG379" s="480" t="str">
        <f t="shared" si="100"/>
        <v/>
      </c>
      <c r="AH379" s="481" t="str">
        <f t="shared" si="101"/>
        <v/>
      </c>
      <c r="AI379" s="477" t="str">
        <f>IF($AC$379="","",IFERROR(INDEX($AZ$74:$AZ$119,MATCH($AH$379,$AY$74:$AY$119,0)),"AUTRE"))</f>
        <v/>
      </c>
      <c r="AJ379" s="482" t="str">
        <f>IF($AC$379="","",IFERROR(INDEX($BA$74:$BA$119,MATCH($AH$379,$AY$74:$AY$119,0)),1))</f>
        <v/>
      </c>
      <c r="AK379" s="482" t="str">
        <f t="shared" si="102"/>
        <v/>
      </c>
      <c r="AL379" s="477" t="str">
        <f>IF($AC$379="","",IFERROR(INDEX($BB$74:$BB$119,MATCH($AH$379,$AY$74:$AY$119,0)),$AH$379))</f>
        <v/>
      </c>
      <c r="AM379" s="483" t="str">
        <f t="shared" si="103"/>
        <v/>
      </c>
      <c r="AN379" s="484" t="str">
        <f t="shared" si="104"/>
        <v/>
      </c>
      <c r="AO379" s="473" t="str">
        <f t="shared" si="105"/>
        <v/>
      </c>
      <c r="AP379" s="473" t="str">
        <f t="shared" si="106"/>
        <v/>
      </c>
      <c r="AQ379" s="473" t="str">
        <f t="shared" si="107"/>
        <v/>
      </c>
      <c r="AR379" s="473" t="str">
        <f t="shared" si="108"/>
        <v/>
      </c>
      <c r="AS379" s="473" t="str">
        <f t="shared" si="109"/>
        <v/>
      </c>
      <c r="AT379" s="473" t="str">
        <f t="shared" si="110"/>
        <v/>
      </c>
      <c r="AU379" s="473" t="str">
        <f t="shared" si="111"/>
        <v/>
      </c>
      <c r="AZ379" s="32" t="s">
        <v>307</v>
      </c>
      <c r="BA379" s="34" t="s">
        <v>6121</v>
      </c>
      <c r="BB379" s="499"/>
      <c r="BC379" s="271"/>
      <c r="BD379" s="279">
        <v>1</v>
      </c>
      <c r="BE379" s="271"/>
      <c r="BF379" s="271"/>
      <c r="BG379" s="271"/>
      <c r="BH379" s="271"/>
      <c r="BI379" s="271"/>
      <c r="BJ379" s="271"/>
      <c r="BK379" s="271"/>
      <c r="BL379" s="271"/>
    </row>
    <row r="380" spans="18:64" ht="21" customHeight="1" x14ac:dyDescent="0.25">
      <c r="R380" s="34" t="s">
        <v>6123</v>
      </c>
      <c r="S380" s="451"/>
      <c r="T380" s="31" t="s">
        <v>352</v>
      </c>
      <c r="V380" s="475">
        <v>9</v>
      </c>
      <c r="W380" s="475" t="str">
        <f>IF($AC$380="","",$W$360)</f>
        <v/>
      </c>
      <c r="X380" s="476" t="str">
        <f>IF($AC$380="","",$X$360)</f>
        <v/>
      </c>
      <c r="Y380" s="477" t="str">
        <f>IF($X$380="","",$Y$360)</f>
        <v/>
      </c>
      <c r="Z380" s="477" t="str">
        <f>IF($X$380="","",$Z$360)</f>
        <v/>
      </c>
      <c r="AA380" s="477" t="str">
        <f>IF($AC$380="","",ROW($A$380)-ROW($A$360))</f>
        <v/>
      </c>
      <c r="AB380" s="478"/>
      <c r="AC380" s="34"/>
      <c r="AD380" s="356"/>
      <c r="AE380" s="479"/>
      <c r="AF380" s="475"/>
      <c r="AG380" s="480" t="str">
        <f t="shared" si="100"/>
        <v/>
      </c>
      <c r="AH380" s="481" t="str">
        <f t="shared" si="101"/>
        <v/>
      </c>
      <c r="AI380" s="477" t="str">
        <f>IF($AC$380="","",IFERROR(INDEX($AZ$74:$AZ$119,MATCH($AH$380,$AY$74:$AY$119,0)),"AUTRE"))</f>
        <v/>
      </c>
      <c r="AJ380" s="482" t="str">
        <f>IF($AC$380="","",IFERROR(INDEX($BA$74:$BA$119,MATCH($AH$380,$AY$74:$AY$119,0)),1))</f>
        <v/>
      </c>
      <c r="AK380" s="482" t="str">
        <f t="shared" si="102"/>
        <v/>
      </c>
      <c r="AL380" s="477" t="str">
        <f>IF($AC$380="","",IFERROR(INDEX($BB$74:$BB$119,MATCH($AH$380,$AY$74:$AY$119,0)),$AH$380))</f>
        <v/>
      </c>
      <c r="AM380" s="483" t="str">
        <f t="shared" si="103"/>
        <v/>
      </c>
      <c r="AN380" s="484" t="str">
        <f t="shared" si="104"/>
        <v/>
      </c>
      <c r="AO380" s="473" t="str">
        <f t="shared" si="105"/>
        <v/>
      </c>
      <c r="AP380" s="473" t="str">
        <f t="shared" si="106"/>
        <v/>
      </c>
      <c r="AQ380" s="473" t="str">
        <f t="shared" si="107"/>
        <v/>
      </c>
      <c r="AR380" s="473" t="str">
        <f t="shared" si="108"/>
        <v/>
      </c>
      <c r="AS380" s="473" t="str">
        <f t="shared" si="109"/>
        <v/>
      </c>
      <c r="AT380" s="473" t="str">
        <f t="shared" si="110"/>
        <v/>
      </c>
      <c r="AU380" s="473" t="str">
        <f t="shared" si="111"/>
        <v/>
      </c>
      <c r="AZ380" s="32" t="s">
        <v>322</v>
      </c>
      <c r="BA380" s="34" t="s">
        <v>6122</v>
      </c>
      <c r="BB380" s="499"/>
      <c r="BC380" s="271"/>
      <c r="BD380" s="279">
        <v>1</v>
      </c>
      <c r="BE380" s="271"/>
      <c r="BF380" s="271"/>
      <c r="BG380" s="271"/>
      <c r="BH380" s="271"/>
      <c r="BI380" s="271"/>
      <c r="BJ380" s="271"/>
      <c r="BK380" s="271"/>
      <c r="BL380" s="271"/>
    </row>
    <row r="381" spans="18:64" ht="21" customHeight="1" x14ac:dyDescent="0.25">
      <c r="R381" s="34" t="s">
        <v>6124</v>
      </c>
      <c r="S381" s="451"/>
      <c r="T381" s="31" t="s">
        <v>25</v>
      </c>
      <c r="V381" s="475">
        <v>9</v>
      </c>
      <c r="W381" s="475" t="str">
        <f>IF($AC$381="","",$W$360)</f>
        <v/>
      </c>
      <c r="X381" s="476" t="str">
        <f>IF($AC$381="","",$X$360)</f>
        <v/>
      </c>
      <c r="Y381" s="477" t="str">
        <f>IF($X$381="","",$Y$360)</f>
        <v/>
      </c>
      <c r="Z381" s="477" t="str">
        <f>IF($X$381="","",$Z$360)</f>
        <v/>
      </c>
      <c r="AA381" s="477" t="str">
        <f>IF($AC$381="","",ROW($A$381)-ROW($A$360))</f>
        <v/>
      </c>
      <c r="AB381" s="478"/>
      <c r="AC381" s="34"/>
      <c r="AD381" s="356"/>
      <c r="AE381" s="479"/>
      <c r="AF381" s="475"/>
      <c r="AG381" s="480" t="str">
        <f t="shared" si="100"/>
        <v/>
      </c>
      <c r="AH381" s="481" t="str">
        <f t="shared" si="101"/>
        <v/>
      </c>
      <c r="AI381" s="477" t="str">
        <f>IF($AC$381="","",IFERROR(INDEX($AZ$74:$AZ$119,MATCH($AH$381,$AY$74:$AY$119,0)),"AUTRE"))</f>
        <v/>
      </c>
      <c r="AJ381" s="482" t="str">
        <f>IF($AC$381="","",IFERROR(INDEX($BA$74:$BA$119,MATCH($AH$381,$AY$74:$AY$119,0)),1))</f>
        <v/>
      </c>
      <c r="AK381" s="482" t="str">
        <f t="shared" si="102"/>
        <v/>
      </c>
      <c r="AL381" s="477" t="str">
        <f>IF($AC$381="","",IFERROR(INDEX($BB$74:$BB$119,MATCH($AH$381,$AY$74:$AY$119,0)),$AH$381))</f>
        <v/>
      </c>
      <c r="AM381" s="483" t="str">
        <f t="shared" si="103"/>
        <v/>
      </c>
      <c r="AN381" s="484" t="str">
        <f t="shared" si="104"/>
        <v/>
      </c>
      <c r="AO381" s="473" t="str">
        <f t="shared" si="105"/>
        <v/>
      </c>
      <c r="AP381" s="473" t="str">
        <f t="shared" si="106"/>
        <v/>
      </c>
      <c r="AQ381" s="473" t="str">
        <f t="shared" si="107"/>
        <v/>
      </c>
      <c r="AR381" s="473" t="str">
        <f t="shared" si="108"/>
        <v/>
      </c>
      <c r="AS381" s="473" t="str">
        <f t="shared" si="109"/>
        <v/>
      </c>
      <c r="AT381" s="473" t="str">
        <f t="shared" si="110"/>
        <v/>
      </c>
      <c r="AU381" s="473" t="str">
        <f t="shared" si="111"/>
        <v/>
      </c>
      <c r="AZ381" s="32" t="s">
        <v>305</v>
      </c>
      <c r="BA381" s="34" t="s">
        <v>6123</v>
      </c>
      <c r="BB381" s="499"/>
      <c r="BC381" s="271"/>
      <c r="BD381" s="279">
        <v>1</v>
      </c>
      <c r="BE381" s="271"/>
      <c r="BF381" s="271"/>
      <c r="BG381" s="271"/>
      <c r="BH381" s="271"/>
      <c r="BI381" s="271"/>
      <c r="BJ381" s="271"/>
      <c r="BK381" s="271"/>
      <c r="BL381" s="271"/>
    </row>
    <row r="382" spans="18:64" ht="21" customHeight="1" x14ac:dyDescent="0.25">
      <c r="R382" s="34" t="s">
        <v>6125</v>
      </c>
      <c r="S382" s="451"/>
      <c r="T382" s="31" t="s">
        <v>26</v>
      </c>
      <c r="V382" s="475">
        <v>9</v>
      </c>
      <c r="W382" s="475" t="str">
        <f>IF($AC$382="","",$W$360)</f>
        <v/>
      </c>
      <c r="X382" s="476" t="str">
        <f>IF($AC$382="","",$X$360)</f>
        <v/>
      </c>
      <c r="Y382" s="477" t="str">
        <f>IF($X$382="","",$Y$360)</f>
        <v/>
      </c>
      <c r="Z382" s="477" t="str">
        <f>IF($X$382="","",$Z$360)</f>
        <v/>
      </c>
      <c r="AA382" s="477" t="str">
        <f>IF($AC$382="","",ROW($A$382)-ROW($A$360))</f>
        <v/>
      </c>
      <c r="AB382" s="478"/>
      <c r="AC382" s="34"/>
      <c r="AD382" s="356"/>
      <c r="AE382" s="479"/>
      <c r="AF382" s="475"/>
      <c r="AG382" s="480" t="str">
        <f t="shared" si="100"/>
        <v/>
      </c>
      <c r="AH382" s="481" t="str">
        <f t="shared" si="101"/>
        <v/>
      </c>
      <c r="AI382" s="477" t="str">
        <f>IF($AC$382="","",IFERROR(INDEX($AZ$74:$AZ$119,MATCH($AH$382,$AY$74:$AY$119,0)),"AUTRE"))</f>
        <v/>
      </c>
      <c r="AJ382" s="482" t="str">
        <f>IF($AC$382="","",IFERROR(INDEX($BA$74:$BA$119,MATCH($AH$382,$AY$74:$AY$119,0)),1))</f>
        <v/>
      </c>
      <c r="AK382" s="482" t="str">
        <f t="shared" si="102"/>
        <v/>
      </c>
      <c r="AL382" s="477" t="str">
        <f>IF($AC$382="","",IFERROR(INDEX($BB$74:$BB$119,MATCH($AH$382,$AY$74:$AY$119,0)),$AH$382))</f>
        <v/>
      </c>
      <c r="AM382" s="483" t="str">
        <f t="shared" si="103"/>
        <v/>
      </c>
      <c r="AN382" s="484" t="str">
        <f t="shared" si="104"/>
        <v/>
      </c>
      <c r="AO382" s="473" t="str">
        <f t="shared" si="105"/>
        <v/>
      </c>
      <c r="AP382" s="473" t="str">
        <f t="shared" si="106"/>
        <v/>
      </c>
      <c r="AQ382" s="473" t="str">
        <f t="shared" si="107"/>
        <v/>
      </c>
      <c r="AR382" s="473" t="str">
        <f t="shared" si="108"/>
        <v/>
      </c>
      <c r="AS382" s="473" t="str">
        <f t="shared" si="109"/>
        <v/>
      </c>
      <c r="AT382" s="473" t="str">
        <f t="shared" si="110"/>
        <v/>
      </c>
      <c r="AU382" s="473" t="str">
        <f t="shared" si="111"/>
        <v/>
      </c>
      <c r="AZ382" s="32" t="s">
        <v>8129</v>
      </c>
      <c r="BA382" s="34" t="s">
        <v>6124</v>
      </c>
      <c r="BB382" s="499"/>
      <c r="BC382" s="271"/>
      <c r="BD382" s="279">
        <v>1</v>
      </c>
      <c r="BE382" s="271"/>
      <c r="BF382" s="271"/>
      <c r="BG382" s="271"/>
      <c r="BH382" s="271"/>
      <c r="BI382" s="271"/>
      <c r="BJ382" s="271"/>
      <c r="BK382" s="271"/>
      <c r="BL382" s="271"/>
    </row>
    <row r="383" spans="18:64" ht="21" customHeight="1" x14ac:dyDescent="0.25">
      <c r="R383" s="34" t="s">
        <v>6126</v>
      </c>
      <c r="S383" s="451"/>
      <c r="T383" s="31" t="s">
        <v>27</v>
      </c>
      <c r="V383" s="475">
        <v>9</v>
      </c>
      <c r="W383" s="475" t="str">
        <f>IF($AC$383="","",$W$360)</f>
        <v/>
      </c>
      <c r="X383" s="476" t="str">
        <f>IF($AC$383="","",$X$360)</f>
        <v/>
      </c>
      <c r="Y383" s="477" t="str">
        <f>IF($X$383="","",$Y$360)</f>
        <v/>
      </c>
      <c r="Z383" s="477" t="str">
        <f>IF($X$383="","",$Z$360)</f>
        <v/>
      </c>
      <c r="AA383" s="477" t="str">
        <f>IF($AC$383="","",ROW($A$383)-ROW($A$360))</f>
        <v/>
      </c>
      <c r="AB383" s="478"/>
      <c r="AC383" s="34"/>
      <c r="AD383" s="356"/>
      <c r="AE383" s="479"/>
      <c r="AF383" s="475"/>
      <c r="AG383" s="480" t="str">
        <f t="shared" si="100"/>
        <v/>
      </c>
      <c r="AH383" s="481" t="str">
        <f t="shared" si="101"/>
        <v/>
      </c>
      <c r="AI383" s="477" t="str">
        <f>IF($AC$383="","",IFERROR(INDEX($AZ$74:$AZ$119,MATCH($AH$383,$AY$74:$AY$119,0)),"AUTRE"))</f>
        <v/>
      </c>
      <c r="AJ383" s="482" t="str">
        <f>IF($AC$383="","",IFERROR(INDEX($BA$74:$BA$119,MATCH($AH$383,$AY$74:$AY$119,0)),1))</f>
        <v/>
      </c>
      <c r="AK383" s="482" t="str">
        <f t="shared" si="102"/>
        <v/>
      </c>
      <c r="AL383" s="477" t="str">
        <f>IF($AC$383="","",IFERROR(INDEX($BB$74:$BB$119,MATCH($AH$383,$AY$74:$AY$119,0)),$AH$383))</f>
        <v/>
      </c>
      <c r="AM383" s="483" t="str">
        <f t="shared" si="103"/>
        <v/>
      </c>
      <c r="AN383" s="484" t="str">
        <f t="shared" si="104"/>
        <v/>
      </c>
      <c r="AO383" s="473" t="str">
        <f t="shared" si="105"/>
        <v/>
      </c>
      <c r="AP383" s="473" t="str">
        <f t="shared" si="106"/>
        <v/>
      </c>
      <c r="AQ383" s="473" t="str">
        <f t="shared" si="107"/>
        <v/>
      </c>
      <c r="AR383" s="473" t="str">
        <f t="shared" si="108"/>
        <v/>
      </c>
      <c r="AS383" s="473" t="str">
        <f t="shared" si="109"/>
        <v/>
      </c>
      <c r="AT383" s="473" t="str">
        <f t="shared" si="110"/>
        <v/>
      </c>
      <c r="AU383" s="473" t="str">
        <f t="shared" si="111"/>
        <v/>
      </c>
      <c r="AZ383" s="32" t="s">
        <v>8131</v>
      </c>
      <c r="BA383" s="34" t="s">
        <v>6125</v>
      </c>
      <c r="BB383" s="499"/>
      <c r="BC383" s="271"/>
      <c r="BD383" s="279">
        <v>1</v>
      </c>
      <c r="BE383" s="271"/>
      <c r="BF383" s="271"/>
      <c r="BG383" s="271"/>
      <c r="BH383" s="271"/>
      <c r="BI383" s="271"/>
      <c r="BJ383" s="271"/>
      <c r="BK383" s="271"/>
      <c r="BL383" s="271"/>
    </row>
    <row r="384" spans="18:64" ht="21" customHeight="1" x14ac:dyDescent="0.25">
      <c r="R384" s="34" t="s">
        <v>6127</v>
      </c>
      <c r="S384" s="451"/>
      <c r="T384" s="31" t="s">
        <v>28</v>
      </c>
      <c r="V384" s="475">
        <v>9</v>
      </c>
      <c r="W384" s="475" t="str">
        <f>IF($AC$384="","",$W$360)</f>
        <v/>
      </c>
      <c r="X384" s="476" t="str">
        <f>IF($AC$384="","",$X$360)</f>
        <v/>
      </c>
      <c r="Y384" s="477" t="str">
        <f>IF($X$384="","",$Y$360)</f>
        <v/>
      </c>
      <c r="Z384" s="477" t="str">
        <f>IF($X$384="","",$Z$360)</f>
        <v/>
      </c>
      <c r="AA384" s="477" t="str">
        <f>IF($AC$384="","",ROW($A$384)-ROW($A$360))</f>
        <v/>
      </c>
      <c r="AB384" s="478"/>
      <c r="AC384" s="34"/>
      <c r="AD384" s="356"/>
      <c r="AE384" s="479"/>
      <c r="AF384" s="475"/>
      <c r="AG384" s="480" t="str">
        <f t="shared" si="100"/>
        <v/>
      </c>
      <c r="AH384" s="481" t="str">
        <f t="shared" si="101"/>
        <v/>
      </c>
      <c r="AI384" s="477" t="str">
        <f>IF($AC$384="","",IFERROR(INDEX($AZ$74:$AZ$119,MATCH($AH$384,$AY$74:$AY$119,0)),"AUTRE"))</f>
        <v/>
      </c>
      <c r="AJ384" s="482" t="str">
        <f>IF($AC$384="","",IFERROR(INDEX($BA$74:$BA$119,MATCH($AH$384,$AY$74:$AY$119,0)),1))</f>
        <v/>
      </c>
      <c r="AK384" s="482" t="str">
        <f t="shared" si="102"/>
        <v/>
      </c>
      <c r="AL384" s="477" t="str">
        <f>IF($AC$384="","",IFERROR(INDEX($BB$74:$BB$119,MATCH($AH$384,$AY$74:$AY$119,0)),$AH$384))</f>
        <v/>
      </c>
      <c r="AM384" s="483" t="str">
        <f t="shared" si="103"/>
        <v/>
      </c>
      <c r="AN384" s="484" t="str">
        <f t="shared" si="104"/>
        <v/>
      </c>
      <c r="AO384" s="473" t="str">
        <f t="shared" si="105"/>
        <v/>
      </c>
      <c r="AP384" s="473" t="str">
        <f t="shared" si="106"/>
        <v/>
      </c>
      <c r="AQ384" s="473" t="str">
        <f t="shared" si="107"/>
        <v/>
      </c>
      <c r="AR384" s="473" t="str">
        <f t="shared" si="108"/>
        <v/>
      </c>
      <c r="AS384" s="473" t="str">
        <f t="shared" si="109"/>
        <v/>
      </c>
      <c r="AT384" s="473" t="str">
        <f t="shared" si="110"/>
        <v/>
      </c>
      <c r="AU384" s="473" t="str">
        <f t="shared" si="111"/>
        <v/>
      </c>
      <c r="AZ384" s="32" t="s">
        <v>309</v>
      </c>
      <c r="BA384" s="34" t="s">
        <v>6126</v>
      </c>
      <c r="BB384" s="499"/>
      <c r="BC384" s="271"/>
      <c r="BD384" s="279">
        <v>1</v>
      </c>
      <c r="BE384" s="271"/>
      <c r="BF384" s="271"/>
      <c r="BG384" s="271"/>
      <c r="BH384" s="271"/>
      <c r="BI384" s="271"/>
      <c r="BJ384" s="271"/>
      <c r="BK384" s="271"/>
      <c r="BL384" s="271"/>
    </row>
    <row r="385" spans="18:64" ht="21" customHeight="1" x14ac:dyDescent="0.25">
      <c r="R385" s="25" t="s">
        <v>6128</v>
      </c>
      <c r="S385" s="451"/>
      <c r="T385" s="31" t="s">
        <v>29</v>
      </c>
      <c r="V385" s="475">
        <v>9</v>
      </c>
      <c r="W385" s="475" t="str">
        <f>IF($AC$385="","",$W$360)</f>
        <v/>
      </c>
      <c r="X385" s="476" t="str">
        <f>IF($AC$385="","",$X$360)</f>
        <v/>
      </c>
      <c r="Y385" s="477" t="str">
        <f>IF($X$385="","",$Y$360)</f>
        <v/>
      </c>
      <c r="Z385" s="477" t="str">
        <f>IF($X$385="","",$Z$360)</f>
        <v/>
      </c>
      <c r="AA385" s="477" t="str">
        <f>IF($AC$385="","",ROW($A$385)-ROW($A$360))</f>
        <v/>
      </c>
      <c r="AB385" s="478"/>
      <c r="AC385" s="34"/>
      <c r="AD385" s="356"/>
      <c r="AE385" s="479"/>
      <c r="AF385" s="475"/>
      <c r="AG385" s="480" t="str">
        <f t="shared" si="100"/>
        <v/>
      </c>
      <c r="AH385" s="481" t="str">
        <f t="shared" si="101"/>
        <v/>
      </c>
      <c r="AI385" s="477" t="str">
        <f>IF($AC$385="","",IFERROR(INDEX($AZ$74:$AZ$119,MATCH($AH$385,$AY$74:$AY$119,0)),"AUTRE"))</f>
        <v/>
      </c>
      <c r="AJ385" s="482" t="str">
        <f>IF($AC$385="","",IFERROR(INDEX($BA$74:$BA$119,MATCH($AH$385,$AY$74:$AY$119,0)),1))</f>
        <v/>
      </c>
      <c r="AK385" s="482" t="str">
        <f t="shared" si="102"/>
        <v/>
      </c>
      <c r="AL385" s="477" t="str">
        <f>IF($AC$385="","",IFERROR(INDEX($BB$74:$BB$119,MATCH($AH$385,$AY$74:$AY$119,0)),$AH$385))</f>
        <v/>
      </c>
      <c r="AM385" s="483" t="str">
        <f t="shared" si="103"/>
        <v/>
      </c>
      <c r="AN385" s="484" t="str">
        <f t="shared" si="104"/>
        <v/>
      </c>
      <c r="AO385" s="473" t="str">
        <f t="shared" si="105"/>
        <v/>
      </c>
      <c r="AP385" s="473" t="str">
        <f t="shared" si="106"/>
        <v/>
      </c>
      <c r="AQ385" s="473" t="str">
        <f t="shared" si="107"/>
        <v/>
      </c>
      <c r="AR385" s="473" t="str">
        <f t="shared" si="108"/>
        <v/>
      </c>
      <c r="AS385" s="473" t="str">
        <f t="shared" si="109"/>
        <v/>
      </c>
      <c r="AT385" s="473" t="str">
        <f t="shared" si="110"/>
        <v/>
      </c>
      <c r="AU385" s="473" t="str">
        <f t="shared" si="111"/>
        <v/>
      </c>
      <c r="AZ385" s="32" t="s">
        <v>311</v>
      </c>
      <c r="BA385" s="34" t="s">
        <v>6127</v>
      </c>
      <c r="BB385" s="499"/>
      <c r="BC385" s="271"/>
      <c r="BD385" s="279">
        <v>1</v>
      </c>
      <c r="BE385" s="271"/>
      <c r="BF385" s="271"/>
      <c r="BG385" s="271"/>
      <c r="BH385" s="271"/>
      <c r="BI385" s="271"/>
      <c r="BJ385" s="271"/>
      <c r="BK385" s="271"/>
      <c r="BL385" s="271"/>
    </row>
    <row r="386" spans="18:64" ht="21" customHeight="1" x14ac:dyDescent="0.25">
      <c r="R386" s="34" t="s">
        <v>474</v>
      </c>
      <c r="S386" s="451"/>
      <c r="T386" s="31" t="s">
        <v>30</v>
      </c>
      <c r="V386" s="475">
        <v>9</v>
      </c>
      <c r="W386" s="475" t="str">
        <f>IF($AC$386="","",$W$360)</f>
        <v/>
      </c>
      <c r="X386" s="476" t="str">
        <f>IF($AC$386="","",$X$360)</f>
        <v/>
      </c>
      <c r="Y386" s="477" t="str">
        <f>IF($X$386="","",$Y$360)</f>
        <v/>
      </c>
      <c r="Z386" s="477" t="str">
        <f>IF($X$386="","",$Z$360)</f>
        <v/>
      </c>
      <c r="AA386" s="477" t="str">
        <f>IF($AC$386="","",ROW($A$386)-ROW($A$360))</f>
        <v/>
      </c>
      <c r="AB386" s="478"/>
      <c r="AC386" s="34"/>
      <c r="AD386" s="356"/>
      <c r="AE386" s="479"/>
      <c r="AF386" s="475"/>
      <c r="AG386" s="480" t="str">
        <f t="shared" si="100"/>
        <v/>
      </c>
      <c r="AH386" s="481" t="str">
        <f t="shared" si="101"/>
        <v/>
      </c>
      <c r="AI386" s="477" t="str">
        <f>IF($AC$386="","",IFERROR(INDEX($AZ$74:$AZ$119,MATCH($AH$386,$AY$74:$AY$119,0)),"AUTRE"))</f>
        <v/>
      </c>
      <c r="AJ386" s="482" t="str">
        <f>IF($AC$386="","",IFERROR(INDEX($BA$74:$BA$119,MATCH($AH$386,$AY$74:$AY$119,0)),1))</f>
        <v/>
      </c>
      <c r="AK386" s="482" t="str">
        <f t="shared" si="102"/>
        <v/>
      </c>
      <c r="AL386" s="477" t="str">
        <f>IF($AC$386="","",IFERROR(INDEX($BB$74:$BB$119,MATCH($AH$386,$AY$74:$AY$119,0)),$AH$386))</f>
        <v/>
      </c>
      <c r="AM386" s="483" t="str">
        <f t="shared" si="103"/>
        <v/>
      </c>
      <c r="AN386" s="484" t="str">
        <f t="shared" si="104"/>
        <v/>
      </c>
      <c r="AO386" s="473" t="str">
        <f t="shared" si="105"/>
        <v/>
      </c>
      <c r="AP386" s="473" t="str">
        <f t="shared" si="106"/>
        <v/>
      </c>
      <c r="AQ386" s="473" t="str">
        <f t="shared" si="107"/>
        <v/>
      </c>
      <c r="AR386" s="473" t="str">
        <f t="shared" si="108"/>
        <v/>
      </c>
      <c r="AS386" s="473" t="str">
        <f t="shared" si="109"/>
        <v/>
      </c>
      <c r="AT386" s="473" t="str">
        <f t="shared" si="110"/>
        <v/>
      </c>
      <c r="AU386" s="473" t="str">
        <f t="shared" si="111"/>
        <v/>
      </c>
      <c r="AZ386" s="32" t="s">
        <v>8135</v>
      </c>
      <c r="BA386" s="25" t="s">
        <v>6128</v>
      </c>
      <c r="BB386" s="499"/>
      <c r="BC386" s="271"/>
      <c r="BD386" s="279">
        <v>1</v>
      </c>
      <c r="BE386" s="271"/>
      <c r="BF386" s="271"/>
      <c r="BG386" s="271"/>
      <c r="BH386" s="271"/>
      <c r="BI386" s="271"/>
      <c r="BJ386" s="271"/>
      <c r="BK386" s="271"/>
      <c r="BL386" s="271"/>
    </row>
    <row r="387" spans="18:64" ht="21" customHeight="1" x14ac:dyDescent="0.25">
      <c r="R387" s="34" t="s">
        <v>490</v>
      </c>
      <c r="S387" s="451"/>
      <c r="T387" s="31" t="s">
        <v>31</v>
      </c>
      <c r="V387" s="475">
        <v>9</v>
      </c>
      <c r="W387" s="475" t="str">
        <f>IF($AC$387="","",$W$360)</f>
        <v/>
      </c>
      <c r="X387" s="476" t="str">
        <f>IF($AC$387="","",$X$360)</f>
        <v/>
      </c>
      <c r="Y387" s="477" t="str">
        <f>IF($X$387="","",$Y$360)</f>
        <v/>
      </c>
      <c r="Z387" s="477" t="str">
        <f>IF($X$387="","",$Z$360)</f>
        <v/>
      </c>
      <c r="AA387" s="477" t="str">
        <f>IF($AC$387="","",ROW($A$387)-ROW($A$360))</f>
        <v/>
      </c>
      <c r="AB387" s="478"/>
      <c r="AC387" s="34"/>
      <c r="AD387" s="356"/>
      <c r="AE387" s="479"/>
      <c r="AF387" s="475"/>
      <c r="AG387" s="480" t="str">
        <f t="shared" si="100"/>
        <v/>
      </c>
      <c r="AH387" s="481" t="str">
        <f t="shared" si="101"/>
        <v/>
      </c>
      <c r="AI387" s="477" t="str">
        <f>IF($AC$387="","",IFERROR(INDEX($AZ$74:$AZ$119,MATCH($AH$387,$AY$74:$AY$119,0)),"AUTRE"))</f>
        <v/>
      </c>
      <c r="AJ387" s="482" t="str">
        <f>IF($AC$387="","",IFERROR(INDEX($BA$74:$BA$119,MATCH($AH$387,$AY$74:$AY$119,0)),1))</f>
        <v/>
      </c>
      <c r="AK387" s="482" t="str">
        <f t="shared" si="102"/>
        <v/>
      </c>
      <c r="AL387" s="477" t="str">
        <f>IF($AC$387="","",IFERROR(INDEX($BB$74:$BB$119,MATCH($AH$387,$AY$74:$AY$119,0)),$AH$387))</f>
        <v/>
      </c>
      <c r="AM387" s="483" t="str">
        <f t="shared" si="103"/>
        <v/>
      </c>
      <c r="AN387" s="484" t="str">
        <f t="shared" si="104"/>
        <v/>
      </c>
      <c r="AO387" s="473" t="str">
        <f t="shared" si="105"/>
        <v/>
      </c>
      <c r="AP387" s="473" t="str">
        <f t="shared" si="106"/>
        <v/>
      </c>
      <c r="AQ387" s="473" t="str">
        <f t="shared" si="107"/>
        <v/>
      </c>
      <c r="AR387" s="473" t="str">
        <f t="shared" si="108"/>
        <v/>
      </c>
      <c r="AS387" s="473" t="str">
        <f t="shared" si="109"/>
        <v/>
      </c>
      <c r="AT387" s="473" t="str">
        <f t="shared" si="110"/>
        <v/>
      </c>
      <c r="AU387" s="473" t="str">
        <f t="shared" si="111"/>
        <v/>
      </c>
      <c r="AZ387" s="32" t="s">
        <v>8137</v>
      </c>
      <c r="BA387" s="34" t="s">
        <v>474</v>
      </c>
      <c r="BB387" s="499"/>
      <c r="BC387" s="271"/>
      <c r="BD387" s="279">
        <v>1</v>
      </c>
      <c r="BE387" s="271"/>
      <c r="BF387" s="271"/>
      <c r="BG387" s="271"/>
      <c r="BH387" s="271"/>
      <c r="BI387" s="271"/>
      <c r="BJ387" s="271"/>
      <c r="BK387" s="271"/>
      <c r="BL387" s="271"/>
    </row>
    <row r="388" spans="18:64" ht="21" customHeight="1" x14ac:dyDescent="0.25">
      <c r="R388" s="34" t="s">
        <v>6129</v>
      </c>
      <c r="S388" s="451"/>
      <c r="T388" s="32" t="s">
        <v>33</v>
      </c>
      <c r="V388" s="475">
        <v>9</v>
      </c>
      <c r="W388" s="475" t="str">
        <f>IF($AC$388="","",$W$360)</f>
        <v/>
      </c>
      <c r="X388" s="476" t="str">
        <f>IF($AC$388="","",$X$360)</f>
        <v/>
      </c>
      <c r="Y388" s="477" t="str">
        <f>IF($X$388="","",$Y$360)</f>
        <v/>
      </c>
      <c r="Z388" s="477" t="str">
        <f>IF($X$388="","",$Z$360)</f>
        <v/>
      </c>
      <c r="AA388" s="477" t="str">
        <f>IF($AC$388="","",ROW($A$388)-ROW($A$360))</f>
        <v/>
      </c>
      <c r="AB388" s="478"/>
      <c r="AC388" s="34"/>
      <c r="AD388" s="356"/>
      <c r="AE388" s="479"/>
      <c r="AF388" s="475"/>
      <c r="AG388" s="480" t="str">
        <f t="shared" si="100"/>
        <v/>
      </c>
      <c r="AH388" s="481" t="str">
        <f t="shared" si="101"/>
        <v/>
      </c>
      <c r="AI388" s="477" t="str">
        <f>IF($AC$388="","",IFERROR(INDEX($AZ$74:$AZ$119,MATCH($AH$388,$AY$74:$AY$119,0)),"AUTRE"))</f>
        <v/>
      </c>
      <c r="AJ388" s="482" t="str">
        <f>IF($AC$388="","",IFERROR(INDEX($BA$74:$BA$119,MATCH($AH$388,$AY$74:$AY$119,0)),1))</f>
        <v/>
      </c>
      <c r="AK388" s="482" t="str">
        <f t="shared" si="102"/>
        <v/>
      </c>
      <c r="AL388" s="477" t="str">
        <f>IF($AC$388="","",IFERROR(INDEX($BB$74:$BB$119,MATCH($AH$388,$AY$74:$AY$119,0)),$AH$388))</f>
        <v/>
      </c>
      <c r="AM388" s="483" t="str">
        <f t="shared" si="103"/>
        <v/>
      </c>
      <c r="AN388" s="484" t="str">
        <f t="shared" si="104"/>
        <v/>
      </c>
      <c r="AO388" s="473" t="str">
        <f t="shared" si="105"/>
        <v/>
      </c>
      <c r="AP388" s="473" t="str">
        <f t="shared" si="106"/>
        <v/>
      </c>
      <c r="AQ388" s="473" t="str">
        <f t="shared" si="107"/>
        <v/>
      </c>
      <c r="AR388" s="473" t="str">
        <f t="shared" si="108"/>
        <v/>
      </c>
      <c r="AS388" s="473" t="str">
        <f t="shared" si="109"/>
        <v/>
      </c>
      <c r="AT388" s="473" t="str">
        <f t="shared" si="110"/>
        <v/>
      </c>
      <c r="AU388" s="473" t="str">
        <f t="shared" si="111"/>
        <v/>
      </c>
      <c r="AY388" s="271"/>
      <c r="AZ388" s="32" t="s">
        <v>8139</v>
      </c>
      <c r="BA388" s="34" t="s">
        <v>490</v>
      </c>
      <c r="BB388" s="499"/>
      <c r="BC388" s="271"/>
      <c r="BD388" s="279">
        <v>1</v>
      </c>
      <c r="BE388" s="271"/>
      <c r="BF388" s="271"/>
      <c r="BG388" s="271"/>
      <c r="BH388" s="271"/>
      <c r="BI388" s="271"/>
      <c r="BJ388" s="271"/>
      <c r="BK388" s="271"/>
      <c r="BL388" s="271"/>
    </row>
    <row r="389" spans="18:64" ht="21" customHeight="1" x14ac:dyDescent="0.25">
      <c r="R389" s="34" t="s">
        <v>478</v>
      </c>
      <c r="S389" s="451"/>
      <c r="T389" s="32" t="s">
        <v>8125</v>
      </c>
      <c r="V389" s="475">
        <v>9</v>
      </c>
      <c r="W389" s="475" t="str">
        <f>IF($AC$389="","",$W$360)</f>
        <v/>
      </c>
      <c r="X389" s="476" t="str">
        <f>IF($AC$389="","",$X$360)</f>
        <v/>
      </c>
      <c r="Y389" s="477" t="str">
        <f>IF($X$389="","",$Y$360)</f>
        <v/>
      </c>
      <c r="Z389" s="477" t="str">
        <f>IF($X$389="","",$Z$360)</f>
        <v/>
      </c>
      <c r="AA389" s="477" t="str">
        <f>IF($AC$389="","",ROW($A$389)-ROW($A$360))</f>
        <v/>
      </c>
      <c r="AB389" s="478"/>
      <c r="AC389" s="34"/>
      <c r="AD389" s="356"/>
      <c r="AE389" s="479"/>
      <c r="AF389" s="475"/>
      <c r="AG389" s="480" t="str">
        <f t="shared" si="100"/>
        <v/>
      </c>
      <c r="AH389" s="481" t="str">
        <f t="shared" si="101"/>
        <v/>
      </c>
      <c r="AI389" s="477" t="str">
        <f>IF($AC$389="","",IFERROR(INDEX($AZ$74:$AZ$119,MATCH($AH$389,$AY$74:$AY$119,0)),"AUTRE"))</f>
        <v/>
      </c>
      <c r="AJ389" s="482" t="str">
        <f>IF($AC$389="","",IFERROR(INDEX($BA$74:$BA$119,MATCH($AH$389,$AY$74:$AY$119,0)),1))</f>
        <v/>
      </c>
      <c r="AK389" s="482" t="str">
        <f t="shared" si="102"/>
        <v/>
      </c>
      <c r="AL389" s="477" t="str">
        <f>IF($AC$389="","",IFERROR(INDEX($BB$74:$BB$119,MATCH($AH$389,$AY$74:$AY$119,0)),$AH$389))</f>
        <v/>
      </c>
      <c r="AM389" s="483" t="str">
        <f t="shared" si="103"/>
        <v/>
      </c>
      <c r="AN389" s="484" t="str">
        <f t="shared" si="104"/>
        <v/>
      </c>
      <c r="AO389" s="473" t="str">
        <f t="shared" si="105"/>
        <v/>
      </c>
      <c r="AP389" s="473" t="str">
        <f t="shared" si="106"/>
        <v/>
      </c>
      <c r="AQ389" s="473" t="str">
        <f t="shared" si="107"/>
        <v/>
      </c>
      <c r="AR389" s="473" t="str">
        <f t="shared" si="108"/>
        <v/>
      </c>
      <c r="AS389" s="473" t="str">
        <f t="shared" si="109"/>
        <v/>
      </c>
      <c r="AT389" s="473" t="str">
        <f t="shared" si="110"/>
        <v/>
      </c>
      <c r="AU389" s="473" t="str">
        <f t="shared" si="111"/>
        <v/>
      </c>
      <c r="AY389" s="497" t="s">
        <v>8145</v>
      </c>
      <c r="AZ389" s="32" t="s">
        <v>8141</v>
      </c>
      <c r="BA389" s="34" t="s">
        <v>6129</v>
      </c>
      <c r="BB389" s="499"/>
      <c r="BC389" s="271"/>
      <c r="BD389" s="279">
        <v>1</v>
      </c>
      <c r="BE389" s="271"/>
      <c r="BF389" s="271"/>
      <c r="BG389" s="271"/>
      <c r="BH389" s="271"/>
      <c r="BI389" s="271"/>
      <c r="BJ389" s="271"/>
      <c r="BK389" s="271"/>
      <c r="BL389" s="271"/>
    </row>
    <row r="390" spans="18:64" ht="21" customHeight="1" x14ac:dyDescent="0.25">
      <c r="R390" s="34" t="s">
        <v>6130</v>
      </c>
      <c r="S390" s="451"/>
      <c r="T390" s="32" t="s">
        <v>8127</v>
      </c>
      <c r="V390" s="475">
        <v>9</v>
      </c>
      <c r="W390" s="475" t="str">
        <f>IF($AC$390="","",$W$360)</f>
        <v/>
      </c>
      <c r="X390" s="476" t="str">
        <f>IF($AC$390="","",$X$360)</f>
        <v/>
      </c>
      <c r="Y390" s="477" t="str">
        <f>IF($X$390="","",$Y$360)</f>
        <v/>
      </c>
      <c r="Z390" s="477" t="str">
        <f>IF($X$390="","",$Z$360)</f>
        <v/>
      </c>
      <c r="AA390" s="477" t="str">
        <f>IF($AC$390="","",ROW($A$390)-ROW($A$360))</f>
        <v/>
      </c>
      <c r="AB390" s="478"/>
      <c r="AC390" s="34"/>
      <c r="AD390" s="356"/>
      <c r="AE390" s="479"/>
      <c r="AF390" s="475"/>
      <c r="AG390" s="480" t="str">
        <f t="shared" si="100"/>
        <v/>
      </c>
      <c r="AH390" s="481" t="str">
        <f t="shared" si="101"/>
        <v/>
      </c>
      <c r="AI390" s="477" t="str">
        <f>IF($AC$390="","",IFERROR(INDEX($AZ$74:$AZ$119,MATCH($AH$390,$AY$74:$AY$119,0)),"AUTRE"))</f>
        <v/>
      </c>
      <c r="AJ390" s="482" t="str">
        <f>IF($AC$390="","",IFERROR(INDEX($BA$74:$BA$119,MATCH($AH$390,$AY$74:$AY$119,0)),1))</f>
        <v/>
      </c>
      <c r="AK390" s="482" t="str">
        <f t="shared" si="102"/>
        <v/>
      </c>
      <c r="AL390" s="477" t="str">
        <f>IF($AC$390="","",IFERROR(INDEX($BB$74:$BB$119,MATCH($AH$390,$AY$74:$AY$119,0)),$AH$390))</f>
        <v/>
      </c>
      <c r="AM390" s="483" t="str">
        <f t="shared" si="103"/>
        <v/>
      </c>
      <c r="AN390" s="484" t="str">
        <f t="shared" si="104"/>
        <v/>
      </c>
      <c r="AO390" s="473" t="str">
        <f t="shared" si="105"/>
        <v/>
      </c>
      <c r="AP390" s="473" t="str">
        <f t="shared" si="106"/>
        <v/>
      </c>
      <c r="AQ390" s="473" t="str">
        <f t="shared" si="107"/>
        <v/>
      </c>
      <c r="AR390" s="473" t="str">
        <f t="shared" si="108"/>
        <v/>
      </c>
      <c r="AS390" s="473" t="str">
        <f t="shared" si="109"/>
        <v/>
      </c>
      <c r="AT390" s="473" t="str">
        <f t="shared" si="110"/>
        <v/>
      </c>
      <c r="AU390" s="473" t="str">
        <f t="shared" si="111"/>
        <v/>
      </c>
      <c r="AY390" s="497" t="s">
        <v>462</v>
      </c>
      <c r="AZ390" s="32" t="s">
        <v>8143</v>
      </c>
      <c r="BA390" s="34" t="s">
        <v>478</v>
      </c>
      <c r="BB390" s="499"/>
      <c r="BC390" s="271"/>
      <c r="BD390" s="279">
        <v>1</v>
      </c>
      <c r="BE390" s="271"/>
      <c r="BF390" s="271"/>
      <c r="BG390" s="271"/>
      <c r="BH390" s="271"/>
      <c r="BI390" s="271"/>
      <c r="BJ390" s="271"/>
      <c r="BK390" s="271"/>
      <c r="BL390" s="271"/>
    </row>
    <row r="391" spans="18:64" ht="21" customHeight="1" x14ac:dyDescent="0.25">
      <c r="R391" s="34" t="s">
        <v>486</v>
      </c>
      <c r="S391" s="451"/>
      <c r="T391" s="32" t="s">
        <v>320</v>
      </c>
      <c r="V391" s="475">
        <v>9</v>
      </c>
      <c r="W391" s="475" t="str">
        <f>IF($AC$391="","",$W$360)</f>
        <v/>
      </c>
      <c r="X391" s="476" t="str">
        <f>IF($AC$391="","",$X$360)</f>
        <v/>
      </c>
      <c r="Y391" s="477" t="str">
        <f>IF($X$391="","",$Y$360)</f>
        <v/>
      </c>
      <c r="Z391" s="477" t="str">
        <f>IF($X$391="","",$Z$360)</f>
        <v/>
      </c>
      <c r="AA391" s="477" t="str">
        <f>IF($AC$391="","",ROW($A$391)-ROW($A$360))</f>
        <v/>
      </c>
      <c r="AB391" s="478"/>
      <c r="AC391" s="34"/>
      <c r="AD391" s="356"/>
      <c r="AE391" s="479"/>
      <c r="AF391" s="475"/>
      <c r="AG391" s="480" t="str">
        <f t="shared" si="100"/>
        <v/>
      </c>
      <c r="AH391" s="481" t="str">
        <f t="shared" si="101"/>
        <v/>
      </c>
      <c r="AI391" s="477" t="str">
        <f>IF($AC$391="","",IFERROR(INDEX($AZ$74:$AZ$119,MATCH($AH$391,$AY$74:$AY$119,0)),"AUTRE"))</f>
        <v/>
      </c>
      <c r="AJ391" s="482" t="str">
        <f>IF($AC$391="","",IFERROR(INDEX($BA$74:$BA$119,MATCH($AH$391,$AY$74:$AY$119,0)),1))</f>
        <v/>
      </c>
      <c r="AK391" s="482" t="str">
        <f t="shared" si="102"/>
        <v/>
      </c>
      <c r="AL391" s="477" t="str">
        <f>IF($AC$391="","",IFERROR(INDEX($BB$74:$BB$119,MATCH($AH$391,$AY$74:$AY$119,0)),$AH$391))</f>
        <v/>
      </c>
      <c r="AM391" s="483" t="str">
        <f t="shared" si="103"/>
        <v/>
      </c>
      <c r="AN391" s="484" t="str">
        <f t="shared" si="104"/>
        <v/>
      </c>
      <c r="AO391" s="473" t="str">
        <f t="shared" si="105"/>
        <v/>
      </c>
      <c r="AP391" s="473" t="str">
        <f t="shared" si="106"/>
        <v/>
      </c>
      <c r="AQ391" s="473" t="str">
        <f t="shared" si="107"/>
        <v/>
      </c>
      <c r="AR391" s="473" t="str">
        <f t="shared" si="108"/>
        <v/>
      </c>
      <c r="AS391" s="473" t="str">
        <f t="shared" si="109"/>
        <v/>
      </c>
      <c r="AT391" s="473" t="str">
        <f t="shared" si="110"/>
        <v/>
      </c>
      <c r="AU391" s="473" t="str">
        <f t="shared" si="111"/>
        <v/>
      </c>
      <c r="AY391" s="497" t="s">
        <v>463</v>
      </c>
      <c r="AZ391" s="497" t="s">
        <v>8145</v>
      </c>
      <c r="BA391" s="34" t="s">
        <v>6130</v>
      </c>
      <c r="BB391" s="499"/>
      <c r="BC391" s="271"/>
      <c r="BD391" s="279">
        <v>1</v>
      </c>
      <c r="BE391" s="271"/>
      <c r="BF391" s="271"/>
      <c r="BG391" s="271"/>
      <c r="BH391" s="271"/>
      <c r="BI391" s="271"/>
      <c r="BJ391" s="271"/>
      <c r="BK391" s="271"/>
      <c r="BL391" s="271"/>
    </row>
    <row r="392" spans="18:64" ht="21" customHeight="1" x14ac:dyDescent="0.25">
      <c r="R392" s="34" t="s">
        <v>479</v>
      </c>
      <c r="S392" s="451"/>
      <c r="T392" s="32" t="s">
        <v>318</v>
      </c>
      <c r="V392" s="475">
        <v>9</v>
      </c>
      <c r="W392" s="475" t="str">
        <f>IF($AC$392="","",$W$360)</f>
        <v/>
      </c>
      <c r="X392" s="476" t="str">
        <f>IF($AC$392="","",$X$360)</f>
        <v/>
      </c>
      <c r="Y392" s="477" t="str">
        <f>IF($X$392="","",$Y$360)</f>
        <v/>
      </c>
      <c r="Z392" s="477" t="str">
        <f>IF($X$392="","",$Z$360)</f>
        <v/>
      </c>
      <c r="AA392" s="477" t="str">
        <f>IF($AC$392="","",ROW($A$392)-ROW($A$360))</f>
        <v/>
      </c>
      <c r="AB392" s="478"/>
      <c r="AC392" s="34"/>
      <c r="AD392" s="356"/>
      <c r="AE392" s="479"/>
      <c r="AF392" s="475"/>
      <c r="AG392" s="480" t="str">
        <f t="shared" si="100"/>
        <v/>
      </c>
      <c r="AH392" s="481" t="str">
        <f t="shared" si="101"/>
        <v/>
      </c>
      <c r="AI392" s="477" t="str">
        <f>IF($AC$392="","",IFERROR(INDEX($AZ$74:$AZ$119,MATCH($AH$392,$AY$74:$AY$119,0)),"AUTRE"))</f>
        <v/>
      </c>
      <c r="AJ392" s="482" t="str">
        <f>IF($AC$392="","",IFERROR(INDEX($BA$74:$BA$119,MATCH($AH$392,$AY$74:$AY$119,0)),1))</f>
        <v/>
      </c>
      <c r="AK392" s="482" t="str">
        <f t="shared" si="102"/>
        <v/>
      </c>
      <c r="AL392" s="477" t="str">
        <f>IF($AC$392="","",IFERROR(INDEX($BB$74:$BB$119,MATCH($AH$392,$AY$74:$AY$119,0)),$AH$392))</f>
        <v/>
      </c>
      <c r="AM392" s="483" t="str">
        <f t="shared" si="103"/>
        <v/>
      </c>
      <c r="AN392" s="484" t="str">
        <f t="shared" si="104"/>
        <v/>
      </c>
      <c r="AO392" s="473" t="str">
        <f t="shared" si="105"/>
        <v/>
      </c>
      <c r="AP392" s="473" t="str">
        <f t="shared" si="106"/>
        <v/>
      </c>
      <c r="AQ392" s="473" t="str">
        <f t="shared" si="107"/>
        <v/>
      </c>
      <c r="AR392" s="473" t="str">
        <f t="shared" si="108"/>
        <v/>
      </c>
      <c r="AS392" s="473" t="str">
        <f t="shared" si="109"/>
        <v/>
      </c>
      <c r="AT392" s="473" t="str">
        <f t="shared" si="110"/>
        <v/>
      </c>
      <c r="AU392" s="473" t="str">
        <f t="shared" si="111"/>
        <v/>
      </c>
      <c r="AY392" s="497" t="s">
        <v>8147</v>
      </c>
      <c r="AZ392" s="497" t="s">
        <v>462</v>
      </c>
      <c r="BA392" s="34" t="s">
        <v>486</v>
      </c>
      <c r="BB392" s="499"/>
      <c r="BC392" s="271"/>
      <c r="BD392" s="279">
        <v>1</v>
      </c>
      <c r="BE392" s="271"/>
      <c r="BF392" s="271"/>
      <c r="BG392" s="271"/>
      <c r="BH392" s="271"/>
      <c r="BI392" s="271"/>
      <c r="BJ392" s="271"/>
      <c r="BK392" s="271"/>
      <c r="BL392" s="271"/>
    </row>
    <row r="393" spans="18:64" ht="21" customHeight="1" x14ac:dyDescent="0.25">
      <c r="R393" s="34" t="s">
        <v>6131</v>
      </c>
      <c r="S393" s="451"/>
      <c r="T393" s="32" t="s">
        <v>316</v>
      </c>
      <c r="V393" s="475">
        <v>9</v>
      </c>
      <c r="W393" s="475" t="str">
        <f>IF($AC$393="","",$W$360)</f>
        <v/>
      </c>
      <c r="X393" s="476" t="str">
        <f>IF($AC$393="","",$X$360)</f>
        <v/>
      </c>
      <c r="Y393" s="477" t="str">
        <f>IF($X$393="","",$Y$360)</f>
        <v/>
      </c>
      <c r="Z393" s="477" t="str">
        <f>IF($X$393="","",$Z$360)</f>
        <v/>
      </c>
      <c r="AA393" s="477" t="str">
        <f>IF($AC$393="","",ROW($A$393)-ROW($A$360))</f>
        <v/>
      </c>
      <c r="AB393" s="478"/>
      <c r="AC393" s="34"/>
      <c r="AD393" s="356"/>
      <c r="AE393" s="479"/>
      <c r="AF393" s="475"/>
      <c r="AG393" s="480" t="str">
        <f t="shared" si="100"/>
        <v/>
      </c>
      <c r="AH393" s="481" t="str">
        <f t="shared" si="101"/>
        <v/>
      </c>
      <c r="AI393" s="477" t="str">
        <f>IF($AC$393="","",IFERROR(INDEX($AZ$74:$AZ$119,MATCH($AH$393,$AY$74:$AY$119,0)),"AUTRE"))</f>
        <v/>
      </c>
      <c r="AJ393" s="482" t="str">
        <f>IF($AC$393="","",IFERROR(INDEX($BA$74:$BA$119,MATCH($AH$393,$AY$74:$AY$119,0)),1))</f>
        <v/>
      </c>
      <c r="AK393" s="482" t="str">
        <f t="shared" si="102"/>
        <v/>
      </c>
      <c r="AL393" s="477" t="str">
        <f>IF($AC$393="","",IFERROR(INDEX($BB$74:$BB$119,MATCH($AH$393,$AY$74:$AY$119,0)),$AH$393))</f>
        <v/>
      </c>
      <c r="AM393" s="483" t="str">
        <f t="shared" si="103"/>
        <v/>
      </c>
      <c r="AN393" s="484" t="str">
        <f t="shared" si="104"/>
        <v/>
      </c>
      <c r="AO393" s="473" t="str">
        <f t="shared" si="105"/>
        <v/>
      </c>
      <c r="AP393" s="473" t="str">
        <f t="shared" si="106"/>
        <v/>
      </c>
      <c r="AQ393" s="473" t="str">
        <f t="shared" si="107"/>
        <v/>
      </c>
      <c r="AR393" s="473" t="str">
        <f t="shared" si="108"/>
        <v/>
      </c>
      <c r="AS393" s="473" t="str">
        <f t="shared" si="109"/>
        <v/>
      </c>
      <c r="AT393" s="473" t="str">
        <f t="shared" si="110"/>
        <v/>
      </c>
      <c r="AU393" s="473" t="str">
        <f t="shared" si="111"/>
        <v/>
      </c>
      <c r="AY393" s="497" t="s">
        <v>465</v>
      </c>
      <c r="AZ393" s="497" t="s">
        <v>463</v>
      </c>
      <c r="BA393" s="34" t="s">
        <v>479</v>
      </c>
      <c r="BB393" s="499"/>
      <c r="BC393" s="271"/>
      <c r="BD393" s="279">
        <v>1</v>
      </c>
      <c r="BE393" s="271"/>
      <c r="BF393" s="271"/>
      <c r="BG393" s="271"/>
      <c r="BH393" s="271"/>
      <c r="BI393" s="271"/>
      <c r="BJ393" s="271"/>
      <c r="BK393" s="271"/>
      <c r="BL393" s="271"/>
    </row>
    <row r="394" spans="18:64" ht="21" customHeight="1" x14ac:dyDescent="0.25">
      <c r="R394" s="34" t="s">
        <v>485</v>
      </c>
      <c r="S394" s="451"/>
      <c r="T394" s="32" t="s">
        <v>313</v>
      </c>
      <c r="V394" s="475">
        <v>9</v>
      </c>
      <c r="W394" s="475" t="str">
        <f>IF($AC$394="","",$W$360)</f>
        <v/>
      </c>
      <c r="X394" s="476" t="str">
        <f>IF($AC$394="","",$X$360)</f>
        <v/>
      </c>
      <c r="Y394" s="477" t="str">
        <f>IF($X$394="","",$Y$360)</f>
        <v/>
      </c>
      <c r="Z394" s="477" t="str">
        <f>IF($X$394="","",$Z$360)</f>
        <v/>
      </c>
      <c r="AA394" s="477" t="str">
        <f>IF($AC$394="","",ROW($A$394)-ROW($A$360))</f>
        <v/>
      </c>
      <c r="AB394" s="478"/>
      <c r="AC394" s="34"/>
      <c r="AD394" s="356"/>
      <c r="AE394" s="479"/>
      <c r="AF394" s="475"/>
      <c r="AG394" s="491" t="str">
        <f t="shared" si="100"/>
        <v/>
      </c>
      <c r="AH394" s="481" t="str">
        <f t="shared" si="101"/>
        <v/>
      </c>
      <c r="AI394" s="477" t="str">
        <f>IF($AC$394="","",IFERROR(INDEX($AZ$74:$AZ$119,MATCH($AH$394,$AY$74:$AY$119,0)),"AUTRE"))</f>
        <v/>
      </c>
      <c r="AJ394" s="482" t="str">
        <f>IF($AC$394="","",IFERROR(INDEX($BA$74:$BA$119,MATCH($AH$394,$AY$74:$AY$119,0)),1))</f>
        <v/>
      </c>
      <c r="AK394" s="482" t="str">
        <f t="shared" si="102"/>
        <v/>
      </c>
      <c r="AL394" s="477" t="str">
        <f>IF($AC$394="","",IFERROR(INDEX($BB$74:$BB$119,MATCH($AH$394,$AY$74:$AY$119,0)),$AH$394))</f>
        <v/>
      </c>
      <c r="AM394" s="483" t="str">
        <f t="shared" si="103"/>
        <v/>
      </c>
      <c r="AN394" s="484" t="str">
        <f t="shared" si="104"/>
        <v/>
      </c>
      <c r="AO394" s="473" t="str">
        <f t="shared" si="105"/>
        <v/>
      </c>
      <c r="AP394" s="473" t="str">
        <f t="shared" si="106"/>
        <v/>
      </c>
      <c r="AQ394" s="473" t="str">
        <f t="shared" si="107"/>
        <v/>
      </c>
      <c r="AR394" s="473" t="str">
        <f t="shared" si="108"/>
        <v/>
      </c>
      <c r="AS394" s="473" t="str">
        <f t="shared" si="109"/>
        <v/>
      </c>
      <c r="AT394" s="473" t="str">
        <f t="shared" si="110"/>
        <v/>
      </c>
      <c r="AU394" s="473" t="str">
        <f t="shared" si="111"/>
        <v/>
      </c>
      <c r="AY394" s="497" t="s">
        <v>466</v>
      </c>
      <c r="AZ394" s="497" t="s">
        <v>8147</v>
      </c>
      <c r="BA394" s="34" t="s">
        <v>6131</v>
      </c>
      <c r="BB394" s="499"/>
      <c r="BC394" s="271"/>
      <c r="BD394" s="279">
        <v>1</v>
      </c>
      <c r="BE394" s="271"/>
      <c r="BF394" s="271"/>
      <c r="BG394" s="271"/>
      <c r="BH394" s="271"/>
      <c r="BI394" s="271"/>
      <c r="BJ394" s="271"/>
      <c r="BK394" s="271"/>
      <c r="BL394" s="271"/>
    </row>
    <row r="395" spans="18:64" ht="30" customHeight="1" x14ac:dyDescent="0.25">
      <c r="R395" s="34" t="s">
        <v>6132</v>
      </c>
      <c r="S395" s="451"/>
      <c r="T395" s="32" t="s">
        <v>307</v>
      </c>
      <c r="V395" s="453" t="s">
        <v>324</v>
      </c>
      <c r="W395" s="453" t="s">
        <v>7912</v>
      </c>
      <c r="X395" s="453" t="s">
        <v>326</v>
      </c>
      <c r="Y395" s="453" t="s">
        <v>327</v>
      </c>
      <c r="Z395" s="454" t="s">
        <v>7930</v>
      </c>
      <c r="AA395" s="453" t="s">
        <v>7937</v>
      </c>
      <c r="AB395" s="501" t="s">
        <v>39</v>
      </c>
      <c r="AC395" s="501" t="s">
        <v>338</v>
      </c>
      <c r="AD395" s="501" t="s">
        <v>8114</v>
      </c>
      <c r="AE395" s="501" t="s">
        <v>339</v>
      </c>
      <c r="AF395" s="501" t="s">
        <v>7997</v>
      </c>
      <c r="AG395" s="453" t="s">
        <v>8018</v>
      </c>
      <c r="AH395" s="453" t="s">
        <v>8023</v>
      </c>
      <c r="AI395" s="453" t="s">
        <v>330</v>
      </c>
      <c r="AJ395" s="453" t="s">
        <v>8031</v>
      </c>
      <c r="AK395" s="453" t="s">
        <v>8037</v>
      </c>
      <c r="AL395" s="453" t="s">
        <v>8041</v>
      </c>
      <c r="AM395" s="453" t="s">
        <v>343</v>
      </c>
      <c r="AN395" s="457" t="s">
        <v>8115</v>
      </c>
      <c r="AO395" s="457" t="s">
        <v>8116</v>
      </c>
      <c r="AP395" s="656" t="s">
        <v>8117</v>
      </c>
      <c r="AQ395" s="656"/>
      <c r="AR395" s="656"/>
      <c r="AS395" s="656"/>
      <c r="AT395" s="656"/>
      <c r="AU395" s="657"/>
      <c r="AZ395" s="497" t="s">
        <v>465</v>
      </c>
      <c r="BA395" s="34" t="s">
        <v>485</v>
      </c>
      <c r="BB395" s="499"/>
      <c r="BC395" s="271"/>
      <c r="BD395" s="279">
        <v>1</v>
      </c>
      <c r="BE395" s="271"/>
      <c r="BF395" s="271"/>
      <c r="BG395" s="271"/>
      <c r="BH395" s="271"/>
      <c r="BI395" s="271"/>
      <c r="BJ395" s="271"/>
      <c r="BK395" s="271"/>
      <c r="BL395" s="271"/>
    </row>
    <row r="396" spans="18:64" ht="30" customHeight="1" x14ac:dyDescent="0.25">
      <c r="R396" s="25" t="s">
        <v>6133</v>
      </c>
      <c r="S396" s="451"/>
      <c r="T396" s="32" t="s">
        <v>322</v>
      </c>
      <c r="V396" s="459">
        <v>10</v>
      </c>
      <c r="W396" s="460" t="s">
        <v>8159</v>
      </c>
      <c r="X396" s="461" t="s">
        <v>8164</v>
      </c>
      <c r="Y396" s="502"/>
      <c r="Z396" s="463">
        <v>100</v>
      </c>
      <c r="AA396" s="464">
        <f>IF($AC$396="","",ROW($A$396)-ROW($A$396))</f>
        <v>0</v>
      </c>
      <c r="AB396" s="461"/>
      <c r="AC396" s="465" t="s">
        <v>8165</v>
      </c>
      <c r="AD396" s="390"/>
      <c r="AE396" s="390"/>
      <c r="AF396" s="466"/>
      <c r="AG396" s="467" t="str">
        <f t="shared" ref="AG396:AG430" si="112">IF($AC396="","",IF(LEN($AN396&amp;"")=0,"",$AN396))</f>
        <v/>
      </c>
      <c r="AH396" s="468" t="str">
        <f t="shared" ref="AH396:AH430" si="113">IF($AC396="","",IF($AF396&lt;&gt;"",UPPER(TRIM(SUBSTITUTE(SUBSTITUTE($AF396&amp;"",CHAR(160)," ")," "," "))),$AP396))</f>
        <v/>
      </c>
      <c r="AI396" s="469" t="str">
        <f>IF($AC$396="","",IFERROR(INDEX($AZ$74:$AZ$119,MATCH($AH$396,$AY$74:$AY$119,0)),"AUTRE"))</f>
        <v>AUTRE</v>
      </c>
      <c r="AJ396" s="470">
        <f>IF($AC$396="","",IFERROR(INDEX($BA$74:$BA$119,MATCH($AH$396,$AY$74:$AY$119,0)),1))</f>
        <v>1</v>
      </c>
      <c r="AK396" s="470" t="str">
        <f t="shared" ref="AK396:AK430" si="114">IF(OR(AG396="",AJ396=""),"",AG396*AJ396)</f>
        <v/>
      </c>
      <c r="AL396" s="469" t="str">
        <f>IF($AC$396="","",IFERROR(INDEX($BB$74:$BB$119,MATCH($AH$396,$AY$74:$AY$119,0)),$AH$396))</f>
        <v/>
      </c>
      <c r="AM396" s="471" t="str">
        <f t="shared" ref="AM396:AM430" si="115">IF($AC396="","",IF($AH396="QT. SUFFISANTE","OK",IF($AG396="","TEXTE",IF(NOT(ISNUMBER($AG396)),"QUANTITÉ À CONTRÔLER",IF(COUNTIF($AY$74:$AY$119,$AH396)=0,"UNITÉ À CONTRÔLER","OK")))))</f>
        <v>TEXTE</v>
      </c>
      <c r="AN396" s="474" t="str">
        <f t="shared" ref="AN396:AN430" si="116">IF($AE396&lt;&gt;"",$AE396,IF($AD396="","",IF(ISNUMBER($AD396),$AD396,IF($AO396="QT",0,IF($AO396="","",IFERROR(IF(ISNUMBER(SEARCH("/",$AO396)),VALUE(TRIM(LEFT($AO396,SEARCH("/",$AO396)-1)))/VALUE(TRIM(MID($AO396,SEARCH("/",$AO396)+1,99))),VALUE(SUBSTITUTE($AO396,".",","))),""))))))</f>
        <v/>
      </c>
      <c r="AO396" s="473" t="str">
        <f t="shared" ref="AO396:AO430" si="117">IF($AD396="","",IF(ISNUMBER($AD396),$AD396,IF(OR(LEFT($AQ396,3)="QT.",LEFT($AQ396,4)="QUAN"),"QT",IF($AR396=999,$AQ396,TRIM(LEFT($AQ396,$AR396-1))))))</f>
        <v/>
      </c>
      <c r="AP396" s="473" t="str">
        <f t="shared" ref="AP396:AP430" si="118">IF($AD396="","",IF(ISNUMBER($AD396),"",IF(OR(LEFT($AQ396,3)="QT.",LEFT($AQ396,4)="QUAN"),"QT. SUFFISANTE",IF($AO396="","",TRIM(MID($AQ396,LEN($AO396&amp;"")+1,999))))))</f>
        <v/>
      </c>
      <c r="AQ396" s="473" t="str">
        <f t="shared" ref="AQ396:AQ430" si="119">IF($AD396="","",UPPER(TRIM(SUBSTITUTE(SUBSTITUTE($AD396&amp;"",CHAR(160)," ")," "," "))))</f>
        <v/>
      </c>
      <c r="AR396" s="473" t="str">
        <f t="shared" ref="AR396:AR430" si="120">IF($AQ396="","",MIN($AS396,$AT396,$AU396))</f>
        <v/>
      </c>
      <c r="AS396" s="473" t="str">
        <f t="shared" ref="AS396:AS430" si="121">IF($AQ396="","",MIN(IFERROR(SEARCH("A",$AQ396),999),IFERROR(SEARCH("B",$AQ396),999),IFERROR(SEARCH("C",$AQ396),999),IFERROR(SEARCH("D",$AQ396),999),IFERROR(SEARCH("E",$AQ396),999),IFERROR(SEARCH("F",$AQ396),999),IFERROR(SEARCH("G",$AQ396),999),IFERROR(SEARCH("H",$AQ396),999),IFERROR(SEARCH("I",$AQ396),999)))</f>
        <v/>
      </c>
      <c r="AT396" s="473" t="str">
        <f t="shared" ref="AT396:AT430" si="122">IF($AQ396="","",MIN(IFERROR(SEARCH("J",$AQ396),999),IFERROR(SEARCH("K",$AQ396),999),IFERROR(SEARCH("L",$AQ396),999),IFERROR(SEARCH("M",$AQ396),999),IFERROR(SEARCH("N",$AQ396),999),IFERROR(SEARCH("O",$AQ396),999),IFERROR(SEARCH("P",$AQ396),999),IFERROR(SEARCH("Q",$AQ396),999),IFERROR(SEARCH("R",$AQ396),999)))</f>
        <v/>
      </c>
      <c r="AU396" s="473" t="str">
        <f t="shared" ref="AU396:AU430" si="123">IF($AQ396="","",MIN(IFERROR(SEARCH("S",$AQ396),999),IFERROR(SEARCH("T",$AQ396),999),IFERROR(SEARCH("U",$AQ396),999),IFERROR(SEARCH("V",$AQ396),999),IFERROR(SEARCH("W",$AQ396),999),IFERROR(SEARCH("X",$AQ396),999),IFERROR(SEARCH("Y",$AQ396),999),IFERROR(SEARCH("Z",$AQ396),999)))</f>
        <v/>
      </c>
      <c r="AZ396" s="497" t="s">
        <v>466</v>
      </c>
      <c r="BA396" s="34" t="s">
        <v>6132</v>
      </c>
      <c r="BB396" s="499"/>
      <c r="BC396" s="271"/>
      <c r="BD396" s="279">
        <v>1</v>
      </c>
      <c r="BE396" s="271"/>
      <c r="BF396" s="271"/>
      <c r="BG396" s="271"/>
      <c r="BH396" s="271"/>
      <c r="BI396" s="271"/>
      <c r="BJ396" s="271"/>
      <c r="BK396" s="271"/>
      <c r="BL396" s="271"/>
    </row>
    <row r="397" spans="18:64" ht="21" customHeight="1" x14ac:dyDescent="0.25">
      <c r="R397" s="34" t="s">
        <v>476</v>
      </c>
      <c r="S397" s="451"/>
      <c r="T397" s="32" t="s">
        <v>305</v>
      </c>
      <c r="V397" s="475">
        <f>$V$396</f>
        <v>10</v>
      </c>
      <c r="W397" s="475" t="str">
        <f>IF($AC$397="","",$W$396)</f>
        <v/>
      </c>
      <c r="X397" s="476" t="str">
        <f>IF($AC$397="","",$X$396)</f>
        <v/>
      </c>
      <c r="Y397" s="477" t="str">
        <f>IF($X$397="","",$Y$396)</f>
        <v/>
      </c>
      <c r="Z397" s="477" t="str">
        <f>IF($X$397="","",$Z$396)</f>
        <v/>
      </c>
      <c r="AA397" s="477" t="str">
        <f>IF($AC$397="","",ROW($A$397)-ROW($A$396))</f>
        <v/>
      </c>
      <c r="AB397" s="478"/>
      <c r="AC397" s="34"/>
      <c r="AD397" s="356"/>
      <c r="AE397" s="479"/>
      <c r="AF397" s="475"/>
      <c r="AG397" s="480" t="str">
        <f t="shared" si="112"/>
        <v/>
      </c>
      <c r="AH397" s="481" t="str">
        <f t="shared" si="113"/>
        <v/>
      </c>
      <c r="AI397" s="477" t="str">
        <f>IF($AC$397="","",IFERROR(INDEX($AZ$74:$AZ$119,MATCH($AH$397,$AY$74:$AY$119,0)),"AUTRE"))</f>
        <v/>
      </c>
      <c r="AJ397" s="482" t="str">
        <f>IF($AC$397="","",IFERROR(INDEX($BA$74:$BA$119,MATCH($AH$397,$AY$74:$AY$119,0)),1))</f>
        <v/>
      </c>
      <c r="AK397" s="482" t="str">
        <f t="shared" si="114"/>
        <v/>
      </c>
      <c r="AL397" s="477" t="str">
        <f>IF($AC$397="","",IFERROR(INDEX($BB$74:$BB$119,MATCH($AH$397,$AY$74:$AY$119,0)),$AH$397))</f>
        <v/>
      </c>
      <c r="AM397" s="483" t="str">
        <f t="shared" si="115"/>
        <v/>
      </c>
      <c r="AN397" s="484" t="str">
        <f t="shared" si="116"/>
        <v/>
      </c>
      <c r="AO397" s="473" t="str">
        <f t="shared" si="117"/>
        <v/>
      </c>
      <c r="AP397" s="473" t="str">
        <f t="shared" si="118"/>
        <v/>
      </c>
      <c r="AQ397" s="473" t="str">
        <f t="shared" si="119"/>
        <v/>
      </c>
      <c r="AR397" s="473" t="str">
        <f t="shared" si="120"/>
        <v/>
      </c>
      <c r="AS397" s="473" t="str">
        <f t="shared" si="121"/>
        <v/>
      </c>
      <c r="AT397" s="473" t="str">
        <f t="shared" si="122"/>
        <v/>
      </c>
      <c r="AU397" s="473" t="str">
        <f t="shared" si="123"/>
        <v/>
      </c>
      <c r="AZ397" s="14" t="s">
        <v>7</v>
      </c>
      <c r="BA397" s="25" t="s">
        <v>6133</v>
      </c>
      <c r="BB397" s="499"/>
      <c r="BC397" s="271"/>
      <c r="BD397" s="279">
        <v>1</v>
      </c>
      <c r="BE397" s="271"/>
      <c r="BF397" s="271"/>
      <c r="BG397" s="271"/>
      <c r="BH397" s="271"/>
      <c r="BI397" s="271"/>
      <c r="BJ397" s="271"/>
      <c r="BK397" s="271"/>
      <c r="BL397" s="271"/>
    </row>
    <row r="398" spans="18:64" ht="21" customHeight="1" x14ac:dyDescent="0.25">
      <c r="R398" s="34" t="s">
        <v>468</v>
      </c>
      <c r="S398" s="451"/>
      <c r="T398" s="32" t="s">
        <v>309</v>
      </c>
      <c r="V398" s="475">
        <v>10</v>
      </c>
      <c r="W398" s="475" t="str">
        <f>IF($AC$398="","",$W$396)</f>
        <v/>
      </c>
      <c r="X398" s="476" t="str">
        <f>IF($AC$398="","",$X$396)</f>
        <v/>
      </c>
      <c r="Y398" s="477" t="str">
        <f>IF($X$398="","",$Y$396)</f>
        <v/>
      </c>
      <c r="Z398" s="477" t="str">
        <f>IF($X$398="","",$Z$396)</f>
        <v/>
      </c>
      <c r="AA398" s="477" t="str">
        <f>IF($AC$398="","",ROW($A$398)-ROW($A$396))</f>
        <v/>
      </c>
      <c r="AB398" s="478"/>
      <c r="AC398" s="34"/>
      <c r="AD398" s="356"/>
      <c r="AE398" s="479"/>
      <c r="AF398" s="475"/>
      <c r="AG398" s="480" t="str">
        <f t="shared" si="112"/>
        <v/>
      </c>
      <c r="AH398" s="481" t="str">
        <f t="shared" si="113"/>
        <v/>
      </c>
      <c r="AI398" s="477" t="str">
        <f>IF($AC$398="","",IFERROR(INDEX($AZ$74:$AZ$119,MATCH($AH$398,$AY$74:$AY$119,0)),"AUTRE"))</f>
        <v/>
      </c>
      <c r="AJ398" s="482" t="str">
        <f>IF($AC$398="","",IFERROR(INDEX($BA$74:$BA$119,MATCH($AH$398,$AY$74:$AY$119,0)),1))</f>
        <v/>
      </c>
      <c r="AK398" s="482" t="str">
        <f t="shared" si="114"/>
        <v/>
      </c>
      <c r="AL398" s="477" t="str">
        <f>IF($AC$398="","",IFERROR(INDEX($BB$74:$BB$119,MATCH($AH$398,$AY$74:$AY$119,0)),$AH$398))</f>
        <v/>
      </c>
      <c r="AM398" s="483" t="str">
        <f t="shared" si="115"/>
        <v/>
      </c>
      <c r="AN398" s="484" t="str">
        <f t="shared" si="116"/>
        <v/>
      </c>
      <c r="AO398" s="473" t="str">
        <f t="shared" si="117"/>
        <v/>
      </c>
      <c r="AP398" s="473" t="str">
        <f t="shared" si="118"/>
        <v/>
      </c>
      <c r="AQ398" s="473" t="str">
        <f t="shared" si="119"/>
        <v/>
      </c>
      <c r="AR398" s="473" t="str">
        <f t="shared" si="120"/>
        <v/>
      </c>
      <c r="AS398" s="473" t="str">
        <f t="shared" si="121"/>
        <v/>
      </c>
      <c r="AT398" s="473" t="str">
        <f t="shared" si="122"/>
        <v/>
      </c>
      <c r="AU398" s="473" t="str">
        <f t="shared" si="123"/>
        <v/>
      </c>
      <c r="AZ398" s="27" t="s">
        <v>8</v>
      </c>
      <c r="BA398" s="34" t="s">
        <v>476</v>
      </c>
      <c r="BB398" s="499"/>
      <c r="BC398" s="271"/>
      <c r="BD398" s="279">
        <v>1</v>
      </c>
      <c r="BE398" s="271"/>
      <c r="BF398" s="271"/>
      <c r="BG398" s="271"/>
      <c r="BH398" s="271"/>
      <c r="BI398" s="271"/>
      <c r="BJ398" s="271"/>
      <c r="BK398" s="271"/>
      <c r="BL398" s="271"/>
    </row>
    <row r="399" spans="18:64" ht="21" customHeight="1" x14ac:dyDescent="0.25">
      <c r="R399" s="34" t="s">
        <v>473</v>
      </c>
      <c r="S399" s="451"/>
      <c r="T399" s="32" t="s">
        <v>311</v>
      </c>
      <c r="V399" s="475">
        <v>10</v>
      </c>
      <c r="W399" s="475" t="str">
        <f>IF($AC$399="","",$W$396)</f>
        <v/>
      </c>
      <c r="X399" s="476" t="str">
        <f>IF($AC$399="","",$X$396)</f>
        <v/>
      </c>
      <c r="Y399" s="477" t="str">
        <f>IF($X$399="","",$Y$396)</f>
        <v/>
      </c>
      <c r="Z399" s="477" t="str">
        <f>IF($X$399="","",$Z$396)</f>
        <v/>
      </c>
      <c r="AA399" s="477" t="str">
        <f>IF($AC$399="","",ROW($A$399)-ROW($A$396))</f>
        <v/>
      </c>
      <c r="AB399" s="478"/>
      <c r="AC399" s="34"/>
      <c r="AD399" s="356"/>
      <c r="AE399" s="479"/>
      <c r="AF399" s="475"/>
      <c r="AG399" s="480" t="str">
        <f t="shared" si="112"/>
        <v/>
      </c>
      <c r="AH399" s="481" t="str">
        <f t="shared" si="113"/>
        <v/>
      </c>
      <c r="AI399" s="477" t="str">
        <f>IF($AC$399="","",IFERROR(INDEX($AZ$74:$AZ$119,MATCH($AH$399,$AY$74:$AY$119,0)),"AUTRE"))</f>
        <v/>
      </c>
      <c r="AJ399" s="482" t="str">
        <f>IF($AC$399="","",IFERROR(INDEX($BA$74:$BA$119,MATCH($AH$399,$AY$74:$AY$119,0)),1))</f>
        <v/>
      </c>
      <c r="AK399" s="482" t="str">
        <f t="shared" si="114"/>
        <v/>
      </c>
      <c r="AL399" s="477" t="str">
        <f>IF($AC$399="","",IFERROR(INDEX($BB$74:$BB$119,MATCH($AH$399,$AY$74:$AY$119,0)),$AH$399))</f>
        <v/>
      </c>
      <c r="AM399" s="483" t="str">
        <f t="shared" si="115"/>
        <v/>
      </c>
      <c r="AN399" s="484" t="str">
        <f t="shared" si="116"/>
        <v/>
      </c>
      <c r="AO399" s="473" t="str">
        <f t="shared" si="117"/>
        <v/>
      </c>
      <c r="AP399" s="473" t="str">
        <f t="shared" si="118"/>
        <v/>
      </c>
      <c r="AQ399" s="473" t="str">
        <f t="shared" si="119"/>
        <v/>
      </c>
      <c r="AR399" s="473" t="str">
        <f t="shared" si="120"/>
        <v/>
      </c>
      <c r="AS399" s="473" t="str">
        <f t="shared" si="121"/>
        <v/>
      </c>
      <c r="AT399" s="473" t="str">
        <f t="shared" si="122"/>
        <v/>
      </c>
      <c r="AU399" s="473" t="str">
        <f t="shared" si="123"/>
        <v/>
      </c>
      <c r="AZ399" s="28" t="s">
        <v>13</v>
      </c>
      <c r="BA399" s="34" t="s">
        <v>468</v>
      </c>
      <c r="BB399" s="499"/>
      <c r="BC399" s="271"/>
      <c r="BD399" s="279">
        <v>1</v>
      </c>
      <c r="BE399" s="271"/>
      <c r="BF399" s="271"/>
      <c r="BG399" s="271"/>
      <c r="BH399" s="271"/>
      <c r="BI399" s="271"/>
      <c r="BJ399" s="271"/>
      <c r="BK399" s="271"/>
      <c r="BL399" s="271"/>
    </row>
    <row r="400" spans="18:64" ht="21" customHeight="1" x14ac:dyDescent="0.25">
      <c r="R400" s="34" t="s">
        <v>497</v>
      </c>
      <c r="S400" s="451"/>
      <c r="T400" s="32" t="s">
        <v>8135</v>
      </c>
      <c r="V400" s="475">
        <v>10</v>
      </c>
      <c r="W400" s="475" t="str">
        <f>IF($AC$400="","",$W$396)</f>
        <v/>
      </c>
      <c r="X400" s="476" t="str">
        <f>IF($AC$400="","",$X$396)</f>
        <v/>
      </c>
      <c r="Y400" s="477" t="str">
        <f>IF($X$400="","",$Y$396)</f>
        <v/>
      </c>
      <c r="Z400" s="477" t="str">
        <f>IF($X$400="","",$Z$396)</f>
        <v/>
      </c>
      <c r="AA400" s="477" t="str">
        <f>IF($AC$400="","",ROW($A$400)-ROW($A$396))</f>
        <v/>
      </c>
      <c r="AB400" s="478"/>
      <c r="AC400" s="34"/>
      <c r="AD400" s="356"/>
      <c r="AE400" s="479"/>
      <c r="AF400" s="475"/>
      <c r="AG400" s="480" t="str">
        <f t="shared" si="112"/>
        <v/>
      </c>
      <c r="AH400" s="481" t="str">
        <f t="shared" si="113"/>
        <v/>
      </c>
      <c r="AI400" s="477" t="str">
        <f>IF($AC$400="","",IFERROR(INDEX($AZ$74:$AZ$119,MATCH($AH$400,$AY$74:$AY$119,0)),"AUTRE"))</f>
        <v/>
      </c>
      <c r="AJ400" s="482" t="str">
        <f>IF($AC$400="","",IFERROR(INDEX($BA$74:$BA$119,MATCH($AH$400,$AY$74:$AY$119,0)),1))</f>
        <v/>
      </c>
      <c r="AK400" s="482" t="str">
        <f t="shared" si="114"/>
        <v/>
      </c>
      <c r="AL400" s="477" t="str">
        <f>IF($AC$400="","",IFERROR(INDEX($BB$74:$BB$119,MATCH($AH$400,$AY$74:$AY$119,0)),$AH$400))</f>
        <v/>
      </c>
      <c r="AM400" s="483" t="str">
        <f t="shared" si="115"/>
        <v/>
      </c>
      <c r="AN400" s="484" t="str">
        <f t="shared" si="116"/>
        <v/>
      </c>
      <c r="AO400" s="473" t="str">
        <f t="shared" si="117"/>
        <v/>
      </c>
      <c r="AP400" s="473" t="str">
        <f t="shared" si="118"/>
        <v/>
      </c>
      <c r="AQ400" s="473" t="str">
        <f t="shared" si="119"/>
        <v/>
      </c>
      <c r="AR400" s="473" t="str">
        <f t="shared" si="120"/>
        <v/>
      </c>
      <c r="AS400" s="473" t="str">
        <f t="shared" si="121"/>
        <v/>
      </c>
      <c r="AT400" s="473" t="str">
        <f t="shared" si="122"/>
        <v/>
      </c>
      <c r="AU400" s="473" t="str">
        <f t="shared" si="123"/>
        <v/>
      </c>
      <c r="AZ400" s="28" t="s">
        <v>14</v>
      </c>
      <c r="BA400" s="34" t="s">
        <v>473</v>
      </c>
      <c r="BB400" s="499"/>
      <c r="BC400" s="271"/>
      <c r="BD400" s="279">
        <v>1</v>
      </c>
      <c r="BE400" s="271"/>
      <c r="BF400" s="271"/>
      <c r="BG400" s="271"/>
      <c r="BH400" s="271"/>
      <c r="BI400" s="271"/>
      <c r="BJ400" s="271"/>
      <c r="BK400" s="271"/>
      <c r="BL400" s="271"/>
    </row>
    <row r="401" spans="18:64" ht="21" customHeight="1" x14ac:dyDescent="0.25">
      <c r="R401" s="34" t="s">
        <v>470</v>
      </c>
      <c r="S401" s="451"/>
      <c r="T401" s="497" t="s">
        <v>462</v>
      </c>
      <c r="V401" s="475">
        <v>10</v>
      </c>
      <c r="W401" s="475" t="str">
        <f>IF($AC$401="","",$W$396)</f>
        <v/>
      </c>
      <c r="X401" s="476" t="str">
        <f>IF($AC$401="","",$X$396)</f>
        <v/>
      </c>
      <c r="Y401" s="477" t="str">
        <f>IF($X$401="","",$Y$396)</f>
        <v/>
      </c>
      <c r="Z401" s="477" t="str">
        <f>IF($X$401="","",$Z$396)</f>
        <v/>
      </c>
      <c r="AA401" s="477" t="str">
        <f>IF($AC$401="","",ROW($A$401)-ROW($A$396))</f>
        <v/>
      </c>
      <c r="AB401" s="478"/>
      <c r="AC401" s="34"/>
      <c r="AD401" s="356"/>
      <c r="AE401" s="479"/>
      <c r="AF401" s="475"/>
      <c r="AG401" s="480" t="str">
        <f t="shared" si="112"/>
        <v/>
      </c>
      <c r="AH401" s="481" t="str">
        <f t="shared" si="113"/>
        <v/>
      </c>
      <c r="AI401" s="477" t="str">
        <f>IF($AC$401="","",IFERROR(INDEX($AZ$74:$AZ$119,MATCH($AH$401,$AY$74:$AY$119,0)),"AUTRE"))</f>
        <v/>
      </c>
      <c r="AJ401" s="482" t="str">
        <f>IF($AC$401="","",IFERROR(INDEX($BA$74:$BA$119,MATCH($AH$401,$AY$74:$AY$119,0)),1))</f>
        <v/>
      </c>
      <c r="AK401" s="482" t="str">
        <f t="shared" si="114"/>
        <v/>
      </c>
      <c r="AL401" s="477" t="str">
        <f>IF($AC$401="","",IFERROR(INDEX($BB$74:$BB$119,MATCH($AH$401,$AY$74:$AY$119,0)),$AH$401))</f>
        <v/>
      </c>
      <c r="AM401" s="483" t="str">
        <f t="shared" si="115"/>
        <v/>
      </c>
      <c r="AN401" s="484" t="str">
        <f t="shared" si="116"/>
        <v/>
      </c>
      <c r="AO401" s="473" t="str">
        <f t="shared" si="117"/>
        <v/>
      </c>
      <c r="AP401" s="473" t="str">
        <f t="shared" si="118"/>
        <v/>
      </c>
      <c r="AQ401" s="473" t="str">
        <f t="shared" si="119"/>
        <v/>
      </c>
      <c r="AR401" s="473" t="str">
        <f t="shared" si="120"/>
        <v/>
      </c>
      <c r="AS401" s="473" t="str">
        <f t="shared" si="121"/>
        <v/>
      </c>
      <c r="AT401" s="473" t="str">
        <f t="shared" si="122"/>
        <v/>
      </c>
      <c r="AU401" s="473" t="str">
        <f t="shared" si="123"/>
        <v/>
      </c>
      <c r="AZ401" s="28" t="s">
        <v>15</v>
      </c>
      <c r="BA401" s="34" t="s">
        <v>497</v>
      </c>
      <c r="BB401" s="499"/>
      <c r="BC401" s="271"/>
      <c r="BD401" s="279">
        <v>1</v>
      </c>
      <c r="BE401" s="271"/>
      <c r="BF401" s="271"/>
      <c r="BG401" s="271"/>
      <c r="BH401" s="271"/>
      <c r="BI401" s="271"/>
      <c r="BJ401" s="271"/>
      <c r="BK401" s="271"/>
      <c r="BL401" s="271"/>
    </row>
    <row r="402" spans="18:64" ht="21" customHeight="1" x14ac:dyDescent="0.25">
      <c r="R402" s="34" t="s">
        <v>477</v>
      </c>
      <c r="S402" s="451"/>
      <c r="T402" s="497" t="s">
        <v>463</v>
      </c>
      <c r="V402" s="475">
        <v>10</v>
      </c>
      <c r="W402" s="475" t="str">
        <f>IF($AC$402="","",$W$396)</f>
        <v/>
      </c>
      <c r="X402" s="476" t="str">
        <f>IF($AC$402="","",$X$396)</f>
        <v/>
      </c>
      <c r="Y402" s="477" t="str">
        <f>IF($X$402="","",$Y$396)</f>
        <v/>
      </c>
      <c r="Z402" s="477" t="str">
        <f>IF($X$402="","",$Z$396)</f>
        <v/>
      </c>
      <c r="AA402" s="477" t="str">
        <f>IF($AC$402="","",ROW($A$402)-ROW($A$396))</f>
        <v/>
      </c>
      <c r="AB402" s="478"/>
      <c r="AC402" s="34"/>
      <c r="AD402" s="356"/>
      <c r="AE402" s="479"/>
      <c r="AF402" s="475"/>
      <c r="AG402" s="480" t="str">
        <f t="shared" si="112"/>
        <v/>
      </c>
      <c r="AH402" s="481" t="str">
        <f t="shared" si="113"/>
        <v/>
      </c>
      <c r="AI402" s="477" t="str">
        <f>IF($AC$402="","",IFERROR(INDEX($AZ$74:$AZ$119,MATCH($AH$402,$AY$74:$AY$119,0)),"AUTRE"))</f>
        <v/>
      </c>
      <c r="AJ402" s="482" t="str">
        <f>IF($AC$402="","",IFERROR(INDEX($BA$74:$BA$119,MATCH($AH$402,$AY$74:$AY$119,0)),1))</f>
        <v/>
      </c>
      <c r="AK402" s="482" t="str">
        <f t="shared" si="114"/>
        <v/>
      </c>
      <c r="AL402" s="477" t="str">
        <f>IF($AC$402="","",IFERROR(INDEX($BB$74:$BB$119,MATCH($AH$402,$AY$74:$AY$119,0)),$AH$402))</f>
        <v/>
      </c>
      <c r="AM402" s="483" t="str">
        <f t="shared" si="115"/>
        <v/>
      </c>
      <c r="AN402" s="484" t="str">
        <f t="shared" si="116"/>
        <v/>
      </c>
      <c r="AO402" s="473" t="str">
        <f t="shared" si="117"/>
        <v/>
      </c>
      <c r="AP402" s="473" t="str">
        <f t="shared" si="118"/>
        <v/>
      </c>
      <c r="AQ402" s="473" t="str">
        <f t="shared" si="119"/>
        <v/>
      </c>
      <c r="AR402" s="473" t="str">
        <f t="shared" si="120"/>
        <v/>
      </c>
      <c r="AS402" s="473" t="str">
        <f t="shared" si="121"/>
        <v/>
      </c>
      <c r="AT402" s="473" t="str">
        <f t="shared" si="122"/>
        <v/>
      </c>
      <c r="AU402" s="473" t="str">
        <f t="shared" si="123"/>
        <v/>
      </c>
      <c r="AZ402" s="29" t="s">
        <v>9</v>
      </c>
      <c r="BA402" s="34" t="s">
        <v>470</v>
      </c>
      <c r="BB402" s="499"/>
      <c r="BC402" s="271"/>
      <c r="BD402" s="279">
        <v>1</v>
      </c>
      <c r="BE402" s="271"/>
      <c r="BF402" s="271"/>
      <c r="BG402" s="271"/>
      <c r="BH402" s="271"/>
      <c r="BI402" s="271"/>
      <c r="BJ402" s="271"/>
      <c r="BK402" s="271"/>
      <c r="BL402" s="271"/>
    </row>
    <row r="403" spans="18:64" ht="21" customHeight="1" x14ac:dyDescent="0.25">
      <c r="S403" s="451"/>
      <c r="T403" s="497" t="s">
        <v>8147</v>
      </c>
      <c r="V403" s="475">
        <v>10</v>
      </c>
      <c r="W403" s="475" t="str">
        <f>IF($AC$403="","",$W$396)</f>
        <v/>
      </c>
      <c r="X403" s="476" t="str">
        <f>IF($AC$403="","",$X$396)</f>
        <v/>
      </c>
      <c r="Y403" s="477" t="str">
        <f>IF($X$403="","",$Y$396)</f>
        <v/>
      </c>
      <c r="Z403" s="477" t="str">
        <f>IF($X$403="","",$Z$396)</f>
        <v/>
      </c>
      <c r="AA403" s="477" t="str">
        <f>IF($AC$403="","",ROW($A$403)-ROW($A$396))</f>
        <v/>
      </c>
      <c r="AB403" s="478"/>
      <c r="AC403" s="34"/>
      <c r="AD403" s="356"/>
      <c r="AE403" s="479"/>
      <c r="AF403" s="475"/>
      <c r="AG403" s="480" t="str">
        <f t="shared" si="112"/>
        <v/>
      </c>
      <c r="AH403" s="481" t="str">
        <f t="shared" si="113"/>
        <v/>
      </c>
      <c r="AI403" s="477" t="str">
        <f>IF($AC$403="","",IFERROR(INDEX($AZ$74:$AZ$119,MATCH($AH$403,$AY$74:$AY$119,0)),"AUTRE"))</f>
        <v/>
      </c>
      <c r="AJ403" s="482" t="str">
        <f>IF($AC$403="","",IFERROR(INDEX($BA$74:$BA$119,MATCH($AH$403,$AY$74:$AY$119,0)),1))</f>
        <v/>
      </c>
      <c r="AK403" s="482" t="str">
        <f t="shared" si="114"/>
        <v/>
      </c>
      <c r="AL403" s="477" t="str">
        <f>IF($AC$403="","",IFERROR(INDEX($BB$74:$BB$119,MATCH($AH$403,$AY$74:$AY$119,0)),$AH$403))</f>
        <v/>
      </c>
      <c r="AM403" s="483" t="str">
        <f t="shared" si="115"/>
        <v/>
      </c>
      <c r="AN403" s="484" t="str">
        <f t="shared" si="116"/>
        <v/>
      </c>
      <c r="AO403" s="473" t="str">
        <f t="shared" si="117"/>
        <v/>
      </c>
      <c r="AP403" s="473" t="str">
        <f t="shared" si="118"/>
        <v/>
      </c>
      <c r="AQ403" s="473" t="str">
        <f t="shared" si="119"/>
        <v/>
      </c>
      <c r="AR403" s="473" t="str">
        <f t="shared" si="120"/>
        <v/>
      </c>
      <c r="AS403" s="473" t="str">
        <f t="shared" si="121"/>
        <v/>
      </c>
      <c r="AT403" s="473" t="str">
        <f t="shared" si="122"/>
        <v/>
      </c>
      <c r="AU403" s="473" t="str">
        <f t="shared" si="123"/>
        <v/>
      </c>
      <c r="AZ403" s="30" t="s">
        <v>10</v>
      </c>
      <c r="BA403" s="34" t="s">
        <v>477</v>
      </c>
      <c r="BB403" s="499"/>
      <c r="BC403" s="271"/>
      <c r="BD403" s="279">
        <v>1</v>
      </c>
      <c r="BE403" s="271"/>
      <c r="BF403" s="271"/>
      <c r="BG403" s="271"/>
      <c r="BH403" s="271"/>
      <c r="BI403" s="271"/>
      <c r="BJ403" s="271"/>
      <c r="BK403" s="271"/>
      <c r="BL403" s="271"/>
    </row>
    <row r="404" spans="18:64" ht="21" customHeight="1" x14ac:dyDescent="0.25">
      <c r="R404" s="25" t="s">
        <v>6134</v>
      </c>
      <c r="S404" s="451"/>
      <c r="T404" s="497" t="s">
        <v>465</v>
      </c>
      <c r="V404" s="475">
        <v>10</v>
      </c>
      <c r="W404" s="475" t="str">
        <f>IF($AC$404="","",$W$396)</f>
        <v/>
      </c>
      <c r="X404" s="476" t="str">
        <f>IF($AC$404="","",$X$396)</f>
        <v/>
      </c>
      <c r="Y404" s="477" t="str">
        <f>IF($X$404="","",$Y$396)</f>
        <v/>
      </c>
      <c r="Z404" s="477" t="str">
        <f>IF($X$404="","",$Z$396)</f>
        <v/>
      </c>
      <c r="AA404" s="477" t="str">
        <f>IF($AC$404="","",ROW($A$404)-ROW($A$396))</f>
        <v/>
      </c>
      <c r="AB404" s="478"/>
      <c r="AC404" s="34"/>
      <c r="AD404" s="356"/>
      <c r="AE404" s="479"/>
      <c r="AF404" s="475"/>
      <c r="AG404" s="480" t="str">
        <f t="shared" si="112"/>
        <v/>
      </c>
      <c r="AH404" s="481" t="str">
        <f t="shared" si="113"/>
        <v/>
      </c>
      <c r="AI404" s="477" t="str">
        <f>IF($AC$404="","",IFERROR(INDEX($AZ$74:$AZ$119,MATCH($AH$404,$AY$74:$AY$119,0)),"AUTRE"))</f>
        <v/>
      </c>
      <c r="AJ404" s="482" t="str">
        <f>IF($AC$404="","",IFERROR(INDEX($BA$74:$BA$119,MATCH($AH$404,$AY$74:$AY$119,0)),1))</f>
        <v/>
      </c>
      <c r="AK404" s="482" t="str">
        <f t="shared" si="114"/>
        <v/>
      </c>
      <c r="AL404" s="477" t="str">
        <f>IF($AC$404="","",IFERROR(INDEX($BB$74:$BB$119,MATCH($AH$404,$AY$74:$AY$119,0)),$AH$404))</f>
        <v/>
      </c>
      <c r="AM404" s="483" t="str">
        <f t="shared" si="115"/>
        <v/>
      </c>
      <c r="AN404" s="484" t="str">
        <f t="shared" si="116"/>
        <v/>
      </c>
      <c r="AO404" s="473" t="str">
        <f t="shared" si="117"/>
        <v/>
      </c>
      <c r="AP404" s="473" t="str">
        <f t="shared" si="118"/>
        <v/>
      </c>
      <c r="AQ404" s="473" t="str">
        <f t="shared" si="119"/>
        <v/>
      </c>
      <c r="AR404" s="473" t="str">
        <f t="shared" si="120"/>
        <v/>
      </c>
      <c r="AS404" s="473" t="str">
        <f t="shared" si="121"/>
        <v/>
      </c>
      <c r="AT404" s="473" t="str">
        <f t="shared" si="122"/>
        <v/>
      </c>
      <c r="AU404" s="473" t="str">
        <f t="shared" si="123"/>
        <v/>
      </c>
      <c r="AZ404" s="30" t="s">
        <v>11</v>
      </c>
      <c r="BB404" s="499"/>
      <c r="BC404" s="271"/>
      <c r="BD404" s="279">
        <v>1</v>
      </c>
      <c r="BE404" s="271"/>
      <c r="BF404" s="271"/>
      <c r="BG404" s="271"/>
      <c r="BH404" s="271"/>
      <c r="BI404" s="271"/>
      <c r="BJ404" s="271"/>
      <c r="BK404" s="271"/>
      <c r="BL404" s="271"/>
    </row>
    <row r="405" spans="18:64" ht="21" customHeight="1" x14ac:dyDescent="0.25">
      <c r="R405" s="34" t="s">
        <v>481</v>
      </c>
      <c r="S405" s="451"/>
      <c r="T405" s="497" t="s">
        <v>466</v>
      </c>
      <c r="V405" s="475">
        <v>10</v>
      </c>
      <c r="W405" s="475" t="str">
        <f>IF($AC$405="","",$W$396)</f>
        <v/>
      </c>
      <c r="X405" s="476" t="str">
        <f>IF($AC$405="","",$X$396)</f>
        <v/>
      </c>
      <c r="Y405" s="477" t="str">
        <f>IF($X$405="","",$Y$396)</f>
        <v/>
      </c>
      <c r="Z405" s="477" t="str">
        <f>IF($X$405="","",$Z$396)</f>
        <v/>
      </c>
      <c r="AA405" s="477" t="str">
        <f>IF($AC$405="","",ROW($A$405)-ROW($A$396))</f>
        <v/>
      </c>
      <c r="AB405" s="478"/>
      <c r="AC405" s="34"/>
      <c r="AD405" s="356"/>
      <c r="AE405" s="479"/>
      <c r="AF405" s="475"/>
      <c r="AG405" s="480" t="str">
        <f t="shared" si="112"/>
        <v/>
      </c>
      <c r="AH405" s="481" t="str">
        <f t="shared" si="113"/>
        <v/>
      </c>
      <c r="AI405" s="477" t="str">
        <f>IF($AC$405="","",IFERROR(INDEX($AZ$74:$AZ$119,MATCH($AH$405,$AY$74:$AY$119,0)),"AUTRE"))</f>
        <v/>
      </c>
      <c r="AJ405" s="482" t="str">
        <f>IF($AC$405="","",IFERROR(INDEX($BA$74:$BA$119,MATCH($AH$405,$AY$74:$AY$119,0)),1))</f>
        <v/>
      </c>
      <c r="AK405" s="482" t="str">
        <f t="shared" si="114"/>
        <v/>
      </c>
      <c r="AL405" s="477" t="str">
        <f>IF($AC$405="","",IFERROR(INDEX($BB$74:$BB$119,MATCH($AH$405,$AY$74:$AY$119,0)),$AH$405))</f>
        <v/>
      </c>
      <c r="AM405" s="483" t="str">
        <f t="shared" si="115"/>
        <v/>
      </c>
      <c r="AN405" s="484" t="str">
        <f t="shared" si="116"/>
        <v/>
      </c>
      <c r="AO405" s="473" t="str">
        <f t="shared" si="117"/>
        <v/>
      </c>
      <c r="AP405" s="473" t="str">
        <f t="shared" si="118"/>
        <v/>
      </c>
      <c r="AQ405" s="473" t="str">
        <f t="shared" si="119"/>
        <v/>
      </c>
      <c r="AR405" s="473" t="str">
        <f t="shared" si="120"/>
        <v/>
      </c>
      <c r="AS405" s="473" t="str">
        <f t="shared" si="121"/>
        <v/>
      </c>
      <c r="AT405" s="473" t="str">
        <f t="shared" si="122"/>
        <v/>
      </c>
      <c r="AU405" s="473" t="str">
        <f t="shared" si="123"/>
        <v/>
      </c>
      <c r="AZ405" s="30" t="s">
        <v>12</v>
      </c>
      <c r="BA405" s="25" t="s">
        <v>6134</v>
      </c>
      <c r="BB405" s="499"/>
      <c r="BC405" s="271"/>
      <c r="BD405" s="279">
        <v>1</v>
      </c>
      <c r="BE405" s="271"/>
      <c r="BF405" s="271"/>
      <c r="BG405" s="271"/>
      <c r="BH405" s="271"/>
      <c r="BI405" s="271"/>
      <c r="BJ405" s="271"/>
      <c r="BK405" s="271"/>
      <c r="BL405" s="271"/>
    </row>
    <row r="406" spans="18:64" ht="21" customHeight="1" x14ac:dyDescent="0.25">
      <c r="R406" s="34" t="s">
        <v>475</v>
      </c>
      <c r="S406" s="451"/>
      <c r="T406" s="440" t="s">
        <v>8110</v>
      </c>
      <c r="V406" s="475">
        <v>10</v>
      </c>
      <c r="W406" s="475" t="str">
        <f>IF($AC$406="","",$W$396)</f>
        <v/>
      </c>
      <c r="X406" s="476" t="str">
        <f>IF($AC$406="","",$X$396)</f>
        <v/>
      </c>
      <c r="Y406" s="477" t="str">
        <f>IF($X$406="","",$Y$396)</f>
        <v/>
      </c>
      <c r="Z406" s="477" t="str">
        <f>IF($X$406="","",$Z$396)</f>
        <v/>
      </c>
      <c r="AA406" s="477" t="str">
        <f>IF($AC$406="","",ROW($A$406)-ROW($A$396))</f>
        <v/>
      </c>
      <c r="AB406" s="478"/>
      <c r="AC406" s="34"/>
      <c r="AD406" s="356"/>
      <c r="AE406" s="479"/>
      <c r="AF406" s="475"/>
      <c r="AG406" s="480" t="str">
        <f t="shared" si="112"/>
        <v/>
      </c>
      <c r="AH406" s="481" t="str">
        <f t="shared" si="113"/>
        <v/>
      </c>
      <c r="AI406" s="477" t="str">
        <f>IF($AC$406="","",IFERROR(INDEX($AZ$74:$AZ$119,MATCH($AH$406,$AY$74:$AY$119,0)),"AUTRE"))</f>
        <v/>
      </c>
      <c r="AJ406" s="482" t="str">
        <f>IF($AC$406="","",IFERROR(INDEX($BA$74:$BA$119,MATCH($AH$406,$AY$74:$AY$119,0)),1))</f>
        <v/>
      </c>
      <c r="AK406" s="482" t="str">
        <f t="shared" si="114"/>
        <v/>
      </c>
      <c r="AL406" s="477" t="str">
        <f>IF($AC$406="","",IFERROR(INDEX($BB$74:$BB$119,MATCH($AH$406,$AY$74:$AY$119,0)),$AH$406))</f>
        <v/>
      </c>
      <c r="AM406" s="483" t="str">
        <f t="shared" si="115"/>
        <v/>
      </c>
      <c r="AN406" s="484" t="str">
        <f t="shared" si="116"/>
        <v/>
      </c>
      <c r="AO406" s="473" t="str">
        <f t="shared" si="117"/>
        <v/>
      </c>
      <c r="AP406" s="473" t="str">
        <f t="shared" si="118"/>
        <v/>
      </c>
      <c r="AQ406" s="473" t="str">
        <f t="shared" si="119"/>
        <v/>
      </c>
      <c r="AR406" s="473" t="str">
        <f t="shared" si="120"/>
        <v/>
      </c>
      <c r="AS406" s="473" t="str">
        <f t="shared" si="121"/>
        <v/>
      </c>
      <c r="AT406" s="473" t="str">
        <f t="shared" si="122"/>
        <v/>
      </c>
      <c r="AU406" s="473" t="str">
        <f t="shared" si="123"/>
        <v/>
      </c>
      <c r="AZ406" s="31" t="s">
        <v>16</v>
      </c>
      <c r="BA406" s="34" t="s">
        <v>481</v>
      </c>
      <c r="BB406" s="499"/>
      <c r="BC406" s="271"/>
      <c r="BD406" s="279">
        <v>1</v>
      </c>
      <c r="BE406" s="271"/>
      <c r="BF406" s="271"/>
      <c r="BG406" s="271"/>
      <c r="BH406" s="271"/>
      <c r="BI406" s="271"/>
      <c r="BJ406" s="271"/>
      <c r="BK406" s="271"/>
      <c r="BL406" s="271"/>
    </row>
    <row r="407" spans="18:64" ht="21" customHeight="1" x14ac:dyDescent="0.25">
      <c r="R407" s="34" t="s">
        <v>457</v>
      </c>
      <c r="S407" s="451"/>
      <c r="T407" s="452" t="s">
        <v>8113</v>
      </c>
      <c r="V407" s="475">
        <v>10</v>
      </c>
      <c r="W407" s="475" t="str">
        <f>IF($AC$407="","",$W$396)</f>
        <v/>
      </c>
      <c r="X407" s="476" t="str">
        <f>IF($AC$407="","",$X$396)</f>
        <v/>
      </c>
      <c r="Y407" s="477" t="str">
        <f>IF($X$407="","",$Y$396)</f>
        <v/>
      </c>
      <c r="Z407" s="477" t="str">
        <f>IF($X$407="","",$Z$396)</f>
        <v/>
      </c>
      <c r="AA407" s="477" t="str">
        <f>IF($AC$407="","",ROW($A$407)-ROW($A$396))</f>
        <v/>
      </c>
      <c r="AB407" s="478"/>
      <c r="AC407" s="34"/>
      <c r="AD407" s="356"/>
      <c r="AE407" s="479"/>
      <c r="AF407" s="475"/>
      <c r="AG407" s="480" t="str">
        <f t="shared" si="112"/>
        <v/>
      </c>
      <c r="AH407" s="481" t="str">
        <f t="shared" si="113"/>
        <v/>
      </c>
      <c r="AI407" s="477" t="str">
        <f>IF($AC$407="","",IFERROR(INDEX($AZ$74:$AZ$119,MATCH($AH$407,$AY$74:$AY$119,0)),"AUTRE"))</f>
        <v/>
      </c>
      <c r="AJ407" s="482" t="str">
        <f>IF($AC$407="","",IFERROR(INDEX($BA$74:$BA$119,MATCH($AH$407,$AY$74:$AY$119,0)),1))</f>
        <v/>
      </c>
      <c r="AK407" s="482" t="str">
        <f t="shared" si="114"/>
        <v/>
      </c>
      <c r="AL407" s="477" t="str">
        <f>IF($AC$407="","",IFERROR(INDEX($BB$74:$BB$119,MATCH($AH$407,$AY$74:$AY$119,0)),$AH$407))</f>
        <v/>
      </c>
      <c r="AM407" s="483" t="str">
        <f t="shared" si="115"/>
        <v/>
      </c>
      <c r="AN407" s="484" t="str">
        <f t="shared" si="116"/>
        <v/>
      </c>
      <c r="AO407" s="473" t="str">
        <f t="shared" si="117"/>
        <v/>
      </c>
      <c r="AP407" s="473" t="str">
        <f t="shared" si="118"/>
        <v/>
      </c>
      <c r="AQ407" s="473" t="str">
        <f t="shared" si="119"/>
        <v/>
      </c>
      <c r="AR407" s="473" t="str">
        <f t="shared" si="120"/>
        <v/>
      </c>
      <c r="AS407" s="473" t="str">
        <f t="shared" si="121"/>
        <v/>
      </c>
      <c r="AT407" s="473" t="str">
        <f t="shared" si="122"/>
        <v/>
      </c>
      <c r="AU407" s="473" t="str">
        <f t="shared" si="123"/>
        <v/>
      </c>
      <c r="AZ407" s="31" t="s">
        <v>17</v>
      </c>
      <c r="BA407" s="34" t="s">
        <v>475</v>
      </c>
      <c r="BB407" s="499"/>
      <c r="BC407" s="271"/>
      <c r="BD407" s="279">
        <v>1</v>
      </c>
      <c r="BE407" s="271"/>
      <c r="BF407" s="271"/>
      <c r="BG407" s="271"/>
      <c r="BH407" s="271"/>
      <c r="BI407" s="271"/>
      <c r="BJ407" s="271"/>
      <c r="BK407" s="271"/>
      <c r="BL407" s="271"/>
    </row>
    <row r="408" spans="18:64" ht="21" customHeight="1" x14ac:dyDescent="0.25">
      <c r="R408" s="34" t="s">
        <v>482</v>
      </c>
      <c r="S408" s="451"/>
      <c r="T408" s="14" t="s">
        <v>7</v>
      </c>
      <c r="V408" s="475">
        <v>10</v>
      </c>
      <c r="W408" s="475" t="str">
        <f>IF($AC$408="","",$W$396)</f>
        <v/>
      </c>
      <c r="X408" s="476" t="str">
        <f>IF($AC$408="","",$X$396)</f>
        <v/>
      </c>
      <c r="Y408" s="477" t="str">
        <f>IF($X$408="","",$Y$396)</f>
        <v/>
      </c>
      <c r="Z408" s="477" t="str">
        <f>IF($X$408="","",$Z$396)</f>
        <v/>
      </c>
      <c r="AA408" s="477" t="str">
        <f>IF($AC$408="","",ROW($A$408)-ROW($A$396))</f>
        <v/>
      </c>
      <c r="AB408" s="478"/>
      <c r="AC408" s="34"/>
      <c r="AD408" s="356"/>
      <c r="AE408" s="479"/>
      <c r="AF408" s="475"/>
      <c r="AG408" s="480" t="str">
        <f t="shared" si="112"/>
        <v/>
      </c>
      <c r="AH408" s="481" t="str">
        <f t="shared" si="113"/>
        <v/>
      </c>
      <c r="AI408" s="477" t="str">
        <f>IF($AC$408="","",IFERROR(INDEX($AZ$74:$AZ$119,MATCH($AH$408,$AY$74:$AY$119,0)),"AUTRE"))</f>
        <v/>
      </c>
      <c r="AJ408" s="482" t="str">
        <f>IF($AC$408="","",IFERROR(INDEX($BA$74:$BA$119,MATCH($AH$408,$AY$74:$AY$119,0)),1))</f>
        <v/>
      </c>
      <c r="AK408" s="482" t="str">
        <f t="shared" si="114"/>
        <v/>
      </c>
      <c r="AL408" s="477" t="str">
        <f>IF($AC$408="","",IFERROR(INDEX($BB$74:$BB$119,MATCH($AH$408,$AY$74:$AY$119,0)),$AH$408))</f>
        <v/>
      </c>
      <c r="AM408" s="483" t="str">
        <f t="shared" si="115"/>
        <v/>
      </c>
      <c r="AN408" s="484" t="str">
        <f t="shared" si="116"/>
        <v/>
      </c>
      <c r="AO408" s="473" t="str">
        <f t="shared" si="117"/>
        <v/>
      </c>
      <c r="AP408" s="473" t="str">
        <f t="shared" si="118"/>
        <v/>
      </c>
      <c r="AQ408" s="473" t="str">
        <f t="shared" si="119"/>
        <v/>
      </c>
      <c r="AR408" s="473" t="str">
        <f t="shared" si="120"/>
        <v/>
      </c>
      <c r="AS408" s="473" t="str">
        <f t="shared" si="121"/>
        <v/>
      </c>
      <c r="AT408" s="473" t="str">
        <f t="shared" si="122"/>
        <v/>
      </c>
      <c r="AU408" s="473" t="str">
        <f t="shared" si="123"/>
        <v/>
      </c>
      <c r="AZ408" s="31" t="s">
        <v>18</v>
      </c>
      <c r="BA408" s="34" t="s">
        <v>457</v>
      </c>
      <c r="BB408" s="499"/>
      <c r="BC408" s="271"/>
      <c r="BD408" s="279">
        <v>1</v>
      </c>
      <c r="BE408" s="271"/>
      <c r="BF408" s="271"/>
      <c r="BG408" s="271"/>
      <c r="BH408" s="271"/>
      <c r="BI408" s="271"/>
      <c r="BJ408" s="271"/>
      <c r="BK408" s="271"/>
      <c r="BL408" s="271"/>
    </row>
    <row r="409" spans="18:64" ht="21" customHeight="1" x14ac:dyDescent="0.25">
      <c r="R409" s="34" t="s">
        <v>496</v>
      </c>
      <c r="S409" s="451"/>
      <c r="T409" s="27" t="s">
        <v>8</v>
      </c>
      <c r="V409" s="475">
        <v>10</v>
      </c>
      <c r="W409" s="475" t="str">
        <f>IF($AC$409="","",$W$396)</f>
        <v/>
      </c>
      <c r="X409" s="476" t="str">
        <f>IF($AC$409="","",$X$396)</f>
        <v/>
      </c>
      <c r="Y409" s="477" t="str">
        <f>IF($X$409="","",$Y$396)</f>
        <v/>
      </c>
      <c r="Z409" s="477" t="str">
        <f>IF($X$409="","",$Z$396)</f>
        <v/>
      </c>
      <c r="AA409" s="477" t="str">
        <f>IF($AC$409="","",ROW($A$409)-ROW($A$396))</f>
        <v/>
      </c>
      <c r="AB409" s="478"/>
      <c r="AC409" s="34"/>
      <c r="AD409" s="356"/>
      <c r="AE409" s="479"/>
      <c r="AF409" s="475"/>
      <c r="AG409" s="480" t="str">
        <f t="shared" si="112"/>
        <v/>
      </c>
      <c r="AH409" s="481" t="str">
        <f t="shared" si="113"/>
        <v/>
      </c>
      <c r="AI409" s="477" t="str">
        <f>IF($AC$409="","",IFERROR(INDEX($AZ$74:$AZ$119,MATCH($AH$409,$AY$74:$AY$119,0)),"AUTRE"))</f>
        <v/>
      </c>
      <c r="AJ409" s="482" t="str">
        <f>IF($AC$409="","",IFERROR(INDEX($BA$74:$BA$119,MATCH($AH$409,$AY$74:$AY$119,0)),1))</f>
        <v/>
      </c>
      <c r="AK409" s="482" t="str">
        <f t="shared" si="114"/>
        <v/>
      </c>
      <c r="AL409" s="477" t="str">
        <f>IF($AC$409="","",IFERROR(INDEX($BB$74:$BB$119,MATCH($AH$409,$AY$74:$AY$119,0)),$AH$409))</f>
        <v/>
      </c>
      <c r="AM409" s="483" t="str">
        <f t="shared" si="115"/>
        <v/>
      </c>
      <c r="AN409" s="484" t="str">
        <f t="shared" si="116"/>
        <v/>
      </c>
      <c r="AO409" s="473" t="str">
        <f t="shared" si="117"/>
        <v/>
      </c>
      <c r="AP409" s="473" t="str">
        <f t="shared" si="118"/>
        <v/>
      </c>
      <c r="AQ409" s="473" t="str">
        <f t="shared" si="119"/>
        <v/>
      </c>
      <c r="AR409" s="473" t="str">
        <f t="shared" si="120"/>
        <v/>
      </c>
      <c r="AS409" s="473" t="str">
        <f t="shared" si="121"/>
        <v/>
      </c>
      <c r="AT409" s="473" t="str">
        <f t="shared" si="122"/>
        <v/>
      </c>
      <c r="AU409" s="473" t="str">
        <f t="shared" si="123"/>
        <v/>
      </c>
      <c r="AZ409" s="31" t="s">
        <v>19</v>
      </c>
      <c r="BA409" s="34" t="s">
        <v>482</v>
      </c>
      <c r="BB409" s="499"/>
      <c r="BC409" s="271"/>
      <c r="BD409" s="279">
        <v>1</v>
      </c>
      <c r="BE409" s="271"/>
      <c r="BF409" s="271"/>
      <c r="BG409" s="271"/>
      <c r="BH409" s="271"/>
      <c r="BI409" s="271"/>
      <c r="BJ409" s="271"/>
      <c r="BK409" s="271"/>
      <c r="BL409" s="271"/>
    </row>
    <row r="410" spans="18:64" ht="21" customHeight="1" x14ac:dyDescent="0.25">
      <c r="R410" s="34" t="s">
        <v>483</v>
      </c>
      <c r="S410" s="451"/>
      <c r="T410" s="28" t="s">
        <v>13</v>
      </c>
      <c r="V410" s="475">
        <v>10</v>
      </c>
      <c r="W410" s="475" t="str">
        <f>IF($AC$410="","",$W$396)</f>
        <v/>
      </c>
      <c r="X410" s="476" t="str">
        <f>IF($AC$410="","",$X$396)</f>
        <v/>
      </c>
      <c r="Y410" s="477" t="str">
        <f>IF($X$410="","",$Y$396)</f>
        <v/>
      </c>
      <c r="Z410" s="477" t="str">
        <f>IF($X$410="","",$Z$396)</f>
        <v/>
      </c>
      <c r="AA410" s="477" t="str">
        <f>IF($AC$410="","",ROW($A$410)-ROW($A$396))</f>
        <v/>
      </c>
      <c r="AB410" s="478"/>
      <c r="AC410" s="34"/>
      <c r="AD410" s="356"/>
      <c r="AE410" s="479"/>
      <c r="AF410" s="475"/>
      <c r="AG410" s="480" t="str">
        <f t="shared" si="112"/>
        <v/>
      </c>
      <c r="AH410" s="481" t="str">
        <f t="shared" si="113"/>
        <v/>
      </c>
      <c r="AI410" s="477" t="str">
        <f>IF($AC$410="","",IFERROR(INDEX($AZ$74:$AZ$119,MATCH($AH$410,$AY$74:$AY$119,0)),"AUTRE"))</f>
        <v/>
      </c>
      <c r="AJ410" s="482" t="str">
        <f>IF($AC$410="","",IFERROR(INDEX($BA$74:$BA$119,MATCH($AH$410,$AY$74:$AY$119,0)),1))</f>
        <v/>
      </c>
      <c r="AK410" s="482" t="str">
        <f t="shared" si="114"/>
        <v/>
      </c>
      <c r="AL410" s="477" t="str">
        <f>IF($AC$410="","",IFERROR(INDEX($BB$74:$BB$119,MATCH($AH$410,$AY$74:$AY$119,0)),$AH$410))</f>
        <v/>
      </c>
      <c r="AM410" s="483" t="str">
        <f t="shared" si="115"/>
        <v/>
      </c>
      <c r="AN410" s="484" t="str">
        <f t="shared" si="116"/>
        <v/>
      </c>
      <c r="AO410" s="473" t="str">
        <f t="shared" si="117"/>
        <v/>
      </c>
      <c r="AP410" s="473" t="str">
        <f t="shared" si="118"/>
        <v/>
      </c>
      <c r="AQ410" s="473" t="str">
        <f t="shared" si="119"/>
        <v/>
      </c>
      <c r="AR410" s="473" t="str">
        <f t="shared" si="120"/>
        <v/>
      </c>
      <c r="AS410" s="473" t="str">
        <f t="shared" si="121"/>
        <v/>
      </c>
      <c r="AT410" s="473" t="str">
        <f t="shared" si="122"/>
        <v/>
      </c>
      <c r="AU410" s="473" t="str">
        <f t="shared" si="123"/>
        <v/>
      </c>
      <c r="AZ410" s="31" t="s">
        <v>211</v>
      </c>
      <c r="BA410" s="34" t="s">
        <v>496</v>
      </c>
      <c r="BB410" s="499"/>
      <c r="BC410" s="271"/>
      <c r="BD410" s="279">
        <v>1</v>
      </c>
      <c r="BE410" s="271"/>
      <c r="BF410" s="271"/>
      <c r="BG410" s="271"/>
      <c r="BH410" s="271"/>
      <c r="BI410" s="271"/>
      <c r="BJ410" s="271"/>
      <c r="BK410" s="271"/>
      <c r="BL410" s="271"/>
    </row>
    <row r="411" spans="18:64" ht="21" customHeight="1" x14ac:dyDescent="0.25">
      <c r="R411" s="34" t="s">
        <v>493</v>
      </c>
      <c r="S411" s="451"/>
      <c r="T411" s="28" t="s">
        <v>14</v>
      </c>
      <c r="V411" s="475">
        <v>10</v>
      </c>
      <c r="W411" s="475" t="str">
        <f>IF($AC$411="","",$W$396)</f>
        <v/>
      </c>
      <c r="X411" s="476" t="str">
        <f>IF($AC$411="","",$X$396)</f>
        <v/>
      </c>
      <c r="Y411" s="477" t="str">
        <f>IF($X$411="","",$Y$396)</f>
        <v/>
      </c>
      <c r="Z411" s="477" t="str">
        <f>IF($X$411="","",$Z$396)</f>
        <v/>
      </c>
      <c r="AA411" s="477" t="str">
        <f>IF($AC$411="","",ROW($A$411)-ROW($A$396))</f>
        <v/>
      </c>
      <c r="AB411" s="478"/>
      <c r="AC411" s="34"/>
      <c r="AD411" s="356"/>
      <c r="AE411" s="479"/>
      <c r="AF411" s="475"/>
      <c r="AG411" s="480" t="str">
        <f t="shared" si="112"/>
        <v/>
      </c>
      <c r="AH411" s="481" t="str">
        <f t="shared" si="113"/>
        <v/>
      </c>
      <c r="AI411" s="477" t="str">
        <f>IF($AC$411="","",IFERROR(INDEX($AZ$74:$AZ$119,MATCH($AH$411,$AY$74:$AY$119,0)),"AUTRE"))</f>
        <v/>
      </c>
      <c r="AJ411" s="482" t="str">
        <f>IF($AC$411="","",IFERROR(INDEX($BA$74:$BA$119,MATCH($AH$411,$AY$74:$AY$119,0)),1))</f>
        <v/>
      </c>
      <c r="AK411" s="482" t="str">
        <f t="shared" si="114"/>
        <v/>
      </c>
      <c r="AL411" s="477" t="str">
        <f>IF($AC$411="","",IFERROR(INDEX($BB$74:$BB$119,MATCH($AH$411,$AY$74:$AY$119,0)),$AH$411))</f>
        <v/>
      </c>
      <c r="AM411" s="483" t="str">
        <f t="shared" si="115"/>
        <v/>
      </c>
      <c r="AN411" s="484" t="str">
        <f t="shared" si="116"/>
        <v/>
      </c>
      <c r="AO411" s="473" t="str">
        <f t="shared" si="117"/>
        <v/>
      </c>
      <c r="AP411" s="473" t="str">
        <f t="shared" si="118"/>
        <v/>
      </c>
      <c r="AQ411" s="473" t="str">
        <f t="shared" si="119"/>
        <v/>
      </c>
      <c r="AR411" s="473" t="str">
        <f t="shared" si="120"/>
        <v/>
      </c>
      <c r="AS411" s="473" t="str">
        <f t="shared" si="121"/>
        <v/>
      </c>
      <c r="AT411" s="473" t="str">
        <f t="shared" si="122"/>
        <v/>
      </c>
      <c r="AU411" s="473" t="str">
        <f t="shared" si="123"/>
        <v/>
      </c>
      <c r="AZ411" s="31" t="s">
        <v>20</v>
      </c>
      <c r="BA411" s="34" t="s">
        <v>483</v>
      </c>
      <c r="BB411" s="499"/>
      <c r="BC411" s="271"/>
      <c r="BD411" s="279">
        <v>1</v>
      </c>
      <c r="BE411" s="271"/>
      <c r="BF411" s="271"/>
      <c r="BG411" s="271"/>
      <c r="BH411" s="271"/>
      <c r="BI411" s="271"/>
      <c r="BJ411" s="271"/>
      <c r="BK411" s="271"/>
      <c r="BL411" s="271"/>
    </row>
    <row r="412" spans="18:64" ht="21" customHeight="1" x14ac:dyDescent="0.25">
      <c r="R412" s="34" t="s">
        <v>494</v>
      </c>
      <c r="S412" s="451"/>
      <c r="T412" s="28" t="s">
        <v>15</v>
      </c>
      <c r="V412" s="475">
        <v>10</v>
      </c>
      <c r="W412" s="475" t="str">
        <f>IF($AC$412="","",$W$396)</f>
        <v/>
      </c>
      <c r="X412" s="476" t="str">
        <f>IF($AC$412="","",$X$396)</f>
        <v/>
      </c>
      <c r="Y412" s="477" t="str">
        <f>IF($X$412="","",$Y$396)</f>
        <v/>
      </c>
      <c r="Z412" s="477" t="str">
        <f>IF($X$412="","",$Z$396)</f>
        <v/>
      </c>
      <c r="AA412" s="477" t="str">
        <f>IF($AC$412="","",ROW($A$412)-ROW($A$396))</f>
        <v/>
      </c>
      <c r="AB412" s="478"/>
      <c r="AC412" s="34"/>
      <c r="AD412" s="356"/>
      <c r="AE412" s="479"/>
      <c r="AF412" s="475"/>
      <c r="AG412" s="480" t="str">
        <f t="shared" si="112"/>
        <v/>
      </c>
      <c r="AH412" s="481" t="str">
        <f t="shared" si="113"/>
        <v/>
      </c>
      <c r="AI412" s="477" t="str">
        <f>IF($AC$412="","",IFERROR(INDEX($AZ$74:$AZ$119,MATCH($AH$412,$AY$74:$AY$119,0)),"AUTRE"))</f>
        <v/>
      </c>
      <c r="AJ412" s="482" t="str">
        <f>IF($AC$412="","",IFERROR(INDEX($BA$74:$BA$119,MATCH($AH$412,$AY$74:$AY$119,0)),1))</f>
        <v/>
      </c>
      <c r="AK412" s="482" t="str">
        <f t="shared" si="114"/>
        <v/>
      </c>
      <c r="AL412" s="477" t="str">
        <f>IF($AC$412="","",IFERROR(INDEX($BB$74:$BB$119,MATCH($AH$412,$AY$74:$AY$119,0)),$AH$412))</f>
        <v/>
      </c>
      <c r="AM412" s="483" t="str">
        <f t="shared" si="115"/>
        <v/>
      </c>
      <c r="AN412" s="484" t="str">
        <f t="shared" si="116"/>
        <v/>
      </c>
      <c r="AO412" s="473" t="str">
        <f t="shared" si="117"/>
        <v/>
      </c>
      <c r="AP412" s="473" t="str">
        <f t="shared" si="118"/>
        <v/>
      </c>
      <c r="AQ412" s="473" t="str">
        <f t="shared" si="119"/>
        <v/>
      </c>
      <c r="AR412" s="473" t="str">
        <f t="shared" si="120"/>
        <v/>
      </c>
      <c r="AS412" s="473" t="str">
        <f t="shared" si="121"/>
        <v/>
      </c>
      <c r="AT412" s="473" t="str">
        <f t="shared" si="122"/>
        <v/>
      </c>
      <c r="AU412" s="473" t="str">
        <f t="shared" si="123"/>
        <v/>
      </c>
      <c r="AZ412" s="31" t="s">
        <v>304</v>
      </c>
      <c r="BA412" s="34" t="s">
        <v>493</v>
      </c>
      <c r="BB412" s="499"/>
      <c r="BC412" s="271"/>
      <c r="BD412" s="279">
        <v>1</v>
      </c>
      <c r="BE412" s="271"/>
      <c r="BF412" s="271"/>
      <c r="BG412" s="271"/>
      <c r="BH412" s="271"/>
      <c r="BI412" s="271"/>
      <c r="BJ412" s="271"/>
      <c r="BK412" s="271"/>
      <c r="BL412" s="271"/>
    </row>
    <row r="413" spans="18:64" ht="21" customHeight="1" x14ac:dyDescent="0.25">
      <c r="S413" s="451"/>
      <c r="T413" s="28" t="s">
        <v>21</v>
      </c>
      <c r="V413" s="475">
        <v>10</v>
      </c>
      <c r="W413" s="475" t="str">
        <f>IF($AC$413="","",$W$396)</f>
        <v/>
      </c>
      <c r="X413" s="476" t="str">
        <f>IF($AC$413="","",$X$396)</f>
        <v/>
      </c>
      <c r="Y413" s="477" t="str">
        <f>IF($X$413="","",$Y$396)</f>
        <v/>
      </c>
      <c r="Z413" s="477" t="str">
        <f>IF($X$413="","",$Z$396)</f>
        <v/>
      </c>
      <c r="AA413" s="477" t="str">
        <f>IF($AC$413="","",ROW($A$413)-ROW($A$396))</f>
        <v/>
      </c>
      <c r="AB413" s="478"/>
      <c r="AC413" s="34"/>
      <c r="AD413" s="356"/>
      <c r="AE413" s="479"/>
      <c r="AF413" s="475"/>
      <c r="AG413" s="480" t="str">
        <f t="shared" si="112"/>
        <v/>
      </c>
      <c r="AH413" s="481" t="str">
        <f t="shared" si="113"/>
        <v/>
      </c>
      <c r="AI413" s="477" t="str">
        <f>IF($AC$413="","",IFERROR(INDEX($AZ$74:$AZ$119,MATCH($AH$413,$AY$74:$AY$119,0)),"AUTRE"))</f>
        <v/>
      </c>
      <c r="AJ413" s="482" t="str">
        <f>IF($AC$413="","",IFERROR(INDEX($BA$74:$BA$119,MATCH($AH$413,$AY$74:$AY$119,0)),1))</f>
        <v/>
      </c>
      <c r="AK413" s="482" t="str">
        <f t="shared" si="114"/>
        <v/>
      </c>
      <c r="AL413" s="477" t="str">
        <f>IF($AC$413="","",IFERROR(INDEX($BB$74:$BB$119,MATCH($AH$413,$AY$74:$AY$119,0)),$AH$413))</f>
        <v/>
      </c>
      <c r="AM413" s="483" t="str">
        <f t="shared" si="115"/>
        <v/>
      </c>
      <c r="AN413" s="484" t="str">
        <f t="shared" si="116"/>
        <v/>
      </c>
      <c r="AO413" s="473" t="str">
        <f t="shared" si="117"/>
        <v/>
      </c>
      <c r="AP413" s="473" t="str">
        <f t="shared" si="118"/>
        <v/>
      </c>
      <c r="AQ413" s="473" t="str">
        <f t="shared" si="119"/>
        <v/>
      </c>
      <c r="AR413" s="473" t="str">
        <f t="shared" si="120"/>
        <v/>
      </c>
      <c r="AS413" s="473" t="str">
        <f t="shared" si="121"/>
        <v/>
      </c>
      <c r="AT413" s="473" t="str">
        <f t="shared" si="122"/>
        <v/>
      </c>
      <c r="AU413" s="473" t="str">
        <f t="shared" si="123"/>
        <v/>
      </c>
      <c r="AZ413" s="31" t="s">
        <v>352</v>
      </c>
      <c r="BA413" s="34" t="s">
        <v>494</v>
      </c>
      <c r="BB413" s="499"/>
      <c r="BC413" s="271"/>
      <c r="BD413" s="279">
        <v>1</v>
      </c>
      <c r="BE413" s="271"/>
      <c r="BF413" s="271"/>
      <c r="BG413" s="271"/>
      <c r="BH413" s="271"/>
      <c r="BI413" s="271"/>
      <c r="BJ413" s="271"/>
      <c r="BK413" s="271"/>
      <c r="BL413" s="271"/>
    </row>
    <row r="414" spans="18:64" ht="21" customHeight="1" x14ac:dyDescent="0.25">
      <c r="R414" s="25" t="s">
        <v>6115</v>
      </c>
      <c r="S414" s="451"/>
      <c r="T414" s="28" t="s">
        <v>22</v>
      </c>
      <c r="V414" s="475">
        <v>10</v>
      </c>
      <c r="W414" s="475" t="str">
        <f>IF($AC$414="","",$W$396)</f>
        <v/>
      </c>
      <c r="X414" s="476" t="str">
        <f>IF($AC$414="","",$X$396)</f>
        <v/>
      </c>
      <c r="Y414" s="477" t="str">
        <f>IF($X$414="","",$Y$396)</f>
        <v/>
      </c>
      <c r="Z414" s="477" t="str">
        <f>IF($X$414="","",$Z$396)</f>
        <v/>
      </c>
      <c r="AA414" s="477" t="str">
        <f>IF($AC$414="","",ROW($A$414)-ROW($A$396))</f>
        <v/>
      </c>
      <c r="AB414" s="478"/>
      <c r="AC414" s="34"/>
      <c r="AD414" s="356"/>
      <c r="AE414" s="479"/>
      <c r="AF414" s="475"/>
      <c r="AG414" s="480" t="str">
        <f t="shared" si="112"/>
        <v/>
      </c>
      <c r="AH414" s="481" t="str">
        <f t="shared" si="113"/>
        <v/>
      </c>
      <c r="AI414" s="477" t="str">
        <f>IF($AC$414="","",IFERROR(INDEX($AZ$74:$AZ$119,MATCH($AH$414,$AY$74:$AY$119,0)),"AUTRE"))</f>
        <v/>
      </c>
      <c r="AJ414" s="482" t="str">
        <f>IF($AC$414="","",IFERROR(INDEX($BA$74:$BA$119,MATCH($AH$414,$AY$74:$AY$119,0)),1))</f>
        <v/>
      </c>
      <c r="AK414" s="482" t="str">
        <f t="shared" si="114"/>
        <v/>
      </c>
      <c r="AL414" s="477" t="str">
        <f>IF($AC$414="","",IFERROR(INDEX($BB$74:$BB$119,MATCH($AH$414,$AY$74:$AY$119,0)),$AH$414))</f>
        <v/>
      </c>
      <c r="AM414" s="483" t="str">
        <f t="shared" si="115"/>
        <v/>
      </c>
      <c r="AN414" s="484" t="str">
        <f t="shared" si="116"/>
        <v/>
      </c>
      <c r="AO414" s="473" t="str">
        <f t="shared" si="117"/>
        <v/>
      </c>
      <c r="AP414" s="473" t="str">
        <f t="shared" si="118"/>
        <v/>
      </c>
      <c r="AQ414" s="473" t="str">
        <f t="shared" si="119"/>
        <v/>
      </c>
      <c r="AR414" s="473" t="str">
        <f t="shared" si="120"/>
        <v/>
      </c>
      <c r="AS414" s="473" t="str">
        <f t="shared" si="121"/>
        <v/>
      </c>
      <c r="AT414" s="473" t="str">
        <f t="shared" si="122"/>
        <v/>
      </c>
      <c r="AU414" s="473" t="str">
        <f t="shared" si="123"/>
        <v/>
      </c>
      <c r="AZ414" s="31" t="s">
        <v>27</v>
      </c>
      <c r="BB414" s="499"/>
      <c r="BC414" s="271"/>
      <c r="BD414" s="279">
        <v>1</v>
      </c>
      <c r="BE414" s="271"/>
      <c r="BF414" s="271"/>
      <c r="BG414" s="271"/>
      <c r="BH414" s="271"/>
      <c r="BI414" s="271"/>
      <c r="BJ414" s="271"/>
      <c r="BK414" s="271"/>
      <c r="BL414" s="271"/>
    </row>
    <row r="415" spans="18:64" ht="21" customHeight="1" x14ac:dyDescent="0.25">
      <c r="R415" s="34" t="s">
        <v>471</v>
      </c>
      <c r="S415" s="451"/>
      <c r="T415" s="28" t="s">
        <v>23</v>
      </c>
      <c r="V415" s="475">
        <v>10</v>
      </c>
      <c r="W415" s="475" t="str">
        <f>IF($AC$415="","",$W$396)</f>
        <v/>
      </c>
      <c r="X415" s="476" t="str">
        <f>IF($AC$415="","",$X$396)</f>
        <v/>
      </c>
      <c r="Y415" s="477" t="str">
        <f>IF($X$415="","",$Y$396)</f>
        <v/>
      </c>
      <c r="Z415" s="477" t="str">
        <f>IF($X$415="","",$Z$396)</f>
        <v/>
      </c>
      <c r="AA415" s="477" t="str">
        <f>IF($AC$415="","",ROW($A$415)-ROW($A$396))</f>
        <v/>
      </c>
      <c r="AB415" s="478"/>
      <c r="AC415" s="34"/>
      <c r="AD415" s="356"/>
      <c r="AE415" s="479"/>
      <c r="AF415" s="475"/>
      <c r="AG415" s="480" t="str">
        <f t="shared" si="112"/>
        <v/>
      </c>
      <c r="AH415" s="481" t="str">
        <f t="shared" si="113"/>
        <v/>
      </c>
      <c r="AI415" s="477" t="str">
        <f>IF($AC$415="","",IFERROR(INDEX($AZ$74:$AZ$119,MATCH($AH$415,$AY$74:$AY$119,0)),"AUTRE"))</f>
        <v/>
      </c>
      <c r="AJ415" s="482" t="str">
        <f>IF($AC$415="","",IFERROR(INDEX($BA$74:$BA$119,MATCH($AH$415,$AY$74:$AY$119,0)),1))</f>
        <v/>
      </c>
      <c r="AK415" s="482" t="str">
        <f t="shared" si="114"/>
        <v/>
      </c>
      <c r="AL415" s="477" t="str">
        <f>IF($AC$415="","",IFERROR(INDEX($BB$74:$BB$119,MATCH($AH$415,$AY$74:$AY$119,0)),$AH$415))</f>
        <v/>
      </c>
      <c r="AM415" s="483" t="str">
        <f t="shared" si="115"/>
        <v/>
      </c>
      <c r="AN415" s="484" t="str">
        <f t="shared" si="116"/>
        <v/>
      </c>
      <c r="AO415" s="473" t="str">
        <f t="shared" si="117"/>
        <v/>
      </c>
      <c r="AP415" s="473" t="str">
        <f t="shared" si="118"/>
        <v/>
      </c>
      <c r="AQ415" s="473" t="str">
        <f t="shared" si="119"/>
        <v/>
      </c>
      <c r="AR415" s="473" t="str">
        <f t="shared" si="120"/>
        <v/>
      </c>
      <c r="AS415" s="473" t="str">
        <f t="shared" si="121"/>
        <v/>
      </c>
      <c r="AT415" s="473" t="str">
        <f t="shared" si="122"/>
        <v/>
      </c>
      <c r="AU415" s="473" t="str">
        <f t="shared" si="123"/>
        <v/>
      </c>
      <c r="AZ415" s="31" t="s">
        <v>28</v>
      </c>
      <c r="BA415" s="25" t="s">
        <v>6115</v>
      </c>
      <c r="BB415" s="499"/>
      <c r="BC415" s="271"/>
      <c r="BD415" s="279">
        <v>1</v>
      </c>
      <c r="BE415" s="271"/>
      <c r="BF415" s="271"/>
      <c r="BG415" s="271"/>
      <c r="BH415" s="271"/>
      <c r="BI415" s="271"/>
      <c r="BJ415" s="271"/>
      <c r="BK415" s="271"/>
      <c r="BL415" s="271"/>
    </row>
    <row r="416" spans="18:64" ht="21" customHeight="1" x14ac:dyDescent="0.25">
      <c r="R416" s="34" t="s">
        <v>472</v>
      </c>
      <c r="S416" s="451"/>
      <c r="T416" s="28" t="s">
        <v>24</v>
      </c>
      <c r="V416" s="475">
        <v>10</v>
      </c>
      <c r="W416" s="475" t="str">
        <f>IF($AC$416="","",$W$396)</f>
        <v/>
      </c>
      <c r="X416" s="476" t="str">
        <f>IF($AC$416="","",$X$396)</f>
        <v/>
      </c>
      <c r="Y416" s="477" t="str">
        <f>IF($X$416="","",$Y$396)</f>
        <v/>
      </c>
      <c r="Z416" s="477" t="str">
        <f>IF($X$416="","",$Z$396)</f>
        <v/>
      </c>
      <c r="AA416" s="477" t="str">
        <f>IF($AC$416="","",ROW($A$416)-ROW($A$396))</f>
        <v/>
      </c>
      <c r="AB416" s="478"/>
      <c r="AC416" s="34"/>
      <c r="AD416" s="356"/>
      <c r="AE416" s="479"/>
      <c r="AF416" s="475"/>
      <c r="AG416" s="480" t="str">
        <f t="shared" si="112"/>
        <v/>
      </c>
      <c r="AH416" s="481" t="str">
        <f t="shared" si="113"/>
        <v/>
      </c>
      <c r="AI416" s="477" t="str">
        <f>IF($AC$416="","",IFERROR(INDEX($AZ$74:$AZ$119,MATCH($AH$416,$AY$74:$AY$119,0)),"AUTRE"))</f>
        <v/>
      </c>
      <c r="AJ416" s="482" t="str">
        <f>IF($AC$416="","",IFERROR(INDEX($BA$74:$BA$119,MATCH($AH$416,$AY$74:$AY$119,0)),1))</f>
        <v/>
      </c>
      <c r="AK416" s="482" t="str">
        <f t="shared" si="114"/>
        <v/>
      </c>
      <c r="AL416" s="477" t="str">
        <f>IF($AC$416="","",IFERROR(INDEX($BB$74:$BB$119,MATCH($AH$416,$AY$74:$AY$119,0)),$AH$416))</f>
        <v/>
      </c>
      <c r="AM416" s="483" t="str">
        <f t="shared" si="115"/>
        <v/>
      </c>
      <c r="AN416" s="484" t="str">
        <f t="shared" si="116"/>
        <v/>
      </c>
      <c r="AO416" s="473" t="str">
        <f t="shared" si="117"/>
        <v/>
      </c>
      <c r="AP416" s="473" t="str">
        <f t="shared" si="118"/>
        <v/>
      </c>
      <c r="AQ416" s="473" t="str">
        <f t="shared" si="119"/>
        <v/>
      </c>
      <c r="AR416" s="473" t="str">
        <f t="shared" si="120"/>
        <v/>
      </c>
      <c r="AS416" s="473" t="str">
        <f t="shared" si="121"/>
        <v/>
      </c>
      <c r="AT416" s="473" t="str">
        <f t="shared" si="122"/>
        <v/>
      </c>
      <c r="AU416" s="473" t="str">
        <f t="shared" si="123"/>
        <v/>
      </c>
      <c r="AZ416" s="31" t="s">
        <v>29</v>
      </c>
      <c r="BA416" s="34" t="s">
        <v>471</v>
      </c>
      <c r="BB416" s="499"/>
      <c r="BC416" s="271"/>
      <c r="BD416" s="279">
        <v>1</v>
      </c>
      <c r="BE416" s="271"/>
      <c r="BF416" s="271"/>
      <c r="BG416" s="271"/>
      <c r="BH416" s="271"/>
      <c r="BI416" s="271"/>
      <c r="BJ416" s="271"/>
      <c r="BK416" s="271"/>
      <c r="BL416" s="271"/>
    </row>
    <row r="417" spans="1:64" ht="21" customHeight="1" x14ac:dyDescent="0.25">
      <c r="R417" s="34" t="s">
        <v>6112</v>
      </c>
      <c r="S417" s="451"/>
      <c r="T417" s="29" t="s">
        <v>9</v>
      </c>
      <c r="V417" s="475">
        <v>10</v>
      </c>
      <c r="W417" s="475" t="str">
        <f>IF($AC$417="","",$W$396)</f>
        <v/>
      </c>
      <c r="X417" s="476" t="str">
        <f>IF($AC$417="","",$X$396)</f>
        <v/>
      </c>
      <c r="Y417" s="477" t="str">
        <f>IF($X$417="","",$Y$396)</f>
        <v/>
      </c>
      <c r="Z417" s="477" t="str">
        <f>IF($X$417="","",$Z$396)</f>
        <v/>
      </c>
      <c r="AA417" s="477" t="str">
        <f>IF($AC$417="","",ROW($A$417)-ROW($A$396))</f>
        <v/>
      </c>
      <c r="AB417" s="478"/>
      <c r="AC417" s="34"/>
      <c r="AD417" s="356"/>
      <c r="AE417" s="479"/>
      <c r="AF417" s="475"/>
      <c r="AG417" s="480" t="str">
        <f t="shared" si="112"/>
        <v/>
      </c>
      <c r="AH417" s="481" t="str">
        <f t="shared" si="113"/>
        <v/>
      </c>
      <c r="AI417" s="477" t="str">
        <f>IF($AC$417="","",IFERROR(INDEX($AZ$74:$AZ$119,MATCH($AH$417,$AY$74:$AY$119,0)),"AUTRE"))</f>
        <v/>
      </c>
      <c r="AJ417" s="482" t="str">
        <f>IF($AC$417="","",IFERROR(INDEX($BA$74:$BA$119,MATCH($AH$417,$AY$74:$AY$119,0)),1))</f>
        <v/>
      </c>
      <c r="AK417" s="482" t="str">
        <f t="shared" si="114"/>
        <v/>
      </c>
      <c r="AL417" s="477" t="str">
        <f>IF($AC$417="","",IFERROR(INDEX($BB$74:$BB$119,MATCH($AH$417,$AY$74:$AY$119,0)),$AH$417))</f>
        <v/>
      </c>
      <c r="AM417" s="483" t="str">
        <f t="shared" si="115"/>
        <v/>
      </c>
      <c r="AN417" s="484" t="str">
        <f t="shared" si="116"/>
        <v/>
      </c>
      <c r="AO417" s="473" t="str">
        <f t="shared" si="117"/>
        <v/>
      </c>
      <c r="AP417" s="473" t="str">
        <f t="shared" si="118"/>
        <v/>
      </c>
      <c r="AQ417" s="473" t="str">
        <f t="shared" si="119"/>
        <v/>
      </c>
      <c r="AR417" s="473" t="str">
        <f t="shared" si="120"/>
        <v/>
      </c>
      <c r="AS417" s="473" t="str">
        <f t="shared" si="121"/>
        <v/>
      </c>
      <c r="AT417" s="473" t="str">
        <f t="shared" si="122"/>
        <v/>
      </c>
      <c r="AU417" s="473" t="str">
        <f t="shared" si="123"/>
        <v/>
      </c>
      <c r="AZ417" s="31" t="s">
        <v>30</v>
      </c>
      <c r="BA417" s="34" t="s">
        <v>472</v>
      </c>
      <c r="BB417" s="499"/>
      <c r="BC417" s="271"/>
      <c r="BD417" s="279">
        <v>1</v>
      </c>
      <c r="BE417" s="271"/>
      <c r="BF417" s="271"/>
      <c r="BG417" s="271"/>
      <c r="BH417" s="271"/>
      <c r="BI417" s="271"/>
      <c r="BJ417" s="271"/>
      <c r="BK417" s="271"/>
      <c r="BL417" s="271"/>
    </row>
    <row r="418" spans="1:64" ht="21" customHeight="1" x14ac:dyDescent="0.25">
      <c r="R418" s="25" t="s">
        <v>6116</v>
      </c>
      <c r="S418" s="451"/>
      <c r="T418" s="30" t="s">
        <v>10</v>
      </c>
      <c r="V418" s="475">
        <v>10</v>
      </c>
      <c r="W418" s="475" t="str">
        <f>IF($AC$418="","",$W$396)</f>
        <v/>
      </c>
      <c r="X418" s="476" t="str">
        <f>IF($AC$418="","",$X$396)</f>
        <v/>
      </c>
      <c r="Y418" s="477" t="str">
        <f>IF($X$418="","",$Y$396)</f>
        <v/>
      </c>
      <c r="Z418" s="477" t="str">
        <f>IF($X$418="","",$Z$396)</f>
        <v/>
      </c>
      <c r="AA418" s="477" t="str">
        <f>IF($AC$418="","",ROW($A$418)-ROW($A$396))</f>
        <v/>
      </c>
      <c r="AB418" s="478"/>
      <c r="AC418" s="34"/>
      <c r="AD418" s="356"/>
      <c r="AE418" s="479"/>
      <c r="AF418" s="475"/>
      <c r="AG418" s="480" t="str">
        <f t="shared" si="112"/>
        <v/>
      </c>
      <c r="AH418" s="481" t="str">
        <f t="shared" si="113"/>
        <v/>
      </c>
      <c r="AI418" s="477" t="str">
        <f>IF($AC$418="","",IFERROR(INDEX($AZ$74:$AZ$119,MATCH($AH$418,$AY$74:$AY$119,0)),"AUTRE"))</f>
        <v/>
      </c>
      <c r="AJ418" s="482" t="str">
        <f>IF($AC$418="","",IFERROR(INDEX($BA$74:$BA$119,MATCH($AH$418,$AY$74:$AY$119,0)),1))</f>
        <v/>
      </c>
      <c r="AK418" s="482" t="str">
        <f t="shared" si="114"/>
        <v/>
      </c>
      <c r="AL418" s="477" t="str">
        <f>IF($AC$418="","",IFERROR(INDEX($BB$74:$BB$119,MATCH($AH$418,$AY$74:$AY$119,0)),$AH$418))</f>
        <v/>
      </c>
      <c r="AM418" s="483" t="str">
        <f t="shared" si="115"/>
        <v/>
      </c>
      <c r="AN418" s="484" t="str">
        <f t="shared" si="116"/>
        <v/>
      </c>
      <c r="AO418" s="473" t="str">
        <f t="shared" si="117"/>
        <v/>
      </c>
      <c r="AP418" s="473" t="str">
        <f t="shared" si="118"/>
        <v/>
      </c>
      <c r="AQ418" s="473" t="str">
        <f t="shared" si="119"/>
        <v/>
      </c>
      <c r="AR418" s="473" t="str">
        <f t="shared" si="120"/>
        <v/>
      </c>
      <c r="AS418" s="473" t="str">
        <f t="shared" si="121"/>
        <v/>
      </c>
      <c r="AT418" s="473" t="str">
        <f t="shared" si="122"/>
        <v/>
      </c>
      <c r="AU418" s="473" t="str">
        <f t="shared" si="123"/>
        <v/>
      </c>
      <c r="AZ418" s="32" t="s">
        <v>33</v>
      </c>
      <c r="BA418" s="34" t="s">
        <v>6112</v>
      </c>
      <c r="BB418" s="499"/>
      <c r="BC418" s="271"/>
      <c r="BD418" s="279">
        <v>1</v>
      </c>
      <c r="BE418" s="271"/>
      <c r="BF418" s="271"/>
      <c r="BG418" s="271"/>
      <c r="BH418" s="271"/>
      <c r="BI418" s="271"/>
      <c r="BJ418" s="271"/>
      <c r="BK418" s="271"/>
      <c r="BL418" s="271"/>
    </row>
    <row r="419" spans="1:64" ht="21" customHeight="1" x14ac:dyDescent="0.25">
      <c r="R419" s="34" t="s">
        <v>6117</v>
      </c>
      <c r="S419" s="451"/>
      <c r="T419" s="30" t="s">
        <v>11</v>
      </c>
      <c r="V419" s="475">
        <v>10</v>
      </c>
      <c r="W419" s="475" t="str">
        <f>IF($AC$419="","",$W$396)</f>
        <v/>
      </c>
      <c r="X419" s="476" t="str">
        <f>IF($AC$419="","",$X$396)</f>
        <v/>
      </c>
      <c r="Y419" s="477" t="str">
        <f>IF($X$419="","",$Y$396)</f>
        <v/>
      </c>
      <c r="Z419" s="477" t="str">
        <f>IF($X$419="","",$Z$396)</f>
        <v/>
      </c>
      <c r="AA419" s="477" t="str">
        <f>IF($AC$419="","",ROW($A$419)-ROW($A$396))</f>
        <v/>
      </c>
      <c r="AB419" s="478"/>
      <c r="AC419" s="34"/>
      <c r="AD419" s="356"/>
      <c r="AE419" s="479"/>
      <c r="AF419" s="475"/>
      <c r="AG419" s="480" t="str">
        <f t="shared" si="112"/>
        <v/>
      </c>
      <c r="AH419" s="481" t="str">
        <f t="shared" si="113"/>
        <v/>
      </c>
      <c r="AI419" s="477" t="str">
        <f>IF($AC$419="","",IFERROR(INDEX($AZ$74:$AZ$119,MATCH($AH$419,$AY$74:$AY$119,0)),"AUTRE"))</f>
        <v/>
      </c>
      <c r="AJ419" s="482" t="str">
        <f>IF($AC$419="","",IFERROR(INDEX($BA$74:$BA$119,MATCH($AH$419,$AY$74:$AY$119,0)),1))</f>
        <v/>
      </c>
      <c r="AK419" s="482" t="str">
        <f t="shared" si="114"/>
        <v/>
      </c>
      <c r="AL419" s="477" t="str">
        <f>IF($AC$419="","",IFERROR(INDEX($BB$74:$BB$119,MATCH($AH$419,$AY$74:$AY$119,0)),$AH$419))</f>
        <v/>
      </c>
      <c r="AM419" s="483" t="str">
        <f t="shared" si="115"/>
        <v/>
      </c>
      <c r="AN419" s="484" t="str">
        <f t="shared" si="116"/>
        <v/>
      </c>
      <c r="AO419" s="473" t="str">
        <f t="shared" si="117"/>
        <v/>
      </c>
      <c r="AP419" s="473" t="str">
        <f t="shared" si="118"/>
        <v/>
      </c>
      <c r="AQ419" s="473" t="str">
        <f t="shared" si="119"/>
        <v/>
      </c>
      <c r="AR419" s="473" t="str">
        <f t="shared" si="120"/>
        <v/>
      </c>
      <c r="AS419" s="473" t="str">
        <f t="shared" si="121"/>
        <v/>
      </c>
      <c r="AT419" s="473" t="str">
        <f t="shared" si="122"/>
        <v/>
      </c>
      <c r="AU419" s="473" t="str">
        <f t="shared" si="123"/>
        <v/>
      </c>
      <c r="AZ419" s="32" t="s">
        <v>8125</v>
      </c>
      <c r="BA419" s="25" t="s">
        <v>6116</v>
      </c>
      <c r="BB419" s="499"/>
      <c r="BC419" s="271"/>
      <c r="BD419" s="279">
        <v>1</v>
      </c>
      <c r="BE419" s="271"/>
      <c r="BF419" s="271"/>
      <c r="BG419" s="271"/>
      <c r="BH419" s="271"/>
      <c r="BI419" s="271"/>
      <c r="BJ419" s="271"/>
      <c r="BK419" s="271"/>
      <c r="BL419" s="271"/>
    </row>
    <row r="420" spans="1:64" ht="21" customHeight="1" x14ac:dyDescent="0.25">
      <c r="R420" s="34" t="s">
        <v>469</v>
      </c>
      <c r="S420" s="451"/>
      <c r="T420" s="30" t="s">
        <v>12</v>
      </c>
      <c r="V420" s="475">
        <v>10</v>
      </c>
      <c r="W420" s="475" t="str">
        <f>IF($AC$420="","",$W$396)</f>
        <v/>
      </c>
      <c r="X420" s="476" t="str">
        <f>IF($AC$420="","",$X$396)</f>
        <v/>
      </c>
      <c r="Y420" s="477" t="str">
        <f>IF($X$420="","",$Y$396)</f>
        <v/>
      </c>
      <c r="Z420" s="477" t="str">
        <f>IF($X$420="","",$Z$396)</f>
        <v/>
      </c>
      <c r="AA420" s="477" t="str">
        <f>IF($AC$420="","",ROW($A$420)-ROW($A$396))</f>
        <v/>
      </c>
      <c r="AB420" s="478"/>
      <c r="AC420" s="34"/>
      <c r="AD420" s="356"/>
      <c r="AE420" s="479"/>
      <c r="AF420" s="475"/>
      <c r="AG420" s="480" t="str">
        <f t="shared" si="112"/>
        <v/>
      </c>
      <c r="AH420" s="481" t="str">
        <f t="shared" si="113"/>
        <v/>
      </c>
      <c r="AI420" s="477" t="str">
        <f>IF($AC$420="","",IFERROR(INDEX($AZ$74:$AZ$119,MATCH($AH$420,$AY$74:$AY$119,0)),"AUTRE"))</f>
        <v/>
      </c>
      <c r="AJ420" s="482" t="str">
        <f>IF($AC$420="","",IFERROR(INDEX($BA$74:$BA$119,MATCH($AH$420,$AY$74:$AY$119,0)),1))</f>
        <v/>
      </c>
      <c r="AK420" s="482" t="str">
        <f t="shared" si="114"/>
        <v/>
      </c>
      <c r="AL420" s="477" t="str">
        <f>IF($AC$420="","",IFERROR(INDEX($BB$74:$BB$119,MATCH($AH$420,$AY$74:$AY$119,0)),$AH$420))</f>
        <v/>
      </c>
      <c r="AM420" s="483" t="str">
        <f t="shared" si="115"/>
        <v/>
      </c>
      <c r="AN420" s="484" t="str">
        <f t="shared" si="116"/>
        <v/>
      </c>
      <c r="AO420" s="473" t="str">
        <f t="shared" si="117"/>
        <v/>
      </c>
      <c r="AP420" s="473" t="str">
        <f t="shared" si="118"/>
        <v/>
      </c>
      <c r="AQ420" s="473" t="str">
        <f t="shared" si="119"/>
        <v/>
      </c>
      <c r="AR420" s="473" t="str">
        <f t="shared" si="120"/>
        <v/>
      </c>
      <c r="AS420" s="473" t="str">
        <f t="shared" si="121"/>
        <v/>
      </c>
      <c r="AT420" s="473" t="str">
        <f t="shared" si="122"/>
        <v/>
      </c>
      <c r="AU420" s="473" t="str">
        <f t="shared" si="123"/>
        <v/>
      </c>
      <c r="AZ420" s="32" t="s">
        <v>8127</v>
      </c>
      <c r="BA420" s="34" t="s">
        <v>6117</v>
      </c>
      <c r="BB420" s="499"/>
      <c r="BC420" s="271"/>
      <c r="BD420" s="279">
        <v>1</v>
      </c>
      <c r="BE420" s="271"/>
      <c r="BF420" s="271"/>
      <c r="BG420" s="271"/>
      <c r="BH420" s="271"/>
      <c r="BI420" s="271"/>
      <c r="BJ420" s="271"/>
      <c r="BK420" s="271"/>
      <c r="BL420" s="271"/>
    </row>
    <row r="421" spans="1:64" ht="21" customHeight="1" x14ac:dyDescent="0.25">
      <c r="R421" s="34" t="s">
        <v>6118</v>
      </c>
      <c r="S421" s="451"/>
      <c r="T421" s="31" t="s">
        <v>16</v>
      </c>
      <c r="V421" s="475">
        <v>10</v>
      </c>
      <c r="W421" s="475" t="str">
        <f>IF($AC$421="","",$W$396)</f>
        <v/>
      </c>
      <c r="X421" s="476" t="str">
        <f>IF($AC$421="","",$X$396)</f>
        <v/>
      </c>
      <c r="Y421" s="477" t="str">
        <f>IF($X$421="","",$Y$396)</f>
        <v/>
      </c>
      <c r="Z421" s="477" t="str">
        <f>IF($X$421="","",$Z$396)</f>
        <v/>
      </c>
      <c r="AA421" s="477" t="str">
        <f>IF($AC$421="","",ROW($A$421)-ROW($A$396))</f>
        <v/>
      </c>
      <c r="AB421" s="478"/>
      <c r="AC421" s="34"/>
      <c r="AD421" s="356"/>
      <c r="AE421" s="479"/>
      <c r="AF421" s="475"/>
      <c r="AG421" s="480" t="str">
        <f t="shared" si="112"/>
        <v/>
      </c>
      <c r="AH421" s="481" t="str">
        <f t="shared" si="113"/>
        <v/>
      </c>
      <c r="AI421" s="477" t="str">
        <f>IF($AC$421="","",IFERROR(INDEX($AZ$74:$AZ$119,MATCH($AH$421,$AY$74:$AY$119,0)),"AUTRE"))</f>
        <v/>
      </c>
      <c r="AJ421" s="482" t="str">
        <f>IF($AC$421="","",IFERROR(INDEX($BA$74:$BA$119,MATCH($AH$421,$AY$74:$AY$119,0)),1))</f>
        <v/>
      </c>
      <c r="AK421" s="482" t="str">
        <f t="shared" si="114"/>
        <v/>
      </c>
      <c r="AL421" s="477" t="str">
        <f>IF($AC$421="","",IFERROR(INDEX($BB$74:$BB$119,MATCH($AH$421,$AY$74:$AY$119,0)),$AH$421))</f>
        <v/>
      </c>
      <c r="AM421" s="483" t="str">
        <f t="shared" si="115"/>
        <v/>
      </c>
      <c r="AN421" s="484" t="str">
        <f t="shared" si="116"/>
        <v/>
      </c>
      <c r="AO421" s="473" t="str">
        <f t="shared" si="117"/>
        <v/>
      </c>
      <c r="AP421" s="473" t="str">
        <f t="shared" si="118"/>
        <v/>
      </c>
      <c r="AQ421" s="473" t="str">
        <f t="shared" si="119"/>
        <v/>
      </c>
      <c r="AR421" s="473" t="str">
        <f t="shared" si="120"/>
        <v/>
      </c>
      <c r="AS421" s="473" t="str">
        <f t="shared" si="121"/>
        <v/>
      </c>
      <c r="AT421" s="473" t="str">
        <f t="shared" si="122"/>
        <v/>
      </c>
      <c r="AU421" s="473" t="str">
        <f t="shared" si="123"/>
        <v/>
      </c>
      <c r="AZ421" s="32" t="s">
        <v>320</v>
      </c>
      <c r="BA421" s="34" t="s">
        <v>469</v>
      </c>
      <c r="BB421" s="499"/>
      <c r="BC421" s="271"/>
      <c r="BD421" s="279">
        <v>1</v>
      </c>
      <c r="BE421" s="271"/>
      <c r="BF421" s="271"/>
      <c r="BG421" s="271"/>
      <c r="BH421" s="271"/>
      <c r="BI421" s="271"/>
      <c r="BJ421" s="271"/>
      <c r="BK421" s="271"/>
      <c r="BL421" s="271"/>
    </row>
    <row r="422" spans="1:64" ht="21" customHeight="1" x14ac:dyDescent="0.25">
      <c r="R422" s="34" t="s">
        <v>492</v>
      </c>
      <c r="S422" s="451"/>
      <c r="T422" s="31" t="s">
        <v>17</v>
      </c>
      <c r="V422" s="475">
        <v>10</v>
      </c>
      <c r="W422" s="475" t="str">
        <f>IF($AC$422="","",$W$396)</f>
        <v/>
      </c>
      <c r="X422" s="476" t="str">
        <f>IF($AC$422="","",$X$396)</f>
        <v/>
      </c>
      <c r="Y422" s="477" t="str">
        <f>IF($X$422="","",$Y$396)</f>
        <v/>
      </c>
      <c r="Z422" s="477" t="str">
        <f>IF($X$422="","",$Z$396)</f>
        <v/>
      </c>
      <c r="AA422" s="477" t="str">
        <f>IF($AC$422="","",ROW($A$422)-ROW($A$396))</f>
        <v/>
      </c>
      <c r="AB422" s="478"/>
      <c r="AC422" s="34"/>
      <c r="AD422" s="356"/>
      <c r="AE422" s="479"/>
      <c r="AF422" s="475"/>
      <c r="AG422" s="480" t="str">
        <f t="shared" si="112"/>
        <v/>
      </c>
      <c r="AH422" s="481" t="str">
        <f t="shared" si="113"/>
        <v/>
      </c>
      <c r="AI422" s="477" t="str">
        <f>IF($AC$422="","",IFERROR(INDEX($AZ$74:$AZ$119,MATCH($AH$422,$AY$74:$AY$119,0)),"AUTRE"))</f>
        <v/>
      </c>
      <c r="AJ422" s="482" t="str">
        <f>IF($AC$422="","",IFERROR(INDEX($BA$74:$BA$119,MATCH($AH$422,$AY$74:$AY$119,0)),1))</f>
        <v/>
      </c>
      <c r="AK422" s="482" t="str">
        <f t="shared" si="114"/>
        <v/>
      </c>
      <c r="AL422" s="477" t="str">
        <f>IF($AC$422="","",IFERROR(INDEX($BB$74:$BB$119,MATCH($AH$422,$AY$74:$AY$119,0)),$AH$422))</f>
        <v/>
      </c>
      <c r="AM422" s="483" t="str">
        <f t="shared" si="115"/>
        <v/>
      </c>
      <c r="AN422" s="484" t="str">
        <f t="shared" si="116"/>
        <v/>
      </c>
      <c r="AO422" s="473" t="str">
        <f t="shared" si="117"/>
        <v/>
      </c>
      <c r="AP422" s="473" t="str">
        <f t="shared" si="118"/>
        <v/>
      </c>
      <c r="AQ422" s="473" t="str">
        <f t="shared" si="119"/>
        <v/>
      </c>
      <c r="AR422" s="473" t="str">
        <f t="shared" si="120"/>
        <v/>
      </c>
      <c r="AS422" s="473" t="str">
        <f t="shared" si="121"/>
        <v/>
      </c>
      <c r="AT422" s="473" t="str">
        <f t="shared" si="122"/>
        <v/>
      </c>
      <c r="AU422" s="473" t="str">
        <f t="shared" si="123"/>
        <v/>
      </c>
      <c r="AZ422" s="32" t="s">
        <v>318</v>
      </c>
      <c r="BA422" s="34" t="s">
        <v>6118</v>
      </c>
      <c r="BB422" s="499"/>
      <c r="BC422" s="271"/>
      <c r="BD422" s="279">
        <v>1</v>
      </c>
      <c r="BE422" s="271"/>
      <c r="BF422" s="271"/>
      <c r="BG422" s="271"/>
      <c r="BH422" s="271"/>
      <c r="BI422" s="271"/>
      <c r="BJ422" s="271"/>
      <c r="BK422" s="271"/>
      <c r="BL422" s="271"/>
    </row>
    <row r="423" spans="1:64" ht="21" customHeight="1" x14ac:dyDescent="0.25">
      <c r="R423" s="34" t="s">
        <v>458</v>
      </c>
      <c r="S423" s="451"/>
      <c r="T423" s="31" t="s">
        <v>18</v>
      </c>
      <c r="V423" s="475">
        <v>10</v>
      </c>
      <c r="W423" s="475" t="str">
        <f>IF($AC$423="","",$W$396)</f>
        <v/>
      </c>
      <c r="X423" s="476" t="str">
        <f>IF($AC$423="","",$X$396)</f>
        <v/>
      </c>
      <c r="Y423" s="477" t="str">
        <f>IF($X$423="","",$Y$396)</f>
        <v/>
      </c>
      <c r="Z423" s="477" t="str">
        <f>IF($X$423="","",$Z$396)</f>
        <v/>
      </c>
      <c r="AA423" s="477" t="str">
        <f>IF($AC$423="","",ROW($A$423)-ROW($A$396))</f>
        <v/>
      </c>
      <c r="AB423" s="478"/>
      <c r="AC423" s="34"/>
      <c r="AD423" s="356"/>
      <c r="AE423" s="479"/>
      <c r="AF423" s="475"/>
      <c r="AG423" s="480" t="str">
        <f t="shared" si="112"/>
        <v/>
      </c>
      <c r="AH423" s="481" t="str">
        <f t="shared" si="113"/>
        <v/>
      </c>
      <c r="AI423" s="477" t="str">
        <f>IF($AC$423="","",IFERROR(INDEX($AZ$74:$AZ$119,MATCH($AH$423,$AY$74:$AY$119,0)),"AUTRE"))</f>
        <v/>
      </c>
      <c r="AJ423" s="482" t="str">
        <f>IF($AC$423="","",IFERROR(INDEX($BA$74:$BA$119,MATCH($AH$423,$AY$74:$AY$119,0)),1))</f>
        <v/>
      </c>
      <c r="AK423" s="482" t="str">
        <f t="shared" si="114"/>
        <v/>
      </c>
      <c r="AL423" s="477" t="str">
        <f>IF($AC$423="","",IFERROR(INDEX($BB$74:$BB$119,MATCH($AH$423,$AY$74:$AY$119,0)),$AH$423))</f>
        <v/>
      </c>
      <c r="AM423" s="483" t="str">
        <f t="shared" si="115"/>
        <v/>
      </c>
      <c r="AN423" s="484" t="str">
        <f t="shared" si="116"/>
        <v/>
      </c>
      <c r="AO423" s="473" t="str">
        <f t="shared" si="117"/>
        <v/>
      </c>
      <c r="AP423" s="473" t="str">
        <f t="shared" si="118"/>
        <v/>
      </c>
      <c r="AQ423" s="473" t="str">
        <f t="shared" si="119"/>
        <v/>
      </c>
      <c r="AR423" s="473" t="str">
        <f t="shared" si="120"/>
        <v/>
      </c>
      <c r="AS423" s="473" t="str">
        <f t="shared" si="121"/>
        <v/>
      </c>
      <c r="AT423" s="473" t="str">
        <f t="shared" si="122"/>
        <v/>
      </c>
      <c r="AU423" s="473" t="str">
        <f t="shared" si="123"/>
        <v/>
      </c>
      <c r="AZ423" s="32" t="s">
        <v>316</v>
      </c>
      <c r="BA423" s="34" t="s">
        <v>492</v>
      </c>
      <c r="BB423" s="499"/>
      <c r="BC423" s="271"/>
      <c r="BD423" s="279">
        <v>1</v>
      </c>
      <c r="BE423" s="271"/>
      <c r="BF423" s="271"/>
      <c r="BG423" s="271"/>
      <c r="BH423" s="271"/>
      <c r="BI423" s="271"/>
      <c r="BJ423" s="271"/>
      <c r="BK423" s="271"/>
      <c r="BL423" s="271"/>
    </row>
    <row r="424" spans="1:64" ht="21" customHeight="1" x14ac:dyDescent="0.25">
      <c r="R424" s="490"/>
      <c r="S424" s="451"/>
      <c r="T424" s="31" t="s">
        <v>19</v>
      </c>
      <c r="V424" s="475">
        <v>10</v>
      </c>
      <c r="W424" s="475" t="str">
        <f>IF($AC$424="","",$W$396)</f>
        <v/>
      </c>
      <c r="X424" s="476" t="str">
        <f>IF($AC$424="","",$X$396)</f>
        <v/>
      </c>
      <c r="Y424" s="477" t="str">
        <f>IF($X$424="","",$Y$396)</f>
        <v/>
      </c>
      <c r="Z424" s="477" t="str">
        <f>IF($X$424="","",$Z$396)</f>
        <v/>
      </c>
      <c r="AA424" s="477" t="str">
        <f>IF($AC$424="","",ROW($A$424)-ROW($A$396))</f>
        <v/>
      </c>
      <c r="AB424" s="478"/>
      <c r="AC424" s="34"/>
      <c r="AD424" s="356"/>
      <c r="AE424" s="479"/>
      <c r="AF424" s="475"/>
      <c r="AG424" s="480" t="str">
        <f t="shared" si="112"/>
        <v/>
      </c>
      <c r="AH424" s="481" t="str">
        <f t="shared" si="113"/>
        <v/>
      </c>
      <c r="AI424" s="477" t="str">
        <f>IF($AC$424="","",IFERROR(INDEX($AZ$74:$AZ$119,MATCH($AH$424,$AY$74:$AY$119,0)),"AUTRE"))</f>
        <v/>
      </c>
      <c r="AJ424" s="482" t="str">
        <f>IF($AC$424="","",IFERROR(INDEX($BA$74:$BA$119,MATCH($AH$424,$AY$74:$AY$119,0)),1))</f>
        <v/>
      </c>
      <c r="AK424" s="482" t="str">
        <f t="shared" si="114"/>
        <v/>
      </c>
      <c r="AL424" s="477" t="str">
        <f>IF($AC$424="","",IFERROR(INDEX($BB$74:$BB$119,MATCH($AH$424,$AY$74:$AY$119,0)),$AH$424))</f>
        <v/>
      </c>
      <c r="AM424" s="483" t="str">
        <f t="shared" si="115"/>
        <v/>
      </c>
      <c r="AN424" s="484" t="str">
        <f t="shared" si="116"/>
        <v/>
      </c>
      <c r="AO424" s="473" t="str">
        <f t="shared" si="117"/>
        <v/>
      </c>
      <c r="AP424" s="473" t="str">
        <f t="shared" si="118"/>
        <v/>
      </c>
      <c r="AQ424" s="473" t="str">
        <f t="shared" si="119"/>
        <v/>
      </c>
      <c r="AR424" s="473" t="str">
        <f t="shared" si="120"/>
        <v/>
      </c>
      <c r="AS424" s="473" t="str">
        <f t="shared" si="121"/>
        <v/>
      </c>
      <c r="AT424" s="473" t="str">
        <f t="shared" si="122"/>
        <v/>
      </c>
      <c r="AU424" s="473" t="str">
        <f t="shared" si="123"/>
        <v/>
      </c>
      <c r="AY424" s="271"/>
      <c r="AZ424" s="32" t="s">
        <v>313</v>
      </c>
      <c r="BA424" s="34" t="s">
        <v>458</v>
      </c>
      <c r="BB424" s="499"/>
      <c r="BC424" s="271"/>
      <c r="BD424" s="279">
        <v>1</v>
      </c>
      <c r="BE424" s="271"/>
      <c r="BF424" s="271"/>
      <c r="BG424" s="271"/>
      <c r="BH424" s="271"/>
      <c r="BI424" s="271"/>
      <c r="BJ424" s="271"/>
      <c r="BK424" s="271"/>
      <c r="BL424" s="271"/>
    </row>
    <row r="425" spans="1:64" ht="21" customHeight="1" x14ac:dyDescent="0.25">
      <c r="R425" s="25" t="s">
        <v>6119</v>
      </c>
      <c r="S425" s="451"/>
      <c r="T425" s="31" t="s">
        <v>211</v>
      </c>
      <c r="V425" s="475">
        <v>10</v>
      </c>
      <c r="W425" s="475" t="str">
        <f>IF($AC$425="","",$W$396)</f>
        <v/>
      </c>
      <c r="X425" s="476" t="str">
        <f>IF($AC$425="","",$X$396)</f>
        <v/>
      </c>
      <c r="Y425" s="477" t="str">
        <f>IF($X$425="","",$Y$396)</f>
        <v/>
      </c>
      <c r="Z425" s="477" t="str">
        <f>IF($X$425="","",$Z$396)</f>
        <v/>
      </c>
      <c r="AA425" s="477" t="str">
        <f>IF($AC$425="","",ROW($A$425)-ROW($A$396))</f>
        <v/>
      </c>
      <c r="AB425" s="478"/>
      <c r="AC425" s="34"/>
      <c r="AD425" s="356"/>
      <c r="AE425" s="479"/>
      <c r="AF425" s="475"/>
      <c r="AG425" s="480" t="str">
        <f t="shared" si="112"/>
        <v/>
      </c>
      <c r="AH425" s="481" t="str">
        <f t="shared" si="113"/>
        <v/>
      </c>
      <c r="AI425" s="477" t="str">
        <f>IF($AC$425="","",IFERROR(INDEX($AZ$74:$AZ$119,MATCH($AH$425,$AY$74:$AY$119,0)),"AUTRE"))</f>
        <v/>
      </c>
      <c r="AJ425" s="482" t="str">
        <f>IF($AC$425="","",IFERROR(INDEX($BA$74:$BA$119,MATCH($AH$425,$AY$74:$AY$119,0)),1))</f>
        <v/>
      </c>
      <c r="AK425" s="482" t="str">
        <f t="shared" si="114"/>
        <v/>
      </c>
      <c r="AL425" s="477" t="str">
        <f>IF($AC$425="","",IFERROR(INDEX($BB$74:$BB$119,MATCH($AH$425,$AY$74:$AY$119,0)),$AH$425))</f>
        <v/>
      </c>
      <c r="AM425" s="483" t="str">
        <f t="shared" si="115"/>
        <v/>
      </c>
      <c r="AN425" s="484" t="str">
        <f t="shared" si="116"/>
        <v/>
      </c>
      <c r="AO425" s="473" t="str">
        <f t="shared" si="117"/>
        <v/>
      </c>
      <c r="AP425" s="473" t="str">
        <f t="shared" si="118"/>
        <v/>
      </c>
      <c r="AQ425" s="473" t="str">
        <f t="shared" si="119"/>
        <v/>
      </c>
      <c r="AR425" s="473" t="str">
        <f t="shared" si="120"/>
        <v/>
      </c>
      <c r="AS425" s="473" t="str">
        <f t="shared" si="121"/>
        <v/>
      </c>
      <c r="AT425" s="473" t="str">
        <f t="shared" si="122"/>
        <v/>
      </c>
      <c r="AU425" s="473" t="str">
        <f t="shared" si="123"/>
        <v/>
      </c>
      <c r="AY425" s="497" t="s">
        <v>8145</v>
      </c>
      <c r="AZ425" s="32" t="s">
        <v>307</v>
      </c>
      <c r="BA425" s="490"/>
      <c r="BB425" s="499"/>
      <c r="BC425" s="271"/>
      <c r="BD425" s="279">
        <v>1</v>
      </c>
      <c r="BE425" s="271"/>
      <c r="BF425" s="271"/>
      <c r="BG425" s="271"/>
      <c r="BH425" s="271"/>
      <c r="BI425" s="271"/>
      <c r="BJ425" s="271"/>
      <c r="BK425" s="271"/>
      <c r="BL425" s="271"/>
    </row>
    <row r="426" spans="1:64" ht="21" customHeight="1" x14ac:dyDescent="0.25">
      <c r="R426" s="34" t="s">
        <v>6120</v>
      </c>
      <c r="S426" s="451"/>
      <c r="T426" s="31" t="s">
        <v>20</v>
      </c>
      <c r="V426" s="475">
        <v>10</v>
      </c>
      <c r="W426" s="475" t="str">
        <f>IF($AC$426="","",$W$396)</f>
        <v/>
      </c>
      <c r="X426" s="476" t="str">
        <f>IF($AC$426="","",$X$396)</f>
        <v/>
      </c>
      <c r="Y426" s="477" t="str">
        <f>IF($X$426="","",$Y$396)</f>
        <v/>
      </c>
      <c r="Z426" s="477" t="str">
        <f>IF($X$426="","",$Z$396)</f>
        <v/>
      </c>
      <c r="AA426" s="477" t="str">
        <f>IF($AC$426="","",ROW($A$426)-ROW($A$396))</f>
        <v/>
      </c>
      <c r="AB426" s="478"/>
      <c r="AC426" s="34"/>
      <c r="AD426" s="356"/>
      <c r="AE426" s="479"/>
      <c r="AF426" s="475"/>
      <c r="AG426" s="480" t="str">
        <f t="shared" si="112"/>
        <v/>
      </c>
      <c r="AH426" s="481" t="str">
        <f t="shared" si="113"/>
        <v/>
      </c>
      <c r="AI426" s="477" t="str">
        <f>IF($AC$426="","",IFERROR(INDEX($AZ$74:$AZ$119,MATCH($AH$426,$AY$74:$AY$119,0)),"AUTRE"))</f>
        <v/>
      </c>
      <c r="AJ426" s="482" t="str">
        <f>IF($AC$426="","",IFERROR(INDEX($BA$74:$BA$119,MATCH($AH$426,$AY$74:$AY$119,0)),1))</f>
        <v/>
      </c>
      <c r="AK426" s="482" t="str">
        <f t="shared" si="114"/>
        <v/>
      </c>
      <c r="AL426" s="477" t="str">
        <f>IF($AC$426="","",IFERROR(INDEX($BB$74:$BB$119,MATCH($AH$426,$AY$74:$AY$119,0)),$AH$426))</f>
        <v/>
      </c>
      <c r="AM426" s="483" t="str">
        <f t="shared" si="115"/>
        <v/>
      </c>
      <c r="AN426" s="484" t="str">
        <f t="shared" si="116"/>
        <v/>
      </c>
      <c r="AO426" s="473" t="str">
        <f t="shared" si="117"/>
        <v/>
      </c>
      <c r="AP426" s="473" t="str">
        <f t="shared" si="118"/>
        <v/>
      </c>
      <c r="AQ426" s="473" t="str">
        <f t="shared" si="119"/>
        <v/>
      </c>
      <c r="AR426" s="473" t="str">
        <f t="shared" si="120"/>
        <v/>
      </c>
      <c r="AS426" s="473" t="str">
        <f t="shared" si="121"/>
        <v/>
      </c>
      <c r="AT426" s="473" t="str">
        <f t="shared" si="122"/>
        <v/>
      </c>
      <c r="AU426" s="473" t="str">
        <f t="shared" si="123"/>
        <v/>
      </c>
      <c r="AY426" s="497" t="s">
        <v>462</v>
      </c>
      <c r="AZ426" s="32" t="s">
        <v>322</v>
      </c>
      <c r="BA426" s="25" t="s">
        <v>6119</v>
      </c>
      <c r="BB426" s="499"/>
      <c r="BC426" s="271"/>
      <c r="BD426" s="279">
        <v>1</v>
      </c>
      <c r="BE426" s="271"/>
      <c r="BF426" s="271"/>
      <c r="BG426" s="271"/>
      <c r="BH426" s="271"/>
      <c r="BI426" s="271"/>
      <c r="BJ426" s="271"/>
      <c r="BK426" s="271"/>
      <c r="BL426" s="271"/>
    </row>
    <row r="427" spans="1:64" ht="21" customHeight="1" x14ac:dyDescent="0.25">
      <c r="R427" s="34" t="s">
        <v>6121</v>
      </c>
      <c r="S427" s="451"/>
      <c r="T427" s="31" t="s">
        <v>304</v>
      </c>
      <c r="V427" s="475">
        <v>10</v>
      </c>
      <c r="W427" s="475" t="str">
        <f>IF($AC$427="","",$W$396)</f>
        <v/>
      </c>
      <c r="X427" s="476" t="str">
        <f>IF($AC$427="","",$X$396)</f>
        <v/>
      </c>
      <c r="Y427" s="477" t="str">
        <f>IF($X$427="","",$Y$396)</f>
        <v/>
      </c>
      <c r="Z427" s="477" t="str">
        <f>IF($X$427="","",$Z$396)</f>
        <v/>
      </c>
      <c r="AA427" s="477" t="str">
        <f>IF($AC$427="","",ROW($A$427)-ROW($A$396))</f>
        <v/>
      </c>
      <c r="AB427" s="478"/>
      <c r="AC427" s="34"/>
      <c r="AD427" s="356"/>
      <c r="AE427" s="479"/>
      <c r="AF427" s="475"/>
      <c r="AG427" s="480" t="str">
        <f t="shared" si="112"/>
        <v/>
      </c>
      <c r="AH427" s="481" t="str">
        <f t="shared" si="113"/>
        <v/>
      </c>
      <c r="AI427" s="477" t="str">
        <f>IF($AC$427="","",IFERROR(INDEX($AZ$74:$AZ$119,MATCH($AH$427,$AY$74:$AY$119,0)),"AUTRE"))</f>
        <v/>
      </c>
      <c r="AJ427" s="482" t="str">
        <f>IF($AC$427="","",IFERROR(INDEX($BA$74:$BA$119,MATCH($AH$427,$AY$74:$AY$119,0)),1))</f>
        <v/>
      </c>
      <c r="AK427" s="482" t="str">
        <f t="shared" si="114"/>
        <v/>
      </c>
      <c r="AL427" s="477" t="str">
        <f>IF($AC$427="","",IFERROR(INDEX($BB$74:$BB$119,MATCH($AH$427,$AY$74:$AY$119,0)),$AH$427))</f>
        <v/>
      </c>
      <c r="AM427" s="483" t="str">
        <f t="shared" si="115"/>
        <v/>
      </c>
      <c r="AN427" s="484" t="str">
        <f t="shared" si="116"/>
        <v/>
      </c>
      <c r="AO427" s="473" t="str">
        <f t="shared" si="117"/>
        <v/>
      </c>
      <c r="AP427" s="473" t="str">
        <f t="shared" si="118"/>
        <v/>
      </c>
      <c r="AQ427" s="473" t="str">
        <f t="shared" si="119"/>
        <v/>
      </c>
      <c r="AR427" s="473" t="str">
        <f t="shared" si="120"/>
        <v/>
      </c>
      <c r="AS427" s="473" t="str">
        <f t="shared" si="121"/>
        <v/>
      </c>
      <c r="AT427" s="473" t="str">
        <f t="shared" si="122"/>
        <v/>
      </c>
      <c r="AU427" s="473" t="str">
        <f t="shared" si="123"/>
        <v/>
      </c>
      <c r="AY427" s="497" t="s">
        <v>463</v>
      </c>
      <c r="AZ427" s="32" t="s">
        <v>305</v>
      </c>
      <c r="BA427" s="34" t="s">
        <v>6120</v>
      </c>
      <c r="BB427" s="499"/>
      <c r="BC427" s="271"/>
      <c r="BD427" s="279">
        <v>1</v>
      </c>
      <c r="BE427" s="271"/>
      <c r="BF427" s="271"/>
      <c r="BG427" s="271"/>
      <c r="BH427" s="271"/>
      <c r="BI427" s="271"/>
      <c r="BJ427" s="271"/>
      <c r="BK427" s="271"/>
      <c r="BL427" s="271"/>
    </row>
    <row r="428" spans="1:64" ht="21" customHeight="1" x14ac:dyDescent="0.25">
      <c r="R428" s="34" t="s">
        <v>6122</v>
      </c>
      <c r="S428" s="451"/>
      <c r="T428" s="31" t="s">
        <v>352</v>
      </c>
      <c r="V428" s="475">
        <v>10</v>
      </c>
      <c r="W428" s="475" t="str">
        <f>IF($AC$428="","",$W$396)</f>
        <v/>
      </c>
      <c r="X428" s="476" t="str">
        <f>IF($AC$428="","",$X$396)</f>
        <v/>
      </c>
      <c r="Y428" s="477" t="str">
        <f>IF($X$428="","",$Y$396)</f>
        <v/>
      </c>
      <c r="Z428" s="477" t="str">
        <f>IF($X$428="","",$Z$396)</f>
        <v/>
      </c>
      <c r="AA428" s="477" t="str">
        <f>IF($AC$428="","",ROW($A$428)-ROW($A$396))</f>
        <v/>
      </c>
      <c r="AB428" s="478"/>
      <c r="AC428" s="34"/>
      <c r="AD428" s="356"/>
      <c r="AE428" s="479"/>
      <c r="AF428" s="475"/>
      <c r="AG428" s="480" t="str">
        <f t="shared" si="112"/>
        <v/>
      </c>
      <c r="AH428" s="481" t="str">
        <f t="shared" si="113"/>
        <v/>
      </c>
      <c r="AI428" s="477" t="str">
        <f>IF($AC$428="","",IFERROR(INDEX($AZ$74:$AZ$119,MATCH($AH$428,$AY$74:$AY$119,0)),"AUTRE"))</f>
        <v/>
      </c>
      <c r="AJ428" s="482" t="str">
        <f>IF($AC$428="","",IFERROR(INDEX($BA$74:$BA$119,MATCH($AH$428,$AY$74:$AY$119,0)),1))</f>
        <v/>
      </c>
      <c r="AK428" s="482" t="str">
        <f t="shared" si="114"/>
        <v/>
      </c>
      <c r="AL428" s="477" t="str">
        <f>IF($AC$428="","",IFERROR(INDEX($BB$74:$BB$119,MATCH($AH$428,$AY$74:$AY$119,0)),$AH$428))</f>
        <v/>
      </c>
      <c r="AM428" s="483" t="str">
        <f t="shared" si="115"/>
        <v/>
      </c>
      <c r="AN428" s="484" t="str">
        <f t="shared" si="116"/>
        <v/>
      </c>
      <c r="AO428" s="473" t="str">
        <f t="shared" si="117"/>
        <v/>
      </c>
      <c r="AP428" s="473" t="str">
        <f t="shared" si="118"/>
        <v/>
      </c>
      <c r="AQ428" s="473" t="str">
        <f t="shared" si="119"/>
        <v/>
      </c>
      <c r="AR428" s="473" t="str">
        <f t="shared" si="120"/>
        <v/>
      </c>
      <c r="AS428" s="473" t="str">
        <f t="shared" si="121"/>
        <v/>
      </c>
      <c r="AT428" s="473" t="str">
        <f t="shared" si="122"/>
        <v/>
      </c>
      <c r="AU428" s="473" t="str">
        <f t="shared" si="123"/>
        <v/>
      </c>
      <c r="AY428" s="497" t="s">
        <v>8147</v>
      </c>
      <c r="AZ428" s="32" t="s">
        <v>8129</v>
      </c>
      <c r="BA428" s="34" t="s">
        <v>6121</v>
      </c>
      <c r="BB428" s="499"/>
      <c r="BC428" s="271"/>
      <c r="BD428" s="279">
        <v>1</v>
      </c>
      <c r="BE428" s="271"/>
      <c r="BF428" s="271"/>
      <c r="BG428" s="271"/>
      <c r="BH428" s="271"/>
      <c r="BI428" s="271"/>
      <c r="BJ428" s="271"/>
      <c r="BK428" s="271"/>
      <c r="BL428" s="271"/>
    </row>
    <row r="429" spans="1:64" ht="21" customHeight="1" x14ac:dyDescent="0.25">
      <c r="R429" s="34" t="s">
        <v>6123</v>
      </c>
      <c r="S429" s="451"/>
      <c r="T429" s="31" t="s">
        <v>25</v>
      </c>
      <c r="V429" s="475">
        <v>10</v>
      </c>
      <c r="W429" s="475" t="str">
        <f>IF($AC$429="","",$W$396)</f>
        <v/>
      </c>
      <c r="X429" s="476" t="str">
        <f>IF($AC$429="","",$X$396)</f>
        <v/>
      </c>
      <c r="Y429" s="477" t="str">
        <f>IF($X$429="","",$Y$396)</f>
        <v/>
      </c>
      <c r="Z429" s="477" t="str">
        <f>IF($X$429="","",$Z$396)</f>
        <v/>
      </c>
      <c r="AA429" s="477" t="str">
        <f>IF($AC$429="","",ROW($A$429)-ROW($A$396))</f>
        <v/>
      </c>
      <c r="AB429" s="478"/>
      <c r="AC429" s="34"/>
      <c r="AD429" s="356"/>
      <c r="AE429" s="479"/>
      <c r="AF429" s="475"/>
      <c r="AG429" s="480" t="str">
        <f t="shared" si="112"/>
        <v/>
      </c>
      <c r="AH429" s="481" t="str">
        <f t="shared" si="113"/>
        <v/>
      </c>
      <c r="AI429" s="477" t="str">
        <f>IF($AC$429="","",IFERROR(INDEX($AZ$74:$AZ$119,MATCH($AH$429,$AY$74:$AY$119,0)),"AUTRE"))</f>
        <v/>
      </c>
      <c r="AJ429" s="482" t="str">
        <f>IF($AC$429="","",IFERROR(INDEX($BA$74:$BA$119,MATCH($AH$429,$AY$74:$AY$119,0)),1))</f>
        <v/>
      </c>
      <c r="AK429" s="482" t="str">
        <f t="shared" si="114"/>
        <v/>
      </c>
      <c r="AL429" s="477" t="str">
        <f>IF($AC$429="","",IFERROR(INDEX($BB$74:$BB$119,MATCH($AH$429,$AY$74:$AY$119,0)),$AH$429))</f>
        <v/>
      </c>
      <c r="AM429" s="483" t="str">
        <f t="shared" si="115"/>
        <v/>
      </c>
      <c r="AN429" s="484" t="str">
        <f t="shared" si="116"/>
        <v/>
      </c>
      <c r="AO429" s="473" t="str">
        <f t="shared" si="117"/>
        <v/>
      </c>
      <c r="AP429" s="473" t="str">
        <f t="shared" si="118"/>
        <v/>
      </c>
      <c r="AQ429" s="473" t="str">
        <f t="shared" si="119"/>
        <v/>
      </c>
      <c r="AR429" s="473" t="str">
        <f t="shared" si="120"/>
        <v/>
      </c>
      <c r="AS429" s="473" t="str">
        <f t="shared" si="121"/>
        <v/>
      </c>
      <c r="AT429" s="473" t="str">
        <f t="shared" si="122"/>
        <v/>
      </c>
      <c r="AU429" s="473" t="str">
        <f t="shared" si="123"/>
        <v/>
      </c>
      <c r="AY429" s="497" t="s">
        <v>465</v>
      </c>
      <c r="AZ429" s="32" t="s">
        <v>8131</v>
      </c>
      <c r="BA429" s="34" t="s">
        <v>6122</v>
      </c>
      <c r="BB429" s="499"/>
      <c r="BC429" s="271"/>
      <c r="BD429" s="279">
        <v>1</v>
      </c>
      <c r="BE429" s="271"/>
      <c r="BF429" s="271"/>
      <c r="BG429" s="271"/>
      <c r="BH429" s="271"/>
      <c r="BI429" s="271"/>
      <c r="BJ429" s="271"/>
      <c r="BK429" s="271"/>
      <c r="BL429" s="271"/>
    </row>
    <row r="430" spans="1:64" ht="21" customHeight="1" x14ac:dyDescent="0.25">
      <c r="R430" s="34" t="s">
        <v>6124</v>
      </c>
      <c r="S430" s="451"/>
      <c r="T430" s="31" t="s">
        <v>26</v>
      </c>
      <c r="V430" s="475">
        <v>10</v>
      </c>
      <c r="W430" s="475" t="str">
        <f>IF($AC$430="","",$W$396)</f>
        <v/>
      </c>
      <c r="X430" s="476" t="str">
        <f>IF($AC$430="","",$X$396)</f>
        <v/>
      </c>
      <c r="Y430" s="477" t="str">
        <f>IF($X$430="","",$Y$396)</f>
        <v/>
      </c>
      <c r="Z430" s="477" t="str">
        <f>IF($X$430="","",$Z$396)</f>
        <v/>
      </c>
      <c r="AA430" s="477" t="str">
        <f>IF($AC$430="","",ROW($A$430)-ROW($A$396))</f>
        <v/>
      </c>
      <c r="AB430" s="478"/>
      <c r="AC430" s="34"/>
      <c r="AD430" s="356"/>
      <c r="AE430" s="479"/>
      <c r="AF430" s="475"/>
      <c r="AG430" s="491" t="str">
        <f t="shared" si="112"/>
        <v/>
      </c>
      <c r="AH430" s="481" t="str">
        <f t="shared" si="113"/>
        <v/>
      </c>
      <c r="AI430" s="477" t="str">
        <f>IF($AC$430="","",IFERROR(INDEX($AZ$74:$AZ$119,MATCH($AH$430,$AY$74:$AY$119,0)),"AUTRE"))</f>
        <v/>
      </c>
      <c r="AJ430" s="482" t="str">
        <f>IF($AC$430="","",IFERROR(INDEX($BA$74:$BA$119,MATCH($AH$430,$AY$74:$AY$119,0)),1))</f>
        <v/>
      </c>
      <c r="AK430" s="482" t="str">
        <f t="shared" si="114"/>
        <v/>
      </c>
      <c r="AL430" s="477" t="str">
        <f>IF($AC$430="","",IFERROR(INDEX($BB$74:$BB$119,MATCH($AH$430,$AY$74:$AY$119,0)),$AH$430))</f>
        <v/>
      </c>
      <c r="AM430" s="483" t="str">
        <f t="shared" si="115"/>
        <v/>
      </c>
      <c r="AN430" s="484" t="str">
        <f t="shared" si="116"/>
        <v/>
      </c>
      <c r="AO430" s="473" t="str">
        <f t="shared" si="117"/>
        <v/>
      </c>
      <c r="AP430" s="473" t="str">
        <f t="shared" si="118"/>
        <v/>
      </c>
      <c r="AQ430" s="473" t="str">
        <f t="shared" si="119"/>
        <v/>
      </c>
      <c r="AR430" s="473" t="str">
        <f t="shared" si="120"/>
        <v/>
      </c>
      <c r="AS430" s="473" t="str">
        <f t="shared" si="121"/>
        <v/>
      </c>
      <c r="AT430" s="473" t="str">
        <f t="shared" si="122"/>
        <v/>
      </c>
      <c r="AU430" s="473" t="str">
        <f t="shared" si="123"/>
        <v/>
      </c>
      <c r="AY430" s="497" t="s">
        <v>466</v>
      </c>
      <c r="AZ430" s="32" t="s">
        <v>309</v>
      </c>
      <c r="BA430" s="34" t="s">
        <v>6123</v>
      </c>
      <c r="BB430" s="503" t="s">
        <v>8166</v>
      </c>
      <c r="BC430" s="271"/>
      <c r="BD430" s="279">
        <v>1</v>
      </c>
      <c r="BE430" s="271"/>
      <c r="BF430" s="271"/>
      <c r="BG430" s="271"/>
      <c r="BH430" s="271"/>
      <c r="BI430" s="271"/>
      <c r="BJ430" s="271"/>
      <c r="BK430" s="271"/>
      <c r="BL430" s="271"/>
    </row>
    <row r="431" spans="1:64" ht="21" customHeight="1" x14ac:dyDescent="0.25">
      <c r="R431" s="34" t="s">
        <v>6125</v>
      </c>
      <c r="S431" s="451"/>
      <c r="T431" s="31" t="s">
        <v>27</v>
      </c>
      <c r="V431" s="271"/>
      <c r="W431" s="271"/>
      <c r="X431" s="271"/>
      <c r="Y431" s="271"/>
      <c r="Z431" s="271"/>
      <c r="AA431" s="271"/>
      <c r="AB431" s="271"/>
      <c r="AC431" s="271"/>
      <c r="AD431" s="271"/>
      <c r="AE431" s="271"/>
      <c r="AF431" s="271"/>
      <c r="AG431" s="271"/>
      <c r="AH431" s="271"/>
      <c r="AI431" s="271"/>
      <c r="AJ431" s="271"/>
      <c r="AK431" s="271"/>
      <c r="AL431" s="271"/>
      <c r="AM431" s="271"/>
      <c r="AN431" s="271"/>
      <c r="AO431" s="271"/>
      <c r="AP431" s="271"/>
      <c r="AY431" s="271"/>
      <c r="AZ431" s="32" t="s">
        <v>311</v>
      </c>
      <c r="BA431" s="34" t="s">
        <v>6124</v>
      </c>
      <c r="BB431" s="271"/>
      <c r="BC431" s="271"/>
      <c r="BD431" s="504" t="s">
        <v>5889</v>
      </c>
      <c r="BE431" s="271"/>
      <c r="BF431" s="271"/>
      <c r="BG431" s="271"/>
      <c r="BH431" s="271"/>
      <c r="BI431" s="271"/>
      <c r="BJ431" s="271"/>
      <c r="BK431" s="271"/>
      <c r="BL431" s="271"/>
    </row>
    <row r="432" spans="1:64" ht="21" customHeight="1" x14ac:dyDescent="0.25">
      <c r="A432" s="279">
        <v>1</v>
      </c>
      <c r="B432" s="279">
        <v>1</v>
      </c>
      <c r="C432" s="279">
        <v>1</v>
      </c>
      <c r="D432" s="279">
        <v>1</v>
      </c>
      <c r="E432" s="279">
        <v>1</v>
      </c>
      <c r="F432" s="279">
        <v>1</v>
      </c>
      <c r="G432" s="279">
        <v>1</v>
      </c>
      <c r="H432" s="279">
        <v>1</v>
      </c>
      <c r="I432" s="279">
        <v>1</v>
      </c>
      <c r="J432" s="279">
        <v>1</v>
      </c>
      <c r="K432" s="279">
        <v>1</v>
      </c>
      <c r="L432" s="279">
        <v>1</v>
      </c>
      <c r="M432" s="279">
        <v>1</v>
      </c>
      <c r="N432" s="279">
        <v>1</v>
      </c>
      <c r="O432" s="279">
        <v>1</v>
      </c>
      <c r="P432" s="279">
        <v>1</v>
      </c>
      <c r="Q432" s="279">
        <v>1</v>
      </c>
      <c r="R432" s="279">
        <v>1</v>
      </c>
      <c r="S432" s="279">
        <v>1</v>
      </c>
      <c r="T432" s="279">
        <v>1</v>
      </c>
      <c r="U432" s="279">
        <v>1</v>
      </c>
      <c r="V432" s="279">
        <v>1</v>
      </c>
      <c r="W432" s="279">
        <v>1</v>
      </c>
      <c r="X432" s="279">
        <v>1</v>
      </c>
      <c r="Y432" s="279">
        <v>1</v>
      </c>
      <c r="Z432" s="279">
        <v>1</v>
      </c>
      <c r="AA432" s="279">
        <v>1</v>
      </c>
      <c r="AB432" s="279">
        <v>1</v>
      </c>
      <c r="AC432" s="279">
        <v>1</v>
      </c>
      <c r="AD432" s="279">
        <v>1</v>
      </c>
      <c r="AE432" s="279">
        <v>1</v>
      </c>
      <c r="AF432" s="279">
        <v>1</v>
      </c>
      <c r="AG432" s="279">
        <v>1</v>
      </c>
      <c r="AH432" s="279">
        <v>1</v>
      </c>
      <c r="AI432" s="279">
        <v>1</v>
      </c>
      <c r="AJ432" s="279">
        <v>1</v>
      </c>
      <c r="AK432" s="279"/>
      <c r="AL432" s="279">
        <v>1</v>
      </c>
      <c r="AM432" s="279">
        <v>1</v>
      </c>
      <c r="AN432" s="279">
        <v>1</v>
      </c>
      <c r="AO432" s="279">
        <v>1</v>
      </c>
      <c r="AP432" s="279">
        <v>1</v>
      </c>
      <c r="AQ432" s="279">
        <v>1</v>
      </c>
      <c r="AR432" s="279">
        <v>1</v>
      </c>
      <c r="AS432" s="279">
        <v>1</v>
      </c>
      <c r="AT432" s="279">
        <v>1</v>
      </c>
      <c r="AU432" s="279">
        <v>1</v>
      </c>
      <c r="AV432" s="279">
        <v>1</v>
      </c>
      <c r="AW432" s="279"/>
      <c r="AX432" s="279"/>
      <c r="AY432" s="279">
        <v>1</v>
      </c>
      <c r="AZ432" s="279">
        <v>1</v>
      </c>
      <c r="BA432" s="279">
        <v>1</v>
      </c>
      <c r="BB432" s="279">
        <v>1</v>
      </c>
      <c r="BC432" s="279">
        <v>1</v>
      </c>
      <c r="BD432" s="505" t="str">
        <f>ADDRESS(ROW(),COLUMN(),4)</f>
        <v>BD432</v>
      </c>
      <c r="BE432" s="271"/>
      <c r="BF432" s="271"/>
      <c r="BG432" s="271"/>
      <c r="BH432" s="271"/>
      <c r="BI432" s="271"/>
      <c r="BJ432" s="271"/>
      <c r="BK432" s="271"/>
      <c r="BL432" s="271"/>
    </row>
    <row r="433" spans="18:64" ht="21" customHeight="1" x14ac:dyDescent="0.25">
      <c r="S433" s="451"/>
      <c r="V433" s="271"/>
      <c r="W433" s="271"/>
      <c r="X433" s="271"/>
      <c r="Y433" s="271"/>
      <c r="Z433" s="271"/>
      <c r="AA433" s="271"/>
      <c r="AB433" s="271"/>
      <c r="AC433" s="271"/>
      <c r="AD433" s="271"/>
      <c r="AE433" s="271"/>
      <c r="AF433" s="271"/>
      <c r="AG433" s="271"/>
      <c r="AH433" s="271"/>
      <c r="AI433" s="271"/>
      <c r="AJ433" s="271"/>
      <c r="AK433" s="271"/>
      <c r="AL433" s="271"/>
      <c r="AM433" s="271"/>
      <c r="AN433" s="271"/>
      <c r="AO433" s="271"/>
      <c r="AP433" s="271"/>
      <c r="AY433" s="271"/>
      <c r="AZ433" s="271"/>
      <c r="BA433" s="271"/>
      <c r="BB433" s="271"/>
      <c r="BC433" s="271"/>
      <c r="BE433" s="271"/>
      <c r="BF433" s="271"/>
      <c r="BG433" s="271"/>
      <c r="BH433" s="271"/>
      <c r="BI433" s="271"/>
      <c r="BJ433" s="271"/>
      <c r="BK433" s="271"/>
      <c r="BL433" s="271"/>
    </row>
    <row r="434" spans="18:64" ht="21" customHeight="1" x14ac:dyDescent="0.25">
      <c r="S434" s="451"/>
      <c r="V434" s="271"/>
      <c r="W434" s="271"/>
      <c r="X434" s="271"/>
      <c r="Y434" s="271"/>
      <c r="Z434" s="271"/>
      <c r="AA434" s="271"/>
      <c r="AB434" s="271"/>
      <c r="AC434" s="271"/>
      <c r="AD434" s="271"/>
      <c r="AE434" s="271"/>
      <c r="AF434" s="271"/>
      <c r="AG434" s="271"/>
      <c r="AH434" s="271"/>
      <c r="AI434" s="271"/>
      <c r="AJ434" s="271"/>
      <c r="AK434" s="271"/>
      <c r="AL434" s="271"/>
      <c r="AM434" s="271"/>
      <c r="AN434" s="271"/>
      <c r="AO434" s="271"/>
      <c r="AP434" s="271"/>
      <c r="AY434" s="271"/>
      <c r="AZ434" s="271"/>
      <c r="BA434" s="271"/>
      <c r="BB434" s="271"/>
      <c r="BC434" s="271"/>
      <c r="BE434" s="271"/>
      <c r="BF434" s="271"/>
      <c r="BG434" s="271"/>
      <c r="BH434" s="271"/>
      <c r="BI434" s="271"/>
      <c r="BJ434" s="271"/>
      <c r="BK434" s="271"/>
      <c r="BL434" s="271"/>
    </row>
    <row r="435" spans="18:64" ht="21" customHeight="1" x14ac:dyDescent="0.25">
      <c r="S435" s="451"/>
    </row>
    <row r="436" spans="18:64" ht="21" customHeight="1" x14ac:dyDescent="0.25">
      <c r="S436" s="451"/>
    </row>
    <row r="437" spans="18:64" ht="21" customHeight="1" x14ac:dyDescent="0.25">
      <c r="S437" s="451"/>
    </row>
    <row r="438" spans="18:64" ht="21" customHeight="1" x14ac:dyDescent="0.25">
      <c r="S438" s="451"/>
    </row>
    <row r="439" spans="18:64" ht="21" customHeight="1" x14ac:dyDescent="0.25">
      <c r="S439" s="451"/>
    </row>
    <row r="440" spans="18:64" ht="21" customHeight="1" x14ac:dyDescent="0.25">
      <c r="R440" s="451"/>
      <c r="S440" s="451"/>
    </row>
    <row r="441" spans="18:64" ht="21" customHeight="1" x14ac:dyDescent="0.25">
      <c r="R441" s="451"/>
      <c r="S441" s="451"/>
    </row>
    <row r="442" spans="18:64" ht="21" customHeight="1" x14ac:dyDescent="0.25">
      <c r="R442" s="451"/>
      <c r="S442" s="451"/>
    </row>
    <row r="443" spans="18:64" ht="21" customHeight="1" x14ac:dyDescent="0.25"/>
    <row r="444" spans="18:64" ht="21" customHeight="1" x14ac:dyDescent="0.25"/>
    <row r="445" spans="18:64" ht="21" customHeight="1" x14ac:dyDescent="0.25"/>
    <row r="446" spans="18:64" ht="21" customHeight="1" x14ac:dyDescent="0.25"/>
    <row r="447" spans="18:64" ht="21" customHeight="1" x14ac:dyDescent="0.25"/>
    <row r="448" spans="18:64" ht="21" customHeight="1" x14ac:dyDescent="0.25"/>
    <row r="449" ht="21" customHeight="1" x14ac:dyDescent="0.25"/>
    <row r="450" ht="21" customHeight="1" x14ac:dyDescent="0.25"/>
    <row r="451" ht="21" customHeight="1" x14ac:dyDescent="0.25"/>
    <row r="452" ht="21" customHeight="1" x14ac:dyDescent="0.25"/>
    <row r="453" ht="21" customHeight="1" x14ac:dyDescent="0.25"/>
    <row r="454" ht="21" customHeight="1" x14ac:dyDescent="0.25"/>
  </sheetData>
  <mergeCells count="106">
    <mergeCell ref="A1:I1"/>
    <mergeCell ref="U1:AA1"/>
    <mergeCell ref="A2:I2"/>
    <mergeCell ref="U2:AA4"/>
    <mergeCell ref="AG3:AH3"/>
    <mergeCell ref="A4:I4"/>
    <mergeCell ref="R4:S5"/>
    <mergeCell ref="C5:I5"/>
    <mergeCell ref="AG5:AH5"/>
    <mergeCell ref="A9:I9"/>
    <mergeCell ref="AG9:AH9"/>
    <mergeCell ref="A10:D10"/>
    <mergeCell ref="F10:I10"/>
    <mergeCell ref="U10:AA11"/>
    <mergeCell ref="AG10:AH10"/>
    <mergeCell ref="B11:D11"/>
    <mergeCell ref="B6:I6"/>
    <mergeCell ref="U6:AA6"/>
    <mergeCell ref="AG6:AH6"/>
    <mergeCell ref="B7:C7"/>
    <mergeCell ref="E7:F7"/>
    <mergeCell ref="H7:I7"/>
    <mergeCell ref="U7:AA8"/>
    <mergeCell ref="AG7:AH7"/>
    <mergeCell ref="AG8:AH8"/>
    <mergeCell ref="A19:I19"/>
    <mergeCell ref="E20:F20"/>
    <mergeCell ref="G20:I20"/>
    <mergeCell ref="U20:U21"/>
    <mergeCell ref="V20:V21"/>
    <mergeCell ref="W20:AA21"/>
    <mergeCell ref="U12:AA13"/>
    <mergeCell ref="F13:I14"/>
    <mergeCell ref="A15:I15"/>
    <mergeCell ref="U15:AA15"/>
    <mergeCell ref="B16:I16"/>
    <mergeCell ref="U16:U17"/>
    <mergeCell ref="V16:V17"/>
    <mergeCell ref="W16:AA17"/>
    <mergeCell ref="B17:I17"/>
    <mergeCell ref="K17:Q21"/>
    <mergeCell ref="U22:U23"/>
    <mergeCell ref="V22:V23"/>
    <mergeCell ref="W22:AA23"/>
    <mergeCell ref="U24:U25"/>
    <mergeCell ref="V24:V25"/>
    <mergeCell ref="W24:AA25"/>
    <mergeCell ref="AG17:AH17"/>
    <mergeCell ref="U18:U19"/>
    <mergeCell ref="V18:V19"/>
    <mergeCell ref="W18:AA19"/>
    <mergeCell ref="U30:AA30"/>
    <mergeCell ref="AG30:AH30"/>
    <mergeCell ref="U31:V32"/>
    <mergeCell ref="W31:AA32"/>
    <mergeCell ref="AG31:AH31"/>
    <mergeCell ref="AG32:AH32"/>
    <mergeCell ref="U26:U27"/>
    <mergeCell ref="V26:V27"/>
    <mergeCell ref="W26:AA27"/>
    <mergeCell ref="AG26:AH26"/>
    <mergeCell ref="AG27:AH27"/>
    <mergeCell ref="U28:U29"/>
    <mergeCell ref="W28:AA29"/>
    <mergeCell ref="AG29:AH29"/>
    <mergeCell ref="U37:V38"/>
    <mergeCell ref="W37:AA38"/>
    <mergeCell ref="AG37:AH37"/>
    <mergeCell ref="AG38:AH38"/>
    <mergeCell ref="U39:V40"/>
    <mergeCell ref="W39:AA40"/>
    <mergeCell ref="AG39:AH39"/>
    <mergeCell ref="AG40:AH40"/>
    <mergeCell ref="U33:V34"/>
    <mergeCell ref="W33:AA34"/>
    <mergeCell ref="AG33:AH33"/>
    <mergeCell ref="AG34:AH34"/>
    <mergeCell ref="U35:V36"/>
    <mergeCell ref="W35:AA36"/>
    <mergeCell ref="AG35:AH35"/>
    <mergeCell ref="AG46:AH46"/>
    <mergeCell ref="AN55:BB65"/>
    <mergeCell ref="A58:I58"/>
    <mergeCell ref="A60:I60"/>
    <mergeCell ref="B61:I63"/>
    <mergeCell ref="AN66:BB67"/>
    <mergeCell ref="AB67:AC68"/>
    <mergeCell ref="U41:AA41"/>
    <mergeCell ref="AG41:AH41"/>
    <mergeCell ref="U42:V43"/>
    <mergeCell ref="W42:AA43"/>
    <mergeCell ref="AG43:AH43"/>
    <mergeCell ref="U44:V45"/>
    <mergeCell ref="W44:AA45"/>
    <mergeCell ref="AG44:AH44"/>
    <mergeCell ref="AG45:AH45"/>
    <mergeCell ref="AP287:AU287"/>
    <mergeCell ref="AP323:AU323"/>
    <mergeCell ref="AP359:AU359"/>
    <mergeCell ref="AP395:AU395"/>
    <mergeCell ref="AP71:AU71"/>
    <mergeCell ref="AP107:AU107"/>
    <mergeCell ref="AP143:AU143"/>
    <mergeCell ref="AP179:AU179"/>
    <mergeCell ref="AP215:AU215"/>
    <mergeCell ref="AP251:AU251"/>
  </mergeCells>
  <conditionalFormatting sqref="I22:I56">
    <cfRule type="expression" dxfId="19" priority="1">
      <formula>I22="A CONTROLER"</formula>
    </cfRule>
    <cfRule type="expression" dxfId="18" priority="2">
      <formula>I22="OK"</formula>
    </cfRule>
  </conditionalFormatting>
  <dataValidations count="1">
    <dataValidation type="list" sqref="B5" xr:uid="{D784367D-0923-45D7-8416-1AC93464D244}">
      <formula1>"1,2,3,4,5,6,7,8,9,10"</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5B4D8-9645-4321-8B69-29241E187F31}">
  <dimension ref="A1:L254"/>
  <sheetViews>
    <sheetView workbookViewId="0">
      <selection activeCell="A12" sqref="A12"/>
    </sheetView>
  </sheetViews>
  <sheetFormatPr baseColWidth="10" defaultColWidth="10.28515625" defaultRowHeight="15" x14ac:dyDescent="0.25"/>
  <cols>
    <col min="1" max="1" width="11.42578125" style="158" customWidth="1"/>
    <col min="2" max="2" width="44.28515625" style="158" customWidth="1"/>
    <col min="3" max="3" width="36.85546875" style="158" customWidth="1"/>
    <col min="4" max="4" width="39.7109375" style="158" customWidth="1"/>
    <col min="5" max="5" width="27.140625" style="158" customWidth="1"/>
    <col min="6" max="6" width="20.28515625" style="158" customWidth="1"/>
    <col min="7" max="16384" width="10.28515625" style="158"/>
  </cols>
  <sheetData>
    <row r="1" spans="1:12" ht="16.5" customHeight="1" x14ac:dyDescent="0.25">
      <c r="A1" s="152" t="s">
        <v>6111</v>
      </c>
    </row>
    <row r="2" spans="1:12" ht="18.75" x14ac:dyDescent="0.25">
      <c r="B2" s="264" t="s">
        <v>6209</v>
      </c>
      <c r="C2" s="265" t="s">
        <v>6210</v>
      </c>
      <c r="D2" s="163"/>
      <c r="E2" s="163"/>
      <c r="F2" s="163"/>
      <c r="G2" s="163"/>
      <c r="H2" s="163"/>
      <c r="I2" s="163"/>
      <c r="J2" s="163"/>
      <c r="K2" s="163"/>
      <c r="L2" s="163"/>
    </row>
    <row r="3" spans="1:12" x14ac:dyDescent="0.25">
      <c r="B3" s="159"/>
      <c r="C3" s="162"/>
      <c r="D3" s="163"/>
      <c r="E3" s="163"/>
      <c r="F3" s="163"/>
      <c r="G3" s="163"/>
      <c r="H3" s="163"/>
      <c r="I3" s="163"/>
      <c r="J3" s="163"/>
      <c r="K3" s="163"/>
      <c r="L3" s="163"/>
    </row>
    <row r="4" spans="1:12" ht="15.75" x14ac:dyDescent="0.25">
      <c r="B4" s="759" t="s">
        <v>6202</v>
      </c>
      <c r="C4" s="266" t="s">
        <v>6258</v>
      </c>
      <c r="D4" s="163"/>
      <c r="E4" s="163"/>
      <c r="F4" s="163"/>
      <c r="G4" s="163"/>
      <c r="H4" s="163"/>
      <c r="I4" s="163"/>
      <c r="J4" s="163"/>
      <c r="K4" s="163"/>
      <c r="L4" s="163"/>
    </row>
    <row r="5" spans="1:12" ht="15.75" x14ac:dyDescent="0.25">
      <c r="B5" s="759"/>
      <c r="C5" s="266" t="s">
        <v>6259</v>
      </c>
      <c r="D5" s="163"/>
      <c r="E5" s="163"/>
      <c r="F5" s="163"/>
      <c r="G5" s="163"/>
      <c r="H5" s="163"/>
      <c r="I5" s="163"/>
      <c r="J5" s="163"/>
      <c r="K5" s="163"/>
      <c r="L5" s="163"/>
    </row>
    <row r="6" spans="1:12" ht="15.75" x14ac:dyDescent="0.25">
      <c r="B6" s="759"/>
      <c r="C6" s="266" t="s">
        <v>6260</v>
      </c>
      <c r="D6" s="163"/>
      <c r="E6" s="163"/>
      <c r="F6" s="163"/>
      <c r="G6" s="163"/>
      <c r="H6" s="163"/>
      <c r="I6" s="163"/>
      <c r="J6" s="163"/>
      <c r="K6" s="163"/>
      <c r="L6" s="163"/>
    </row>
    <row r="7" spans="1:12" ht="15.75" x14ac:dyDescent="0.25">
      <c r="B7" s="267"/>
      <c r="C7" s="266"/>
      <c r="D7" s="163"/>
      <c r="E7" s="163"/>
      <c r="F7" s="163"/>
      <c r="G7" s="163"/>
      <c r="H7" s="163"/>
      <c r="I7" s="163"/>
      <c r="J7" s="163"/>
      <c r="K7" s="163"/>
      <c r="L7" s="163"/>
    </row>
    <row r="8" spans="1:12" ht="15.75" x14ac:dyDescent="0.25">
      <c r="B8" s="759" t="s">
        <v>6203</v>
      </c>
      <c r="C8" s="266" t="s">
        <v>6261</v>
      </c>
      <c r="D8" s="163"/>
      <c r="E8" s="163"/>
      <c r="F8" s="163"/>
      <c r="G8" s="163"/>
      <c r="H8" s="163"/>
      <c r="I8" s="163"/>
      <c r="J8" s="163"/>
      <c r="K8" s="163"/>
      <c r="L8" s="163"/>
    </row>
    <row r="9" spans="1:12" ht="15.75" x14ac:dyDescent="0.25">
      <c r="B9" s="759"/>
      <c r="C9" s="266" t="s">
        <v>6262</v>
      </c>
      <c r="D9" s="163"/>
      <c r="E9" s="163"/>
      <c r="F9" s="163"/>
      <c r="G9" s="163"/>
      <c r="H9" s="163"/>
      <c r="I9" s="163"/>
      <c r="J9" s="163"/>
      <c r="K9" s="163"/>
      <c r="L9" s="163"/>
    </row>
    <row r="10" spans="1:12" ht="15.75" x14ac:dyDescent="0.25">
      <c r="B10" s="267"/>
      <c r="C10" s="266"/>
      <c r="D10" s="163"/>
      <c r="E10" s="163"/>
      <c r="F10" s="163"/>
      <c r="G10" s="163"/>
      <c r="H10" s="163"/>
      <c r="I10" s="163"/>
      <c r="J10" s="163"/>
      <c r="K10" s="163"/>
      <c r="L10" s="163"/>
    </row>
    <row r="11" spans="1:12" ht="15.75" x14ac:dyDescent="0.25">
      <c r="B11" s="759" t="s">
        <v>6204</v>
      </c>
      <c r="C11" s="266" t="s">
        <v>6263</v>
      </c>
      <c r="D11" s="163"/>
      <c r="E11" s="163"/>
      <c r="F11" s="163"/>
      <c r="G11" s="163"/>
      <c r="H11" s="163"/>
      <c r="I11" s="163"/>
      <c r="J11" s="163"/>
      <c r="K11" s="163"/>
      <c r="L11" s="163"/>
    </row>
    <row r="12" spans="1:12" ht="15.75" x14ac:dyDescent="0.25">
      <c r="B12" s="759"/>
      <c r="C12" s="266" t="s">
        <v>6264</v>
      </c>
      <c r="D12" s="163"/>
      <c r="E12" s="163"/>
      <c r="F12" s="163"/>
      <c r="G12" s="163"/>
      <c r="H12" s="163"/>
      <c r="I12" s="163"/>
      <c r="J12" s="163"/>
      <c r="K12" s="163"/>
      <c r="L12" s="163"/>
    </row>
    <row r="13" spans="1:12" ht="15.75" x14ac:dyDescent="0.25">
      <c r="B13" s="267"/>
      <c r="C13" s="266"/>
      <c r="D13" s="163"/>
      <c r="E13" s="163"/>
      <c r="F13" s="163"/>
      <c r="G13" s="163"/>
      <c r="H13" s="163"/>
      <c r="I13" s="163"/>
      <c r="J13" s="163"/>
      <c r="K13" s="163"/>
      <c r="L13" s="163"/>
    </row>
    <row r="14" spans="1:12" ht="15.75" x14ac:dyDescent="0.25">
      <c r="B14" s="759" t="s">
        <v>6211</v>
      </c>
      <c r="C14" s="266" t="s">
        <v>6265</v>
      </c>
      <c r="D14" s="163"/>
      <c r="E14" s="163"/>
      <c r="F14" s="163"/>
      <c r="G14" s="163"/>
      <c r="H14" s="163"/>
      <c r="I14" s="163"/>
      <c r="J14" s="163"/>
      <c r="K14" s="163"/>
      <c r="L14" s="163"/>
    </row>
    <row r="15" spans="1:12" ht="15.75" x14ac:dyDescent="0.25">
      <c r="B15" s="759"/>
      <c r="C15" s="266" t="s">
        <v>6266</v>
      </c>
      <c r="D15" s="163"/>
      <c r="E15" s="163"/>
      <c r="F15" s="163"/>
      <c r="G15" s="163"/>
      <c r="H15" s="163"/>
      <c r="I15" s="163"/>
      <c r="J15" s="163"/>
      <c r="K15" s="163"/>
      <c r="L15" s="163"/>
    </row>
    <row r="16" spans="1:12" ht="15.75" x14ac:dyDescent="0.25">
      <c r="B16" s="267"/>
      <c r="C16" s="266"/>
      <c r="D16" s="163"/>
      <c r="E16" s="163"/>
      <c r="F16" s="163"/>
      <c r="G16" s="163"/>
      <c r="H16" s="163"/>
      <c r="I16" s="163"/>
      <c r="J16" s="163"/>
      <c r="K16" s="163"/>
      <c r="L16" s="163"/>
    </row>
    <row r="17" spans="2:12" ht="15.75" x14ac:dyDescent="0.25">
      <c r="B17" s="759" t="s">
        <v>6212</v>
      </c>
      <c r="C17" s="266" t="s">
        <v>6267</v>
      </c>
      <c r="D17" s="163"/>
      <c r="E17" s="163"/>
      <c r="F17" s="163"/>
      <c r="G17" s="163"/>
      <c r="H17" s="163"/>
      <c r="I17" s="163"/>
      <c r="J17" s="163"/>
      <c r="K17" s="163"/>
      <c r="L17" s="163"/>
    </row>
    <row r="18" spans="2:12" ht="15.75" x14ac:dyDescent="0.25">
      <c r="B18" s="759"/>
      <c r="C18" s="266" t="s">
        <v>6268</v>
      </c>
      <c r="D18" s="163"/>
      <c r="E18" s="163"/>
      <c r="F18" s="163"/>
      <c r="G18" s="163"/>
      <c r="H18" s="163"/>
      <c r="I18" s="163"/>
      <c r="J18" s="163"/>
      <c r="K18" s="163"/>
      <c r="L18" s="163"/>
    </row>
    <row r="19" spans="2:12" ht="15.75" x14ac:dyDescent="0.25">
      <c r="B19" s="267"/>
      <c r="C19" s="266"/>
      <c r="D19" s="163"/>
      <c r="E19" s="163"/>
      <c r="F19" s="163"/>
      <c r="G19" s="163"/>
      <c r="H19" s="163"/>
      <c r="I19" s="163"/>
      <c r="J19" s="163"/>
      <c r="K19" s="163"/>
      <c r="L19" s="163"/>
    </row>
    <row r="20" spans="2:12" ht="15.75" x14ac:dyDescent="0.25">
      <c r="B20" s="759" t="s">
        <v>6213</v>
      </c>
      <c r="C20" s="266" t="s">
        <v>6269</v>
      </c>
      <c r="D20" s="163"/>
      <c r="E20" s="163"/>
      <c r="F20" s="163"/>
      <c r="G20" s="163"/>
      <c r="H20" s="163"/>
      <c r="I20" s="163"/>
      <c r="J20" s="163"/>
      <c r="K20" s="163"/>
      <c r="L20" s="163"/>
    </row>
    <row r="21" spans="2:12" ht="15.75" x14ac:dyDescent="0.25">
      <c r="B21" s="759"/>
      <c r="C21" s="266" t="s">
        <v>6270</v>
      </c>
      <c r="D21" s="163"/>
      <c r="E21" s="163"/>
      <c r="F21" s="163"/>
      <c r="G21" s="163"/>
      <c r="H21" s="163"/>
      <c r="I21" s="163"/>
      <c r="J21" s="163"/>
      <c r="K21" s="163"/>
      <c r="L21" s="163"/>
    </row>
    <row r="22" spans="2:12" ht="15.75" x14ac:dyDescent="0.25">
      <c r="B22" s="267"/>
      <c r="C22" s="266"/>
      <c r="D22" s="163"/>
      <c r="E22" s="163"/>
      <c r="F22" s="163"/>
      <c r="G22" s="163"/>
      <c r="H22" s="163"/>
      <c r="I22" s="163"/>
      <c r="J22" s="163"/>
      <c r="K22" s="163"/>
      <c r="L22" s="163"/>
    </row>
    <row r="23" spans="2:12" ht="15.75" x14ac:dyDescent="0.25">
      <c r="B23" s="759" t="s">
        <v>6214</v>
      </c>
      <c r="C23" s="266" t="s">
        <v>6271</v>
      </c>
      <c r="D23" s="163"/>
      <c r="E23" s="163"/>
      <c r="F23" s="163"/>
      <c r="G23" s="163"/>
      <c r="H23" s="163"/>
      <c r="I23" s="163"/>
      <c r="J23" s="163"/>
      <c r="K23" s="163"/>
      <c r="L23" s="163"/>
    </row>
    <row r="24" spans="2:12" ht="15.75" x14ac:dyDescent="0.25">
      <c r="B24" s="759"/>
      <c r="C24" s="266" t="s">
        <v>6272</v>
      </c>
      <c r="D24" s="163"/>
      <c r="E24" s="163"/>
      <c r="F24" s="163"/>
      <c r="G24" s="163"/>
      <c r="H24" s="163"/>
      <c r="I24" s="163"/>
      <c r="J24" s="163"/>
      <c r="K24" s="163"/>
      <c r="L24" s="163"/>
    </row>
    <row r="25" spans="2:12" ht="15.75" x14ac:dyDescent="0.25">
      <c r="B25" s="267"/>
      <c r="C25" s="266"/>
      <c r="D25" s="163"/>
      <c r="E25" s="163"/>
      <c r="F25" s="163"/>
      <c r="G25" s="163"/>
      <c r="H25" s="163"/>
      <c r="I25" s="163"/>
      <c r="J25" s="163"/>
      <c r="K25" s="163"/>
      <c r="L25" s="163"/>
    </row>
    <row r="26" spans="2:12" ht="15.75" x14ac:dyDescent="0.25">
      <c r="B26" s="759" t="s">
        <v>6215</v>
      </c>
      <c r="C26" s="266" t="s">
        <v>6273</v>
      </c>
      <c r="D26" s="163"/>
      <c r="E26" s="163"/>
      <c r="F26" s="163"/>
      <c r="G26" s="163"/>
      <c r="H26" s="163"/>
      <c r="I26" s="163"/>
      <c r="J26" s="163"/>
      <c r="K26" s="163"/>
      <c r="L26" s="163"/>
    </row>
    <row r="27" spans="2:12" ht="15.75" x14ac:dyDescent="0.25">
      <c r="B27" s="759"/>
      <c r="C27" s="266" t="s">
        <v>6274</v>
      </c>
      <c r="D27" s="163"/>
      <c r="E27" s="163"/>
      <c r="F27" s="163"/>
      <c r="G27" s="163"/>
      <c r="H27" s="163"/>
      <c r="I27" s="163"/>
      <c r="J27" s="163"/>
      <c r="K27" s="163"/>
      <c r="L27" s="163"/>
    </row>
    <row r="28" spans="2:12" ht="15.75" x14ac:dyDescent="0.25">
      <c r="B28" s="267"/>
      <c r="C28" s="266"/>
      <c r="D28" s="163"/>
      <c r="E28" s="163"/>
      <c r="F28" s="163"/>
      <c r="G28" s="163"/>
      <c r="H28" s="163"/>
      <c r="I28" s="163"/>
      <c r="J28" s="163"/>
      <c r="K28" s="163"/>
      <c r="L28" s="163"/>
    </row>
    <row r="29" spans="2:12" ht="15.75" x14ac:dyDescent="0.25">
      <c r="B29" s="759" t="s">
        <v>6216</v>
      </c>
      <c r="C29" s="266" t="s">
        <v>6275</v>
      </c>
      <c r="D29" s="163"/>
      <c r="E29" s="163"/>
      <c r="F29" s="163"/>
      <c r="G29" s="163"/>
      <c r="H29" s="163"/>
      <c r="I29" s="163"/>
      <c r="J29" s="163"/>
      <c r="K29" s="163"/>
      <c r="L29" s="163"/>
    </row>
    <row r="30" spans="2:12" ht="15.75" x14ac:dyDescent="0.25">
      <c r="B30" s="759"/>
      <c r="C30" s="266" t="s">
        <v>6276</v>
      </c>
      <c r="D30" s="163"/>
      <c r="E30" s="163"/>
      <c r="F30" s="163"/>
      <c r="G30" s="163"/>
      <c r="H30" s="163"/>
      <c r="I30" s="163"/>
      <c r="J30" s="163"/>
      <c r="K30" s="163"/>
      <c r="L30" s="163"/>
    </row>
    <row r="31" spans="2:12" ht="15.75" x14ac:dyDescent="0.25">
      <c r="B31" s="267"/>
      <c r="C31" s="266"/>
      <c r="D31" s="163"/>
      <c r="E31" s="163"/>
      <c r="F31" s="163"/>
      <c r="G31" s="163"/>
      <c r="H31" s="163"/>
      <c r="I31" s="163"/>
      <c r="J31" s="163"/>
      <c r="K31" s="163"/>
      <c r="L31" s="163"/>
    </row>
    <row r="32" spans="2:12" ht="15.75" x14ac:dyDescent="0.25">
      <c r="B32" s="759" t="s">
        <v>6217</v>
      </c>
      <c r="C32" s="266" t="s">
        <v>6277</v>
      </c>
      <c r="D32" s="163"/>
      <c r="E32" s="163"/>
      <c r="F32" s="163"/>
      <c r="G32" s="163"/>
      <c r="H32" s="163"/>
      <c r="I32" s="163"/>
      <c r="J32" s="163"/>
      <c r="K32" s="163"/>
      <c r="L32" s="163"/>
    </row>
    <row r="33" spans="2:12" ht="15.75" x14ac:dyDescent="0.25">
      <c r="B33" s="759"/>
      <c r="C33" s="266" t="s">
        <v>6278</v>
      </c>
      <c r="D33" s="163"/>
      <c r="E33" s="163"/>
      <c r="F33" s="163"/>
      <c r="G33" s="163"/>
      <c r="H33" s="163"/>
      <c r="I33" s="163"/>
      <c r="J33" s="163"/>
      <c r="K33" s="163"/>
      <c r="L33" s="163"/>
    </row>
    <row r="34" spans="2:12" ht="15.75" x14ac:dyDescent="0.25">
      <c r="B34" s="267"/>
      <c r="C34" s="266"/>
      <c r="D34" s="163"/>
      <c r="E34" s="163"/>
      <c r="F34" s="163"/>
      <c r="G34" s="163"/>
      <c r="H34" s="163"/>
      <c r="I34" s="163"/>
      <c r="J34" s="163"/>
      <c r="K34" s="163"/>
      <c r="L34" s="163"/>
    </row>
    <row r="35" spans="2:12" ht="15.75" x14ac:dyDescent="0.25">
      <c r="B35" s="759" t="s">
        <v>6218</v>
      </c>
      <c r="C35" s="266" t="s">
        <v>6279</v>
      </c>
      <c r="D35" s="163"/>
      <c r="E35" s="163"/>
      <c r="F35" s="163"/>
      <c r="G35" s="163"/>
      <c r="H35" s="163"/>
      <c r="I35" s="163"/>
      <c r="J35" s="163"/>
      <c r="K35" s="163"/>
      <c r="L35" s="163"/>
    </row>
    <row r="36" spans="2:12" ht="15.75" x14ac:dyDescent="0.25">
      <c r="B36" s="759"/>
      <c r="C36" s="266" t="s">
        <v>6280</v>
      </c>
      <c r="D36" s="163"/>
      <c r="E36" s="163"/>
      <c r="F36" s="163"/>
      <c r="G36" s="163"/>
      <c r="H36" s="163"/>
      <c r="I36" s="163"/>
      <c r="J36" s="163"/>
      <c r="K36" s="163"/>
      <c r="L36" s="163"/>
    </row>
    <row r="37" spans="2:12" ht="15.75" x14ac:dyDescent="0.25">
      <c r="B37" s="267"/>
      <c r="C37" s="266"/>
      <c r="D37" s="163"/>
      <c r="E37" s="163"/>
      <c r="F37" s="163"/>
      <c r="G37" s="163"/>
      <c r="H37" s="163"/>
      <c r="I37" s="163"/>
      <c r="J37" s="163"/>
      <c r="K37" s="163"/>
      <c r="L37" s="163"/>
    </row>
    <row r="38" spans="2:12" ht="15.75" x14ac:dyDescent="0.25">
      <c r="B38" s="759" t="s">
        <v>6205</v>
      </c>
      <c r="C38" s="266" t="s">
        <v>6281</v>
      </c>
      <c r="D38" s="163"/>
      <c r="E38" s="163"/>
      <c r="F38" s="163"/>
      <c r="G38" s="163"/>
      <c r="H38" s="163"/>
      <c r="I38" s="163"/>
      <c r="J38" s="163"/>
      <c r="K38" s="163"/>
      <c r="L38" s="163"/>
    </row>
    <row r="39" spans="2:12" ht="15.75" x14ac:dyDescent="0.25">
      <c r="B39" s="759"/>
      <c r="C39" s="266" t="s">
        <v>6282</v>
      </c>
      <c r="D39" s="163"/>
      <c r="E39" s="163"/>
      <c r="F39" s="163"/>
      <c r="G39" s="163"/>
      <c r="H39" s="163"/>
      <c r="I39" s="163"/>
      <c r="J39" s="163"/>
      <c r="K39" s="163"/>
      <c r="L39" s="163"/>
    </row>
    <row r="40" spans="2:12" ht="15.75" x14ac:dyDescent="0.25">
      <c r="B40" s="267"/>
      <c r="C40" s="266"/>
      <c r="D40" s="163"/>
      <c r="E40" s="163"/>
      <c r="F40" s="163"/>
      <c r="G40" s="163"/>
      <c r="H40" s="163"/>
      <c r="I40" s="163"/>
      <c r="J40" s="163"/>
      <c r="K40" s="163"/>
      <c r="L40" s="163"/>
    </row>
    <row r="41" spans="2:12" ht="15.75" x14ac:dyDescent="0.25">
      <c r="B41" s="759" t="s">
        <v>6219</v>
      </c>
      <c r="C41" s="266" t="s">
        <v>6283</v>
      </c>
      <c r="D41" s="163"/>
      <c r="E41" s="163"/>
      <c r="F41" s="163"/>
      <c r="G41" s="163"/>
      <c r="H41" s="163"/>
      <c r="I41" s="163"/>
      <c r="J41" s="163"/>
      <c r="K41" s="163"/>
      <c r="L41" s="163"/>
    </row>
    <row r="42" spans="2:12" ht="15.75" x14ac:dyDescent="0.25">
      <c r="B42" s="759"/>
      <c r="C42" s="266" t="s">
        <v>6284</v>
      </c>
      <c r="D42" s="163"/>
      <c r="E42" s="163"/>
      <c r="F42" s="163"/>
      <c r="G42" s="163"/>
      <c r="H42" s="163"/>
      <c r="I42" s="163"/>
      <c r="J42" s="163"/>
      <c r="K42" s="163"/>
      <c r="L42" s="163"/>
    </row>
    <row r="43" spans="2:12" ht="15.75" x14ac:dyDescent="0.25">
      <c r="B43" s="267"/>
      <c r="C43" s="266"/>
      <c r="D43" s="163"/>
      <c r="E43" s="163"/>
      <c r="F43" s="163"/>
      <c r="G43" s="163"/>
      <c r="H43" s="163"/>
      <c r="I43" s="163"/>
      <c r="J43" s="163"/>
      <c r="K43" s="163"/>
      <c r="L43" s="163"/>
    </row>
    <row r="44" spans="2:12" ht="15.75" x14ac:dyDescent="0.25">
      <c r="B44" s="759" t="s">
        <v>6220</v>
      </c>
      <c r="C44" s="266" t="s">
        <v>6285</v>
      </c>
      <c r="D44" s="163"/>
      <c r="E44" s="163"/>
      <c r="F44" s="163"/>
      <c r="G44" s="163"/>
      <c r="H44" s="163"/>
      <c r="I44" s="163"/>
      <c r="J44" s="163"/>
      <c r="K44" s="163"/>
      <c r="L44" s="163"/>
    </row>
    <row r="45" spans="2:12" ht="15.75" x14ac:dyDescent="0.25">
      <c r="B45" s="759"/>
      <c r="C45" s="266" t="s">
        <v>6286</v>
      </c>
      <c r="D45" s="163"/>
      <c r="E45" s="163"/>
      <c r="F45" s="163"/>
      <c r="G45" s="163"/>
      <c r="H45" s="163"/>
      <c r="I45" s="163"/>
      <c r="J45" s="163"/>
      <c r="K45" s="163"/>
      <c r="L45" s="163"/>
    </row>
    <row r="46" spans="2:12" ht="15.75" x14ac:dyDescent="0.25">
      <c r="B46" s="267"/>
      <c r="C46" s="266"/>
      <c r="D46" s="163"/>
      <c r="E46" s="163"/>
      <c r="F46" s="163"/>
      <c r="G46" s="163"/>
      <c r="H46" s="163"/>
      <c r="I46" s="163"/>
      <c r="J46" s="163"/>
      <c r="K46" s="163"/>
      <c r="L46" s="163"/>
    </row>
    <row r="47" spans="2:12" ht="15.75" x14ac:dyDescent="0.25">
      <c r="B47" s="760" t="s">
        <v>6206</v>
      </c>
      <c r="C47" s="266" t="s">
        <v>6287</v>
      </c>
      <c r="D47" s="163"/>
      <c r="E47" s="163"/>
      <c r="F47" s="163"/>
      <c r="G47" s="163"/>
      <c r="H47" s="163"/>
      <c r="I47" s="163"/>
      <c r="J47" s="163"/>
      <c r="K47" s="163"/>
      <c r="L47" s="163"/>
    </row>
    <row r="48" spans="2:12" ht="15.75" x14ac:dyDescent="0.25">
      <c r="B48" s="760"/>
      <c r="C48" s="266" t="s">
        <v>6288</v>
      </c>
      <c r="D48" s="163"/>
      <c r="E48" s="163"/>
      <c r="F48" s="163"/>
      <c r="G48" s="163"/>
      <c r="H48" s="163"/>
      <c r="I48" s="163"/>
      <c r="J48" s="163"/>
      <c r="K48" s="163"/>
      <c r="L48" s="163"/>
    </row>
    <row r="49" spans="2:12" ht="15.75" x14ac:dyDescent="0.25">
      <c r="B49" s="760"/>
      <c r="C49" s="266" t="s">
        <v>6289</v>
      </c>
      <c r="D49" s="163"/>
      <c r="E49" s="163"/>
      <c r="F49" s="163"/>
      <c r="G49" s="163"/>
      <c r="H49" s="163"/>
      <c r="I49" s="163"/>
      <c r="J49" s="163"/>
      <c r="K49" s="163"/>
      <c r="L49" s="163"/>
    </row>
    <row r="50" spans="2:12" ht="15.75" x14ac:dyDescent="0.25">
      <c r="B50" s="267"/>
      <c r="C50" s="266"/>
      <c r="D50" s="163"/>
      <c r="E50" s="163"/>
      <c r="F50" s="163"/>
      <c r="G50" s="163"/>
      <c r="H50" s="163"/>
      <c r="I50" s="163"/>
      <c r="J50" s="163"/>
      <c r="K50" s="163"/>
      <c r="L50" s="163"/>
    </row>
    <row r="51" spans="2:12" ht="15.75" x14ac:dyDescent="0.25">
      <c r="B51" s="759" t="s">
        <v>6221</v>
      </c>
      <c r="C51" s="266" t="s">
        <v>6290</v>
      </c>
      <c r="D51" s="163"/>
      <c r="E51" s="163"/>
      <c r="F51" s="163"/>
      <c r="G51" s="163"/>
      <c r="H51" s="163"/>
      <c r="I51" s="163"/>
      <c r="J51" s="163"/>
      <c r="K51" s="163"/>
      <c r="L51" s="163"/>
    </row>
    <row r="52" spans="2:12" ht="15.75" x14ac:dyDescent="0.25">
      <c r="B52" s="759"/>
      <c r="C52" s="266" t="s">
        <v>6291</v>
      </c>
      <c r="D52" s="163"/>
      <c r="E52" s="163"/>
      <c r="F52" s="163"/>
      <c r="G52" s="163"/>
      <c r="H52" s="163"/>
      <c r="I52" s="163"/>
      <c r="J52" s="163"/>
      <c r="K52" s="163"/>
      <c r="L52" s="163"/>
    </row>
    <row r="53" spans="2:12" ht="15.75" x14ac:dyDescent="0.25">
      <c r="B53" s="267"/>
      <c r="C53" s="266"/>
      <c r="D53" s="163"/>
      <c r="E53" s="163"/>
      <c r="F53" s="163"/>
      <c r="G53" s="163"/>
      <c r="H53" s="163"/>
      <c r="I53" s="163"/>
      <c r="J53" s="163"/>
      <c r="K53" s="163"/>
      <c r="L53" s="163"/>
    </row>
    <row r="54" spans="2:12" ht="15.75" x14ac:dyDescent="0.25">
      <c r="B54" s="759" t="s">
        <v>6222</v>
      </c>
      <c r="C54" s="266" t="s">
        <v>6292</v>
      </c>
      <c r="D54" s="163"/>
      <c r="E54" s="163"/>
      <c r="F54" s="163"/>
      <c r="G54" s="163"/>
      <c r="H54" s="163"/>
      <c r="I54" s="163"/>
      <c r="J54" s="163"/>
      <c r="K54" s="163"/>
      <c r="L54" s="163"/>
    </row>
    <row r="55" spans="2:12" ht="15.75" x14ac:dyDescent="0.25">
      <c r="B55" s="759"/>
      <c r="C55" s="266" t="s">
        <v>6293</v>
      </c>
      <c r="D55" s="163"/>
      <c r="E55" s="163"/>
      <c r="F55" s="163"/>
      <c r="G55" s="163"/>
      <c r="H55" s="163"/>
      <c r="I55" s="163"/>
      <c r="J55" s="163"/>
      <c r="K55" s="163"/>
      <c r="L55" s="163"/>
    </row>
    <row r="56" spans="2:12" ht="15.75" x14ac:dyDescent="0.25">
      <c r="B56" s="267"/>
      <c r="C56" s="266"/>
      <c r="D56" s="163"/>
      <c r="E56" s="163"/>
      <c r="F56" s="163"/>
      <c r="G56" s="163"/>
      <c r="H56" s="163"/>
      <c r="I56" s="163"/>
      <c r="J56" s="163"/>
      <c r="K56" s="163"/>
      <c r="L56" s="163"/>
    </row>
    <row r="57" spans="2:12" ht="15.75" x14ac:dyDescent="0.25">
      <c r="B57" s="759" t="s">
        <v>6223</v>
      </c>
      <c r="C57" s="266" t="s">
        <v>6294</v>
      </c>
      <c r="D57" s="163"/>
      <c r="E57" s="163"/>
      <c r="F57" s="163"/>
      <c r="G57" s="163"/>
      <c r="H57" s="163"/>
      <c r="I57" s="163"/>
      <c r="J57" s="163"/>
      <c r="K57" s="163"/>
      <c r="L57" s="163"/>
    </row>
    <row r="58" spans="2:12" ht="15.75" x14ac:dyDescent="0.25">
      <c r="B58" s="759"/>
      <c r="C58" s="266" t="s">
        <v>6295</v>
      </c>
      <c r="D58" s="163"/>
      <c r="E58" s="163"/>
      <c r="F58" s="163"/>
      <c r="G58" s="163"/>
      <c r="H58" s="163"/>
      <c r="I58" s="163"/>
      <c r="J58" s="163"/>
      <c r="K58" s="163"/>
      <c r="L58" s="163"/>
    </row>
    <row r="59" spans="2:12" ht="15.75" x14ac:dyDescent="0.25">
      <c r="B59" s="267"/>
      <c r="C59" s="266"/>
      <c r="D59" s="163"/>
      <c r="E59" s="163"/>
      <c r="F59" s="163"/>
      <c r="G59" s="163"/>
      <c r="H59" s="163"/>
      <c r="I59" s="163"/>
      <c r="J59" s="163"/>
      <c r="K59" s="163"/>
      <c r="L59" s="163"/>
    </row>
    <row r="60" spans="2:12" ht="15.75" x14ac:dyDescent="0.25">
      <c r="B60" s="263" t="s">
        <v>6224</v>
      </c>
      <c r="C60" s="266" t="s">
        <v>6225</v>
      </c>
      <c r="D60" s="163"/>
      <c r="E60" s="163"/>
      <c r="F60" s="163"/>
      <c r="G60" s="163"/>
      <c r="H60" s="163"/>
      <c r="I60" s="163"/>
      <c r="J60" s="163"/>
      <c r="K60" s="163"/>
      <c r="L60" s="163"/>
    </row>
    <row r="61" spans="2:12" ht="15.75" x14ac:dyDescent="0.25">
      <c r="B61" s="267"/>
      <c r="C61" s="266"/>
      <c r="D61" s="163"/>
      <c r="E61" s="163"/>
      <c r="F61" s="163"/>
      <c r="G61" s="163"/>
      <c r="H61" s="163"/>
      <c r="I61" s="163"/>
      <c r="J61" s="163"/>
      <c r="K61" s="163"/>
      <c r="L61" s="163"/>
    </row>
    <row r="62" spans="2:12" ht="15.75" x14ac:dyDescent="0.25">
      <c r="B62" s="759" t="s">
        <v>6208</v>
      </c>
      <c r="C62" s="266" t="s">
        <v>6296</v>
      </c>
      <c r="D62" s="163"/>
      <c r="E62" s="163"/>
      <c r="F62" s="163"/>
      <c r="G62" s="163"/>
      <c r="H62" s="163"/>
      <c r="I62" s="163"/>
      <c r="J62" s="163"/>
      <c r="K62" s="163"/>
      <c r="L62" s="163"/>
    </row>
    <row r="63" spans="2:12" ht="15.75" x14ac:dyDescent="0.25">
      <c r="B63" s="759"/>
      <c r="C63" s="266" t="s">
        <v>6297</v>
      </c>
      <c r="D63" s="163"/>
      <c r="E63" s="163"/>
      <c r="F63" s="163"/>
      <c r="G63" s="163"/>
      <c r="H63" s="163"/>
      <c r="I63" s="163"/>
      <c r="J63" s="163"/>
      <c r="K63" s="163"/>
      <c r="L63" s="163"/>
    </row>
    <row r="64" spans="2:12" ht="15.75" x14ac:dyDescent="0.25">
      <c r="B64" s="267"/>
      <c r="C64" s="266"/>
      <c r="D64" s="163"/>
      <c r="E64" s="163"/>
      <c r="F64" s="163"/>
      <c r="G64" s="163"/>
      <c r="H64" s="163"/>
      <c r="I64" s="163"/>
      <c r="J64" s="163"/>
      <c r="K64" s="163"/>
      <c r="L64" s="163"/>
    </row>
    <row r="65" spans="2:12" ht="15.75" x14ac:dyDescent="0.25">
      <c r="B65" s="263" t="s">
        <v>6226</v>
      </c>
      <c r="C65" s="266" t="s">
        <v>6227</v>
      </c>
      <c r="D65" s="163"/>
      <c r="E65" s="163"/>
      <c r="F65" s="163"/>
      <c r="G65" s="163"/>
      <c r="H65" s="163"/>
      <c r="I65" s="163"/>
      <c r="J65" s="163"/>
      <c r="K65" s="163"/>
      <c r="L65" s="163"/>
    </row>
    <row r="66" spans="2:12" ht="15.75" x14ac:dyDescent="0.25">
      <c r="B66" s="268"/>
      <c r="C66" s="266"/>
      <c r="D66" s="163"/>
      <c r="E66" s="163"/>
      <c r="F66" s="163"/>
      <c r="G66" s="163"/>
      <c r="H66" s="163"/>
      <c r="I66" s="163"/>
      <c r="J66" s="163"/>
      <c r="K66" s="163"/>
      <c r="L66" s="163"/>
    </row>
    <row r="67" spans="2:12" ht="15.75" x14ac:dyDescent="0.25">
      <c r="B67" s="263" t="s">
        <v>6228</v>
      </c>
      <c r="C67" s="266" t="s">
        <v>6229</v>
      </c>
      <c r="D67" s="163"/>
      <c r="E67" s="163"/>
      <c r="F67" s="163"/>
      <c r="G67" s="163"/>
      <c r="H67" s="163"/>
      <c r="I67" s="163"/>
      <c r="J67" s="163"/>
      <c r="K67" s="163"/>
      <c r="L67" s="163"/>
    </row>
    <row r="68" spans="2:12" ht="15.75" x14ac:dyDescent="0.25">
      <c r="B68" s="268"/>
      <c r="C68" s="266"/>
      <c r="D68" s="163"/>
      <c r="E68" s="163"/>
      <c r="F68" s="163"/>
      <c r="G68" s="163"/>
      <c r="H68" s="163"/>
      <c r="I68" s="163"/>
      <c r="J68" s="163"/>
      <c r="K68" s="163"/>
      <c r="L68" s="163"/>
    </row>
    <row r="69" spans="2:12" ht="15.75" x14ac:dyDescent="0.25">
      <c r="B69" s="263" t="s">
        <v>6230</v>
      </c>
      <c r="C69" s="266" t="s">
        <v>6231</v>
      </c>
      <c r="D69" s="163"/>
      <c r="E69" s="163"/>
      <c r="F69" s="163"/>
      <c r="G69" s="163"/>
      <c r="H69" s="163"/>
      <c r="I69" s="163"/>
      <c r="J69" s="163"/>
      <c r="K69" s="163"/>
      <c r="L69" s="163"/>
    </row>
    <row r="70" spans="2:12" ht="15.75" x14ac:dyDescent="0.25">
      <c r="B70" s="268"/>
      <c r="C70" s="266"/>
      <c r="D70" s="163"/>
      <c r="E70" s="163"/>
      <c r="F70" s="163"/>
      <c r="G70" s="163"/>
      <c r="H70" s="163"/>
      <c r="I70" s="163"/>
      <c r="J70" s="163"/>
      <c r="K70" s="163"/>
      <c r="L70" s="163"/>
    </row>
    <row r="71" spans="2:12" ht="15.75" x14ac:dyDescent="0.25">
      <c r="B71" s="759" t="s">
        <v>6232</v>
      </c>
      <c r="C71" s="266" t="s">
        <v>6298</v>
      </c>
      <c r="D71" s="163"/>
      <c r="E71" s="163"/>
      <c r="F71" s="163"/>
      <c r="G71" s="163"/>
      <c r="H71" s="163"/>
      <c r="I71" s="163"/>
      <c r="J71" s="163"/>
      <c r="K71" s="163"/>
      <c r="L71" s="163"/>
    </row>
    <row r="72" spans="2:12" ht="15.75" x14ac:dyDescent="0.25">
      <c r="B72" s="759"/>
      <c r="C72" s="266" t="s">
        <v>6299</v>
      </c>
      <c r="D72" s="163"/>
      <c r="E72" s="163"/>
      <c r="F72" s="163"/>
      <c r="G72" s="163"/>
      <c r="H72" s="163"/>
      <c r="I72" s="163"/>
      <c r="J72" s="163"/>
      <c r="K72" s="163"/>
      <c r="L72" s="163"/>
    </row>
    <row r="73" spans="2:12" ht="15.75" x14ac:dyDescent="0.25">
      <c r="B73" s="268"/>
      <c r="C73" s="266"/>
      <c r="D73" s="163"/>
      <c r="E73" s="163"/>
      <c r="F73" s="163"/>
      <c r="G73" s="163"/>
      <c r="H73" s="163"/>
      <c r="I73" s="163"/>
      <c r="J73" s="163"/>
      <c r="K73" s="163"/>
      <c r="L73" s="163"/>
    </row>
    <row r="74" spans="2:12" ht="15.75" x14ac:dyDescent="0.25">
      <c r="B74" s="759" t="s">
        <v>6233</v>
      </c>
      <c r="C74" s="266" t="s">
        <v>6300</v>
      </c>
      <c r="D74" s="163"/>
      <c r="E74" s="163"/>
      <c r="F74" s="163"/>
      <c r="G74" s="163"/>
      <c r="H74" s="163"/>
      <c r="I74" s="163"/>
      <c r="J74" s="163"/>
      <c r="K74" s="163"/>
      <c r="L74" s="163"/>
    </row>
    <row r="75" spans="2:12" ht="15.75" x14ac:dyDescent="0.25">
      <c r="B75" s="759"/>
      <c r="C75" s="266" t="s">
        <v>6301</v>
      </c>
      <c r="D75" s="163"/>
      <c r="E75" s="163"/>
      <c r="F75" s="163"/>
      <c r="G75" s="163"/>
      <c r="H75" s="163"/>
      <c r="I75" s="163"/>
      <c r="J75" s="163"/>
      <c r="K75" s="163"/>
      <c r="L75" s="163"/>
    </row>
    <row r="76" spans="2:12" ht="15.75" x14ac:dyDescent="0.25">
      <c r="B76" s="268"/>
      <c r="C76" s="266"/>
      <c r="D76" s="163"/>
      <c r="E76" s="163"/>
      <c r="F76" s="163"/>
      <c r="G76" s="163"/>
      <c r="H76" s="163"/>
      <c r="I76" s="163"/>
      <c r="J76" s="163"/>
      <c r="K76" s="163"/>
      <c r="L76" s="163"/>
    </row>
    <row r="77" spans="2:12" ht="15.75" x14ac:dyDescent="0.25">
      <c r="B77" s="263" t="s">
        <v>6234</v>
      </c>
      <c r="C77" s="266" t="s">
        <v>6235</v>
      </c>
      <c r="D77" s="163"/>
      <c r="E77" s="163"/>
      <c r="F77" s="163"/>
      <c r="G77" s="163"/>
      <c r="H77" s="163"/>
      <c r="I77" s="163"/>
      <c r="J77" s="163"/>
      <c r="K77" s="163"/>
      <c r="L77" s="163"/>
    </row>
    <row r="78" spans="2:12" ht="15.75" x14ac:dyDescent="0.25">
      <c r="B78" s="268"/>
      <c r="C78" s="266"/>
      <c r="D78" s="163"/>
      <c r="E78" s="163"/>
      <c r="F78" s="163"/>
      <c r="G78" s="163"/>
      <c r="H78" s="163"/>
      <c r="I78" s="163"/>
      <c r="J78" s="163"/>
      <c r="K78" s="163"/>
      <c r="L78" s="163"/>
    </row>
    <row r="79" spans="2:12" ht="15.75" x14ac:dyDescent="0.25">
      <c r="B79" s="759" t="s">
        <v>6207</v>
      </c>
      <c r="C79" s="266" t="s">
        <v>6302</v>
      </c>
      <c r="D79" s="163"/>
      <c r="E79" s="163"/>
      <c r="F79" s="163"/>
      <c r="G79" s="163"/>
      <c r="H79" s="163"/>
      <c r="I79" s="163"/>
      <c r="J79" s="163"/>
      <c r="K79" s="163"/>
      <c r="L79" s="163"/>
    </row>
    <row r="80" spans="2:12" ht="15.75" x14ac:dyDescent="0.25">
      <c r="B80" s="759"/>
      <c r="C80" s="266" t="s">
        <v>6303</v>
      </c>
      <c r="D80" s="163"/>
      <c r="E80" s="163"/>
      <c r="F80" s="163"/>
      <c r="G80" s="163"/>
      <c r="H80" s="163"/>
      <c r="I80" s="163"/>
      <c r="J80" s="163"/>
      <c r="K80" s="163"/>
      <c r="L80" s="163"/>
    </row>
    <row r="81" spans="2:12" ht="15.75" x14ac:dyDescent="0.25">
      <c r="B81" s="268"/>
      <c r="C81" s="266"/>
      <c r="D81" s="163"/>
      <c r="E81" s="163"/>
      <c r="F81" s="163"/>
      <c r="G81" s="163"/>
      <c r="H81" s="163"/>
      <c r="I81" s="163"/>
      <c r="J81" s="163"/>
      <c r="K81" s="163"/>
      <c r="L81" s="163"/>
    </row>
    <row r="82" spans="2:12" ht="15.75" x14ac:dyDescent="0.25">
      <c r="B82" s="759" t="s">
        <v>6236</v>
      </c>
      <c r="C82" s="266" t="s">
        <v>6304</v>
      </c>
      <c r="D82" s="163"/>
      <c r="E82" s="163"/>
      <c r="F82" s="163"/>
      <c r="G82" s="163"/>
      <c r="H82" s="163"/>
      <c r="I82" s="163"/>
      <c r="J82" s="163"/>
      <c r="K82" s="163"/>
      <c r="L82" s="163"/>
    </row>
    <row r="83" spans="2:12" ht="15.75" x14ac:dyDescent="0.25">
      <c r="B83" s="759"/>
      <c r="C83" s="266" t="s">
        <v>6305</v>
      </c>
      <c r="D83" s="163"/>
      <c r="E83" s="163"/>
      <c r="F83" s="163"/>
      <c r="G83" s="163"/>
      <c r="H83" s="163"/>
      <c r="I83" s="163"/>
      <c r="J83" s="163"/>
      <c r="K83" s="163"/>
      <c r="L83" s="163"/>
    </row>
    <row r="84" spans="2:12" ht="15.75" x14ac:dyDescent="0.25">
      <c r="B84" s="268"/>
      <c r="C84" s="266"/>
      <c r="D84" s="163"/>
      <c r="E84" s="163"/>
      <c r="F84" s="163"/>
      <c r="G84" s="163"/>
      <c r="H84" s="163"/>
      <c r="I84" s="163"/>
      <c r="J84" s="163"/>
      <c r="K84" s="163"/>
      <c r="L84" s="163"/>
    </row>
    <row r="85" spans="2:12" ht="15.75" x14ac:dyDescent="0.25">
      <c r="B85" s="759" t="s">
        <v>6237</v>
      </c>
      <c r="C85" s="266" t="s">
        <v>6306</v>
      </c>
      <c r="D85" s="163"/>
      <c r="E85" s="163"/>
      <c r="F85" s="163"/>
      <c r="G85" s="163"/>
      <c r="H85" s="163"/>
      <c r="I85" s="163"/>
      <c r="J85" s="163"/>
      <c r="K85" s="163"/>
      <c r="L85" s="163"/>
    </row>
    <row r="86" spans="2:12" ht="15.75" x14ac:dyDescent="0.25">
      <c r="B86" s="759"/>
      <c r="C86" s="266" t="s">
        <v>6307</v>
      </c>
      <c r="D86" s="163"/>
      <c r="E86" s="163"/>
      <c r="F86" s="163"/>
      <c r="G86" s="163"/>
      <c r="H86" s="163"/>
      <c r="I86" s="163"/>
      <c r="J86" s="163"/>
      <c r="K86" s="163"/>
      <c r="L86" s="163"/>
    </row>
    <row r="87" spans="2:12" ht="15.75" x14ac:dyDescent="0.25">
      <c r="B87" s="268"/>
      <c r="C87" s="266"/>
      <c r="D87" s="163"/>
      <c r="E87" s="163"/>
      <c r="F87" s="163"/>
      <c r="G87" s="163"/>
      <c r="H87" s="163"/>
      <c r="I87" s="163"/>
      <c r="J87" s="163"/>
      <c r="K87" s="163"/>
      <c r="L87" s="163"/>
    </row>
    <row r="88" spans="2:12" ht="15.75" x14ac:dyDescent="0.25">
      <c r="B88" s="263" t="s">
        <v>6238</v>
      </c>
      <c r="C88" s="266" t="s">
        <v>6239</v>
      </c>
      <c r="D88" s="163"/>
      <c r="E88" s="163"/>
      <c r="F88" s="163"/>
      <c r="G88" s="163"/>
      <c r="H88" s="163"/>
      <c r="I88" s="163"/>
      <c r="J88" s="163"/>
      <c r="K88" s="163"/>
      <c r="L88" s="163"/>
    </row>
    <row r="89" spans="2:12" ht="15.75" x14ac:dyDescent="0.25">
      <c r="B89" s="268"/>
      <c r="C89" s="266"/>
      <c r="D89" s="163"/>
      <c r="E89" s="163"/>
      <c r="F89" s="163"/>
      <c r="G89" s="163"/>
      <c r="H89" s="163"/>
      <c r="I89" s="163"/>
      <c r="J89" s="163"/>
      <c r="K89" s="163"/>
      <c r="L89" s="163"/>
    </row>
    <row r="90" spans="2:12" ht="15.75" x14ac:dyDescent="0.25">
      <c r="B90" s="263" t="s">
        <v>6240</v>
      </c>
      <c r="C90" s="266" t="s">
        <v>6241</v>
      </c>
      <c r="D90" s="163"/>
      <c r="E90" s="163"/>
      <c r="F90" s="163"/>
      <c r="G90" s="163"/>
      <c r="H90" s="163"/>
      <c r="I90" s="163"/>
      <c r="J90" s="163"/>
      <c r="K90" s="163"/>
      <c r="L90" s="163"/>
    </row>
    <row r="91" spans="2:12" ht="15.75" x14ac:dyDescent="0.25">
      <c r="B91" s="268"/>
      <c r="C91" s="266"/>
      <c r="D91" s="163"/>
      <c r="E91" s="163"/>
      <c r="F91" s="163"/>
      <c r="G91" s="163"/>
      <c r="H91" s="163"/>
      <c r="I91" s="163"/>
      <c r="J91" s="163"/>
      <c r="K91" s="163"/>
      <c r="L91" s="163"/>
    </row>
    <row r="92" spans="2:12" ht="15.75" x14ac:dyDescent="0.25">
      <c r="B92" s="759" t="s">
        <v>6242</v>
      </c>
      <c r="C92" s="266" t="s">
        <v>6308</v>
      </c>
      <c r="D92" s="163"/>
      <c r="E92" s="163"/>
      <c r="F92" s="163"/>
      <c r="G92" s="163"/>
      <c r="H92" s="163"/>
      <c r="I92" s="163"/>
      <c r="J92" s="163"/>
      <c r="K92" s="163"/>
      <c r="L92" s="163"/>
    </row>
    <row r="93" spans="2:12" ht="15.75" x14ac:dyDescent="0.25">
      <c r="B93" s="759"/>
      <c r="C93" s="266" t="s">
        <v>6309</v>
      </c>
      <c r="D93" s="163"/>
      <c r="E93" s="163"/>
      <c r="F93" s="163"/>
      <c r="G93" s="163"/>
      <c r="H93" s="163"/>
      <c r="I93" s="163"/>
      <c r="J93" s="163"/>
      <c r="K93" s="163"/>
      <c r="L93" s="163"/>
    </row>
    <row r="94" spans="2:12" ht="15.75" x14ac:dyDescent="0.25">
      <c r="B94" s="268"/>
      <c r="C94" s="266"/>
      <c r="D94" s="163"/>
      <c r="E94" s="163"/>
      <c r="F94" s="163"/>
      <c r="G94" s="163"/>
      <c r="H94" s="163"/>
      <c r="I94" s="163"/>
      <c r="J94" s="163"/>
      <c r="K94" s="163"/>
      <c r="L94" s="163"/>
    </row>
    <row r="95" spans="2:12" ht="15.75" x14ac:dyDescent="0.25">
      <c r="B95" s="759" t="s">
        <v>6243</v>
      </c>
      <c r="C95" s="266" t="s">
        <v>6310</v>
      </c>
      <c r="D95" s="163"/>
      <c r="E95" s="163"/>
      <c r="F95" s="163"/>
      <c r="G95" s="163"/>
      <c r="H95" s="163"/>
      <c r="I95" s="163"/>
      <c r="J95" s="163"/>
      <c r="K95" s="163"/>
      <c r="L95" s="163"/>
    </row>
    <row r="96" spans="2:12" ht="15.75" x14ac:dyDescent="0.25">
      <c r="B96" s="759"/>
      <c r="C96" s="266" t="s">
        <v>6311</v>
      </c>
      <c r="D96" s="163"/>
      <c r="E96" s="163"/>
      <c r="F96" s="163"/>
      <c r="G96" s="163"/>
      <c r="H96" s="163"/>
      <c r="I96" s="163"/>
      <c r="J96" s="163"/>
      <c r="K96" s="163"/>
      <c r="L96" s="163"/>
    </row>
    <row r="97" spans="2:12" ht="15.75" x14ac:dyDescent="0.25">
      <c r="B97" s="268"/>
      <c r="C97" s="266"/>
      <c r="D97" s="163"/>
      <c r="E97" s="163"/>
      <c r="F97" s="163"/>
      <c r="G97" s="163"/>
      <c r="H97" s="163"/>
      <c r="I97" s="163"/>
      <c r="J97" s="163"/>
      <c r="K97" s="163"/>
      <c r="L97" s="163"/>
    </row>
    <row r="98" spans="2:12" ht="15.75" x14ac:dyDescent="0.25">
      <c r="B98" s="759" t="s">
        <v>6244</v>
      </c>
      <c r="C98" s="266" t="s">
        <v>6312</v>
      </c>
      <c r="D98" s="163"/>
      <c r="E98" s="163"/>
      <c r="F98" s="163"/>
      <c r="G98" s="163"/>
      <c r="H98" s="163"/>
      <c r="I98" s="163"/>
      <c r="J98" s="163"/>
      <c r="K98" s="163"/>
      <c r="L98" s="163"/>
    </row>
    <row r="99" spans="2:12" ht="15.75" x14ac:dyDescent="0.25">
      <c r="B99" s="759"/>
      <c r="C99" s="266" t="s">
        <v>6313</v>
      </c>
      <c r="D99" s="163"/>
      <c r="E99" s="163"/>
      <c r="F99" s="163"/>
      <c r="G99" s="163"/>
      <c r="H99" s="163"/>
      <c r="I99" s="163"/>
      <c r="J99" s="163"/>
      <c r="K99" s="163"/>
      <c r="L99" s="163"/>
    </row>
    <row r="100" spans="2:12" ht="15.75" x14ac:dyDescent="0.25">
      <c r="B100" s="268"/>
      <c r="C100" s="266"/>
      <c r="D100" s="163"/>
      <c r="E100" s="163"/>
      <c r="F100" s="163"/>
      <c r="G100" s="163"/>
      <c r="H100" s="163"/>
      <c r="I100" s="163"/>
      <c r="J100" s="163"/>
      <c r="K100" s="163"/>
      <c r="L100" s="163"/>
    </row>
    <row r="101" spans="2:12" ht="15.75" x14ac:dyDescent="0.25">
      <c r="B101" s="759" t="s">
        <v>6245</v>
      </c>
      <c r="C101" s="266" t="s">
        <v>6314</v>
      </c>
      <c r="D101" s="163"/>
      <c r="E101" s="163"/>
      <c r="F101" s="163"/>
      <c r="G101" s="163"/>
      <c r="H101" s="163"/>
      <c r="I101" s="163"/>
      <c r="J101" s="163"/>
      <c r="K101" s="163"/>
      <c r="L101" s="163"/>
    </row>
    <row r="102" spans="2:12" ht="15.75" x14ac:dyDescent="0.25">
      <c r="B102" s="759"/>
      <c r="C102" s="266" t="s">
        <v>6315</v>
      </c>
      <c r="D102" s="163"/>
      <c r="E102" s="163"/>
      <c r="F102" s="163"/>
      <c r="G102" s="163"/>
      <c r="H102" s="163"/>
      <c r="I102" s="163"/>
      <c r="J102" s="163"/>
      <c r="K102" s="163"/>
      <c r="L102" s="163"/>
    </row>
    <row r="103" spans="2:12" ht="15.75" x14ac:dyDescent="0.25">
      <c r="B103" s="268"/>
      <c r="C103" s="266"/>
      <c r="D103" s="163"/>
      <c r="E103" s="163"/>
      <c r="F103" s="163"/>
      <c r="G103" s="163"/>
      <c r="H103" s="163"/>
      <c r="I103" s="163"/>
      <c r="J103" s="163"/>
      <c r="K103" s="163"/>
      <c r="L103" s="163"/>
    </row>
    <row r="104" spans="2:12" ht="15.75" x14ac:dyDescent="0.25">
      <c r="B104" s="759" t="s">
        <v>6246</v>
      </c>
      <c r="C104" s="266" t="s">
        <v>6316</v>
      </c>
      <c r="D104" s="163"/>
      <c r="E104" s="163"/>
      <c r="F104" s="163"/>
      <c r="G104" s="163"/>
      <c r="H104" s="163"/>
      <c r="I104" s="163"/>
      <c r="J104" s="163"/>
      <c r="K104" s="163"/>
      <c r="L104" s="163"/>
    </row>
    <row r="105" spans="2:12" ht="15.75" x14ac:dyDescent="0.25">
      <c r="B105" s="759"/>
      <c r="C105" s="266" t="s">
        <v>6317</v>
      </c>
      <c r="D105" s="163"/>
      <c r="E105" s="163"/>
      <c r="F105" s="163"/>
      <c r="G105" s="163"/>
      <c r="H105" s="163"/>
      <c r="I105" s="163"/>
      <c r="J105" s="163"/>
      <c r="K105" s="163"/>
      <c r="L105" s="163"/>
    </row>
    <row r="106" spans="2:12" ht="15.75" x14ac:dyDescent="0.25">
      <c r="B106" s="268"/>
      <c r="C106" s="266"/>
      <c r="D106" s="163"/>
      <c r="E106" s="163"/>
      <c r="F106" s="163"/>
      <c r="G106" s="163"/>
      <c r="H106" s="163"/>
      <c r="I106" s="163"/>
      <c r="J106" s="163"/>
      <c r="K106" s="163"/>
      <c r="L106" s="163"/>
    </row>
    <row r="107" spans="2:12" ht="15.75" x14ac:dyDescent="0.25">
      <c r="B107" s="759" t="s">
        <v>6247</v>
      </c>
      <c r="C107" s="266" t="s">
        <v>6318</v>
      </c>
      <c r="D107" s="163"/>
      <c r="E107" s="163"/>
      <c r="F107" s="163"/>
      <c r="G107" s="163"/>
      <c r="H107" s="163"/>
      <c r="I107" s="163"/>
      <c r="J107" s="163"/>
      <c r="K107" s="163"/>
      <c r="L107" s="163"/>
    </row>
    <row r="108" spans="2:12" ht="15.75" x14ac:dyDescent="0.25">
      <c r="B108" s="759"/>
      <c r="C108" s="266" t="s">
        <v>6319</v>
      </c>
      <c r="D108" s="163"/>
      <c r="E108" s="163"/>
      <c r="F108" s="163"/>
      <c r="G108" s="163"/>
      <c r="H108" s="163"/>
      <c r="I108" s="163"/>
      <c r="J108" s="163"/>
      <c r="K108" s="163"/>
      <c r="L108" s="163"/>
    </row>
    <row r="109" spans="2:12" ht="15.75" x14ac:dyDescent="0.25">
      <c r="B109" s="268"/>
      <c r="C109" s="266"/>
      <c r="D109" s="163"/>
      <c r="E109" s="163"/>
      <c r="F109" s="163"/>
      <c r="G109" s="163"/>
      <c r="H109" s="163"/>
      <c r="I109" s="163"/>
      <c r="J109" s="163"/>
      <c r="K109" s="163"/>
      <c r="L109" s="163"/>
    </row>
    <row r="110" spans="2:12" ht="15.75" x14ac:dyDescent="0.25">
      <c r="B110" s="759" t="s">
        <v>6248</v>
      </c>
      <c r="C110" s="266" t="s">
        <v>6320</v>
      </c>
      <c r="D110" s="163"/>
      <c r="E110" s="163"/>
      <c r="F110" s="163"/>
      <c r="G110" s="163"/>
      <c r="H110" s="163"/>
      <c r="I110" s="163"/>
      <c r="J110" s="163"/>
      <c r="K110" s="163"/>
      <c r="L110" s="163"/>
    </row>
    <row r="111" spans="2:12" ht="15.75" x14ac:dyDescent="0.25">
      <c r="B111" s="759"/>
      <c r="C111" s="266" t="s">
        <v>6321</v>
      </c>
      <c r="D111" s="163"/>
      <c r="E111" s="163"/>
      <c r="F111" s="163"/>
      <c r="G111" s="163"/>
      <c r="H111" s="163"/>
      <c r="I111" s="163"/>
      <c r="J111" s="163"/>
      <c r="K111" s="163"/>
      <c r="L111" s="163"/>
    </row>
    <row r="112" spans="2:12" ht="15.75" x14ac:dyDescent="0.25">
      <c r="B112" s="268"/>
      <c r="C112" s="266"/>
      <c r="D112" s="163"/>
      <c r="E112" s="163"/>
      <c r="F112" s="163"/>
      <c r="G112" s="163"/>
      <c r="H112" s="163"/>
      <c r="I112" s="163"/>
      <c r="J112" s="163"/>
      <c r="K112" s="163"/>
      <c r="L112" s="163"/>
    </row>
    <row r="113" spans="2:12" ht="15.75" x14ac:dyDescent="0.25">
      <c r="B113" s="759" t="s">
        <v>6249</v>
      </c>
      <c r="C113" s="266" t="s">
        <v>6322</v>
      </c>
      <c r="D113" s="163"/>
      <c r="E113" s="163"/>
      <c r="F113" s="163"/>
      <c r="G113" s="163"/>
      <c r="H113" s="163"/>
      <c r="I113" s="163"/>
      <c r="J113" s="163"/>
      <c r="K113" s="163"/>
      <c r="L113" s="163"/>
    </row>
    <row r="114" spans="2:12" ht="15.75" x14ac:dyDescent="0.25">
      <c r="B114" s="759"/>
      <c r="C114" s="266" t="s">
        <v>6323</v>
      </c>
      <c r="D114" s="163"/>
      <c r="E114" s="163"/>
      <c r="F114" s="163"/>
      <c r="G114" s="163"/>
      <c r="H114" s="163"/>
      <c r="I114" s="163"/>
      <c r="J114" s="163"/>
      <c r="K114" s="163"/>
      <c r="L114" s="163"/>
    </row>
    <row r="115" spans="2:12" ht="15.75" x14ac:dyDescent="0.25">
      <c r="B115" s="268"/>
      <c r="C115" s="266"/>
      <c r="D115" s="163"/>
      <c r="E115" s="163"/>
      <c r="F115" s="163"/>
      <c r="G115" s="163"/>
      <c r="H115" s="163"/>
      <c r="I115" s="163"/>
      <c r="J115" s="163"/>
      <c r="K115" s="163"/>
      <c r="L115" s="163"/>
    </row>
    <row r="116" spans="2:12" ht="15.75" x14ac:dyDescent="0.25">
      <c r="B116" s="759" t="s">
        <v>6250</v>
      </c>
      <c r="C116" s="266" t="s">
        <v>6324</v>
      </c>
      <c r="D116" s="163"/>
      <c r="E116" s="163"/>
      <c r="F116" s="163"/>
      <c r="G116" s="163"/>
      <c r="H116" s="163"/>
      <c r="I116" s="163"/>
      <c r="J116" s="163"/>
      <c r="K116" s="163"/>
      <c r="L116" s="163"/>
    </row>
    <row r="117" spans="2:12" ht="15.75" x14ac:dyDescent="0.25">
      <c r="B117" s="759"/>
      <c r="C117" s="266" t="s">
        <v>6325</v>
      </c>
      <c r="D117" s="163"/>
      <c r="E117" s="163"/>
      <c r="F117" s="163"/>
      <c r="G117" s="163"/>
      <c r="H117" s="163"/>
      <c r="I117" s="163"/>
      <c r="J117" s="163"/>
      <c r="K117" s="163"/>
      <c r="L117" s="163"/>
    </row>
    <row r="118" spans="2:12" ht="15.75" x14ac:dyDescent="0.25">
      <c r="B118" s="268"/>
      <c r="C118" s="266"/>
      <c r="D118" s="163"/>
      <c r="E118" s="163"/>
      <c r="F118" s="163"/>
      <c r="G118" s="163"/>
      <c r="H118" s="163"/>
      <c r="I118" s="163"/>
      <c r="J118" s="163"/>
      <c r="K118" s="163"/>
      <c r="L118" s="163"/>
    </row>
    <row r="119" spans="2:12" ht="15.75" x14ac:dyDescent="0.25">
      <c r="B119" s="759" t="s">
        <v>6251</v>
      </c>
      <c r="C119" s="266" t="s">
        <v>6326</v>
      </c>
      <c r="D119" s="163"/>
      <c r="E119" s="163"/>
      <c r="F119" s="163"/>
      <c r="G119" s="163"/>
      <c r="H119" s="163"/>
      <c r="I119" s="163"/>
      <c r="J119" s="163"/>
      <c r="K119" s="163"/>
      <c r="L119" s="163"/>
    </row>
    <row r="120" spans="2:12" ht="15.75" x14ac:dyDescent="0.25">
      <c r="B120" s="759"/>
      <c r="C120" s="266" t="s">
        <v>6327</v>
      </c>
      <c r="D120" s="163"/>
      <c r="E120" s="163"/>
      <c r="F120" s="163"/>
      <c r="G120" s="163"/>
      <c r="H120" s="163"/>
      <c r="I120" s="163"/>
      <c r="J120" s="163"/>
      <c r="K120" s="163"/>
      <c r="L120" s="163"/>
    </row>
    <row r="121" spans="2:12" ht="15.75" x14ac:dyDescent="0.25">
      <c r="B121" s="268"/>
      <c r="C121" s="266"/>
      <c r="D121" s="163"/>
      <c r="E121" s="163"/>
      <c r="F121" s="163"/>
      <c r="G121" s="163"/>
      <c r="H121" s="163"/>
      <c r="I121" s="163"/>
      <c r="J121" s="163"/>
      <c r="K121" s="163"/>
      <c r="L121" s="163"/>
    </row>
    <row r="122" spans="2:12" ht="15.75" x14ac:dyDescent="0.25">
      <c r="B122" s="759" t="s">
        <v>6252</v>
      </c>
      <c r="C122" s="266" t="s">
        <v>6328</v>
      </c>
      <c r="D122" s="163"/>
      <c r="E122" s="163"/>
      <c r="F122" s="163"/>
      <c r="G122" s="163"/>
      <c r="H122" s="163"/>
      <c r="I122" s="163"/>
      <c r="J122" s="163"/>
      <c r="K122" s="163"/>
      <c r="L122" s="163"/>
    </row>
    <row r="123" spans="2:12" ht="15.75" x14ac:dyDescent="0.25">
      <c r="B123" s="759"/>
      <c r="C123" s="266" t="s">
        <v>6329</v>
      </c>
      <c r="D123" s="163"/>
      <c r="E123" s="163"/>
      <c r="F123" s="163"/>
      <c r="G123" s="163"/>
      <c r="H123" s="163"/>
      <c r="I123" s="163"/>
      <c r="J123" s="163"/>
      <c r="K123" s="163"/>
      <c r="L123" s="163"/>
    </row>
    <row r="124" spans="2:12" ht="15.75" x14ac:dyDescent="0.25">
      <c r="B124" s="268"/>
      <c r="C124" s="266"/>
      <c r="D124" s="163"/>
      <c r="E124" s="163"/>
      <c r="F124" s="163"/>
      <c r="G124" s="163"/>
      <c r="H124" s="163"/>
      <c r="I124" s="163"/>
      <c r="J124" s="163"/>
      <c r="K124" s="163"/>
      <c r="L124" s="163"/>
    </row>
    <row r="125" spans="2:12" ht="15.75" x14ac:dyDescent="0.25">
      <c r="B125" s="263" t="s">
        <v>6253</v>
      </c>
      <c r="C125" s="266" t="s">
        <v>6254</v>
      </c>
      <c r="D125" s="163"/>
      <c r="E125" s="163"/>
      <c r="F125" s="163"/>
      <c r="G125" s="163"/>
      <c r="H125" s="163"/>
      <c r="I125" s="163"/>
      <c r="J125" s="163"/>
      <c r="K125" s="163"/>
      <c r="L125" s="163"/>
    </row>
    <row r="126" spans="2:12" ht="15.75" x14ac:dyDescent="0.25">
      <c r="B126" s="268"/>
      <c r="C126" s="266"/>
      <c r="D126" s="163"/>
      <c r="E126" s="163"/>
      <c r="F126" s="163"/>
      <c r="G126" s="163"/>
      <c r="H126" s="163"/>
      <c r="I126" s="163"/>
      <c r="J126" s="163"/>
      <c r="K126" s="163"/>
      <c r="L126" s="163"/>
    </row>
    <row r="127" spans="2:12" ht="15.75" x14ac:dyDescent="0.25">
      <c r="B127" s="759" t="s">
        <v>6255</v>
      </c>
      <c r="C127" s="266" t="s">
        <v>6330</v>
      </c>
      <c r="D127" s="163"/>
      <c r="E127" s="163"/>
      <c r="F127" s="163"/>
      <c r="G127" s="163"/>
      <c r="H127" s="163"/>
      <c r="I127" s="163"/>
      <c r="J127" s="163"/>
      <c r="K127" s="163"/>
      <c r="L127" s="163"/>
    </row>
    <row r="128" spans="2:12" ht="15.75" x14ac:dyDescent="0.25">
      <c r="B128" s="759"/>
      <c r="C128" s="266" t="s">
        <v>6331</v>
      </c>
      <c r="D128" s="163"/>
      <c r="E128" s="163"/>
      <c r="F128" s="163"/>
      <c r="G128" s="163"/>
      <c r="H128" s="163"/>
      <c r="I128" s="163"/>
      <c r="J128" s="163"/>
      <c r="K128" s="163"/>
      <c r="L128" s="163"/>
    </row>
    <row r="129" spans="2:12" ht="15.75" x14ac:dyDescent="0.25">
      <c r="B129" s="268"/>
      <c r="C129" s="266"/>
      <c r="D129" s="163"/>
      <c r="E129" s="163"/>
      <c r="F129" s="163"/>
      <c r="G129" s="163"/>
      <c r="H129" s="163"/>
      <c r="I129" s="163"/>
      <c r="J129" s="163"/>
      <c r="K129" s="163"/>
      <c r="L129" s="163"/>
    </row>
    <row r="130" spans="2:12" ht="15.75" x14ac:dyDescent="0.25">
      <c r="B130" s="759" t="s">
        <v>6256</v>
      </c>
      <c r="C130" s="266" t="s">
        <v>6332</v>
      </c>
      <c r="D130" s="163"/>
      <c r="E130" s="163"/>
      <c r="F130" s="163"/>
      <c r="G130" s="163"/>
      <c r="H130" s="163"/>
      <c r="I130" s="163"/>
      <c r="J130" s="163"/>
      <c r="K130" s="163"/>
      <c r="L130" s="163"/>
    </row>
    <row r="131" spans="2:12" ht="15.75" x14ac:dyDescent="0.25">
      <c r="B131" s="759"/>
      <c r="C131" s="266" t="s">
        <v>6333</v>
      </c>
      <c r="D131" s="163"/>
      <c r="E131" s="163"/>
      <c r="F131" s="163"/>
      <c r="G131" s="163"/>
      <c r="H131" s="163"/>
      <c r="I131" s="163"/>
      <c r="J131" s="163"/>
      <c r="K131" s="163"/>
      <c r="L131" s="163"/>
    </row>
    <row r="132" spans="2:12" ht="15.75" x14ac:dyDescent="0.25">
      <c r="B132" s="268"/>
      <c r="C132" s="266"/>
      <c r="D132" s="163"/>
      <c r="E132" s="163"/>
      <c r="F132" s="163"/>
      <c r="G132" s="163"/>
      <c r="H132" s="163"/>
      <c r="I132" s="163"/>
      <c r="J132" s="163"/>
      <c r="K132" s="163"/>
      <c r="L132" s="163"/>
    </row>
    <row r="133" spans="2:12" ht="15.75" x14ac:dyDescent="0.25">
      <c r="B133" s="759" t="s">
        <v>6257</v>
      </c>
      <c r="C133" s="266" t="s">
        <v>6335</v>
      </c>
      <c r="D133" s="163"/>
      <c r="E133" s="163"/>
      <c r="F133" s="163"/>
      <c r="G133" s="163"/>
      <c r="H133" s="163"/>
      <c r="I133" s="163"/>
      <c r="J133" s="163"/>
      <c r="K133" s="163"/>
      <c r="L133" s="163"/>
    </row>
    <row r="134" spans="2:12" ht="15.75" x14ac:dyDescent="0.25">
      <c r="B134" s="759"/>
      <c r="C134" s="269" t="s">
        <v>6334</v>
      </c>
      <c r="D134" s="163"/>
      <c r="E134" s="163"/>
      <c r="F134" s="163"/>
      <c r="G134" s="163"/>
      <c r="H134" s="163"/>
      <c r="I134" s="163"/>
      <c r="J134" s="163"/>
      <c r="K134" s="163"/>
      <c r="L134" s="163"/>
    </row>
    <row r="135" spans="2:12" x14ac:dyDescent="0.25">
      <c r="B135" s="167"/>
      <c r="C135" s="164"/>
      <c r="D135" s="163"/>
      <c r="E135" s="163"/>
      <c r="F135" s="163"/>
      <c r="G135" s="163"/>
      <c r="H135" s="163"/>
      <c r="I135" s="163"/>
      <c r="J135" s="163"/>
      <c r="K135" s="163"/>
      <c r="L135" s="163"/>
    </row>
    <row r="136" spans="2:12" x14ac:dyDescent="0.25">
      <c r="C136" s="163"/>
      <c r="D136" s="163"/>
      <c r="E136" s="163"/>
      <c r="F136" s="163"/>
      <c r="G136" s="163"/>
      <c r="H136" s="163"/>
      <c r="I136" s="163"/>
      <c r="J136" s="163"/>
      <c r="K136" s="163"/>
      <c r="L136" s="163"/>
    </row>
    <row r="137" spans="2:12" ht="33.75" customHeight="1" x14ac:dyDescent="0.25">
      <c r="B137" s="168" t="s">
        <v>6336</v>
      </c>
      <c r="C137" s="169" t="s">
        <v>6337</v>
      </c>
      <c r="D137" s="169" t="s">
        <v>6338</v>
      </c>
      <c r="E137" s="169" t="s">
        <v>6339</v>
      </c>
      <c r="F137" s="168" t="s">
        <v>6340</v>
      </c>
      <c r="G137" s="163"/>
      <c r="H137" s="163"/>
      <c r="I137" s="163"/>
      <c r="J137" s="163"/>
      <c r="K137" s="163"/>
      <c r="L137" s="163"/>
    </row>
    <row r="138" spans="2:12" ht="15.75" x14ac:dyDescent="0.25">
      <c r="B138" s="165" t="s">
        <v>6452</v>
      </c>
      <c r="C138" s="166" t="s">
        <v>6360</v>
      </c>
      <c r="D138" s="166" t="s">
        <v>6391</v>
      </c>
      <c r="E138" s="166" t="s">
        <v>6355</v>
      </c>
      <c r="F138" s="165" t="s">
        <v>6410</v>
      </c>
      <c r="G138" s="163"/>
      <c r="H138" s="163"/>
      <c r="I138" s="163"/>
      <c r="J138" s="163"/>
      <c r="K138" s="163"/>
      <c r="L138" s="163"/>
    </row>
    <row r="139" spans="2:12" ht="15.75" x14ac:dyDescent="0.25">
      <c r="B139" s="165" t="s">
        <v>6456</v>
      </c>
      <c r="C139" s="166" t="s">
        <v>6360</v>
      </c>
      <c r="D139" s="166" t="s">
        <v>6391</v>
      </c>
      <c r="E139" s="166" t="s">
        <v>6457</v>
      </c>
      <c r="F139" s="165" t="s">
        <v>6443</v>
      </c>
      <c r="G139" s="163"/>
      <c r="H139" s="163"/>
      <c r="I139" s="163"/>
      <c r="J139" s="163"/>
      <c r="K139" s="163"/>
      <c r="L139" s="163"/>
    </row>
    <row r="140" spans="2:12" ht="15.75" x14ac:dyDescent="0.25">
      <c r="B140" s="165" t="s">
        <v>6455</v>
      </c>
      <c r="C140" s="166" t="s">
        <v>6404</v>
      </c>
      <c r="D140" s="166" t="s">
        <v>6375</v>
      </c>
      <c r="E140" s="166" t="s">
        <v>6389</v>
      </c>
      <c r="F140" s="165" t="s">
        <v>6405</v>
      </c>
      <c r="G140" s="163"/>
      <c r="H140" s="163"/>
      <c r="I140" s="163"/>
      <c r="J140" s="163"/>
      <c r="K140" s="163"/>
      <c r="L140" s="163"/>
    </row>
    <row r="141" spans="2:12" ht="15.75" x14ac:dyDescent="0.25">
      <c r="B141" s="165" t="s">
        <v>6388</v>
      </c>
      <c r="C141" s="166" t="s">
        <v>6360</v>
      </c>
      <c r="D141" s="166" t="s">
        <v>6361</v>
      </c>
      <c r="E141" s="166" t="s">
        <v>6389</v>
      </c>
      <c r="F141" s="165" t="s">
        <v>6345</v>
      </c>
      <c r="G141" s="163"/>
      <c r="H141" s="163"/>
      <c r="I141" s="163"/>
      <c r="J141" s="163"/>
      <c r="K141" s="163"/>
      <c r="L141" s="163"/>
    </row>
    <row r="142" spans="2:12" ht="15.75" x14ac:dyDescent="0.25">
      <c r="B142" s="165" t="s">
        <v>6390</v>
      </c>
      <c r="C142" s="166" t="s">
        <v>6360</v>
      </c>
      <c r="D142" s="166" t="s">
        <v>6391</v>
      </c>
      <c r="E142" s="166" t="s">
        <v>6392</v>
      </c>
      <c r="F142" s="165" t="s">
        <v>6380</v>
      </c>
      <c r="G142" s="163"/>
      <c r="H142" s="163"/>
      <c r="I142" s="163"/>
      <c r="J142" s="163"/>
      <c r="K142" s="163"/>
      <c r="L142" s="163"/>
    </row>
    <row r="143" spans="2:12" ht="15.75" x14ac:dyDescent="0.25">
      <c r="B143" s="165" t="s">
        <v>6458</v>
      </c>
      <c r="C143" s="166" t="s">
        <v>6404</v>
      </c>
      <c r="D143" s="166" t="s">
        <v>6375</v>
      </c>
      <c r="E143" s="166" t="s">
        <v>6425</v>
      </c>
      <c r="F143" s="165" t="s">
        <v>6459</v>
      </c>
      <c r="G143" s="163"/>
      <c r="H143" s="163"/>
      <c r="I143" s="163"/>
      <c r="J143" s="163"/>
      <c r="K143" s="163"/>
      <c r="L143" s="163"/>
    </row>
    <row r="144" spans="2:12" ht="15.75" x14ac:dyDescent="0.25">
      <c r="B144" s="165" t="s">
        <v>6513</v>
      </c>
      <c r="C144" s="166" t="s">
        <v>6485</v>
      </c>
      <c r="D144" s="166" t="s">
        <v>6509</v>
      </c>
      <c r="E144" s="166" t="s">
        <v>6510</v>
      </c>
      <c r="F144" s="165" t="s">
        <v>6498</v>
      </c>
      <c r="G144" s="163"/>
      <c r="H144" s="163"/>
      <c r="I144" s="163"/>
      <c r="J144" s="163"/>
      <c r="K144" s="163"/>
      <c r="L144" s="163"/>
    </row>
    <row r="145" spans="2:12" ht="15.75" x14ac:dyDescent="0.25">
      <c r="B145" s="165" t="s">
        <v>6393</v>
      </c>
      <c r="C145" s="166" t="s">
        <v>6383</v>
      </c>
      <c r="D145" s="166" t="s">
        <v>6343</v>
      </c>
      <c r="E145" s="166" t="s">
        <v>6394</v>
      </c>
      <c r="F145" s="165" t="s">
        <v>6345</v>
      </c>
      <c r="G145" s="163"/>
      <c r="H145" s="163"/>
      <c r="I145" s="163"/>
      <c r="J145" s="163"/>
      <c r="K145" s="163"/>
      <c r="L145" s="163"/>
    </row>
    <row r="146" spans="2:12" ht="15.75" x14ac:dyDescent="0.25">
      <c r="B146" s="165" t="s">
        <v>6395</v>
      </c>
      <c r="C146" s="166" t="s">
        <v>6342</v>
      </c>
      <c r="D146" s="166" t="s">
        <v>6361</v>
      </c>
      <c r="E146" s="166" t="s">
        <v>6355</v>
      </c>
      <c r="F146" s="165" t="s">
        <v>6345</v>
      </c>
      <c r="G146" s="163"/>
      <c r="H146" s="163"/>
      <c r="I146" s="163"/>
      <c r="J146" s="163"/>
      <c r="K146" s="163"/>
      <c r="L146" s="163"/>
    </row>
    <row r="147" spans="2:12" ht="15.75" x14ac:dyDescent="0.25">
      <c r="B147" s="165" t="s">
        <v>6461</v>
      </c>
      <c r="C147" s="166" t="s">
        <v>6360</v>
      </c>
      <c r="D147" s="166" t="s">
        <v>6391</v>
      </c>
      <c r="E147" s="166" t="s">
        <v>6462</v>
      </c>
      <c r="F147" s="165" t="s">
        <v>6441</v>
      </c>
      <c r="G147" s="163"/>
      <c r="H147" s="163"/>
      <c r="I147" s="163"/>
      <c r="J147" s="163"/>
      <c r="K147" s="163"/>
      <c r="L147" s="163"/>
    </row>
    <row r="148" spans="2:12" ht="15.75" x14ac:dyDescent="0.25">
      <c r="B148" s="165" t="s">
        <v>6396</v>
      </c>
      <c r="C148" s="166" t="s">
        <v>6360</v>
      </c>
      <c r="D148" s="166" t="s">
        <v>6343</v>
      </c>
      <c r="E148" s="166" t="s">
        <v>6392</v>
      </c>
      <c r="F148" s="165" t="s">
        <v>6345</v>
      </c>
      <c r="G148" s="163"/>
      <c r="H148" s="163"/>
      <c r="I148" s="163"/>
      <c r="J148" s="163"/>
      <c r="K148" s="163"/>
      <c r="L148" s="163"/>
    </row>
    <row r="149" spans="2:12" ht="15.75" x14ac:dyDescent="0.25">
      <c r="B149" s="165" t="s">
        <v>6482</v>
      </c>
      <c r="C149" s="166" t="s">
        <v>6383</v>
      </c>
      <c r="D149" s="166" t="s">
        <v>6386</v>
      </c>
      <c r="E149" s="166" t="s">
        <v>6483</v>
      </c>
      <c r="F149" s="165" t="s">
        <v>6451</v>
      </c>
      <c r="G149" s="163"/>
      <c r="H149" s="163"/>
      <c r="I149" s="163"/>
      <c r="J149" s="163"/>
      <c r="K149" s="163"/>
      <c r="L149" s="163"/>
    </row>
    <row r="150" spans="2:12" ht="15.75" x14ac:dyDescent="0.25">
      <c r="B150" s="165" t="s">
        <v>6486</v>
      </c>
      <c r="C150" s="166" t="s">
        <v>6342</v>
      </c>
      <c r="D150" s="166" t="s">
        <v>6391</v>
      </c>
      <c r="E150" s="166" t="s">
        <v>6399</v>
      </c>
      <c r="F150" s="165" t="s">
        <v>6443</v>
      </c>
      <c r="G150" s="163"/>
      <c r="H150" s="163"/>
      <c r="I150" s="163"/>
      <c r="J150" s="163"/>
      <c r="K150" s="163"/>
      <c r="L150" s="163"/>
    </row>
    <row r="151" spans="2:12" ht="15.75" x14ac:dyDescent="0.25">
      <c r="B151" s="165" t="s">
        <v>6397</v>
      </c>
      <c r="C151" s="166" t="s">
        <v>6360</v>
      </c>
      <c r="D151" s="166" t="s">
        <v>6343</v>
      </c>
      <c r="E151" s="166" t="s">
        <v>6389</v>
      </c>
      <c r="F151" s="165" t="s">
        <v>6345</v>
      </c>
      <c r="G151" s="163"/>
      <c r="H151" s="163"/>
      <c r="I151" s="163"/>
      <c r="J151" s="163"/>
      <c r="K151" s="163"/>
      <c r="L151" s="163"/>
    </row>
    <row r="152" spans="2:12" ht="15.75" x14ac:dyDescent="0.25">
      <c r="B152" s="165" t="s">
        <v>6341</v>
      </c>
      <c r="C152" s="166" t="s">
        <v>6342</v>
      </c>
      <c r="D152" s="166" t="s">
        <v>6343</v>
      </c>
      <c r="E152" s="166" t="s">
        <v>6344</v>
      </c>
      <c r="F152" s="165" t="s">
        <v>6345</v>
      </c>
      <c r="G152" s="163"/>
      <c r="H152" s="163"/>
      <c r="I152" s="163"/>
      <c r="J152" s="163"/>
      <c r="K152" s="163"/>
      <c r="L152" s="163"/>
    </row>
    <row r="153" spans="2:12" ht="15.75" x14ac:dyDescent="0.25">
      <c r="B153" s="165" t="s">
        <v>6398</v>
      </c>
      <c r="C153" s="166" t="s">
        <v>6342</v>
      </c>
      <c r="D153" s="166" t="s">
        <v>6391</v>
      </c>
      <c r="E153" s="166" t="s">
        <v>6399</v>
      </c>
      <c r="F153" s="165" t="s">
        <v>6380</v>
      </c>
      <c r="G153" s="163"/>
      <c r="H153" s="163"/>
      <c r="I153" s="163"/>
      <c r="J153" s="163"/>
      <c r="K153" s="163"/>
      <c r="L153" s="163"/>
    </row>
    <row r="154" spans="2:12" ht="15.75" x14ac:dyDescent="0.25">
      <c r="B154" s="165" t="s">
        <v>6499</v>
      </c>
      <c r="C154" s="166" t="s">
        <v>6360</v>
      </c>
      <c r="D154" s="166" t="s">
        <v>6361</v>
      </c>
      <c r="E154" s="166" t="s">
        <v>6497</v>
      </c>
      <c r="F154" s="165" t="s">
        <v>6498</v>
      </c>
      <c r="G154" s="163"/>
      <c r="H154" s="163"/>
      <c r="I154" s="163"/>
      <c r="J154" s="163"/>
      <c r="K154" s="163"/>
      <c r="L154" s="163"/>
    </row>
    <row r="155" spans="2:12" ht="15.75" x14ac:dyDescent="0.25">
      <c r="B155" s="165" t="s">
        <v>6400</v>
      </c>
      <c r="C155" s="166" t="s">
        <v>6383</v>
      </c>
      <c r="D155" s="166" t="s">
        <v>6343</v>
      </c>
      <c r="E155" s="166" t="s">
        <v>6399</v>
      </c>
      <c r="F155" s="165" t="s">
        <v>6345</v>
      </c>
      <c r="G155" s="163"/>
      <c r="H155" s="163"/>
      <c r="I155" s="163"/>
      <c r="J155" s="163"/>
      <c r="K155" s="163"/>
      <c r="L155" s="163"/>
    </row>
    <row r="156" spans="2:12" ht="15.75" x14ac:dyDescent="0.25">
      <c r="B156" s="165" t="s">
        <v>6346</v>
      </c>
      <c r="C156" s="166" t="s">
        <v>6342</v>
      </c>
      <c r="D156" s="166" t="s">
        <v>6343</v>
      </c>
      <c r="E156" s="166" t="s">
        <v>6347</v>
      </c>
      <c r="F156" s="165" t="s">
        <v>6345</v>
      </c>
      <c r="G156" s="163"/>
      <c r="H156" s="163"/>
      <c r="I156" s="163"/>
      <c r="J156" s="163"/>
      <c r="K156" s="163"/>
      <c r="L156" s="163"/>
    </row>
    <row r="157" spans="2:12" ht="15.75" x14ac:dyDescent="0.25">
      <c r="B157" s="165" t="s">
        <v>6401</v>
      </c>
      <c r="C157" s="166" t="s">
        <v>6342</v>
      </c>
      <c r="D157" s="166" t="s">
        <v>6343</v>
      </c>
      <c r="E157" s="166" t="s">
        <v>6392</v>
      </c>
      <c r="F157" s="165" t="s">
        <v>6345</v>
      </c>
      <c r="G157" s="163"/>
      <c r="H157" s="163"/>
      <c r="I157" s="163"/>
      <c r="J157" s="163"/>
      <c r="K157" s="163"/>
      <c r="L157" s="163"/>
    </row>
    <row r="158" spans="2:12" ht="15.75" x14ac:dyDescent="0.25">
      <c r="B158" s="165" t="s">
        <v>6402</v>
      </c>
      <c r="C158" s="166" t="s">
        <v>6360</v>
      </c>
      <c r="D158" s="166" t="s">
        <v>6343</v>
      </c>
      <c r="E158" s="166" t="s">
        <v>6392</v>
      </c>
      <c r="F158" s="165" t="s">
        <v>6345</v>
      </c>
      <c r="G158" s="163"/>
      <c r="H158" s="163"/>
      <c r="I158" s="163"/>
      <c r="J158" s="163"/>
      <c r="K158" s="163"/>
      <c r="L158" s="163"/>
    </row>
    <row r="159" spans="2:12" ht="15.75" x14ac:dyDescent="0.25">
      <c r="B159" s="165" t="s">
        <v>6348</v>
      </c>
      <c r="C159" s="166" t="s">
        <v>6349</v>
      </c>
      <c r="D159" s="166" t="s">
        <v>6343</v>
      </c>
      <c r="E159" s="166" t="s">
        <v>6350</v>
      </c>
      <c r="F159" s="165" t="s">
        <v>6345</v>
      </c>
      <c r="G159" s="163"/>
      <c r="H159" s="163"/>
      <c r="I159" s="163"/>
      <c r="J159" s="163"/>
      <c r="K159" s="163"/>
      <c r="L159" s="163"/>
    </row>
    <row r="160" spans="2:12" ht="15.75" x14ac:dyDescent="0.25">
      <c r="B160" s="165" t="s">
        <v>6403</v>
      </c>
      <c r="C160" s="166" t="s">
        <v>6404</v>
      </c>
      <c r="D160" s="166" t="s">
        <v>6391</v>
      </c>
      <c r="E160" s="166" t="s">
        <v>6355</v>
      </c>
      <c r="F160" s="165" t="s">
        <v>6405</v>
      </c>
      <c r="G160" s="163"/>
      <c r="H160" s="163"/>
      <c r="I160" s="163"/>
      <c r="J160" s="163"/>
      <c r="K160" s="163"/>
      <c r="L160" s="163"/>
    </row>
    <row r="161" spans="2:6" ht="15.75" x14ac:dyDescent="0.25">
      <c r="B161" s="165" t="s">
        <v>6478</v>
      </c>
      <c r="C161" s="166" t="s">
        <v>6360</v>
      </c>
      <c r="D161" s="166" t="s">
        <v>6375</v>
      </c>
      <c r="E161" s="166" t="s">
        <v>6392</v>
      </c>
      <c r="F161" s="165" t="s">
        <v>6405</v>
      </c>
    </row>
    <row r="162" spans="2:6" ht="15.75" x14ac:dyDescent="0.25">
      <c r="B162" s="165" t="s">
        <v>6406</v>
      </c>
      <c r="C162" s="166" t="s">
        <v>6342</v>
      </c>
      <c r="D162" s="166" t="s">
        <v>6343</v>
      </c>
      <c r="E162" s="166" t="s">
        <v>6407</v>
      </c>
      <c r="F162" s="165" t="s">
        <v>6345</v>
      </c>
    </row>
    <row r="163" spans="2:6" ht="15.75" x14ac:dyDescent="0.25">
      <c r="B163" s="165" t="s">
        <v>6353</v>
      </c>
      <c r="C163" s="166" t="s">
        <v>6342</v>
      </c>
      <c r="D163" s="166" t="s">
        <v>6343</v>
      </c>
      <c r="E163" s="166" t="s">
        <v>6347</v>
      </c>
      <c r="F163" s="165" t="s">
        <v>6345</v>
      </c>
    </row>
    <row r="164" spans="2:6" ht="15.75" x14ac:dyDescent="0.25">
      <c r="B164" s="165" t="s">
        <v>6408</v>
      </c>
      <c r="C164" s="166" t="s">
        <v>6342</v>
      </c>
      <c r="D164" s="166" t="s">
        <v>6386</v>
      </c>
      <c r="E164" s="166" t="s">
        <v>6409</v>
      </c>
      <c r="F164" s="165" t="s">
        <v>6410</v>
      </c>
    </row>
    <row r="165" spans="2:6" ht="15.75" x14ac:dyDescent="0.25">
      <c r="B165" s="165" t="s">
        <v>6351</v>
      </c>
      <c r="C165" s="166" t="s">
        <v>6342</v>
      </c>
      <c r="D165" s="166" t="s">
        <v>6343</v>
      </c>
      <c r="E165" s="166" t="s">
        <v>6352</v>
      </c>
      <c r="F165" s="165" t="s">
        <v>6345</v>
      </c>
    </row>
    <row r="166" spans="2:6" ht="15.75" x14ac:dyDescent="0.25">
      <c r="B166" s="165" t="s">
        <v>6411</v>
      </c>
      <c r="C166" s="166" t="s">
        <v>6342</v>
      </c>
      <c r="D166" s="166" t="s">
        <v>6343</v>
      </c>
      <c r="E166" s="166" t="s">
        <v>6355</v>
      </c>
      <c r="F166" s="165" t="s">
        <v>6345</v>
      </c>
    </row>
    <row r="167" spans="2:6" ht="15.75" x14ac:dyDescent="0.25">
      <c r="B167" s="165" t="s">
        <v>6354</v>
      </c>
      <c r="C167" s="166" t="s">
        <v>6342</v>
      </c>
      <c r="D167" s="166" t="s">
        <v>6343</v>
      </c>
      <c r="E167" s="166" t="s">
        <v>6355</v>
      </c>
      <c r="F167" s="165" t="s">
        <v>6345</v>
      </c>
    </row>
    <row r="168" spans="2:6" ht="15.75" x14ac:dyDescent="0.25">
      <c r="B168" s="165" t="s">
        <v>6356</v>
      </c>
      <c r="C168" s="166" t="s">
        <v>6342</v>
      </c>
      <c r="D168" s="166"/>
      <c r="E168" s="166" t="s">
        <v>6357</v>
      </c>
      <c r="F168" s="165" t="s">
        <v>6358</v>
      </c>
    </row>
    <row r="169" spans="2:6" ht="15.75" x14ac:dyDescent="0.25">
      <c r="B169" s="165" t="s">
        <v>6449</v>
      </c>
      <c r="C169" s="166" t="s">
        <v>6342</v>
      </c>
      <c r="D169" s="166" t="s">
        <v>6386</v>
      </c>
      <c r="E169" s="166" t="s">
        <v>6409</v>
      </c>
      <c r="F169" s="165" t="s">
        <v>6345</v>
      </c>
    </row>
    <row r="170" spans="2:6" ht="15.75" x14ac:dyDescent="0.25">
      <c r="B170" s="165" t="s">
        <v>6500</v>
      </c>
      <c r="C170" s="166" t="s">
        <v>6360</v>
      </c>
      <c r="D170" s="166" t="s">
        <v>6361</v>
      </c>
      <c r="E170" s="166" t="s">
        <v>6497</v>
      </c>
      <c r="F170" s="165" t="s">
        <v>6501</v>
      </c>
    </row>
    <row r="171" spans="2:6" ht="15.75" x14ac:dyDescent="0.25">
      <c r="B171" s="165" t="s">
        <v>6476</v>
      </c>
      <c r="C171" s="166" t="s">
        <v>6360</v>
      </c>
      <c r="D171" s="166" t="s">
        <v>6375</v>
      </c>
      <c r="E171" s="166" t="s">
        <v>6392</v>
      </c>
      <c r="F171" s="165" t="s">
        <v>6387</v>
      </c>
    </row>
    <row r="172" spans="2:6" ht="15.75" x14ac:dyDescent="0.25">
      <c r="B172" s="165" t="s">
        <v>6412</v>
      </c>
      <c r="C172" s="166" t="s">
        <v>6342</v>
      </c>
      <c r="D172" s="166" t="s">
        <v>6391</v>
      </c>
      <c r="E172" s="166" t="s">
        <v>6399</v>
      </c>
      <c r="F172" s="165" t="s">
        <v>6380</v>
      </c>
    </row>
    <row r="173" spans="2:6" ht="15.75" x14ac:dyDescent="0.25">
      <c r="B173" s="165" t="s">
        <v>6413</v>
      </c>
      <c r="C173" s="166" t="s">
        <v>6360</v>
      </c>
      <c r="D173" s="166" t="s">
        <v>6361</v>
      </c>
      <c r="E173" s="166" t="s">
        <v>6355</v>
      </c>
      <c r="F173" s="165" t="s">
        <v>6345</v>
      </c>
    </row>
    <row r="174" spans="2:6" ht="15.75" x14ac:dyDescent="0.25">
      <c r="B174" s="165" t="s">
        <v>6359</v>
      </c>
      <c r="C174" s="166" t="s">
        <v>6360</v>
      </c>
      <c r="D174" s="166" t="s">
        <v>6361</v>
      </c>
      <c r="E174" s="166" t="s">
        <v>6362</v>
      </c>
      <c r="F174" s="165" t="s">
        <v>6345</v>
      </c>
    </row>
    <row r="175" spans="2:6" ht="15.75" x14ac:dyDescent="0.25">
      <c r="B175" s="165" t="s">
        <v>6472</v>
      </c>
      <c r="C175" s="166" t="s">
        <v>6342</v>
      </c>
      <c r="D175" s="166" t="s">
        <v>6391</v>
      </c>
      <c r="E175" s="166" t="s">
        <v>6473</v>
      </c>
      <c r="F175" s="165" t="s">
        <v>6410</v>
      </c>
    </row>
    <row r="176" spans="2:6" ht="15.75" x14ac:dyDescent="0.25">
      <c r="B176" s="165" t="s">
        <v>6495</v>
      </c>
      <c r="C176" s="166" t="s">
        <v>6342</v>
      </c>
      <c r="D176" s="166" t="s">
        <v>6391</v>
      </c>
      <c r="E176" s="166" t="s">
        <v>6409</v>
      </c>
      <c r="F176" s="165" t="s">
        <v>6441</v>
      </c>
    </row>
    <row r="177" spans="2:6" ht="15.75" x14ac:dyDescent="0.25">
      <c r="B177" s="165" t="s">
        <v>6463</v>
      </c>
      <c r="C177" s="166" t="s">
        <v>6342</v>
      </c>
      <c r="D177" s="166" t="s">
        <v>6391</v>
      </c>
      <c r="E177" s="166" t="s">
        <v>6436</v>
      </c>
      <c r="F177" s="165" t="s">
        <v>6387</v>
      </c>
    </row>
    <row r="178" spans="2:6" ht="15.75" x14ac:dyDescent="0.25">
      <c r="B178" s="165" t="s">
        <v>6512</v>
      </c>
      <c r="C178" s="166" t="s">
        <v>6485</v>
      </c>
      <c r="D178" s="166" t="s">
        <v>6509</v>
      </c>
      <c r="E178" s="166" t="s">
        <v>6510</v>
      </c>
      <c r="F178" s="165" t="s">
        <v>6498</v>
      </c>
    </row>
    <row r="179" spans="2:6" ht="15.75" x14ac:dyDescent="0.25">
      <c r="B179" s="165" t="s">
        <v>6506</v>
      </c>
      <c r="C179" s="166" t="s">
        <v>6360</v>
      </c>
      <c r="D179" s="166" t="s">
        <v>6361</v>
      </c>
      <c r="E179" s="166" t="s">
        <v>6497</v>
      </c>
      <c r="F179" s="165" t="s">
        <v>6501</v>
      </c>
    </row>
    <row r="180" spans="2:6" ht="15.75" x14ac:dyDescent="0.25">
      <c r="B180" s="165" t="s">
        <v>6363</v>
      </c>
      <c r="C180" s="166" t="s">
        <v>6342</v>
      </c>
      <c r="D180" s="166" t="s">
        <v>6343</v>
      </c>
      <c r="E180" s="166" t="s">
        <v>6364</v>
      </c>
      <c r="F180" s="165" t="s">
        <v>6345</v>
      </c>
    </row>
    <row r="181" spans="2:6" ht="15.75" x14ac:dyDescent="0.25">
      <c r="B181" s="165" t="s">
        <v>6492</v>
      </c>
      <c r="C181" s="166" t="s">
        <v>6342</v>
      </c>
      <c r="D181" s="166" t="s">
        <v>6386</v>
      </c>
      <c r="E181" s="166" t="s">
        <v>6493</v>
      </c>
      <c r="F181" s="165" t="s">
        <v>6468</v>
      </c>
    </row>
    <row r="182" spans="2:6" ht="15.75" x14ac:dyDescent="0.25">
      <c r="B182" s="165" t="s">
        <v>6365</v>
      </c>
      <c r="C182" s="166" t="s">
        <v>6342</v>
      </c>
      <c r="D182" s="166" t="s">
        <v>6343</v>
      </c>
      <c r="E182" s="166" t="s">
        <v>6366</v>
      </c>
      <c r="F182" s="165" t="s">
        <v>6345</v>
      </c>
    </row>
    <row r="183" spans="2:6" ht="15.75" x14ac:dyDescent="0.25">
      <c r="B183" s="165" t="s">
        <v>6414</v>
      </c>
      <c r="C183" s="166" t="s">
        <v>6342</v>
      </c>
      <c r="D183" s="166" t="s">
        <v>6343</v>
      </c>
      <c r="E183" s="166" t="s">
        <v>6415</v>
      </c>
      <c r="F183" s="165" t="s">
        <v>6345</v>
      </c>
    </row>
    <row r="184" spans="2:6" ht="15.75" x14ac:dyDescent="0.25">
      <c r="B184" s="165" t="s">
        <v>6466</v>
      </c>
      <c r="C184" s="166" t="s">
        <v>6360</v>
      </c>
      <c r="D184" s="166" t="s">
        <v>6375</v>
      </c>
      <c r="E184" s="166" t="s">
        <v>6355</v>
      </c>
      <c r="F184" s="165" t="s">
        <v>6443</v>
      </c>
    </row>
    <row r="185" spans="2:6" ht="15.75" x14ac:dyDescent="0.25">
      <c r="B185" s="165" t="s">
        <v>6489</v>
      </c>
      <c r="C185" s="166" t="s">
        <v>6404</v>
      </c>
      <c r="D185" s="166" t="s">
        <v>6375</v>
      </c>
      <c r="E185" s="166" t="s">
        <v>6389</v>
      </c>
      <c r="F185" s="165" t="s">
        <v>6387</v>
      </c>
    </row>
    <row r="186" spans="2:6" ht="15.75" x14ac:dyDescent="0.25">
      <c r="B186" s="165" t="s">
        <v>6521</v>
      </c>
      <c r="C186" s="166" t="s">
        <v>6485</v>
      </c>
      <c r="D186" s="166" t="s">
        <v>6375</v>
      </c>
      <c r="E186" s="166" t="s">
        <v>6522</v>
      </c>
      <c r="F186" s="165" t="s">
        <v>6443</v>
      </c>
    </row>
    <row r="187" spans="2:6" ht="15.75" x14ac:dyDescent="0.25">
      <c r="B187" s="165" t="s">
        <v>6367</v>
      </c>
      <c r="C187" s="166" t="s">
        <v>6342</v>
      </c>
      <c r="D187" s="166" t="s">
        <v>6343</v>
      </c>
      <c r="E187" s="166" t="s">
        <v>6364</v>
      </c>
      <c r="F187" s="165" t="s">
        <v>6345</v>
      </c>
    </row>
    <row r="188" spans="2:6" ht="15.75" x14ac:dyDescent="0.25">
      <c r="B188" s="165" t="s">
        <v>6416</v>
      </c>
      <c r="C188" s="166" t="s">
        <v>6383</v>
      </c>
      <c r="D188" s="166" t="s">
        <v>6386</v>
      </c>
      <c r="E188" s="166" t="s">
        <v>6392</v>
      </c>
      <c r="F188" s="165" t="s">
        <v>6417</v>
      </c>
    </row>
    <row r="189" spans="2:6" ht="15.75" x14ac:dyDescent="0.25">
      <c r="B189" s="165" t="s">
        <v>6368</v>
      </c>
      <c r="C189" s="166" t="s">
        <v>6342</v>
      </c>
      <c r="D189" s="166" t="s">
        <v>6343</v>
      </c>
      <c r="E189" s="166" t="s">
        <v>6350</v>
      </c>
      <c r="F189" s="165" t="s">
        <v>6345</v>
      </c>
    </row>
    <row r="190" spans="2:6" ht="15.75" x14ac:dyDescent="0.25">
      <c r="B190" s="165" t="s">
        <v>6460</v>
      </c>
      <c r="C190" s="166" t="s">
        <v>6342</v>
      </c>
      <c r="D190" s="166" t="s">
        <v>6386</v>
      </c>
      <c r="E190" s="166" t="s">
        <v>6355</v>
      </c>
      <c r="F190" s="165" t="s">
        <v>6417</v>
      </c>
    </row>
    <row r="191" spans="2:6" ht="15.75" x14ac:dyDescent="0.25">
      <c r="B191" s="165" t="s">
        <v>6490</v>
      </c>
      <c r="C191" s="166" t="s">
        <v>6491</v>
      </c>
      <c r="D191" s="166" t="s">
        <v>6391</v>
      </c>
      <c r="E191" s="166" t="s">
        <v>6475</v>
      </c>
      <c r="F191" s="165" t="s">
        <v>6441</v>
      </c>
    </row>
    <row r="192" spans="2:6" ht="15.75" x14ac:dyDescent="0.25">
      <c r="B192" s="165" t="s">
        <v>6507</v>
      </c>
      <c r="C192" s="166" t="s">
        <v>6360</v>
      </c>
      <c r="D192" s="166" t="s">
        <v>6361</v>
      </c>
      <c r="E192" s="166" t="s">
        <v>6497</v>
      </c>
      <c r="F192" s="165" t="s">
        <v>6498</v>
      </c>
    </row>
    <row r="193" spans="2:6" ht="15.75" x14ac:dyDescent="0.25">
      <c r="B193" s="165" t="s">
        <v>6418</v>
      </c>
      <c r="C193" s="166" t="s">
        <v>6342</v>
      </c>
      <c r="D193" s="166" t="s">
        <v>6343</v>
      </c>
      <c r="E193" s="166" t="s">
        <v>6399</v>
      </c>
      <c r="F193" s="165" t="s">
        <v>6345</v>
      </c>
    </row>
    <row r="194" spans="2:6" ht="15.75" x14ac:dyDescent="0.25">
      <c r="B194" s="165" t="s">
        <v>6369</v>
      </c>
      <c r="C194" s="166" t="s">
        <v>6342</v>
      </c>
      <c r="D194" s="166" t="s">
        <v>6343</v>
      </c>
      <c r="E194" s="166" t="s">
        <v>6370</v>
      </c>
      <c r="F194" s="165" t="s">
        <v>6345</v>
      </c>
    </row>
    <row r="195" spans="2:6" ht="15.75" x14ac:dyDescent="0.25">
      <c r="B195" s="165" t="s">
        <v>6371</v>
      </c>
      <c r="C195" s="166" t="s">
        <v>6342</v>
      </c>
      <c r="D195" s="166" t="s">
        <v>6343</v>
      </c>
      <c r="E195" s="166" t="s">
        <v>6350</v>
      </c>
      <c r="F195" s="165" t="s">
        <v>6345</v>
      </c>
    </row>
    <row r="196" spans="2:6" ht="15.75" x14ac:dyDescent="0.25">
      <c r="B196" s="165" t="s">
        <v>6505</v>
      </c>
      <c r="C196" s="166" t="s">
        <v>6360</v>
      </c>
      <c r="D196" s="166" t="s">
        <v>6361</v>
      </c>
      <c r="E196" s="166" t="s">
        <v>6497</v>
      </c>
      <c r="F196" s="165" t="s">
        <v>6501</v>
      </c>
    </row>
    <row r="197" spans="2:6" ht="15.75" x14ac:dyDescent="0.25">
      <c r="B197" s="165" t="s">
        <v>6419</v>
      </c>
      <c r="C197" s="166" t="s">
        <v>6383</v>
      </c>
      <c r="D197" s="166" t="s">
        <v>6386</v>
      </c>
      <c r="E197" s="166" t="s">
        <v>6392</v>
      </c>
      <c r="F197" s="165" t="s">
        <v>6417</v>
      </c>
    </row>
    <row r="198" spans="2:6" ht="15.75" x14ac:dyDescent="0.25">
      <c r="B198" s="165" t="s">
        <v>6504</v>
      </c>
      <c r="C198" s="166" t="s">
        <v>6360</v>
      </c>
      <c r="D198" s="166" t="s">
        <v>6361</v>
      </c>
      <c r="E198" s="166" t="s">
        <v>6497</v>
      </c>
      <c r="F198" s="165" t="s">
        <v>6501</v>
      </c>
    </row>
    <row r="199" spans="2:6" ht="15.75" x14ac:dyDescent="0.25">
      <c r="B199" s="165" t="s">
        <v>6503</v>
      </c>
      <c r="C199" s="166" t="s">
        <v>6360</v>
      </c>
      <c r="D199" s="166" t="s">
        <v>6361</v>
      </c>
      <c r="E199" s="166" t="s">
        <v>6497</v>
      </c>
      <c r="F199" s="165" t="s">
        <v>6501</v>
      </c>
    </row>
    <row r="200" spans="2:6" ht="15.75" x14ac:dyDescent="0.25">
      <c r="B200" s="165" t="s">
        <v>6517</v>
      </c>
      <c r="C200" s="166" t="s">
        <v>6360</v>
      </c>
      <c r="D200" s="166" t="s">
        <v>6361</v>
      </c>
      <c r="E200" s="166" t="s">
        <v>6497</v>
      </c>
      <c r="F200" s="165" t="s">
        <v>6501</v>
      </c>
    </row>
    <row r="201" spans="2:6" ht="15.75" x14ac:dyDescent="0.25">
      <c r="B201" s="165" t="s">
        <v>6518</v>
      </c>
      <c r="C201" s="166" t="s">
        <v>6360</v>
      </c>
      <c r="D201" s="166" t="s">
        <v>6391</v>
      </c>
      <c r="E201" s="166" t="s">
        <v>6519</v>
      </c>
      <c r="F201" s="165" t="s">
        <v>6451</v>
      </c>
    </row>
    <row r="202" spans="2:6" ht="15.75" x14ac:dyDescent="0.25">
      <c r="B202" s="165" t="s">
        <v>165</v>
      </c>
      <c r="C202" s="166" t="s">
        <v>6372</v>
      </c>
      <c r="D202" s="166" t="s">
        <v>6343</v>
      </c>
      <c r="E202" s="166" t="s">
        <v>6350</v>
      </c>
      <c r="F202" s="165" t="s">
        <v>6345</v>
      </c>
    </row>
    <row r="203" spans="2:6" ht="15.75" x14ac:dyDescent="0.25">
      <c r="B203" s="165" t="s">
        <v>6471</v>
      </c>
      <c r="C203" s="166" t="s">
        <v>6360</v>
      </c>
      <c r="D203" s="166" t="s">
        <v>6375</v>
      </c>
      <c r="E203" s="166" t="s">
        <v>6355</v>
      </c>
      <c r="F203" s="165" t="s">
        <v>6405</v>
      </c>
    </row>
    <row r="204" spans="2:6" ht="15.75" x14ac:dyDescent="0.25">
      <c r="B204" s="165" t="s">
        <v>6420</v>
      </c>
      <c r="C204" s="166" t="s">
        <v>6342</v>
      </c>
      <c r="D204" s="166" t="s">
        <v>6361</v>
      </c>
      <c r="E204" s="166" t="s">
        <v>6389</v>
      </c>
      <c r="F204" s="165" t="s">
        <v>6345</v>
      </c>
    </row>
    <row r="205" spans="2:6" ht="15.75" x14ac:dyDescent="0.25">
      <c r="B205" s="165" t="s">
        <v>6511</v>
      </c>
      <c r="C205" s="166" t="s">
        <v>6485</v>
      </c>
      <c r="D205" s="166" t="s">
        <v>6375</v>
      </c>
      <c r="E205" s="166" t="s">
        <v>6497</v>
      </c>
      <c r="F205" s="165" t="s">
        <v>6410</v>
      </c>
    </row>
    <row r="206" spans="2:6" ht="15.75" x14ac:dyDescent="0.25">
      <c r="B206" s="165" t="s">
        <v>6421</v>
      </c>
      <c r="C206" s="166" t="s">
        <v>6360</v>
      </c>
      <c r="D206" s="166" t="s">
        <v>6391</v>
      </c>
      <c r="E206" s="166" t="s">
        <v>6392</v>
      </c>
      <c r="F206" s="165" t="s">
        <v>6405</v>
      </c>
    </row>
    <row r="207" spans="2:6" ht="15.75" x14ac:dyDescent="0.25">
      <c r="B207" s="165" t="s">
        <v>510</v>
      </c>
      <c r="C207" s="166" t="s">
        <v>6360</v>
      </c>
      <c r="D207" s="166" t="s">
        <v>6375</v>
      </c>
      <c r="E207" s="166" t="s">
        <v>6433</v>
      </c>
      <c r="F207" s="165" t="s">
        <v>6405</v>
      </c>
    </row>
    <row r="208" spans="2:6" ht="15.75" x14ac:dyDescent="0.25">
      <c r="B208" s="165" t="s">
        <v>6502</v>
      </c>
      <c r="C208" s="166" t="s">
        <v>6360</v>
      </c>
      <c r="D208" s="166" t="s">
        <v>6361</v>
      </c>
      <c r="E208" s="166" t="s">
        <v>6497</v>
      </c>
      <c r="F208" s="165" t="s">
        <v>6501</v>
      </c>
    </row>
    <row r="209" spans="2:6" ht="15.75" x14ac:dyDescent="0.25">
      <c r="B209" s="165" t="s">
        <v>6373</v>
      </c>
      <c r="C209" s="166" t="s">
        <v>6349</v>
      </c>
      <c r="D209" s="166" t="s">
        <v>6343</v>
      </c>
      <c r="E209" s="166" t="s">
        <v>6347</v>
      </c>
      <c r="F209" s="165" t="s">
        <v>6345</v>
      </c>
    </row>
    <row r="210" spans="2:6" ht="15.75" x14ac:dyDescent="0.25">
      <c r="B210" s="165" t="s">
        <v>6422</v>
      </c>
      <c r="C210" s="166" t="s">
        <v>6360</v>
      </c>
      <c r="D210" s="166" t="s">
        <v>6391</v>
      </c>
      <c r="E210" s="166" t="s">
        <v>6392</v>
      </c>
      <c r="F210" s="165" t="s">
        <v>6377</v>
      </c>
    </row>
    <row r="211" spans="2:6" ht="15.75" x14ac:dyDescent="0.25">
      <c r="B211" s="165" t="s">
        <v>6423</v>
      </c>
      <c r="C211" s="166" t="s">
        <v>6342</v>
      </c>
      <c r="D211" s="166" t="s">
        <v>6391</v>
      </c>
      <c r="E211" s="166" t="s">
        <v>6399</v>
      </c>
      <c r="F211" s="165" t="s">
        <v>6380</v>
      </c>
    </row>
    <row r="212" spans="2:6" ht="15.75" x14ac:dyDescent="0.25">
      <c r="B212" s="165" t="s">
        <v>6453</v>
      </c>
      <c r="C212" s="166" t="s">
        <v>6360</v>
      </c>
      <c r="D212" s="166" t="s">
        <v>6391</v>
      </c>
      <c r="E212" s="166" t="s">
        <v>6355</v>
      </c>
      <c r="F212" s="165" t="s">
        <v>6410</v>
      </c>
    </row>
    <row r="213" spans="2:6" ht="15.75" x14ac:dyDescent="0.25">
      <c r="B213" s="165" t="s">
        <v>6374</v>
      </c>
      <c r="C213" s="166" t="s">
        <v>6360</v>
      </c>
      <c r="D213" s="166" t="s">
        <v>6375</v>
      </c>
      <c r="E213" s="166" t="s">
        <v>6376</v>
      </c>
      <c r="F213" s="165" t="s">
        <v>6377</v>
      </c>
    </row>
    <row r="214" spans="2:6" ht="15.75" x14ac:dyDescent="0.25">
      <c r="B214" s="165" t="s">
        <v>258</v>
      </c>
      <c r="C214" s="166" t="s">
        <v>6342</v>
      </c>
      <c r="D214" s="166" t="s">
        <v>6343</v>
      </c>
      <c r="E214" s="166" t="s">
        <v>6350</v>
      </c>
      <c r="F214" s="165" t="s">
        <v>6345</v>
      </c>
    </row>
    <row r="215" spans="2:6" ht="15.75" x14ac:dyDescent="0.25">
      <c r="B215" s="165" t="s">
        <v>6448</v>
      </c>
      <c r="C215" s="166" t="s">
        <v>6383</v>
      </c>
      <c r="D215" s="166" t="s">
        <v>6386</v>
      </c>
      <c r="E215" s="166" t="s">
        <v>6446</v>
      </c>
      <c r="F215" s="165" t="s">
        <v>6345</v>
      </c>
    </row>
    <row r="216" spans="2:6" ht="15.75" x14ac:dyDescent="0.25">
      <c r="B216" s="165" t="s">
        <v>6447</v>
      </c>
      <c r="C216" s="166" t="s">
        <v>6360</v>
      </c>
      <c r="D216" s="166" t="s">
        <v>6391</v>
      </c>
      <c r="E216" s="166" t="s">
        <v>6392</v>
      </c>
      <c r="F216" s="165" t="s">
        <v>6410</v>
      </c>
    </row>
    <row r="217" spans="2:6" ht="15.75" x14ac:dyDescent="0.25">
      <c r="B217" s="165" t="s">
        <v>6426</v>
      </c>
      <c r="C217" s="166" t="s">
        <v>6360</v>
      </c>
      <c r="D217" s="166" t="s">
        <v>6361</v>
      </c>
      <c r="E217" s="166" t="s">
        <v>6399</v>
      </c>
      <c r="F217" s="165" t="s">
        <v>6345</v>
      </c>
    </row>
    <row r="218" spans="2:6" ht="15.75" x14ac:dyDescent="0.25">
      <c r="B218" s="165" t="s">
        <v>6378</v>
      </c>
      <c r="C218" s="166" t="s">
        <v>6360</v>
      </c>
      <c r="D218" s="166" t="s">
        <v>6361</v>
      </c>
      <c r="E218" s="166" t="s">
        <v>6370</v>
      </c>
      <c r="F218" s="165" t="s">
        <v>6345</v>
      </c>
    </row>
    <row r="219" spans="2:6" ht="15.75" x14ac:dyDescent="0.25">
      <c r="B219" s="165" t="s">
        <v>6424</v>
      </c>
      <c r="C219" s="166" t="s">
        <v>6360</v>
      </c>
      <c r="D219" s="166" t="s">
        <v>6361</v>
      </c>
      <c r="E219" s="166" t="s">
        <v>6425</v>
      </c>
      <c r="F219" s="165" t="s">
        <v>6345</v>
      </c>
    </row>
    <row r="220" spans="2:6" ht="15.75" x14ac:dyDescent="0.25">
      <c r="B220" s="165" t="s">
        <v>6427</v>
      </c>
      <c r="C220" s="166" t="s">
        <v>6360</v>
      </c>
      <c r="D220" s="166" t="s">
        <v>6391</v>
      </c>
      <c r="E220" s="166" t="s">
        <v>6392</v>
      </c>
      <c r="F220" s="165" t="s">
        <v>6405</v>
      </c>
    </row>
    <row r="221" spans="2:6" ht="15.75" x14ac:dyDescent="0.25">
      <c r="B221" s="165" t="s">
        <v>6445</v>
      </c>
      <c r="C221" s="166" t="s">
        <v>6383</v>
      </c>
      <c r="D221" s="166" t="s">
        <v>6386</v>
      </c>
      <c r="E221" s="166" t="s">
        <v>6446</v>
      </c>
      <c r="F221" s="165" t="s">
        <v>6345</v>
      </c>
    </row>
    <row r="222" spans="2:6" ht="15.75" x14ac:dyDescent="0.25">
      <c r="B222" s="165" t="s">
        <v>6439</v>
      </c>
      <c r="C222" s="166" t="s">
        <v>6342</v>
      </c>
      <c r="D222" s="166" t="s">
        <v>6391</v>
      </c>
      <c r="E222" s="166" t="s">
        <v>6440</v>
      </c>
      <c r="F222" s="165" t="s">
        <v>6441</v>
      </c>
    </row>
    <row r="223" spans="2:6" ht="15.75" x14ac:dyDescent="0.25">
      <c r="B223" s="165" t="s">
        <v>6437</v>
      </c>
      <c r="C223" s="166" t="s">
        <v>6360</v>
      </c>
      <c r="D223" s="166" t="s">
        <v>6391</v>
      </c>
      <c r="E223" s="166" t="s">
        <v>6415</v>
      </c>
      <c r="F223" s="165" t="s">
        <v>6438</v>
      </c>
    </row>
    <row r="224" spans="2:6" ht="15.75" x14ac:dyDescent="0.25">
      <c r="B224" s="165" t="s">
        <v>6379</v>
      </c>
      <c r="C224" s="166" t="s">
        <v>6342</v>
      </c>
      <c r="D224" s="166" t="s">
        <v>6343</v>
      </c>
      <c r="E224" s="166" t="s">
        <v>6364</v>
      </c>
      <c r="F224" s="165" t="s">
        <v>6380</v>
      </c>
    </row>
    <row r="225" spans="2:6" ht="15.75" x14ac:dyDescent="0.25">
      <c r="B225" s="165" t="s">
        <v>6381</v>
      </c>
      <c r="C225" s="166" t="s">
        <v>6360</v>
      </c>
      <c r="D225" s="166" t="s">
        <v>6361</v>
      </c>
      <c r="E225" s="166" t="s">
        <v>6355</v>
      </c>
      <c r="F225" s="165" t="s">
        <v>6345</v>
      </c>
    </row>
    <row r="226" spans="2:6" ht="15.75" x14ac:dyDescent="0.25">
      <c r="B226" s="165" t="s">
        <v>6435</v>
      </c>
      <c r="C226" s="166" t="s">
        <v>6383</v>
      </c>
      <c r="D226" s="166" t="s">
        <v>6391</v>
      </c>
      <c r="E226" s="166" t="s">
        <v>6436</v>
      </c>
      <c r="F226" s="165" t="s">
        <v>6380</v>
      </c>
    </row>
    <row r="227" spans="2:6" ht="15.75" x14ac:dyDescent="0.25">
      <c r="B227" s="165" t="s">
        <v>6382</v>
      </c>
      <c r="C227" s="166" t="s">
        <v>6383</v>
      </c>
      <c r="D227" s="166" t="s">
        <v>6343</v>
      </c>
      <c r="E227" s="166" t="s">
        <v>6362</v>
      </c>
      <c r="F227" s="165" t="s">
        <v>6345</v>
      </c>
    </row>
    <row r="228" spans="2:6" ht="15.75" x14ac:dyDescent="0.25">
      <c r="B228" s="165" t="s">
        <v>6444</v>
      </c>
      <c r="C228" s="166" t="s">
        <v>6360</v>
      </c>
      <c r="D228" s="166" t="s">
        <v>6391</v>
      </c>
      <c r="E228" s="166" t="s">
        <v>6392</v>
      </c>
      <c r="F228" s="165" t="s">
        <v>6443</v>
      </c>
    </row>
    <row r="229" spans="2:6" ht="15.75" x14ac:dyDescent="0.25">
      <c r="B229" s="165" t="s">
        <v>6442</v>
      </c>
      <c r="C229" s="166" t="s">
        <v>6342</v>
      </c>
      <c r="D229" s="166" t="s">
        <v>6386</v>
      </c>
      <c r="E229" s="166" t="s">
        <v>6407</v>
      </c>
      <c r="F229" s="165" t="s">
        <v>6443</v>
      </c>
    </row>
    <row r="230" spans="2:6" ht="15.75" x14ac:dyDescent="0.25">
      <c r="B230" s="165" t="s">
        <v>6428</v>
      </c>
      <c r="C230" s="166" t="s">
        <v>6342</v>
      </c>
      <c r="D230" s="166" t="s">
        <v>6391</v>
      </c>
      <c r="E230" s="166" t="s">
        <v>6399</v>
      </c>
      <c r="F230" s="165" t="s">
        <v>6380</v>
      </c>
    </row>
    <row r="231" spans="2:6" ht="15.75" x14ac:dyDescent="0.25">
      <c r="B231" s="165" t="s">
        <v>6429</v>
      </c>
      <c r="C231" s="166" t="s">
        <v>6342</v>
      </c>
      <c r="D231" s="166" t="s">
        <v>6391</v>
      </c>
      <c r="E231" s="166" t="s">
        <v>6399</v>
      </c>
      <c r="F231" s="165" t="s">
        <v>6380</v>
      </c>
    </row>
    <row r="232" spans="2:6" ht="15.75" x14ac:dyDescent="0.25">
      <c r="B232" s="165" t="s">
        <v>6464</v>
      </c>
      <c r="C232" s="166" t="s">
        <v>6383</v>
      </c>
      <c r="D232" s="166" t="s">
        <v>6386</v>
      </c>
      <c r="E232" s="166" t="s">
        <v>6465</v>
      </c>
      <c r="F232" s="165" t="s">
        <v>6387</v>
      </c>
    </row>
    <row r="233" spans="2:6" ht="15.75" x14ac:dyDescent="0.25">
      <c r="B233" s="165" t="s">
        <v>6454</v>
      </c>
      <c r="C233" s="166" t="s">
        <v>6360</v>
      </c>
      <c r="D233" s="166" t="s">
        <v>6391</v>
      </c>
      <c r="E233" s="166" t="s">
        <v>6355</v>
      </c>
      <c r="F233" s="165" t="s">
        <v>6410</v>
      </c>
    </row>
    <row r="234" spans="2:6" ht="15.75" x14ac:dyDescent="0.25">
      <c r="B234" s="165" t="s">
        <v>6430</v>
      </c>
      <c r="C234" s="166" t="s">
        <v>6383</v>
      </c>
      <c r="D234" s="166" t="s">
        <v>6386</v>
      </c>
      <c r="E234" s="166" t="s">
        <v>6407</v>
      </c>
      <c r="F234" s="165" t="s">
        <v>6410</v>
      </c>
    </row>
    <row r="235" spans="2:6" ht="15.75" x14ac:dyDescent="0.25">
      <c r="B235" s="165" t="s">
        <v>6450</v>
      </c>
      <c r="C235" s="166" t="s">
        <v>6342</v>
      </c>
      <c r="D235" s="166" t="s">
        <v>6386</v>
      </c>
      <c r="E235" s="166" t="s">
        <v>6392</v>
      </c>
      <c r="F235" s="165" t="s">
        <v>6451</v>
      </c>
    </row>
    <row r="236" spans="2:6" ht="15.75" x14ac:dyDescent="0.25">
      <c r="B236" s="165" t="s">
        <v>6384</v>
      </c>
      <c r="C236" s="166" t="s">
        <v>6385</v>
      </c>
      <c r="D236" s="166" t="s">
        <v>6386</v>
      </c>
      <c r="E236" s="166" t="s">
        <v>6366</v>
      </c>
      <c r="F236" s="165" t="s">
        <v>6387</v>
      </c>
    </row>
    <row r="237" spans="2:6" ht="15.75" x14ac:dyDescent="0.25">
      <c r="B237" s="165" t="s">
        <v>6479</v>
      </c>
      <c r="C237" s="166" t="s">
        <v>6360</v>
      </c>
      <c r="D237" s="166" t="s">
        <v>6391</v>
      </c>
      <c r="E237" s="166" t="s">
        <v>6480</v>
      </c>
      <c r="F237" s="165" t="s">
        <v>6481</v>
      </c>
    </row>
    <row r="238" spans="2:6" ht="15.75" x14ac:dyDescent="0.25">
      <c r="B238" s="165" t="s">
        <v>6469</v>
      </c>
      <c r="C238" s="166" t="s">
        <v>6360</v>
      </c>
      <c r="D238" s="166" t="s">
        <v>6391</v>
      </c>
      <c r="E238" s="166" t="s">
        <v>6470</v>
      </c>
      <c r="F238" s="165" t="s">
        <v>6468</v>
      </c>
    </row>
    <row r="239" spans="2:6" ht="15.75" x14ac:dyDescent="0.25">
      <c r="B239" s="165" t="s">
        <v>6474</v>
      </c>
      <c r="C239" s="166" t="s">
        <v>6360</v>
      </c>
      <c r="D239" s="166" t="s">
        <v>6391</v>
      </c>
      <c r="E239" s="166" t="s">
        <v>6475</v>
      </c>
      <c r="F239" s="165" t="s">
        <v>6410</v>
      </c>
    </row>
    <row r="240" spans="2:6" ht="15.75" x14ac:dyDescent="0.25">
      <c r="B240" s="165" t="s">
        <v>6487</v>
      </c>
      <c r="C240" s="166" t="s">
        <v>6360</v>
      </c>
      <c r="D240" s="166" t="s">
        <v>6391</v>
      </c>
      <c r="E240" s="166" t="s">
        <v>6473</v>
      </c>
      <c r="F240" s="165" t="s">
        <v>6410</v>
      </c>
    </row>
    <row r="241" spans="2:6" ht="15.75" x14ac:dyDescent="0.25">
      <c r="B241" s="165" t="s">
        <v>6431</v>
      </c>
      <c r="C241" s="166" t="s">
        <v>6342</v>
      </c>
      <c r="D241" s="166" t="s">
        <v>6343</v>
      </c>
      <c r="E241" s="166" t="s">
        <v>6399</v>
      </c>
      <c r="F241" s="165" t="s">
        <v>6345</v>
      </c>
    </row>
    <row r="242" spans="2:6" ht="15.75" x14ac:dyDescent="0.25">
      <c r="B242" s="165" t="s">
        <v>6523</v>
      </c>
      <c r="C242" s="166" t="s">
        <v>6404</v>
      </c>
      <c r="D242" s="166" t="s">
        <v>6375</v>
      </c>
      <c r="E242" s="166" t="s">
        <v>6524</v>
      </c>
      <c r="F242" s="165" t="s">
        <v>6405</v>
      </c>
    </row>
    <row r="243" spans="2:6" ht="15.75" x14ac:dyDescent="0.25">
      <c r="B243" s="165" t="s">
        <v>6496</v>
      </c>
      <c r="C243" s="166" t="s">
        <v>6360</v>
      </c>
      <c r="D243" s="166" t="s">
        <v>6361</v>
      </c>
      <c r="E243" s="166" t="s">
        <v>6497</v>
      </c>
      <c r="F243" s="165" t="s">
        <v>6498</v>
      </c>
    </row>
    <row r="244" spans="2:6" ht="15.75" x14ac:dyDescent="0.25">
      <c r="B244" s="165" t="s">
        <v>6494</v>
      </c>
      <c r="C244" s="166" t="s">
        <v>6342</v>
      </c>
      <c r="D244" s="166" t="s">
        <v>6386</v>
      </c>
      <c r="E244" s="166" t="s">
        <v>6473</v>
      </c>
      <c r="F244" s="165" t="s">
        <v>6451</v>
      </c>
    </row>
    <row r="245" spans="2:6" ht="15.75" x14ac:dyDescent="0.25">
      <c r="B245" s="165" t="s">
        <v>6467</v>
      </c>
      <c r="C245" s="166" t="s">
        <v>6342</v>
      </c>
      <c r="D245" s="166" t="s">
        <v>6386</v>
      </c>
      <c r="E245" s="166" t="s">
        <v>6409</v>
      </c>
      <c r="F245" s="165" t="s">
        <v>6468</v>
      </c>
    </row>
    <row r="246" spans="2:6" ht="15.75" x14ac:dyDescent="0.25">
      <c r="B246" s="165" t="s">
        <v>6477</v>
      </c>
      <c r="C246" s="166" t="s">
        <v>6342</v>
      </c>
      <c r="D246" s="166" t="s">
        <v>6386</v>
      </c>
      <c r="E246" s="166" t="s">
        <v>6465</v>
      </c>
      <c r="F246" s="165" t="s">
        <v>6468</v>
      </c>
    </row>
    <row r="247" spans="2:6" ht="15.75" x14ac:dyDescent="0.25">
      <c r="B247" s="165" t="s">
        <v>6488</v>
      </c>
      <c r="C247" s="166" t="s">
        <v>6342</v>
      </c>
      <c r="D247" s="166" t="s">
        <v>6386</v>
      </c>
      <c r="E247" s="166" t="s">
        <v>6473</v>
      </c>
      <c r="F247" s="165" t="s">
        <v>6451</v>
      </c>
    </row>
    <row r="248" spans="2:6" ht="15.75" x14ac:dyDescent="0.25">
      <c r="B248" s="165" t="s">
        <v>6516</v>
      </c>
      <c r="C248" s="166" t="s">
        <v>6360</v>
      </c>
      <c r="D248" s="166" t="s">
        <v>6361</v>
      </c>
      <c r="E248" s="166" t="s">
        <v>6497</v>
      </c>
      <c r="F248" s="165" t="s">
        <v>6501</v>
      </c>
    </row>
    <row r="249" spans="2:6" ht="15.75" x14ac:dyDescent="0.25">
      <c r="B249" s="165" t="s">
        <v>6514</v>
      </c>
      <c r="C249" s="166" t="s">
        <v>6404</v>
      </c>
      <c r="D249" s="166" t="s">
        <v>6509</v>
      </c>
      <c r="E249" s="166" t="s">
        <v>6515</v>
      </c>
      <c r="F249" s="165" t="s">
        <v>6498</v>
      </c>
    </row>
    <row r="250" spans="2:6" ht="15.75" x14ac:dyDescent="0.25">
      <c r="B250" s="165" t="s">
        <v>6484</v>
      </c>
      <c r="C250" s="166" t="s">
        <v>6485</v>
      </c>
      <c r="D250" s="166" t="s">
        <v>6375</v>
      </c>
      <c r="E250" s="166" t="s">
        <v>6389</v>
      </c>
      <c r="F250" s="165" t="s">
        <v>6405</v>
      </c>
    </row>
    <row r="251" spans="2:6" ht="15.75" x14ac:dyDescent="0.25">
      <c r="B251" s="165" t="s">
        <v>6520</v>
      </c>
      <c r="C251" s="166" t="s">
        <v>6485</v>
      </c>
      <c r="D251" s="166" t="s">
        <v>6375</v>
      </c>
      <c r="E251" s="166" t="s">
        <v>6510</v>
      </c>
      <c r="F251" s="165" t="s">
        <v>6443</v>
      </c>
    </row>
    <row r="252" spans="2:6" ht="15.75" x14ac:dyDescent="0.25">
      <c r="B252" s="165" t="s">
        <v>6432</v>
      </c>
      <c r="C252" s="166" t="s">
        <v>6404</v>
      </c>
      <c r="D252" s="166" t="s">
        <v>6375</v>
      </c>
      <c r="E252" s="166" t="s">
        <v>6433</v>
      </c>
      <c r="F252" s="165" t="s">
        <v>6405</v>
      </c>
    </row>
    <row r="253" spans="2:6" ht="15.75" x14ac:dyDescent="0.25">
      <c r="B253" s="165" t="s">
        <v>6434</v>
      </c>
      <c r="C253" s="166" t="s">
        <v>6342</v>
      </c>
      <c r="D253" s="166" t="s">
        <v>6361</v>
      </c>
      <c r="E253" s="166" t="s">
        <v>6399</v>
      </c>
      <c r="F253" s="165" t="s">
        <v>6345</v>
      </c>
    </row>
    <row r="254" spans="2:6" ht="15.75" x14ac:dyDescent="0.25">
      <c r="B254" s="165" t="s">
        <v>6508</v>
      </c>
      <c r="C254" s="166" t="s">
        <v>6485</v>
      </c>
      <c r="D254" s="166" t="s">
        <v>6509</v>
      </c>
      <c r="E254" s="166" t="s">
        <v>6510</v>
      </c>
      <c r="F254" s="165" t="s">
        <v>6498</v>
      </c>
    </row>
  </sheetData>
  <mergeCells count="38">
    <mergeCell ref="B20:B21"/>
    <mergeCell ref="B4:B6"/>
    <mergeCell ref="B8:B9"/>
    <mergeCell ref="B11:B12"/>
    <mergeCell ref="B14:B15"/>
    <mergeCell ref="B17:B18"/>
    <mergeCell ref="B57:B58"/>
    <mergeCell ref="B23:B24"/>
    <mergeCell ref="B26:B27"/>
    <mergeCell ref="B29:B30"/>
    <mergeCell ref="B32:B33"/>
    <mergeCell ref="B35:B36"/>
    <mergeCell ref="B38:B39"/>
    <mergeCell ref="B41:B42"/>
    <mergeCell ref="B44:B45"/>
    <mergeCell ref="B47:B49"/>
    <mergeCell ref="B51:B52"/>
    <mergeCell ref="B54:B55"/>
    <mergeCell ref="B107:B108"/>
    <mergeCell ref="B62:B63"/>
    <mergeCell ref="B71:B72"/>
    <mergeCell ref="B74:B75"/>
    <mergeCell ref="B79:B80"/>
    <mergeCell ref="B82:B83"/>
    <mergeCell ref="B85:B86"/>
    <mergeCell ref="B92:B93"/>
    <mergeCell ref="B95:B96"/>
    <mergeCell ref="B98:B99"/>
    <mergeCell ref="B101:B102"/>
    <mergeCell ref="B104:B105"/>
    <mergeCell ref="B130:B131"/>
    <mergeCell ref="B133:B134"/>
    <mergeCell ref="B110:B111"/>
    <mergeCell ref="B113:B114"/>
    <mergeCell ref="B116:B117"/>
    <mergeCell ref="B119:B120"/>
    <mergeCell ref="B122:B123"/>
    <mergeCell ref="B127:B12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A697B-0381-41EF-B854-0FDB762BADED}">
  <dimension ref="A1:AB237"/>
  <sheetViews>
    <sheetView zoomScaleNormal="100" workbookViewId="0">
      <selection activeCell="G199" sqref="G199"/>
    </sheetView>
  </sheetViews>
  <sheetFormatPr baseColWidth="10" defaultRowHeight="15" x14ac:dyDescent="0.25"/>
  <cols>
    <col min="1" max="1" width="11.42578125" style="160"/>
    <col min="2" max="2" width="37" style="160" customWidth="1"/>
    <col min="3" max="3" width="15.28515625" style="245" customWidth="1"/>
    <col min="4" max="4" width="47.28515625" style="245" customWidth="1"/>
    <col min="5" max="5" width="17.42578125" style="160" customWidth="1"/>
    <col min="6" max="6" width="38" style="160" customWidth="1"/>
    <col min="7" max="7" width="71.42578125" style="160" customWidth="1"/>
    <col min="8" max="8" width="35.7109375" style="160" customWidth="1"/>
    <col min="9" max="9" width="3.7109375" style="160" customWidth="1"/>
    <col min="10" max="10" width="35.7109375" style="160" customWidth="1"/>
    <col min="11" max="11" width="3.7109375" style="160" customWidth="1"/>
    <col min="12" max="12" width="35.7109375" style="160" customWidth="1"/>
    <col min="13" max="13" width="3.7109375" style="160" customWidth="1"/>
    <col min="14" max="14" width="35.7109375" style="160" customWidth="1"/>
    <col min="15" max="15" width="3.7109375" style="160" customWidth="1"/>
    <col min="16" max="16" width="35.7109375" style="160" customWidth="1"/>
    <col min="17" max="17" width="3.7109375" style="160" customWidth="1"/>
    <col min="18" max="18" width="35.7109375" style="160" customWidth="1"/>
    <col min="19" max="19" width="3.7109375" style="160" customWidth="1"/>
    <col min="20" max="20" width="35.7109375" style="160" customWidth="1"/>
    <col min="21" max="21" width="3.7109375" style="160" customWidth="1"/>
    <col min="22" max="22" width="35.7109375" style="160" customWidth="1"/>
    <col min="23" max="23" width="3.7109375" style="160" customWidth="1"/>
    <col min="24" max="24" width="35.7109375" style="160" customWidth="1"/>
    <col min="25" max="25" width="3.7109375" style="160" customWidth="1"/>
    <col min="26" max="26" width="35.7109375" style="160" customWidth="1"/>
    <col min="27" max="27" width="11.7109375" style="160" customWidth="1"/>
    <col min="28" max="16384" width="11.42578125" style="160"/>
  </cols>
  <sheetData>
    <row r="1" spans="1:28" ht="15.75" x14ac:dyDescent="0.25">
      <c r="AA1" s="195"/>
      <c r="AB1" s="196">
        <v>1</v>
      </c>
    </row>
    <row r="2" spans="1:28" s="247" customFormat="1" ht="33.75" x14ac:dyDescent="0.25">
      <c r="A2" s="197"/>
      <c r="B2" s="246" t="s">
        <v>7374</v>
      </c>
      <c r="C2" s="246"/>
      <c r="D2" s="246"/>
      <c r="E2" s="246"/>
      <c r="F2" s="246"/>
      <c r="G2" s="246"/>
      <c r="H2" s="246"/>
      <c r="I2" s="246"/>
      <c r="J2" s="246"/>
      <c r="K2" s="246"/>
      <c r="L2" s="246"/>
      <c r="M2" s="246"/>
      <c r="N2" s="246"/>
      <c r="O2" s="246"/>
      <c r="P2" s="246"/>
      <c r="Q2" s="246"/>
      <c r="R2" s="246"/>
      <c r="S2" s="246"/>
      <c r="T2" s="246"/>
      <c r="U2" s="246"/>
      <c r="V2" s="246"/>
      <c r="W2" s="246"/>
      <c r="X2" s="246"/>
      <c r="Y2" s="246"/>
      <c r="Z2" s="246"/>
      <c r="AA2" s="195"/>
      <c r="AB2" s="196">
        <v>1</v>
      </c>
    </row>
    <row r="3" spans="1:28" ht="15.75" x14ac:dyDescent="0.25">
      <c r="B3" s="198" t="s">
        <v>7375</v>
      </c>
      <c r="AA3" s="195"/>
      <c r="AB3" s="196">
        <v>1</v>
      </c>
    </row>
    <row r="4" spans="1:28" ht="18.75" x14ac:dyDescent="0.25">
      <c r="B4" s="199" t="s">
        <v>7376</v>
      </c>
      <c r="C4" s="200"/>
      <c r="D4" s="200" t="s">
        <v>7377</v>
      </c>
      <c r="F4" s="201" t="s">
        <v>7378</v>
      </c>
      <c r="G4" s="202" t="str">
        <f>IF(ISNUMBER(IFERROR(VALUE("0,5"),"")),"sur cet ordi.saisissez une VIRGULE comme séparateur décimal",IF(ISNUMBER(IFERROR(VALUE("0.5"),"")),"sur cet ordi.saisissez un POINT comme séparateur décimal","Impossible de déterminer le séparateur décimal"))</f>
        <v>sur cet ordi.saisissez un POINT comme séparateur décimal</v>
      </c>
      <c r="H4" s="203" t="s">
        <v>7379</v>
      </c>
      <c r="J4" s="203" t="s">
        <v>7380</v>
      </c>
      <c r="L4" s="203" t="s">
        <v>7381</v>
      </c>
      <c r="N4" s="203" t="s">
        <v>7382</v>
      </c>
      <c r="P4" s="203" t="s">
        <v>7383</v>
      </c>
      <c r="R4" s="203" t="s">
        <v>7384</v>
      </c>
      <c r="T4" s="203" t="s">
        <v>7385</v>
      </c>
      <c r="V4" s="203" t="s">
        <v>7386</v>
      </c>
      <c r="X4" s="203" t="s">
        <v>7387</v>
      </c>
      <c r="Z4" s="203" t="s">
        <v>7388</v>
      </c>
      <c r="AA4" s="195"/>
      <c r="AB4" s="196">
        <v>1</v>
      </c>
    </row>
    <row r="5" spans="1:28" ht="15.75" x14ac:dyDescent="0.25">
      <c r="B5" s="199" t="s">
        <v>7389</v>
      </c>
      <c r="C5" s="200"/>
      <c r="D5" s="200" t="s">
        <v>7390</v>
      </c>
      <c r="F5" s="204" t="s">
        <v>7391</v>
      </c>
      <c r="G5" s="248" t="s">
        <v>7392</v>
      </c>
      <c r="H5" s="205" t="s">
        <v>7393</v>
      </c>
      <c r="J5" s="205" t="s">
        <v>7393</v>
      </c>
      <c r="L5" s="205" t="s">
        <v>7394</v>
      </c>
      <c r="N5" s="205" t="s">
        <v>7395</v>
      </c>
      <c r="P5" s="205" t="s">
        <v>7394</v>
      </c>
      <c r="R5" s="205" t="s">
        <v>7394</v>
      </c>
      <c r="T5" s="205" t="s">
        <v>7394</v>
      </c>
      <c r="V5" s="205" t="s">
        <v>7394</v>
      </c>
      <c r="X5" s="205" t="s">
        <v>7394</v>
      </c>
      <c r="Z5" s="205" t="s">
        <v>7396</v>
      </c>
      <c r="AA5" s="195"/>
      <c r="AB5" s="196">
        <v>1</v>
      </c>
    </row>
    <row r="6" spans="1:28" ht="15.75" x14ac:dyDescent="0.25">
      <c r="B6" s="199" t="s">
        <v>7397</v>
      </c>
      <c r="C6" s="200"/>
      <c r="D6" s="200" t="s">
        <v>7398</v>
      </c>
      <c r="F6" s="206" t="s">
        <v>7399</v>
      </c>
      <c r="G6" s="160" t="s">
        <v>7400</v>
      </c>
      <c r="H6" s="206" t="s">
        <v>7401</v>
      </c>
      <c r="J6" s="206" t="s">
        <v>7402</v>
      </c>
      <c r="L6" s="206" t="s">
        <v>7403</v>
      </c>
      <c r="N6" s="206" t="s">
        <v>7404</v>
      </c>
      <c r="P6" s="206" t="s">
        <v>7405</v>
      </c>
      <c r="R6" s="206" t="s">
        <v>7406</v>
      </c>
      <c r="T6" s="206" t="s">
        <v>7407</v>
      </c>
      <c r="V6" s="206" t="s">
        <v>7408</v>
      </c>
      <c r="X6" s="206" t="s">
        <v>7409</v>
      </c>
      <c r="Z6" s="206" t="s">
        <v>7410</v>
      </c>
      <c r="AA6" s="195"/>
      <c r="AB6" s="196">
        <v>1</v>
      </c>
    </row>
    <row r="7" spans="1:28" ht="15.75" x14ac:dyDescent="0.25">
      <c r="D7" s="200"/>
      <c r="F7" s="206" t="s">
        <v>7411</v>
      </c>
      <c r="G7" s="160" t="s">
        <v>7412</v>
      </c>
      <c r="H7" s="207"/>
      <c r="J7" s="206"/>
      <c r="L7" s="206" t="s">
        <v>7413</v>
      </c>
      <c r="N7" s="206" t="s">
        <v>7414</v>
      </c>
      <c r="P7" s="207"/>
      <c r="R7" s="207"/>
      <c r="T7" s="207"/>
      <c r="V7" s="207"/>
      <c r="X7" s="207"/>
      <c r="Z7" s="206" t="s">
        <v>7415</v>
      </c>
      <c r="AA7" s="195"/>
      <c r="AB7" s="196">
        <v>1</v>
      </c>
    </row>
    <row r="8" spans="1:28" ht="15.75" x14ac:dyDescent="0.25">
      <c r="B8" s="199" t="s">
        <v>7416</v>
      </c>
      <c r="C8" s="200" t="s">
        <v>7417</v>
      </c>
      <c r="D8" s="199" t="s">
        <v>7418</v>
      </c>
      <c r="H8" s="205" t="s">
        <v>7394</v>
      </c>
      <c r="J8" s="205" t="s">
        <v>7394</v>
      </c>
      <c r="L8" s="207"/>
      <c r="N8" s="207"/>
      <c r="P8" s="205" t="s">
        <v>7395</v>
      </c>
      <c r="R8" s="205" t="s">
        <v>7395</v>
      </c>
      <c r="T8" s="205" t="s">
        <v>7395</v>
      </c>
      <c r="V8" s="205" t="s">
        <v>7395</v>
      </c>
      <c r="X8" s="205" t="s">
        <v>7395</v>
      </c>
      <c r="Z8" s="208"/>
      <c r="AA8" s="195"/>
      <c r="AB8" s="196">
        <v>1</v>
      </c>
    </row>
    <row r="9" spans="1:28" ht="15.75" x14ac:dyDescent="0.25">
      <c r="B9" s="199" t="s">
        <v>7419</v>
      </c>
      <c r="C9" s="200" t="s">
        <v>7420</v>
      </c>
      <c r="D9" s="199" t="s">
        <v>7421</v>
      </c>
      <c r="F9" s="204" t="s">
        <v>7422</v>
      </c>
      <c r="G9" s="248" t="s">
        <v>7423</v>
      </c>
      <c r="H9" s="206" t="s">
        <v>7424</v>
      </c>
      <c r="J9" s="206" t="s">
        <v>7425</v>
      </c>
      <c r="L9" s="205" t="s">
        <v>7395</v>
      </c>
      <c r="N9" s="205" t="s">
        <v>7426</v>
      </c>
      <c r="P9" s="206" t="s">
        <v>7427</v>
      </c>
      <c r="R9" s="206" t="s">
        <v>7428</v>
      </c>
      <c r="T9" s="206" t="s">
        <v>7429</v>
      </c>
      <c r="V9" s="206" t="s">
        <v>7430</v>
      </c>
      <c r="X9" s="206" t="s">
        <v>7431</v>
      </c>
      <c r="Z9" s="208"/>
      <c r="AA9" s="195"/>
      <c r="AB9" s="196">
        <v>1</v>
      </c>
    </row>
    <row r="10" spans="1:28" ht="15.75" x14ac:dyDescent="0.25">
      <c r="C10" s="159"/>
      <c r="F10" s="206" t="s">
        <v>7432</v>
      </c>
      <c r="G10" s="160" t="s">
        <v>7433</v>
      </c>
      <c r="H10" s="206" t="s">
        <v>7434</v>
      </c>
      <c r="J10" s="206" t="s">
        <v>7435</v>
      </c>
      <c r="L10" s="206" t="s">
        <v>7436</v>
      </c>
      <c r="N10" s="206" t="s">
        <v>7437</v>
      </c>
      <c r="P10" s="207"/>
      <c r="R10" s="207"/>
      <c r="T10" s="207"/>
      <c r="V10" s="207"/>
      <c r="X10" s="207"/>
      <c r="Z10" s="207"/>
      <c r="AA10" s="195"/>
      <c r="AB10" s="196">
        <v>1</v>
      </c>
    </row>
    <row r="11" spans="1:28" ht="15.75" x14ac:dyDescent="0.25">
      <c r="B11" s="199" t="s">
        <v>7438</v>
      </c>
      <c r="C11" s="200"/>
      <c r="D11" s="199" t="s">
        <v>7439</v>
      </c>
      <c r="F11" s="206" t="s">
        <v>7440</v>
      </c>
      <c r="G11" s="160" t="s">
        <v>7441</v>
      </c>
      <c r="H11" s="207"/>
      <c r="J11" s="206" t="s">
        <v>7442</v>
      </c>
      <c r="L11" s="206" t="s">
        <v>7443</v>
      </c>
      <c r="N11" s="207"/>
      <c r="P11" s="205" t="s">
        <v>7396</v>
      </c>
      <c r="R11" s="205" t="s">
        <v>7444</v>
      </c>
      <c r="T11" s="205" t="s">
        <v>7445</v>
      </c>
      <c r="V11" s="205" t="s">
        <v>7446</v>
      </c>
      <c r="X11" s="205" t="s">
        <v>7396</v>
      </c>
      <c r="Z11" s="207"/>
      <c r="AA11" s="195"/>
      <c r="AB11" s="196">
        <v>1</v>
      </c>
    </row>
    <row r="12" spans="1:28" ht="15.75" x14ac:dyDescent="0.25">
      <c r="B12" s="199" t="s">
        <v>7447</v>
      </c>
      <c r="C12" s="200"/>
      <c r="D12" s="200" t="s">
        <v>7448</v>
      </c>
      <c r="H12" s="205" t="s">
        <v>7395</v>
      </c>
      <c r="J12" s="206" t="s">
        <v>7449</v>
      </c>
      <c r="L12" s="206" t="s">
        <v>7450</v>
      </c>
      <c r="N12" s="205" t="s">
        <v>7396</v>
      </c>
      <c r="P12" s="206" t="s">
        <v>7451</v>
      </c>
      <c r="R12" s="206" t="s">
        <v>7452</v>
      </c>
      <c r="T12" s="206" t="s">
        <v>7453</v>
      </c>
      <c r="V12" s="206" t="s">
        <v>7454</v>
      </c>
      <c r="X12" s="206" t="s">
        <v>7455</v>
      </c>
      <c r="Z12" s="207"/>
      <c r="AA12" s="195"/>
      <c r="AB12" s="196">
        <v>1</v>
      </c>
    </row>
    <row r="13" spans="1:28" ht="15.75" x14ac:dyDescent="0.25">
      <c r="B13" s="199" t="s">
        <v>7456</v>
      </c>
      <c r="C13" s="200"/>
      <c r="D13" s="199" t="s">
        <v>7457</v>
      </c>
      <c r="F13" s="204" t="s">
        <v>7458</v>
      </c>
      <c r="G13" s="248" t="s">
        <v>7459</v>
      </c>
      <c r="H13" s="206" t="s">
        <v>7460</v>
      </c>
      <c r="J13" s="206" t="s">
        <v>7461</v>
      </c>
      <c r="L13" s="207"/>
      <c r="N13" s="206" t="s">
        <v>7462</v>
      </c>
      <c r="P13" s="207"/>
      <c r="R13" s="207"/>
      <c r="T13" s="207"/>
      <c r="V13" s="207"/>
      <c r="X13" s="207"/>
      <c r="Z13" s="207"/>
      <c r="AA13" s="195"/>
      <c r="AB13" s="196">
        <v>1</v>
      </c>
    </row>
    <row r="14" spans="1:28" ht="15.75" x14ac:dyDescent="0.25">
      <c r="F14" s="206" t="s">
        <v>7463</v>
      </c>
      <c r="G14" s="160" t="s">
        <v>7464</v>
      </c>
      <c r="H14" s="206" t="s">
        <v>7465</v>
      </c>
      <c r="J14" s="206"/>
      <c r="L14" s="205" t="s">
        <v>7426</v>
      </c>
      <c r="N14" s="207"/>
      <c r="P14" s="205" t="s">
        <v>7445</v>
      </c>
      <c r="R14" s="205" t="s">
        <v>7426</v>
      </c>
      <c r="T14" s="205" t="s">
        <v>7396</v>
      </c>
      <c r="V14" s="207"/>
      <c r="X14" s="207"/>
      <c r="Z14" s="207"/>
      <c r="AA14" s="195"/>
      <c r="AB14" s="196">
        <v>1</v>
      </c>
    </row>
    <row r="15" spans="1:28" ht="15.75" x14ac:dyDescent="0.25">
      <c r="B15" s="199" t="s">
        <v>7466</v>
      </c>
      <c r="C15" s="200" t="s">
        <v>7467</v>
      </c>
      <c r="D15" s="200" t="s">
        <v>7468</v>
      </c>
      <c r="F15" s="206" t="s">
        <v>7469</v>
      </c>
      <c r="G15" s="160" t="s">
        <v>7470</v>
      </c>
      <c r="H15" s="207"/>
      <c r="J15" s="205" t="s">
        <v>7395</v>
      </c>
      <c r="L15" s="206" t="s">
        <v>7471</v>
      </c>
      <c r="N15" s="205" t="s">
        <v>7445</v>
      </c>
      <c r="P15" s="206" t="s">
        <v>7472</v>
      </c>
      <c r="R15" s="206" t="s">
        <v>7473</v>
      </c>
      <c r="T15" s="206" t="s">
        <v>7474</v>
      </c>
      <c r="V15" s="207"/>
      <c r="X15" s="207"/>
      <c r="Z15" s="207"/>
      <c r="AA15" s="195"/>
      <c r="AB15" s="196">
        <v>1</v>
      </c>
    </row>
    <row r="16" spans="1:28" ht="15.75" x14ac:dyDescent="0.25">
      <c r="B16" s="199" t="s">
        <v>7466</v>
      </c>
      <c r="C16" s="200" t="s">
        <v>7467</v>
      </c>
      <c r="D16" s="200" t="s">
        <v>7475</v>
      </c>
      <c r="H16" s="205" t="s">
        <v>7476</v>
      </c>
      <c r="J16" s="206" t="s">
        <v>7477</v>
      </c>
      <c r="L16" s="207"/>
      <c r="N16" s="206" t="s">
        <v>7478</v>
      </c>
      <c r="P16" s="207"/>
      <c r="R16" s="207"/>
      <c r="T16" s="207"/>
      <c r="V16" s="207"/>
      <c r="X16" s="207"/>
      <c r="Z16" s="207"/>
      <c r="AA16" s="195"/>
      <c r="AB16" s="196">
        <v>1</v>
      </c>
    </row>
    <row r="17" spans="2:28" ht="15.75" x14ac:dyDescent="0.25">
      <c r="B17" s="199" t="s">
        <v>7466</v>
      </c>
      <c r="C17" s="200" t="s">
        <v>7467</v>
      </c>
      <c r="D17" s="200" t="s">
        <v>7479</v>
      </c>
      <c r="F17" s="204" t="s">
        <v>7480</v>
      </c>
      <c r="G17" s="248" t="s">
        <v>7481</v>
      </c>
      <c r="H17" s="209" t="s">
        <v>7482</v>
      </c>
      <c r="J17" s="206" t="s">
        <v>7483</v>
      </c>
      <c r="L17" s="205" t="s">
        <v>7484</v>
      </c>
      <c r="N17" s="207"/>
      <c r="P17" s="207"/>
      <c r="R17" s="205" t="s">
        <v>7396</v>
      </c>
      <c r="T17" s="207"/>
      <c r="V17" s="207"/>
      <c r="X17" s="207"/>
      <c r="Z17" s="207"/>
      <c r="AA17" s="195"/>
      <c r="AB17" s="196">
        <v>1</v>
      </c>
    </row>
    <row r="18" spans="2:28" ht="15.75" x14ac:dyDescent="0.25">
      <c r="F18" s="206" t="s">
        <v>7485</v>
      </c>
      <c r="G18" s="160" t="s">
        <v>7486</v>
      </c>
      <c r="H18" s="207"/>
      <c r="J18" s="206" t="s">
        <v>7487</v>
      </c>
      <c r="L18" s="206" t="s">
        <v>7488</v>
      </c>
      <c r="N18" s="207"/>
      <c r="P18" s="207"/>
      <c r="R18" s="206" t="s">
        <v>7489</v>
      </c>
      <c r="T18" s="207"/>
      <c r="V18" s="207"/>
      <c r="X18" s="207"/>
      <c r="Z18" s="207"/>
      <c r="AA18" s="195"/>
      <c r="AB18" s="196">
        <v>1</v>
      </c>
    </row>
    <row r="19" spans="2:28" ht="15.75" x14ac:dyDescent="0.25">
      <c r="B19" s="199" t="s">
        <v>7490</v>
      </c>
      <c r="C19" s="200"/>
      <c r="D19" s="200" t="s">
        <v>7491</v>
      </c>
      <c r="F19" s="206" t="s">
        <v>7492</v>
      </c>
      <c r="G19" s="160" t="s">
        <v>7493</v>
      </c>
      <c r="H19" s="205" t="s">
        <v>7426</v>
      </c>
      <c r="J19" s="206" t="s">
        <v>7494</v>
      </c>
      <c r="L19" s="206" t="s">
        <v>7495</v>
      </c>
      <c r="N19" s="207"/>
      <c r="P19" s="207"/>
      <c r="R19" s="207"/>
      <c r="T19" s="207"/>
      <c r="V19" s="207"/>
      <c r="X19" s="207"/>
      <c r="Z19" s="207"/>
      <c r="AA19" s="195"/>
      <c r="AB19" s="196">
        <v>1</v>
      </c>
    </row>
    <row r="20" spans="2:28" ht="15.75" x14ac:dyDescent="0.25">
      <c r="B20" s="199" t="s">
        <v>7490</v>
      </c>
      <c r="C20" s="200"/>
      <c r="D20" s="200" t="s">
        <v>7496</v>
      </c>
      <c r="H20" s="206" t="s">
        <v>7497</v>
      </c>
      <c r="J20" s="206"/>
      <c r="L20" s="207"/>
      <c r="N20" s="207"/>
      <c r="P20" s="207"/>
      <c r="R20" s="205" t="s">
        <v>7498</v>
      </c>
      <c r="T20" s="207"/>
      <c r="V20" s="207"/>
      <c r="X20" s="207"/>
      <c r="Z20" s="207"/>
      <c r="AA20" s="195"/>
      <c r="AB20" s="196">
        <v>1</v>
      </c>
    </row>
    <row r="21" spans="2:28" ht="15.75" x14ac:dyDescent="0.25">
      <c r="B21" s="199" t="s">
        <v>7490</v>
      </c>
      <c r="C21" s="200"/>
      <c r="D21" s="200" t="s">
        <v>7499</v>
      </c>
      <c r="F21" s="204" t="s">
        <v>7500</v>
      </c>
      <c r="G21" s="248" t="s">
        <v>7501</v>
      </c>
      <c r="H21" s="206" t="s">
        <v>7502</v>
      </c>
      <c r="J21" s="205" t="s">
        <v>7476</v>
      </c>
      <c r="L21" s="207"/>
      <c r="N21" s="207"/>
      <c r="P21" s="207"/>
      <c r="R21" s="206" t="s">
        <v>7503</v>
      </c>
      <c r="T21" s="207"/>
      <c r="V21" s="207"/>
      <c r="X21" s="207"/>
      <c r="Z21" s="207"/>
      <c r="AA21" s="195"/>
      <c r="AB21" s="196">
        <v>1</v>
      </c>
    </row>
    <row r="22" spans="2:28" ht="15.75" x14ac:dyDescent="0.25">
      <c r="F22" s="206" t="s">
        <v>7504</v>
      </c>
      <c r="G22" s="160" t="s">
        <v>7505</v>
      </c>
      <c r="H22" s="206"/>
      <c r="J22" s="209" t="s">
        <v>7506</v>
      </c>
      <c r="L22" s="207"/>
      <c r="N22" s="207"/>
      <c r="P22" s="207"/>
      <c r="R22" s="207"/>
      <c r="T22" s="207"/>
      <c r="V22" s="207"/>
      <c r="X22" s="207"/>
      <c r="Z22" s="207"/>
      <c r="AA22" s="195"/>
      <c r="AB22" s="196">
        <v>1</v>
      </c>
    </row>
    <row r="23" spans="2:28" ht="15.75" x14ac:dyDescent="0.25">
      <c r="B23" s="199" t="s">
        <v>7507</v>
      </c>
      <c r="C23" s="200" t="s">
        <v>7508</v>
      </c>
      <c r="D23" s="200" t="s">
        <v>7509</v>
      </c>
      <c r="F23" s="206" t="s">
        <v>7510</v>
      </c>
      <c r="G23" s="160" t="s">
        <v>7511</v>
      </c>
      <c r="H23" s="205" t="s">
        <v>7396</v>
      </c>
      <c r="J23" s="209"/>
      <c r="L23" s="207"/>
      <c r="N23" s="207"/>
      <c r="P23" s="207"/>
      <c r="R23" s="205" t="s">
        <v>7512</v>
      </c>
      <c r="T23" s="207"/>
      <c r="V23" s="207"/>
      <c r="X23" s="207"/>
      <c r="Z23" s="207"/>
      <c r="AA23" s="195"/>
      <c r="AB23" s="196">
        <v>1</v>
      </c>
    </row>
    <row r="24" spans="2:28" ht="15.75" x14ac:dyDescent="0.25">
      <c r="H24" s="206" t="s">
        <v>7513</v>
      </c>
      <c r="J24" s="205" t="s">
        <v>7426</v>
      </c>
      <c r="L24" s="207"/>
      <c r="N24" s="207"/>
      <c r="P24" s="207"/>
      <c r="R24" s="206" t="s">
        <v>7514</v>
      </c>
      <c r="T24" s="207"/>
      <c r="V24" s="207"/>
      <c r="X24" s="207"/>
      <c r="Z24" s="207"/>
      <c r="AA24" s="195"/>
      <c r="AB24" s="196">
        <v>1</v>
      </c>
    </row>
    <row r="25" spans="2:28" ht="15.75" x14ac:dyDescent="0.25">
      <c r="B25" s="199" t="s">
        <v>7515</v>
      </c>
      <c r="C25" s="200" t="s">
        <v>7516</v>
      </c>
      <c r="D25" s="200" t="s">
        <v>7517</v>
      </c>
      <c r="F25" s="204" t="s">
        <v>7518</v>
      </c>
      <c r="G25" s="248" t="s">
        <v>7519</v>
      </c>
      <c r="H25" s="206" t="s">
        <v>7520</v>
      </c>
      <c r="J25" s="206" t="s">
        <v>7521</v>
      </c>
      <c r="L25" s="207"/>
      <c r="N25" s="207"/>
      <c r="P25" s="207"/>
      <c r="R25" s="207"/>
      <c r="T25" s="207"/>
      <c r="V25" s="207"/>
      <c r="X25" s="207"/>
      <c r="Z25" s="207"/>
      <c r="AA25" s="195"/>
      <c r="AB25" s="196">
        <v>1</v>
      </c>
    </row>
    <row r="26" spans="2:28" ht="15.75" x14ac:dyDescent="0.25">
      <c r="B26" s="199" t="s">
        <v>7515</v>
      </c>
      <c r="C26" s="200" t="s">
        <v>7522</v>
      </c>
      <c r="D26" s="200" t="s">
        <v>7523</v>
      </c>
      <c r="F26" s="209" t="s">
        <v>7524</v>
      </c>
      <c r="G26" s="160" t="s">
        <v>7525</v>
      </c>
      <c r="H26" s="206"/>
      <c r="J26" s="206" t="s">
        <v>7526</v>
      </c>
      <c r="L26" s="207"/>
      <c r="N26" s="207"/>
      <c r="P26" s="207"/>
      <c r="R26" s="205" t="s">
        <v>7446</v>
      </c>
      <c r="T26" s="207"/>
      <c r="V26" s="207"/>
      <c r="X26" s="207"/>
      <c r="Z26" s="207"/>
      <c r="AA26" s="195"/>
      <c r="AB26" s="196">
        <v>1</v>
      </c>
    </row>
    <row r="27" spans="2:28" ht="15.75" x14ac:dyDescent="0.25">
      <c r="F27" s="209" t="s">
        <v>7527</v>
      </c>
      <c r="G27" s="160" t="s">
        <v>7528</v>
      </c>
      <c r="H27" s="205" t="s">
        <v>7529</v>
      </c>
      <c r="J27" s="206"/>
      <c r="L27" s="207"/>
      <c r="N27" s="207"/>
      <c r="P27" s="207"/>
      <c r="R27" s="206" t="s">
        <v>7530</v>
      </c>
      <c r="T27" s="207"/>
      <c r="V27" s="207"/>
      <c r="X27" s="207"/>
      <c r="Z27" s="207"/>
      <c r="AA27" s="195"/>
      <c r="AB27" s="196">
        <v>1</v>
      </c>
    </row>
    <row r="28" spans="2:28" ht="15.75" x14ac:dyDescent="0.25">
      <c r="B28" s="199" t="s">
        <v>7531</v>
      </c>
      <c r="C28" s="200" t="s">
        <v>7532</v>
      </c>
      <c r="D28" s="200" t="s">
        <v>7533</v>
      </c>
      <c r="F28" s="209" t="s">
        <v>7534</v>
      </c>
      <c r="G28" s="160" t="s">
        <v>7535</v>
      </c>
      <c r="H28" s="209" t="s">
        <v>7536</v>
      </c>
      <c r="J28" s="205" t="s">
        <v>7396</v>
      </c>
      <c r="L28" s="207"/>
      <c r="N28" s="207"/>
      <c r="P28" s="207"/>
      <c r="R28" s="207"/>
      <c r="T28" s="207"/>
      <c r="V28" s="207"/>
      <c r="X28" s="207"/>
      <c r="Z28" s="207"/>
      <c r="AA28" s="195"/>
      <c r="AB28" s="196">
        <v>1</v>
      </c>
    </row>
    <row r="29" spans="2:28" ht="15.75" x14ac:dyDescent="0.25">
      <c r="B29" s="199" t="s">
        <v>7537</v>
      </c>
      <c r="C29" s="200" t="s">
        <v>7538</v>
      </c>
      <c r="D29" s="200" t="s">
        <v>7539</v>
      </c>
      <c r="H29" s="209" t="s">
        <v>7540</v>
      </c>
      <c r="J29" s="206" t="s">
        <v>7541</v>
      </c>
      <c r="L29" s="207"/>
      <c r="N29" s="207"/>
      <c r="P29" s="207"/>
      <c r="R29" s="207"/>
      <c r="T29" s="207"/>
      <c r="V29" s="207"/>
      <c r="X29" s="207"/>
      <c r="Z29" s="207"/>
      <c r="AA29" s="195"/>
      <c r="AB29" s="196">
        <v>1</v>
      </c>
    </row>
    <row r="30" spans="2:28" ht="15.75" x14ac:dyDescent="0.25">
      <c r="F30" s="204" t="s">
        <v>7445</v>
      </c>
      <c r="G30" s="248" t="s">
        <v>7542</v>
      </c>
      <c r="H30" s="209"/>
      <c r="J30" s="206"/>
      <c r="L30" s="207"/>
      <c r="N30" s="207"/>
      <c r="P30" s="207"/>
      <c r="R30" s="207"/>
      <c r="T30" s="207"/>
      <c r="V30" s="207"/>
      <c r="X30" s="207"/>
      <c r="Z30" s="207"/>
      <c r="AA30" s="195"/>
      <c r="AB30" s="196">
        <v>1</v>
      </c>
    </row>
    <row r="31" spans="2:28" ht="15.75" x14ac:dyDescent="0.25">
      <c r="B31" s="199" t="s">
        <v>7543</v>
      </c>
      <c r="C31" s="200" t="s">
        <v>7544</v>
      </c>
      <c r="D31" s="200" t="s">
        <v>7545</v>
      </c>
      <c r="F31" s="206" t="s">
        <v>7546</v>
      </c>
      <c r="G31" s="160" t="s">
        <v>7547</v>
      </c>
      <c r="H31" s="205" t="s">
        <v>7548</v>
      </c>
      <c r="J31" s="205" t="s">
        <v>7529</v>
      </c>
      <c r="L31" s="207"/>
      <c r="N31" s="207"/>
      <c r="P31" s="207"/>
      <c r="R31" s="207"/>
      <c r="T31" s="207"/>
      <c r="V31" s="207"/>
      <c r="X31" s="207"/>
      <c r="Z31" s="207"/>
      <c r="AA31" s="195"/>
      <c r="AB31" s="196">
        <v>1</v>
      </c>
    </row>
    <row r="32" spans="2:28" ht="15.75" x14ac:dyDescent="0.25">
      <c r="F32" s="206" t="s">
        <v>7549</v>
      </c>
      <c r="G32" s="160" t="s">
        <v>7550</v>
      </c>
      <c r="H32" s="206" t="s">
        <v>7551</v>
      </c>
      <c r="J32" s="209" t="s">
        <v>7552</v>
      </c>
      <c r="L32" s="207"/>
      <c r="N32" s="207"/>
      <c r="P32" s="207"/>
      <c r="R32" s="207"/>
      <c r="T32" s="207"/>
      <c r="V32" s="207"/>
      <c r="X32" s="207"/>
      <c r="Z32" s="207"/>
      <c r="AA32" s="195"/>
      <c r="AB32" s="196">
        <v>1</v>
      </c>
    </row>
    <row r="33" spans="2:28" ht="15.75" x14ac:dyDescent="0.25">
      <c r="B33" s="199" t="s">
        <v>7553</v>
      </c>
      <c r="C33" s="200" t="s">
        <v>7516</v>
      </c>
      <c r="D33" s="200" t="s">
        <v>7517</v>
      </c>
      <c r="F33" s="206" t="s">
        <v>7554</v>
      </c>
      <c r="G33" s="160" t="s">
        <v>7555</v>
      </c>
      <c r="H33" s="206" t="s">
        <v>7556</v>
      </c>
      <c r="J33" s="209" t="s">
        <v>7557</v>
      </c>
      <c r="L33" s="207"/>
      <c r="N33" s="207"/>
      <c r="P33" s="207"/>
      <c r="R33" s="207"/>
      <c r="T33" s="207"/>
      <c r="V33" s="207"/>
      <c r="X33" s="207"/>
      <c r="Z33" s="207"/>
      <c r="AA33" s="195"/>
      <c r="AB33" s="196">
        <v>1</v>
      </c>
    </row>
    <row r="34" spans="2:28" ht="15.75" x14ac:dyDescent="0.25">
      <c r="B34" s="199" t="s">
        <v>7553</v>
      </c>
      <c r="C34" s="200" t="s">
        <v>7522</v>
      </c>
      <c r="D34" s="200" t="s">
        <v>7523</v>
      </c>
      <c r="H34" s="207"/>
      <c r="J34" s="209"/>
      <c r="L34" s="207"/>
      <c r="N34" s="207"/>
      <c r="P34" s="207"/>
      <c r="R34" s="207"/>
      <c r="T34" s="207"/>
      <c r="V34" s="207"/>
      <c r="X34" s="207"/>
      <c r="Z34" s="207"/>
      <c r="AA34" s="195"/>
      <c r="AB34" s="196">
        <v>1</v>
      </c>
    </row>
    <row r="35" spans="2:28" ht="15.75" x14ac:dyDescent="0.25">
      <c r="F35" s="204" t="s">
        <v>7558</v>
      </c>
      <c r="G35" s="248" t="s">
        <v>7559</v>
      </c>
      <c r="H35" s="207"/>
      <c r="J35" s="205" t="s">
        <v>7548</v>
      </c>
      <c r="L35" s="207"/>
      <c r="N35" s="207"/>
      <c r="P35" s="207"/>
      <c r="R35" s="207"/>
      <c r="T35" s="207"/>
      <c r="V35" s="207"/>
      <c r="X35" s="207"/>
      <c r="Z35" s="207"/>
      <c r="AA35" s="195"/>
      <c r="AB35" s="196">
        <v>1</v>
      </c>
    </row>
    <row r="36" spans="2:28" ht="15.75" x14ac:dyDescent="0.25">
      <c r="B36" s="199" t="s">
        <v>655</v>
      </c>
      <c r="C36" s="200" t="s">
        <v>7508</v>
      </c>
      <c r="D36" s="199" t="s">
        <v>7560</v>
      </c>
      <c r="F36" s="209" t="s">
        <v>7561</v>
      </c>
      <c r="G36" s="160" t="s">
        <v>7562</v>
      </c>
      <c r="H36" s="207"/>
      <c r="J36" s="206" t="s">
        <v>7563</v>
      </c>
      <c r="L36" s="207"/>
      <c r="N36" s="207"/>
      <c r="P36" s="207"/>
      <c r="R36" s="207"/>
      <c r="T36" s="207"/>
      <c r="V36" s="207"/>
      <c r="X36" s="207"/>
      <c r="Z36" s="207"/>
      <c r="AA36" s="195"/>
      <c r="AB36" s="196">
        <v>1</v>
      </c>
    </row>
    <row r="37" spans="2:28" ht="15.75" x14ac:dyDescent="0.25">
      <c r="F37" s="209" t="s">
        <v>7564</v>
      </c>
      <c r="G37" s="160" t="s">
        <v>7565</v>
      </c>
      <c r="H37" s="207"/>
      <c r="J37" s="206" t="s">
        <v>7566</v>
      </c>
      <c r="L37" s="207"/>
      <c r="N37" s="207"/>
      <c r="P37" s="207"/>
      <c r="R37" s="207"/>
      <c r="T37" s="207"/>
      <c r="V37" s="207"/>
      <c r="X37" s="207"/>
      <c r="Z37" s="207"/>
      <c r="AA37" s="195"/>
      <c r="AB37" s="196">
        <v>1</v>
      </c>
    </row>
    <row r="38" spans="2:28" ht="15.75" x14ac:dyDescent="0.25">
      <c r="B38" s="199" t="s">
        <v>7567</v>
      </c>
      <c r="C38" s="200" t="s">
        <v>7568</v>
      </c>
      <c r="D38" s="200" t="s">
        <v>7523</v>
      </c>
      <c r="H38" s="207"/>
      <c r="J38" s="207"/>
      <c r="L38" s="207"/>
      <c r="N38" s="207"/>
      <c r="P38" s="207"/>
      <c r="R38" s="207"/>
      <c r="T38" s="207"/>
      <c r="V38" s="207"/>
      <c r="X38" s="207"/>
      <c r="Z38" s="207"/>
      <c r="AA38" s="195"/>
      <c r="AB38" s="196">
        <v>1</v>
      </c>
    </row>
    <row r="39" spans="2:28" ht="15.75" x14ac:dyDescent="0.25">
      <c r="B39" s="199" t="s">
        <v>7567</v>
      </c>
      <c r="C39" s="200" t="s">
        <v>7569</v>
      </c>
      <c r="D39" s="200" t="s">
        <v>7570</v>
      </c>
      <c r="F39" s="204" t="s">
        <v>7571</v>
      </c>
      <c r="G39" s="248" t="s">
        <v>7396</v>
      </c>
      <c r="H39" s="207"/>
      <c r="J39" s="207"/>
      <c r="L39" s="207"/>
      <c r="N39" s="207"/>
      <c r="P39" s="207"/>
      <c r="R39" s="207"/>
      <c r="T39" s="207"/>
      <c r="V39" s="207"/>
      <c r="X39" s="207"/>
      <c r="Z39" s="207"/>
      <c r="AA39" s="195"/>
      <c r="AB39" s="196">
        <v>1</v>
      </c>
    </row>
    <row r="40" spans="2:28" ht="15.75" x14ac:dyDescent="0.25">
      <c r="F40" s="199" t="s">
        <v>7572</v>
      </c>
      <c r="G40" s="160" t="s">
        <v>7573</v>
      </c>
      <c r="H40" s="207"/>
      <c r="J40" s="207"/>
      <c r="L40" s="207"/>
      <c r="N40" s="207"/>
      <c r="P40" s="207"/>
      <c r="R40" s="207"/>
      <c r="T40" s="207"/>
      <c r="V40" s="207"/>
      <c r="X40" s="207"/>
      <c r="Z40" s="207"/>
      <c r="AA40" s="195"/>
      <c r="AB40" s="196">
        <v>1</v>
      </c>
    </row>
    <row r="41" spans="2:28" ht="15.75" x14ac:dyDescent="0.25">
      <c r="B41" s="199" t="s">
        <v>7574</v>
      </c>
      <c r="C41" s="200" t="s">
        <v>7575</v>
      </c>
      <c r="D41" s="200" t="s">
        <v>7576</v>
      </c>
      <c r="F41" s="199" t="s">
        <v>7577</v>
      </c>
      <c r="G41" s="160" t="s">
        <v>7578</v>
      </c>
      <c r="H41" s="207"/>
      <c r="J41" s="207"/>
      <c r="L41" s="207"/>
      <c r="N41" s="207"/>
      <c r="P41" s="207"/>
      <c r="R41" s="207"/>
      <c r="T41" s="207"/>
      <c r="V41" s="207"/>
      <c r="X41" s="207"/>
      <c r="Z41" s="207"/>
      <c r="AA41" s="195"/>
      <c r="AB41" s="196">
        <v>1</v>
      </c>
    </row>
    <row r="42" spans="2:28" ht="15.75" x14ac:dyDescent="0.25">
      <c r="H42" s="207"/>
      <c r="J42" s="207"/>
      <c r="L42" s="207"/>
      <c r="N42" s="207"/>
      <c r="P42" s="207"/>
      <c r="R42" s="207"/>
      <c r="T42" s="207"/>
      <c r="V42" s="207"/>
      <c r="X42" s="207"/>
      <c r="Z42" s="207"/>
      <c r="AA42" s="195"/>
      <c r="AB42" s="196">
        <v>1</v>
      </c>
    </row>
    <row r="43" spans="2:28" ht="15.75" x14ac:dyDescent="0.25">
      <c r="B43" s="199" t="s">
        <v>7579</v>
      </c>
      <c r="C43" s="200" t="s">
        <v>7580</v>
      </c>
      <c r="D43" s="200" t="s">
        <v>7581</v>
      </c>
      <c r="F43" s="204" t="s">
        <v>7444</v>
      </c>
      <c r="G43" s="248" t="s">
        <v>7582</v>
      </c>
      <c r="H43" s="207"/>
      <c r="J43" s="207"/>
      <c r="L43" s="207"/>
      <c r="N43" s="207"/>
      <c r="P43" s="207"/>
      <c r="R43" s="207"/>
      <c r="T43" s="207"/>
      <c r="V43" s="207"/>
      <c r="X43" s="207"/>
      <c r="Z43" s="207"/>
      <c r="AA43" s="195"/>
      <c r="AB43" s="196">
        <v>1</v>
      </c>
    </row>
    <row r="44" spans="2:28" ht="15.75" x14ac:dyDescent="0.25">
      <c r="B44" s="199" t="s">
        <v>7583</v>
      </c>
      <c r="C44" s="200" t="s">
        <v>7584</v>
      </c>
      <c r="D44" s="200" t="s">
        <v>7585</v>
      </c>
      <c r="F44" s="199" t="s">
        <v>7586</v>
      </c>
      <c r="G44" s="160" t="s">
        <v>7587</v>
      </c>
      <c r="H44" s="207"/>
      <c r="J44" s="207"/>
      <c r="L44" s="207"/>
      <c r="N44" s="207"/>
      <c r="P44" s="207"/>
      <c r="R44" s="207"/>
      <c r="T44" s="207"/>
      <c r="V44" s="207"/>
      <c r="X44" s="207"/>
      <c r="Z44" s="207"/>
      <c r="AA44" s="195"/>
      <c r="AB44" s="196">
        <v>1</v>
      </c>
    </row>
    <row r="45" spans="2:28" ht="15.75" x14ac:dyDescent="0.25">
      <c r="F45" s="199" t="s">
        <v>7588</v>
      </c>
      <c r="G45" s="160" t="s">
        <v>7589</v>
      </c>
      <c r="H45" s="207"/>
      <c r="J45" s="207"/>
      <c r="L45" s="207"/>
      <c r="N45" s="207"/>
      <c r="P45" s="207"/>
      <c r="R45" s="207"/>
      <c r="T45" s="207"/>
      <c r="V45" s="207"/>
      <c r="X45" s="207"/>
      <c r="Z45" s="207"/>
      <c r="AA45" s="195"/>
      <c r="AB45" s="196">
        <v>1</v>
      </c>
    </row>
    <row r="46" spans="2:28" ht="15.75" x14ac:dyDescent="0.25">
      <c r="B46" s="199" t="s">
        <v>7590</v>
      </c>
      <c r="C46" s="200" t="s">
        <v>7516</v>
      </c>
      <c r="D46" s="200" t="s">
        <v>7517</v>
      </c>
      <c r="H46" s="207"/>
      <c r="J46" s="207"/>
      <c r="L46" s="207"/>
      <c r="N46" s="207"/>
      <c r="P46" s="207"/>
      <c r="R46" s="207"/>
      <c r="T46" s="207"/>
      <c r="V46" s="207"/>
      <c r="X46" s="207"/>
      <c r="Z46" s="207"/>
      <c r="AA46" s="195"/>
      <c r="AB46" s="196">
        <v>1</v>
      </c>
    </row>
    <row r="47" spans="2:28" ht="15.75" x14ac:dyDescent="0.25">
      <c r="F47" s="204" t="s">
        <v>7591</v>
      </c>
      <c r="G47" s="248" t="s">
        <v>7592</v>
      </c>
      <c r="H47" s="207"/>
      <c r="J47" s="207"/>
      <c r="L47" s="207"/>
      <c r="N47" s="207"/>
      <c r="P47" s="207"/>
      <c r="R47" s="207"/>
      <c r="T47" s="207"/>
      <c r="V47" s="207"/>
      <c r="X47" s="207"/>
      <c r="Z47" s="207"/>
      <c r="AA47" s="195"/>
      <c r="AB47" s="196">
        <v>1</v>
      </c>
    </row>
    <row r="48" spans="2:28" ht="15.75" x14ac:dyDescent="0.25">
      <c r="B48" s="199" t="s">
        <v>7593</v>
      </c>
      <c r="C48" s="200" t="s">
        <v>7594</v>
      </c>
      <c r="D48" s="200" t="s">
        <v>7594</v>
      </c>
      <c r="F48" s="199" t="s">
        <v>7595</v>
      </c>
      <c r="G48" s="160" t="s">
        <v>7596</v>
      </c>
      <c r="H48" s="207"/>
      <c r="J48" s="207"/>
      <c r="L48" s="207"/>
      <c r="N48" s="207"/>
      <c r="P48" s="207"/>
      <c r="R48" s="207"/>
      <c r="T48" s="207"/>
      <c r="V48" s="207"/>
      <c r="X48" s="207"/>
      <c r="Z48" s="207"/>
      <c r="AA48" s="195"/>
      <c r="AB48" s="196">
        <v>1</v>
      </c>
    </row>
    <row r="49" spans="2:28" ht="15.75" x14ac:dyDescent="0.25">
      <c r="B49" s="199" t="s">
        <v>7597</v>
      </c>
      <c r="C49" s="200" t="s">
        <v>7568</v>
      </c>
      <c r="D49" s="200" t="s">
        <v>7523</v>
      </c>
      <c r="F49" s="199" t="s">
        <v>7598</v>
      </c>
      <c r="G49" s="160" t="s">
        <v>7599</v>
      </c>
      <c r="H49" s="207"/>
      <c r="J49" s="207"/>
      <c r="L49" s="207"/>
      <c r="N49" s="207"/>
      <c r="P49" s="207"/>
      <c r="R49" s="207"/>
      <c r="T49" s="207"/>
      <c r="V49" s="207"/>
      <c r="X49" s="207"/>
      <c r="Z49" s="207"/>
      <c r="AA49" s="195"/>
      <c r="AB49" s="196">
        <v>1</v>
      </c>
    </row>
    <row r="50" spans="2:28" ht="15.75" x14ac:dyDescent="0.25">
      <c r="B50" s="199" t="s">
        <v>7600</v>
      </c>
      <c r="C50" s="200" t="s">
        <v>7569</v>
      </c>
      <c r="D50" s="200" t="s">
        <v>7570</v>
      </c>
      <c r="H50" s="207"/>
      <c r="J50" s="207"/>
      <c r="L50" s="207"/>
      <c r="N50" s="207"/>
      <c r="P50" s="207"/>
      <c r="R50" s="207"/>
      <c r="T50" s="207"/>
      <c r="V50" s="207"/>
      <c r="X50" s="207"/>
      <c r="Z50" s="207"/>
      <c r="AA50" s="195"/>
      <c r="AB50" s="196">
        <v>1</v>
      </c>
    </row>
    <row r="51" spans="2:28" ht="15.75" x14ac:dyDescent="0.25">
      <c r="B51" s="199" t="s">
        <v>7601</v>
      </c>
      <c r="C51" s="200" t="s">
        <v>7602</v>
      </c>
      <c r="D51" s="200" t="s">
        <v>7602</v>
      </c>
      <c r="F51" s="210" t="s">
        <v>7603</v>
      </c>
      <c r="H51" s="207"/>
      <c r="J51" s="207"/>
      <c r="L51" s="207"/>
      <c r="N51" s="207"/>
      <c r="P51" s="207"/>
      <c r="R51" s="207"/>
      <c r="T51" s="207"/>
      <c r="V51" s="207"/>
      <c r="X51" s="207"/>
      <c r="Z51" s="207"/>
      <c r="AA51" s="195"/>
      <c r="AB51" s="196">
        <v>1</v>
      </c>
    </row>
    <row r="52" spans="2:28" ht="15.75" x14ac:dyDescent="0.25">
      <c r="B52" s="199" t="s">
        <v>7604</v>
      </c>
      <c r="C52" s="200" t="s">
        <v>7605</v>
      </c>
      <c r="D52" s="200" t="s">
        <v>7606</v>
      </c>
      <c r="F52" s="249" t="s">
        <v>7607</v>
      </c>
      <c r="H52" s="207"/>
      <c r="J52" s="207"/>
      <c r="L52" s="207"/>
      <c r="N52" s="207"/>
      <c r="P52" s="207"/>
      <c r="R52" s="207"/>
      <c r="T52" s="207"/>
      <c r="V52" s="207"/>
      <c r="X52" s="207"/>
      <c r="Z52" s="207"/>
      <c r="AA52" s="195"/>
      <c r="AB52" s="196">
        <v>1</v>
      </c>
    </row>
    <row r="53" spans="2:28" ht="15.75" x14ac:dyDescent="0.25">
      <c r="F53" s="210" t="s">
        <v>7608</v>
      </c>
      <c r="H53" s="207"/>
      <c r="J53" s="207"/>
      <c r="L53" s="207"/>
      <c r="N53" s="207"/>
      <c r="P53" s="207"/>
      <c r="R53" s="207"/>
      <c r="T53" s="207"/>
      <c r="V53" s="207"/>
      <c r="X53" s="207"/>
      <c r="Z53" s="207"/>
      <c r="AA53" s="195"/>
      <c r="AB53" s="196">
        <v>1</v>
      </c>
    </row>
    <row r="54" spans="2:28" ht="15.75" x14ac:dyDescent="0.25">
      <c r="B54" s="199" t="s">
        <v>661</v>
      </c>
      <c r="C54" s="200" t="s">
        <v>7532</v>
      </c>
      <c r="D54" s="200" t="s">
        <v>7533</v>
      </c>
      <c r="AB54" s="196">
        <v>1</v>
      </c>
    </row>
    <row r="55" spans="2:28" ht="15.75" x14ac:dyDescent="0.25">
      <c r="B55" s="199" t="s">
        <v>661</v>
      </c>
      <c r="C55" s="200" t="s">
        <v>7490</v>
      </c>
      <c r="D55" s="200" t="s">
        <v>7609</v>
      </c>
      <c r="F55" s="199" t="s">
        <v>7610</v>
      </c>
      <c r="AB55" s="196">
        <v>1</v>
      </c>
    </row>
    <row r="56" spans="2:28" ht="15.75" x14ac:dyDescent="0.25">
      <c r="B56" s="199" t="s">
        <v>7611</v>
      </c>
      <c r="C56" s="200" t="s">
        <v>7612</v>
      </c>
      <c r="D56" s="200" t="s">
        <v>7613</v>
      </c>
      <c r="F56" s="199" t="s">
        <v>7614</v>
      </c>
      <c r="AB56" s="196">
        <v>1</v>
      </c>
    </row>
    <row r="57" spans="2:28" ht="15.75" x14ac:dyDescent="0.25">
      <c r="F57" s="199" t="s">
        <v>7615</v>
      </c>
      <c r="AB57" s="196">
        <v>1</v>
      </c>
    </row>
    <row r="58" spans="2:28" ht="15.75" x14ac:dyDescent="0.25">
      <c r="B58" s="199" t="s">
        <v>7616</v>
      </c>
      <c r="C58" s="200" t="s">
        <v>7612</v>
      </c>
      <c r="D58" s="200" t="s">
        <v>7613</v>
      </c>
      <c r="F58" s="199" t="s">
        <v>7617</v>
      </c>
      <c r="AB58" s="196">
        <v>1</v>
      </c>
    </row>
    <row r="59" spans="2:28" ht="15.75" x14ac:dyDescent="0.25">
      <c r="B59" s="199" t="s">
        <v>7618</v>
      </c>
      <c r="C59" s="200" t="s">
        <v>7516</v>
      </c>
      <c r="D59" s="200" t="s">
        <v>7517</v>
      </c>
      <c r="F59" s="199" t="s">
        <v>7619</v>
      </c>
      <c r="AB59" s="196">
        <v>1</v>
      </c>
    </row>
    <row r="60" spans="2:28" ht="15.75" x14ac:dyDescent="0.25">
      <c r="B60" s="199" t="s">
        <v>7620</v>
      </c>
      <c r="C60" s="200" t="s">
        <v>7569</v>
      </c>
      <c r="D60" s="200" t="s">
        <v>7570</v>
      </c>
      <c r="F60" s="199" t="s">
        <v>7621</v>
      </c>
      <c r="AB60" s="196">
        <v>1</v>
      </c>
    </row>
    <row r="61" spans="2:28" ht="15.75" x14ac:dyDescent="0.25">
      <c r="F61" s="199" t="s">
        <v>7622</v>
      </c>
      <c r="AB61" s="196">
        <v>1</v>
      </c>
    </row>
    <row r="62" spans="2:28" ht="15.75" x14ac:dyDescent="0.25">
      <c r="B62" s="199" t="s">
        <v>7623</v>
      </c>
      <c r="C62" s="200" t="s">
        <v>7624</v>
      </c>
      <c r="D62" s="200" t="s">
        <v>7625</v>
      </c>
      <c r="AB62" s="196">
        <v>1</v>
      </c>
    </row>
    <row r="63" spans="2:28" ht="15.75" x14ac:dyDescent="0.25">
      <c r="B63" s="199" t="s">
        <v>7626</v>
      </c>
      <c r="C63" s="200" t="s">
        <v>7627</v>
      </c>
      <c r="D63" s="200" t="s">
        <v>7628</v>
      </c>
      <c r="F63" s="211" t="s">
        <v>7629</v>
      </c>
      <c r="G63" s="212" t="s">
        <v>7630</v>
      </c>
      <c r="AB63" s="196">
        <v>1</v>
      </c>
    </row>
    <row r="64" spans="2:28" ht="15.75" x14ac:dyDescent="0.25">
      <c r="B64" s="199" t="s">
        <v>7626</v>
      </c>
      <c r="C64" s="200" t="s">
        <v>7631</v>
      </c>
      <c r="D64" s="199" t="s">
        <v>7632</v>
      </c>
      <c r="F64" s="211" t="s">
        <v>7633</v>
      </c>
      <c r="G64" s="212" t="s">
        <v>7634</v>
      </c>
      <c r="AB64" s="196">
        <v>1</v>
      </c>
    </row>
    <row r="65" spans="2:28" x14ac:dyDescent="0.25">
      <c r="F65" s="211" t="s">
        <v>7635</v>
      </c>
      <c r="G65" s="212" t="s">
        <v>7636</v>
      </c>
      <c r="AB65" s="196">
        <v>1</v>
      </c>
    </row>
    <row r="66" spans="2:28" ht="15.75" x14ac:dyDescent="0.25">
      <c r="B66" s="199" t="s">
        <v>7637</v>
      </c>
      <c r="C66" s="200" t="s">
        <v>7638</v>
      </c>
      <c r="D66" s="200" t="s">
        <v>7639</v>
      </c>
      <c r="F66" s="211" t="s">
        <v>7640</v>
      </c>
      <c r="G66" s="212" t="s">
        <v>7641</v>
      </c>
      <c r="AB66" s="196">
        <v>1</v>
      </c>
    </row>
    <row r="67" spans="2:28" ht="15.75" x14ac:dyDescent="0.25">
      <c r="B67" s="199" t="s">
        <v>7642</v>
      </c>
      <c r="C67" s="200" t="s">
        <v>7612</v>
      </c>
      <c r="D67" s="200" t="s">
        <v>7613</v>
      </c>
      <c r="F67" s="211" t="s">
        <v>7643</v>
      </c>
      <c r="G67" s="212" t="s">
        <v>7644</v>
      </c>
      <c r="AB67" s="196">
        <v>1</v>
      </c>
    </row>
    <row r="68" spans="2:28" ht="15.75" x14ac:dyDescent="0.25">
      <c r="B68" s="199" t="s">
        <v>7645</v>
      </c>
      <c r="C68" s="200" t="s">
        <v>7624</v>
      </c>
      <c r="D68" s="200" t="s">
        <v>7625</v>
      </c>
      <c r="F68" s="211" t="s">
        <v>7646</v>
      </c>
      <c r="G68" s="212" t="s">
        <v>7647</v>
      </c>
      <c r="AB68" s="196">
        <v>1</v>
      </c>
    </row>
    <row r="69" spans="2:28" ht="15.75" x14ac:dyDescent="0.25">
      <c r="B69" s="199" t="s">
        <v>7648</v>
      </c>
      <c r="C69" s="200" t="s">
        <v>7649</v>
      </c>
      <c r="D69" s="200" t="s">
        <v>7650</v>
      </c>
      <c r="F69" s="211" t="s">
        <v>7651</v>
      </c>
      <c r="G69" s="212" t="s">
        <v>7652</v>
      </c>
      <c r="AB69" s="196">
        <v>1</v>
      </c>
    </row>
    <row r="70" spans="2:28" ht="15.75" x14ac:dyDescent="0.25">
      <c r="B70" s="199" t="s">
        <v>7653</v>
      </c>
      <c r="C70" s="200" t="s">
        <v>7654</v>
      </c>
      <c r="D70" s="200" t="s">
        <v>7655</v>
      </c>
      <c r="F70" s="211" t="s">
        <v>7656</v>
      </c>
      <c r="G70" s="212" t="s">
        <v>7657</v>
      </c>
      <c r="AB70" s="196">
        <v>1</v>
      </c>
    </row>
    <row r="71" spans="2:28" x14ac:dyDescent="0.25">
      <c r="F71" s="211" t="s">
        <v>7658</v>
      </c>
      <c r="G71" s="212" t="s">
        <v>7659</v>
      </c>
      <c r="AB71" s="196">
        <v>1</v>
      </c>
    </row>
    <row r="72" spans="2:28" ht="15.75" x14ac:dyDescent="0.25">
      <c r="B72" s="199" t="s">
        <v>7660</v>
      </c>
      <c r="C72" s="200" t="s">
        <v>7569</v>
      </c>
      <c r="D72" s="200" t="s">
        <v>7570</v>
      </c>
      <c r="F72" s="211" t="s">
        <v>7661</v>
      </c>
      <c r="G72" s="212" t="s">
        <v>7662</v>
      </c>
      <c r="AB72" s="196">
        <v>1</v>
      </c>
    </row>
    <row r="73" spans="2:28" x14ac:dyDescent="0.25">
      <c r="F73" s="211" t="s">
        <v>7663</v>
      </c>
      <c r="G73" s="212" t="s">
        <v>7664</v>
      </c>
      <c r="AB73" s="196">
        <v>1</v>
      </c>
    </row>
    <row r="74" spans="2:28" ht="15.75" x14ac:dyDescent="0.25">
      <c r="B74" s="199" t="s">
        <v>7665</v>
      </c>
      <c r="C74" s="200" t="s">
        <v>7666</v>
      </c>
      <c r="D74" s="200" t="s">
        <v>7667</v>
      </c>
      <c r="AA74" s="196">
        <v>1</v>
      </c>
      <c r="AB74" s="196">
        <v>1</v>
      </c>
    </row>
    <row r="75" spans="2:28" ht="15.75" x14ac:dyDescent="0.25">
      <c r="B75" s="199" t="s">
        <v>7665</v>
      </c>
      <c r="C75" s="200" t="s">
        <v>7668</v>
      </c>
      <c r="D75" s="200" t="s">
        <v>7639</v>
      </c>
      <c r="F75" s="160" t="s">
        <v>7669</v>
      </c>
      <c r="AB75" s="196">
        <v>1</v>
      </c>
    </row>
    <row r="76" spans="2:28" ht="15.75" x14ac:dyDescent="0.25">
      <c r="B76" s="199" t="s">
        <v>7665</v>
      </c>
      <c r="C76" s="200" t="s">
        <v>7668</v>
      </c>
      <c r="D76" s="200" t="s">
        <v>7639</v>
      </c>
      <c r="F76" s="160" t="s">
        <v>7670</v>
      </c>
      <c r="AB76" s="196">
        <v>1</v>
      </c>
    </row>
    <row r="77" spans="2:28" ht="15.75" x14ac:dyDescent="0.25">
      <c r="B77" s="199" t="s">
        <v>7671</v>
      </c>
      <c r="C77" s="200" t="s">
        <v>7672</v>
      </c>
      <c r="D77" s="200" t="s">
        <v>7639</v>
      </c>
      <c r="F77" s="160" t="s">
        <v>7673</v>
      </c>
      <c r="AB77" s="196">
        <v>1</v>
      </c>
    </row>
    <row r="78" spans="2:28" ht="15.75" x14ac:dyDescent="0.25">
      <c r="B78" s="199" t="s">
        <v>7671</v>
      </c>
      <c r="C78" s="200" t="s">
        <v>7666</v>
      </c>
      <c r="D78" s="200" t="s">
        <v>7667</v>
      </c>
      <c r="F78" s="160" t="s">
        <v>7674</v>
      </c>
      <c r="AB78" s="196">
        <v>1</v>
      </c>
    </row>
    <row r="79" spans="2:28" x14ac:dyDescent="0.25">
      <c r="F79" s="160" t="s">
        <v>7675</v>
      </c>
      <c r="AB79" s="196">
        <v>1</v>
      </c>
    </row>
    <row r="80" spans="2:28" ht="15.75" x14ac:dyDescent="0.25">
      <c r="B80" s="199" t="s">
        <v>7676</v>
      </c>
      <c r="C80" s="200" t="s">
        <v>7568</v>
      </c>
      <c r="D80" s="200" t="s">
        <v>7523</v>
      </c>
      <c r="F80" s="160" t="s">
        <v>7677</v>
      </c>
      <c r="AB80" s="196">
        <v>1</v>
      </c>
    </row>
    <row r="81" spans="2:28" ht="15.75" x14ac:dyDescent="0.25">
      <c r="B81" s="199" t="s">
        <v>7678</v>
      </c>
      <c r="C81" s="200" t="s">
        <v>7668</v>
      </c>
      <c r="D81" s="200" t="s">
        <v>7639</v>
      </c>
      <c r="F81" s="160" t="s">
        <v>7679</v>
      </c>
      <c r="AB81" s="196">
        <v>1</v>
      </c>
    </row>
    <row r="82" spans="2:28" ht="15.75" x14ac:dyDescent="0.25">
      <c r="B82" s="199" t="s">
        <v>7680</v>
      </c>
      <c r="C82" s="200" t="s">
        <v>7638</v>
      </c>
      <c r="D82" s="200" t="s">
        <v>7639</v>
      </c>
      <c r="AB82" s="196">
        <v>1</v>
      </c>
    </row>
    <row r="83" spans="2:28" ht="15.75" x14ac:dyDescent="0.25">
      <c r="B83" s="199" t="s">
        <v>7681</v>
      </c>
      <c r="C83" s="200" t="s">
        <v>7638</v>
      </c>
      <c r="D83" s="200" t="s">
        <v>7639</v>
      </c>
      <c r="AB83" s="196">
        <v>1</v>
      </c>
    </row>
    <row r="84" spans="2:28" ht="15.75" x14ac:dyDescent="0.25">
      <c r="B84" s="199" t="s">
        <v>7682</v>
      </c>
      <c r="C84" s="200" t="s">
        <v>7508</v>
      </c>
      <c r="D84" s="199" t="s">
        <v>7683</v>
      </c>
      <c r="AB84" s="196">
        <v>1</v>
      </c>
    </row>
    <row r="85" spans="2:28" ht="15.75" x14ac:dyDescent="0.25">
      <c r="B85" s="199" t="s">
        <v>7684</v>
      </c>
      <c r="C85" s="200" t="s">
        <v>7568</v>
      </c>
      <c r="D85" s="200" t="s">
        <v>7523</v>
      </c>
      <c r="AB85" s="196">
        <v>1</v>
      </c>
    </row>
    <row r="86" spans="2:28" x14ac:dyDescent="0.25">
      <c r="AB86" s="196">
        <v>1</v>
      </c>
    </row>
    <row r="87" spans="2:28" ht="15.75" x14ac:dyDescent="0.25">
      <c r="B87" s="199" t="s">
        <v>7685</v>
      </c>
      <c r="C87" s="200" t="s">
        <v>7686</v>
      </c>
      <c r="D87" s="200" t="s">
        <v>7687</v>
      </c>
      <c r="AB87" s="196">
        <v>1</v>
      </c>
    </row>
    <row r="88" spans="2:28" ht="15.75" x14ac:dyDescent="0.25">
      <c r="B88" s="199" t="s">
        <v>7688</v>
      </c>
      <c r="C88" s="200" t="s">
        <v>7689</v>
      </c>
      <c r="D88" s="200" t="s">
        <v>7690</v>
      </c>
      <c r="AB88" s="196">
        <v>1</v>
      </c>
    </row>
    <row r="89" spans="2:28" ht="15.75" x14ac:dyDescent="0.25">
      <c r="B89" s="199" t="s">
        <v>7688</v>
      </c>
      <c r="C89" s="200" t="s">
        <v>7691</v>
      </c>
      <c r="D89" s="200" t="s">
        <v>7692</v>
      </c>
      <c r="AB89" s="196">
        <v>1</v>
      </c>
    </row>
    <row r="90" spans="2:28" ht="15.75" x14ac:dyDescent="0.25">
      <c r="B90" s="199" t="s">
        <v>7693</v>
      </c>
      <c r="C90" s="200" t="s">
        <v>7694</v>
      </c>
      <c r="D90" s="200" t="s">
        <v>7695</v>
      </c>
      <c r="AB90" s="196">
        <v>1</v>
      </c>
    </row>
    <row r="91" spans="2:28" ht="15.75" x14ac:dyDescent="0.25">
      <c r="B91" s="199" t="s">
        <v>7696</v>
      </c>
      <c r="C91" s="200" t="s">
        <v>7668</v>
      </c>
      <c r="D91" s="200" t="s">
        <v>7639</v>
      </c>
      <c r="AB91" s="196">
        <v>1</v>
      </c>
    </row>
    <row r="92" spans="2:28" x14ac:dyDescent="0.25">
      <c r="AB92" s="196">
        <v>1</v>
      </c>
    </row>
    <row r="93" spans="2:28" ht="15.75" x14ac:dyDescent="0.25">
      <c r="B93" s="199" t="s">
        <v>7697</v>
      </c>
      <c r="C93" s="200" t="s">
        <v>7698</v>
      </c>
      <c r="D93" s="200" t="s">
        <v>7699</v>
      </c>
      <c r="AB93" s="196">
        <v>1</v>
      </c>
    </row>
    <row r="94" spans="2:28" ht="15.75" x14ac:dyDescent="0.25">
      <c r="B94" s="199" t="s">
        <v>7697</v>
      </c>
      <c r="C94" s="200" t="s">
        <v>7568</v>
      </c>
      <c r="D94" s="200" t="s">
        <v>7523</v>
      </c>
      <c r="AB94" s="196">
        <v>1</v>
      </c>
    </row>
    <row r="95" spans="2:28" ht="15.75" x14ac:dyDescent="0.25">
      <c r="B95" s="199" t="s">
        <v>7697</v>
      </c>
      <c r="C95" s="200" t="s">
        <v>7700</v>
      </c>
      <c r="D95" s="200" t="s">
        <v>7533</v>
      </c>
      <c r="AB95" s="196">
        <v>1</v>
      </c>
    </row>
    <row r="96" spans="2:28" ht="15.75" x14ac:dyDescent="0.25">
      <c r="B96" s="199" t="s">
        <v>7697</v>
      </c>
      <c r="C96" s="200" t="s">
        <v>7701</v>
      </c>
      <c r="D96" s="200" t="s">
        <v>7702</v>
      </c>
      <c r="AB96" s="196">
        <v>1</v>
      </c>
    </row>
    <row r="97" spans="2:28" ht="15.75" x14ac:dyDescent="0.25">
      <c r="B97" s="199" t="s">
        <v>7697</v>
      </c>
      <c r="C97" s="200" t="s">
        <v>7698</v>
      </c>
      <c r="D97" s="200" t="s">
        <v>7699</v>
      </c>
      <c r="AB97" s="196">
        <v>1</v>
      </c>
    </row>
    <row r="98" spans="2:28" x14ac:dyDescent="0.25">
      <c r="AB98" s="196">
        <v>1</v>
      </c>
    </row>
    <row r="99" spans="2:28" ht="15.75" x14ac:dyDescent="0.25">
      <c r="B99" s="199" t="s">
        <v>7703</v>
      </c>
      <c r="C99" s="200" t="s">
        <v>7538</v>
      </c>
      <c r="D99" s="200" t="s">
        <v>7539</v>
      </c>
      <c r="AB99" s="196">
        <v>1</v>
      </c>
    </row>
    <row r="100" spans="2:28" x14ac:dyDescent="0.25">
      <c r="AB100" s="196">
        <v>1</v>
      </c>
    </row>
    <row r="101" spans="2:28" ht="15.75" x14ac:dyDescent="0.25">
      <c r="B101" s="199" t="s">
        <v>4093</v>
      </c>
      <c r="C101" s="200" t="s">
        <v>7704</v>
      </c>
      <c r="D101" s="200" t="s">
        <v>7705</v>
      </c>
      <c r="AB101" s="196">
        <v>1</v>
      </c>
    </row>
    <row r="102" spans="2:28" ht="15.75" x14ac:dyDescent="0.25">
      <c r="B102" s="199" t="s">
        <v>4093</v>
      </c>
      <c r="C102" s="200" t="s">
        <v>7704</v>
      </c>
      <c r="D102" s="200" t="s">
        <v>7705</v>
      </c>
      <c r="AB102" s="196">
        <v>1</v>
      </c>
    </row>
    <row r="103" spans="2:28" ht="15.75" x14ac:dyDescent="0.25">
      <c r="B103" s="199" t="s">
        <v>4093</v>
      </c>
      <c r="C103" s="200" t="s">
        <v>7666</v>
      </c>
      <c r="D103" s="200" t="s">
        <v>7667</v>
      </c>
      <c r="AB103" s="196">
        <v>1</v>
      </c>
    </row>
    <row r="104" spans="2:28" ht="15.75" x14ac:dyDescent="0.25">
      <c r="B104" s="199" t="s">
        <v>4093</v>
      </c>
      <c r="C104" s="200" t="s">
        <v>7668</v>
      </c>
      <c r="D104" s="200" t="s">
        <v>7639</v>
      </c>
      <c r="AB104" s="196">
        <v>1</v>
      </c>
    </row>
    <row r="105" spans="2:28" ht="15.75" x14ac:dyDescent="0.25">
      <c r="B105" s="199" t="s">
        <v>7706</v>
      </c>
      <c r="C105" s="200" t="s">
        <v>7694</v>
      </c>
      <c r="D105" s="200" t="s">
        <v>7545</v>
      </c>
      <c r="AB105" s="196">
        <v>1</v>
      </c>
    </row>
    <row r="106" spans="2:28" x14ac:dyDescent="0.25">
      <c r="AB106" s="196">
        <v>1</v>
      </c>
    </row>
    <row r="107" spans="2:28" ht="15.75" x14ac:dyDescent="0.25">
      <c r="B107" s="199" t="s">
        <v>7707</v>
      </c>
      <c r="C107" s="200" t="s">
        <v>7612</v>
      </c>
      <c r="D107" s="200" t="s">
        <v>7613</v>
      </c>
      <c r="AB107" s="196">
        <v>1</v>
      </c>
    </row>
    <row r="108" spans="2:28" x14ac:dyDescent="0.25">
      <c r="AB108" s="196">
        <v>1</v>
      </c>
    </row>
    <row r="109" spans="2:28" ht="15.75" x14ac:dyDescent="0.25">
      <c r="B109" s="199" t="s">
        <v>7708</v>
      </c>
      <c r="C109" s="200" t="s">
        <v>7709</v>
      </c>
      <c r="D109" s="200" t="s">
        <v>7710</v>
      </c>
      <c r="AB109" s="196">
        <v>1</v>
      </c>
    </row>
    <row r="110" spans="2:28" ht="15.75" x14ac:dyDescent="0.25">
      <c r="B110" s="199" t="s">
        <v>7708</v>
      </c>
      <c r="C110" s="200" t="s">
        <v>7612</v>
      </c>
      <c r="D110" s="200" t="s">
        <v>7613</v>
      </c>
      <c r="AB110" s="196">
        <v>1</v>
      </c>
    </row>
    <row r="111" spans="2:28" ht="15.75" x14ac:dyDescent="0.25">
      <c r="B111" s="199" t="s">
        <v>7708</v>
      </c>
      <c r="C111" s="200" t="s">
        <v>7704</v>
      </c>
      <c r="D111" s="200" t="s">
        <v>7705</v>
      </c>
      <c r="AB111" s="196">
        <v>1</v>
      </c>
    </row>
    <row r="112" spans="2:28" ht="15.75" x14ac:dyDescent="0.25">
      <c r="B112" s="199" t="s">
        <v>7708</v>
      </c>
      <c r="C112" s="200" t="s">
        <v>7538</v>
      </c>
      <c r="D112" s="200" t="s">
        <v>7539</v>
      </c>
      <c r="AB112" s="196">
        <v>1</v>
      </c>
    </row>
    <row r="113" spans="2:28" x14ac:dyDescent="0.25">
      <c r="AB113" s="196">
        <v>1</v>
      </c>
    </row>
    <row r="114" spans="2:28" ht="15.75" x14ac:dyDescent="0.25">
      <c r="B114" s="199" t="s">
        <v>7711</v>
      </c>
      <c r="C114" s="200" t="s">
        <v>7654</v>
      </c>
      <c r="D114" s="200" t="s">
        <v>7655</v>
      </c>
      <c r="AB114" s="196">
        <v>1</v>
      </c>
    </row>
    <row r="115" spans="2:28" ht="15.75" x14ac:dyDescent="0.25">
      <c r="B115" s="199" t="s">
        <v>7712</v>
      </c>
      <c r="C115" s="200" t="s">
        <v>7638</v>
      </c>
      <c r="D115" s="200" t="s">
        <v>7713</v>
      </c>
      <c r="AB115" s="196">
        <v>1</v>
      </c>
    </row>
    <row r="116" spans="2:28" ht="15.75" x14ac:dyDescent="0.25">
      <c r="B116" s="199" t="s">
        <v>4829</v>
      </c>
      <c r="C116" s="200" t="s">
        <v>7568</v>
      </c>
      <c r="D116" s="200" t="s">
        <v>7523</v>
      </c>
      <c r="AB116" s="196">
        <v>1</v>
      </c>
    </row>
    <row r="117" spans="2:28" x14ac:dyDescent="0.25">
      <c r="AB117" s="196">
        <v>1</v>
      </c>
    </row>
    <row r="118" spans="2:28" ht="15.75" x14ac:dyDescent="0.25">
      <c r="B118" s="199" t="s">
        <v>7714</v>
      </c>
      <c r="C118" s="200" t="s">
        <v>7666</v>
      </c>
      <c r="D118" s="200" t="s">
        <v>7667</v>
      </c>
      <c r="AB118" s="196">
        <v>1</v>
      </c>
    </row>
    <row r="119" spans="2:28" ht="15.75" x14ac:dyDescent="0.25">
      <c r="B119" s="199" t="s">
        <v>7714</v>
      </c>
      <c r="C119" s="200" t="s">
        <v>7580</v>
      </c>
      <c r="D119" s="200" t="s">
        <v>7715</v>
      </c>
      <c r="AB119" s="196">
        <v>1</v>
      </c>
    </row>
    <row r="120" spans="2:28" ht="15.75" x14ac:dyDescent="0.25">
      <c r="B120" s="199" t="s">
        <v>7716</v>
      </c>
      <c r="C120" s="200" t="s">
        <v>7624</v>
      </c>
      <c r="D120" s="200" t="s">
        <v>7625</v>
      </c>
      <c r="AB120" s="196">
        <v>1</v>
      </c>
    </row>
    <row r="121" spans="2:28" x14ac:dyDescent="0.25">
      <c r="AB121" s="196">
        <v>1</v>
      </c>
    </row>
    <row r="122" spans="2:28" ht="15.75" x14ac:dyDescent="0.25">
      <c r="B122" s="199" t="s">
        <v>7717</v>
      </c>
      <c r="C122" s="200" t="s">
        <v>7666</v>
      </c>
      <c r="D122" s="200" t="s">
        <v>7667</v>
      </c>
      <c r="F122" s="213" t="s">
        <v>7718</v>
      </c>
      <c r="G122" s="250"/>
      <c r="AB122" s="196">
        <v>1</v>
      </c>
    </row>
    <row r="123" spans="2:28" ht="15.75" x14ac:dyDescent="0.25">
      <c r="B123" s="199" t="s">
        <v>7719</v>
      </c>
      <c r="C123" s="200" t="s">
        <v>7720</v>
      </c>
      <c r="D123" s="200" t="s">
        <v>7720</v>
      </c>
      <c r="F123" s="213" t="s">
        <v>7721</v>
      </c>
      <c r="G123" s="250"/>
      <c r="AB123" s="196">
        <v>1</v>
      </c>
    </row>
    <row r="124" spans="2:28" ht="15.75" x14ac:dyDescent="0.25">
      <c r="F124" s="213" t="s">
        <v>7722</v>
      </c>
      <c r="G124" s="250"/>
      <c r="AB124" s="196">
        <v>1</v>
      </c>
    </row>
    <row r="125" spans="2:28" ht="15.75" x14ac:dyDescent="0.25">
      <c r="B125" s="199" t="s">
        <v>7723</v>
      </c>
      <c r="C125" s="200" t="s">
        <v>7516</v>
      </c>
      <c r="D125" s="200" t="s">
        <v>7517</v>
      </c>
      <c r="F125" s="213"/>
      <c r="G125" s="250"/>
      <c r="AB125" s="196">
        <v>1</v>
      </c>
    </row>
    <row r="126" spans="2:28" ht="15.75" x14ac:dyDescent="0.25">
      <c r="B126" s="199" t="s">
        <v>7724</v>
      </c>
      <c r="C126" s="200" t="s">
        <v>7568</v>
      </c>
      <c r="D126" s="200" t="s">
        <v>7523</v>
      </c>
      <c r="F126" s="213" t="s">
        <v>7725</v>
      </c>
      <c r="G126" s="250"/>
      <c r="AB126" s="196">
        <v>1</v>
      </c>
    </row>
    <row r="127" spans="2:28" ht="15.75" x14ac:dyDescent="0.25">
      <c r="B127" s="199" t="s">
        <v>7724</v>
      </c>
      <c r="C127" s="200" t="s">
        <v>7726</v>
      </c>
      <c r="D127" s="200" t="s">
        <v>7539</v>
      </c>
      <c r="F127" s="213" t="s">
        <v>7727</v>
      </c>
      <c r="G127" s="250"/>
      <c r="AB127" s="196">
        <v>1</v>
      </c>
    </row>
    <row r="128" spans="2:28" ht="15.75" x14ac:dyDescent="0.25">
      <c r="F128" s="214"/>
      <c r="G128" s="250"/>
      <c r="AB128" s="196">
        <v>1</v>
      </c>
    </row>
    <row r="129" spans="2:28" ht="15.75" x14ac:dyDescent="0.25">
      <c r="B129" s="199" t="s">
        <v>7728</v>
      </c>
      <c r="C129" s="200" t="s">
        <v>7666</v>
      </c>
      <c r="D129" s="200" t="s">
        <v>7667</v>
      </c>
      <c r="F129" s="214"/>
      <c r="G129" s="250"/>
      <c r="AB129" s="196">
        <v>1</v>
      </c>
    </row>
    <row r="130" spans="2:28" ht="15.75" x14ac:dyDescent="0.25">
      <c r="B130" s="199" t="s">
        <v>7729</v>
      </c>
      <c r="C130" s="200" t="s">
        <v>7691</v>
      </c>
      <c r="D130" s="200" t="s">
        <v>7692</v>
      </c>
      <c r="F130" s="213" t="s">
        <v>7730</v>
      </c>
      <c r="G130" s="250"/>
      <c r="AB130" s="196">
        <v>1</v>
      </c>
    </row>
    <row r="131" spans="2:28" ht="15.75" x14ac:dyDescent="0.25">
      <c r="F131" s="213" t="s">
        <v>7731</v>
      </c>
      <c r="G131" s="250"/>
      <c r="AB131" s="196">
        <v>1</v>
      </c>
    </row>
    <row r="132" spans="2:28" ht="15.75" x14ac:dyDescent="0.25">
      <c r="B132" s="199" t="s">
        <v>7732</v>
      </c>
      <c r="C132" s="200" t="s">
        <v>7733</v>
      </c>
      <c r="D132" s="200" t="s">
        <v>7517</v>
      </c>
      <c r="F132" s="213" t="s">
        <v>7734</v>
      </c>
      <c r="G132" s="250"/>
      <c r="AB132" s="196">
        <v>1</v>
      </c>
    </row>
    <row r="133" spans="2:28" ht="15.75" x14ac:dyDescent="0.25">
      <c r="F133" s="213"/>
      <c r="G133" s="250"/>
      <c r="AB133" s="196">
        <v>1</v>
      </c>
    </row>
    <row r="134" spans="2:28" ht="15.75" x14ac:dyDescent="0.25">
      <c r="B134" s="199" t="s">
        <v>7735</v>
      </c>
      <c r="C134" s="200" t="s">
        <v>7538</v>
      </c>
      <c r="D134" s="200" t="s">
        <v>7539</v>
      </c>
      <c r="F134" s="213" t="s">
        <v>7736</v>
      </c>
      <c r="G134" s="250"/>
      <c r="AB134" s="196">
        <v>1</v>
      </c>
    </row>
    <row r="135" spans="2:28" ht="15.75" x14ac:dyDescent="0.25">
      <c r="B135" s="199" t="s">
        <v>7735</v>
      </c>
      <c r="C135" s="200" t="s">
        <v>7709</v>
      </c>
      <c r="D135" s="200" t="s">
        <v>7737</v>
      </c>
      <c r="F135" s="213" t="s">
        <v>7738</v>
      </c>
      <c r="G135" s="250"/>
      <c r="AB135" s="196">
        <v>1</v>
      </c>
    </row>
    <row r="136" spans="2:28" ht="15.75" x14ac:dyDescent="0.25">
      <c r="F136" s="214"/>
      <c r="G136" s="250"/>
      <c r="AB136" s="196">
        <v>1</v>
      </c>
    </row>
    <row r="137" spans="2:28" ht="15.75" x14ac:dyDescent="0.25">
      <c r="B137" s="199" t="s">
        <v>7739</v>
      </c>
      <c r="C137" s="200" t="s">
        <v>7668</v>
      </c>
      <c r="D137" s="200" t="s">
        <v>7740</v>
      </c>
      <c r="F137" s="214"/>
      <c r="G137" s="250"/>
      <c r="AB137" s="196">
        <v>1</v>
      </c>
    </row>
    <row r="138" spans="2:28" ht="15.75" x14ac:dyDescent="0.25">
      <c r="B138" s="199" t="s">
        <v>7741</v>
      </c>
      <c r="C138" s="200" t="s">
        <v>7649</v>
      </c>
      <c r="D138" s="200" t="s">
        <v>7650</v>
      </c>
      <c r="F138" s="213" t="s">
        <v>7742</v>
      </c>
      <c r="G138" s="250"/>
      <c r="AB138" s="196">
        <v>1</v>
      </c>
    </row>
    <row r="139" spans="2:28" ht="15.75" x14ac:dyDescent="0.25">
      <c r="B139" s="199" t="s">
        <v>5193</v>
      </c>
      <c r="C139" s="200" t="s">
        <v>7638</v>
      </c>
      <c r="D139" s="200" t="s">
        <v>7639</v>
      </c>
      <c r="F139" s="213" t="s">
        <v>7743</v>
      </c>
      <c r="G139" s="250"/>
      <c r="AB139" s="196">
        <v>1</v>
      </c>
    </row>
    <row r="140" spans="2:28" ht="15.75" x14ac:dyDescent="0.25">
      <c r="B140" s="199" t="s">
        <v>7744</v>
      </c>
      <c r="C140" s="200" t="s">
        <v>7668</v>
      </c>
      <c r="D140" s="200" t="s">
        <v>7639</v>
      </c>
      <c r="F140" s="213" t="s">
        <v>7745</v>
      </c>
      <c r="G140" s="250"/>
      <c r="AB140" s="196">
        <v>1</v>
      </c>
    </row>
    <row r="141" spans="2:28" ht="15.75" x14ac:dyDescent="0.25">
      <c r="B141" s="199" t="s">
        <v>7746</v>
      </c>
      <c r="C141" s="200" t="s">
        <v>7538</v>
      </c>
      <c r="D141" s="200" t="s">
        <v>7539</v>
      </c>
      <c r="F141" s="213"/>
      <c r="G141" s="250"/>
      <c r="AB141" s="196">
        <v>1</v>
      </c>
    </row>
    <row r="142" spans="2:28" ht="15.75" x14ac:dyDescent="0.25">
      <c r="B142" s="199" t="s">
        <v>7747</v>
      </c>
      <c r="C142" s="200" t="s">
        <v>7666</v>
      </c>
      <c r="D142" s="200" t="s">
        <v>7667</v>
      </c>
      <c r="F142" s="213" t="s">
        <v>7748</v>
      </c>
      <c r="G142" s="250"/>
      <c r="AB142" s="196">
        <v>1</v>
      </c>
    </row>
    <row r="143" spans="2:28" ht="15.75" x14ac:dyDescent="0.25">
      <c r="B143" s="199" t="s">
        <v>7749</v>
      </c>
      <c r="C143" s="200" t="s">
        <v>7698</v>
      </c>
      <c r="D143" s="200" t="s">
        <v>7699</v>
      </c>
      <c r="F143" s="213" t="s">
        <v>7750</v>
      </c>
      <c r="G143" s="250"/>
      <c r="AB143" s="196">
        <v>1</v>
      </c>
    </row>
    <row r="144" spans="2:28" ht="15.75" x14ac:dyDescent="0.25">
      <c r="B144" s="199" t="s">
        <v>7751</v>
      </c>
      <c r="C144" s="200" t="s">
        <v>7668</v>
      </c>
      <c r="D144" s="200" t="s">
        <v>7740</v>
      </c>
      <c r="AB144" s="196">
        <v>1</v>
      </c>
    </row>
    <row r="145" spans="2:28" ht="15.75" x14ac:dyDescent="0.25">
      <c r="B145" s="199" t="s">
        <v>7752</v>
      </c>
      <c r="C145" s="200" t="s">
        <v>7753</v>
      </c>
      <c r="D145" s="200" t="s">
        <v>7570</v>
      </c>
      <c r="AB145" s="196">
        <v>1</v>
      </c>
    </row>
    <row r="146" spans="2:28" ht="15.75" x14ac:dyDescent="0.25">
      <c r="B146" s="199" t="s">
        <v>7752</v>
      </c>
      <c r="C146" s="200" t="s">
        <v>7568</v>
      </c>
      <c r="D146" s="200" t="s">
        <v>7523</v>
      </c>
      <c r="AB146" s="196">
        <v>1</v>
      </c>
    </row>
    <row r="147" spans="2:28" ht="15.75" x14ac:dyDescent="0.25">
      <c r="B147" s="199" t="s">
        <v>7752</v>
      </c>
      <c r="C147" s="200" t="s">
        <v>7516</v>
      </c>
      <c r="D147" s="200" t="s">
        <v>7517</v>
      </c>
      <c r="AB147" s="196">
        <v>1</v>
      </c>
    </row>
    <row r="148" spans="2:28" x14ac:dyDescent="0.25">
      <c r="AB148" s="196">
        <v>1</v>
      </c>
    </row>
    <row r="149" spans="2:28" ht="15.75" x14ac:dyDescent="0.25">
      <c r="B149" s="199" t="s">
        <v>1003</v>
      </c>
      <c r="C149" s="200" t="s">
        <v>7624</v>
      </c>
      <c r="D149" s="200" t="s">
        <v>7625</v>
      </c>
      <c r="AB149" s="196">
        <v>1</v>
      </c>
    </row>
    <row r="150" spans="2:28" ht="15.75" x14ac:dyDescent="0.25">
      <c r="B150" s="199" t="s">
        <v>7754</v>
      </c>
      <c r="C150" s="200" t="s">
        <v>7755</v>
      </c>
      <c r="D150" s="200" t="s">
        <v>7756</v>
      </c>
      <c r="AB150" s="196">
        <v>1</v>
      </c>
    </row>
    <row r="151" spans="2:28" x14ac:dyDescent="0.25">
      <c r="AB151" s="196">
        <v>1</v>
      </c>
    </row>
    <row r="152" spans="2:28" ht="15.75" x14ac:dyDescent="0.25">
      <c r="B152" s="199" t="s">
        <v>7757</v>
      </c>
      <c r="C152" s="200" t="s">
        <v>7568</v>
      </c>
      <c r="D152" s="200" t="s">
        <v>7523</v>
      </c>
      <c r="AB152" s="196">
        <v>1</v>
      </c>
    </row>
    <row r="153" spans="2:28" ht="15.75" x14ac:dyDescent="0.25">
      <c r="B153" s="199" t="s">
        <v>7758</v>
      </c>
      <c r="C153" s="200" t="s">
        <v>7532</v>
      </c>
      <c r="D153" s="200" t="s">
        <v>7533</v>
      </c>
      <c r="AB153" s="196">
        <v>1</v>
      </c>
    </row>
    <row r="154" spans="2:28" ht="15.75" x14ac:dyDescent="0.25">
      <c r="B154" s="199" t="s">
        <v>7758</v>
      </c>
      <c r="C154" s="200" t="s">
        <v>7538</v>
      </c>
      <c r="D154" s="200" t="s">
        <v>7539</v>
      </c>
      <c r="AB154" s="196">
        <v>1</v>
      </c>
    </row>
    <row r="155" spans="2:28" ht="15.75" x14ac:dyDescent="0.25">
      <c r="B155" s="199" t="s">
        <v>7758</v>
      </c>
      <c r="C155" s="200" t="s">
        <v>7569</v>
      </c>
      <c r="D155" s="200" t="s">
        <v>7570</v>
      </c>
      <c r="AB155" s="196">
        <v>1</v>
      </c>
    </row>
    <row r="156" spans="2:28" ht="15.75" x14ac:dyDescent="0.25">
      <c r="B156" s="199" t="s">
        <v>7758</v>
      </c>
      <c r="C156" s="200" t="s">
        <v>7759</v>
      </c>
      <c r="D156" s="200" t="s">
        <v>7545</v>
      </c>
      <c r="AB156" s="196">
        <v>1</v>
      </c>
    </row>
    <row r="157" spans="2:28" ht="15.75" x14ac:dyDescent="0.25">
      <c r="B157" s="199" t="s">
        <v>7760</v>
      </c>
      <c r="C157" s="200" t="s">
        <v>7538</v>
      </c>
      <c r="D157" s="200" t="s">
        <v>7539</v>
      </c>
      <c r="AB157" s="196">
        <v>1</v>
      </c>
    </row>
    <row r="158" spans="2:28" ht="15.75" x14ac:dyDescent="0.25">
      <c r="B158" s="199" t="s">
        <v>7760</v>
      </c>
      <c r="C158" s="200" t="s">
        <v>7490</v>
      </c>
      <c r="D158" s="200" t="s">
        <v>7613</v>
      </c>
      <c r="AB158" s="196">
        <v>1</v>
      </c>
    </row>
    <row r="159" spans="2:28" ht="15.75" x14ac:dyDescent="0.25">
      <c r="B159" s="199" t="s">
        <v>7760</v>
      </c>
      <c r="C159" s="200" t="s">
        <v>7668</v>
      </c>
      <c r="D159" s="200" t="s">
        <v>7639</v>
      </c>
      <c r="AB159" s="196">
        <v>1</v>
      </c>
    </row>
    <row r="160" spans="2:28" x14ac:dyDescent="0.25">
      <c r="AB160" s="196">
        <v>1</v>
      </c>
    </row>
    <row r="161" spans="2:28" ht="15.75" x14ac:dyDescent="0.25">
      <c r="B161" s="199" t="s">
        <v>5805</v>
      </c>
      <c r="C161" s="200" t="s">
        <v>7761</v>
      </c>
      <c r="D161" s="200" t="s">
        <v>7762</v>
      </c>
      <c r="AB161" s="196">
        <v>1</v>
      </c>
    </row>
    <row r="162" spans="2:28" ht="15.75" x14ac:dyDescent="0.25">
      <c r="B162" s="199" t="s">
        <v>7763</v>
      </c>
      <c r="C162" s="200" t="s">
        <v>7668</v>
      </c>
      <c r="D162" s="200" t="s">
        <v>7740</v>
      </c>
      <c r="AB162" s="196">
        <v>1</v>
      </c>
    </row>
    <row r="163" spans="2:28" x14ac:dyDescent="0.25">
      <c r="AB163" s="196">
        <v>1</v>
      </c>
    </row>
    <row r="164" spans="2:28" ht="15.75" x14ac:dyDescent="0.25">
      <c r="B164" s="199" t="s">
        <v>7764</v>
      </c>
      <c r="C164" s="200" t="s">
        <v>7568</v>
      </c>
      <c r="D164" s="200" t="s">
        <v>7523</v>
      </c>
      <c r="AB164" s="196">
        <v>1</v>
      </c>
    </row>
    <row r="165" spans="2:28" ht="15.75" x14ac:dyDescent="0.25">
      <c r="B165" s="199" t="s">
        <v>7765</v>
      </c>
      <c r="C165" s="200" t="s">
        <v>7516</v>
      </c>
      <c r="D165" s="200" t="s">
        <v>7517</v>
      </c>
      <c r="AB165" s="196">
        <v>1</v>
      </c>
    </row>
    <row r="166" spans="2:28" x14ac:dyDescent="0.25">
      <c r="AB166" s="196">
        <v>1</v>
      </c>
    </row>
    <row r="167" spans="2:28" ht="15.75" x14ac:dyDescent="0.25">
      <c r="B167" s="199" t="s">
        <v>7766</v>
      </c>
      <c r="C167" s="200" t="s">
        <v>7767</v>
      </c>
      <c r="D167" s="200" t="s">
        <v>7768</v>
      </c>
      <c r="AB167" s="196">
        <v>1</v>
      </c>
    </row>
    <row r="168" spans="2:28" ht="15.75" x14ac:dyDescent="0.25">
      <c r="B168" s="199" t="s">
        <v>7769</v>
      </c>
      <c r="C168" s="200" t="s">
        <v>7694</v>
      </c>
      <c r="D168" s="200" t="s">
        <v>7545</v>
      </c>
      <c r="AB168" s="196">
        <v>1</v>
      </c>
    </row>
    <row r="169" spans="2:28" x14ac:dyDescent="0.25">
      <c r="AB169" s="196">
        <v>1</v>
      </c>
    </row>
    <row r="170" spans="2:28" ht="15.75" x14ac:dyDescent="0.25">
      <c r="B170" s="199" t="s">
        <v>7770</v>
      </c>
      <c r="C170" s="200" t="s">
        <v>7508</v>
      </c>
      <c r="D170" s="200" t="s">
        <v>7771</v>
      </c>
      <c r="AB170" s="196">
        <v>1</v>
      </c>
    </row>
    <row r="171" spans="2:28" ht="15.75" x14ac:dyDescent="0.25">
      <c r="B171" s="199" t="s">
        <v>7772</v>
      </c>
      <c r="C171" s="200" t="s">
        <v>7654</v>
      </c>
      <c r="D171" s="200" t="s">
        <v>7655</v>
      </c>
      <c r="AB171" s="196">
        <v>1</v>
      </c>
    </row>
    <row r="172" spans="2:28" x14ac:dyDescent="0.25">
      <c r="AB172" s="196">
        <v>1</v>
      </c>
    </row>
    <row r="173" spans="2:28" ht="18" x14ac:dyDescent="0.25">
      <c r="B173" s="215" t="s">
        <v>7773</v>
      </c>
      <c r="C173" s="216"/>
      <c r="D173" s="216"/>
      <c r="AB173" s="196">
        <v>1</v>
      </c>
    </row>
    <row r="174" spans="2:28" x14ac:dyDescent="0.25">
      <c r="AB174" s="196">
        <v>1</v>
      </c>
    </row>
    <row r="175" spans="2:28" x14ac:dyDescent="0.25">
      <c r="B175" s="161" t="s">
        <v>7774</v>
      </c>
      <c r="C175" s="159"/>
      <c r="D175" s="159"/>
      <c r="AB175" s="196">
        <v>1</v>
      </c>
    </row>
    <row r="176" spans="2:28" ht="15.75" x14ac:dyDescent="0.25">
      <c r="B176" s="199" t="s">
        <v>7775</v>
      </c>
      <c r="C176" s="200" t="s">
        <v>7666</v>
      </c>
      <c r="D176" s="200" t="s">
        <v>7776</v>
      </c>
      <c r="AB176" s="196">
        <v>1</v>
      </c>
    </row>
    <row r="177" spans="2:28" ht="15.75" x14ac:dyDescent="0.25">
      <c r="B177" s="199" t="s">
        <v>7777</v>
      </c>
      <c r="C177" s="200" t="s">
        <v>7778</v>
      </c>
      <c r="D177" s="200" t="s">
        <v>7779</v>
      </c>
      <c r="AB177" s="196">
        <v>1</v>
      </c>
    </row>
    <row r="178" spans="2:28" ht="15.75" x14ac:dyDescent="0.25">
      <c r="B178" s="199" t="s">
        <v>7775</v>
      </c>
      <c r="C178" s="200" t="s">
        <v>7490</v>
      </c>
      <c r="D178" s="200" t="s">
        <v>7780</v>
      </c>
      <c r="AB178" s="196">
        <v>1</v>
      </c>
    </row>
    <row r="179" spans="2:28" x14ac:dyDescent="0.25">
      <c r="AB179" s="196">
        <v>1</v>
      </c>
    </row>
    <row r="180" spans="2:28" ht="15.75" x14ac:dyDescent="0.25">
      <c r="B180" s="199" t="s">
        <v>7781</v>
      </c>
      <c r="C180" s="200" t="s">
        <v>7666</v>
      </c>
      <c r="D180" s="200" t="s">
        <v>7782</v>
      </c>
      <c r="AB180" s="196">
        <v>1</v>
      </c>
    </row>
    <row r="181" spans="2:28" ht="15.75" x14ac:dyDescent="0.25">
      <c r="B181" s="199" t="s">
        <v>7781</v>
      </c>
      <c r="C181" s="200" t="s">
        <v>7778</v>
      </c>
      <c r="D181" s="200" t="s">
        <v>7783</v>
      </c>
      <c r="AB181" s="196">
        <v>1</v>
      </c>
    </row>
    <row r="182" spans="2:28" ht="15.75" x14ac:dyDescent="0.25">
      <c r="B182" s="199" t="s">
        <v>7781</v>
      </c>
      <c r="C182" s="200" t="s">
        <v>7490</v>
      </c>
      <c r="D182" s="200" t="s">
        <v>6171</v>
      </c>
      <c r="AB182" s="196">
        <v>1</v>
      </c>
    </row>
    <row r="183" spans="2:28" ht="15.75" x14ac:dyDescent="0.25">
      <c r="B183" s="199" t="s">
        <v>7784</v>
      </c>
      <c r="C183" s="200" t="s">
        <v>7785</v>
      </c>
      <c r="D183" s="200" t="s">
        <v>7786</v>
      </c>
      <c r="AB183" s="196">
        <v>1</v>
      </c>
    </row>
    <row r="184" spans="2:28" ht="15.75" x14ac:dyDescent="0.25">
      <c r="B184" s="199" t="s">
        <v>7787</v>
      </c>
      <c r="C184" s="200" t="s">
        <v>7788</v>
      </c>
      <c r="D184" s="200" t="s">
        <v>6147</v>
      </c>
      <c r="AB184" s="196">
        <v>1</v>
      </c>
    </row>
    <row r="185" spans="2:28" x14ac:dyDescent="0.25">
      <c r="AB185" s="196">
        <v>1</v>
      </c>
    </row>
    <row r="186" spans="2:28" ht="15.75" x14ac:dyDescent="0.25">
      <c r="B186" s="199" t="s">
        <v>7789</v>
      </c>
      <c r="C186" s="200" t="s">
        <v>7666</v>
      </c>
      <c r="D186" s="200" t="s">
        <v>7790</v>
      </c>
      <c r="AB186" s="196">
        <v>1</v>
      </c>
    </row>
    <row r="187" spans="2:28" ht="15.75" x14ac:dyDescent="0.25">
      <c r="B187" s="199" t="s">
        <v>7789</v>
      </c>
      <c r="C187" s="200" t="s">
        <v>7778</v>
      </c>
      <c r="D187" s="200" t="s">
        <v>7791</v>
      </c>
      <c r="AB187" s="196">
        <v>1</v>
      </c>
    </row>
    <row r="188" spans="2:28" ht="15.75" x14ac:dyDescent="0.25">
      <c r="B188" s="199" t="s">
        <v>7789</v>
      </c>
      <c r="C188" s="200" t="s">
        <v>7490</v>
      </c>
      <c r="D188" s="200" t="s">
        <v>7613</v>
      </c>
      <c r="AB188" s="196">
        <v>1</v>
      </c>
    </row>
    <row r="189" spans="2:28" ht="15.75" x14ac:dyDescent="0.25">
      <c r="B189" s="199" t="s">
        <v>7789</v>
      </c>
      <c r="C189" s="200" t="s">
        <v>7785</v>
      </c>
      <c r="D189" s="200" t="s">
        <v>7539</v>
      </c>
      <c r="AB189" s="196">
        <v>1</v>
      </c>
    </row>
    <row r="190" spans="2:28" ht="15.75" x14ac:dyDescent="0.25">
      <c r="B190" s="199" t="s">
        <v>7789</v>
      </c>
      <c r="C190" s="200" t="s">
        <v>7788</v>
      </c>
      <c r="D190" s="200" t="s">
        <v>7523</v>
      </c>
      <c r="AB190" s="196">
        <v>1</v>
      </c>
    </row>
    <row r="191" spans="2:28" x14ac:dyDescent="0.25">
      <c r="AB191" s="196">
        <v>1</v>
      </c>
    </row>
    <row r="192" spans="2:28" ht="15.75" x14ac:dyDescent="0.25">
      <c r="B192" s="199" t="s">
        <v>7792</v>
      </c>
      <c r="C192" s="200" t="s">
        <v>7666</v>
      </c>
      <c r="D192" s="200" t="s">
        <v>7576</v>
      </c>
      <c r="AB192" s="196">
        <v>1</v>
      </c>
    </row>
    <row r="193" spans="1:28" ht="15.75" x14ac:dyDescent="0.25">
      <c r="B193" s="199" t="s">
        <v>7792</v>
      </c>
      <c r="C193" s="200" t="s">
        <v>7778</v>
      </c>
      <c r="D193" s="200" t="s">
        <v>7793</v>
      </c>
      <c r="AB193" s="196">
        <v>1</v>
      </c>
    </row>
    <row r="194" spans="1:28" ht="15.75" x14ac:dyDescent="0.25">
      <c r="B194" s="199" t="s">
        <v>7792</v>
      </c>
      <c r="C194" s="200" t="s">
        <v>7490</v>
      </c>
      <c r="D194" s="200" t="s">
        <v>6189</v>
      </c>
      <c r="AB194" s="196">
        <v>1</v>
      </c>
    </row>
    <row r="195" spans="1:28" ht="15.75" x14ac:dyDescent="0.25">
      <c r="B195" s="199" t="s">
        <v>7792</v>
      </c>
      <c r="C195" s="200" t="s">
        <v>7785</v>
      </c>
      <c r="D195" s="200" t="s">
        <v>7794</v>
      </c>
      <c r="AB195" s="196">
        <v>1</v>
      </c>
    </row>
    <row r="196" spans="1:28" ht="15.75" x14ac:dyDescent="0.25">
      <c r="B196" s="199" t="s">
        <v>7792</v>
      </c>
      <c r="C196" s="200" t="s">
        <v>7788</v>
      </c>
      <c r="D196" s="200" t="s">
        <v>6175</v>
      </c>
      <c r="AB196" s="196">
        <v>1</v>
      </c>
    </row>
    <row r="197" spans="1:28" x14ac:dyDescent="0.25">
      <c r="AB197" s="196">
        <v>1</v>
      </c>
    </row>
    <row r="198" spans="1:28" x14ac:dyDescent="0.25">
      <c r="AB198" s="196">
        <v>1</v>
      </c>
    </row>
    <row r="199" spans="1:28" ht="15.75" x14ac:dyDescent="0.25">
      <c r="A199" s="255" t="s">
        <v>5</v>
      </c>
      <c r="B199" s="261" t="s">
        <v>6136</v>
      </c>
      <c r="C199" s="256" t="s">
        <v>6139</v>
      </c>
      <c r="D199" s="257" t="s">
        <v>6135</v>
      </c>
      <c r="E199" s="257" t="s">
        <v>6137</v>
      </c>
      <c r="F199" s="258" t="s">
        <v>6138</v>
      </c>
      <c r="AB199" s="196">
        <v>1</v>
      </c>
    </row>
    <row r="200" spans="1:28" ht="15.75" x14ac:dyDescent="0.25">
      <c r="A200" s="251">
        <v>1</v>
      </c>
      <c r="B200" s="262" t="s">
        <v>6141</v>
      </c>
      <c r="C200" s="252" t="s">
        <v>6142</v>
      </c>
      <c r="D200" s="254" t="s">
        <v>6140</v>
      </c>
      <c r="E200" s="253">
        <v>2.5</v>
      </c>
      <c r="F200" s="259" t="s">
        <v>8</v>
      </c>
      <c r="AB200" s="196">
        <v>1</v>
      </c>
    </row>
    <row r="201" spans="1:28" ht="15.75" x14ac:dyDescent="0.25">
      <c r="A201" s="251">
        <v>2</v>
      </c>
      <c r="B201" s="262" t="s">
        <v>6143</v>
      </c>
      <c r="C201" s="252" t="s">
        <v>6144</v>
      </c>
      <c r="D201" s="254" t="s">
        <v>6140</v>
      </c>
      <c r="E201" s="253">
        <v>1.4</v>
      </c>
      <c r="F201" s="259" t="s">
        <v>8</v>
      </c>
      <c r="AB201" s="196">
        <v>1</v>
      </c>
    </row>
    <row r="202" spans="1:28" ht="15.75" x14ac:dyDescent="0.25">
      <c r="A202" s="251">
        <v>3</v>
      </c>
      <c r="B202" s="262" t="s">
        <v>6145</v>
      </c>
      <c r="C202" s="252" t="s">
        <v>6147</v>
      </c>
      <c r="D202" s="254" t="s">
        <v>6140</v>
      </c>
      <c r="E202" s="253" t="s">
        <v>6146</v>
      </c>
      <c r="F202" s="259" t="s">
        <v>8</v>
      </c>
      <c r="AB202" s="196">
        <v>1</v>
      </c>
    </row>
    <row r="203" spans="1:28" ht="15.75" x14ac:dyDescent="0.25">
      <c r="A203" s="251">
        <v>4</v>
      </c>
      <c r="B203" s="262" t="s">
        <v>6148</v>
      </c>
      <c r="C203" s="252" t="s">
        <v>6147</v>
      </c>
      <c r="D203" s="254" t="s">
        <v>6140</v>
      </c>
      <c r="E203" s="253" t="s">
        <v>6146</v>
      </c>
      <c r="F203" s="259" t="s">
        <v>8</v>
      </c>
      <c r="AB203" s="196">
        <v>1</v>
      </c>
    </row>
    <row r="204" spans="1:28" ht="15.75" x14ac:dyDescent="0.25">
      <c r="A204" s="251">
        <v>5</v>
      </c>
      <c r="B204" s="262" t="s">
        <v>6149</v>
      </c>
      <c r="C204" s="252" t="s">
        <v>6150</v>
      </c>
      <c r="D204" s="254" t="s">
        <v>6140</v>
      </c>
      <c r="E204" s="253">
        <v>2.5</v>
      </c>
      <c r="F204" s="259" t="s">
        <v>8</v>
      </c>
      <c r="AB204" s="196">
        <v>1</v>
      </c>
    </row>
    <row r="205" spans="1:28" ht="15.75" x14ac:dyDescent="0.25">
      <c r="A205" s="251">
        <v>6</v>
      </c>
      <c r="B205" s="262" t="s">
        <v>6151</v>
      </c>
      <c r="C205" s="252" t="s">
        <v>6152</v>
      </c>
      <c r="D205" s="254" t="s">
        <v>6140</v>
      </c>
      <c r="E205" s="253">
        <v>1.6</v>
      </c>
      <c r="F205" s="259" t="s">
        <v>8</v>
      </c>
      <c r="AB205" s="196">
        <v>1</v>
      </c>
    </row>
    <row r="206" spans="1:28" ht="15.75" x14ac:dyDescent="0.25">
      <c r="A206" s="251">
        <v>7</v>
      </c>
      <c r="B206" s="262" t="s">
        <v>6153</v>
      </c>
      <c r="C206" s="252" t="s">
        <v>98</v>
      </c>
      <c r="D206" s="254" t="s">
        <v>6140</v>
      </c>
      <c r="E206" s="253" t="s">
        <v>6154</v>
      </c>
      <c r="F206" s="259" t="s">
        <v>8</v>
      </c>
      <c r="AB206" s="196">
        <v>1</v>
      </c>
    </row>
    <row r="207" spans="1:28" ht="15.75" x14ac:dyDescent="0.25">
      <c r="A207" s="251">
        <v>8</v>
      </c>
      <c r="B207" s="262" t="s">
        <v>69</v>
      </c>
      <c r="C207" s="252" t="s">
        <v>98</v>
      </c>
      <c r="D207" s="254" t="s">
        <v>6140</v>
      </c>
      <c r="E207" s="253" t="s">
        <v>6154</v>
      </c>
      <c r="F207" s="259" t="s">
        <v>8</v>
      </c>
      <c r="AB207" s="196">
        <v>1</v>
      </c>
    </row>
    <row r="208" spans="1:28" ht="15.75" x14ac:dyDescent="0.25">
      <c r="A208" s="251">
        <v>9</v>
      </c>
      <c r="B208" s="262" t="s">
        <v>6155</v>
      </c>
      <c r="C208" s="252" t="s">
        <v>6156</v>
      </c>
      <c r="D208" s="254" t="s">
        <v>6140</v>
      </c>
      <c r="E208" s="253">
        <v>0.9</v>
      </c>
      <c r="F208" s="259" t="s">
        <v>8</v>
      </c>
      <c r="AB208" s="196">
        <v>1</v>
      </c>
    </row>
    <row r="209" spans="1:28" ht="15.75" x14ac:dyDescent="0.25">
      <c r="A209" s="251">
        <v>10</v>
      </c>
      <c r="B209" s="262" t="s">
        <v>6157</v>
      </c>
      <c r="C209" s="252" t="s">
        <v>98</v>
      </c>
      <c r="D209" s="254" t="s">
        <v>6140</v>
      </c>
      <c r="E209" s="253" t="s">
        <v>6154</v>
      </c>
      <c r="F209" s="259" t="s">
        <v>8</v>
      </c>
      <c r="AB209" s="196">
        <v>1</v>
      </c>
    </row>
    <row r="210" spans="1:28" ht="15.75" x14ac:dyDescent="0.25">
      <c r="A210" s="251">
        <v>11</v>
      </c>
      <c r="B210" s="262" t="s">
        <v>6158</v>
      </c>
      <c r="C210" s="252" t="s">
        <v>6152</v>
      </c>
      <c r="D210" s="254" t="s">
        <v>6140</v>
      </c>
      <c r="E210" s="253">
        <v>1.6</v>
      </c>
      <c r="F210" s="259" t="s">
        <v>8</v>
      </c>
      <c r="AB210" s="196">
        <v>1</v>
      </c>
    </row>
    <row r="211" spans="1:28" ht="15.75" x14ac:dyDescent="0.25">
      <c r="A211" s="251">
        <v>12</v>
      </c>
      <c r="B211" s="262" t="s">
        <v>6159</v>
      </c>
      <c r="C211" s="252" t="s">
        <v>6160</v>
      </c>
      <c r="D211" s="254" t="s">
        <v>6140</v>
      </c>
      <c r="E211" s="253">
        <v>1.3</v>
      </c>
      <c r="F211" s="259" t="s">
        <v>8</v>
      </c>
      <c r="AB211" s="196">
        <v>1</v>
      </c>
    </row>
    <row r="212" spans="1:28" ht="15.75" x14ac:dyDescent="0.25">
      <c r="A212" s="251">
        <v>13</v>
      </c>
      <c r="B212" s="262" t="s">
        <v>6161</v>
      </c>
      <c r="C212" s="252" t="s">
        <v>6162</v>
      </c>
      <c r="D212" s="254" t="s">
        <v>6140</v>
      </c>
      <c r="E212" s="253">
        <v>1.8</v>
      </c>
      <c r="F212" s="259" t="s">
        <v>8</v>
      </c>
      <c r="AB212" s="196">
        <v>1</v>
      </c>
    </row>
    <row r="213" spans="1:28" ht="15.75" x14ac:dyDescent="0.25">
      <c r="A213" s="251">
        <v>14</v>
      </c>
      <c r="B213" s="262" t="s">
        <v>43</v>
      </c>
      <c r="C213" s="252" t="s">
        <v>6163</v>
      </c>
      <c r="D213" s="254" t="s">
        <v>6140</v>
      </c>
      <c r="E213" s="253">
        <v>5.5</v>
      </c>
      <c r="F213" s="259" t="s">
        <v>8</v>
      </c>
      <c r="AB213" s="196">
        <v>1</v>
      </c>
    </row>
    <row r="214" spans="1:28" ht="15.75" x14ac:dyDescent="0.25">
      <c r="A214" s="251">
        <v>15</v>
      </c>
      <c r="B214" s="262" t="s">
        <v>6164</v>
      </c>
      <c r="C214" s="252" t="s">
        <v>6150</v>
      </c>
      <c r="D214" s="254" t="s">
        <v>6140</v>
      </c>
      <c r="E214" s="253">
        <v>2.5</v>
      </c>
      <c r="F214" s="259" t="s">
        <v>8</v>
      </c>
      <c r="AB214" s="196">
        <v>1</v>
      </c>
    </row>
    <row r="215" spans="1:28" ht="15.75" x14ac:dyDescent="0.25">
      <c r="A215" s="251">
        <v>16</v>
      </c>
      <c r="B215" s="262" t="s">
        <v>6165</v>
      </c>
      <c r="C215" s="252" t="s">
        <v>6166</v>
      </c>
      <c r="D215" s="254" t="s">
        <v>6140</v>
      </c>
      <c r="E215" s="253">
        <v>1.5</v>
      </c>
      <c r="F215" s="259" t="s">
        <v>8</v>
      </c>
      <c r="AB215" s="196">
        <v>1</v>
      </c>
    </row>
    <row r="216" spans="1:28" ht="15.75" x14ac:dyDescent="0.25">
      <c r="A216" s="251">
        <v>17</v>
      </c>
      <c r="B216" s="262" t="s">
        <v>547</v>
      </c>
      <c r="C216" s="252" t="s">
        <v>6169</v>
      </c>
      <c r="D216" s="254" t="s">
        <v>6167</v>
      </c>
      <c r="E216" s="253" t="s">
        <v>6168</v>
      </c>
      <c r="F216" s="259" t="s">
        <v>8</v>
      </c>
      <c r="AB216" s="196">
        <v>1</v>
      </c>
    </row>
    <row r="217" spans="1:28" ht="15.75" x14ac:dyDescent="0.25">
      <c r="A217" s="251">
        <v>18</v>
      </c>
      <c r="B217" s="262" t="s">
        <v>114</v>
      </c>
      <c r="C217" s="252" t="s">
        <v>6171</v>
      </c>
      <c r="D217" s="254" t="s">
        <v>6167</v>
      </c>
      <c r="E217" s="253" t="s">
        <v>6170</v>
      </c>
      <c r="F217" s="259" t="s">
        <v>8</v>
      </c>
      <c r="AB217" s="196">
        <v>1</v>
      </c>
    </row>
    <row r="218" spans="1:28" ht="15.75" x14ac:dyDescent="0.25">
      <c r="A218" s="251">
        <v>19</v>
      </c>
      <c r="B218" s="262" t="s">
        <v>674</v>
      </c>
      <c r="C218" s="252" t="s">
        <v>6173</v>
      </c>
      <c r="D218" s="254" t="s">
        <v>6167</v>
      </c>
      <c r="E218" s="253" t="s">
        <v>6172</v>
      </c>
      <c r="F218" s="259" t="s">
        <v>8</v>
      </c>
      <c r="AB218" s="196">
        <v>1</v>
      </c>
    </row>
    <row r="219" spans="1:28" ht="15.75" x14ac:dyDescent="0.25">
      <c r="A219" s="251">
        <v>20</v>
      </c>
      <c r="B219" s="262" t="s">
        <v>203</v>
      </c>
      <c r="C219" s="252" t="s">
        <v>6175</v>
      </c>
      <c r="D219" s="254" t="s">
        <v>6167</v>
      </c>
      <c r="E219" s="253" t="s">
        <v>6174</v>
      </c>
      <c r="F219" s="259" t="s">
        <v>8</v>
      </c>
      <c r="AB219" s="196">
        <v>1</v>
      </c>
    </row>
    <row r="220" spans="1:28" ht="15.75" x14ac:dyDescent="0.25">
      <c r="A220" s="251">
        <v>21</v>
      </c>
      <c r="B220" s="262" t="s">
        <v>84</v>
      </c>
      <c r="C220" s="252" t="s">
        <v>6169</v>
      </c>
      <c r="D220" s="254" t="s">
        <v>6167</v>
      </c>
      <c r="E220" s="253" t="s">
        <v>6168</v>
      </c>
      <c r="F220" s="259" t="s">
        <v>8</v>
      </c>
      <c r="AB220" s="196">
        <v>1</v>
      </c>
    </row>
    <row r="221" spans="1:28" ht="15.75" x14ac:dyDescent="0.25">
      <c r="A221" s="251">
        <v>22</v>
      </c>
      <c r="B221" s="262" t="s">
        <v>92</v>
      </c>
      <c r="C221" s="252" t="s">
        <v>6177</v>
      </c>
      <c r="D221" s="254" t="s">
        <v>6167</v>
      </c>
      <c r="E221" s="253" t="s">
        <v>6176</v>
      </c>
      <c r="F221" s="259" t="s">
        <v>8</v>
      </c>
      <c r="AB221" s="196">
        <v>1</v>
      </c>
    </row>
    <row r="222" spans="1:28" ht="15.75" x14ac:dyDescent="0.25">
      <c r="A222" s="251">
        <v>23</v>
      </c>
      <c r="B222" s="262" t="s">
        <v>6178</v>
      </c>
      <c r="C222" s="252" t="s">
        <v>6180</v>
      </c>
      <c r="D222" s="254" t="s">
        <v>6167</v>
      </c>
      <c r="E222" s="253" t="s">
        <v>6179</v>
      </c>
      <c r="F222" s="259" t="s">
        <v>8</v>
      </c>
      <c r="AB222" s="196">
        <v>1</v>
      </c>
    </row>
    <row r="223" spans="1:28" ht="15.75" x14ac:dyDescent="0.25">
      <c r="A223" s="251">
        <v>24</v>
      </c>
      <c r="B223" s="262" t="s">
        <v>6181</v>
      </c>
      <c r="C223" s="252" t="s">
        <v>6182</v>
      </c>
      <c r="D223" s="254" t="s">
        <v>6167</v>
      </c>
      <c r="E223" s="253" t="s">
        <v>179</v>
      </c>
      <c r="F223" s="259" t="s">
        <v>8</v>
      </c>
      <c r="AB223" s="196">
        <v>1</v>
      </c>
    </row>
    <row r="224" spans="1:28" ht="15.75" x14ac:dyDescent="0.25">
      <c r="A224" s="251">
        <v>25</v>
      </c>
      <c r="B224" s="262" t="s">
        <v>6165</v>
      </c>
      <c r="C224" s="252" t="s">
        <v>6183</v>
      </c>
      <c r="D224" s="254" t="s">
        <v>6167</v>
      </c>
      <c r="E224" s="253" t="s">
        <v>136</v>
      </c>
      <c r="F224" s="259" t="s">
        <v>8</v>
      </c>
      <c r="AB224" s="196">
        <v>1</v>
      </c>
    </row>
    <row r="225" spans="1:28" ht="15.75" x14ac:dyDescent="0.25">
      <c r="A225" s="251">
        <v>26</v>
      </c>
      <c r="B225" s="262" t="s">
        <v>6184</v>
      </c>
      <c r="C225" s="252" t="s">
        <v>6180</v>
      </c>
      <c r="D225" s="254" t="s">
        <v>6167</v>
      </c>
      <c r="E225" s="253" t="s">
        <v>6179</v>
      </c>
      <c r="F225" s="259" t="s">
        <v>8</v>
      </c>
      <c r="AB225" s="196">
        <v>1</v>
      </c>
    </row>
    <row r="226" spans="1:28" ht="15.75" x14ac:dyDescent="0.25">
      <c r="A226" s="251">
        <v>27</v>
      </c>
      <c r="B226" s="262" t="s">
        <v>6186</v>
      </c>
      <c r="C226" s="252" t="s">
        <v>6171</v>
      </c>
      <c r="D226" s="254" t="s">
        <v>6185</v>
      </c>
      <c r="E226" s="253">
        <v>30</v>
      </c>
      <c r="F226" s="259" t="s">
        <v>8</v>
      </c>
      <c r="AB226" s="196">
        <v>1</v>
      </c>
    </row>
    <row r="227" spans="1:28" ht="15.75" x14ac:dyDescent="0.25">
      <c r="A227" s="251">
        <v>28</v>
      </c>
      <c r="B227" s="262" t="s">
        <v>6187</v>
      </c>
      <c r="C227" s="252" t="s">
        <v>6169</v>
      </c>
      <c r="D227" s="254" t="s">
        <v>6185</v>
      </c>
      <c r="E227" s="253">
        <v>20</v>
      </c>
      <c r="F227" s="259" t="s">
        <v>8</v>
      </c>
      <c r="AB227" s="196">
        <v>1</v>
      </c>
    </row>
    <row r="228" spans="1:28" ht="15.75" x14ac:dyDescent="0.25">
      <c r="A228" s="251">
        <v>29</v>
      </c>
      <c r="B228" s="262" t="s">
        <v>6188</v>
      </c>
      <c r="C228" s="252" t="s">
        <v>6189</v>
      </c>
      <c r="D228" s="254" t="s">
        <v>6185</v>
      </c>
      <c r="E228" s="253">
        <v>50</v>
      </c>
      <c r="F228" s="259" t="s">
        <v>8</v>
      </c>
      <c r="AB228" s="196">
        <v>1</v>
      </c>
    </row>
    <row r="229" spans="1:28" ht="15.75" x14ac:dyDescent="0.25">
      <c r="A229" s="251">
        <v>30</v>
      </c>
      <c r="B229" s="262" t="s">
        <v>6190</v>
      </c>
      <c r="C229" s="252" t="s">
        <v>6191</v>
      </c>
      <c r="D229" s="254" t="s">
        <v>6185</v>
      </c>
      <c r="E229" s="253">
        <v>32</v>
      </c>
      <c r="F229" s="260" t="s">
        <v>311</v>
      </c>
      <c r="AB229" s="196">
        <v>1</v>
      </c>
    </row>
    <row r="230" spans="1:28" ht="15.75" x14ac:dyDescent="0.25">
      <c r="A230" s="251">
        <v>31</v>
      </c>
      <c r="B230" s="262" t="s">
        <v>6192</v>
      </c>
      <c r="C230" s="252" t="s">
        <v>6193</v>
      </c>
      <c r="D230" s="254" t="s">
        <v>6185</v>
      </c>
      <c r="E230" s="253">
        <v>48</v>
      </c>
      <c r="F230" s="260" t="s">
        <v>311</v>
      </c>
      <c r="AB230" s="196">
        <v>1</v>
      </c>
    </row>
    <row r="231" spans="1:28" ht="15.75" x14ac:dyDescent="0.25">
      <c r="A231" s="251">
        <v>32</v>
      </c>
      <c r="B231" s="262" t="s">
        <v>6194</v>
      </c>
      <c r="C231" s="252" t="s">
        <v>6195</v>
      </c>
      <c r="D231" s="254" t="s">
        <v>6185</v>
      </c>
      <c r="E231" s="253">
        <v>21</v>
      </c>
      <c r="F231" s="260" t="s">
        <v>305</v>
      </c>
      <c r="AB231" s="196">
        <v>1</v>
      </c>
    </row>
    <row r="232" spans="1:28" ht="15.75" x14ac:dyDescent="0.25">
      <c r="A232" s="251">
        <v>33</v>
      </c>
      <c r="B232" s="262" t="s">
        <v>6196</v>
      </c>
      <c r="C232" s="252" t="s">
        <v>6191</v>
      </c>
      <c r="D232" s="254" t="s">
        <v>6185</v>
      </c>
      <c r="E232" s="253">
        <v>32</v>
      </c>
      <c r="F232" s="260" t="s">
        <v>311</v>
      </c>
      <c r="AB232" s="196">
        <v>1</v>
      </c>
    </row>
    <row r="233" spans="1:28" ht="15.75" x14ac:dyDescent="0.25">
      <c r="A233" s="251">
        <v>34</v>
      </c>
      <c r="B233" s="262" t="s">
        <v>6197</v>
      </c>
      <c r="C233" s="252" t="s">
        <v>6198</v>
      </c>
      <c r="D233" s="254" t="s">
        <v>6185</v>
      </c>
      <c r="E233" s="253">
        <v>50</v>
      </c>
      <c r="F233" s="260" t="s">
        <v>311</v>
      </c>
      <c r="AB233" s="196">
        <v>1</v>
      </c>
    </row>
    <row r="234" spans="1:28" ht="15.75" x14ac:dyDescent="0.25">
      <c r="A234" s="251">
        <v>35</v>
      </c>
      <c r="B234" s="262" t="s">
        <v>6199</v>
      </c>
      <c r="C234" s="252" t="s">
        <v>6200</v>
      </c>
      <c r="D234" s="254" t="s">
        <v>6185</v>
      </c>
      <c r="E234" s="253">
        <v>50</v>
      </c>
      <c r="F234" s="260" t="s">
        <v>305</v>
      </c>
      <c r="AB234" s="196">
        <v>1</v>
      </c>
    </row>
    <row r="235" spans="1:28" x14ac:dyDescent="0.25">
      <c r="AB235" s="196">
        <v>1</v>
      </c>
    </row>
    <row r="236" spans="1:28" x14ac:dyDescent="0.25">
      <c r="AB236" s="196">
        <v>1</v>
      </c>
    </row>
    <row r="237" spans="1:28" x14ac:dyDescent="0.25">
      <c r="A237" s="196">
        <v>1</v>
      </c>
      <c r="B237" s="196">
        <v>1</v>
      </c>
      <c r="C237" s="196">
        <v>1</v>
      </c>
      <c r="D237" s="196">
        <v>1</v>
      </c>
      <c r="E237" s="196">
        <v>1</v>
      </c>
      <c r="F237" s="196">
        <v>1</v>
      </c>
      <c r="G237" s="196">
        <v>1</v>
      </c>
      <c r="H237" s="196">
        <v>1</v>
      </c>
      <c r="I237" s="196">
        <v>1</v>
      </c>
      <c r="J237" s="196">
        <v>1</v>
      </c>
      <c r="K237" s="196">
        <v>1</v>
      </c>
      <c r="L237" s="196">
        <v>1</v>
      </c>
      <c r="M237" s="196">
        <v>1</v>
      </c>
      <c r="N237" s="196">
        <v>1</v>
      </c>
      <c r="O237" s="196">
        <v>1</v>
      </c>
      <c r="P237" s="196">
        <v>1</v>
      </c>
      <c r="Q237" s="196">
        <v>1</v>
      </c>
      <c r="R237" s="196">
        <v>1</v>
      </c>
      <c r="S237" s="196">
        <v>1</v>
      </c>
      <c r="T237" s="196">
        <v>1</v>
      </c>
      <c r="U237" s="196">
        <v>1</v>
      </c>
      <c r="V237" s="196">
        <v>1</v>
      </c>
      <c r="W237" s="196">
        <v>1</v>
      </c>
      <c r="X237" s="196">
        <v>1</v>
      </c>
      <c r="Y237" s="196">
        <v>1</v>
      </c>
      <c r="Z237" s="196">
        <v>1</v>
      </c>
      <c r="AA237" s="196">
        <v>1</v>
      </c>
      <c r="AB237" s="217" t="s">
        <v>5889</v>
      </c>
    </row>
  </sheetData>
  <hyperlinks>
    <hyperlink ref="G64" r:id="rId1" xr:uid="{A908A354-9CDA-4339-B071-406D5332B033}"/>
    <hyperlink ref="G63" r:id="rId2" xr:uid="{363BD1FC-8778-4434-B9CE-9C6095AF1931}"/>
    <hyperlink ref="G65" r:id="rId3" xr:uid="{2224D96E-6B42-46CA-BD85-082DA163C97B}"/>
    <hyperlink ref="G66" r:id="rId4" xr:uid="{5376F49C-CBE8-4666-815E-D6527283B85D}"/>
    <hyperlink ref="G67" r:id="rId5" xr:uid="{22109D42-6F47-4ECA-A8F0-F159E80DCBE1}"/>
    <hyperlink ref="G68" r:id="rId6" xr:uid="{C989880D-E4FC-4D8E-99BD-B2739AD9DB97}"/>
    <hyperlink ref="G69" r:id="rId7" xr:uid="{074E0BC2-CBBA-4E7C-8696-B87AFC20AF65}"/>
    <hyperlink ref="G70" r:id="rId8" xr:uid="{143B371D-22DC-42A0-8E7C-6FD7812BC1C1}"/>
    <hyperlink ref="G71" r:id="rId9" xr:uid="{70ECBC6F-B22C-4FE3-9BF9-7955A231528B}"/>
    <hyperlink ref="G72" r:id="rId10" xr:uid="{6687DA37-A12C-4CE5-85EB-5D206A604D5D}"/>
    <hyperlink ref="G73" r:id="rId11" xr:uid="{8645E8EE-ECA2-4EC3-B0AF-EF341D9DF92D}"/>
  </hyperlinks>
  <pageMargins left="0.7" right="0.7" top="0.75" bottom="0.75" header="0.3" footer="0.3"/>
  <drawing r:id="rId1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B4347-8272-48F1-BDCF-6E7D7970383F}">
  <dimension ref="A1:W234"/>
  <sheetViews>
    <sheetView workbookViewId="0">
      <selection activeCell="C1" sqref="C1"/>
    </sheetView>
  </sheetViews>
  <sheetFormatPr baseColWidth="10" defaultColWidth="10.28515625" defaultRowHeight="15" x14ac:dyDescent="0.25"/>
  <cols>
    <col min="1" max="1" width="34" style="173" customWidth="1"/>
    <col min="2" max="2" width="15" style="173" customWidth="1"/>
    <col min="3" max="3" width="98.5703125" style="173" customWidth="1"/>
    <col min="4" max="4" width="80.85546875" style="182" customWidth="1"/>
    <col min="5" max="5" width="60" style="182" customWidth="1"/>
    <col min="6" max="6" width="62.28515625" style="182" customWidth="1"/>
    <col min="7" max="7" width="54.5703125" style="182" customWidth="1"/>
    <col min="8" max="8" width="39.42578125" style="173" customWidth="1"/>
    <col min="9" max="9" width="18" style="181" customWidth="1"/>
    <col min="10" max="10" width="55.7109375" style="182" customWidth="1"/>
    <col min="11" max="11" width="31.140625" style="181" customWidth="1"/>
    <col min="12" max="13" width="38" style="181" customWidth="1"/>
    <col min="14" max="14" width="24" style="182" customWidth="1"/>
    <col min="15" max="16384" width="10.28515625" style="173"/>
  </cols>
  <sheetData>
    <row r="1" spans="1:23" ht="40.5" customHeight="1" x14ac:dyDescent="0.25">
      <c r="A1" s="170" t="s">
        <v>6525</v>
      </c>
      <c r="B1" s="171" t="s">
        <v>6526</v>
      </c>
      <c r="C1" s="170" t="s">
        <v>6527</v>
      </c>
      <c r="D1" s="170" t="s">
        <v>6528</v>
      </c>
      <c r="E1" s="170" t="s">
        <v>6529</v>
      </c>
      <c r="F1" s="170" t="s">
        <v>6530</v>
      </c>
      <c r="G1" s="170" t="s">
        <v>6531</v>
      </c>
      <c r="H1" s="172"/>
      <c r="I1" s="172"/>
      <c r="J1" s="172"/>
      <c r="K1" s="172"/>
      <c r="L1" s="172"/>
      <c r="M1" s="172"/>
      <c r="N1" s="172"/>
      <c r="O1" s="172"/>
      <c r="P1" s="172"/>
      <c r="Q1" s="172"/>
      <c r="R1" s="172"/>
      <c r="S1" s="172"/>
      <c r="T1" s="172"/>
      <c r="U1" s="172"/>
      <c r="V1" s="172"/>
      <c r="W1" s="172"/>
    </row>
    <row r="2" spans="1:23" ht="50.1" customHeight="1" x14ac:dyDescent="0.25">
      <c r="A2" s="174" t="s">
        <v>6201</v>
      </c>
      <c r="B2" s="175">
        <v>1</v>
      </c>
      <c r="C2" s="176" t="s">
        <v>6532</v>
      </c>
      <c r="D2" s="73" t="s">
        <v>6533</v>
      </c>
      <c r="E2" s="73" t="s">
        <v>6534</v>
      </c>
      <c r="F2" s="73" t="s">
        <v>6535</v>
      </c>
      <c r="G2" s="73" t="s">
        <v>6536</v>
      </c>
      <c r="I2" s="172"/>
      <c r="J2" s="172"/>
      <c r="K2" s="172"/>
      <c r="L2" s="172"/>
      <c r="M2" s="172"/>
      <c r="N2" s="172"/>
    </row>
    <row r="3" spans="1:23" ht="50.1" customHeight="1" x14ac:dyDescent="0.25">
      <c r="A3" s="174" t="s">
        <v>6201</v>
      </c>
      <c r="B3" s="175">
        <v>2</v>
      </c>
      <c r="C3" s="176" t="s">
        <v>6537</v>
      </c>
      <c r="D3" s="73" t="s">
        <v>6538</v>
      </c>
      <c r="E3" s="73" t="s">
        <v>6539</v>
      </c>
      <c r="F3" s="73" t="s">
        <v>6540</v>
      </c>
      <c r="G3" s="73" t="s">
        <v>6536</v>
      </c>
      <c r="I3" s="172"/>
      <c r="J3" s="172"/>
      <c r="K3" s="172"/>
      <c r="L3" s="172"/>
      <c r="M3" s="172"/>
      <c r="N3" s="172"/>
    </row>
    <row r="4" spans="1:23" ht="50.1" customHeight="1" x14ac:dyDescent="0.25">
      <c r="A4" s="174" t="s">
        <v>6201</v>
      </c>
      <c r="B4" s="175">
        <v>3</v>
      </c>
      <c r="C4" s="176" t="s">
        <v>6541</v>
      </c>
      <c r="D4" s="73" t="s">
        <v>6542</v>
      </c>
      <c r="E4" s="73" t="s">
        <v>6543</v>
      </c>
      <c r="F4" s="73" t="s">
        <v>6544</v>
      </c>
      <c r="G4" s="73" t="s">
        <v>6536</v>
      </c>
      <c r="I4" s="172"/>
      <c r="J4" s="172"/>
      <c r="K4" s="172"/>
      <c r="L4" s="172"/>
      <c r="M4" s="172"/>
      <c r="N4" s="172"/>
    </row>
    <row r="5" spans="1:23" ht="18" customHeight="1" x14ac:dyDescent="0.25">
      <c r="A5" s="270" t="s">
        <v>6111</v>
      </c>
      <c r="B5" s="178"/>
      <c r="C5" s="179"/>
      <c r="D5" s="180"/>
      <c r="E5" s="180"/>
      <c r="F5" s="180"/>
      <c r="G5" s="180"/>
    </row>
    <row r="6" spans="1:23" ht="50.1" customHeight="1" x14ac:dyDescent="0.25">
      <c r="A6" s="183" t="s">
        <v>6545</v>
      </c>
      <c r="B6" s="175">
        <v>1</v>
      </c>
      <c r="C6" s="176" t="s">
        <v>6546</v>
      </c>
      <c r="D6" s="73" t="s">
        <v>6547</v>
      </c>
      <c r="E6" s="73" t="s">
        <v>6548</v>
      </c>
      <c r="F6" s="73" t="s">
        <v>6549</v>
      </c>
      <c r="G6" s="73" t="s">
        <v>6550</v>
      </c>
      <c r="I6" s="172"/>
      <c r="J6" s="172"/>
      <c r="K6" s="172"/>
      <c r="L6" s="172"/>
      <c r="M6" s="172"/>
      <c r="N6" s="172"/>
    </row>
    <row r="7" spans="1:23" ht="50.1" customHeight="1" x14ac:dyDescent="0.25">
      <c r="A7" s="183" t="s">
        <v>6545</v>
      </c>
      <c r="B7" s="175">
        <v>2</v>
      </c>
      <c r="C7" s="176" t="s">
        <v>6551</v>
      </c>
      <c r="D7" s="73" t="s">
        <v>6552</v>
      </c>
      <c r="E7" s="73" t="s">
        <v>6553</v>
      </c>
      <c r="F7" s="73" t="s">
        <v>6554</v>
      </c>
      <c r="G7" s="73" t="s">
        <v>6550</v>
      </c>
      <c r="I7" s="172"/>
      <c r="J7" s="172"/>
      <c r="K7" s="172"/>
      <c r="L7" s="172"/>
      <c r="M7" s="172"/>
      <c r="N7" s="172"/>
    </row>
    <row r="8" spans="1:23" ht="18" customHeight="1" x14ac:dyDescent="0.25">
      <c r="A8" s="177"/>
      <c r="B8" s="178"/>
      <c r="C8" s="179"/>
      <c r="D8" s="180"/>
      <c r="E8" s="180"/>
      <c r="F8" s="180"/>
      <c r="G8" s="180"/>
    </row>
    <row r="9" spans="1:23" ht="50.1" customHeight="1" x14ac:dyDescent="0.25">
      <c r="A9" s="174" t="s">
        <v>6555</v>
      </c>
      <c r="B9" s="175">
        <v>1</v>
      </c>
      <c r="C9" s="176" t="s">
        <v>6556</v>
      </c>
      <c r="D9" s="73" t="s">
        <v>6557</v>
      </c>
      <c r="E9" s="73" t="s">
        <v>6558</v>
      </c>
      <c r="F9" s="73" t="s">
        <v>6559</v>
      </c>
      <c r="G9" s="73" t="s">
        <v>6550</v>
      </c>
      <c r="I9" s="172"/>
      <c r="J9" s="172"/>
      <c r="K9" s="172"/>
      <c r="L9" s="172"/>
      <c r="M9" s="172"/>
      <c r="N9" s="172"/>
    </row>
    <row r="10" spans="1:23" ht="50.1" customHeight="1" x14ac:dyDescent="0.25">
      <c r="A10" s="174" t="s">
        <v>6555</v>
      </c>
      <c r="B10" s="175">
        <v>2</v>
      </c>
      <c r="C10" s="176" t="s">
        <v>6560</v>
      </c>
      <c r="D10" s="73" t="s">
        <v>6561</v>
      </c>
      <c r="E10" s="73" t="s">
        <v>6562</v>
      </c>
      <c r="F10" s="73" t="s">
        <v>6563</v>
      </c>
      <c r="G10" s="73" t="s">
        <v>6550</v>
      </c>
      <c r="I10" s="172"/>
      <c r="J10" s="172"/>
      <c r="K10" s="172"/>
      <c r="L10" s="172"/>
      <c r="M10" s="172"/>
      <c r="N10" s="172"/>
    </row>
    <row r="11" spans="1:23" ht="50.1" customHeight="1" x14ac:dyDescent="0.25">
      <c r="A11" s="174" t="s">
        <v>6555</v>
      </c>
      <c r="B11" s="175">
        <v>3</v>
      </c>
      <c r="C11" s="176" t="s">
        <v>6564</v>
      </c>
      <c r="D11" s="73" t="s">
        <v>6565</v>
      </c>
      <c r="E11" s="73" t="s">
        <v>6566</v>
      </c>
      <c r="F11" s="73" t="s">
        <v>6567</v>
      </c>
      <c r="G11" s="73" t="s">
        <v>6550</v>
      </c>
      <c r="I11" s="172"/>
      <c r="J11" s="172"/>
      <c r="K11" s="172"/>
      <c r="L11" s="172"/>
      <c r="M11" s="172"/>
      <c r="N11" s="172"/>
    </row>
    <row r="12" spans="1:23" ht="50.1" customHeight="1" x14ac:dyDescent="0.25">
      <c r="A12" s="174" t="s">
        <v>6555</v>
      </c>
      <c r="B12" s="175">
        <v>4</v>
      </c>
      <c r="C12" s="176" t="s">
        <v>6568</v>
      </c>
      <c r="D12" s="73" t="s">
        <v>6569</v>
      </c>
      <c r="E12" s="73" t="s">
        <v>6570</v>
      </c>
      <c r="F12" s="73" t="s">
        <v>6571</v>
      </c>
      <c r="G12" s="73" t="s">
        <v>6550</v>
      </c>
      <c r="I12" s="172"/>
      <c r="J12" s="172"/>
      <c r="K12" s="172"/>
      <c r="L12" s="172"/>
      <c r="M12" s="172"/>
      <c r="N12" s="172"/>
    </row>
    <row r="13" spans="1:23" ht="50.1" customHeight="1" x14ac:dyDescent="0.25">
      <c r="A13" s="174" t="s">
        <v>6555</v>
      </c>
      <c r="B13" s="175">
        <v>5</v>
      </c>
      <c r="C13" s="176" t="s">
        <v>6572</v>
      </c>
      <c r="D13" s="73" t="s">
        <v>6573</v>
      </c>
      <c r="E13" s="73" t="s">
        <v>6574</v>
      </c>
      <c r="F13" s="73" t="s">
        <v>6575</v>
      </c>
      <c r="G13" s="73" t="s">
        <v>6550</v>
      </c>
      <c r="I13" s="172"/>
      <c r="J13" s="172"/>
      <c r="K13" s="172"/>
      <c r="L13" s="172"/>
      <c r="M13" s="172"/>
      <c r="N13" s="172"/>
    </row>
    <row r="14" spans="1:23" ht="50.1" customHeight="1" x14ac:dyDescent="0.25">
      <c r="A14" s="174" t="s">
        <v>6555</v>
      </c>
      <c r="B14" s="175">
        <v>6</v>
      </c>
      <c r="C14" s="176" t="s">
        <v>6576</v>
      </c>
      <c r="D14" s="73" t="s">
        <v>6577</v>
      </c>
      <c r="E14" s="73" t="s">
        <v>6578</v>
      </c>
      <c r="F14" s="73" t="s">
        <v>6579</v>
      </c>
      <c r="G14" s="73" t="s">
        <v>6550</v>
      </c>
      <c r="I14" s="172"/>
      <c r="J14" s="172"/>
      <c r="K14" s="172"/>
      <c r="L14" s="172"/>
      <c r="M14" s="172"/>
      <c r="N14" s="172"/>
    </row>
    <row r="15" spans="1:23" ht="50.1" customHeight="1" x14ac:dyDescent="0.25">
      <c r="A15" s="174" t="s">
        <v>6555</v>
      </c>
      <c r="B15" s="175">
        <v>7</v>
      </c>
      <c r="C15" s="176" t="s">
        <v>6580</v>
      </c>
      <c r="D15" s="73" t="s">
        <v>6581</v>
      </c>
      <c r="E15" s="73" t="s">
        <v>6582</v>
      </c>
      <c r="F15" s="73" t="s">
        <v>6583</v>
      </c>
      <c r="G15" s="73" t="s">
        <v>6550</v>
      </c>
      <c r="I15" s="172"/>
      <c r="J15" s="172"/>
      <c r="K15" s="172"/>
      <c r="L15" s="172"/>
      <c r="M15" s="172"/>
      <c r="N15" s="172"/>
    </row>
    <row r="16" spans="1:23" ht="50.1" customHeight="1" x14ac:dyDescent="0.25">
      <c r="A16" s="174" t="s">
        <v>6555</v>
      </c>
      <c r="B16" s="175">
        <v>8</v>
      </c>
      <c r="C16" s="176" t="s">
        <v>6584</v>
      </c>
      <c r="D16" s="73" t="s">
        <v>6585</v>
      </c>
      <c r="E16" s="73" t="s">
        <v>6586</v>
      </c>
      <c r="F16" s="73" t="s">
        <v>6587</v>
      </c>
      <c r="G16" s="73" t="s">
        <v>6550</v>
      </c>
      <c r="I16" s="172"/>
      <c r="J16" s="172"/>
      <c r="K16" s="172"/>
      <c r="L16" s="172"/>
      <c r="M16" s="172"/>
      <c r="N16" s="172"/>
    </row>
    <row r="17" spans="1:14" ht="50.1" customHeight="1" x14ac:dyDescent="0.25">
      <c r="A17" s="174" t="s">
        <v>6555</v>
      </c>
      <c r="B17" s="175">
        <v>9</v>
      </c>
      <c r="C17" s="176" t="s">
        <v>6588</v>
      </c>
      <c r="D17" s="73" t="s">
        <v>6589</v>
      </c>
      <c r="E17" s="73" t="s">
        <v>6590</v>
      </c>
      <c r="F17" s="73" t="s">
        <v>6591</v>
      </c>
      <c r="G17" s="73" t="s">
        <v>6550</v>
      </c>
      <c r="I17" s="172"/>
      <c r="J17" s="172"/>
      <c r="K17" s="172"/>
      <c r="L17" s="172"/>
      <c r="M17" s="172"/>
      <c r="N17" s="172"/>
    </row>
    <row r="18" spans="1:14" ht="50.1" customHeight="1" x14ac:dyDescent="0.25">
      <c r="A18" s="174" t="s">
        <v>6555</v>
      </c>
      <c r="B18" s="175">
        <v>10</v>
      </c>
      <c r="C18" s="176" t="s">
        <v>6592</v>
      </c>
      <c r="D18" s="73" t="s">
        <v>6593</v>
      </c>
      <c r="E18" s="73" t="s">
        <v>6594</v>
      </c>
      <c r="F18" s="73" t="s">
        <v>6595</v>
      </c>
      <c r="G18" s="73" t="s">
        <v>6550</v>
      </c>
      <c r="I18" s="172"/>
      <c r="J18" s="172"/>
      <c r="K18" s="172"/>
      <c r="L18" s="172"/>
      <c r="M18" s="172"/>
      <c r="N18" s="172"/>
    </row>
    <row r="19" spans="1:14" ht="50.1" customHeight="1" x14ac:dyDescent="0.25">
      <c r="A19" s="174" t="s">
        <v>6555</v>
      </c>
      <c r="B19" s="175">
        <v>11</v>
      </c>
      <c r="C19" s="176" t="s">
        <v>6596</v>
      </c>
      <c r="D19" s="73" t="s">
        <v>6597</v>
      </c>
      <c r="E19" s="73" t="s">
        <v>6598</v>
      </c>
      <c r="F19" s="73" t="s">
        <v>6599</v>
      </c>
      <c r="G19" s="73" t="s">
        <v>6550</v>
      </c>
      <c r="I19" s="172"/>
      <c r="J19" s="172"/>
      <c r="K19" s="172"/>
      <c r="L19" s="172"/>
      <c r="M19" s="172"/>
      <c r="N19" s="172"/>
    </row>
    <row r="20" spans="1:14" ht="18" customHeight="1" x14ac:dyDescent="0.25">
      <c r="A20" s="177"/>
      <c r="B20" s="178"/>
      <c r="C20" s="179"/>
      <c r="D20" s="180"/>
      <c r="E20" s="180"/>
      <c r="F20" s="180"/>
      <c r="G20" s="180"/>
    </row>
    <row r="21" spans="1:14" ht="50.1" customHeight="1" x14ac:dyDescent="0.25">
      <c r="A21" s="183" t="s">
        <v>6600</v>
      </c>
      <c r="B21" s="175">
        <v>1</v>
      </c>
      <c r="C21" s="176" t="s">
        <v>6601</v>
      </c>
      <c r="D21" s="73" t="s">
        <v>6602</v>
      </c>
      <c r="E21" s="73" t="s">
        <v>6603</v>
      </c>
      <c r="F21" s="73" t="s">
        <v>6604</v>
      </c>
      <c r="G21" s="73" t="s">
        <v>6605</v>
      </c>
      <c r="I21" s="172"/>
      <c r="J21" s="172"/>
      <c r="K21" s="172"/>
      <c r="L21" s="172"/>
      <c r="M21" s="172"/>
      <c r="N21" s="172"/>
    </row>
    <row r="22" spans="1:14" ht="50.1" customHeight="1" x14ac:dyDescent="0.25">
      <c r="A22" s="183" t="s">
        <v>6600</v>
      </c>
      <c r="B22" s="175">
        <v>2</v>
      </c>
      <c r="C22" s="176" t="s">
        <v>6606</v>
      </c>
      <c r="D22" s="73" t="s">
        <v>6607</v>
      </c>
      <c r="E22" s="73" t="s">
        <v>6608</v>
      </c>
      <c r="F22" s="73" t="s">
        <v>6609</v>
      </c>
      <c r="G22" s="73" t="s">
        <v>6605</v>
      </c>
      <c r="I22" s="172"/>
      <c r="J22" s="172"/>
      <c r="K22" s="172"/>
      <c r="L22" s="172"/>
      <c r="M22" s="172"/>
      <c r="N22" s="172"/>
    </row>
    <row r="23" spans="1:14" ht="50.1" customHeight="1" x14ac:dyDescent="0.25">
      <c r="A23" s="183" t="s">
        <v>6600</v>
      </c>
      <c r="B23" s="175">
        <v>3</v>
      </c>
      <c r="C23" s="176" t="s">
        <v>6610</v>
      </c>
      <c r="D23" s="73" t="s">
        <v>6611</v>
      </c>
      <c r="E23" s="73" t="s">
        <v>6612</v>
      </c>
      <c r="F23" s="73" t="s">
        <v>6613</v>
      </c>
      <c r="G23" s="73" t="s">
        <v>6605</v>
      </c>
      <c r="I23" s="172"/>
      <c r="J23" s="172"/>
      <c r="K23" s="172"/>
      <c r="L23" s="172"/>
      <c r="M23" s="172"/>
      <c r="N23" s="172"/>
    </row>
    <row r="24" spans="1:14" ht="50.1" customHeight="1" x14ac:dyDescent="0.25">
      <c r="A24" s="183" t="s">
        <v>6600</v>
      </c>
      <c r="B24" s="175">
        <v>4</v>
      </c>
      <c r="C24" s="176" t="s">
        <v>6614</v>
      </c>
      <c r="D24" s="73" t="s">
        <v>6615</v>
      </c>
      <c r="E24" s="73" t="s">
        <v>6616</v>
      </c>
      <c r="F24" s="73" t="s">
        <v>6617</v>
      </c>
      <c r="G24" s="73" t="s">
        <v>6605</v>
      </c>
      <c r="I24" s="172"/>
      <c r="J24" s="172"/>
      <c r="K24" s="172"/>
      <c r="L24" s="172"/>
      <c r="M24" s="172"/>
      <c r="N24" s="172"/>
    </row>
    <row r="25" spans="1:14" ht="50.1" customHeight="1" x14ac:dyDescent="0.25">
      <c r="A25" s="183" t="s">
        <v>6600</v>
      </c>
      <c r="B25" s="175">
        <v>5</v>
      </c>
      <c r="C25" s="176" t="s">
        <v>6618</v>
      </c>
      <c r="D25" s="73" t="s">
        <v>6619</v>
      </c>
      <c r="E25" s="73" t="s">
        <v>6620</v>
      </c>
      <c r="F25" s="73" t="s">
        <v>6621</v>
      </c>
      <c r="G25" s="73" t="s">
        <v>6605</v>
      </c>
      <c r="I25" s="172"/>
      <c r="J25" s="172"/>
      <c r="K25" s="172"/>
      <c r="L25" s="172"/>
      <c r="M25" s="172"/>
      <c r="N25" s="172"/>
    </row>
    <row r="26" spans="1:14" ht="50.1" customHeight="1" x14ac:dyDescent="0.25">
      <c r="A26" s="183" t="s">
        <v>6600</v>
      </c>
      <c r="B26" s="175">
        <v>6</v>
      </c>
      <c r="C26" s="176" t="s">
        <v>6622</v>
      </c>
      <c r="D26" s="73" t="s">
        <v>6623</v>
      </c>
      <c r="E26" s="73" t="s">
        <v>6624</v>
      </c>
      <c r="F26" s="73" t="s">
        <v>6625</v>
      </c>
      <c r="G26" s="73" t="s">
        <v>6605</v>
      </c>
      <c r="I26" s="172"/>
      <c r="J26" s="172"/>
      <c r="K26" s="172"/>
      <c r="L26" s="172"/>
      <c r="M26" s="172"/>
      <c r="N26" s="172"/>
    </row>
    <row r="27" spans="1:14" ht="50.1" customHeight="1" x14ac:dyDescent="0.25">
      <c r="A27" s="183" t="s">
        <v>6600</v>
      </c>
      <c r="B27" s="175">
        <v>7</v>
      </c>
      <c r="C27" s="176" t="s">
        <v>6626</v>
      </c>
      <c r="D27" s="73" t="s">
        <v>6627</v>
      </c>
      <c r="E27" s="73" t="s">
        <v>6628</v>
      </c>
      <c r="F27" s="73" t="s">
        <v>6629</v>
      </c>
      <c r="G27" s="73" t="s">
        <v>6605</v>
      </c>
      <c r="I27" s="172"/>
      <c r="J27" s="172"/>
      <c r="K27" s="172"/>
      <c r="L27" s="172"/>
      <c r="M27" s="172"/>
      <c r="N27" s="172"/>
    </row>
    <row r="28" spans="1:14" ht="18" customHeight="1" x14ac:dyDescent="0.25">
      <c r="A28" s="177"/>
      <c r="B28" s="178"/>
      <c r="C28" s="179"/>
      <c r="D28" s="180"/>
      <c r="E28" s="180"/>
      <c r="F28" s="180"/>
      <c r="G28" s="180"/>
    </row>
    <row r="29" spans="1:14" ht="50.1" customHeight="1" x14ac:dyDescent="0.25">
      <c r="A29" s="174" t="s">
        <v>6630</v>
      </c>
      <c r="B29" s="175">
        <v>1</v>
      </c>
      <c r="C29" s="176" t="s">
        <v>6631</v>
      </c>
      <c r="D29" s="73" t="s">
        <v>6632</v>
      </c>
      <c r="E29" s="73" t="s">
        <v>6633</v>
      </c>
      <c r="F29" s="73" t="s">
        <v>6634</v>
      </c>
      <c r="G29" s="73" t="s">
        <v>6550</v>
      </c>
      <c r="I29" s="172"/>
      <c r="J29" s="172"/>
      <c r="K29" s="172"/>
      <c r="L29" s="172"/>
      <c r="M29" s="172"/>
      <c r="N29" s="172"/>
    </row>
    <row r="30" spans="1:14" ht="50.1" customHeight="1" x14ac:dyDescent="0.25">
      <c r="A30" s="174" t="s">
        <v>6630</v>
      </c>
      <c r="B30" s="175">
        <v>2</v>
      </c>
      <c r="C30" s="176" t="s">
        <v>6635</v>
      </c>
      <c r="D30" s="73" t="s">
        <v>6636</v>
      </c>
      <c r="E30" s="73" t="s">
        <v>6637</v>
      </c>
      <c r="F30" s="73" t="s">
        <v>6638</v>
      </c>
      <c r="G30" s="73" t="s">
        <v>6550</v>
      </c>
      <c r="I30" s="172"/>
      <c r="J30" s="172"/>
      <c r="K30" s="172"/>
      <c r="L30" s="172"/>
      <c r="M30" s="172"/>
      <c r="N30" s="172"/>
    </row>
    <row r="31" spans="1:14" ht="50.1" customHeight="1" x14ac:dyDescent="0.25">
      <c r="A31" s="174" t="s">
        <v>6630</v>
      </c>
      <c r="B31" s="175">
        <v>3</v>
      </c>
      <c r="C31" s="176" t="s">
        <v>6639</v>
      </c>
      <c r="D31" s="73" t="s">
        <v>6640</v>
      </c>
      <c r="E31" s="73" t="s">
        <v>6641</v>
      </c>
      <c r="F31" s="73" t="s">
        <v>6642</v>
      </c>
      <c r="G31" s="73" t="s">
        <v>6550</v>
      </c>
      <c r="I31" s="172"/>
      <c r="J31" s="172"/>
      <c r="K31" s="172"/>
      <c r="L31" s="172"/>
      <c r="M31" s="172"/>
      <c r="N31" s="172"/>
    </row>
    <row r="32" spans="1:14" ht="50.1" customHeight="1" x14ac:dyDescent="0.25">
      <c r="A32" s="174" t="s">
        <v>6630</v>
      </c>
      <c r="B32" s="175">
        <v>4</v>
      </c>
      <c r="C32" s="176" t="s">
        <v>6643</v>
      </c>
      <c r="D32" s="73" t="s">
        <v>6644</v>
      </c>
      <c r="E32" s="73" t="s">
        <v>6645</v>
      </c>
      <c r="F32" s="73" t="s">
        <v>6646</v>
      </c>
      <c r="G32" s="73" t="s">
        <v>6550</v>
      </c>
      <c r="I32" s="172"/>
      <c r="J32" s="172"/>
      <c r="K32" s="172"/>
      <c r="L32" s="172"/>
      <c r="M32" s="172"/>
      <c r="N32" s="172"/>
    </row>
    <row r="33" spans="1:14" ht="50.1" customHeight="1" x14ac:dyDescent="0.25">
      <c r="A33" s="174" t="s">
        <v>6630</v>
      </c>
      <c r="B33" s="175">
        <v>5</v>
      </c>
      <c r="C33" s="176" t="s">
        <v>6647</v>
      </c>
      <c r="D33" s="73" t="s">
        <v>6648</v>
      </c>
      <c r="E33" s="73" t="s">
        <v>6649</v>
      </c>
      <c r="F33" s="73" t="s">
        <v>6650</v>
      </c>
      <c r="G33" s="73" t="s">
        <v>6550</v>
      </c>
      <c r="I33" s="172"/>
      <c r="J33" s="172"/>
      <c r="K33" s="172"/>
      <c r="L33" s="172"/>
      <c r="M33" s="172"/>
      <c r="N33" s="172"/>
    </row>
    <row r="34" spans="1:14" ht="50.1" customHeight="1" x14ac:dyDescent="0.25">
      <c r="A34" s="174" t="s">
        <v>6630</v>
      </c>
      <c r="B34" s="175">
        <v>6</v>
      </c>
      <c r="C34" s="176" t="s">
        <v>6651</v>
      </c>
      <c r="D34" s="73" t="s">
        <v>6652</v>
      </c>
      <c r="E34" s="73" t="s">
        <v>6653</v>
      </c>
      <c r="F34" s="73" t="s">
        <v>6654</v>
      </c>
      <c r="G34" s="73" t="s">
        <v>6550</v>
      </c>
    </row>
    <row r="35" spans="1:14" ht="50.1" customHeight="1" x14ac:dyDescent="0.25">
      <c r="A35" s="174" t="s">
        <v>6630</v>
      </c>
      <c r="B35" s="175">
        <v>7</v>
      </c>
      <c r="C35" s="176" t="s">
        <v>6655</v>
      </c>
      <c r="D35" s="73" t="s">
        <v>6656</v>
      </c>
      <c r="E35" s="73" t="s">
        <v>6657</v>
      </c>
      <c r="F35" s="73" t="s">
        <v>6658</v>
      </c>
      <c r="G35" s="73" t="s">
        <v>6550</v>
      </c>
    </row>
    <row r="36" spans="1:14" ht="50.1" customHeight="1" x14ac:dyDescent="0.25">
      <c r="A36" s="174" t="s">
        <v>6630</v>
      </c>
      <c r="B36" s="175">
        <v>8</v>
      </c>
      <c r="C36" s="176" t="s">
        <v>6659</v>
      </c>
      <c r="D36" s="73" t="s">
        <v>6660</v>
      </c>
      <c r="E36" s="73" t="s">
        <v>6661</v>
      </c>
      <c r="F36" s="73" t="s">
        <v>6662</v>
      </c>
      <c r="G36" s="73" t="s">
        <v>6550</v>
      </c>
    </row>
    <row r="37" spans="1:14" ht="50.1" customHeight="1" x14ac:dyDescent="0.25">
      <c r="A37" s="174" t="s">
        <v>6630</v>
      </c>
      <c r="B37" s="175">
        <v>9</v>
      </c>
      <c r="C37" s="176" t="s">
        <v>6663</v>
      </c>
      <c r="D37" s="73" t="s">
        <v>6664</v>
      </c>
      <c r="E37" s="73" t="s">
        <v>6665</v>
      </c>
      <c r="F37" s="73" t="s">
        <v>6666</v>
      </c>
      <c r="G37" s="73" t="s">
        <v>6550</v>
      </c>
    </row>
    <row r="38" spans="1:14" ht="50.1" customHeight="1" x14ac:dyDescent="0.25">
      <c r="A38" s="174" t="s">
        <v>6630</v>
      </c>
      <c r="B38" s="175">
        <v>10</v>
      </c>
      <c r="C38" s="176" t="s">
        <v>6667</v>
      </c>
      <c r="D38" s="73" t="s">
        <v>6668</v>
      </c>
      <c r="E38" s="73" t="s">
        <v>6669</v>
      </c>
      <c r="F38" s="73" t="s">
        <v>6670</v>
      </c>
      <c r="G38" s="73" t="s">
        <v>6550</v>
      </c>
    </row>
    <row r="39" spans="1:14" ht="18" customHeight="1" x14ac:dyDescent="0.25">
      <c r="A39" s="177"/>
      <c r="B39" s="178"/>
      <c r="C39" s="179"/>
      <c r="D39" s="180"/>
      <c r="E39" s="180"/>
      <c r="F39" s="180"/>
      <c r="G39" s="180"/>
    </row>
    <row r="40" spans="1:14" ht="50.1" customHeight="1" x14ac:dyDescent="0.25">
      <c r="A40" s="183" t="s">
        <v>6671</v>
      </c>
      <c r="B40" s="175">
        <v>1</v>
      </c>
      <c r="C40" s="176" t="s">
        <v>6672</v>
      </c>
      <c r="D40" s="73" t="s">
        <v>6673</v>
      </c>
      <c r="E40" s="73" t="s">
        <v>6674</v>
      </c>
      <c r="F40" s="73" t="s">
        <v>6675</v>
      </c>
      <c r="G40" s="73" t="s">
        <v>6605</v>
      </c>
    </row>
    <row r="41" spans="1:14" ht="50.1" customHeight="1" x14ac:dyDescent="0.25">
      <c r="A41" s="183" t="s">
        <v>6671</v>
      </c>
      <c r="B41" s="175">
        <v>2</v>
      </c>
      <c r="C41" s="176" t="s">
        <v>6676</v>
      </c>
      <c r="D41" s="73" t="s">
        <v>6677</v>
      </c>
      <c r="E41" s="73" t="s">
        <v>6678</v>
      </c>
      <c r="F41" s="73" t="s">
        <v>6679</v>
      </c>
      <c r="G41" s="73" t="s">
        <v>6605</v>
      </c>
    </row>
    <row r="42" spans="1:14" ht="50.1" customHeight="1" x14ac:dyDescent="0.25">
      <c r="A42" s="183" t="s">
        <v>6671</v>
      </c>
      <c r="B42" s="175">
        <v>3</v>
      </c>
      <c r="C42" s="176" t="s">
        <v>6680</v>
      </c>
      <c r="D42" s="73" t="s">
        <v>6681</v>
      </c>
      <c r="E42" s="73" t="s">
        <v>6682</v>
      </c>
      <c r="F42" s="73" t="s">
        <v>6683</v>
      </c>
      <c r="G42" s="73" t="s">
        <v>6605</v>
      </c>
    </row>
    <row r="43" spans="1:14" ht="50.1" customHeight="1" x14ac:dyDescent="0.25">
      <c r="A43" s="183" t="s">
        <v>6671</v>
      </c>
      <c r="B43" s="175">
        <v>4</v>
      </c>
      <c r="C43" s="176" t="s">
        <v>6684</v>
      </c>
      <c r="D43" s="73" t="s">
        <v>6685</v>
      </c>
      <c r="E43" s="73" t="s">
        <v>6686</v>
      </c>
      <c r="F43" s="73" t="s">
        <v>6687</v>
      </c>
      <c r="G43" s="73" t="s">
        <v>6605</v>
      </c>
    </row>
    <row r="44" spans="1:14" ht="50.1" customHeight="1" x14ac:dyDescent="0.25">
      <c r="A44" s="183" t="s">
        <v>6671</v>
      </c>
      <c r="B44" s="175">
        <v>5</v>
      </c>
      <c r="C44" s="176" t="s">
        <v>6688</v>
      </c>
      <c r="D44" s="73" t="s">
        <v>6689</v>
      </c>
      <c r="E44" s="73" t="s">
        <v>6690</v>
      </c>
      <c r="F44" s="73" t="s">
        <v>6691</v>
      </c>
      <c r="G44" s="73" t="s">
        <v>6605</v>
      </c>
    </row>
    <row r="45" spans="1:14" ht="50.1" customHeight="1" x14ac:dyDescent="0.25">
      <c r="A45" s="183" t="s">
        <v>6671</v>
      </c>
      <c r="B45" s="175">
        <v>6</v>
      </c>
      <c r="C45" s="176" t="s">
        <v>6692</v>
      </c>
      <c r="D45" s="73" t="s">
        <v>6693</v>
      </c>
      <c r="E45" s="73" t="s">
        <v>6694</v>
      </c>
      <c r="F45" s="73" t="s">
        <v>6695</v>
      </c>
      <c r="G45" s="73" t="s">
        <v>6605</v>
      </c>
    </row>
    <row r="46" spans="1:14" ht="18" customHeight="1" x14ac:dyDescent="0.25">
      <c r="A46" s="177"/>
      <c r="B46" s="178"/>
      <c r="C46" s="179"/>
      <c r="D46" s="180"/>
      <c r="E46" s="180"/>
      <c r="F46" s="180"/>
      <c r="G46" s="180"/>
    </row>
    <row r="47" spans="1:14" ht="50.1" customHeight="1" x14ac:dyDescent="0.25">
      <c r="A47" s="174" t="s">
        <v>6696</v>
      </c>
      <c r="B47" s="175">
        <v>1</v>
      </c>
      <c r="C47" s="176" t="s">
        <v>6697</v>
      </c>
      <c r="D47" s="73" t="s">
        <v>6698</v>
      </c>
      <c r="E47" s="73" t="s">
        <v>6699</v>
      </c>
      <c r="F47" s="73" t="s">
        <v>6700</v>
      </c>
      <c r="G47" s="73" t="s">
        <v>6550</v>
      </c>
    </row>
    <row r="48" spans="1:14" ht="50.1" customHeight="1" x14ac:dyDescent="0.25">
      <c r="A48" s="174" t="s">
        <v>6696</v>
      </c>
      <c r="B48" s="175">
        <v>2</v>
      </c>
      <c r="C48" s="176" t="s">
        <v>6701</v>
      </c>
      <c r="D48" s="73" t="s">
        <v>6702</v>
      </c>
      <c r="E48" s="73" t="s">
        <v>6703</v>
      </c>
      <c r="F48" s="73" t="s">
        <v>6704</v>
      </c>
      <c r="G48" s="73" t="s">
        <v>6550</v>
      </c>
    </row>
    <row r="49" spans="1:7" ht="50.1" customHeight="1" x14ac:dyDescent="0.25">
      <c r="A49" s="174" t="s">
        <v>6696</v>
      </c>
      <c r="B49" s="175">
        <v>3</v>
      </c>
      <c r="C49" s="176" t="s">
        <v>6705</v>
      </c>
      <c r="D49" s="73" t="s">
        <v>6706</v>
      </c>
      <c r="E49" s="73" t="s">
        <v>6707</v>
      </c>
      <c r="F49" s="73" t="s">
        <v>6708</v>
      </c>
      <c r="G49" s="73" t="s">
        <v>6550</v>
      </c>
    </row>
    <row r="50" spans="1:7" ht="50.1" customHeight="1" x14ac:dyDescent="0.25">
      <c r="A50" s="174" t="s">
        <v>6696</v>
      </c>
      <c r="B50" s="175">
        <v>4</v>
      </c>
      <c r="C50" s="176" t="s">
        <v>6709</v>
      </c>
      <c r="D50" s="73" t="s">
        <v>6710</v>
      </c>
      <c r="E50" s="73" t="s">
        <v>6711</v>
      </c>
      <c r="F50" s="73" t="s">
        <v>6712</v>
      </c>
      <c r="G50" s="73" t="s">
        <v>6550</v>
      </c>
    </row>
    <row r="51" spans="1:7" ht="50.1" customHeight="1" x14ac:dyDescent="0.25">
      <c r="A51" s="174" t="s">
        <v>6696</v>
      </c>
      <c r="B51" s="175">
        <v>5</v>
      </c>
      <c r="C51" s="176" t="s">
        <v>6713</v>
      </c>
      <c r="D51" s="73" t="s">
        <v>6714</v>
      </c>
      <c r="E51" s="73" t="s">
        <v>6715</v>
      </c>
      <c r="F51" s="73" t="s">
        <v>6716</v>
      </c>
      <c r="G51" s="73" t="s">
        <v>6550</v>
      </c>
    </row>
    <row r="52" spans="1:7" ht="50.1" customHeight="1" x14ac:dyDescent="0.25">
      <c r="A52" s="174" t="s">
        <v>6696</v>
      </c>
      <c r="B52" s="175">
        <v>6</v>
      </c>
      <c r="C52" s="176" t="s">
        <v>6717</v>
      </c>
      <c r="D52" s="73" t="s">
        <v>6718</v>
      </c>
      <c r="E52" s="73" t="s">
        <v>6719</v>
      </c>
      <c r="F52" s="73" t="s">
        <v>6720</v>
      </c>
      <c r="G52" s="73" t="s">
        <v>6550</v>
      </c>
    </row>
    <row r="53" spans="1:7" ht="18" customHeight="1" x14ac:dyDescent="0.25">
      <c r="A53" s="177"/>
      <c r="B53" s="178"/>
      <c r="C53" s="179"/>
      <c r="D53" s="180"/>
      <c r="E53" s="180"/>
      <c r="F53" s="180"/>
      <c r="G53" s="180"/>
    </row>
    <row r="54" spans="1:7" ht="50.1" customHeight="1" x14ac:dyDescent="0.25">
      <c r="A54" s="183" t="s">
        <v>6721</v>
      </c>
      <c r="B54" s="175">
        <v>1</v>
      </c>
      <c r="C54" s="176" t="s">
        <v>6722</v>
      </c>
      <c r="D54" s="73" t="s">
        <v>6723</v>
      </c>
      <c r="E54" s="73" t="s">
        <v>6724</v>
      </c>
      <c r="F54" s="73" t="s">
        <v>6725</v>
      </c>
      <c r="G54" s="73" t="s">
        <v>6536</v>
      </c>
    </row>
    <row r="55" spans="1:7" ht="50.1" customHeight="1" x14ac:dyDescent="0.25">
      <c r="A55" s="183" t="s">
        <v>6721</v>
      </c>
      <c r="B55" s="175">
        <v>2</v>
      </c>
      <c r="C55" s="176" t="s">
        <v>6726</v>
      </c>
      <c r="D55" s="73" t="s">
        <v>6727</v>
      </c>
      <c r="E55" s="73" t="s">
        <v>6728</v>
      </c>
      <c r="F55" s="73" t="s">
        <v>6729</v>
      </c>
      <c r="G55" s="73" t="s">
        <v>6536</v>
      </c>
    </row>
    <row r="56" spans="1:7" ht="50.1" customHeight="1" x14ac:dyDescent="0.25">
      <c r="A56" s="183" t="s">
        <v>6721</v>
      </c>
      <c r="B56" s="175">
        <v>3</v>
      </c>
      <c r="C56" s="176" t="s">
        <v>6730</v>
      </c>
      <c r="D56" s="73" t="s">
        <v>6731</v>
      </c>
      <c r="E56" s="73" t="s">
        <v>6732</v>
      </c>
      <c r="F56" s="73" t="s">
        <v>6733</v>
      </c>
      <c r="G56" s="73" t="s">
        <v>6536</v>
      </c>
    </row>
    <row r="57" spans="1:7" ht="50.1" customHeight="1" x14ac:dyDescent="0.25">
      <c r="A57" s="183" t="s">
        <v>6721</v>
      </c>
      <c r="B57" s="175">
        <v>4</v>
      </c>
      <c r="C57" s="176" t="s">
        <v>6734</v>
      </c>
      <c r="D57" s="73" t="s">
        <v>6735</v>
      </c>
      <c r="E57" s="73" t="s">
        <v>6736</v>
      </c>
      <c r="F57" s="73" t="s">
        <v>6737</v>
      </c>
      <c r="G57" s="73" t="s">
        <v>6536</v>
      </c>
    </row>
    <row r="58" spans="1:7" ht="50.1" customHeight="1" x14ac:dyDescent="0.25">
      <c r="A58" s="183" t="s">
        <v>6721</v>
      </c>
      <c r="B58" s="175">
        <v>5</v>
      </c>
      <c r="C58" s="176" t="s">
        <v>6738</v>
      </c>
      <c r="D58" s="73" t="s">
        <v>6739</v>
      </c>
      <c r="E58" s="73" t="s">
        <v>6740</v>
      </c>
      <c r="F58" s="73" t="s">
        <v>6741</v>
      </c>
      <c r="G58" s="73" t="s">
        <v>6536</v>
      </c>
    </row>
    <row r="59" spans="1:7" ht="18" customHeight="1" x14ac:dyDescent="0.25">
      <c r="A59" s="177"/>
      <c r="B59" s="178"/>
      <c r="C59" s="179"/>
      <c r="D59" s="180"/>
      <c r="E59" s="180"/>
      <c r="F59" s="180"/>
      <c r="G59" s="180"/>
    </row>
    <row r="60" spans="1:7" ht="50.1" customHeight="1" x14ac:dyDescent="0.25">
      <c r="A60" s="174" t="s">
        <v>6742</v>
      </c>
      <c r="B60" s="175">
        <v>1</v>
      </c>
      <c r="C60" s="176" t="s">
        <v>6743</v>
      </c>
      <c r="D60" s="73" t="s">
        <v>6744</v>
      </c>
      <c r="E60" s="73" t="s">
        <v>6745</v>
      </c>
      <c r="F60" s="73" t="s">
        <v>6746</v>
      </c>
      <c r="G60" s="73" t="s">
        <v>6536</v>
      </c>
    </row>
    <row r="61" spans="1:7" ht="50.1" customHeight="1" x14ac:dyDescent="0.25">
      <c r="A61" s="174" t="s">
        <v>6742</v>
      </c>
      <c r="B61" s="175">
        <v>2</v>
      </c>
      <c r="C61" s="176" t="s">
        <v>6747</v>
      </c>
      <c r="D61" s="73" t="s">
        <v>6748</v>
      </c>
      <c r="E61" s="73" t="s">
        <v>6749</v>
      </c>
      <c r="F61" s="73" t="s">
        <v>6750</v>
      </c>
      <c r="G61" s="73" t="s">
        <v>6536</v>
      </c>
    </row>
    <row r="62" spans="1:7" ht="50.1" customHeight="1" x14ac:dyDescent="0.25">
      <c r="A62" s="174" t="s">
        <v>6742</v>
      </c>
      <c r="B62" s="175">
        <v>3</v>
      </c>
      <c r="C62" s="176" t="s">
        <v>6751</v>
      </c>
      <c r="D62" s="73" t="s">
        <v>6752</v>
      </c>
      <c r="E62" s="73" t="s">
        <v>6753</v>
      </c>
      <c r="F62" s="73" t="s">
        <v>6754</v>
      </c>
      <c r="G62" s="73" t="s">
        <v>6536</v>
      </c>
    </row>
    <row r="63" spans="1:7" ht="50.1" customHeight="1" x14ac:dyDescent="0.25">
      <c r="A63" s="174" t="s">
        <v>6742</v>
      </c>
      <c r="B63" s="175">
        <v>4</v>
      </c>
      <c r="C63" s="176" t="s">
        <v>6755</v>
      </c>
      <c r="D63" s="73" t="s">
        <v>6756</v>
      </c>
      <c r="E63" s="73" t="s">
        <v>6757</v>
      </c>
      <c r="F63" s="73" t="s">
        <v>6758</v>
      </c>
      <c r="G63" s="73" t="s">
        <v>6536</v>
      </c>
    </row>
    <row r="64" spans="1:7" ht="50.1" customHeight="1" x14ac:dyDescent="0.25">
      <c r="A64" s="174" t="s">
        <v>6742</v>
      </c>
      <c r="B64" s="175">
        <v>5</v>
      </c>
      <c r="C64" s="176" t="s">
        <v>6759</v>
      </c>
      <c r="D64" s="73" t="s">
        <v>6760</v>
      </c>
      <c r="E64" s="73" t="s">
        <v>6761</v>
      </c>
      <c r="F64" s="73" t="s">
        <v>6762</v>
      </c>
      <c r="G64" s="73" t="s">
        <v>6536</v>
      </c>
    </row>
    <row r="65" spans="1:7" ht="18" customHeight="1" x14ac:dyDescent="0.25">
      <c r="A65" s="177"/>
      <c r="B65" s="178"/>
      <c r="C65" s="179"/>
      <c r="D65" s="180"/>
      <c r="E65" s="180"/>
      <c r="F65" s="180"/>
      <c r="G65" s="180"/>
    </row>
    <row r="66" spans="1:7" ht="50.1" customHeight="1" x14ac:dyDescent="0.25">
      <c r="A66" s="183" t="s">
        <v>6763</v>
      </c>
      <c r="B66" s="175">
        <v>1</v>
      </c>
      <c r="C66" s="176" t="s">
        <v>6764</v>
      </c>
      <c r="D66" s="73" t="s">
        <v>6765</v>
      </c>
      <c r="E66" s="73" t="s">
        <v>6766</v>
      </c>
      <c r="F66" s="73" t="s">
        <v>6767</v>
      </c>
      <c r="G66" s="73" t="s">
        <v>6536</v>
      </c>
    </row>
    <row r="67" spans="1:7" ht="50.1" customHeight="1" x14ac:dyDescent="0.25">
      <c r="A67" s="183" t="s">
        <v>6763</v>
      </c>
      <c r="B67" s="175">
        <v>2</v>
      </c>
      <c r="C67" s="176" t="s">
        <v>6768</v>
      </c>
      <c r="D67" s="73" t="s">
        <v>6769</v>
      </c>
      <c r="E67" s="73" t="s">
        <v>6770</v>
      </c>
      <c r="F67" s="73" t="s">
        <v>6771</v>
      </c>
      <c r="G67" s="73" t="s">
        <v>6536</v>
      </c>
    </row>
    <row r="68" spans="1:7" ht="50.1" customHeight="1" x14ac:dyDescent="0.25">
      <c r="A68" s="183" t="s">
        <v>6763</v>
      </c>
      <c r="B68" s="175">
        <v>3</v>
      </c>
      <c r="C68" s="176" t="s">
        <v>6772</v>
      </c>
      <c r="D68" s="73" t="s">
        <v>6773</v>
      </c>
      <c r="E68" s="73" t="s">
        <v>6774</v>
      </c>
      <c r="F68" s="73" t="s">
        <v>6775</v>
      </c>
      <c r="G68" s="73" t="s">
        <v>6536</v>
      </c>
    </row>
    <row r="69" spans="1:7" ht="50.1" customHeight="1" x14ac:dyDescent="0.25">
      <c r="A69" s="183" t="s">
        <v>6763</v>
      </c>
      <c r="B69" s="175">
        <v>4</v>
      </c>
      <c r="C69" s="176" t="s">
        <v>6776</v>
      </c>
      <c r="D69" s="73" t="s">
        <v>6777</v>
      </c>
      <c r="E69" s="73" t="s">
        <v>6778</v>
      </c>
      <c r="F69" s="73" t="s">
        <v>6779</v>
      </c>
      <c r="G69" s="73" t="s">
        <v>6536</v>
      </c>
    </row>
    <row r="70" spans="1:7" ht="50.1" customHeight="1" x14ac:dyDescent="0.25">
      <c r="A70" s="183" t="s">
        <v>6763</v>
      </c>
      <c r="B70" s="175">
        <v>5</v>
      </c>
      <c r="C70" s="176" t="s">
        <v>6780</v>
      </c>
      <c r="D70" s="73" t="s">
        <v>6781</v>
      </c>
      <c r="E70" s="73" t="s">
        <v>6782</v>
      </c>
      <c r="F70" s="73" t="s">
        <v>6783</v>
      </c>
      <c r="G70" s="73" t="s">
        <v>6536</v>
      </c>
    </row>
    <row r="71" spans="1:7" ht="50.1" customHeight="1" x14ac:dyDescent="0.25">
      <c r="A71" s="183" t="s">
        <v>6763</v>
      </c>
      <c r="B71" s="175">
        <v>6</v>
      </c>
      <c r="C71" s="176" t="s">
        <v>6784</v>
      </c>
      <c r="D71" s="73" t="s">
        <v>6785</v>
      </c>
      <c r="E71" s="73" t="s">
        <v>6786</v>
      </c>
      <c r="F71" s="73" t="s">
        <v>6787</v>
      </c>
      <c r="G71" s="73" t="s">
        <v>6536</v>
      </c>
    </row>
    <row r="72" spans="1:7" ht="50.1" customHeight="1" x14ac:dyDescent="0.25">
      <c r="A72" s="183" t="s">
        <v>6763</v>
      </c>
      <c r="B72" s="175">
        <v>7</v>
      </c>
      <c r="C72" s="176" t="s">
        <v>6788</v>
      </c>
      <c r="D72" s="73" t="s">
        <v>6789</v>
      </c>
      <c r="E72" s="73" t="s">
        <v>6790</v>
      </c>
      <c r="F72" s="73" t="s">
        <v>6791</v>
      </c>
      <c r="G72" s="73" t="s">
        <v>6536</v>
      </c>
    </row>
    <row r="73" spans="1:7" ht="50.1" customHeight="1" x14ac:dyDescent="0.25">
      <c r="A73" s="183" t="s">
        <v>6763</v>
      </c>
      <c r="B73" s="175">
        <v>8</v>
      </c>
      <c r="C73" s="176" t="s">
        <v>6792</v>
      </c>
      <c r="D73" s="73" t="s">
        <v>6793</v>
      </c>
      <c r="E73" s="73" t="s">
        <v>6794</v>
      </c>
      <c r="F73" s="73" t="s">
        <v>6795</v>
      </c>
      <c r="G73" s="73" t="s">
        <v>6536</v>
      </c>
    </row>
    <row r="74" spans="1:7" ht="50.1" customHeight="1" x14ac:dyDescent="0.25">
      <c r="A74" s="183" t="s">
        <v>6763</v>
      </c>
      <c r="B74" s="175">
        <v>9</v>
      </c>
      <c r="C74" s="176" t="s">
        <v>6796</v>
      </c>
      <c r="D74" s="73" t="s">
        <v>6797</v>
      </c>
      <c r="E74" s="73" t="s">
        <v>6798</v>
      </c>
      <c r="F74" s="73" t="s">
        <v>6799</v>
      </c>
      <c r="G74" s="73" t="s">
        <v>6536</v>
      </c>
    </row>
    <row r="75" spans="1:7" ht="18" customHeight="1" x14ac:dyDescent="0.25">
      <c r="A75" s="177"/>
      <c r="B75" s="178"/>
      <c r="C75" s="179"/>
      <c r="D75" s="180"/>
      <c r="E75" s="180"/>
      <c r="F75" s="180"/>
      <c r="G75" s="180"/>
    </row>
    <row r="76" spans="1:7" ht="50.1" customHeight="1" x14ac:dyDescent="0.25">
      <c r="A76" s="174" t="s">
        <v>6800</v>
      </c>
      <c r="B76" s="175">
        <v>1</v>
      </c>
      <c r="C76" s="176" t="s">
        <v>6801</v>
      </c>
      <c r="D76" s="73" t="s">
        <v>6802</v>
      </c>
      <c r="E76" s="73" t="s">
        <v>6803</v>
      </c>
      <c r="F76" s="73" t="s">
        <v>6804</v>
      </c>
      <c r="G76" s="73" t="s">
        <v>6536</v>
      </c>
    </row>
    <row r="77" spans="1:7" ht="50.1" customHeight="1" x14ac:dyDescent="0.25">
      <c r="A77" s="174" t="s">
        <v>6800</v>
      </c>
      <c r="B77" s="175">
        <v>2</v>
      </c>
      <c r="C77" s="176" t="s">
        <v>6805</v>
      </c>
      <c r="D77" s="73" t="s">
        <v>6806</v>
      </c>
      <c r="E77" s="73" t="s">
        <v>6807</v>
      </c>
      <c r="F77" s="73" t="s">
        <v>6808</v>
      </c>
      <c r="G77" s="73" t="s">
        <v>6536</v>
      </c>
    </row>
    <row r="78" spans="1:7" ht="50.1" customHeight="1" x14ac:dyDescent="0.25">
      <c r="A78" s="174" t="s">
        <v>6800</v>
      </c>
      <c r="B78" s="175">
        <v>3</v>
      </c>
      <c r="C78" s="176" t="s">
        <v>6809</v>
      </c>
      <c r="D78" s="73" t="s">
        <v>6810</v>
      </c>
      <c r="E78" s="73" t="s">
        <v>6811</v>
      </c>
      <c r="F78" s="73" t="s">
        <v>6812</v>
      </c>
      <c r="G78" s="73" t="s">
        <v>6536</v>
      </c>
    </row>
    <row r="79" spans="1:7" ht="50.1" customHeight="1" x14ac:dyDescent="0.25">
      <c r="A79" s="174" t="s">
        <v>6800</v>
      </c>
      <c r="B79" s="175">
        <v>4</v>
      </c>
      <c r="C79" s="176" t="s">
        <v>6813</v>
      </c>
      <c r="D79" s="73" t="s">
        <v>6814</v>
      </c>
      <c r="E79" s="73" t="s">
        <v>6815</v>
      </c>
      <c r="F79" s="73" t="s">
        <v>6816</v>
      </c>
      <c r="G79" s="73" t="s">
        <v>6536</v>
      </c>
    </row>
    <row r="80" spans="1:7" ht="18" customHeight="1" x14ac:dyDescent="0.25">
      <c r="A80" s="177"/>
      <c r="B80" s="178"/>
      <c r="C80" s="179"/>
      <c r="D80" s="180"/>
      <c r="E80" s="180"/>
      <c r="F80" s="180"/>
      <c r="G80" s="180"/>
    </row>
    <row r="81" spans="1:7" ht="50.1" customHeight="1" x14ac:dyDescent="0.25">
      <c r="A81" s="184" t="s">
        <v>6817</v>
      </c>
      <c r="B81" s="185">
        <v>1</v>
      </c>
      <c r="C81" s="186" t="s">
        <v>6818</v>
      </c>
      <c r="D81" s="186" t="s">
        <v>6819</v>
      </c>
      <c r="E81" s="186" t="s">
        <v>6820</v>
      </c>
      <c r="F81" s="186" t="s">
        <v>6821</v>
      </c>
      <c r="G81" s="186" t="s">
        <v>6605</v>
      </c>
    </row>
    <row r="82" spans="1:7" ht="50.1" customHeight="1" x14ac:dyDescent="0.25">
      <c r="A82" s="187" t="s">
        <v>6817</v>
      </c>
      <c r="B82" s="188">
        <v>2</v>
      </c>
      <c r="C82" s="73" t="s">
        <v>6822</v>
      </c>
      <c r="D82" s="73" t="s">
        <v>6823</v>
      </c>
      <c r="E82" s="73" t="s">
        <v>6824</v>
      </c>
      <c r="F82" s="73" t="s">
        <v>6825</v>
      </c>
      <c r="G82" s="73" t="s">
        <v>6605</v>
      </c>
    </row>
    <row r="83" spans="1:7" ht="50.1" customHeight="1" x14ac:dyDescent="0.25">
      <c r="A83" s="187" t="s">
        <v>6817</v>
      </c>
      <c r="B83" s="188">
        <v>3</v>
      </c>
      <c r="C83" s="73" t="s">
        <v>6826</v>
      </c>
      <c r="D83" s="73" t="s">
        <v>6827</v>
      </c>
      <c r="E83" s="73" t="s">
        <v>6828</v>
      </c>
      <c r="F83" s="73" t="s">
        <v>6829</v>
      </c>
      <c r="G83" s="73" t="s">
        <v>6605</v>
      </c>
    </row>
    <row r="84" spans="1:7" ht="50.1" customHeight="1" x14ac:dyDescent="0.25">
      <c r="A84" s="187" t="s">
        <v>6817</v>
      </c>
      <c r="B84" s="188">
        <v>4</v>
      </c>
      <c r="C84" s="73" t="s">
        <v>6830</v>
      </c>
      <c r="D84" s="73" t="s">
        <v>6831</v>
      </c>
      <c r="E84" s="73" t="s">
        <v>6832</v>
      </c>
      <c r="F84" s="73" t="s">
        <v>6833</v>
      </c>
      <c r="G84" s="73" t="s">
        <v>6605</v>
      </c>
    </row>
    <row r="85" spans="1:7" ht="50.1" customHeight="1" x14ac:dyDescent="0.25">
      <c r="A85" s="187" t="s">
        <v>6817</v>
      </c>
      <c r="B85" s="188">
        <v>5</v>
      </c>
      <c r="C85" s="73" t="s">
        <v>6834</v>
      </c>
      <c r="D85" s="73" t="s">
        <v>6835</v>
      </c>
      <c r="E85" s="73" t="s">
        <v>6836</v>
      </c>
      <c r="F85" s="73" t="s">
        <v>6837</v>
      </c>
      <c r="G85" s="73" t="s">
        <v>6605</v>
      </c>
    </row>
    <row r="86" spans="1:7" ht="50.1" customHeight="1" x14ac:dyDescent="0.25">
      <c r="A86" s="187" t="s">
        <v>6817</v>
      </c>
      <c r="B86" s="188">
        <v>6</v>
      </c>
      <c r="C86" s="73" t="s">
        <v>6838</v>
      </c>
      <c r="D86" s="73" t="s">
        <v>6839</v>
      </c>
      <c r="E86" s="73" t="s">
        <v>6840</v>
      </c>
      <c r="F86" s="73" t="s">
        <v>6841</v>
      </c>
      <c r="G86" s="73" t="s">
        <v>6605</v>
      </c>
    </row>
    <row r="87" spans="1:7" ht="50.1" customHeight="1" x14ac:dyDescent="0.25">
      <c r="A87" s="187" t="s">
        <v>6817</v>
      </c>
      <c r="B87" s="188">
        <v>7</v>
      </c>
      <c r="C87" s="73" t="s">
        <v>6842</v>
      </c>
      <c r="D87" s="73" t="s">
        <v>6843</v>
      </c>
      <c r="E87" s="73" t="s">
        <v>6844</v>
      </c>
      <c r="F87" s="73" t="s">
        <v>6845</v>
      </c>
      <c r="G87" s="73" t="s">
        <v>6605</v>
      </c>
    </row>
    <row r="88" spans="1:7" ht="50.1" customHeight="1" x14ac:dyDescent="0.25">
      <c r="A88" s="187"/>
      <c r="B88" s="188"/>
      <c r="C88" s="73"/>
      <c r="D88" s="73"/>
      <c r="E88" s="73"/>
      <c r="F88" s="73"/>
      <c r="G88" s="73"/>
    </row>
    <row r="89" spans="1:7" ht="50.1" customHeight="1" x14ac:dyDescent="0.25">
      <c r="A89" s="184" t="s">
        <v>6846</v>
      </c>
      <c r="B89" s="185">
        <v>1</v>
      </c>
      <c r="C89" s="186" t="s">
        <v>6847</v>
      </c>
      <c r="D89" s="186" t="s">
        <v>6848</v>
      </c>
      <c r="E89" s="186" t="s">
        <v>6849</v>
      </c>
      <c r="F89" s="186" t="s">
        <v>6850</v>
      </c>
      <c r="G89" s="186" t="s">
        <v>6550</v>
      </c>
    </row>
    <row r="90" spans="1:7" ht="50.1" customHeight="1" x14ac:dyDescent="0.25">
      <c r="A90" s="189" t="s">
        <v>6846</v>
      </c>
      <c r="B90" s="188">
        <v>2</v>
      </c>
      <c r="C90" s="73" t="s">
        <v>6851</v>
      </c>
      <c r="D90" s="73" t="s">
        <v>6852</v>
      </c>
      <c r="E90" s="73" t="s">
        <v>6853</v>
      </c>
      <c r="F90" s="73" t="s">
        <v>6854</v>
      </c>
      <c r="G90" s="73" t="s">
        <v>6550</v>
      </c>
    </row>
    <row r="91" spans="1:7" ht="50.1" customHeight="1" x14ac:dyDescent="0.25">
      <c r="A91" s="189" t="s">
        <v>6846</v>
      </c>
      <c r="B91" s="188">
        <v>3</v>
      </c>
      <c r="C91" s="73" t="s">
        <v>6855</v>
      </c>
      <c r="D91" s="73" t="s">
        <v>6856</v>
      </c>
      <c r="E91" s="73" t="s">
        <v>6857</v>
      </c>
      <c r="F91" s="73" t="s">
        <v>6858</v>
      </c>
      <c r="G91" s="73" t="s">
        <v>6550</v>
      </c>
    </row>
    <row r="92" spans="1:7" ht="50.1" customHeight="1" x14ac:dyDescent="0.25">
      <c r="A92" s="189" t="s">
        <v>6846</v>
      </c>
      <c r="B92" s="188">
        <v>4</v>
      </c>
      <c r="C92" s="73" t="s">
        <v>6859</v>
      </c>
      <c r="D92" s="73" t="s">
        <v>6860</v>
      </c>
      <c r="E92" s="73" t="s">
        <v>6861</v>
      </c>
      <c r="F92" s="73" t="s">
        <v>6862</v>
      </c>
      <c r="G92" s="73" t="s">
        <v>6550</v>
      </c>
    </row>
    <row r="93" spans="1:7" ht="50.1" customHeight="1" x14ac:dyDescent="0.25">
      <c r="A93" s="189" t="s">
        <v>6846</v>
      </c>
      <c r="B93" s="188">
        <v>5</v>
      </c>
      <c r="C93" s="73" t="s">
        <v>6863</v>
      </c>
      <c r="D93" s="73" t="s">
        <v>6864</v>
      </c>
      <c r="E93" s="73" t="s">
        <v>6865</v>
      </c>
      <c r="F93" s="73" t="s">
        <v>6866</v>
      </c>
      <c r="G93" s="73" t="s">
        <v>6550</v>
      </c>
    </row>
    <row r="94" spans="1:7" ht="18" customHeight="1" x14ac:dyDescent="0.25">
      <c r="A94" s="177"/>
      <c r="B94" s="178"/>
      <c r="C94" s="179"/>
      <c r="D94" s="180"/>
      <c r="E94" s="180"/>
      <c r="F94" s="180"/>
      <c r="G94" s="180"/>
    </row>
    <row r="95" spans="1:7" ht="50.1" customHeight="1" x14ac:dyDescent="0.25">
      <c r="A95" s="184" t="s">
        <v>6867</v>
      </c>
      <c r="B95" s="185">
        <v>1</v>
      </c>
      <c r="C95" s="186" t="s">
        <v>6868</v>
      </c>
      <c r="D95" s="186" t="s">
        <v>6869</v>
      </c>
      <c r="E95" s="186" t="s">
        <v>6870</v>
      </c>
      <c r="F95" s="186" t="s">
        <v>6871</v>
      </c>
      <c r="G95" s="186" t="s">
        <v>527</v>
      </c>
    </row>
    <row r="96" spans="1:7" ht="50.1" customHeight="1" x14ac:dyDescent="0.25">
      <c r="A96" s="187" t="s">
        <v>6867</v>
      </c>
      <c r="B96" s="188">
        <v>2</v>
      </c>
      <c r="C96" s="73" t="s">
        <v>6872</v>
      </c>
      <c r="D96" s="73" t="s">
        <v>6873</v>
      </c>
      <c r="E96" s="73" t="s">
        <v>6874</v>
      </c>
      <c r="F96" s="73" t="s">
        <v>6875</v>
      </c>
      <c r="G96" s="73" t="s">
        <v>527</v>
      </c>
    </row>
    <row r="97" spans="1:7" ht="50.1" customHeight="1" x14ac:dyDescent="0.25">
      <c r="A97" s="187" t="s">
        <v>6867</v>
      </c>
      <c r="B97" s="188">
        <v>3</v>
      </c>
      <c r="C97" s="73" t="s">
        <v>6876</v>
      </c>
      <c r="D97" s="73" t="s">
        <v>6877</v>
      </c>
      <c r="E97" s="73" t="s">
        <v>6878</v>
      </c>
      <c r="F97" s="73" t="s">
        <v>6879</v>
      </c>
      <c r="G97" s="73" t="s">
        <v>527</v>
      </c>
    </row>
    <row r="98" spans="1:7" ht="50.1" customHeight="1" x14ac:dyDescent="0.25">
      <c r="A98" s="187" t="s">
        <v>6867</v>
      </c>
      <c r="B98" s="188">
        <v>4</v>
      </c>
      <c r="C98" s="73" t="s">
        <v>6880</v>
      </c>
      <c r="D98" s="73" t="s">
        <v>6881</v>
      </c>
      <c r="E98" s="73" t="s">
        <v>6882</v>
      </c>
      <c r="F98" s="73" t="s">
        <v>6883</v>
      </c>
      <c r="G98" s="73" t="s">
        <v>527</v>
      </c>
    </row>
    <row r="99" spans="1:7" ht="50.1" customHeight="1" x14ac:dyDescent="0.25">
      <c r="A99" s="187" t="s">
        <v>6867</v>
      </c>
      <c r="B99" s="188">
        <v>5</v>
      </c>
      <c r="C99" s="73" t="s">
        <v>6884</v>
      </c>
      <c r="D99" s="73" t="s">
        <v>6885</v>
      </c>
      <c r="E99" s="73" t="s">
        <v>6886</v>
      </c>
      <c r="F99" s="73" t="s">
        <v>6887</v>
      </c>
      <c r="G99" s="73" t="s">
        <v>527</v>
      </c>
    </row>
    <row r="100" spans="1:7" ht="50.1" customHeight="1" x14ac:dyDescent="0.25">
      <c r="A100" s="187" t="s">
        <v>6867</v>
      </c>
      <c r="B100" s="188">
        <v>6</v>
      </c>
      <c r="C100" s="73" t="s">
        <v>6888</v>
      </c>
      <c r="D100" s="73" t="s">
        <v>6889</v>
      </c>
      <c r="E100" s="73" t="s">
        <v>6890</v>
      </c>
      <c r="F100" s="73" t="s">
        <v>6891</v>
      </c>
      <c r="G100" s="73" t="s">
        <v>527</v>
      </c>
    </row>
    <row r="101" spans="1:7" ht="18" customHeight="1" x14ac:dyDescent="0.25">
      <c r="A101" s="177"/>
      <c r="B101" s="178"/>
      <c r="C101" s="179"/>
      <c r="D101" s="180"/>
      <c r="E101" s="180"/>
      <c r="F101" s="180"/>
      <c r="G101" s="180"/>
    </row>
    <row r="102" spans="1:7" ht="50.1" customHeight="1" x14ac:dyDescent="0.25">
      <c r="A102" s="184" t="s">
        <v>6892</v>
      </c>
      <c r="B102" s="185">
        <v>1</v>
      </c>
      <c r="C102" s="186" t="s">
        <v>6893</v>
      </c>
      <c r="D102" s="186" t="s">
        <v>6894</v>
      </c>
      <c r="E102" s="186" t="s">
        <v>6895</v>
      </c>
      <c r="F102" s="186" t="s">
        <v>6896</v>
      </c>
      <c r="G102" s="186" t="s">
        <v>6536</v>
      </c>
    </row>
    <row r="103" spans="1:7" ht="50.1" customHeight="1" x14ac:dyDescent="0.25">
      <c r="A103" s="189" t="s">
        <v>6892</v>
      </c>
      <c r="B103" s="188">
        <v>2</v>
      </c>
      <c r="C103" s="73" t="s">
        <v>6897</v>
      </c>
      <c r="D103" s="73" t="s">
        <v>6898</v>
      </c>
      <c r="E103" s="73" t="s">
        <v>6899</v>
      </c>
      <c r="F103" s="73" t="s">
        <v>6900</v>
      </c>
      <c r="G103" s="73" t="s">
        <v>6536</v>
      </c>
    </row>
    <row r="104" spans="1:7" ht="50.1" customHeight="1" x14ac:dyDescent="0.25">
      <c r="A104" s="189" t="s">
        <v>6892</v>
      </c>
      <c r="B104" s="188">
        <v>3</v>
      </c>
      <c r="C104" s="73" t="s">
        <v>6901</v>
      </c>
      <c r="D104" s="73" t="s">
        <v>6902</v>
      </c>
      <c r="E104" s="73" t="s">
        <v>6903</v>
      </c>
      <c r="F104" s="73" t="s">
        <v>6904</v>
      </c>
      <c r="G104" s="73" t="s">
        <v>6536</v>
      </c>
    </row>
    <row r="105" spans="1:7" ht="50.1" customHeight="1" x14ac:dyDescent="0.25">
      <c r="A105" s="189" t="s">
        <v>6892</v>
      </c>
      <c r="B105" s="188">
        <v>4</v>
      </c>
      <c r="C105" s="73" t="s">
        <v>6905</v>
      </c>
      <c r="D105" s="73" t="s">
        <v>6906</v>
      </c>
      <c r="E105" s="73" t="s">
        <v>6907</v>
      </c>
      <c r="F105" s="73" t="s">
        <v>6908</v>
      </c>
      <c r="G105" s="73" t="s">
        <v>6536</v>
      </c>
    </row>
    <row r="106" spans="1:7" ht="50.1" customHeight="1" x14ac:dyDescent="0.25">
      <c r="A106" s="189" t="s">
        <v>6892</v>
      </c>
      <c r="B106" s="188">
        <v>5</v>
      </c>
      <c r="C106" s="73" t="s">
        <v>6909</v>
      </c>
      <c r="D106" s="73" t="s">
        <v>6910</v>
      </c>
      <c r="E106" s="73" t="s">
        <v>6911</v>
      </c>
      <c r="F106" s="73" t="s">
        <v>6912</v>
      </c>
      <c r="G106" s="73" t="s">
        <v>6536</v>
      </c>
    </row>
    <row r="107" spans="1:7" ht="18" customHeight="1" x14ac:dyDescent="0.25">
      <c r="A107" s="177"/>
      <c r="B107" s="178"/>
      <c r="C107" s="179"/>
      <c r="D107" s="180"/>
      <c r="E107" s="180"/>
      <c r="F107" s="180"/>
      <c r="G107" s="180"/>
    </row>
    <row r="108" spans="1:7" ht="50.1" customHeight="1" x14ac:dyDescent="0.25">
      <c r="A108" s="184" t="s">
        <v>6913</v>
      </c>
      <c r="B108" s="185">
        <v>1</v>
      </c>
      <c r="C108" s="186" t="s">
        <v>6914</v>
      </c>
      <c r="D108" s="186" t="s">
        <v>6915</v>
      </c>
      <c r="E108" s="186" t="s">
        <v>6916</v>
      </c>
      <c r="F108" s="186" t="s">
        <v>6917</v>
      </c>
      <c r="G108" s="186" t="s">
        <v>6550</v>
      </c>
    </row>
    <row r="109" spans="1:7" ht="50.1" customHeight="1" x14ac:dyDescent="0.25">
      <c r="A109" s="187" t="s">
        <v>6913</v>
      </c>
      <c r="B109" s="188">
        <v>2</v>
      </c>
      <c r="C109" s="73" t="s">
        <v>6918</v>
      </c>
      <c r="D109" s="73" t="s">
        <v>6919</v>
      </c>
      <c r="E109" s="73" t="s">
        <v>6920</v>
      </c>
      <c r="F109" s="73" t="s">
        <v>6921</v>
      </c>
      <c r="G109" s="73" t="s">
        <v>6550</v>
      </c>
    </row>
    <row r="110" spans="1:7" ht="50.1" customHeight="1" x14ac:dyDescent="0.25">
      <c r="A110" s="187" t="s">
        <v>6913</v>
      </c>
      <c r="B110" s="188">
        <v>3</v>
      </c>
      <c r="C110" s="73" t="s">
        <v>6922</v>
      </c>
      <c r="D110" s="73" t="s">
        <v>6923</v>
      </c>
      <c r="E110" s="73" t="s">
        <v>6924</v>
      </c>
      <c r="F110" s="73" t="s">
        <v>6925</v>
      </c>
      <c r="G110" s="73" t="s">
        <v>6550</v>
      </c>
    </row>
    <row r="111" spans="1:7" ht="50.1" customHeight="1" x14ac:dyDescent="0.25">
      <c r="A111" s="187" t="s">
        <v>6913</v>
      </c>
      <c r="B111" s="188">
        <v>4</v>
      </c>
      <c r="C111" s="73" t="s">
        <v>6926</v>
      </c>
      <c r="D111" s="73" t="s">
        <v>6927</v>
      </c>
      <c r="E111" s="73" t="s">
        <v>6928</v>
      </c>
      <c r="F111" s="73" t="s">
        <v>6929</v>
      </c>
      <c r="G111" s="73" t="s">
        <v>6550</v>
      </c>
    </row>
    <row r="112" spans="1:7" ht="50.1" customHeight="1" x14ac:dyDescent="0.25">
      <c r="A112" s="187" t="s">
        <v>6913</v>
      </c>
      <c r="B112" s="188">
        <v>5</v>
      </c>
      <c r="C112" s="73" t="s">
        <v>6930</v>
      </c>
      <c r="D112" s="73" t="s">
        <v>6931</v>
      </c>
      <c r="E112" s="73" t="s">
        <v>6932</v>
      </c>
      <c r="F112" s="73" t="s">
        <v>6933</v>
      </c>
      <c r="G112" s="73" t="s">
        <v>6550</v>
      </c>
    </row>
    <row r="113" spans="1:7" ht="50.1" customHeight="1" x14ac:dyDescent="0.25">
      <c r="A113" s="187" t="s">
        <v>6913</v>
      </c>
      <c r="B113" s="188">
        <v>6</v>
      </c>
      <c r="C113" s="73" t="s">
        <v>6934</v>
      </c>
      <c r="D113" s="73" t="s">
        <v>6935</v>
      </c>
      <c r="E113" s="73" t="s">
        <v>6936</v>
      </c>
      <c r="F113" s="73" t="s">
        <v>6937</v>
      </c>
      <c r="G113" s="73" t="s">
        <v>6550</v>
      </c>
    </row>
    <row r="114" spans="1:7" ht="18" customHeight="1" x14ac:dyDescent="0.25">
      <c r="A114" s="177"/>
      <c r="B114" s="178"/>
      <c r="C114" s="179"/>
      <c r="D114" s="180"/>
      <c r="E114" s="180"/>
      <c r="F114" s="180"/>
      <c r="G114" s="180"/>
    </row>
    <row r="115" spans="1:7" ht="50.1" customHeight="1" x14ac:dyDescent="0.25">
      <c r="A115" s="184" t="s">
        <v>6938</v>
      </c>
      <c r="B115" s="185">
        <v>1</v>
      </c>
      <c r="C115" s="186" t="s">
        <v>6939</v>
      </c>
      <c r="D115" s="186" t="s">
        <v>6940</v>
      </c>
      <c r="E115" s="186" t="s">
        <v>6941</v>
      </c>
      <c r="F115" s="186" t="s">
        <v>6942</v>
      </c>
      <c r="G115" s="186" t="s">
        <v>6536</v>
      </c>
    </row>
    <row r="116" spans="1:7" ht="50.1" customHeight="1" x14ac:dyDescent="0.25">
      <c r="A116" s="189" t="s">
        <v>6938</v>
      </c>
      <c r="B116" s="188">
        <v>2</v>
      </c>
      <c r="C116" s="73" t="s">
        <v>6943</v>
      </c>
      <c r="D116" s="73" t="s">
        <v>6944</v>
      </c>
      <c r="E116" s="73" t="s">
        <v>6945</v>
      </c>
      <c r="F116" s="73" t="s">
        <v>6946</v>
      </c>
      <c r="G116" s="73" t="s">
        <v>6536</v>
      </c>
    </row>
    <row r="117" spans="1:7" ht="50.1" customHeight="1" x14ac:dyDescent="0.25">
      <c r="A117" s="189" t="s">
        <v>6938</v>
      </c>
      <c r="B117" s="188">
        <v>3</v>
      </c>
      <c r="C117" s="73" t="s">
        <v>6947</v>
      </c>
      <c r="D117" s="73" t="s">
        <v>6948</v>
      </c>
      <c r="E117" s="73" t="s">
        <v>6949</v>
      </c>
      <c r="F117" s="73" t="s">
        <v>6950</v>
      </c>
      <c r="G117" s="73" t="s">
        <v>6536</v>
      </c>
    </row>
    <row r="118" spans="1:7" ht="50.1" customHeight="1" x14ac:dyDescent="0.25">
      <c r="A118" s="189" t="s">
        <v>6938</v>
      </c>
      <c r="B118" s="188">
        <v>4</v>
      </c>
      <c r="C118" s="73" t="s">
        <v>6951</v>
      </c>
      <c r="D118" s="73" t="s">
        <v>6952</v>
      </c>
      <c r="E118" s="73" t="s">
        <v>6953</v>
      </c>
      <c r="F118" s="73" t="s">
        <v>6954</v>
      </c>
      <c r="G118" s="73" t="s">
        <v>6536</v>
      </c>
    </row>
    <row r="119" spans="1:7" ht="50.1" customHeight="1" x14ac:dyDescent="0.25">
      <c r="A119" s="189" t="s">
        <v>6938</v>
      </c>
      <c r="B119" s="188">
        <v>5</v>
      </c>
      <c r="C119" s="73" t="s">
        <v>6955</v>
      </c>
      <c r="D119" s="73" t="s">
        <v>6956</v>
      </c>
      <c r="E119" s="73" t="s">
        <v>6957</v>
      </c>
      <c r="F119" s="73" t="s">
        <v>6958</v>
      </c>
      <c r="G119" s="73" t="s">
        <v>6536</v>
      </c>
    </row>
    <row r="120" spans="1:7" ht="50.1" customHeight="1" x14ac:dyDescent="0.25">
      <c r="A120" s="189" t="s">
        <v>6938</v>
      </c>
      <c r="B120" s="188">
        <v>6</v>
      </c>
      <c r="C120" s="73" t="s">
        <v>6959</v>
      </c>
      <c r="D120" s="73" t="s">
        <v>6960</v>
      </c>
      <c r="E120" s="73" t="s">
        <v>6961</v>
      </c>
      <c r="F120" s="73" t="s">
        <v>6962</v>
      </c>
      <c r="G120" s="73" t="s">
        <v>6536</v>
      </c>
    </row>
    <row r="121" spans="1:7" ht="18" customHeight="1" x14ac:dyDescent="0.25">
      <c r="A121" s="177"/>
      <c r="B121" s="178"/>
      <c r="C121" s="179"/>
      <c r="D121" s="180"/>
      <c r="E121" s="180"/>
      <c r="F121" s="180"/>
      <c r="G121" s="180"/>
    </row>
    <row r="122" spans="1:7" ht="50.1" customHeight="1" x14ac:dyDescent="0.25">
      <c r="A122" s="184" t="s">
        <v>6963</v>
      </c>
      <c r="B122" s="185">
        <v>1</v>
      </c>
      <c r="C122" s="186" t="s">
        <v>6964</v>
      </c>
      <c r="D122" s="186" t="s">
        <v>6965</v>
      </c>
      <c r="E122" s="186" t="s">
        <v>6966</v>
      </c>
      <c r="F122" s="186" t="s">
        <v>6967</v>
      </c>
      <c r="G122" s="186" t="s">
        <v>6536</v>
      </c>
    </row>
    <row r="123" spans="1:7" ht="50.1" customHeight="1" x14ac:dyDescent="0.25">
      <c r="A123" s="187" t="s">
        <v>6963</v>
      </c>
      <c r="B123" s="188">
        <v>2</v>
      </c>
      <c r="C123" s="73" t="s">
        <v>6968</v>
      </c>
      <c r="D123" s="73" t="s">
        <v>6969</v>
      </c>
      <c r="E123" s="73" t="s">
        <v>6970</v>
      </c>
      <c r="F123" s="73" t="s">
        <v>6971</v>
      </c>
      <c r="G123" s="73" t="s">
        <v>6536</v>
      </c>
    </row>
    <row r="124" spans="1:7" ht="50.1" customHeight="1" x14ac:dyDescent="0.25">
      <c r="A124" s="187" t="s">
        <v>6963</v>
      </c>
      <c r="B124" s="188">
        <v>3</v>
      </c>
      <c r="C124" s="73" t="s">
        <v>6972</v>
      </c>
      <c r="D124" s="73" t="s">
        <v>6973</v>
      </c>
      <c r="E124" s="73" t="s">
        <v>6974</v>
      </c>
      <c r="F124" s="73" t="s">
        <v>6975</v>
      </c>
      <c r="G124" s="73" t="s">
        <v>6536</v>
      </c>
    </row>
    <row r="125" spans="1:7" ht="50.1" customHeight="1" x14ac:dyDescent="0.25">
      <c r="A125" s="187" t="s">
        <v>6963</v>
      </c>
      <c r="B125" s="188">
        <v>4</v>
      </c>
      <c r="C125" s="73" t="s">
        <v>6976</v>
      </c>
      <c r="D125" s="73" t="s">
        <v>6977</v>
      </c>
      <c r="E125" s="73" t="s">
        <v>6978</v>
      </c>
      <c r="F125" s="73" t="s">
        <v>6979</v>
      </c>
      <c r="G125" s="73" t="s">
        <v>6536</v>
      </c>
    </row>
    <row r="126" spans="1:7" ht="50.1" customHeight="1" x14ac:dyDescent="0.25">
      <c r="A126" s="187" t="s">
        <v>6963</v>
      </c>
      <c r="B126" s="188">
        <v>5</v>
      </c>
      <c r="C126" s="73" t="s">
        <v>6980</v>
      </c>
      <c r="D126" s="73" t="s">
        <v>6981</v>
      </c>
      <c r="E126" s="73" t="s">
        <v>6982</v>
      </c>
      <c r="F126" s="73" t="s">
        <v>6983</v>
      </c>
      <c r="G126" s="73" t="s">
        <v>6536</v>
      </c>
    </row>
    <row r="127" spans="1:7" ht="18" customHeight="1" x14ac:dyDescent="0.25">
      <c r="A127" s="177"/>
      <c r="B127" s="178"/>
      <c r="C127" s="179"/>
      <c r="D127" s="180"/>
      <c r="E127" s="180"/>
      <c r="F127" s="180"/>
      <c r="G127" s="180"/>
    </row>
    <row r="128" spans="1:7" ht="50.1" customHeight="1" x14ac:dyDescent="0.25">
      <c r="A128" s="184" t="s">
        <v>6984</v>
      </c>
      <c r="B128" s="185">
        <v>1</v>
      </c>
      <c r="C128" s="186" t="s">
        <v>6985</v>
      </c>
      <c r="D128" s="186" t="s">
        <v>6986</v>
      </c>
      <c r="E128" s="186" t="s">
        <v>6987</v>
      </c>
      <c r="F128" s="186" t="s">
        <v>6988</v>
      </c>
      <c r="G128" s="186" t="s">
        <v>6989</v>
      </c>
    </row>
    <row r="129" spans="1:7" ht="50.1" customHeight="1" x14ac:dyDescent="0.25">
      <c r="A129" s="189" t="s">
        <v>6984</v>
      </c>
      <c r="B129" s="188">
        <v>2</v>
      </c>
      <c r="C129" s="73" t="s">
        <v>6990</v>
      </c>
      <c r="D129" s="73" t="s">
        <v>6991</v>
      </c>
      <c r="E129" s="73" t="s">
        <v>6992</v>
      </c>
      <c r="F129" s="73" t="s">
        <v>6993</v>
      </c>
      <c r="G129" s="73" t="s">
        <v>6989</v>
      </c>
    </row>
    <row r="130" spans="1:7" ht="50.1" customHeight="1" x14ac:dyDescent="0.25">
      <c r="A130" s="189" t="s">
        <v>6984</v>
      </c>
      <c r="B130" s="188">
        <v>3</v>
      </c>
      <c r="C130" s="73" t="s">
        <v>6994</v>
      </c>
      <c r="D130" s="73" t="s">
        <v>6995</v>
      </c>
      <c r="E130" s="73" t="s">
        <v>6996</v>
      </c>
      <c r="F130" s="73" t="s">
        <v>6997</v>
      </c>
      <c r="G130" s="73" t="s">
        <v>6989</v>
      </c>
    </row>
    <row r="131" spans="1:7" ht="50.1" customHeight="1" x14ac:dyDescent="0.25">
      <c r="A131" s="189" t="s">
        <v>6984</v>
      </c>
      <c r="B131" s="188">
        <v>4</v>
      </c>
      <c r="C131" s="73" t="s">
        <v>6998</v>
      </c>
      <c r="D131" s="73" t="s">
        <v>6999</v>
      </c>
      <c r="E131" s="73" t="s">
        <v>7000</v>
      </c>
      <c r="F131" s="73" t="s">
        <v>7001</v>
      </c>
      <c r="G131" s="73" t="s">
        <v>6989</v>
      </c>
    </row>
    <row r="132" spans="1:7" ht="50.1" customHeight="1" x14ac:dyDescent="0.25">
      <c r="A132" s="189" t="s">
        <v>6984</v>
      </c>
      <c r="B132" s="188">
        <v>5</v>
      </c>
      <c r="C132" s="73" t="s">
        <v>7002</v>
      </c>
      <c r="D132" s="73" t="s">
        <v>7003</v>
      </c>
      <c r="E132" s="73" t="s">
        <v>7004</v>
      </c>
      <c r="F132" s="73" t="s">
        <v>7005</v>
      </c>
      <c r="G132" s="73" t="s">
        <v>6989</v>
      </c>
    </row>
    <row r="133" spans="1:7" ht="50.1" customHeight="1" x14ac:dyDescent="0.25">
      <c r="A133" s="189" t="s">
        <v>6984</v>
      </c>
      <c r="B133" s="188">
        <v>6</v>
      </c>
      <c r="C133" s="73" t="s">
        <v>7006</v>
      </c>
      <c r="D133" s="73" t="s">
        <v>7007</v>
      </c>
      <c r="E133" s="73" t="s">
        <v>7008</v>
      </c>
      <c r="F133" s="73" t="s">
        <v>7009</v>
      </c>
      <c r="G133" s="73" t="s">
        <v>6989</v>
      </c>
    </row>
    <row r="134" spans="1:7" ht="18" customHeight="1" x14ac:dyDescent="0.25">
      <c r="A134" s="177"/>
      <c r="B134" s="178"/>
      <c r="C134" s="179"/>
      <c r="D134" s="180"/>
      <c r="E134" s="180"/>
      <c r="F134" s="180"/>
      <c r="G134" s="180"/>
    </row>
    <row r="135" spans="1:7" ht="50.1" customHeight="1" x14ac:dyDescent="0.25">
      <c r="A135" s="184" t="s">
        <v>7010</v>
      </c>
      <c r="B135" s="185">
        <v>1</v>
      </c>
      <c r="C135" s="186" t="s">
        <v>7011</v>
      </c>
      <c r="D135" s="186" t="s">
        <v>7012</v>
      </c>
      <c r="E135" s="186" t="s">
        <v>7013</v>
      </c>
      <c r="F135" s="186" t="s">
        <v>7014</v>
      </c>
      <c r="G135" s="186" t="s">
        <v>6536</v>
      </c>
    </row>
    <row r="136" spans="1:7" ht="50.1" customHeight="1" x14ac:dyDescent="0.25">
      <c r="A136" s="187" t="s">
        <v>7010</v>
      </c>
      <c r="B136" s="188">
        <v>2</v>
      </c>
      <c r="C136" s="73" t="s">
        <v>7015</v>
      </c>
      <c r="D136" s="73" t="s">
        <v>7016</v>
      </c>
      <c r="E136" s="73" t="s">
        <v>7017</v>
      </c>
      <c r="F136" s="73" t="s">
        <v>7018</v>
      </c>
      <c r="G136" s="73" t="s">
        <v>6536</v>
      </c>
    </row>
    <row r="137" spans="1:7" ht="50.1" customHeight="1" x14ac:dyDescent="0.25">
      <c r="A137" s="187" t="s">
        <v>7010</v>
      </c>
      <c r="B137" s="188">
        <v>3</v>
      </c>
      <c r="C137" s="73" t="s">
        <v>7019</v>
      </c>
      <c r="D137" s="73" t="s">
        <v>7020</v>
      </c>
      <c r="E137" s="73" t="s">
        <v>7021</v>
      </c>
      <c r="F137" s="73" t="s">
        <v>7022</v>
      </c>
      <c r="G137" s="73" t="s">
        <v>6536</v>
      </c>
    </row>
    <row r="138" spans="1:7" ht="50.1" customHeight="1" x14ac:dyDescent="0.25">
      <c r="A138" s="187" t="s">
        <v>7010</v>
      </c>
      <c r="B138" s="188">
        <v>4</v>
      </c>
      <c r="C138" s="73" t="s">
        <v>7023</v>
      </c>
      <c r="D138" s="73" t="s">
        <v>7024</v>
      </c>
      <c r="E138" s="73" t="s">
        <v>7025</v>
      </c>
      <c r="F138" s="73" t="s">
        <v>7026</v>
      </c>
      <c r="G138" s="73" t="s">
        <v>6536</v>
      </c>
    </row>
    <row r="139" spans="1:7" ht="50.1" customHeight="1" x14ac:dyDescent="0.25">
      <c r="A139" s="187" t="s">
        <v>7010</v>
      </c>
      <c r="B139" s="188">
        <v>5</v>
      </c>
      <c r="C139" s="73" t="s">
        <v>7027</v>
      </c>
      <c r="D139" s="73" t="s">
        <v>7028</v>
      </c>
      <c r="E139" s="73" t="s">
        <v>7029</v>
      </c>
      <c r="F139" s="73" t="s">
        <v>7030</v>
      </c>
      <c r="G139" s="73" t="s">
        <v>6536</v>
      </c>
    </row>
    <row r="140" spans="1:7" ht="50.1" customHeight="1" x14ac:dyDescent="0.25">
      <c r="A140" s="187" t="s">
        <v>7010</v>
      </c>
      <c r="B140" s="188">
        <v>6</v>
      </c>
      <c r="C140" s="73" t="s">
        <v>7031</v>
      </c>
      <c r="D140" s="73" t="s">
        <v>7032</v>
      </c>
      <c r="E140" s="73" t="s">
        <v>7033</v>
      </c>
      <c r="F140" s="73" t="s">
        <v>7034</v>
      </c>
      <c r="G140" s="73" t="s">
        <v>6536</v>
      </c>
    </row>
    <row r="141" spans="1:7" ht="50.1" customHeight="1" x14ac:dyDescent="0.25">
      <c r="A141" s="187" t="s">
        <v>7010</v>
      </c>
      <c r="B141" s="188">
        <v>7</v>
      </c>
      <c r="C141" s="73" t="s">
        <v>7035</v>
      </c>
      <c r="D141" s="73" t="s">
        <v>7036</v>
      </c>
      <c r="E141" s="73" t="s">
        <v>7037</v>
      </c>
      <c r="F141" s="73" t="s">
        <v>7038</v>
      </c>
      <c r="G141" s="73" t="s">
        <v>6536</v>
      </c>
    </row>
    <row r="142" spans="1:7" ht="18" customHeight="1" x14ac:dyDescent="0.25">
      <c r="A142" s="177"/>
      <c r="B142" s="178"/>
      <c r="C142" s="179"/>
      <c r="D142" s="180"/>
      <c r="E142" s="180"/>
      <c r="F142" s="180"/>
      <c r="G142" s="180"/>
    </row>
    <row r="143" spans="1:7" ht="50.1" customHeight="1" x14ac:dyDescent="0.25">
      <c r="A143" s="184" t="s">
        <v>7039</v>
      </c>
      <c r="B143" s="185">
        <v>1</v>
      </c>
      <c r="C143" s="186" t="s">
        <v>7040</v>
      </c>
      <c r="D143" s="186" t="s">
        <v>7041</v>
      </c>
      <c r="E143" s="186" t="s">
        <v>7042</v>
      </c>
      <c r="F143" s="186" t="s">
        <v>7043</v>
      </c>
      <c r="G143" s="186" t="s">
        <v>6536</v>
      </c>
    </row>
    <row r="144" spans="1:7" ht="50.1" customHeight="1" x14ac:dyDescent="0.25">
      <c r="A144" s="189" t="s">
        <v>7039</v>
      </c>
      <c r="B144" s="188">
        <v>2</v>
      </c>
      <c r="C144" s="73" t="s">
        <v>7044</v>
      </c>
      <c r="D144" s="73" t="s">
        <v>7045</v>
      </c>
      <c r="E144" s="73" t="s">
        <v>7046</v>
      </c>
      <c r="F144" s="73" t="s">
        <v>7047</v>
      </c>
      <c r="G144" s="73" t="s">
        <v>6536</v>
      </c>
    </row>
    <row r="145" spans="1:7" ht="50.1" customHeight="1" x14ac:dyDescent="0.25">
      <c r="A145" s="189" t="s">
        <v>7039</v>
      </c>
      <c r="B145" s="188">
        <v>3</v>
      </c>
      <c r="C145" s="73" t="s">
        <v>7048</v>
      </c>
      <c r="D145" s="73" t="s">
        <v>7049</v>
      </c>
      <c r="E145" s="73" t="s">
        <v>7050</v>
      </c>
      <c r="F145" s="73" t="s">
        <v>7051</v>
      </c>
      <c r="G145" s="73" t="s">
        <v>6536</v>
      </c>
    </row>
    <row r="146" spans="1:7" ht="50.1" customHeight="1" x14ac:dyDescent="0.25">
      <c r="A146" s="189" t="s">
        <v>7039</v>
      </c>
      <c r="B146" s="188">
        <v>4</v>
      </c>
      <c r="C146" s="73" t="s">
        <v>7052</v>
      </c>
      <c r="D146" s="73" t="s">
        <v>7053</v>
      </c>
      <c r="E146" s="73" t="s">
        <v>7054</v>
      </c>
      <c r="F146" s="73" t="s">
        <v>7055</v>
      </c>
      <c r="G146" s="73" t="s">
        <v>6536</v>
      </c>
    </row>
    <row r="147" spans="1:7" ht="50.1" customHeight="1" x14ac:dyDescent="0.25">
      <c r="A147" s="189" t="s">
        <v>7039</v>
      </c>
      <c r="B147" s="188">
        <v>5</v>
      </c>
      <c r="C147" s="73" t="s">
        <v>7056</v>
      </c>
      <c r="D147" s="73" t="s">
        <v>7057</v>
      </c>
      <c r="E147" s="73" t="s">
        <v>7058</v>
      </c>
      <c r="F147" s="73" t="s">
        <v>7059</v>
      </c>
      <c r="G147" s="73" t="s">
        <v>6536</v>
      </c>
    </row>
    <row r="148" spans="1:7" ht="50.1" customHeight="1" x14ac:dyDescent="0.25">
      <c r="A148" s="189" t="s">
        <v>7039</v>
      </c>
      <c r="B148" s="188">
        <v>6</v>
      </c>
      <c r="C148" s="73" t="s">
        <v>7060</v>
      </c>
      <c r="D148" s="73" t="s">
        <v>7061</v>
      </c>
      <c r="E148" s="73" t="s">
        <v>7062</v>
      </c>
      <c r="F148" s="73" t="s">
        <v>7063</v>
      </c>
      <c r="G148" s="73" t="s">
        <v>6536</v>
      </c>
    </row>
    <row r="149" spans="1:7" ht="50.1" customHeight="1" x14ac:dyDescent="0.25">
      <c r="A149" s="189" t="s">
        <v>7039</v>
      </c>
      <c r="B149" s="188">
        <v>7</v>
      </c>
      <c r="C149" s="73" t="s">
        <v>7064</v>
      </c>
      <c r="D149" s="73" t="s">
        <v>7065</v>
      </c>
      <c r="E149" s="73" t="s">
        <v>7066</v>
      </c>
      <c r="F149" s="73" t="s">
        <v>7067</v>
      </c>
      <c r="G149" s="73" t="s">
        <v>6536</v>
      </c>
    </row>
    <row r="150" spans="1:7" ht="18" customHeight="1" x14ac:dyDescent="0.25">
      <c r="A150" s="177"/>
      <c r="B150" s="178"/>
      <c r="C150" s="179"/>
      <c r="D150" s="180"/>
      <c r="E150" s="180"/>
      <c r="F150" s="180"/>
      <c r="G150" s="180"/>
    </row>
    <row r="151" spans="1:7" ht="50.1" customHeight="1" x14ac:dyDescent="0.25">
      <c r="A151" s="184" t="s">
        <v>7068</v>
      </c>
      <c r="B151" s="185">
        <v>1</v>
      </c>
      <c r="C151" s="186" t="s">
        <v>7069</v>
      </c>
      <c r="D151" s="186" t="s">
        <v>7070</v>
      </c>
      <c r="E151" s="186" t="s">
        <v>7071</v>
      </c>
      <c r="F151" s="186" t="s">
        <v>7072</v>
      </c>
      <c r="G151" s="186" t="s">
        <v>6536</v>
      </c>
    </row>
    <row r="152" spans="1:7" ht="50.1" customHeight="1" x14ac:dyDescent="0.25">
      <c r="A152" s="187" t="s">
        <v>7068</v>
      </c>
      <c r="B152" s="188">
        <v>2</v>
      </c>
      <c r="C152" s="73" t="s">
        <v>7073</v>
      </c>
      <c r="D152" s="73" t="s">
        <v>7074</v>
      </c>
      <c r="E152" s="73" t="s">
        <v>7075</v>
      </c>
      <c r="F152" s="73" t="s">
        <v>7076</v>
      </c>
      <c r="G152" s="73" t="s">
        <v>6536</v>
      </c>
    </row>
    <row r="153" spans="1:7" ht="50.1" customHeight="1" x14ac:dyDescent="0.25">
      <c r="A153" s="187" t="s">
        <v>7068</v>
      </c>
      <c r="B153" s="188">
        <v>3</v>
      </c>
      <c r="C153" s="73" t="s">
        <v>7077</v>
      </c>
      <c r="D153" s="73" t="s">
        <v>7078</v>
      </c>
      <c r="E153" s="73" t="s">
        <v>7079</v>
      </c>
      <c r="F153" s="73" t="s">
        <v>7080</v>
      </c>
      <c r="G153" s="73" t="s">
        <v>6536</v>
      </c>
    </row>
    <row r="154" spans="1:7" ht="50.1" customHeight="1" x14ac:dyDescent="0.25">
      <c r="A154" s="187" t="s">
        <v>7068</v>
      </c>
      <c r="B154" s="188">
        <v>4</v>
      </c>
      <c r="C154" s="73" t="s">
        <v>7081</v>
      </c>
      <c r="D154" s="73" t="s">
        <v>7082</v>
      </c>
      <c r="E154" s="73" t="s">
        <v>7083</v>
      </c>
      <c r="F154" s="73" t="s">
        <v>7084</v>
      </c>
      <c r="G154" s="73" t="s">
        <v>6536</v>
      </c>
    </row>
    <row r="155" spans="1:7" ht="50.1" customHeight="1" x14ac:dyDescent="0.25">
      <c r="A155" s="187" t="s">
        <v>7068</v>
      </c>
      <c r="B155" s="188">
        <v>5</v>
      </c>
      <c r="C155" s="73" t="s">
        <v>7085</v>
      </c>
      <c r="D155" s="73" t="s">
        <v>7086</v>
      </c>
      <c r="E155" s="73" t="s">
        <v>7087</v>
      </c>
      <c r="F155" s="73" t="s">
        <v>7088</v>
      </c>
      <c r="G155" s="73" t="s">
        <v>6536</v>
      </c>
    </row>
    <row r="156" spans="1:7" ht="18" customHeight="1" x14ac:dyDescent="0.25">
      <c r="A156" s="177"/>
      <c r="B156" s="178"/>
      <c r="C156" s="179"/>
      <c r="D156" s="180"/>
      <c r="E156" s="180"/>
      <c r="F156" s="180"/>
      <c r="G156" s="180"/>
    </row>
    <row r="157" spans="1:7" ht="50.1" customHeight="1" x14ac:dyDescent="0.25">
      <c r="A157" s="184" t="s">
        <v>7089</v>
      </c>
      <c r="B157" s="185">
        <v>1</v>
      </c>
      <c r="C157" s="186" t="s">
        <v>7090</v>
      </c>
      <c r="D157" s="186" t="s">
        <v>7091</v>
      </c>
      <c r="E157" s="186" t="s">
        <v>7092</v>
      </c>
      <c r="F157" s="186" t="s">
        <v>7093</v>
      </c>
      <c r="G157" s="186" t="s">
        <v>6536</v>
      </c>
    </row>
    <row r="158" spans="1:7" ht="50.1" customHeight="1" x14ac:dyDescent="0.25">
      <c r="A158" s="189" t="s">
        <v>7089</v>
      </c>
      <c r="B158" s="188">
        <v>2</v>
      </c>
      <c r="C158" s="73" t="s">
        <v>7094</v>
      </c>
      <c r="D158" s="73" t="s">
        <v>7095</v>
      </c>
      <c r="E158" s="73" t="s">
        <v>7096</v>
      </c>
      <c r="F158" s="73" t="s">
        <v>7097</v>
      </c>
      <c r="G158" s="73" t="s">
        <v>6536</v>
      </c>
    </row>
    <row r="159" spans="1:7" ht="50.1" customHeight="1" x14ac:dyDescent="0.25">
      <c r="A159" s="189" t="s">
        <v>7089</v>
      </c>
      <c r="B159" s="188">
        <v>3</v>
      </c>
      <c r="C159" s="73" t="s">
        <v>7098</v>
      </c>
      <c r="D159" s="73" t="s">
        <v>7099</v>
      </c>
      <c r="E159" s="73" t="s">
        <v>7100</v>
      </c>
      <c r="F159" s="73" t="s">
        <v>7101</v>
      </c>
      <c r="G159" s="73" t="s">
        <v>6536</v>
      </c>
    </row>
    <row r="160" spans="1:7" ht="50.1" customHeight="1" x14ac:dyDescent="0.25">
      <c r="A160" s="189" t="s">
        <v>7089</v>
      </c>
      <c r="B160" s="188">
        <v>4</v>
      </c>
      <c r="C160" s="73" t="s">
        <v>7102</v>
      </c>
      <c r="D160" s="73" t="s">
        <v>7103</v>
      </c>
      <c r="E160" s="73" t="s">
        <v>7104</v>
      </c>
      <c r="F160" s="73" t="s">
        <v>7105</v>
      </c>
      <c r="G160" s="73" t="s">
        <v>6536</v>
      </c>
    </row>
    <row r="161" spans="1:7" ht="50.1" customHeight="1" x14ac:dyDescent="0.25">
      <c r="A161" s="189" t="s">
        <v>7089</v>
      </c>
      <c r="B161" s="188">
        <v>5</v>
      </c>
      <c r="C161" s="73" t="s">
        <v>7106</v>
      </c>
      <c r="D161" s="73" t="s">
        <v>7107</v>
      </c>
      <c r="E161" s="73" t="s">
        <v>7108</v>
      </c>
      <c r="F161" s="73" t="s">
        <v>7109</v>
      </c>
      <c r="G161" s="73" t="s">
        <v>6536</v>
      </c>
    </row>
    <row r="162" spans="1:7" ht="50.1" customHeight="1" x14ac:dyDescent="0.25">
      <c r="A162" s="189" t="s">
        <v>7089</v>
      </c>
      <c r="B162" s="188">
        <v>6</v>
      </c>
      <c r="C162" s="73" t="s">
        <v>7110</v>
      </c>
      <c r="D162" s="73" t="s">
        <v>7111</v>
      </c>
      <c r="E162" s="73" t="s">
        <v>7112</v>
      </c>
      <c r="F162" s="73" t="s">
        <v>7113</v>
      </c>
      <c r="G162" s="73" t="s">
        <v>6536</v>
      </c>
    </row>
    <row r="163" spans="1:7" ht="50.1" customHeight="1" x14ac:dyDescent="0.25">
      <c r="A163" s="189" t="s">
        <v>7089</v>
      </c>
      <c r="B163" s="188">
        <v>7</v>
      </c>
      <c r="C163" s="73" t="s">
        <v>7114</v>
      </c>
      <c r="D163" s="73" t="s">
        <v>7115</v>
      </c>
      <c r="E163" s="73" t="s">
        <v>7116</v>
      </c>
      <c r="F163" s="73" t="s">
        <v>7117</v>
      </c>
      <c r="G163" s="73" t="s">
        <v>6536</v>
      </c>
    </row>
    <row r="164" spans="1:7" ht="18" customHeight="1" x14ac:dyDescent="0.25">
      <c r="A164" s="177"/>
      <c r="B164" s="178"/>
      <c r="C164" s="179"/>
      <c r="D164" s="180"/>
      <c r="E164" s="180"/>
      <c r="F164" s="180"/>
      <c r="G164" s="180"/>
    </row>
    <row r="165" spans="1:7" ht="50.1" customHeight="1" x14ac:dyDescent="0.25">
      <c r="A165" s="184" t="s">
        <v>7118</v>
      </c>
      <c r="B165" s="185">
        <v>1</v>
      </c>
      <c r="C165" s="186" t="s">
        <v>7119</v>
      </c>
      <c r="D165" s="186" t="s">
        <v>7120</v>
      </c>
      <c r="E165" s="186" t="s">
        <v>7121</v>
      </c>
      <c r="F165" s="186" t="s">
        <v>7122</v>
      </c>
      <c r="G165" s="186" t="s">
        <v>6536</v>
      </c>
    </row>
    <row r="166" spans="1:7" ht="50.1" customHeight="1" x14ac:dyDescent="0.25">
      <c r="A166" s="187" t="s">
        <v>7118</v>
      </c>
      <c r="B166" s="188">
        <v>2</v>
      </c>
      <c r="C166" s="73" t="s">
        <v>7123</v>
      </c>
      <c r="D166" s="73" t="s">
        <v>7124</v>
      </c>
      <c r="E166" s="73" t="s">
        <v>7125</v>
      </c>
      <c r="F166" s="73" t="s">
        <v>7126</v>
      </c>
      <c r="G166" s="73" t="s">
        <v>6536</v>
      </c>
    </row>
    <row r="167" spans="1:7" ht="50.1" customHeight="1" x14ac:dyDescent="0.25">
      <c r="A167" s="187" t="s">
        <v>7118</v>
      </c>
      <c r="B167" s="188">
        <v>3</v>
      </c>
      <c r="C167" s="73" t="s">
        <v>7127</v>
      </c>
      <c r="D167" s="73" t="s">
        <v>7128</v>
      </c>
      <c r="E167" s="73" t="s">
        <v>7129</v>
      </c>
      <c r="F167" s="73" t="s">
        <v>7130</v>
      </c>
      <c r="G167" s="73" t="s">
        <v>6536</v>
      </c>
    </row>
    <row r="168" spans="1:7" ht="50.1" customHeight="1" x14ac:dyDescent="0.25">
      <c r="A168" s="187" t="s">
        <v>7118</v>
      </c>
      <c r="B168" s="188">
        <v>4</v>
      </c>
      <c r="C168" s="73" t="s">
        <v>7131</v>
      </c>
      <c r="D168" s="73" t="s">
        <v>7132</v>
      </c>
      <c r="E168" s="73" t="s">
        <v>7133</v>
      </c>
      <c r="F168" s="73" t="s">
        <v>7134</v>
      </c>
      <c r="G168" s="73" t="s">
        <v>6536</v>
      </c>
    </row>
    <row r="169" spans="1:7" ht="50.1" customHeight="1" x14ac:dyDescent="0.25">
      <c r="A169" s="187" t="s">
        <v>7118</v>
      </c>
      <c r="B169" s="188">
        <v>5</v>
      </c>
      <c r="C169" s="73" t="s">
        <v>7135</v>
      </c>
      <c r="D169" s="73" t="s">
        <v>7136</v>
      </c>
      <c r="E169" s="73" t="s">
        <v>7137</v>
      </c>
      <c r="F169" s="73" t="s">
        <v>7138</v>
      </c>
      <c r="G169" s="73" t="s">
        <v>6536</v>
      </c>
    </row>
    <row r="170" spans="1:7" ht="50.1" customHeight="1" x14ac:dyDescent="0.25">
      <c r="A170" s="187" t="s">
        <v>7118</v>
      </c>
      <c r="B170" s="188">
        <v>6</v>
      </c>
      <c r="C170" s="73" t="s">
        <v>7139</v>
      </c>
      <c r="D170" s="73" t="s">
        <v>7140</v>
      </c>
      <c r="E170" s="73" t="s">
        <v>7141</v>
      </c>
      <c r="F170" s="73" t="s">
        <v>7142</v>
      </c>
      <c r="G170" s="73" t="s">
        <v>6536</v>
      </c>
    </row>
    <row r="171" spans="1:7" ht="18" customHeight="1" x14ac:dyDescent="0.25">
      <c r="A171" s="177"/>
      <c r="B171" s="178"/>
      <c r="C171" s="179"/>
      <c r="D171" s="180"/>
      <c r="E171" s="180"/>
      <c r="F171" s="180"/>
      <c r="G171" s="180"/>
    </row>
    <row r="172" spans="1:7" ht="50.1" customHeight="1" x14ac:dyDescent="0.25">
      <c r="A172" s="184" t="s">
        <v>7143</v>
      </c>
      <c r="B172" s="185">
        <v>1</v>
      </c>
      <c r="C172" s="186" t="s">
        <v>7144</v>
      </c>
      <c r="D172" s="186" t="s">
        <v>7145</v>
      </c>
      <c r="E172" s="186" t="s">
        <v>7146</v>
      </c>
      <c r="F172" s="186" t="s">
        <v>7147</v>
      </c>
      <c r="G172" s="186" t="s">
        <v>6536</v>
      </c>
    </row>
    <row r="173" spans="1:7" ht="50.1" customHeight="1" x14ac:dyDescent="0.25">
      <c r="A173" s="189" t="s">
        <v>7143</v>
      </c>
      <c r="B173" s="188">
        <v>2</v>
      </c>
      <c r="C173" s="73" t="s">
        <v>7148</v>
      </c>
      <c r="D173" s="73" t="s">
        <v>7149</v>
      </c>
      <c r="E173" s="73" t="s">
        <v>7150</v>
      </c>
      <c r="F173" s="73" t="s">
        <v>7151</v>
      </c>
      <c r="G173" s="73" t="s">
        <v>6536</v>
      </c>
    </row>
    <row r="174" spans="1:7" ht="50.1" customHeight="1" x14ac:dyDescent="0.25">
      <c r="A174" s="189" t="s">
        <v>7143</v>
      </c>
      <c r="B174" s="188">
        <v>3</v>
      </c>
      <c r="C174" s="73" t="s">
        <v>7152</v>
      </c>
      <c r="D174" s="73" t="s">
        <v>7153</v>
      </c>
      <c r="E174" s="73" t="s">
        <v>7154</v>
      </c>
      <c r="F174" s="73" t="s">
        <v>7155</v>
      </c>
      <c r="G174" s="73" t="s">
        <v>6536</v>
      </c>
    </row>
    <row r="175" spans="1:7" ht="50.1" customHeight="1" x14ac:dyDescent="0.25">
      <c r="A175" s="189" t="s">
        <v>7143</v>
      </c>
      <c r="B175" s="188">
        <v>4</v>
      </c>
      <c r="C175" s="73" t="s">
        <v>7156</v>
      </c>
      <c r="D175" s="73" t="s">
        <v>7157</v>
      </c>
      <c r="E175" s="73" t="s">
        <v>7158</v>
      </c>
      <c r="F175" s="73" t="s">
        <v>7159</v>
      </c>
      <c r="G175" s="73" t="s">
        <v>6536</v>
      </c>
    </row>
    <row r="176" spans="1:7" ht="50.1" customHeight="1" x14ac:dyDescent="0.25">
      <c r="A176" s="189" t="s">
        <v>7143</v>
      </c>
      <c r="B176" s="188">
        <v>5</v>
      </c>
      <c r="C176" s="73" t="s">
        <v>7160</v>
      </c>
      <c r="D176" s="73" t="s">
        <v>7161</v>
      </c>
      <c r="E176" s="73" t="s">
        <v>7162</v>
      </c>
      <c r="F176" s="73" t="s">
        <v>7163</v>
      </c>
      <c r="G176" s="73" t="s">
        <v>6536</v>
      </c>
    </row>
    <row r="177" spans="1:7" ht="18" customHeight="1" x14ac:dyDescent="0.25">
      <c r="A177" s="177"/>
      <c r="B177" s="178"/>
      <c r="C177" s="179"/>
      <c r="D177" s="180"/>
      <c r="E177" s="180"/>
      <c r="F177" s="180"/>
      <c r="G177" s="180"/>
    </row>
    <row r="178" spans="1:7" ht="50.1" customHeight="1" x14ac:dyDescent="0.25">
      <c r="A178" s="184" t="s">
        <v>7164</v>
      </c>
      <c r="B178" s="185">
        <v>1</v>
      </c>
      <c r="C178" s="186" t="s">
        <v>7165</v>
      </c>
      <c r="D178" s="186" t="s">
        <v>7166</v>
      </c>
      <c r="E178" s="186" t="s">
        <v>7167</v>
      </c>
      <c r="F178" s="186" t="s">
        <v>7168</v>
      </c>
      <c r="G178" s="186" t="s">
        <v>6536</v>
      </c>
    </row>
    <row r="179" spans="1:7" ht="50.1" customHeight="1" x14ac:dyDescent="0.25">
      <c r="A179" s="187" t="s">
        <v>7164</v>
      </c>
      <c r="B179" s="188">
        <v>2</v>
      </c>
      <c r="C179" s="73" t="s">
        <v>7169</v>
      </c>
      <c r="D179" s="73" t="s">
        <v>7170</v>
      </c>
      <c r="E179" s="73" t="s">
        <v>7171</v>
      </c>
      <c r="F179" s="73" t="s">
        <v>7172</v>
      </c>
      <c r="G179" s="73" t="s">
        <v>6536</v>
      </c>
    </row>
    <row r="180" spans="1:7" ht="50.1" customHeight="1" x14ac:dyDescent="0.25">
      <c r="A180" s="187" t="s">
        <v>7164</v>
      </c>
      <c r="B180" s="188">
        <v>3</v>
      </c>
      <c r="C180" s="73" t="s">
        <v>7173</v>
      </c>
      <c r="D180" s="73" t="s">
        <v>7174</v>
      </c>
      <c r="E180" s="73" t="s">
        <v>7175</v>
      </c>
      <c r="F180" s="73" t="s">
        <v>7176</v>
      </c>
      <c r="G180" s="73" t="s">
        <v>6536</v>
      </c>
    </row>
    <row r="181" spans="1:7" ht="50.1" customHeight="1" x14ac:dyDescent="0.25">
      <c r="A181" s="187" t="s">
        <v>7164</v>
      </c>
      <c r="B181" s="188">
        <v>4</v>
      </c>
      <c r="C181" s="73" t="s">
        <v>7177</v>
      </c>
      <c r="D181" s="73" t="s">
        <v>7178</v>
      </c>
      <c r="E181" s="73" t="s">
        <v>7179</v>
      </c>
      <c r="F181" s="73" t="s">
        <v>7180</v>
      </c>
      <c r="G181" s="73" t="s">
        <v>6536</v>
      </c>
    </row>
    <row r="182" spans="1:7" ht="50.1" customHeight="1" x14ac:dyDescent="0.25">
      <c r="A182" s="187" t="s">
        <v>7164</v>
      </c>
      <c r="B182" s="188">
        <v>5</v>
      </c>
      <c r="C182" s="73" t="s">
        <v>7181</v>
      </c>
      <c r="D182" s="73" t="s">
        <v>7182</v>
      </c>
      <c r="E182" s="73" t="s">
        <v>7183</v>
      </c>
      <c r="F182" s="73" t="s">
        <v>7184</v>
      </c>
      <c r="G182" s="73" t="s">
        <v>6536</v>
      </c>
    </row>
    <row r="183" spans="1:7" ht="50.1" customHeight="1" x14ac:dyDescent="0.25">
      <c r="A183" s="187" t="s">
        <v>7164</v>
      </c>
      <c r="B183" s="188">
        <v>6</v>
      </c>
      <c r="C183" s="73" t="s">
        <v>7185</v>
      </c>
      <c r="D183" s="73" t="s">
        <v>7186</v>
      </c>
      <c r="E183" s="73" t="s">
        <v>7187</v>
      </c>
      <c r="F183" s="73" t="s">
        <v>7188</v>
      </c>
      <c r="G183" s="73" t="s">
        <v>6536</v>
      </c>
    </row>
    <row r="184" spans="1:7" ht="18" customHeight="1" x14ac:dyDescent="0.25">
      <c r="A184" s="177"/>
      <c r="B184" s="178"/>
      <c r="C184" s="179"/>
      <c r="D184" s="180"/>
      <c r="E184" s="180"/>
      <c r="F184" s="180"/>
      <c r="G184" s="180"/>
    </row>
    <row r="185" spans="1:7" ht="50.1" customHeight="1" x14ac:dyDescent="0.25">
      <c r="A185" s="184" t="s">
        <v>7189</v>
      </c>
      <c r="B185" s="185">
        <v>1</v>
      </c>
      <c r="C185" s="186" t="s">
        <v>7190</v>
      </c>
      <c r="D185" s="186" t="s">
        <v>7191</v>
      </c>
      <c r="E185" s="186" t="s">
        <v>7192</v>
      </c>
      <c r="F185" s="186" t="s">
        <v>7193</v>
      </c>
      <c r="G185" s="186" t="s">
        <v>6536</v>
      </c>
    </row>
    <row r="186" spans="1:7" ht="50.1" customHeight="1" x14ac:dyDescent="0.25">
      <c r="A186" s="189" t="s">
        <v>7189</v>
      </c>
      <c r="B186" s="188">
        <v>2</v>
      </c>
      <c r="C186" s="73" t="s">
        <v>7194</v>
      </c>
      <c r="D186" s="73" t="s">
        <v>7195</v>
      </c>
      <c r="E186" s="73" t="s">
        <v>7196</v>
      </c>
      <c r="F186" s="73" t="s">
        <v>7197</v>
      </c>
      <c r="G186" s="73" t="s">
        <v>6536</v>
      </c>
    </row>
    <row r="187" spans="1:7" ht="50.1" customHeight="1" x14ac:dyDescent="0.25">
      <c r="A187" s="189" t="s">
        <v>7189</v>
      </c>
      <c r="B187" s="188">
        <v>3</v>
      </c>
      <c r="C187" s="73" t="s">
        <v>7198</v>
      </c>
      <c r="D187" s="73" t="s">
        <v>7199</v>
      </c>
      <c r="E187" s="73" t="s">
        <v>7200</v>
      </c>
      <c r="F187" s="73" t="s">
        <v>7201</v>
      </c>
      <c r="G187" s="73" t="s">
        <v>6536</v>
      </c>
    </row>
    <row r="188" spans="1:7" ht="50.1" customHeight="1" x14ac:dyDescent="0.25">
      <c r="A188" s="189" t="s">
        <v>7189</v>
      </c>
      <c r="B188" s="188">
        <v>4</v>
      </c>
      <c r="C188" s="73" t="s">
        <v>7202</v>
      </c>
      <c r="D188" s="73" t="s">
        <v>7203</v>
      </c>
      <c r="E188" s="73" t="s">
        <v>7204</v>
      </c>
      <c r="F188" s="73" t="s">
        <v>7205</v>
      </c>
      <c r="G188" s="73" t="s">
        <v>6536</v>
      </c>
    </row>
    <row r="189" spans="1:7" ht="50.1" customHeight="1" x14ac:dyDescent="0.25">
      <c r="A189" s="189" t="s">
        <v>7189</v>
      </c>
      <c r="B189" s="188">
        <v>5</v>
      </c>
      <c r="C189" s="73" t="s">
        <v>7206</v>
      </c>
      <c r="D189" s="73" t="s">
        <v>7207</v>
      </c>
      <c r="E189" s="73" t="s">
        <v>7208</v>
      </c>
      <c r="F189" s="73" t="s">
        <v>7209</v>
      </c>
      <c r="G189" s="73" t="s">
        <v>6536</v>
      </c>
    </row>
    <row r="190" spans="1:7" ht="50.1" customHeight="1" x14ac:dyDescent="0.25">
      <c r="A190" s="189" t="s">
        <v>7189</v>
      </c>
      <c r="B190" s="188">
        <v>6</v>
      </c>
      <c r="C190" s="73" t="s">
        <v>7210</v>
      </c>
      <c r="D190" s="73" t="s">
        <v>7211</v>
      </c>
      <c r="E190" s="73" t="s">
        <v>7212</v>
      </c>
      <c r="F190" s="73" t="s">
        <v>7213</v>
      </c>
      <c r="G190" s="73" t="s">
        <v>6536</v>
      </c>
    </row>
    <row r="191" spans="1:7" ht="18" customHeight="1" x14ac:dyDescent="0.25">
      <c r="A191" s="177"/>
      <c r="B191" s="178"/>
      <c r="C191" s="179"/>
      <c r="D191" s="180"/>
      <c r="E191" s="180"/>
      <c r="F191" s="180"/>
      <c r="G191" s="180"/>
    </row>
    <row r="192" spans="1:7" ht="50.1" customHeight="1" x14ac:dyDescent="0.25">
      <c r="A192" s="184" t="s">
        <v>7214</v>
      </c>
      <c r="B192" s="185">
        <v>1</v>
      </c>
      <c r="C192" s="186" t="s">
        <v>7215</v>
      </c>
      <c r="D192" s="186" t="s">
        <v>7216</v>
      </c>
      <c r="E192" s="186" t="s">
        <v>7217</v>
      </c>
      <c r="F192" s="186" t="s">
        <v>7218</v>
      </c>
      <c r="G192" s="186" t="s">
        <v>6550</v>
      </c>
    </row>
    <row r="193" spans="1:8" ht="50.1" customHeight="1" x14ac:dyDescent="0.25">
      <c r="A193" s="187" t="s">
        <v>7214</v>
      </c>
      <c r="B193" s="188">
        <v>2</v>
      </c>
      <c r="C193" s="73" t="s">
        <v>7219</v>
      </c>
      <c r="D193" s="73" t="s">
        <v>7220</v>
      </c>
      <c r="E193" s="73" t="s">
        <v>7221</v>
      </c>
      <c r="F193" s="73" t="s">
        <v>7222</v>
      </c>
      <c r="G193" s="73" t="s">
        <v>6550</v>
      </c>
    </row>
    <row r="194" spans="1:8" ht="50.1" customHeight="1" x14ac:dyDescent="0.25">
      <c r="A194" s="187" t="s">
        <v>7214</v>
      </c>
      <c r="B194" s="188">
        <v>3</v>
      </c>
      <c r="C194" s="73" t="s">
        <v>7223</v>
      </c>
      <c r="D194" s="73" t="s">
        <v>7224</v>
      </c>
      <c r="E194" s="73" t="s">
        <v>7225</v>
      </c>
      <c r="F194" s="73" t="s">
        <v>7226</v>
      </c>
      <c r="G194" s="73" t="s">
        <v>6550</v>
      </c>
    </row>
    <row r="195" spans="1:8" ht="50.1" customHeight="1" x14ac:dyDescent="0.25">
      <c r="A195" s="187" t="s">
        <v>7214</v>
      </c>
      <c r="B195" s="188">
        <v>4</v>
      </c>
      <c r="C195" s="73" t="s">
        <v>7227</v>
      </c>
      <c r="D195" s="73" t="s">
        <v>7228</v>
      </c>
      <c r="E195" s="73" t="s">
        <v>7229</v>
      </c>
      <c r="F195" s="73" t="s">
        <v>7230</v>
      </c>
      <c r="G195" s="73" t="s">
        <v>6550</v>
      </c>
    </row>
    <row r="196" spans="1:8" ht="50.1" customHeight="1" x14ac:dyDescent="0.25">
      <c r="A196" s="187" t="s">
        <v>7214</v>
      </c>
      <c r="B196" s="188">
        <v>5</v>
      </c>
      <c r="C196" s="73" t="s">
        <v>7231</v>
      </c>
      <c r="D196" s="73" t="s">
        <v>7232</v>
      </c>
      <c r="E196" s="73" t="s">
        <v>7233</v>
      </c>
      <c r="F196" s="73" t="s">
        <v>7234</v>
      </c>
      <c r="G196" s="73" t="s">
        <v>6550</v>
      </c>
    </row>
    <row r="197" spans="1:8" ht="18" customHeight="1" x14ac:dyDescent="0.25">
      <c r="A197" s="177"/>
      <c r="B197" s="178"/>
      <c r="C197" s="179"/>
      <c r="D197" s="180"/>
      <c r="E197" s="180"/>
      <c r="F197" s="180"/>
      <c r="G197" s="180"/>
    </row>
    <row r="198" spans="1:8" ht="50.1" customHeight="1" x14ac:dyDescent="0.25">
      <c r="A198" s="184" t="s">
        <v>7235</v>
      </c>
      <c r="B198" s="185">
        <v>1</v>
      </c>
      <c r="C198" s="186" t="s">
        <v>7236</v>
      </c>
      <c r="D198" s="186" t="s">
        <v>7237</v>
      </c>
      <c r="E198" s="186" t="s">
        <v>7238</v>
      </c>
      <c r="F198" s="186" t="s">
        <v>7239</v>
      </c>
      <c r="G198" s="186" t="s">
        <v>6605</v>
      </c>
    </row>
    <row r="199" spans="1:8" ht="50.1" customHeight="1" x14ac:dyDescent="0.25">
      <c r="A199" s="189" t="s">
        <v>7235</v>
      </c>
      <c r="B199" s="188">
        <v>2</v>
      </c>
      <c r="C199" s="73" t="s">
        <v>7240</v>
      </c>
      <c r="D199" s="73" t="s">
        <v>7241</v>
      </c>
      <c r="E199" s="73" t="s">
        <v>7242</v>
      </c>
      <c r="F199" s="73" t="s">
        <v>7243</v>
      </c>
      <c r="G199" s="73" t="s">
        <v>6605</v>
      </c>
    </row>
    <row r="200" spans="1:8" ht="50.1" customHeight="1" x14ac:dyDescent="0.25">
      <c r="A200" s="189" t="s">
        <v>7235</v>
      </c>
      <c r="B200" s="188">
        <v>3</v>
      </c>
      <c r="C200" s="73" t="s">
        <v>7244</v>
      </c>
      <c r="D200" s="73" t="s">
        <v>7245</v>
      </c>
      <c r="E200" s="73" t="s">
        <v>7246</v>
      </c>
      <c r="F200" s="73" t="s">
        <v>7247</v>
      </c>
      <c r="G200" s="73" t="s">
        <v>6605</v>
      </c>
    </row>
    <row r="201" spans="1:8" ht="50.1" customHeight="1" x14ac:dyDescent="0.25">
      <c r="A201" s="189" t="s">
        <v>7235</v>
      </c>
      <c r="B201" s="188">
        <v>4</v>
      </c>
      <c r="C201" s="73" t="s">
        <v>7248</v>
      </c>
      <c r="D201" s="73" t="s">
        <v>7249</v>
      </c>
      <c r="E201" s="73" t="s">
        <v>7250</v>
      </c>
      <c r="F201" s="73" t="s">
        <v>7251</v>
      </c>
      <c r="G201" s="73" t="s">
        <v>6605</v>
      </c>
    </row>
    <row r="202" spans="1:8" ht="50.1" customHeight="1" x14ac:dyDescent="0.25">
      <c r="A202" s="189" t="s">
        <v>7235</v>
      </c>
      <c r="B202" s="188">
        <v>5</v>
      </c>
      <c r="C202" s="73" t="s">
        <v>7252</v>
      </c>
      <c r="D202" s="73" t="s">
        <v>7253</v>
      </c>
      <c r="E202" s="73" t="s">
        <v>7254</v>
      </c>
      <c r="F202" s="73" t="s">
        <v>7255</v>
      </c>
      <c r="G202" s="73" t="s">
        <v>6605</v>
      </c>
    </row>
    <row r="203" spans="1:8" ht="18" customHeight="1" x14ac:dyDescent="0.25">
      <c r="A203" s="177"/>
      <c r="B203" s="178"/>
      <c r="C203" s="179"/>
      <c r="D203" s="180"/>
      <c r="E203" s="180"/>
      <c r="F203" s="180"/>
      <c r="G203" s="180"/>
    </row>
    <row r="204" spans="1:8" ht="30" customHeight="1" x14ac:dyDescent="0.25">
      <c r="A204" s="190"/>
      <c r="B204" s="190"/>
      <c r="C204" s="761" t="s">
        <v>7256</v>
      </c>
      <c r="D204" s="761"/>
      <c r="E204" s="761"/>
      <c r="F204" s="761"/>
      <c r="G204" s="761"/>
      <c r="H204" s="761"/>
    </row>
    <row r="205" spans="1:8" ht="30" customHeight="1" x14ac:dyDescent="0.25">
      <c r="A205" s="190"/>
      <c r="B205" s="190"/>
      <c r="C205" s="191" t="s">
        <v>7257</v>
      </c>
      <c r="D205" s="191" t="s">
        <v>7258</v>
      </c>
      <c r="E205" s="191"/>
      <c r="F205" s="191"/>
      <c r="G205" s="191" t="s">
        <v>7259</v>
      </c>
      <c r="H205" s="192" t="s">
        <v>7260</v>
      </c>
    </row>
    <row r="206" spans="1:8" ht="30" customHeight="1" x14ac:dyDescent="0.25">
      <c r="A206" s="190"/>
      <c r="B206" s="190"/>
      <c r="C206" s="181"/>
      <c r="E206" s="181"/>
      <c r="F206" s="181"/>
      <c r="G206" s="181"/>
      <c r="H206" s="182"/>
    </row>
    <row r="207" spans="1:8" ht="30" customHeight="1" x14ac:dyDescent="0.25">
      <c r="A207" s="190"/>
      <c r="B207" s="190"/>
      <c r="C207" s="193" t="s">
        <v>7261</v>
      </c>
      <c r="D207" s="193" t="s">
        <v>7262</v>
      </c>
      <c r="E207" s="193" t="s">
        <v>7263</v>
      </c>
      <c r="F207" s="193" t="s">
        <v>7264</v>
      </c>
      <c r="G207" s="193" t="s">
        <v>7265</v>
      </c>
      <c r="H207" s="193" t="s">
        <v>7266</v>
      </c>
    </row>
    <row r="208" spans="1:8" ht="30" customHeight="1" x14ac:dyDescent="0.25">
      <c r="A208" s="190"/>
      <c r="B208" s="190"/>
      <c r="C208" s="194" t="s">
        <v>7267</v>
      </c>
      <c r="D208" s="194" t="s">
        <v>7268</v>
      </c>
      <c r="E208" s="194" t="s">
        <v>6</v>
      </c>
      <c r="F208" s="194" t="s">
        <v>7269</v>
      </c>
      <c r="G208" s="194" t="s">
        <v>7270</v>
      </c>
      <c r="H208" s="194" t="s">
        <v>7271</v>
      </c>
    </row>
    <row r="209" spans="1:8" ht="30" customHeight="1" x14ac:dyDescent="0.25">
      <c r="A209" s="190"/>
      <c r="B209" s="190"/>
      <c r="C209" s="188" t="s">
        <v>7272</v>
      </c>
      <c r="D209" s="73" t="s">
        <v>7273</v>
      </c>
      <c r="E209" s="188" t="s">
        <v>7274</v>
      </c>
      <c r="F209" s="188" t="s">
        <v>7275</v>
      </c>
      <c r="G209" s="188" t="s">
        <v>7276</v>
      </c>
      <c r="H209" s="73" t="s">
        <v>7277</v>
      </c>
    </row>
    <row r="210" spans="1:8" ht="30" customHeight="1" x14ac:dyDescent="0.25">
      <c r="A210" s="190"/>
      <c r="B210" s="190"/>
      <c r="C210" s="188" t="s">
        <v>7278</v>
      </c>
      <c r="D210" s="73" t="s">
        <v>7279</v>
      </c>
      <c r="E210" s="188" t="s">
        <v>7280</v>
      </c>
      <c r="F210" s="188" t="s">
        <v>7275</v>
      </c>
      <c r="G210" s="188" t="s">
        <v>7281</v>
      </c>
      <c r="H210" s="73" t="s">
        <v>7282</v>
      </c>
    </row>
    <row r="211" spans="1:8" ht="30" customHeight="1" x14ac:dyDescent="0.25">
      <c r="A211" s="190"/>
      <c r="B211" s="190"/>
      <c r="C211" s="188" t="s">
        <v>7283</v>
      </c>
      <c r="D211" s="73" t="s">
        <v>7284</v>
      </c>
      <c r="E211" s="188" t="s">
        <v>7285</v>
      </c>
      <c r="F211" s="188" t="s">
        <v>7275</v>
      </c>
      <c r="G211" s="188" t="s">
        <v>7286</v>
      </c>
      <c r="H211" s="73" t="s">
        <v>7287</v>
      </c>
    </row>
    <row r="212" spans="1:8" ht="30" customHeight="1" x14ac:dyDescent="0.25">
      <c r="A212" s="190"/>
      <c r="B212" s="190"/>
      <c r="C212" s="188" t="s">
        <v>7288</v>
      </c>
      <c r="D212" s="73" t="s">
        <v>7289</v>
      </c>
      <c r="E212" s="188" t="s">
        <v>7290</v>
      </c>
      <c r="F212" s="188" t="s">
        <v>7275</v>
      </c>
      <c r="G212" s="188" t="s">
        <v>7291</v>
      </c>
      <c r="H212" s="73" t="s">
        <v>7292</v>
      </c>
    </row>
    <row r="213" spans="1:8" ht="30" customHeight="1" x14ac:dyDescent="0.25">
      <c r="A213" s="190"/>
      <c r="B213" s="190"/>
      <c r="C213" s="188" t="s">
        <v>7293</v>
      </c>
      <c r="D213" s="73" t="s">
        <v>7294</v>
      </c>
      <c r="E213" s="188" t="s">
        <v>7295</v>
      </c>
      <c r="F213" s="188" t="s">
        <v>7296</v>
      </c>
      <c r="G213" s="188" t="s">
        <v>7297</v>
      </c>
      <c r="H213" s="73" t="s">
        <v>7298</v>
      </c>
    </row>
    <row r="214" spans="1:8" ht="30" customHeight="1" x14ac:dyDescent="0.25">
      <c r="A214" s="190"/>
      <c r="B214" s="190"/>
      <c r="C214" s="188" t="s">
        <v>7299</v>
      </c>
      <c r="D214" s="73" t="s">
        <v>7275</v>
      </c>
      <c r="E214" s="188" t="s">
        <v>7300</v>
      </c>
      <c r="F214" s="188" t="s">
        <v>7301</v>
      </c>
      <c r="G214" s="188" t="s">
        <v>7302</v>
      </c>
      <c r="H214" s="73" t="s">
        <v>7303</v>
      </c>
    </row>
    <row r="215" spans="1:8" ht="30" customHeight="1" x14ac:dyDescent="0.25">
      <c r="A215" s="190"/>
      <c r="B215" s="190"/>
      <c r="C215" s="188" t="s">
        <v>7304</v>
      </c>
      <c r="D215" s="73" t="s">
        <v>7305</v>
      </c>
      <c r="E215" s="188" t="s">
        <v>7306</v>
      </c>
      <c r="F215" s="188" t="s">
        <v>7307</v>
      </c>
      <c r="G215" s="188" t="s">
        <v>7308</v>
      </c>
      <c r="H215" s="73" t="s">
        <v>7309</v>
      </c>
    </row>
    <row r="216" spans="1:8" ht="30" customHeight="1" x14ac:dyDescent="0.25">
      <c r="A216" s="190"/>
      <c r="B216" s="190"/>
      <c r="C216" s="188" t="s">
        <v>7310</v>
      </c>
      <c r="D216" s="73" t="s">
        <v>7275</v>
      </c>
      <c r="E216" s="188" t="s">
        <v>7311</v>
      </c>
      <c r="F216" s="188" t="s">
        <v>7312</v>
      </c>
      <c r="G216" s="188" t="s">
        <v>7313</v>
      </c>
      <c r="H216" s="73" t="s">
        <v>7314</v>
      </c>
    </row>
    <row r="217" spans="1:8" ht="30" customHeight="1" x14ac:dyDescent="0.25">
      <c r="A217" s="190"/>
      <c r="B217" s="190"/>
      <c r="C217" s="188" t="s">
        <v>7315</v>
      </c>
      <c r="D217" s="73" t="s">
        <v>7275</v>
      </c>
      <c r="E217" s="188" t="s">
        <v>7316</v>
      </c>
      <c r="F217" s="188" t="s">
        <v>7317</v>
      </c>
      <c r="G217" s="188" t="s">
        <v>7318</v>
      </c>
      <c r="H217" s="73" t="s">
        <v>7319</v>
      </c>
    </row>
    <row r="218" spans="1:8" ht="30" customHeight="1" x14ac:dyDescent="0.25">
      <c r="A218" s="190"/>
      <c r="B218" s="190"/>
      <c r="C218" s="188"/>
      <c r="D218" s="73"/>
      <c r="E218" s="188"/>
      <c r="F218" s="188"/>
      <c r="G218" s="188"/>
      <c r="H218" s="73"/>
    </row>
    <row r="219" spans="1:8" ht="30" customHeight="1" x14ac:dyDescent="0.25">
      <c r="A219" s="190"/>
      <c r="B219" s="190"/>
      <c r="C219" s="193" t="s">
        <v>7320</v>
      </c>
      <c r="D219" s="193" t="s">
        <v>7321</v>
      </c>
      <c r="E219" s="193" t="s">
        <v>7322</v>
      </c>
      <c r="F219" s="193" t="s">
        <v>7323</v>
      </c>
      <c r="G219" s="193" t="s">
        <v>7324</v>
      </c>
      <c r="H219" s="193" t="s">
        <v>7325</v>
      </c>
    </row>
    <row r="220" spans="1:8" ht="30" customHeight="1" x14ac:dyDescent="0.25">
      <c r="A220" s="190"/>
      <c r="B220" s="190"/>
      <c r="C220" s="194" t="s">
        <v>7267</v>
      </c>
      <c r="D220" s="194" t="s">
        <v>7268</v>
      </c>
      <c r="E220" s="194" t="s">
        <v>6</v>
      </c>
      <c r="F220" s="194" t="s">
        <v>7269</v>
      </c>
      <c r="G220" s="194" t="s">
        <v>7270</v>
      </c>
      <c r="H220" s="194" t="s">
        <v>7271</v>
      </c>
    </row>
    <row r="221" spans="1:8" ht="30" customHeight="1" x14ac:dyDescent="0.25">
      <c r="A221" s="190"/>
      <c r="B221" s="190"/>
      <c r="C221" s="194"/>
      <c r="D221" s="194"/>
      <c r="E221" s="194"/>
      <c r="F221" s="194"/>
      <c r="G221" s="194"/>
      <c r="H221" s="194"/>
    </row>
    <row r="222" spans="1:8" ht="30" customHeight="1" x14ac:dyDescent="0.25">
      <c r="A222" s="190"/>
      <c r="B222" s="190"/>
      <c r="C222" s="188" t="s">
        <v>7326</v>
      </c>
      <c r="D222" s="73" t="s">
        <v>7327</v>
      </c>
      <c r="E222" s="188" t="s">
        <v>7328</v>
      </c>
      <c r="F222" s="188" t="s">
        <v>7275</v>
      </c>
      <c r="G222" s="188" t="s">
        <v>7329</v>
      </c>
      <c r="H222" s="73" t="s">
        <v>7330</v>
      </c>
    </row>
    <row r="223" spans="1:8" ht="30" customHeight="1" x14ac:dyDescent="0.25">
      <c r="A223" s="190"/>
      <c r="B223" s="190"/>
      <c r="C223" s="188" t="s">
        <v>7331</v>
      </c>
      <c r="D223" s="73" t="s">
        <v>7332</v>
      </c>
      <c r="E223" s="188" t="s">
        <v>7333</v>
      </c>
      <c r="F223" s="188" t="s">
        <v>7334</v>
      </c>
      <c r="G223" s="188" t="s">
        <v>7335</v>
      </c>
      <c r="H223" s="73" t="s">
        <v>7292</v>
      </c>
    </row>
    <row r="224" spans="1:8" ht="30" customHeight="1" x14ac:dyDescent="0.25">
      <c r="A224" s="190"/>
      <c r="B224" s="190"/>
      <c r="C224" s="188" t="s">
        <v>7336</v>
      </c>
      <c r="D224" s="73" t="s">
        <v>7337</v>
      </c>
      <c r="E224" s="188" t="s">
        <v>7338</v>
      </c>
      <c r="F224" s="188" t="s">
        <v>7301</v>
      </c>
      <c r="G224" s="188" t="s">
        <v>7339</v>
      </c>
      <c r="H224" s="73" t="s">
        <v>7340</v>
      </c>
    </row>
    <row r="225" spans="1:8" ht="30" customHeight="1" x14ac:dyDescent="0.25">
      <c r="A225" s="190"/>
      <c r="B225" s="190"/>
      <c r="C225" s="188" t="s">
        <v>7310</v>
      </c>
      <c r="D225" s="73" t="s">
        <v>7275</v>
      </c>
      <c r="E225" s="188" t="s">
        <v>7341</v>
      </c>
      <c r="F225" s="188" t="s">
        <v>7342</v>
      </c>
      <c r="G225" s="188" t="s">
        <v>7343</v>
      </c>
      <c r="H225" s="73" t="s">
        <v>7344</v>
      </c>
    </row>
    <row r="226" spans="1:8" ht="30" customHeight="1" x14ac:dyDescent="0.25">
      <c r="A226" s="190"/>
      <c r="B226" s="190"/>
      <c r="C226" s="188"/>
      <c r="D226" s="73"/>
      <c r="E226" s="188"/>
      <c r="F226" s="188"/>
      <c r="G226" s="188"/>
      <c r="H226" s="73"/>
    </row>
    <row r="227" spans="1:8" ht="30" customHeight="1" x14ac:dyDescent="0.25">
      <c r="A227" s="190"/>
      <c r="B227" s="190"/>
      <c r="C227" s="185" t="s">
        <v>7345</v>
      </c>
      <c r="D227" s="185" t="s">
        <v>7346</v>
      </c>
      <c r="E227" s="185" t="s">
        <v>7347</v>
      </c>
      <c r="F227" s="185" t="s">
        <v>7348</v>
      </c>
      <c r="G227" s="185" t="s">
        <v>7349</v>
      </c>
      <c r="H227" s="185" t="s">
        <v>7350</v>
      </c>
    </row>
    <row r="228" spans="1:8" ht="30" customHeight="1" x14ac:dyDescent="0.25">
      <c r="A228" s="190"/>
      <c r="B228" s="190"/>
      <c r="C228" s="171" t="s">
        <v>7267</v>
      </c>
      <c r="D228" s="171" t="s">
        <v>7268</v>
      </c>
      <c r="E228" s="171" t="s">
        <v>6</v>
      </c>
      <c r="F228" s="171" t="s">
        <v>7269</v>
      </c>
      <c r="G228" s="171" t="s">
        <v>7270</v>
      </c>
      <c r="H228" s="171" t="s">
        <v>7271</v>
      </c>
    </row>
    <row r="229" spans="1:8" ht="30" customHeight="1" x14ac:dyDescent="0.25">
      <c r="A229" s="190"/>
      <c r="B229" s="190"/>
      <c r="C229" s="171"/>
      <c r="D229" s="171"/>
      <c r="E229" s="171"/>
      <c r="F229" s="171"/>
      <c r="G229" s="171"/>
      <c r="H229" s="171"/>
    </row>
    <row r="230" spans="1:8" ht="30" customHeight="1" x14ac:dyDescent="0.25">
      <c r="A230" s="190"/>
      <c r="B230" s="190"/>
      <c r="C230" s="188" t="s">
        <v>7351</v>
      </c>
      <c r="D230" s="73" t="s">
        <v>7352</v>
      </c>
      <c r="E230" s="188" t="s">
        <v>7353</v>
      </c>
      <c r="F230" s="188" t="s">
        <v>7275</v>
      </c>
      <c r="G230" s="188" t="s">
        <v>7354</v>
      </c>
      <c r="H230" s="188" t="s">
        <v>7355</v>
      </c>
    </row>
    <row r="231" spans="1:8" ht="30" customHeight="1" x14ac:dyDescent="0.25">
      <c r="A231" s="190"/>
      <c r="B231" s="190"/>
      <c r="C231" s="188" t="s">
        <v>7356</v>
      </c>
      <c r="D231" s="73" t="s">
        <v>7357</v>
      </c>
      <c r="E231" s="188" t="s">
        <v>7358</v>
      </c>
      <c r="F231" s="188" t="s">
        <v>7275</v>
      </c>
      <c r="G231" s="188" t="s">
        <v>7359</v>
      </c>
      <c r="H231" s="188" t="s">
        <v>7360</v>
      </c>
    </row>
    <row r="232" spans="1:8" ht="30" customHeight="1" x14ac:dyDescent="0.25">
      <c r="A232" s="190"/>
      <c r="B232" s="190"/>
      <c r="C232" s="188" t="s">
        <v>7361</v>
      </c>
      <c r="D232" s="73" t="s">
        <v>7362</v>
      </c>
      <c r="E232" s="188" t="s">
        <v>7363</v>
      </c>
      <c r="F232" s="188" t="s">
        <v>7275</v>
      </c>
      <c r="G232" s="188" t="s">
        <v>7364</v>
      </c>
      <c r="H232" s="188" t="s">
        <v>7365</v>
      </c>
    </row>
    <row r="233" spans="1:8" ht="30" customHeight="1" x14ac:dyDescent="0.25">
      <c r="A233" s="190"/>
      <c r="B233" s="190"/>
      <c r="C233" s="188" t="s">
        <v>7366</v>
      </c>
      <c r="D233" s="73" t="s">
        <v>7275</v>
      </c>
      <c r="E233" s="188" t="s">
        <v>7367</v>
      </c>
      <c r="F233" s="188" t="s">
        <v>7368</v>
      </c>
      <c r="G233" s="188" t="s">
        <v>7369</v>
      </c>
      <c r="H233" s="188" t="s">
        <v>7303</v>
      </c>
    </row>
    <row r="234" spans="1:8" ht="30" customHeight="1" x14ac:dyDescent="0.25">
      <c r="A234" s="190"/>
      <c r="B234" s="190"/>
      <c r="C234" s="188" t="s">
        <v>7310</v>
      </c>
      <c r="D234" s="73" t="s">
        <v>7275</v>
      </c>
      <c r="E234" s="188" t="s">
        <v>7370</v>
      </c>
      <c r="F234" s="188" t="s">
        <v>7371</v>
      </c>
      <c r="G234" s="188" t="s">
        <v>7372</v>
      </c>
      <c r="H234" s="188" t="s">
        <v>7373</v>
      </c>
    </row>
  </sheetData>
  <mergeCells count="1">
    <mergeCell ref="C204:H20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C3BA7-1E99-4A73-8287-887675204CF9}">
  <dimension ref="A1:CX2459"/>
  <sheetViews>
    <sheetView showGridLines="0" workbookViewId="0">
      <selection activeCell="F18" sqref="F18"/>
    </sheetView>
  </sheetViews>
  <sheetFormatPr baseColWidth="10" defaultColWidth="10.28515625" defaultRowHeight="15.75" x14ac:dyDescent="0.25"/>
  <cols>
    <col min="1" max="1" width="7.7109375" style="93" customWidth="1"/>
    <col min="2" max="2" width="57.42578125" style="147" customWidth="1"/>
    <col min="3" max="3" width="57.42578125" style="93" customWidth="1"/>
    <col min="4" max="4" width="44.42578125" style="93" customWidth="1"/>
    <col min="5" max="5" width="23" style="93" customWidth="1"/>
    <col min="6" max="18" width="13.85546875" style="93" customWidth="1"/>
    <col min="19" max="19" width="39.140625" style="93" customWidth="1"/>
    <col min="20" max="20" width="2.5703125" style="93" customWidth="1"/>
    <col min="21" max="25" width="23.5703125" style="93" customWidth="1"/>
    <col min="26" max="26" width="21.28515625" style="93" customWidth="1"/>
    <col min="27" max="27" width="23.5703125" style="93" customWidth="1"/>
    <col min="28" max="28" width="11.7109375" style="93" customWidth="1"/>
    <col min="29" max="29" width="20.42578125" style="93" customWidth="1"/>
    <col min="30" max="30" width="22.7109375" style="93" customWidth="1"/>
    <col min="31" max="32" width="6.5703125" style="93" customWidth="1"/>
    <col min="33" max="33" width="22.7109375" style="93" customWidth="1"/>
    <col min="34" max="34" width="14.5703125" style="93" customWidth="1"/>
    <col min="35" max="36" width="6.5703125" style="93" customWidth="1"/>
    <col min="37" max="37" width="17.7109375" style="93" customWidth="1"/>
    <col min="38" max="90" width="6.5703125" style="93" customWidth="1"/>
    <col min="91" max="91" width="2.28515625" style="148" customWidth="1"/>
    <col min="92" max="92" width="14.42578125" style="93" customWidth="1"/>
    <col min="93" max="93" width="41.85546875" style="93" customWidth="1"/>
    <col min="94" max="94" width="17" style="93" customWidth="1"/>
    <col min="95" max="96" width="41.85546875" style="93" customWidth="1"/>
    <col min="97" max="97" width="46.7109375" style="93" customWidth="1"/>
    <col min="98" max="98" width="79.28515625" style="93" customWidth="1"/>
    <col min="99" max="99" width="112" style="93" customWidth="1"/>
    <col min="100" max="100" width="13" style="93" customWidth="1"/>
    <col min="101" max="101" width="10.28515625" style="93"/>
    <col min="102" max="102" width="10.28515625" style="92"/>
    <col min="103" max="16384" width="10.28515625" style="93"/>
  </cols>
  <sheetData>
    <row r="1" spans="1:102" ht="27.95" customHeight="1" x14ac:dyDescent="0.25">
      <c r="A1" s="763" t="s">
        <v>511</v>
      </c>
      <c r="B1" s="763"/>
      <c r="C1" s="763"/>
      <c r="D1" s="763"/>
      <c r="E1" s="763"/>
      <c r="F1" s="763"/>
      <c r="G1" s="763"/>
      <c r="H1" s="763"/>
      <c r="I1" s="763"/>
      <c r="J1" s="763"/>
      <c r="K1" s="763"/>
      <c r="L1" s="763"/>
      <c r="M1" s="763"/>
      <c r="N1" s="763"/>
      <c r="O1" s="763"/>
      <c r="P1" s="763"/>
      <c r="Q1" s="763"/>
      <c r="R1" s="763"/>
      <c r="S1" s="763"/>
      <c r="U1" s="94" t="s">
        <v>6094</v>
      </c>
      <c r="V1" s="95" t="s">
        <v>6095</v>
      </c>
      <c r="X1" s="96" t="s">
        <v>542</v>
      </c>
      <c r="Y1" s="97" t="s">
        <v>6096</v>
      </c>
      <c r="AA1" s="98" t="s">
        <v>546</v>
      </c>
      <c r="AB1" s="99" t="s">
        <v>6097</v>
      </c>
      <c r="AD1" s="100" t="s">
        <v>550</v>
      </c>
      <c r="AE1" s="101" t="s">
        <v>6098</v>
      </c>
      <c r="CM1" s="102"/>
      <c r="CN1" s="103" t="s">
        <v>512</v>
      </c>
      <c r="CO1" s="103" t="s">
        <v>513</v>
      </c>
      <c r="CP1" s="103" t="s">
        <v>514</v>
      </c>
      <c r="CQ1" s="103" t="s">
        <v>515</v>
      </c>
      <c r="CR1" s="103" t="s">
        <v>516</v>
      </c>
      <c r="CS1" s="103" t="s">
        <v>517</v>
      </c>
      <c r="CT1" s="103" t="s">
        <v>518</v>
      </c>
      <c r="CU1" s="103" t="s">
        <v>519</v>
      </c>
      <c r="CV1" s="103" t="s">
        <v>520</v>
      </c>
      <c r="CW1" s="103"/>
      <c r="CX1" s="36">
        <v>1</v>
      </c>
    </row>
    <row r="2" spans="1:102" ht="23.1" customHeight="1" x14ac:dyDescent="0.25">
      <c r="A2" s="764" t="s">
        <v>6099</v>
      </c>
      <c r="B2" s="764"/>
      <c r="C2" s="764"/>
      <c r="D2" s="764"/>
      <c r="E2" s="764"/>
      <c r="F2" s="764"/>
      <c r="G2" s="764"/>
      <c r="H2" s="764"/>
      <c r="I2" s="764"/>
      <c r="J2" s="764"/>
      <c r="K2" s="764"/>
      <c r="L2" s="764"/>
      <c r="M2" s="764"/>
      <c r="N2" s="764"/>
      <c r="O2" s="764"/>
      <c r="P2" s="764"/>
      <c r="Q2" s="764"/>
      <c r="R2" s="764"/>
      <c r="S2" s="764"/>
      <c r="U2" s="104" t="s">
        <v>539</v>
      </c>
      <c r="V2" s="105" t="s">
        <v>6100</v>
      </c>
      <c r="X2" s="106" t="s">
        <v>543</v>
      </c>
      <c r="Y2" s="107" t="s">
        <v>6101</v>
      </c>
      <c r="AA2" s="108" t="s">
        <v>547</v>
      </c>
      <c r="AB2" s="109" t="s">
        <v>6102</v>
      </c>
      <c r="AD2" s="110" t="s">
        <v>551</v>
      </c>
      <c r="AE2" s="111" t="s">
        <v>6103</v>
      </c>
      <c r="AG2" s="1" t="s">
        <v>0</v>
      </c>
      <c r="CM2" s="102"/>
      <c r="CN2" s="112" t="s">
        <v>521</v>
      </c>
      <c r="CO2" s="112" t="s">
        <v>522</v>
      </c>
      <c r="CP2" s="112" t="s">
        <v>523</v>
      </c>
      <c r="CQ2" s="112" t="s">
        <v>524</v>
      </c>
      <c r="CR2" s="112" t="s">
        <v>524</v>
      </c>
      <c r="CS2" s="112" t="s">
        <v>525</v>
      </c>
      <c r="CT2" s="112" t="s">
        <v>526</v>
      </c>
      <c r="CU2" s="112" t="s">
        <v>527</v>
      </c>
      <c r="CV2" s="113" t="s">
        <v>528</v>
      </c>
      <c r="CX2" s="36">
        <v>1</v>
      </c>
    </row>
    <row r="3" spans="1:102" ht="23.1" customHeight="1" x14ac:dyDescent="0.25">
      <c r="A3" s="765" t="s">
        <v>529</v>
      </c>
      <c r="B3" s="765"/>
      <c r="C3" s="765"/>
      <c r="D3" s="765"/>
      <c r="E3" s="765"/>
      <c r="F3" s="765"/>
      <c r="G3" s="765"/>
      <c r="H3" s="765"/>
      <c r="I3" s="765"/>
      <c r="J3" s="765"/>
      <c r="K3" s="765"/>
      <c r="L3" s="765"/>
      <c r="M3" s="765"/>
      <c r="N3" s="765"/>
      <c r="O3" s="765"/>
      <c r="P3" s="765"/>
      <c r="Q3" s="765"/>
      <c r="R3" s="765"/>
      <c r="S3" s="765"/>
      <c r="U3" s="114" t="s">
        <v>540</v>
      </c>
      <c r="V3" s="115" t="s">
        <v>6104</v>
      </c>
      <c r="X3" s="116" t="s">
        <v>544</v>
      </c>
      <c r="Y3" s="117" t="s">
        <v>6105</v>
      </c>
      <c r="AA3" s="118" t="s">
        <v>548</v>
      </c>
      <c r="AB3" s="119" t="s">
        <v>6106</v>
      </c>
      <c r="CM3" s="102"/>
      <c r="CN3" s="112" t="s">
        <v>530</v>
      </c>
      <c r="CO3" s="112" t="s">
        <v>522</v>
      </c>
      <c r="CP3" s="112" t="s">
        <v>523</v>
      </c>
      <c r="CQ3" s="112" t="s">
        <v>531</v>
      </c>
      <c r="CR3" s="112" t="s">
        <v>532</v>
      </c>
      <c r="CS3" s="112" t="s">
        <v>525</v>
      </c>
      <c r="CT3" s="112" t="s">
        <v>526</v>
      </c>
      <c r="CU3" s="112" t="s">
        <v>527</v>
      </c>
      <c r="CV3" s="113" t="s">
        <v>528</v>
      </c>
      <c r="CX3" s="36">
        <v>1</v>
      </c>
    </row>
    <row r="4" spans="1:102" ht="20.100000000000001" customHeight="1" x14ac:dyDescent="0.25">
      <c r="A4" s="39"/>
      <c r="B4" s="35" t="s">
        <v>6107</v>
      </c>
      <c r="C4" s="120"/>
      <c r="D4" s="120"/>
      <c r="E4" s="121"/>
      <c r="F4" s="122" t="s">
        <v>522</v>
      </c>
      <c r="G4" s="121"/>
      <c r="H4" s="123"/>
      <c r="I4" s="123"/>
      <c r="J4" s="123"/>
      <c r="K4" s="123"/>
      <c r="L4" s="123"/>
      <c r="M4" s="123"/>
      <c r="N4" s="123"/>
      <c r="O4" s="123"/>
      <c r="P4" s="123"/>
      <c r="Q4" s="37" t="s">
        <v>5849</v>
      </c>
      <c r="R4" s="38" t="str">
        <f>$CX$2459</f>
        <v>CX2459</v>
      </c>
      <c r="S4" s="123"/>
      <c r="U4" s="124" t="s">
        <v>541</v>
      </c>
      <c r="V4" s="125" t="s">
        <v>6108</v>
      </c>
      <c r="X4" s="126" t="s">
        <v>545</v>
      </c>
      <c r="Y4" s="127" t="s">
        <v>6109</v>
      </c>
      <c r="AA4" s="128" t="s">
        <v>549</v>
      </c>
      <c r="AB4" s="129" t="s">
        <v>6110</v>
      </c>
      <c r="CM4" s="102"/>
      <c r="CN4" s="112" t="s">
        <v>533</v>
      </c>
      <c r="CO4" s="112" t="s">
        <v>522</v>
      </c>
      <c r="CP4" s="112" t="s">
        <v>523</v>
      </c>
      <c r="CQ4" s="112" t="s">
        <v>534</v>
      </c>
      <c r="CR4" s="112" t="s">
        <v>534</v>
      </c>
      <c r="CS4" s="112" t="s">
        <v>525</v>
      </c>
      <c r="CT4" s="112" t="s">
        <v>526</v>
      </c>
      <c r="CU4" s="112" t="s">
        <v>527</v>
      </c>
      <c r="CV4" s="113" t="s">
        <v>528</v>
      </c>
      <c r="CX4" s="36">
        <v>1</v>
      </c>
    </row>
    <row r="5" spans="1:102" ht="18.75" x14ac:dyDescent="0.25">
      <c r="A5" s="39"/>
      <c r="B5" s="766" t="s">
        <v>535</v>
      </c>
      <c r="C5" s="766"/>
      <c r="D5" s="766"/>
      <c r="E5" s="130" t="s">
        <v>5890</v>
      </c>
      <c r="F5" s="39"/>
      <c r="G5" s="39"/>
      <c r="H5" s="39"/>
      <c r="J5" s="39"/>
      <c r="L5" s="89" t="s">
        <v>5850</v>
      </c>
      <c r="M5" s="39"/>
      <c r="N5" s="39"/>
      <c r="O5" s="39"/>
      <c r="P5" s="39"/>
      <c r="Q5" s="39"/>
      <c r="R5" s="39"/>
      <c r="S5" s="39"/>
      <c r="CM5" s="102"/>
      <c r="CN5" s="112" t="s">
        <v>536</v>
      </c>
      <c r="CO5" s="112" t="s">
        <v>522</v>
      </c>
      <c r="CP5" s="112" t="s">
        <v>523</v>
      </c>
      <c r="CQ5" s="112" t="s">
        <v>537</v>
      </c>
      <c r="CR5" s="112" t="s">
        <v>537</v>
      </c>
      <c r="CS5" s="112" t="s">
        <v>525</v>
      </c>
      <c r="CT5" s="112" t="s">
        <v>526</v>
      </c>
      <c r="CU5" s="112" t="s">
        <v>527</v>
      </c>
      <c r="CV5" s="113" t="s">
        <v>528</v>
      </c>
      <c r="CX5" s="36">
        <v>1</v>
      </c>
    </row>
    <row r="6" spans="1:102" ht="51.95" customHeight="1" x14ac:dyDescent="0.25">
      <c r="A6" s="131" t="s">
        <v>324</v>
      </c>
      <c r="B6" s="132" t="s">
        <v>5891</v>
      </c>
      <c r="C6" s="133" t="s">
        <v>5892</v>
      </c>
      <c r="D6" s="133" t="s">
        <v>538</v>
      </c>
      <c r="E6" s="131" t="str">
        <f>"Céréales contenant du gluten "&amp;(COUNTIF(E7:E66,"X")+COUNTIF(E7:E66,"~?"))</f>
        <v>Céréales contenant du gluten 2</v>
      </c>
      <c r="F6" s="131" t="str">
        <f>"Crustacés "&amp;" "&amp;(COUNTIF(F7:F66,"X")+COUNTIF(F7:F66,"~?"))</f>
        <v>Crustacés  2</v>
      </c>
      <c r="G6" s="131" t="str">
        <f>"Œufs "&amp;(COUNTIF(G7:G66,"X")+COUNTIF(G7:G66,"~?"))</f>
        <v>Œufs 4</v>
      </c>
      <c r="H6" s="131" t="str">
        <f>"Poissons "&amp;(COUNTIF(H7:H66,"X")+COUNTIF(H7:H66,"~?"))</f>
        <v>Poissons 5</v>
      </c>
      <c r="I6" s="131" t="str">
        <f>"Arachides "&amp;" "&amp;(COUNTIF(I7:I66,"X")+COUNTIF(I7:I66,"~?"))</f>
        <v>Arachides  1</v>
      </c>
      <c r="J6" s="131" t="str">
        <f>"Soja "&amp;" "&amp;(COUNTIF(J7:J66,"X")+COUNTIF(J7:J66,"~?"))</f>
        <v>Soja  2</v>
      </c>
      <c r="K6" s="131" t="str">
        <f>"Lait "&amp;" "&amp;(COUNTIF(K7:K66,"X")+COUNTIF(K7:K66,"~?"))</f>
        <v>Lait  8</v>
      </c>
      <c r="L6" s="131" t="str">
        <f>"Fruits à coque "&amp;" "&amp;(COUNTIF(L7:L66,"X")+COUNTIF(L7:L66,"~?"))</f>
        <v>Fruits à coque  0</v>
      </c>
      <c r="M6" s="131" t="str">
        <f>"Céleri "&amp;(COUNTIF(M7:M66,"X")+COUNTIF(M7:M66,"~?"))</f>
        <v>Céleri 1</v>
      </c>
      <c r="N6" s="131" t="str">
        <f>"Moutarde "&amp;(COUNTIF(N7:N66,"X")+COUNTIF(N7:N66,"~?"))</f>
        <v>Moutarde 0</v>
      </c>
      <c r="O6" s="131" t="str">
        <f>"Sésame "&amp;(COUNTIF(O7:O66,"X")+COUNTIF(O7:O66,"~?"))</f>
        <v>Sésame 1</v>
      </c>
      <c r="P6" s="131" t="str">
        <f>"Sulfites "&amp;(COUNTIF(P7:P66,"X")+COUNTIF(P7:P66,"~?"))</f>
        <v>Sulfites 2</v>
      </c>
      <c r="Q6" s="131" t="str">
        <f>"Lupin "&amp;(COUNTIF(Q7:Q66,"X")+COUNTIF(Q7:Q66,"~?"))</f>
        <v>Lupin 1</v>
      </c>
      <c r="R6" s="131" t="str">
        <f>"Mollusques "&amp;(COUNTIF(R7:R66,"X")+COUNTIF(R7:R66,"~?"))</f>
        <v>Mollusques 4</v>
      </c>
      <c r="S6" s="131" t="s">
        <v>5893</v>
      </c>
      <c r="U6" s="134" t="s">
        <v>552</v>
      </c>
      <c r="V6" s="134" t="s">
        <v>553</v>
      </c>
      <c r="W6" s="134" t="s">
        <v>554</v>
      </c>
      <c r="X6" s="134" t="s">
        <v>555</v>
      </c>
      <c r="Y6" s="134" t="s">
        <v>556</v>
      </c>
      <c r="Z6" s="134" t="s">
        <v>557</v>
      </c>
      <c r="AA6" s="134" t="s">
        <v>558</v>
      </c>
      <c r="AB6" s="134" t="s">
        <v>559</v>
      </c>
      <c r="AC6" s="134" t="s">
        <v>560</v>
      </c>
      <c r="AD6" s="134" t="s">
        <v>561</v>
      </c>
      <c r="AE6" s="134" t="s">
        <v>562</v>
      </c>
      <c r="AF6" s="134" t="s">
        <v>522</v>
      </c>
      <c r="AG6" s="134" t="s">
        <v>563</v>
      </c>
      <c r="AH6" s="134" t="s">
        <v>564</v>
      </c>
      <c r="AI6" s="134" t="s">
        <v>539</v>
      </c>
      <c r="AJ6" s="134" t="s">
        <v>565</v>
      </c>
      <c r="AK6" s="134" t="s">
        <v>566</v>
      </c>
      <c r="AL6" s="134" t="s">
        <v>567</v>
      </c>
      <c r="AM6" s="134" t="s">
        <v>540</v>
      </c>
      <c r="AN6" s="134" t="s">
        <v>568</v>
      </c>
      <c r="AO6" s="134" t="s">
        <v>569</v>
      </c>
      <c r="AP6" s="134" t="s">
        <v>570</v>
      </c>
      <c r="AQ6" s="134" t="s">
        <v>571</v>
      </c>
      <c r="AR6" s="134" t="s">
        <v>572</v>
      </c>
      <c r="AS6" s="134" t="s">
        <v>573</v>
      </c>
      <c r="AT6" s="134" t="s">
        <v>574</v>
      </c>
      <c r="AU6" s="134" t="s">
        <v>575</v>
      </c>
      <c r="AV6" s="134" t="s">
        <v>576</v>
      </c>
      <c r="AW6" s="134" t="s">
        <v>577</v>
      </c>
      <c r="AX6" s="134" t="s">
        <v>578</v>
      </c>
      <c r="AY6" s="134" t="s">
        <v>579</v>
      </c>
      <c r="AZ6" s="134" t="s">
        <v>541</v>
      </c>
      <c r="BA6" s="134" t="s">
        <v>580</v>
      </c>
      <c r="BB6" s="134" t="s">
        <v>542</v>
      </c>
      <c r="BC6" s="134" t="s">
        <v>581</v>
      </c>
      <c r="BD6" s="134" t="s">
        <v>582</v>
      </c>
      <c r="BE6" s="134" t="s">
        <v>583</v>
      </c>
      <c r="BF6" s="134" t="s">
        <v>543</v>
      </c>
      <c r="BG6" s="134" t="s">
        <v>584</v>
      </c>
      <c r="BH6" s="134" t="s">
        <v>585</v>
      </c>
      <c r="BI6" s="134" t="s">
        <v>586</v>
      </c>
      <c r="BJ6" s="134" t="s">
        <v>587</v>
      </c>
      <c r="BK6" s="134" t="s">
        <v>588</v>
      </c>
      <c r="BL6" s="134" t="s">
        <v>589</v>
      </c>
      <c r="BM6" s="134" t="s">
        <v>544</v>
      </c>
      <c r="BN6" s="134" t="s">
        <v>590</v>
      </c>
      <c r="BO6" s="134" t="s">
        <v>591</v>
      </c>
      <c r="BP6" s="134" t="s">
        <v>592</v>
      </c>
      <c r="BQ6" s="134" t="s">
        <v>545</v>
      </c>
      <c r="BR6" s="134" t="s">
        <v>593</v>
      </c>
      <c r="BS6" s="134" t="s">
        <v>594</v>
      </c>
      <c r="BT6" s="134" t="s">
        <v>546</v>
      </c>
      <c r="BU6" s="134" t="s">
        <v>595</v>
      </c>
      <c r="BV6" s="134" t="s">
        <v>596</v>
      </c>
      <c r="BW6" s="134" t="s">
        <v>547</v>
      </c>
      <c r="BX6" s="134" t="s">
        <v>597</v>
      </c>
      <c r="BY6" s="134" t="s">
        <v>598</v>
      </c>
      <c r="BZ6" s="134" t="s">
        <v>548</v>
      </c>
      <c r="CA6" s="134" t="s">
        <v>599</v>
      </c>
      <c r="CB6" s="134" t="s">
        <v>600</v>
      </c>
      <c r="CC6" s="134" t="s">
        <v>549</v>
      </c>
      <c r="CD6" s="134" t="s">
        <v>601</v>
      </c>
      <c r="CE6" s="134" t="s">
        <v>602</v>
      </c>
      <c r="CF6" s="134" t="s">
        <v>550</v>
      </c>
      <c r="CG6" s="134" t="s">
        <v>603</v>
      </c>
      <c r="CH6" s="134" t="s">
        <v>604</v>
      </c>
      <c r="CI6" s="134" t="s">
        <v>605</v>
      </c>
      <c r="CJ6" s="134" t="s">
        <v>606</v>
      </c>
      <c r="CK6" s="134" t="s">
        <v>607</v>
      </c>
      <c r="CL6" s="134" t="s">
        <v>551</v>
      </c>
      <c r="CM6" s="102"/>
      <c r="CN6" s="112" t="s">
        <v>608</v>
      </c>
      <c r="CO6" s="112" t="s">
        <v>522</v>
      </c>
      <c r="CP6" s="112" t="s">
        <v>523</v>
      </c>
      <c r="CQ6" s="112" t="s">
        <v>609</v>
      </c>
      <c r="CR6" s="112" t="s">
        <v>609</v>
      </c>
      <c r="CS6" s="112" t="s">
        <v>610</v>
      </c>
      <c r="CT6" s="112" t="s">
        <v>611</v>
      </c>
      <c r="CU6" s="112" t="s">
        <v>527</v>
      </c>
      <c r="CV6" s="113" t="s">
        <v>612</v>
      </c>
      <c r="CX6" s="36">
        <v>1</v>
      </c>
    </row>
    <row r="7" spans="1:102" ht="21" customHeight="1" x14ac:dyDescent="0.25">
      <c r="A7" s="135">
        <v>1</v>
      </c>
      <c r="B7" s="136" t="s">
        <v>5851</v>
      </c>
      <c r="C7" s="137" t="str">
        <f t="shared" ref="C7:C66" si="0">IF(7=7,IF($B7="","",TRIM(IF(RIGHT(TRIM($B7),1)="?",LEFT(TRIM($B7),LEN(TRIM($B7))-1),TRIM($B7)))&amp;IF(COUNTIF($E7:$R7,"X")&gt;0," *",IF(OR(E7="?",F7="?",G7="?",H7="?",I7="?",J7="?",K7="?",L7="?",M7="?",N7="?",O7="?",P7="?",Q7="?",R7="?")," ?",""))),"")</f>
        <v>Ail haché</v>
      </c>
      <c r="D7" s="138" t="str">
        <f>IF(7=7,IF($B7="","",IF(E7="X",""&amp;"Céréales contenant du gluten","")&amp;IF(F7="X",IF(COUNTIF($E7:$E7,"X")&gt;0,", ","")&amp;"Crustacés","")&amp;IF(G7="X",IF(COUNTIF($E7:$F7,"X")&gt;0,", ","")&amp;"Œufs","")&amp;IF(H7="X",IF(COUNTIF($E7:$G7,"X")&gt;0,", ","")&amp;"Poissons","")&amp;IF(I7="X",IF(COUNTIF($E7:$H7,"X")&gt;0,", ","")&amp;"Arachides","")&amp;IF(J7="X",IF(COUNTIF($E7:$I7,"X")&gt;0,", ","")&amp;"Soja","")&amp;IF(K7="X",IF(COUNTIF($E7:$J7,"X")&gt;0,", ","")&amp;"Lait","")&amp;IF(L7="X",IF(COUNTIF($E7:$K7,"X")&gt;0,", ","")&amp;"Fruits à coque","")&amp;IF(M7="X",IF(COUNTIF($E7:$L7,"X")&gt;0,", ","")&amp;"Céleri","")&amp;IF(N7="X",IF(COUNTIF($E7:$M7,"X")&gt;0,", ","")&amp;"Moutarde","")&amp;IF(O7="X",IF(COUNTIF($E7:$N7,"X")&gt;0,", ","")&amp;"Sésame","")&amp;IF(P7="X",IF(COUNTIF($E7:$O7,"X")&gt;0,", ","")&amp;"Sulfites","")&amp;IF(Q7="X",IF(COUNTIF($E7:$P7,"X")&gt;0,", ","")&amp;"Lupin","")&amp;IF(R7="X",IF(COUNTIF($E7:$Q7,"X")&gt;0,", ","")&amp;"Mollusques","")),"")</f>
        <v/>
      </c>
      <c r="E7" s="139" t="str">
        <f>IF(7=7,IF($B7="","",AF7),"")</f>
        <v/>
      </c>
      <c r="F7" s="139" t="str">
        <f>IF(7=7,IF($B7="","",AI7),"")</f>
        <v/>
      </c>
      <c r="G7" s="139" t="str">
        <f>IF(7=7,IF($B7="","",AM7),"")</f>
        <v/>
      </c>
      <c r="H7" s="139" t="str">
        <f>IF(7=7,IF($B7="","",IF(ISNUMBER(SEARCH(" colin ",$AA7)),"X",AZ7)),"")</f>
        <v/>
      </c>
      <c r="I7" s="139" t="str">
        <f>IF(7=7,IF($B7="","",BB7),"")</f>
        <v/>
      </c>
      <c r="J7" s="139" t="str">
        <f>IF(7=7,IF($B7="","",BF7),"")</f>
        <v/>
      </c>
      <c r="K7" s="139" t="str">
        <f>IF(7=7,IF($B7="","",BM7),"")</f>
        <v/>
      </c>
      <c r="L7" s="139" t="str">
        <f>IF(7=7,IF($B7="","",BQ7),"")</f>
        <v/>
      </c>
      <c r="M7" s="139" t="str">
        <f>IF(7=7,IF($B7="","",BT7),"")</f>
        <v/>
      </c>
      <c r="N7" s="139" t="str">
        <f>IF(7=7,IF($B7="","",BW7),"")</f>
        <v/>
      </c>
      <c r="O7" s="139" t="str">
        <f>IF(7=7,IF($B7="","",BZ7),"")</f>
        <v/>
      </c>
      <c r="P7" s="139" t="str">
        <f>IF(7=7,IF($B7="","",CC7),"")</f>
        <v/>
      </c>
      <c r="Q7" s="139" t="str">
        <f>IF(7=7,IF($B7="","",CF7),"")</f>
        <v/>
      </c>
      <c r="R7" s="139" t="str">
        <f>IF(7=7,IF($B7="","",CL7),"")</f>
        <v/>
      </c>
      <c r="S7" s="140" t="str">
        <f>IF(7=7,IF($B7="","",IF(E7="?",""&amp;"Céréales contenant du gluten","")&amp;IF(F7="?",IF(COUNTIF($E7:$E7,"~?")&gt;0,", ","")&amp;"Crustacés","")&amp;IF(G7="?",IF(COUNTIF($E7:$F7,"~?")&gt;0,", ","")&amp;"Œufs","")&amp;IF(H7="?",IF(COUNTIF($E7:$G7,"~?")&gt;0,", ","")&amp;"Poissons","")&amp;IF(I7="?",IF(COUNTIF($E7:$H7,"~?")&gt;0,", ","")&amp;"Arachides","")&amp;IF(J7="?",IF(COUNTIF($E7:$I7,"~?")&gt;0,", ","")&amp;"Soja","")&amp;IF(K7="?",IF(COUNTIF($E7:$J7,"~?")&gt;0,", ","")&amp;"Lait","")&amp;IF(L7="?",IF(COUNTIF($E7:$K7,"~?")&gt;0,", ","")&amp;"Fruits à coque","")&amp;IF(M7="?",IF(COUNTIF($E7:$L7,"~?")&gt;0,", ","")&amp;"Céleri","")&amp;IF(N7="?",IF(COUNTIF($E7:$M7,"~?")&gt;0,", ","")&amp;"Moutarde","")&amp;IF(O7="?",IF(COUNTIF($E7:$N7,"~?")&gt;0,", ","")&amp;"Sésame","")&amp;IF(P7="?",IF(COUNTIF($E7:$O7,"~?")&gt;0,", ","")&amp;"Sulfites","")&amp;IF(Q7="?",IF(COUNTIF($E7:$P7,"~?")&gt;0,", ","")&amp;"Lupin","")&amp;IF(R7="?",IF(COUNTIF($E7:$Q7,"~?")&gt;0,", ","")&amp;"Mollusques","")),"")</f>
        <v/>
      </c>
      <c r="U7" s="93" t="str">
        <f>IF(7=7,IF($B7="","",$B7),"")</f>
        <v>Ail haché</v>
      </c>
      <c r="V7" s="93" t="str">
        <f>IF(7=7,LOWER(CLEAN(SUBSTITUTE(SUBSTITUTE(SUBSTITUTE(SUBSTITUTE($U7,CHAR(160)," ")," "," "),CHAR(10)," "),CHAR(13)," "))),"")</f>
        <v>ail haché</v>
      </c>
      <c r="W7" s="93" t="str">
        <f>IF(7=7,SUBSTITUTE(SUBSTITUTE(SUBSTITUTE(SUBSTITUTE(SUBSTITUTE(SUBSTITUTE(SUBSTITUTE(SUBSTITUTE(SUBSTITUTE(SUBSTITUTE(SUBSTITUTE(SUBSTITUTE($V7,"œ","oe"),"æ","ae"),"à","a"),"á","a"),"â","a"),"ä","a"),"ã","a"),"ç","c"),"è","e"),"é","e"),"ê","e"),"ë","e"),"")</f>
        <v>ail hache</v>
      </c>
      <c r="X7" s="93" t="str">
        <f>IF(7=7,SUBSTITUTE(SUBSTITUTE(SUBSTITUTE(SUBSTITUTE(SUBSTITUTE(SUBSTITUTE(SUBSTITUTE(SUBSTITUTE(SUBSTITUTE(SUBSTITUTE(SUBSTITUTE(SUBSTITUTE(SUBSTITUTE(SUBSTITUTE(SUBSTITUTE(SUBSTITUTE($W7,"ì","i"),"í","i"),"î","i"),"ï","i"),"ñ","n"),"ò","o"),"ó","o"),"ô","o"),"ö","o"),"õ","o"),"ù","u"),"ú","u"),"û","u"),"ü","u"),"ý","y"),"ÿ","y"),"")</f>
        <v>ail hache</v>
      </c>
      <c r="Y7" s="93" t="str">
        <f>IF(7=7,SUBSTITUTE(SUBSTITUTE(SUBSTITUTE(SUBSTITUTE(SUBSTITUTE(SUBSTITUTE(SUBSTITUTE(SUBSTITUTE(SUBSTITUTE(SUBSTITUTE(SUBSTITUTE(SUBSTITUTE(SUBSTITUTE(SUBSTITUTE($X7,"’"," "),"`"," "),"–"," "),"—"," "),"-"," "),"'"," "),"/"," "),"_"," "),","," "),"."," "),"("," "),")"," "),";"," "),":"," "),"")</f>
        <v>ail hache</v>
      </c>
      <c r="Z7" s="93" t="str">
        <f>IF(7=7,SUBSTITUTE(SUBSTITUTE(SUBSTITUTE(SUBSTITUTE(SUBSTITUTE(SUBSTITUTE(SUBSTITUTE(SUBSTITUTE(SUBSTITUTE(SUBSTITUTE(SUBSTITUTE(SUBSTITUTE(SUBSTITUTE(SUBSTITUTE(SUBSTITUTE($Y7,"!"," "),"?"," "),"+"," "),"*"," "),"&amp;"," "),"["," "),"]"," "),"{"," "),"}"," "),"%"," "),"="," "),"\"," "),"|"," "),"&lt;"," "),"&gt;"," "),"")</f>
        <v>ail hache</v>
      </c>
      <c r="AA7" s="93" t="str">
        <f>IF(7=7," "&amp;TRIM(SUBSTITUTE(SUBSTITUTE(SUBSTITUTE(SUBSTITUTE(SUBSTITUTE(SUBSTITUTE($Z7,CHAR(34)," "),"  "," "),"  "," "),"  "," "),"  "," "),"  "," "))&amp;" ","")</f>
        <v xml:space="preserve"> ail hache </v>
      </c>
      <c r="AB7" s="93">
        <f>IF(7=7,IF($U7="","",SUMPRODUCT(--ISNUMBER(SEARCH(" "&amp;$CR$2:$CR$101&amp;" ",$AD7)))),"")</f>
        <v>0</v>
      </c>
      <c r="AC7" s="93">
        <f>IF(7=7,IF($U7="","",SUMPRODUCT(--ISNUMBER(SEARCH(" "&amp;$CR$102:$CR$151&amp;" ",$AD7)))),"")</f>
        <v>0</v>
      </c>
      <c r="AD7" s="93" t="str">
        <f t="shared" ref="AD7:AD66" si="1">IF($U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7," "&amp;$CR$112&amp;" "," ")," "&amp;$CR$113&amp;" "," ")," "&amp;$CR$114&amp;" "," ")," "&amp;$CR$115&amp;" "," ")," "&amp;$CR$148&amp;" "," ")," "&amp;$CR$152&amp;" "," ")," "&amp;$CR$153&amp;" "," ")," "&amp;$CR$154&amp;" "," ")," "&amp;$CR$155&amp;" "," ")," "&amp;$CR$156&amp;" "," ")," "&amp;$CR$157&amp;" "," ")," "&amp;$CR$158&amp;" "," ")," "&amp;$CR$159&amp;" "," ")," "&amp;$CR$160&amp;" "," ")," "&amp;$CR$161&amp;" "," ")," "&amp;$CR$162&amp;" "," ")," "&amp;$CR$163&amp;" "," ")," "&amp;$CR$164&amp;" "," ")," "&amp;$CR$165&amp;" "," ")," "&amp;$CR$166&amp;" "," ")," "&amp;$CR$167&amp;" "," ")," "&amp;$CR$168&amp;" "," ")," "&amp;$CR$169&amp;" "," ")," "&amp;$CR$170&amp;" "," ")," "&amp;$CR$171&amp;" "," ")," "&amp;$CR$172&amp;" "," ")," "&amp;$CR$173&amp;" "," ")," "&amp;$CR$174&amp;" "," ")," "&amp;$CR$175&amp;" "," ")," "&amp;$CR$176&amp;" "," ")," "&amp;$CR$177&amp;" "," ")," "&amp;$CR$178&amp;" "," ")," "&amp;$CR$179&amp;" "," ")," "&amp;$CR$180&amp;" "," ")," "&amp;$CR$181&amp;" "," ")," "&amp;$CR$182&amp;" "," ")," "&amp;$CR$183&amp;" "," ")," "&amp;$CR$2417&amp;" "," ")," "&amp;$CR$2425&amp;" "," ")," "&amp;$CR$2426&amp;" "," ")," "&amp;$CR$2427&amp;" "," ")," "&amp;$CR$2428&amp;" "," ")," "&amp;$CR$2429&amp;" "," ")," "&amp;$CR$2430&amp;" "," ")," "&amp;$CR$2431&amp;" "," ")," "&amp;$CR$2432&amp;" "," ")," "&amp;$CR$2433&amp;" "," ")," "&amp;$CR$2434&amp;" "," ")," "&amp;$CR$2435&amp;" "," ")," "&amp;$CR$2436&amp;" "," ")," "&amp;$CR$2437&amp;" "," "))</f>
        <v xml:space="preserve"> ail hache </v>
      </c>
      <c r="AE7" s="93">
        <f t="shared" ref="AE7:AE66" si="2">IF($U7="","",SUMPRODUCT(--ISNUMBER(SEARCH(" "&amp;$CR$184:$CR$205&amp;" ",$AD7)))+--ISNUMBER(SEARCH(" "&amp;$CR$2454&amp;" ",$AD7)))</f>
        <v>0</v>
      </c>
      <c r="AF7" s="93" t="str">
        <f>IF(7=7,IF($U7="","",IF(SUM(AB7:AC7)+SUMPRODUCT(--ISNUMBER(SEARCH(" "&amp;$CR$2418:$CR$2420&amp;" ",$AD7)))&gt;0,"X",IF(AE7&gt;0,"?",""))),"")</f>
        <v/>
      </c>
      <c r="AG7" s="93">
        <f>IF(7=7,IF($U7="","",SUMPRODUCT(--ISNUMBER(SEARCH(" "&amp;$CR$206:$CR$305&amp;" ",$AA7)))),"")</f>
        <v>0</v>
      </c>
      <c r="AH7" s="93">
        <f>IF(7=7,IF($U7="","",SUMPRODUCT(--ISNUMBER(SEARCH(" "&amp;$CR$306:$CR$340&amp;" ",$AA7)))),"")</f>
        <v>0</v>
      </c>
      <c r="AI7" s="93" t="str">
        <f>IF(7=7,IF($U7="","",IF((SUM(AG7:AH7))-(0)&gt;0,"X",IF((0)-(0)&gt;0,"?",""))),"")</f>
        <v/>
      </c>
      <c r="AJ7" s="93">
        <f>IF(7=7,IF($U7="","",SUMPRODUCT(--ISNUMBER(SEARCH(" "&amp;$CR$341:$CR$398&amp;" ",$AA7)))),"")</f>
        <v>0</v>
      </c>
      <c r="AK7" s="93">
        <f>IF(7=7,IF($U7="","",SUMPRODUCT(--ISNUMBER(SEARCH(" "&amp;$CR$399:$CR$426&amp;" ",$AL7)))+SUMPRODUCT(--ISNUMBER(SEARCH(" "&amp;$CR$2440:$CR$2453&amp;" ",$AL7)))),"")</f>
        <v>0</v>
      </c>
      <c r="AL7" s="93" t="str">
        <f>IF(7=7,IF($U7="","",SUBSTITUTE(SUBSTITUTE(SUBSTITUTE(SUBSTITUTE(SUBSTITUTE(SUBSTITUTE(SUBSTITUTE(SUBSTITUTE(SUBSTITUTE(SUBSTITUTE(SUBSTITUTE(SUBSTITUTE(SUBSTITUTE(SUBSTITUTE($AA7," "&amp;$CR$2455&amp;" "," ")," "&amp;$CR$433&amp;" "," ")," "&amp;$CR$431&amp;" "," ")," "&amp;$CR$2438&amp;" "," ")," "&amp;$CR$2439&amp;" "," ")," "&amp;$CR$428&amp;" "," ")," "&amp;$CR$432&amp;" "," ")," "&amp;$CR$434&amp;" "," ")," "&amp;$CR$429&amp;" "," ")," "&amp;$CR$427&amp;" "," ")," "&amp;$CR$1367&amp;" "," ")," "&amp;$CR$435&amp;" "," ")," "&amp;$CR$1366&amp;" "," ")," "&amp;$CR$430&amp;" "," ")),"")</f>
        <v xml:space="preserve"> ail hache </v>
      </c>
      <c r="AM7" s="93" t="str">
        <f>IF(7=7,IF($U7="","",IF(AJ7&gt;0,"X",IF(AK7&gt;0,"?",""))),"")</f>
        <v/>
      </c>
      <c r="AN7" s="93">
        <f>IF(7=7,IF($U7="","",SUMPRODUCT(--ISNUMBER(SEARCH(" "&amp;$CR$436:$CR$535&amp;" ",$AX7)))),"")</f>
        <v>0</v>
      </c>
      <c r="AO7" s="93">
        <f>IF(7=7,IF($U7="","",SUMPRODUCT(--ISNUMBER(SEARCH(" "&amp;$CR$536:$CR$635&amp;" ",$AX7)))),"")</f>
        <v>0</v>
      </c>
      <c r="AP7" s="93">
        <f>IF(7=7,IF($U7="","",SUMPRODUCT(--ISNUMBER(SEARCH(" "&amp;$CR$636:$CR$735&amp;" ",$AX7)))),"")</f>
        <v>0</v>
      </c>
      <c r="AQ7" s="93">
        <f>IF(7=7,IF($U7="","",SUMPRODUCT(--ISNUMBER(SEARCH(" "&amp;$CR$736:$CR$835&amp;" ",$AX7)))),"")</f>
        <v>0</v>
      </c>
      <c r="AR7" s="93">
        <f>IF(7=7,IF($U7="","",SUMPRODUCT(--ISNUMBER(SEARCH(" "&amp;$CR$836:$CR$935&amp;" ",$AX7)))),"")</f>
        <v>0</v>
      </c>
      <c r="AS7" s="93">
        <f>IF(7=7,IF($U7="","",SUMPRODUCT(--ISNUMBER(SEARCH(" "&amp;$CR$936:$CR$1035&amp;" ",$AX7)))),"")</f>
        <v>0</v>
      </c>
      <c r="AT7" s="93">
        <f>IF(7=7,IF($U7="","",SUMPRODUCT(--ISNUMBER(SEARCH(" "&amp;$CR$1036:$CR$1135&amp;" ",$AX7)))),"")</f>
        <v>0</v>
      </c>
      <c r="AU7" s="93">
        <f>IF(7=7,IF($U7="","",SUMPRODUCT(--ISNUMBER(SEARCH(" "&amp;$CR$1136:$CR$1235&amp;" ",$AX7)))),"")</f>
        <v>0</v>
      </c>
      <c r="AV7" s="93">
        <f>IF(7=7,IF($U7="","",SUMPRODUCT(--ISNUMBER(SEARCH(" "&amp;$CR$1236:$CR$1335&amp;" ",$AX7)))),"")</f>
        <v>0</v>
      </c>
      <c r="AW7" s="93">
        <f>IF(7=7,IF($U7="","",SUMPRODUCT(--ISNUMBER(SEARCH(" "&amp;$CR$1336:$CR$1363&amp;" ",$AX7)))),"")</f>
        <v>0</v>
      </c>
      <c r="AX7" s="93" t="str">
        <f>IF(7=7,IF($U7="","",SUBSTITUTE(SUBSTITUTE(SUBSTITUTE(SUBSTITUTE(SUBSTITUTE(SUBSTITUTE(SUBSTITUTE(SUBSTITUTE(SUBSTITUTE($AA7," "&amp;$CR$1365&amp;" "," ")," "&amp;$CR$1364&amp;" "," ")," "&amp;$CR$1370&amp;" "," ")," "&amp;$CR$1371&amp;" "," ")," "&amp;$CR$1367&amp;" "," ")," "&amp;$CR$1369&amp;" "," ")," "&amp;$CR$1366&amp;" "," ")," "&amp;$CR$1368&amp;" "," ")," "&amp;$CR$1372&amp;" "," ")),"")</f>
        <v xml:space="preserve"> ail hache </v>
      </c>
      <c r="AY7" s="93">
        <f>IF(7=7,IF($U7="","",SUMPRODUCT(--ISNUMBER(SEARCH(" "&amp;$CR$1373:$CR$1383&amp;" ",$AX7)))),"")</f>
        <v>0</v>
      </c>
      <c r="AZ7" s="93" t="str">
        <f>IF(7=7,IF($U7="","",IF(SUM(AN7:AW7)+SUMPRODUCT(--ISNUMBER(SEARCH(" "&amp;$CR$2421:$CR$2422&amp;" ",$AX7)))&gt;0,"X",IF(AY7&gt;0,"?",""))),"")</f>
        <v/>
      </c>
      <c r="BA7" s="93">
        <f>IF(7=7,IF($U7="","",SUMPRODUCT(--ISNUMBER(SEARCH(" "&amp;$CR$1384:$CR$1404&amp;" ",$AA7)))),"")</f>
        <v>0</v>
      </c>
      <c r="BB7" s="93" t="str">
        <f>IF(7=7,IF($U7="","",IF((BA7)-(0)&gt;0,"X",IF((0)-(0)&gt;0,"?",""))),"")</f>
        <v/>
      </c>
      <c r="BC7" s="93">
        <f>IF(7=7,IF($U7="","",SUMPRODUCT(--ISNUMBER(SEARCH(" "&amp;$CR$1405:$CR$1442&amp;" ",$BD7)))),"")</f>
        <v>0</v>
      </c>
      <c r="BD7" s="93" t="str">
        <f>IF(7=7,IF($U7="","",SUBSTITUTE(SUBSTITUTE($AA7," "&amp;$CR$1443&amp;" "," ")," "&amp;$CR$1444&amp;" "," ")),"")</f>
        <v xml:space="preserve"> ail hache </v>
      </c>
      <c r="BE7" s="93">
        <f>IF(7=7,IF($U7="","",SUMPRODUCT(--ISNUMBER(SEARCH(" "&amp;$CR$1445:$CR$1455&amp;" ",$BD7)))),"")</f>
        <v>0</v>
      </c>
      <c r="BF7" s="93" t="str">
        <f>IF(7=7,IF($U7="","",IF(BC7&gt;0,"X",IF(BE7&gt;0,"?",""))),"")</f>
        <v/>
      </c>
      <c r="BG7" s="93">
        <f>IF(7=7,IF($U7="","",SUMPRODUCT(--ISNUMBER(SEARCH(" "&amp;$CR$1456:$CR$1555&amp;" ",$BJ7)))),"")</f>
        <v>0</v>
      </c>
      <c r="BH7" s="93">
        <f>IF(7=7,IF($U7="","",SUMPRODUCT(--ISNUMBER(SEARCH(" "&amp;$CR$1556:$CR$1655&amp;" ",$BJ7)))),"")</f>
        <v>0</v>
      </c>
      <c r="BI7" s="93">
        <f>IF(7=7,IF($U7="","",SUMPRODUCT(--ISNUMBER(SEARCH(" "&amp;$CR$1656:$CR$1739&amp;" ",$BJ7)))),"")</f>
        <v>0</v>
      </c>
      <c r="BJ7" s="93" t="str">
        <f>IF(7=7,IF($U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7,"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ail hache </v>
      </c>
      <c r="BK7" s="93">
        <f>IF(7=7,IF($U7="","",SUMPRODUCT(--ISNUMBER(SEARCH(" "&amp;$CR$1790:$CR$1869&amp;" ",$BL7)))+SUMPRODUCT(--ISNUMBER(SEARCH(" "&amp;$CR$2440:$CR$2453&amp;" ",$BL7)))),"")</f>
        <v>0</v>
      </c>
      <c r="BL7" s="93" t="str">
        <f>IF(7=7,IF($U7="","",SUBSTITUTE(SUBSTITUTE(SUBSTITUTE(SUBSTITUTE(SUBSTITUTE(SUBSTITUTE(SUBSTITUTE(SUBSTITUTE(SUBSTITUTE(SUBSTITUTE(SUBSTITUTE(SUBSTITUTE(SUBSTITUTE($BJ7," "&amp;$CR$1876&amp;" "," ")," "&amp;$CR$1874&amp;" "," ")," "&amp;$CR$2438&amp;" "," ")," "&amp;$CR$2439&amp;" "," ")," "&amp;$CR$1871&amp;" "," ")," "&amp;$CR$1875&amp;" "," ")," "&amp;$CR$1877&amp;" "," ")," "&amp;$CR$1872&amp;" "," ")," "&amp;$CR$1870&amp;" "," ")," "&amp;$CR$1367&amp;" "," ")," "&amp;$CR$1878&amp;" "," ")," "&amp;$CR$1366&amp;" "," ")," "&amp;$CR$1873&amp;" "," ")),"")</f>
        <v xml:space="preserve"> ail hache </v>
      </c>
      <c r="BM7" s="93" t="str">
        <f>IF(7=7,IF($U7="","",IF(SUM(BG7:BI7)+SUMPRODUCT(--ISNUMBER(SEARCH(" "&amp;$CR$2423:$CR$2424&amp;" ",$BJ7)))&gt;0,"X",IF(BK7&gt;0,"?",""))),"")</f>
        <v/>
      </c>
      <c r="BN7" s="93">
        <f>IF(7=7,IF($U7="","",SUMPRODUCT(--ISNUMBER(SEARCH(" "&amp;$CR$1879:$CR$1936&amp;" ",$BO7)))),"")</f>
        <v>0</v>
      </c>
      <c r="BO7" s="93" t="str">
        <f>IF(7=7,IF($U7="","",SUBSTITUTE(SUBSTITUTE(SUBSTITUTE(SUBSTITUTE(SUBSTITUTE(SUBSTITUTE(SUBSTITUTE(SUBSTITUTE(SUBSTITUTE(SUBSTITUTE(SUBSTITUTE(SUBSTITUTE(SUBSTITUTE(SUBSTITUTE(SUBSTITUTE(SUBSTITUTE(SUBSTITUTE(SUBSTITUTE(SUBSTITUTE(SUBSTITUTE(SUBSTITUTE(SUBSTITUTE(SUBSTITUTE($AA7,"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ail hache </v>
      </c>
      <c r="BP7" s="93">
        <f>IF(7=7,IF($U7="","",SUMPRODUCT(--ISNUMBER(SEARCH(" "&amp;$CR$1960:$CR$1976&amp;" ",$BO7)))),"")</f>
        <v>0</v>
      </c>
      <c r="BQ7" s="93" t="str">
        <f>IF(7=7,IF($U7="","",IF(BN7&gt;0,"X",IF(BP7&gt;0,"?",""))),"")</f>
        <v/>
      </c>
      <c r="BR7" s="93">
        <f>IF(7=7,IF($U7="","",SUMPRODUCT(--ISNUMBER(SEARCH(" "&amp;$CR$1977:$CR$1990&amp;" ",$AA7)))),"")</f>
        <v>0</v>
      </c>
      <c r="BS7" s="93">
        <f>IF(7=7,IF($U7="","",SUMPRODUCT(--ISNUMBER(SEARCH(" "&amp;$CR$1991:$CR$2005&amp;" ",$AA7)))),"")</f>
        <v>0</v>
      </c>
      <c r="BT7" s="93" t="str">
        <f>IF(7=7,IF($U7="","",IF((BR7)-(0)&gt;0,"X",IF((BS7)-(0)&gt;0,"?",""))),"")</f>
        <v/>
      </c>
      <c r="BU7" s="93">
        <f>IF(7=7,IF($U7="","",SUMPRODUCT(--ISNUMBER(SEARCH(" "&amp;$CR$2006:$CR$2023&amp;" ",$AA7)))),"")</f>
        <v>0</v>
      </c>
      <c r="BV7" s="93">
        <f>IF(7=7,IF($U7="","",SUMPRODUCT(--ISNUMBER(SEARCH(" "&amp;$CR$2024:$CR$2038&amp;" ",$AA7)))),"")</f>
        <v>0</v>
      </c>
      <c r="BW7" s="93" t="str">
        <f>IF(7=7,IF($U7="","",IF((BU7)-(0)&gt;0,"X",IF((BV7)-(0)&gt;0,"?",""))),"")</f>
        <v/>
      </c>
      <c r="BX7" s="93">
        <f>IF(7=7,IF($U7="","",SUMPRODUCT(--ISNUMBER(SEARCH(" "&amp;$CR$2039:$CR$2057&amp;" ",$AA7)))),"")</f>
        <v>0</v>
      </c>
      <c r="BY7" s="93">
        <f>IF(7=7,IF($U7="","",SUMPRODUCT(--ISNUMBER(SEARCH(" "&amp;$CR$2058:$CR$2072&amp;" ",$AA7)))),"")</f>
        <v>0</v>
      </c>
      <c r="BZ7" s="93" t="str">
        <f>IF(7=7,IF($U7="","",IF((BX7)-(0)&gt;0,"X",IF((BY7)-(0)&gt;0,"?",""))),"")</f>
        <v/>
      </c>
      <c r="CA7" s="93">
        <f>IF(7=7,IF($U7="","",SUMPRODUCT(--ISNUMBER(SEARCH(" "&amp;$CR$2073:$CR$2093&amp;" ",$AA7)))),"")</f>
        <v>0</v>
      </c>
      <c r="CB7" s="93">
        <f>IF(7=7,IF($U7="","",SUMPRODUCT(--ISNUMBER(SEARCH(" "&amp;$CR$2094:$CR$2133&amp;" ",SUBSTITUTE(SUBSTITUTE($AA7," "&amp;$CR$1367&amp;" "," ")," "&amp;$CR$1366&amp;" "," "))))+--ISNUMBER(SEARCH("poiré",$V7))),"")</f>
        <v>0</v>
      </c>
      <c r="CC7" s="93" t="str">
        <f>IF(7=7,IF($U7="","",IF(OR(CA7&gt;0,ISNUMBER(SEARCH(" vinaigre de vin ",$AA7)),ISNUMBER(SEARCH(" vinaigre au vin ",$AA7))),"X",IF(CB7&gt;0,"?",""))),"")</f>
        <v/>
      </c>
      <c r="CD7" s="93">
        <f>IF(7=7,IF($U7="","",SUMPRODUCT(--ISNUMBER(SEARCH(" "&amp;$CR$2134:$CR$2146&amp;" ",$AA7)))),"")</f>
        <v>0</v>
      </c>
      <c r="CE7" s="93">
        <f>IF(7=7,IF($U7="","",SUMPRODUCT(--ISNUMBER(SEARCH(" "&amp;$CR$2147:$CR$2152&amp;" ",$AA7)))),"")</f>
        <v>0</v>
      </c>
      <c r="CF7" s="93" t="str">
        <f>IF(7=7,IF($U7="","",IF((CD7)-(0)&gt;0,"X",IF((CE7)-(0)&gt;0,"?",""))),"")</f>
        <v/>
      </c>
      <c r="CG7" s="93">
        <f>IF(7=7,IF($U7="","",SUMPRODUCT(--ISNUMBER(SEARCH(" "&amp;$CR$2153:$CR$2252&amp;" ",$CJ7)))),"")</f>
        <v>0</v>
      </c>
      <c r="CH7" s="93">
        <f>IF(7=7,IF($U7="","",SUMPRODUCT(--ISNUMBER(SEARCH(" "&amp;$CR$2253:$CR$2352&amp;" ",$CJ7)))),"")</f>
        <v>0</v>
      </c>
      <c r="CI7" s="93">
        <f>IF(7=7,IF($U7="","",SUMPRODUCT(--ISNUMBER(SEARCH(" "&amp;$CR$2353:$CR$2395&amp;" ",$CJ7)))),"")</f>
        <v>0</v>
      </c>
      <c r="CJ7" s="93" t="str">
        <f>IF(7=7,IF($U7="","",SUBSTITUTE(SUBSTITUTE(SUBSTITUTE(SUBSTITUTE(SUBSTITUTE(SUBSTITUTE(SUBSTITUTE(SUBSTITUTE(SUBSTITUTE(SUBSTITUTE(SUBSTITUTE(SUBSTITUTE(SUBSTITUTE(SUBSTITUTE(SUBSTITUTE(SUBSTITUTE($AA7," "&amp;$CR$2401&amp;" "," ")," "&amp;$CR$2400&amp;" "," ")," "&amp;$CR$2399&amp;" "," ")," "&amp;$CR$2406&amp;" "," ")," "&amp;$CR$2398&amp;" "," ")," "&amp;$CR$2410&amp;" "," ")," "&amp;$CR$2397&amp;" "," ")," "&amp;$CR$2402&amp;" "," ")," "&amp;$CR$2405&amp;" "," ")," "&amp;$CR$2396&amp;" "," ")," "&amp;$CR$2404&amp;" "," ")," "&amp;$CR$2411&amp;" "," ")," "&amp;$CR$2408&amp;" "," ")," "&amp;$CR$2403&amp;" "," ")," "&amp;$CR$2407&amp;" "," ")," "&amp;$CR$2409&amp;" "," ")),"")</f>
        <v xml:space="preserve"> ail hache </v>
      </c>
      <c r="CK7" s="93">
        <f>IF(7=7,IF($U7="","",SUMPRODUCT(--ISNUMBER(SEARCH(" "&amp;$CR$2412:$CR$2416&amp;" ",$CJ7)))),"")</f>
        <v>0</v>
      </c>
      <c r="CL7" s="93" t="str">
        <f>IF(7=7,IF($U7="","",IF(SUM(CG7:CI7)&gt;0,"X",IF(CK7&gt;0,"?",""))),"")</f>
        <v/>
      </c>
      <c r="CM7" s="102"/>
      <c r="CN7" s="112" t="s">
        <v>613</v>
      </c>
      <c r="CO7" s="112" t="s">
        <v>522</v>
      </c>
      <c r="CP7" s="112" t="s">
        <v>523</v>
      </c>
      <c r="CQ7" s="112" t="s">
        <v>614</v>
      </c>
      <c r="CR7" s="112" t="s">
        <v>615</v>
      </c>
      <c r="CS7" s="112" t="s">
        <v>525</v>
      </c>
      <c r="CT7" s="112" t="s">
        <v>526</v>
      </c>
      <c r="CU7" s="112" t="s">
        <v>527</v>
      </c>
      <c r="CV7" s="113" t="s">
        <v>528</v>
      </c>
      <c r="CX7" s="36">
        <v>1</v>
      </c>
    </row>
    <row r="8" spans="1:102" ht="21" customHeight="1" x14ac:dyDescent="0.25">
      <c r="A8" s="135">
        <v>2</v>
      </c>
      <c r="B8" s="136" t="s">
        <v>5852</v>
      </c>
      <c r="C8" s="137" t="str">
        <f t="shared" si="0"/>
        <v>Ail hachée surgelé</v>
      </c>
      <c r="D8" s="138" t="str">
        <f>IF(8=8,IF($B8="","",IF(E8="X",""&amp;"Céréales contenant du gluten","")&amp;IF(F8="X",IF(COUNTIF($E8:$E8,"X")&gt;0,", ","")&amp;"Crustacés","")&amp;IF(G8="X",IF(COUNTIF($E8:$F8,"X")&gt;0,", ","")&amp;"Œufs","")&amp;IF(H8="X",IF(COUNTIF($E8:$G8,"X")&gt;0,", ","")&amp;"Poissons","")&amp;IF(I8="X",IF(COUNTIF($E8:$H8,"X")&gt;0,", ","")&amp;"Arachides","")&amp;IF(J8="X",IF(COUNTIF($E8:$I8,"X")&gt;0,", ","")&amp;"Soja","")&amp;IF(K8="X",IF(COUNTIF($E8:$J8,"X")&gt;0,", ","")&amp;"Lait","")&amp;IF(L8="X",IF(COUNTIF($E8:$K8,"X")&gt;0,", ","")&amp;"Fruits à coque","")&amp;IF(M8="X",IF(COUNTIF($E8:$L8,"X")&gt;0,", ","")&amp;"Céleri","")&amp;IF(N8="X",IF(COUNTIF($E8:$M8,"X")&gt;0,", ","")&amp;"Moutarde","")&amp;IF(O8="X",IF(COUNTIF($E8:$N8,"X")&gt;0,", ","")&amp;"Sésame","")&amp;IF(P8="X",IF(COUNTIF($E8:$O8,"X")&gt;0,", ","")&amp;"Sulfites","")&amp;IF(Q8="X",IF(COUNTIF($E8:$P8,"X")&gt;0,", ","")&amp;"Lupin","")&amp;IF(R8="X",IF(COUNTIF($E8:$Q8,"X")&gt;0,", ","")&amp;"Mollusques","")),"")</f>
        <v/>
      </c>
      <c r="E8" s="139" t="str">
        <f>IF(8=8,IF($B8="","",AF8),"")</f>
        <v/>
      </c>
      <c r="F8" s="139" t="str">
        <f>IF(8=8,IF($B8="","",AI8),"")</f>
        <v/>
      </c>
      <c r="G8" s="139" t="str">
        <f>IF(8=8,IF($B8="","",AM8),"")</f>
        <v/>
      </c>
      <c r="H8" s="139" t="str">
        <f>IF(8=8,IF($B8="","",IF(ISNUMBER(SEARCH(" colin ",$AA8)),"X",AZ8)),"")</f>
        <v/>
      </c>
      <c r="I8" s="139" t="str">
        <f>IF(8=8,IF($B8="","",BB8),"")</f>
        <v/>
      </c>
      <c r="J8" s="139" t="str">
        <f>IF(8=8,IF($B8="","",BF8),"")</f>
        <v/>
      </c>
      <c r="K8" s="139" t="str">
        <f>IF(8=8,IF($B8="","",BM8),"")</f>
        <v/>
      </c>
      <c r="L8" s="139" t="str">
        <f>IF(8=8,IF($B8="","",BQ8),"")</f>
        <v/>
      </c>
      <c r="M8" s="139" t="str">
        <f>IF(8=8,IF($B8="","",BT8),"")</f>
        <v/>
      </c>
      <c r="N8" s="139" t="str">
        <f>IF(8=8,IF($B8="","",BW8),"")</f>
        <v/>
      </c>
      <c r="O8" s="139" t="str">
        <f>IF(8=8,IF($B8="","",BZ8),"")</f>
        <v/>
      </c>
      <c r="P8" s="139" t="str">
        <f>IF(8=8,IF($B8="","",CC8),"")</f>
        <v/>
      </c>
      <c r="Q8" s="139" t="str">
        <f>IF(8=8,IF($B8="","",CF8),"")</f>
        <v/>
      </c>
      <c r="R8" s="139" t="str">
        <f>IF(8=8,IF($B8="","",CL8),"")</f>
        <v/>
      </c>
      <c r="S8" s="140" t="str">
        <f>IF(8=8,IF($B8="","",IF(E8="?",""&amp;"Céréales contenant du gluten","")&amp;IF(F8="?",IF(COUNTIF($E8:$E8,"~?")&gt;0,", ","")&amp;"Crustacés","")&amp;IF(G8="?",IF(COUNTIF($E8:$F8,"~?")&gt;0,", ","")&amp;"Œufs","")&amp;IF(H8="?",IF(COUNTIF($E8:$G8,"~?")&gt;0,", ","")&amp;"Poissons","")&amp;IF(I8="?",IF(COUNTIF($E8:$H8,"~?")&gt;0,", ","")&amp;"Arachides","")&amp;IF(J8="?",IF(COUNTIF($E8:$I8,"~?")&gt;0,", ","")&amp;"Soja","")&amp;IF(K8="?",IF(COUNTIF($E8:$J8,"~?")&gt;0,", ","")&amp;"Lait","")&amp;IF(L8="?",IF(COUNTIF($E8:$K8,"~?")&gt;0,", ","")&amp;"Fruits à coque","")&amp;IF(M8="?",IF(COUNTIF($E8:$L8,"~?")&gt;0,", ","")&amp;"Céleri","")&amp;IF(N8="?",IF(COUNTIF($E8:$M8,"~?")&gt;0,", ","")&amp;"Moutarde","")&amp;IF(O8="?",IF(COUNTIF($E8:$N8,"~?")&gt;0,", ","")&amp;"Sésame","")&amp;IF(P8="?",IF(COUNTIF($E8:$O8,"~?")&gt;0,", ","")&amp;"Sulfites","")&amp;IF(Q8="?",IF(COUNTIF($E8:$P8,"~?")&gt;0,", ","")&amp;"Lupin","")&amp;IF(R8="?",IF(COUNTIF($E8:$Q8,"~?")&gt;0,", ","")&amp;"Mollusques","")),"")</f>
        <v/>
      </c>
      <c r="U8" s="93" t="str">
        <f>IF(8=8,IF($B8="","",$B8),"")</f>
        <v>Ail hachée surgelé</v>
      </c>
      <c r="V8" s="93" t="str">
        <f>IF(8=8,LOWER(CLEAN(SUBSTITUTE(SUBSTITUTE(SUBSTITUTE(SUBSTITUTE($U8,CHAR(160)," ")," "," "),CHAR(10)," "),CHAR(13)," "))),"")</f>
        <v>ail hachée surgelé</v>
      </c>
      <c r="W8" s="93" t="str">
        <f>IF(8=8,SUBSTITUTE(SUBSTITUTE(SUBSTITUTE(SUBSTITUTE(SUBSTITUTE(SUBSTITUTE(SUBSTITUTE(SUBSTITUTE(SUBSTITUTE(SUBSTITUTE(SUBSTITUTE(SUBSTITUTE($V8,"œ","oe"),"æ","ae"),"à","a"),"á","a"),"â","a"),"ä","a"),"ã","a"),"ç","c"),"è","e"),"é","e"),"ê","e"),"ë","e"),"")</f>
        <v>ail hachee surgele</v>
      </c>
      <c r="X8" s="93" t="str">
        <f>IF(8=8,SUBSTITUTE(SUBSTITUTE(SUBSTITUTE(SUBSTITUTE(SUBSTITUTE(SUBSTITUTE(SUBSTITUTE(SUBSTITUTE(SUBSTITUTE(SUBSTITUTE(SUBSTITUTE(SUBSTITUTE(SUBSTITUTE(SUBSTITUTE(SUBSTITUTE(SUBSTITUTE($W8,"ì","i"),"í","i"),"î","i"),"ï","i"),"ñ","n"),"ò","o"),"ó","o"),"ô","o"),"ö","o"),"õ","o"),"ù","u"),"ú","u"),"û","u"),"ü","u"),"ý","y"),"ÿ","y"),"")</f>
        <v>ail hachee surgele</v>
      </c>
      <c r="Y8" s="93" t="str">
        <f>IF(8=8,SUBSTITUTE(SUBSTITUTE(SUBSTITUTE(SUBSTITUTE(SUBSTITUTE(SUBSTITUTE(SUBSTITUTE(SUBSTITUTE(SUBSTITUTE(SUBSTITUTE(SUBSTITUTE(SUBSTITUTE(SUBSTITUTE(SUBSTITUTE($X8,"’"," "),"`"," "),"–"," "),"—"," "),"-"," "),"'"," "),"/"," "),"_"," "),","," "),"."," "),"("," "),")"," "),";"," "),":"," "),"")</f>
        <v>ail hachee surgele</v>
      </c>
      <c r="Z8" s="93" t="str">
        <f>IF(8=8,SUBSTITUTE(SUBSTITUTE(SUBSTITUTE(SUBSTITUTE(SUBSTITUTE(SUBSTITUTE(SUBSTITUTE(SUBSTITUTE(SUBSTITUTE(SUBSTITUTE(SUBSTITUTE(SUBSTITUTE(SUBSTITUTE(SUBSTITUTE(SUBSTITUTE($Y8,"!"," "),"?"," "),"+"," "),"*"," "),"&amp;"," "),"["," "),"]"," "),"{"," "),"}"," "),"%"," "),"="," "),"\"," "),"|"," "),"&lt;"," "),"&gt;"," "),"")</f>
        <v>ail hachee surgele</v>
      </c>
      <c r="AA8" s="93" t="str">
        <f>IF(8=8," "&amp;TRIM(SUBSTITUTE(SUBSTITUTE(SUBSTITUTE(SUBSTITUTE(SUBSTITUTE(SUBSTITUTE($Z8,CHAR(34)," "),"  "," "),"  "," "),"  "," "),"  "," "),"  "," "))&amp;" ","")</f>
        <v xml:space="preserve"> ail hachee surgele </v>
      </c>
      <c r="AB8" s="93">
        <f>IF(8=8,IF($U8="","",SUMPRODUCT(--ISNUMBER(SEARCH(" "&amp;$CR$2:$CR$101&amp;" ",$AD8)))),"")</f>
        <v>0</v>
      </c>
      <c r="AC8" s="93">
        <f>IF(8=8,IF($U8="","",SUMPRODUCT(--ISNUMBER(SEARCH(" "&amp;$CR$102:$CR$151&amp;" ",$AD8)))),"")</f>
        <v>0</v>
      </c>
      <c r="AD8" s="93" t="str">
        <f t="shared" si="1"/>
        <v xml:space="preserve"> ail hachee surgele </v>
      </c>
      <c r="AE8" s="93">
        <f t="shared" si="2"/>
        <v>0</v>
      </c>
      <c r="AF8" s="93" t="str">
        <f>IF(8=8,IF($U8="","",IF(SUM(AB8:AC8)+SUMPRODUCT(--ISNUMBER(SEARCH(" "&amp;$CR$2418:$CR$2420&amp;" ",$AD8)))&gt;0,"X",IF(AE8&gt;0,"?",""))),"")</f>
        <v/>
      </c>
      <c r="AG8" s="93">
        <f>IF(8=8,IF($U8="","",SUMPRODUCT(--ISNUMBER(SEARCH(" "&amp;$CR$206:$CR$305&amp;" ",$AA8)))),"")</f>
        <v>0</v>
      </c>
      <c r="AH8" s="93">
        <f>IF(8=8,IF($U8="","",SUMPRODUCT(--ISNUMBER(SEARCH(" "&amp;$CR$306:$CR$340&amp;" ",$AA8)))),"")</f>
        <v>0</v>
      </c>
      <c r="AI8" s="93" t="str">
        <f>IF(8=8,IF($U8="","",IF((SUM(AG8:AH8))-(0)&gt;0,"X",IF((0)-(0)&gt;0,"?",""))),"")</f>
        <v/>
      </c>
      <c r="AJ8" s="93">
        <f>IF(8=8,IF($U8="","",SUMPRODUCT(--ISNUMBER(SEARCH(" "&amp;$CR$341:$CR$398&amp;" ",$AA8)))),"")</f>
        <v>0</v>
      </c>
      <c r="AK8" s="93">
        <f>IF(8=8,IF($U8="","",SUMPRODUCT(--ISNUMBER(SEARCH(" "&amp;$CR$399:$CR$426&amp;" ",$AL8)))+SUMPRODUCT(--ISNUMBER(SEARCH(" "&amp;$CR$2440:$CR$2453&amp;" ",$AL8)))),"")</f>
        <v>0</v>
      </c>
      <c r="AL8" s="93" t="str">
        <f>IF(8=8,IF($U8="","",SUBSTITUTE(SUBSTITUTE(SUBSTITUTE(SUBSTITUTE(SUBSTITUTE(SUBSTITUTE(SUBSTITUTE(SUBSTITUTE(SUBSTITUTE(SUBSTITUTE(SUBSTITUTE(SUBSTITUTE(SUBSTITUTE(SUBSTITUTE($AA8," "&amp;$CR$2455&amp;" "," ")," "&amp;$CR$433&amp;" "," ")," "&amp;$CR$431&amp;" "," ")," "&amp;$CR$2438&amp;" "," ")," "&amp;$CR$2439&amp;" "," ")," "&amp;$CR$428&amp;" "," ")," "&amp;$CR$432&amp;" "," ")," "&amp;$CR$434&amp;" "," ")," "&amp;$CR$429&amp;" "," ")," "&amp;$CR$427&amp;" "," ")," "&amp;$CR$1367&amp;" "," ")," "&amp;$CR$435&amp;" "," ")," "&amp;$CR$1366&amp;" "," ")," "&amp;$CR$430&amp;" "," ")),"")</f>
        <v xml:space="preserve"> ail hachee surgele </v>
      </c>
      <c r="AM8" s="93" t="str">
        <f>IF(8=8,IF($U8="","",IF(AJ8&gt;0,"X",IF(AK8&gt;0,"?",""))),"")</f>
        <v/>
      </c>
      <c r="AN8" s="93">
        <f>IF(8=8,IF($U8="","",SUMPRODUCT(--ISNUMBER(SEARCH(" "&amp;$CR$436:$CR$535&amp;" ",$AX8)))),"")</f>
        <v>0</v>
      </c>
      <c r="AO8" s="93">
        <f>IF(8=8,IF($U8="","",SUMPRODUCT(--ISNUMBER(SEARCH(" "&amp;$CR$536:$CR$635&amp;" ",$AX8)))),"")</f>
        <v>0</v>
      </c>
      <c r="AP8" s="93">
        <f>IF(8=8,IF($U8="","",SUMPRODUCT(--ISNUMBER(SEARCH(" "&amp;$CR$636:$CR$735&amp;" ",$AX8)))),"")</f>
        <v>0</v>
      </c>
      <c r="AQ8" s="93">
        <f>IF(8=8,IF($U8="","",SUMPRODUCT(--ISNUMBER(SEARCH(" "&amp;$CR$736:$CR$835&amp;" ",$AX8)))),"")</f>
        <v>0</v>
      </c>
      <c r="AR8" s="93">
        <f>IF(8=8,IF($U8="","",SUMPRODUCT(--ISNUMBER(SEARCH(" "&amp;$CR$836:$CR$935&amp;" ",$AX8)))),"")</f>
        <v>0</v>
      </c>
      <c r="AS8" s="93">
        <f>IF(8=8,IF($U8="","",SUMPRODUCT(--ISNUMBER(SEARCH(" "&amp;$CR$936:$CR$1035&amp;" ",$AX8)))),"")</f>
        <v>0</v>
      </c>
      <c r="AT8" s="93">
        <f>IF(8=8,IF($U8="","",SUMPRODUCT(--ISNUMBER(SEARCH(" "&amp;$CR$1036:$CR$1135&amp;" ",$AX8)))),"")</f>
        <v>0</v>
      </c>
      <c r="AU8" s="93">
        <f>IF(8=8,IF($U8="","",SUMPRODUCT(--ISNUMBER(SEARCH(" "&amp;$CR$1136:$CR$1235&amp;" ",$AX8)))),"")</f>
        <v>0</v>
      </c>
      <c r="AV8" s="93">
        <f>IF(8=8,IF($U8="","",SUMPRODUCT(--ISNUMBER(SEARCH(" "&amp;$CR$1236:$CR$1335&amp;" ",$AX8)))),"")</f>
        <v>0</v>
      </c>
      <c r="AW8" s="93">
        <f>IF(8=8,IF($U8="","",SUMPRODUCT(--ISNUMBER(SEARCH(" "&amp;$CR$1336:$CR$1363&amp;" ",$AX8)))),"")</f>
        <v>0</v>
      </c>
      <c r="AX8" s="93" t="str">
        <f>IF(8=8,IF($U8="","",SUBSTITUTE(SUBSTITUTE(SUBSTITUTE(SUBSTITUTE(SUBSTITUTE(SUBSTITUTE(SUBSTITUTE(SUBSTITUTE(SUBSTITUTE($AA8," "&amp;$CR$1365&amp;" "," ")," "&amp;$CR$1364&amp;" "," ")," "&amp;$CR$1370&amp;" "," ")," "&amp;$CR$1371&amp;" "," ")," "&amp;$CR$1367&amp;" "," ")," "&amp;$CR$1369&amp;" "," ")," "&amp;$CR$1366&amp;" "," ")," "&amp;$CR$1368&amp;" "," ")," "&amp;$CR$1372&amp;" "," ")),"")</f>
        <v xml:space="preserve"> ail hachee surgele </v>
      </c>
      <c r="AY8" s="93">
        <f>IF(8=8,IF($U8="","",SUMPRODUCT(--ISNUMBER(SEARCH(" "&amp;$CR$1373:$CR$1383&amp;" ",$AX8)))),"")</f>
        <v>0</v>
      </c>
      <c r="AZ8" s="93" t="str">
        <f>IF(8=8,IF($U8="","",IF(SUM(AN8:AW8)+SUMPRODUCT(--ISNUMBER(SEARCH(" "&amp;$CR$2421:$CR$2422&amp;" ",$AX8)))&gt;0,"X",IF(AY8&gt;0,"?",""))),"")</f>
        <v/>
      </c>
      <c r="BA8" s="93">
        <f>IF(8=8,IF($U8="","",SUMPRODUCT(--ISNUMBER(SEARCH(" "&amp;$CR$1384:$CR$1404&amp;" ",$AA8)))),"")</f>
        <v>0</v>
      </c>
      <c r="BB8" s="93" t="str">
        <f>IF(8=8,IF($U8="","",IF((BA8)-(0)&gt;0,"X",IF((0)-(0)&gt;0,"?",""))),"")</f>
        <v/>
      </c>
      <c r="BC8" s="93">
        <f>IF(8=8,IF($U8="","",SUMPRODUCT(--ISNUMBER(SEARCH(" "&amp;$CR$1405:$CR$1442&amp;" ",$BD8)))),"")</f>
        <v>0</v>
      </c>
      <c r="BD8" s="93" t="str">
        <f>IF(8=8,IF($U8="","",SUBSTITUTE(SUBSTITUTE($AA8," "&amp;$CR$1443&amp;" "," ")," "&amp;$CR$1444&amp;" "," ")),"")</f>
        <v xml:space="preserve"> ail hachee surgele </v>
      </c>
      <c r="BE8" s="93">
        <f>IF(8=8,IF($U8="","",SUMPRODUCT(--ISNUMBER(SEARCH(" "&amp;$CR$1445:$CR$1455&amp;" ",$BD8)))),"")</f>
        <v>0</v>
      </c>
      <c r="BF8" s="93" t="str">
        <f>IF(8=8,IF($U8="","",IF(BC8&gt;0,"X",IF(BE8&gt;0,"?",""))),"")</f>
        <v/>
      </c>
      <c r="BG8" s="93">
        <f>IF(8=8,IF($U8="","",SUMPRODUCT(--ISNUMBER(SEARCH(" "&amp;$CR$1456:$CR$1555&amp;" ",$BJ8)))),"")</f>
        <v>0</v>
      </c>
      <c r="BH8" s="93">
        <f>IF(8=8,IF($U8="","",SUMPRODUCT(--ISNUMBER(SEARCH(" "&amp;$CR$1556:$CR$1655&amp;" ",$BJ8)))),"")</f>
        <v>0</v>
      </c>
      <c r="BI8" s="93">
        <f>IF(8=8,IF($U8="","",SUMPRODUCT(--ISNUMBER(SEARCH(" "&amp;$CR$1656:$CR$1739&amp;" ",$BJ8)))),"")</f>
        <v>0</v>
      </c>
      <c r="BJ8" s="93" t="str">
        <f>IF(8=8,IF($U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8,"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ail hachee surgele </v>
      </c>
      <c r="BK8" s="93">
        <f>IF(8=8,IF($U8="","",SUMPRODUCT(--ISNUMBER(SEARCH(" "&amp;$CR$1790:$CR$1869&amp;" ",$BL8)))+SUMPRODUCT(--ISNUMBER(SEARCH(" "&amp;$CR$2440:$CR$2453&amp;" ",$BL8)))),"")</f>
        <v>0</v>
      </c>
      <c r="BL8" s="93" t="str">
        <f>IF(8=8,IF($U8="","",SUBSTITUTE(SUBSTITUTE(SUBSTITUTE(SUBSTITUTE(SUBSTITUTE(SUBSTITUTE(SUBSTITUTE(SUBSTITUTE(SUBSTITUTE(SUBSTITUTE(SUBSTITUTE(SUBSTITUTE(SUBSTITUTE($BJ8," "&amp;$CR$1876&amp;" "," ")," "&amp;$CR$1874&amp;" "," ")," "&amp;$CR$2438&amp;" "," ")," "&amp;$CR$2439&amp;" "," ")," "&amp;$CR$1871&amp;" "," ")," "&amp;$CR$1875&amp;" "," ")," "&amp;$CR$1877&amp;" "," ")," "&amp;$CR$1872&amp;" "," ")," "&amp;$CR$1870&amp;" "," ")," "&amp;$CR$1367&amp;" "," ")," "&amp;$CR$1878&amp;" "," ")," "&amp;$CR$1366&amp;" "," ")," "&amp;$CR$1873&amp;" "," ")),"")</f>
        <v xml:space="preserve"> ail hachee surgele </v>
      </c>
      <c r="BM8" s="93" t="str">
        <f>IF(8=8,IF($U8="","",IF(SUM(BG8:BI8)+SUMPRODUCT(--ISNUMBER(SEARCH(" "&amp;$CR$2423:$CR$2424&amp;" ",$BJ8)))&gt;0,"X",IF(BK8&gt;0,"?",""))),"")</f>
        <v/>
      </c>
      <c r="BN8" s="93">
        <f>IF(8=8,IF($U8="","",SUMPRODUCT(--ISNUMBER(SEARCH(" "&amp;$CR$1879:$CR$1936&amp;" ",$BO8)))),"")</f>
        <v>0</v>
      </c>
      <c r="BO8" s="93" t="str">
        <f>IF(8=8,IF($U8="","",SUBSTITUTE(SUBSTITUTE(SUBSTITUTE(SUBSTITUTE(SUBSTITUTE(SUBSTITUTE(SUBSTITUTE(SUBSTITUTE(SUBSTITUTE(SUBSTITUTE(SUBSTITUTE(SUBSTITUTE(SUBSTITUTE(SUBSTITUTE(SUBSTITUTE(SUBSTITUTE(SUBSTITUTE(SUBSTITUTE(SUBSTITUTE(SUBSTITUTE(SUBSTITUTE(SUBSTITUTE(SUBSTITUTE($AA8,"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ail hachee surgele </v>
      </c>
      <c r="BP8" s="93">
        <f>IF(8=8,IF($U8="","",SUMPRODUCT(--ISNUMBER(SEARCH(" "&amp;$CR$1960:$CR$1976&amp;" ",$BO8)))),"")</f>
        <v>0</v>
      </c>
      <c r="BQ8" s="93" t="str">
        <f>IF(8=8,IF($U8="","",IF(BN8&gt;0,"X",IF(BP8&gt;0,"?",""))),"")</f>
        <v/>
      </c>
      <c r="BR8" s="93">
        <f>IF(8=8,IF($U8="","",SUMPRODUCT(--ISNUMBER(SEARCH(" "&amp;$CR$1977:$CR$1990&amp;" ",$AA8)))),"")</f>
        <v>0</v>
      </c>
      <c r="BS8" s="93">
        <f>IF(8=8,IF($U8="","",SUMPRODUCT(--ISNUMBER(SEARCH(" "&amp;$CR$1991:$CR$2005&amp;" ",$AA8)))),"")</f>
        <v>0</v>
      </c>
      <c r="BT8" s="93" t="str">
        <f>IF(8=8,IF($U8="","",IF((BR8)-(0)&gt;0,"X",IF((BS8)-(0)&gt;0,"?",""))),"")</f>
        <v/>
      </c>
      <c r="BU8" s="93">
        <f>IF(8=8,IF($U8="","",SUMPRODUCT(--ISNUMBER(SEARCH(" "&amp;$CR$2006:$CR$2023&amp;" ",$AA8)))),"")</f>
        <v>0</v>
      </c>
      <c r="BV8" s="93">
        <f>IF(8=8,IF($U8="","",SUMPRODUCT(--ISNUMBER(SEARCH(" "&amp;$CR$2024:$CR$2038&amp;" ",$AA8)))),"")</f>
        <v>0</v>
      </c>
      <c r="BW8" s="93" t="str">
        <f>IF(8=8,IF($U8="","",IF((BU8)-(0)&gt;0,"X",IF((BV8)-(0)&gt;0,"?",""))),"")</f>
        <v/>
      </c>
      <c r="BX8" s="93">
        <f>IF(8=8,IF($U8="","",SUMPRODUCT(--ISNUMBER(SEARCH(" "&amp;$CR$2039:$CR$2057&amp;" ",$AA8)))),"")</f>
        <v>0</v>
      </c>
      <c r="BY8" s="93">
        <f>IF(8=8,IF($U8="","",SUMPRODUCT(--ISNUMBER(SEARCH(" "&amp;$CR$2058:$CR$2072&amp;" ",$AA8)))),"")</f>
        <v>0</v>
      </c>
      <c r="BZ8" s="93" t="str">
        <f>IF(8=8,IF($U8="","",IF((BX8)-(0)&gt;0,"X",IF((BY8)-(0)&gt;0,"?",""))),"")</f>
        <v/>
      </c>
      <c r="CA8" s="93">
        <f>IF(8=8,IF($U8="","",SUMPRODUCT(--ISNUMBER(SEARCH(" "&amp;$CR$2073:$CR$2093&amp;" ",$AA8)))),"")</f>
        <v>0</v>
      </c>
      <c r="CB8" s="93">
        <f>IF(8=8,IF($U8="","",SUMPRODUCT(--ISNUMBER(SEARCH(" "&amp;$CR$2094:$CR$2133&amp;" ",SUBSTITUTE(SUBSTITUTE($AA8," "&amp;$CR$1367&amp;" "," ")," "&amp;$CR$1366&amp;" "," "))))+--ISNUMBER(SEARCH("poiré",$V8))),"")</f>
        <v>0</v>
      </c>
      <c r="CC8" s="93" t="str">
        <f>IF(8=8,IF($U8="","",IF(OR(CA8&gt;0,ISNUMBER(SEARCH(" vinaigre de vin ",$AA8)),ISNUMBER(SEARCH(" vinaigre au vin ",$AA8))),"X",IF(CB8&gt;0,"?",""))),"")</f>
        <v/>
      </c>
      <c r="CD8" s="93">
        <f>IF(8=8,IF($U8="","",SUMPRODUCT(--ISNUMBER(SEARCH(" "&amp;$CR$2134:$CR$2146&amp;" ",$AA8)))),"")</f>
        <v>0</v>
      </c>
      <c r="CE8" s="93">
        <f>IF(8=8,IF($U8="","",SUMPRODUCT(--ISNUMBER(SEARCH(" "&amp;$CR$2147:$CR$2152&amp;" ",$AA8)))),"")</f>
        <v>0</v>
      </c>
      <c r="CF8" s="93" t="str">
        <f>IF(8=8,IF($U8="","",IF((CD8)-(0)&gt;0,"X",IF((CE8)-(0)&gt;0,"?",""))),"")</f>
        <v/>
      </c>
      <c r="CG8" s="93">
        <f>IF(8=8,IF($U8="","",SUMPRODUCT(--ISNUMBER(SEARCH(" "&amp;$CR$2153:$CR$2252&amp;" ",$CJ8)))),"")</f>
        <v>0</v>
      </c>
      <c r="CH8" s="93">
        <f>IF(8=8,IF($U8="","",SUMPRODUCT(--ISNUMBER(SEARCH(" "&amp;$CR$2253:$CR$2352&amp;" ",$CJ8)))),"")</f>
        <v>0</v>
      </c>
      <c r="CI8" s="93">
        <f>IF(8=8,IF($U8="","",SUMPRODUCT(--ISNUMBER(SEARCH(" "&amp;$CR$2353:$CR$2395&amp;" ",$CJ8)))),"")</f>
        <v>0</v>
      </c>
      <c r="CJ8" s="93" t="str">
        <f>IF(8=8,IF($U8="","",SUBSTITUTE(SUBSTITUTE(SUBSTITUTE(SUBSTITUTE(SUBSTITUTE(SUBSTITUTE(SUBSTITUTE(SUBSTITUTE(SUBSTITUTE(SUBSTITUTE(SUBSTITUTE(SUBSTITUTE(SUBSTITUTE(SUBSTITUTE(SUBSTITUTE(SUBSTITUTE($AA8," "&amp;$CR$2401&amp;" "," ")," "&amp;$CR$2400&amp;" "," ")," "&amp;$CR$2399&amp;" "," ")," "&amp;$CR$2406&amp;" "," ")," "&amp;$CR$2398&amp;" "," ")," "&amp;$CR$2410&amp;" "," ")," "&amp;$CR$2397&amp;" "," ")," "&amp;$CR$2402&amp;" "," ")," "&amp;$CR$2405&amp;" "," ")," "&amp;$CR$2396&amp;" "," ")," "&amp;$CR$2404&amp;" "," ")," "&amp;$CR$2411&amp;" "," ")," "&amp;$CR$2408&amp;" "," ")," "&amp;$CR$2403&amp;" "," ")," "&amp;$CR$2407&amp;" "," ")," "&amp;$CR$2409&amp;" "," ")),"")</f>
        <v xml:space="preserve"> ail hachee surgele </v>
      </c>
      <c r="CK8" s="93">
        <f>IF(8=8,IF($U8="","",SUMPRODUCT(--ISNUMBER(SEARCH(" "&amp;$CR$2412:$CR$2416&amp;" ",$CJ8)))),"")</f>
        <v>0</v>
      </c>
      <c r="CL8" s="93" t="str">
        <f>IF(8=8,IF($U8="","",IF(SUM(CG8:CI8)&gt;0,"X",IF(CK8&gt;0,"?",""))),"")</f>
        <v/>
      </c>
      <c r="CM8" s="102"/>
      <c r="CN8" s="112" t="s">
        <v>616</v>
      </c>
      <c r="CO8" s="112" t="s">
        <v>522</v>
      </c>
      <c r="CP8" s="112" t="s">
        <v>523</v>
      </c>
      <c r="CQ8" s="112" t="s">
        <v>617</v>
      </c>
      <c r="CR8" s="112" t="s">
        <v>618</v>
      </c>
      <c r="CS8" s="112" t="s">
        <v>525</v>
      </c>
      <c r="CT8" s="112" t="s">
        <v>526</v>
      </c>
      <c r="CU8" s="112" t="s">
        <v>527</v>
      </c>
      <c r="CV8" s="113" t="s">
        <v>528</v>
      </c>
      <c r="CX8" s="36">
        <v>1</v>
      </c>
    </row>
    <row r="9" spans="1:102" ht="21" customHeight="1" x14ac:dyDescent="0.25">
      <c r="A9" s="135">
        <v>3</v>
      </c>
      <c r="B9" s="136" t="s">
        <v>40</v>
      </c>
      <c r="C9" s="137" t="str">
        <f t="shared" si="0"/>
        <v>Aubergines</v>
      </c>
      <c r="D9" s="138" t="str">
        <f>IF(9=9,IF($B9="","",IF(E9="X",""&amp;"Céréales contenant du gluten","")&amp;IF(F9="X",IF(COUNTIF($E9:$E9,"X")&gt;0,", ","")&amp;"Crustacés","")&amp;IF(G9="X",IF(COUNTIF($E9:$F9,"X")&gt;0,", ","")&amp;"Œufs","")&amp;IF(H9="X",IF(COUNTIF($E9:$G9,"X")&gt;0,", ","")&amp;"Poissons","")&amp;IF(I9="X",IF(COUNTIF($E9:$H9,"X")&gt;0,", ","")&amp;"Arachides","")&amp;IF(J9="X",IF(COUNTIF($E9:$I9,"X")&gt;0,", ","")&amp;"Soja","")&amp;IF(K9="X",IF(COUNTIF($E9:$J9,"X")&gt;0,", ","")&amp;"Lait","")&amp;IF(L9="X",IF(COUNTIF($E9:$K9,"X")&gt;0,", ","")&amp;"Fruits à coque","")&amp;IF(M9="X",IF(COUNTIF($E9:$L9,"X")&gt;0,", ","")&amp;"Céleri","")&amp;IF(N9="X",IF(COUNTIF($E9:$M9,"X")&gt;0,", ","")&amp;"Moutarde","")&amp;IF(O9="X",IF(COUNTIF($E9:$N9,"X")&gt;0,", ","")&amp;"Sésame","")&amp;IF(P9="X",IF(COUNTIF($E9:$O9,"X")&gt;0,", ","")&amp;"Sulfites","")&amp;IF(Q9="X",IF(COUNTIF($E9:$P9,"X")&gt;0,", ","")&amp;"Lupin","")&amp;IF(R9="X",IF(COUNTIF($E9:$Q9,"X")&gt;0,", ","")&amp;"Mollusques","")),"")</f>
        <v/>
      </c>
      <c r="E9" s="139" t="str">
        <f>IF(9=9,IF($B9="","",AF9),"")</f>
        <v/>
      </c>
      <c r="F9" s="139" t="str">
        <f>IF(9=9,IF($B9="","",AI9),"")</f>
        <v/>
      </c>
      <c r="G9" s="139" t="str">
        <f>IF(9=9,IF($B9="","",AM9),"")</f>
        <v/>
      </c>
      <c r="H9" s="139" t="str">
        <f>IF(9=9,IF($B9="","",IF(ISNUMBER(SEARCH(" colin ",$AA9)),"X",AZ9)),"")</f>
        <v/>
      </c>
      <c r="I9" s="139" t="str">
        <f>IF(9=9,IF($B9="","",BB9),"")</f>
        <v/>
      </c>
      <c r="J9" s="139" t="str">
        <f>IF(9=9,IF($B9="","",BF9),"")</f>
        <v/>
      </c>
      <c r="K9" s="139" t="str">
        <f>IF(9=9,IF($B9="","",BM9),"")</f>
        <v/>
      </c>
      <c r="L9" s="139" t="str">
        <f>IF(9=9,IF($B9="","",BQ9),"")</f>
        <v/>
      </c>
      <c r="M9" s="139" t="str">
        <f>IF(9=9,IF($B9="","",BT9),"")</f>
        <v/>
      </c>
      <c r="N9" s="139" t="str">
        <f>IF(9=9,IF($B9="","",BW9),"")</f>
        <v/>
      </c>
      <c r="O9" s="139" t="str">
        <f>IF(9=9,IF($B9="","",BZ9),"")</f>
        <v/>
      </c>
      <c r="P9" s="139" t="str">
        <f>IF(9=9,IF($B9="","",CC9),"")</f>
        <v/>
      </c>
      <c r="Q9" s="139" t="str">
        <f>IF(9=9,IF($B9="","",CF9),"")</f>
        <v/>
      </c>
      <c r="R9" s="139" t="str">
        <f>IF(9=9,IF($B9="","",CL9),"")</f>
        <v/>
      </c>
      <c r="S9" s="140" t="str">
        <f>IF(9=9,IF($B9="","",IF(E9="?",""&amp;"Céréales contenant du gluten","")&amp;IF(F9="?",IF(COUNTIF($E9:$E9,"~?")&gt;0,", ","")&amp;"Crustacés","")&amp;IF(G9="?",IF(COUNTIF($E9:$F9,"~?")&gt;0,", ","")&amp;"Œufs","")&amp;IF(H9="?",IF(COUNTIF($E9:$G9,"~?")&gt;0,", ","")&amp;"Poissons","")&amp;IF(I9="?",IF(COUNTIF($E9:$H9,"~?")&gt;0,", ","")&amp;"Arachides","")&amp;IF(J9="?",IF(COUNTIF($E9:$I9,"~?")&gt;0,", ","")&amp;"Soja","")&amp;IF(K9="?",IF(COUNTIF($E9:$J9,"~?")&gt;0,", ","")&amp;"Lait","")&amp;IF(L9="?",IF(COUNTIF($E9:$K9,"~?")&gt;0,", ","")&amp;"Fruits à coque","")&amp;IF(M9="?",IF(COUNTIF($E9:$L9,"~?")&gt;0,", ","")&amp;"Céleri","")&amp;IF(N9="?",IF(COUNTIF($E9:$M9,"~?")&gt;0,", ","")&amp;"Moutarde","")&amp;IF(O9="?",IF(COUNTIF($E9:$N9,"~?")&gt;0,", ","")&amp;"Sésame","")&amp;IF(P9="?",IF(COUNTIF($E9:$O9,"~?")&gt;0,", ","")&amp;"Sulfites","")&amp;IF(Q9="?",IF(COUNTIF($E9:$P9,"~?")&gt;0,", ","")&amp;"Lupin","")&amp;IF(R9="?",IF(COUNTIF($E9:$Q9,"~?")&gt;0,", ","")&amp;"Mollusques","")),"")</f>
        <v/>
      </c>
      <c r="U9" s="93" t="str">
        <f>IF(9=9,IF($B9="","",$B9),"")</f>
        <v>Aubergines</v>
      </c>
      <c r="V9" s="93" t="str">
        <f>IF(9=9,LOWER(CLEAN(SUBSTITUTE(SUBSTITUTE(SUBSTITUTE(SUBSTITUTE($U9,CHAR(160)," ")," "," "),CHAR(10)," "),CHAR(13)," "))),"")</f>
        <v>aubergines</v>
      </c>
      <c r="W9" s="93" t="str">
        <f>IF(9=9,SUBSTITUTE(SUBSTITUTE(SUBSTITUTE(SUBSTITUTE(SUBSTITUTE(SUBSTITUTE(SUBSTITUTE(SUBSTITUTE(SUBSTITUTE(SUBSTITUTE(SUBSTITUTE(SUBSTITUTE($V9,"œ","oe"),"æ","ae"),"à","a"),"á","a"),"â","a"),"ä","a"),"ã","a"),"ç","c"),"è","e"),"é","e"),"ê","e"),"ë","e"),"")</f>
        <v>aubergines</v>
      </c>
      <c r="X9" s="93" t="str">
        <f>IF(9=9,SUBSTITUTE(SUBSTITUTE(SUBSTITUTE(SUBSTITUTE(SUBSTITUTE(SUBSTITUTE(SUBSTITUTE(SUBSTITUTE(SUBSTITUTE(SUBSTITUTE(SUBSTITUTE(SUBSTITUTE(SUBSTITUTE(SUBSTITUTE(SUBSTITUTE(SUBSTITUTE($W9,"ì","i"),"í","i"),"î","i"),"ï","i"),"ñ","n"),"ò","o"),"ó","o"),"ô","o"),"ö","o"),"õ","o"),"ù","u"),"ú","u"),"û","u"),"ü","u"),"ý","y"),"ÿ","y"),"")</f>
        <v>aubergines</v>
      </c>
      <c r="Y9" s="93" t="str">
        <f>IF(9=9,SUBSTITUTE(SUBSTITUTE(SUBSTITUTE(SUBSTITUTE(SUBSTITUTE(SUBSTITUTE(SUBSTITUTE(SUBSTITUTE(SUBSTITUTE(SUBSTITUTE(SUBSTITUTE(SUBSTITUTE(SUBSTITUTE(SUBSTITUTE($X9,"’"," "),"`"," "),"–"," "),"—"," "),"-"," "),"'"," "),"/"," "),"_"," "),","," "),"."," "),"("," "),")"," "),";"," "),":"," "),"")</f>
        <v>aubergines</v>
      </c>
      <c r="Z9" s="93" t="str">
        <f>IF(9=9,SUBSTITUTE(SUBSTITUTE(SUBSTITUTE(SUBSTITUTE(SUBSTITUTE(SUBSTITUTE(SUBSTITUTE(SUBSTITUTE(SUBSTITUTE(SUBSTITUTE(SUBSTITUTE(SUBSTITUTE(SUBSTITUTE(SUBSTITUTE(SUBSTITUTE($Y9,"!"," "),"?"," "),"+"," "),"*"," "),"&amp;"," "),"["," "),"]"," "),"{"," "),"}"," "),"%"," "),"="," "),"\"," "),"|"," "),"&lt;"," "),"&gt;"," "),"")</f>
        <v>aubergines</v>
      </c>
      <c r="AA9" s="93" t="str">
        <f>IF(9=9," "&amp;TRIM(SUBSTITUTE(SUBSTITUTE(SUBSTITUTE(SUBSTITUTE(SUBSTITUTE(SUBSTITUTE($Z9,CHAR(34)," "),"  "," "),"  "," "),"  "," "),"  "," "),"  "," "))&amp;" ","")</f>
        <v xml:space="preserve"> aubergines </v>
      </c>
      <c r="AB9" s="93">
        <f>IF(9=9,IF($U9="","",SUMPRODUCT(--ISNUMBER(SEARCH(" "&amp;$CR$2:$CR$101&amp;" ",$AD9)))),"")</f>
        <v>0</v>
      </c>
      <c r="AC9" s="93">
        <f>IF(9=9,IF($U9="","",SUMPRODUCT(--ISNUMBER(SEARCH(" "&amp;$CR$102:$CR$151&amp;" ",$AD9)))),"")</f>
        <v>0</v>
      </c>
      <c r="AD9" s="93" t="str">
        <f t="shared" si="1"/>
        <v xml:space="preserve"> aubergines </v>
      </c>
      <c r="AE9" s="93">
        <f t="shared" si="2"/>
        <v>0</v>
      </c>
      <c r="AF9" s="93" t="str">
        <f>IF(9=9,IF($U9="","",IF(SUM(AB9:AC9)+SUMPRODUCT(--ISNUMBER(SEARCH(" "&amp;$CR$2418:$CR$2420&amp;" ",$AD9)))&gt;0,"X",IF(AE9&gt;0,"?",""))),"")</f>
        <v/>
      </c>
      <c r="AG9" s="93">
        <f>IF(9=9,IF($U9="","",SUMPRODUCT(--ISNUMBER(SEARCH(" "&amp;$CR$206:$CR$305&amp;" ",$AA9)))),"")</f>
        <v>0</v>
      </c>
      <c r="AH9" s="93">
        <f>IF(9=9,IF($U9="","",SUMPRODUCT(--ISNUMBER(SEARCH(" "&amp;$CR$306:$CR$340&amp;" ",$AA9)))),"")</f>
        <v>0</v>
      </c>
      <c r="AI9" s="93" t="str">
        <f>IF(9=9,IF($U9="","",IF((SUM(AG9:AH9))-(0)&gt;0,"X",IF((0)-(0)&gt;0,"?",""))),"")</f>
        <v/>
      </c>
      <c r="AJ9" s="93">
        <f>IF(9=9,IF($U9="","",SUMPRODUCT(--ISNUMBER(SEARCH(" "&amp;$CR$341:$CR$398&amp;" ",$AA9)))),"")</f>
        <v>0</v>
      </c>
      <c r="AK9" s="93">
        <f>IF(9=9,IF($U9="","",SUMPRODUCT(--ISNUMBER(SEARCH(" "&amp;$CR$399:$CR$426&amp;" ",$AL9)))+SUMPRODUCT(--ISNUMBER(SEARCH(" "&amp;$CR$2440:$CR$2453&amp;" ",$AL9)))),"")</f>
        <v>0</v>
      </c>
      <c r="AL9" s="93" t="str">
        <f>IF(9=9,IF($U9="","",SUBSTITUTE(SUBSTITUTE(SUBSTITUTE(SUBSTITUTE(SUBSTITUTE(SUBSTITUTE(SUBSTITUTE(SUBSTITUTE(SUBSTITUTE(SUBSTITUTE(SUBSTITUTE(SUBSTITUTE(SUBSTITUTE(SUBSTITUTE($AA9," "&amp;$CR$2455&amp;" "," ")," "&amp;$CR$433&amp;" "," ")," "&amp;$CR$431&amp;" "," ")," "&amp;$CR$2438&amp;" "," ")," "&amp;$CR$2439&amp;" "," ")," "&amp;$CR$428&amp;" "," ")," "&amp;$CR$432&amp;" "," ")," "&amp;$CR$434&amp;" "," ")," "&amp;$CR$429&amp;" "," ")," "&amp;$CR$427&amp;" "," ")," "&amp;$CR$1367&amp;" "," ")," "&amp;$CR$435&amp;" "," ")," "&amp;$CR$1366&amp;" "," ")," "&amp;$CR$430&amp;" "," ")),"")</f>
        <v xml:space="preserve"> aubergines </v>
      </c>
      <c r="AM9" s="93" t="str">
        <f>IF(9=9,IF($U9="","",IF(AJ9&gt;0,"X",IF(AK9&gt;0,"?",""))),"")</f>
        <v/>
      </c>
      <c r="AN9" s="93">
        <f>IF(9=9,IF($U9="","",SUMPRODUCT(--ISNUMBER(SEARCH(" "&amp;$CR$436:$CR$535&amp;" ",$AX9)))),"")</f>
        <v>0</v>
      </c>
      <c r="AO9" s="93">
        <f>IF(9=9,IF($U9="","",SUMPRODUCT(--ISNUMBER(SEARCH(" "&amp;$CR$536:$CR$635&amp;" ",$AX9)))),"")</f>
        <v>0</v>
      </c>
      <c r="AP9" s="93">
        <f>IF(9=9,IF($U9="","",SUMPRODUCT(--ISNUMBER(SEARCH(" "&amp;$CR$636:$CR$735&amp;" ",$AX9)))),"")</f>
        <v>0</v>
      </c>
      <c r="AQ9" s="93">
        <f>IF(9=9,IF($U9="","",SUMPRODUCT(--ISNUMBER(SEARCH(" "&amp;$CR$736:$CR$835&amp;" ",$AX9)))),"")</f>
        <v>0</v>
      </c>
      <c r="AR9" s="93">
        <f>IF(9=9,IF($U9="","",SUMPRODUCT(--ISNUMBER(SEARCH(" "&amp;$CR$836:$CR$935&amp;" ",$AX9)))),"")</f>
        <v>0</v>
      </c>
      <c r="AS9" s="93">
        <f>IF(9=9,IF($U9="","",SUMPRODUCT(--ISNUMBER(SEARCH(" "&amp;$CR$936:$CR$1035&amp;" ",$AX9)))),"")</f>
        <v>0</v>
      </c>
      <c r="AT9" s="93">
        <f>IF(9=9,IF($U9="","",SUMPRODUCT(--ISNUMBER(SEARCH(" "&amp;$CR$1036:$CR$1135&amp;" ",$AX9)))),"")</f>
        <v>0</v>
      </c>
      <c r="AU9" s="93">
        <f>IF(9=9,IF($U9="","",SUMPRODUCT(--ISNUMBER(SEARCH(" "&amp;$CR$1136:$CR$1235&amp;" ",$AX9)))),"")</f>
        <v>0</v>
      </c>
      <c r="AV9" s="93">
        <f>IF(9=9,IF($U9="","",SUMPRODUCT(--ISNUMBER(SEARCH(" "&amp;$CR$1236:$CR$1335&amp;" ",$AX9)))),"")</f>
        <v>0</v>
      </c>
      <c r="AW9" s="93">
        <f>IF(9=9,IF($U9="","",SUMPRODUCT(--ISNUMBER(SEARCH(" "&amp;$CR$1336:$CR$1363&amp;" ",$AX9)))),"")</f>
        <v>0</v>
      </c>
      <c r="AX9" s="93" t="str">
        <f>IF(9=9,IF($U9="","",SUBSTITUTE(SUBSTITUTE(SUBSTITUTE(SUBSTITUTE(SUBSTITUTE(SUBSTITUTE(SUBSTITUTE(SUBSTITUTE(SUBSTITUTE($AA9," "&amp;$CR$1365&amp;" "," ")," "&amp;$CR$1364&amp;" "," ")," "&amp;$CR$1370&amp;" "," ")," "&amp;$CR$1371&amp;" "," ")," "&amp;$CR$1367&amp;" "," ")," "&amp;$CR$1369&amp;" "," ")," "&amp;$CR$1366&amp;" "," ")," "&amp;$CR$1368&amp;" "," ")," "&amp;$CR$1372&amp;" "," ")),"")</f>
        <v xml:space="preserve"> aubergines </v>
      </c>
      <c r="AY9" s="93">
        <f>IF(9=9,IF($U9="","",SUMPRODUCT(--ISNUMBER(SEARCH(" "&amp;$CR$1373:$CR$1383&amp;" ",$AX9)))),"")</f>
        <v>0</v>
      </c>
      <c r="AZ9" s="93" t="str">
        <f>IF(9=9,IF($U9="","",IF(SUM(AN9:AW9)+SUMPRODUCT(--ISNUMBER(SEARCH(" "&amp;$CR$2421:$CR$2422&amp;" ",$AX9)))&gt;0,"X",IF(AY9&gt;0,"?",""))),"")</f>
        <v/>
      </c>
      <c r="BA9" s="93">
        <f>IF(9=9,IF($U9="","",SUMPRODUCT(--ISNUMBER(SEARCH(" "&amp;$CR$1384:$CR$1404&amp;" ",$AA9)))),"")</f>
        <v>0</v>
      </c>
      <c r="BB9" s="93" t="str">
        <f>IF(9=9,IF($U9="","",IF((BA9)-(0)&gt;0,"X",IF((0)-(0)&gt;0,"?",""))),"")</f>
        <v/>
      </c>
      <c r="BC9" s="93">
        <f>IF(9=9,IF($U9="","",SUMPRODUCT(--ISNUMBER(SEARCH(" "&amp;$CR$1405:$CR$1442&amp;" ",$BD9)))),"")</f>
        <v>0</v>
      </c>
      <c r="BD9" s="93" t="str">
        <f>IF(9=9,IF($U9="","",SUBSTITUTE(SUBSTITUTE($AA9," "&amp;$CR$1443&amp;" "," ")," "&amp;$CR$1444&amp;" "," ")),"")</f>
        <v xml:space="preserve"> aubergines </v>
      </c>
      <c r="BE9" s="93">
        <f>IF(9=9,IF($U9="","",SUMPRODUCT(--ISNUMBER(SEARCH(" "&amp;$CR$1445:$CR$1455&amp;" ",$BD9)))),"")</f>
        <v>0</v>
      </c>
      <c r="BF9" s="93" t="str">
        <f>IF(9=9,IF($U9="","",IF(BC9&gt;0,"X",IF(BE9&gt;0,"?",""))),"")</f>
        <v/>
      </c>
      <c r="BG9" s="93">
        <f>IF(9=9,IF($U9="","",SUMPRODUCT(--ISNUMBER(SEARCH(" "&amp;$CR$1456:$CR$1555&amp;" ",$BJ9)))),"")</f>
        <v>0</v>
      </c>
      <c r="BH9" s="93">
        <f>IF(9=9,IF($U9="","",SUMPRODUCT(--ISNUMBER(SEARCH(" "&amp;$CR$1556:$CR$1655&amp;" ",$BJ9)))),"")</f>
        <v>0</v>
      </c>
      <c r="BI9" s="93">
        <f>IF(9=9,IF($U9="","",SUMPRODUCT(--ISNUMBER(SEARCH(" "&amp;$CR$1656:$CR$1739&amp;" ",$BJ9)))),"")</f>
        <v>0</v>
      </c>
      <c r="BJ9" s="93" t="str">
        <f>IF(9=9,IF($U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9,"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aubergines </v>
      </c>
      <c r="BK9" s="93">
        <f>IF(9=9,IF($U9="","",SUMPRODUCT(--ISNUMBER(SEARCH(" "&amp;$CR$1790:$CR$1869&amp;" ",$BL9)))+SUMPRODUCT(--ISNUMBER(SEARCH(" "&amp;$CR$2440:$CR$2453&amp;" ",$BL9)))),"")</f>
        <v>0</v>
      </c>
      <c r="BL9" s="93" t="str">
        <f>IF(9=9,IF($U9="","",SUBSTITUTE(SUBSTITUTE(SUBSTITUTE(SUBSTITUTE(SUBSTITUTE(SUBSTITUTE(SUBSTITUTE(SUBSTITUTE(SUBSTITUTE(SUBSTITUTE(SUBSTITUTE(SUBSTITUTE(SUBSTITUTE($BJ9," "&amp;$CR$1876&amp;" "," ")," "&amp;$CR$1874&amp;" "," ")," "&amp;$CR$2438&amp;" "," ")," "&amp;$CR$2439&amp;" "," ")," "&amp;$CR$1871&amp;" "," ")," "&amp;$CR$1875&amp;" "," ")," "&amp;$CR$1877&amp;" "," ")," "&amp;$CR$1872&amp;" "," ")," "&amp;$CR$1870&amp;" "," ")," "&amp;$CR$1367&amp;" "," ")," "&amp;$CR$1878&amp;" "," ")," "&amp;$CR$1366&amp;" "," ")," "&amp;$CR$1873&amp;" "," ")),"")</f>
        <v xml:space="preserve"> aubergines </v>
      </c>
      <c r="BM9" s="93" t="str">
        <f>IF(9=9,IF($U9="","",IF(SUM(BG9:BI9)+SUMPRODUCT(--ISNUMBER(SEARCH(" "&amp;$CR$2423:$CR$2424&amp;" ",$BJ9)))&gt;0,"X",IF(BK9&gt;0,"?",""))),"")</f>
        <v/>
      </c>
      <c r="BN9" s="93">
        <f>IF(9=9,IF($U9="","",SUMPRODUCT(--ISNUMBER(SEARCH(" "&amp;$CR$1879:$CR$1936&amp;" ",$BO9)))),"")</f>
        <v>0</v>
      </c>
      <c r="BO9" s="93" t="str">
        <f>IF(9=9,IF($U9="","",SUBSTITUTE(SUBSTITUTE(SUBSTITUTE(SUBSTITUTE(SUBSTITUTE(SUBSTITUTE(SUBSTITUTE(SUBSTITUTE(SUBSTITUTE(SUBSTITUTE(SUBSTITUTE(SUBSTITUTE(SUBSTITUTE(SUBSTITUTE(SUBSTITUTE(SUBSTITUTE(SUBSTITUTE(SUBSTITUTE(SUBSTITUTE(SUBSTITUTE(SUBSTITUTE(SUBSTITUTE(SUBSTITUTE($AA9,"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aubergines </v>
      </c>
      <c r="BP9" s="93">
        <f>IF(9=9,IF($U9="","",SUMPRODUCT(--ISNUMBER(SEARCH(" "&amp;$CR$1960:$CR$1976&amp;" ",$BO9)))),"")</f>
        <v>0</v>
      </c>
      <c r="BQ9" s="93" t="str">
        <f>IF(9=9,IF($U9="","",IF(BN9&gt;0,"X",IF(BP9&gt;0,"?",""))),"")</f>
        <v/>
      </c>
      <c r="BR9" s="93">
        <f>IF(9=9,IF($U9="","",SUMPRODUCT(--ISNUMBER(SEARCH(" "&amp;$CR$1977:$CR$1990&amp;" ",$AA9)))),"")</f>
        <v>0</v>
      </c>
      <c r="BS9" s="93">
        <f>IF(9=9,IF($U9="","",SUMPRODUCT(--ISNUMBER(SEARCH(" "&amp;$CR$1991:$CR$2005&amp;" ",$AA9)))),"")</f>
        <v>0</v>
      </c>
      <c r="BT9" s="93" t="str">
        <f>IF(9=9,IF($U9="","",IF((BR9)-(0)&gt;0,"X",IF((BS9)-(0)&gt;0,"?",""))),"")</f>
        <v/>
      </c>
      <c r="BU9" s="93">
        <f>IF(9=9,IF($U9="","",SUMPRODUCT(--ISNUMBER(SEARCH(" "&amp;$CR$2006:$CR$2023&amp;" ",$AA9)))),"")</f>
        <v>0</v>
      </c>
      <c r="BV9" s="93">
        <f>IF(9=9,IF($U9="","",SUMPRODUCT(--ISNUMBER(SEARCH(" "&amp;$CR$2024:$CR$2038&amp;" ",$AA9)))),"")</f>
        <v>0</v>
      </c>
      <c r="BW9" s="93" t="str">
        <f>IF(9=9,IF($U9="","",IF((BU9)-(0)&gt;0,"X",IF((BV9)-(0)&gt;0,"?",""))),"")</f>
        <v/>
      </c>
      <c r="BX9" s="93">
        <f>IF(9=9,IF($U9="","",SUMPRODUCT(--ISNUMBER(SEARCH(" "&amp;$CR$2039:$CR$2057&amp;" ",$AA9)))),"")</f>
        <v>0</v>
      </c>
      <c r="BY9" s="93">
        <f>IF(9=9,IF($U9="","",SUMPRODUCT(--ISNUMBER(SEARCH(" "&amp;$CR$2058:$CR$2072&amp;" ",$AA9)))),"")</f>
        <v>0</v>
      </c>
      <c r="BZ9" s="93" t="str">
        <f>IF(9=9,IF($U9="","",IF((BX9)-(0)&gt;0,"X",IF((BY9)-(0)&gt;0,"?",""))),"")</f>
        <v/>
      </c>
      <c r="CA9" s="93">
        <f>IF(9=9,IF($U9="","",SUMPRODUCT(--ISNUMBER(SEARCH(" "&amp;$CR$2073:$CR$2093&amp;" ",$AA9)))),"")</f>
        <v>0</v>
      </c>
      <c r="CB9" s="93">
        <f>IF(9=9,IF($U9="","",SUMPRODUCT(--ISNUMBER(SEARCH(" "&amp;$CR$2094:$CR$2133&amp;" ",SUBSTITUTE(SUBSTITUTE($AA9," "&amp;$CR$1367&amp;" "," ")," "&amp;$CR$1366&amp;" "," "))))+--ISNUMBER(SEARCH("poiré",$V9))),"")</f>
        <v>0</v>
      </c>
      <c r="CC9" s="93" t="str">
        <f>IF(9=9,IF($U9="","",IF(OR(CA9&gt;0,ISNUMBER(SEARCH(" vinaigre de vin ",$AA9)),ISNUMBER(SEARCH(" vinaigre au vin ",$AA9))),"X",IF(CB9&gt;0,"?",""))),"")</f>
        <v/>
      </c>
      <c r="CD9" s="93">
        <f>IF(9=9,IF($U9="","",SUMPRODUCT(--ISNUMBER(SEARCH(" "&amp;$CR$2134:$CR$2146&amp;" ",$AA9)))),"")</f>
        <v>0</v>
      </c>
      <c r="CE9" s="93">
        <f>IF(9=9,IF($U9="","",SUMPRODUCT(--ISNUMBER(SEARCH(" "&amp;$CR$2147:$CR$2152&amp;" ",$AA9)))),"")</f>
        <v>0</v>
      </c>
      <c r="CF9" s="93" t="str">
        <f>IF(9=9,IF($U9="","",IF((CD9)-(0)&gt;0,"X",IF((CE9)-(0)&gt;0,"?",""))),"")</f>
        <v/>
      </c>
      <c r="CG9" s="93">
        <f>IF(9=9,IF($U9="","",SUMPRODUCT(--ISNUMBER(SEARCH(" "&amp;$CR$2153:$CR$2252&amp;" ",$CJ9)))),"")</f>
        <v>0</v>
      </c>
      <c r="CH9" s="93">
        <f>IF(9=9,IF($U9="","",SUMPRODUCT(--ISNUMBER(SEARCH(" "&amp;$CR$2253:$CR$2352&amp;" ",$CJ9)))),"")</f>
        <v>0</v>
      </c>
      <c r="CI9" s="93">
        <f>IF(9=9,IF($U9="","",SUMPRODUCT(--ISNUMBER(SEARCH(" "&amp;$CR$2353:$CR$2395&amp;" ",$CJ9)))),"")</f>
        <v>0</v>
      </c>
      <c r="CJ9" s="93" t="str">
        <f>IF(9=9,IF($U9="","",SUBSTITUTE(SUBSTITUTE(SUBSTITUTE(SUBSTITUTE(SUBSTITUTE(SUBSTITUTE(SUBSTITUTE(SUBSTITUTE(SUBSTITUTE(SUBSTITUTE(SUBSTITUTE(SUBSTITUTE(SUBSTITUTE(SUBSTITUTE(SUBSTITUTE(SUBSTITUTE($AA9," "&amp;$CR$2401&amp;" "," ")," "&amp;$CR$2400&amp;" "," ")," "&amp;$CR$2399&amp;" "," ")," "&amp;$CR$2406&amp;" "," ")," "&amp;$CR$2398&amp;" "," ")," "&amp;$CR$2410&amp;" "," ")," "&amp;$CR$2397&amp;" "," ")," "&amp;$CR$2402&amp;" "," ")," "&amp;$CR$2405&amp;" "," ")," "&amp;$CR$2396&amp;" "," ")," "&amp;$CR$2404&amp;" "," ")," "&amp;$CR$2411&amp;" "," ")," "&amp;$CR$2408&amp;" "," ")," "&amp;$CR$2403&amp;" "," ")," "&amp;$CR$2407&amp;" "," ")," "&amp;$CR$2409&amp;" "," ")),"")</f>
        <v xml:space="preserve"> aubergines </v>
      </c>
      <c r="CK9" s="93">
        <f>IF(9=9,IF($U9="","",SUMPRODUCT(--ISNUMBER(SEARCH(" "&amp;$CR$2412:$CR$2416&amp;" ",$CJ9)))),"")</f>
        <v>0</v>
      </c>
      <c r="CL9" s="93" t="str">
        <f>IF(9=9,IF($U9="","",IF(SUM(CG9:CI9)&gt;0,"X",IF(CK9&gt;0,"?",""))),"")</f>
        <v/>
      </c>
      <c r="CM9" s="102"/>
      <c r="CN9" s="112" t="s">
        <v>619</v>
      </c>
      <c r="CO9" s="112" t="s">
        <v>522</v>
      </c>
      <c r="CP9" s="112" t="s">
        <v>523</v>
      </c>
      <c r="CQ9" s="112" t="s">
        <v>620</v>
      </c>
      <c r="CR9" s="112" t="s">
        <v>621</v>
      </c>
      <c r="CS9" s="112" t="s">
        <v>525</v>
      </c>
      <c r="CT9" s="112" t="s">
        <v>526</v>
      </c>
      <c r="CU9" s="112" t="s">
        <v>527</v>
      </c>
      <c r="CV9" s="113" t="s">
        <v>528</v>
      </c>
      <c r="CX9" s="36">
        <v>1</v>
      </c>
    </row>
    <row r="10" spans="1:102" ht="21" customHeight="1" x14ac:dyDescent="0.25">
      <c r="A10" s="135">
        <v>4</v>
      </c>
      <c r="B10" s="136" t="s">
        <v>655</v>
      </c>
      <c r="C10" s="137" t="str">
        <f t="shared" si="0"/>
        <v>Beurre *</v>
      </c>
      <c r="D10" s="138" t="str">
        <f>IF(10=10,IF($B10="","",IF(E10="X",""&amp;"Céréales contenant du gluten","")&amp;IF(F10="X",IF(COUNTIF($E10:$E10,"X")&gt;0,", ","")&amp;"Crustacés","")&amp;IF(G10="X",IF(COUNTIF($E10:$F10,"X")&gt;0,", ","")&amp;"Œufs","")&amp;IF(H10="X",IF(COUNTIF($E10:$G10,"X")&gt;0,", ","")&amp;"Poissons","")&amp;IF(I10="X",IF(COUNTIF($E10:$H10,"X")&gt;0,", ","")&amp;"Arachides","")&amp;IF(J10="X",IF(COUNTIF($E10:$I10,"X")&gt;0,", ","")&amp;"Soja","")&amp;IF(K10="X",IF(COUNTIF($E10:$J10,"X")&gt;0,", ","")&amp;"Lait","")&amp;IF(L10="X",IF(COUNTIF($E10:$K10,"X")&gt;0,", ","")&amp;"Fruits à coque","")&amp;IF(M10="X",IF(COUNTIF($E10:$L10,"X")&gt;0,", ","")&amp;"Céleri","")&amp;IF(N10="X",IF(COUNTIF($E10:$M10,"X")&gt;0,", ","")&amp;"Moutarde","")&amp;IF(O10="X",IF(COUNTIF($E10:$N10,"X")&gt;0,", ","")&amp;"Sésame","")&amp;IF(P10="X",IF(COUNTIF($E10:$O10,"X")&gt;0,", ","")&amp;"Sulfites","")&amp;IF(Q10="X",IF(COUNTIF($E10:$P10,"X")&gt;0,", ","")&amp;"Lupin","")&amp;IF(R10="X",IF(COUNTIF($E10:$Q10,"X")&gt;0,", ","")&amp;"Mollusques","")),"")</f>
        <v>Lait</v>
      </c>
      <c r="E10" s="139" t="str">
        <f>IF(10=10,IF($B10="","",AF10),"")</f>
        <v/>
      </c>
      <c r="F10" s="139" t="str">
        <f>IF(10=10,IF($B10="","",AI10),"")</f>
        <v/>
      </c>
      <c r="G10" s="139" t="str">
        <f>IF(10=10,IF($B10="","",AM10),"")</f>
        <v/>
      </c>
      <c r="H10" s="139" t="str">
        <f>IF(10=10,IF($B10="","",IF(ISNUMBER(SEARCH(" colin ",$AA10)),"X",AZ10)),"")</f>
        <v/>
      </c>
      <c r="I10" s="139" t="str">
        <f>IF(10=10,IF($B10="","",BB10),"")</f>
        <v/>
      </c>
      <c r="J10" s="139" t="str">
        <f>IF(10=10,IF($B10="","",BF10),"")</f>
        <v/>
      </c>
      <c r="K10" s="139" t="str">
        <f>IF(10=10,IF($B10="","",BM10),"")</f>
        <v>X</v>
      </c>
      <c r="L10" s="139" t="str">
        <f>IF(10=10,IF($B10="","",BQ10),"")</f>
        <v/>
      </c>
      <c r="M10" s="139" t="str">
        <f>IF(10=10,IF($B10="","",BT10),"")</f>
        <v/>
      </c>
      <c r="N10" s="139" t="str">
        <f>IF(10=10,IF($B10="","",BW10),"")</f>
        <v/>
      </c>
      <c r="O10" s="139" t="str">
        <f>IF(10=10,IF($B10="","",BZ10),"")</f>
        <v/>
      </c>
      <c r="P10" s="139" t="str">
        <f>IF(10=10,IF($B10="","",CC10),"")</f>
        <v/>
      </c>
      <c r="Q10" s="139" t="str">
        <f>IF(10=10,IF($B10="","",CF10),"")</f>
        <v/>
      </c>
      <c r="R10" s="139" t="str">
        <f>IF(10=10,IF($B10="","",CL10),"")</f>
        <v/>
      </c>
      <c r="S10" s="140" t="str">
        <f>IF(10=10,IF($B10="","",IF(E10="?",""&amp;"Céréales contenant du gluten","")&amp;IF(F10="?",IF(COUNTIF($E10:$E10,"~?")&gt;0,", ","")&amp;"Crustacés","")&amp;IF(G10="?",IF(COUNTIF($E10:$F10,"~?")&gt;0,", ","")&amp;"Œufs","")&amp;IF(H10="?",IF(COUNTIF($E10:$G10,"~?")&gt;0,", ","")&amp;"Poissons","")&amp;IF(I10="?",IF(COUNTIF($E10:$H10,"~?")&gt;0,", ","")&amp;"Arachides","")&amp;IF(J10="?",IF(COUNTIF($E10:$I10,"~?")&gt;0,", ","")&amp;"Soja","")&amp;IF(K10="?",IF(COUNTIF($E10:$J10,"~?")&gt;0,", ","")&amp;"Lait","")&amp;IF(L10="?",IF(COUNTIF($E10:$K10,"~?")&gt;0,", ","")&amp;"Fruits à coque","")&amp;IF(M10="?",IF(COUNTIF($E10:$L10,"~?")&gt;0,", ","")&amp;"Céleri","")&amp;IF(N10="?",IF(COUNTIF($E10:$M10,"~?")&gt;0,", ","")&amp;"Moutarde","")&amp;IF(O10="?",IF(COUNTIF($E10:$N10,"~?")&gt;0,", ","")&amp;"Sésame","")&amp;IF(P10="?",IF(COUNTIF($E10:$O10,"~?")&gt;0,", ","")&amp;"Sulfites","")&amp;IF(Q10="?",IF(COUNTIF($E10:$P10,"~?")&gt;0,", ","")&amp;"Lupin","")&amp;IF(R10="?",IF(COUNTIF($E10:$Q10,"~?")&gt;0,", ","")&amp;"Mollusques","")),"")</f>
        <v/>
      </c>
      <c r="U10" s="93" t="str">
        <f>IF(10=10,IF($B10="","",$B10),"")</f>
        <v>Beurre</v>
      </c>
      <c r="V10" s="93" t="str">
        <f>IF(10=10,LOWER(CLEAN(SUBSTITUTE(SUBSTITUTE(SUBSTITUTE(SUBSTITUTE($U10,CHAR(160)," ")," "," "),CHAR(10)," "),CHAR(13)," "))),"")</f>
        <v>beurre</v>
      </c>
      <c r="W10" s="93" t="str">
        <f>IF(10=10,SUBSTITUTE(SUBSTITUTE(SUBSTITUTE(SUBSTITUTE(SUBSTITUTE(SUBSTITUTE(SUBSTITUTE(SUBSTITUTE(SUBSTITUTE(SUBSTITUTE(SUBSTITUTE(SUBSTITUTE($V10,"œ","oe"),"æ","ae"),"à","a"),"á","a"),"â","a"),"ä","a"),"ã","a"),"ç","c"),"è","e"),"é","e"),"ê","e"),"ë","e"),"")</f>
        <v>beurre</v>
      </c>
      <c r="X10" s="93" t="str">
        <f>IF(10=10,SUBSTITUTE(SUBSTITUTE(SUBSTITUTE(SUBSTITUTE(SUBSTITUTE(SUBSTITUTE(SUBSTITUTE(SUBSTITUTE(SUBSTITUTE(SUBSTITUTE(SUBSTITUTE(SUBSTITUTE(SUBSTITUTE(SUBSTITUTE(SUBSTITUTE(SUBSTITUTE($W10,"ì","i"),"í","i"),"î","i"),"ï","i"),"ñ","n"),"ò","o"),"ó","o"),"ô","o"),"ö","o"),"õ","o"),"ù","u"),"ú","u"),"û","u"),"ü","u"),"ý","y"),"ÿ","y"),"")</f>
        <v>beurre</v>
      </c>
      <c r="Y10" s="93" t="str">
        <f>IF(10=10,SUBSTITUTE(SUBSTITUTE(SUBSTITUTE(SUBSTITUTE(SUBSTITUTE(SUBSTITUTE(SUBSTITUTE(SUBSTITUTE(SUBSTITUTE(SUBSTITUTE(SUBSTITUTE(SUBSTITUTE(SUBSTITUTE(SUBSTITUTE($X10,"’"," "),"`"," "),"–"," "),"—"," "),"-"," "),"'"," "),"/"," "),"_"," "),","," "),"."," "),"("," "),")"," "),";"," "),":"," "),"")</f>
        <v>beurre</v>
      </c>
      <c r="Z10" s="93" t="str">
        <f>IF(10=10,SUBSTITUTE(SUBSTITUTE(SUBSTITUTE(SUBSTITUTE(SUBSTITUTE(SUBSTITUTE(SUBSTITUTE(SUBSTITUTE(SUBSTITUTE(SUBSTITUTE(SUBSTITUTE(SUBSTITUTE(SUBSTITUTE(SUBSTITUTE(SUBSTITUTE($Y10,"!"," "),"?"," "),"+"," "),"*"," "),"&amp;"," "),"["," "),"]"," "),"{"," "),"}"," "),"%"," "),"="," "),"\"," "),"|"," "),"&lt;"," "),"&gt;"," "),"")</f>
        <v>beurre</v>
      </c>
      <c r="AA10" s="93" t="str">
        <f>IF(10=10," "&amp;TRIM(SUBSTITUTE(SUBSTITUTE(SUBSTITUTE(SUBSTITUTE(SUBSTITUTE(SUBSTITUTE($Z10,CHAR(34)," "),"  "," "),"  "," "),"  "," "),"  "," "),"  "," "))&amp;" ","")</f>
        <v xml:space="preserve"> beurre </v>
      </c>
      <c r="AB10" s="93">
        <f>IF(10=10,IF($U10="","",SUMPRODUCT(--ISNUMBER(SEARCH(" "&amp;$CR$2:$CR$101&amp;" ",$AD10)))),"")</f>
        <v>0</v>
      </c>
      <c r="AC10" s="93">
        <f>IF(10=10,IF($U10="","",SUMPRODUCT(--ISNUMBER(SEARCH(" "&amp;$CR$102:$CR$151&amp;" ",$AD10)))),"")</f>
        <v>0</v>
      </c>
      <c r="AD10" s="93" t="str">
        <f t="shared" si="1"/>
        <v xml:space="preserve"> beurre </v>
      </c>
      <c r="AE10" s="93">
        <f t="shared" si="2"/>
        <v>0</v>
      </c>
      <c r="AF10" s="93" t="str">
        <f>IF(10=10,IF($U10="","",IF(SUM(AB10:AC10)+SUMPRODUCT(--ISNUMBER(SEARCH(" "&amp;$CR$2418:$CR$2420&amp;" ",$AD10)))&gt;0,"X",IF(AE10&gt;0,"?",""))),"")</f>
        <v/>
      </c>
      <c r="AG10" s="93">
        <f>IF(10=10,IF($U10="","",SUMPRODUCT(--ISNUMBER(SEARCH(" "&amp;$CR$206:$CR$305&amp;" ",$AA10)))),"")</f>
        <v>0</v>
      </c>
      <c r="AH10" s="93">
        <f>IF(10=10,IF($U10="","",SUMPRODUCT(--ISNUMBER(SEARCH(" "&amp;$CR$306:$CR$340&amp;" ",$AA10)))),"")</f>
        <v>0</v>
      </c>
      <c r="AI10" s="93" t="str">
        <f>IF(10=10,IF($U10="","",IF((SUM(AG10:AH10))-(0)&gt;0,"X",IF((0)-(0)&gt;0,"?",""))),"")</f>
        <v/>
      </c>
      <c r="AJ10" s="93">
        <f>IF(10=10,IF($U10="","",SUMPRODUCT(--ISNUMBER(SEARCH(" "&amp;$CR$341:$CR$398&amp;" ",$AA10)))),"")</f>
        <v>0</v>
      </c>
      <c r="AK10" s="93">
        <f>IF(10=10,IF($U10="","",SUMPRODUCT(--ISNUMBER(SEARCH(" "&amp;$CR$399:$CR$426&amp;" ",$AL10)))+SUMPRODUCT(--ISNUMBER(SEARCH(" "&amp;$CR$2440:$CR$2453&amp;" ",$AL10)))),"")</f>
        <v>0</v>
      </c>
      <c r="AL10" s="93" t="str">
        <f>IF(10=10,IF($U10="","",SUBSTITUTE(SUBSTITUTE(SUBSTITUTE(SUBSTITUTE(SUBSTITUTE(SUBSTITUTE(SUBSTITUTE(SUBSTITUTE(SUBSTITUTE(SUBSTITUTE(SUBSTITUTE(SUBSTITUTE(SUBSTITUTE(SUBSTITUTE($AA10," "&amp;$CR$2455&amp;" "," ")," "&amp;$CR$433&amp;" "," ")," "&amp;$CR$431&amp;" "," ")," "&amp;$CR$2438&amp;" "," ")," "&amp;$CR$2439&amp;" "," ")," "&amp;$CR$428&amp;" "," ")," "&amp;$CR$432&amp;" "," ")," "&amp;$CR$434&amp;" "," ")," "&amp;$CR$429&amp;" "," ")," "&amp;$CR$427&amp;" "," ")," "&amp;$CR$1367&amp;" "," ")," "&amp;$CR$435&amp;" "," ")," "&amp;$CR$1366&amp;" "," ")," "&amp;$CR$430&amp;" "," ")),"")</f>
        <v xml:space="preserve"> beurre </v>
      </c>
      <c r="AM10" s="93" t="str">
        <f>IF(10=10,IF($U10="","",IF(AJ10&gt;0,"X",IF(AK10&gt;0,"?",""))),"")</f>
        <v/>
      </c>
      <c r="AN10" s="93">
        <f>IF(10=10,IF($U10="","",SUMPRODUCT(--ISNUMBER(SEARCH(" "&amp;$CR$436:$CR$535&amp;" ",$AX10)))),"")</f>
        <v>0</v>
      </c>
      <c r="AO10" s="93">
        <f>IF(10=10,IF($U10="","",SUMPRODUCT(--ISNUMBER(SEARCH(" "&amp;$CR$536:$CR$635&amp;" ",$AX10)))),"")</f>
        <v>0</v>
      </c>
      <c r="AP10" s="93">
        <f>IF(10=10,IF($U10="","",SUMPRODUCT(--ISNUMBER(SEARCH(" "&amp;$CR$636:$CR$735&amp;" ",$AX10)))),"")</f>
        <v>0</v>
      </c>
      <c r="AQ10" s="93">
        <f>IF(10=10,IF($U10="","",SUMPRODUCT(--ISNUMBER(SEARCH(" "&amp;$CR$736:$CR$835&amp;" ",$AX10)))),"")</f>
        <v>0</v>
      </c>
      <c r="AR10" s="93">
        <f>IF(10=10,IF($U10="","",SUMPRODUCT(--ISNUMBER(SEARCH(" "&amp;$CR$836:$CR$935&amp;" ",$AX10)))),"")</f>
        <v>0</v>
      </c>
      <c r="AS10" s="93">
        <f>IF(10=10,IF($U10="","",SUMPRODUCT(--ISNUMBER(SEARCH(" "&amp;$CR$936:$CR$1035&amp;" ",$AX10)))),"")</f>
        <v>0</v>
      </c>
      <c r="AT10" s="93">
        <f>IF(10=10,IF($U10="","",SUMPRODUCT(--ISNUMBER(SEARCH(" "&amp;$CR$1036:$CR$1135&amp;" ",$AX10)))),"")</f>
        <v>0</v>
      </c>
      <c r="AU10" s="93">
        <f>IF(10=10,IF($U10="","",SUMPRODUCT(--ISNUMBER(SEARCH(" "&amp;$CR$1136:$CR$1235&amp;" ",$AX10)))),"")</f>
        <v>0</v>
      </c>
      <c r="AV10" s="93">
        <f>IF(10=10,IF($U10="","",SUMPRODUCT(--ISNUMBER(SEARCH(" "&amp;$CR$1236:$CR$1335&amp;" ",$AX10)))),"")</f>
        <v>0</v>
      </c>
      <c r="AW10" s="93">
        <f>IF(10=10,IF($U10="","",SUMPRODUCT(--ISNUMBER(SEARCH(" "&amp;$CR$1336:$CR$1363&amp;" ",$AX10)))),"")</f>
        <v>0</v>
      </c>
      <c r="AX10" s="93" t="str">
        <f>IF(10=10,IF($U10="","",SUBSTITUTE(SUBSTITUTE(SUBSTITUTE(SUBSTITUTE(SUBSTITUTE(SUBSTITUTE(SUBSTITUTE(SUBSTITUTE(SUBSTITUTE($AA10," "&amp;$CR$1365&amp;" "," ")," "&amp;$CR$1364&amp;" "," ")," "&amp;$CR$1370&amp;" "," ")," "&amp;$CR$1371&amp;" "," ")," "&amp;$CR$1367&amp;" "," ")," "&amp;$CR$1369&amp;" "," ")," "&amp;$CR$1366&amp;" "," ")," "&amp;$CR$1368&amp;" "," ")," "&amp;$CR$1372&amp;" "," ")),"")</f>
        <v xml:space="preserve"> beurre </v>
      </c>
      <c r="AY10" s="93">
        <f>IF(10=10,IF($U10="","",SUMPRODUCT(--ISNUMBER(SEARCH(" "&amp;$CR$1373:$CR$1383&amp;" ",$AX10)))),"")</f>
        <v>0</v>
      </c>
      <c r="AZ10" s="93" t="str">
        <f>IF(10=10,IF($U10="","",IF(SUM(AN10:AW10)+SUMPRODUCT(--ISNUMBER(SEARCH(" "&amp;$CR$2421:$CR$2422&amp;" ",$AX10)))&gt;0,"X",IF(AY10&gt;0,"?",""))),"")</f>
        <v/>
      </c>
      <c r="BA10" s="93">
        <f>IF(10=10,IF($U10="","",SUMPRODUCT(--ISNUMBER(SEARCH(" "&amp;$CR$1384:$CR$1404&amp;" ",$AA10)))),"")</f>
        <v>0</v>
      </c>
      <c r="BB10" s="93" t="str">
        <f>IF(10=10,IF($U10="","",IF((BA10)-(0)&gt;0,"X",IF((0)-(0)&gt;0,"?",""))),"")</f>
        <v/>
      </c>
      <c r="BC10" s="93">
        <f>IF(10=10,IF($U10="","",SUMPRODUCT(--ISNUMBER(SEARCH(" "&amp;$CR$1405:$CR$1442&amp;" ",$BD10)))),"")</f>
        <v>0</v>
      </c>
      <c r="BD10" s="93" t="str">
        <f>IF(10=10,IF($U10="","",SUBSTITUTE(SUBSTITUTE($AA10," "&amp;$CR$1443&amp;" "," ")," "&amp;$CR$1444&amp;" "," ")),"")</f>
        <v xml:space="preserve"> beurre </v>
      </c>
      <c r="BE10" s="93">
        <f>IF(10=10,IF($U10="","",SUMPRODUCT(--ISNUMBER(SEARCH(" "&amp;$CR$1445:$CR$1455&amp;" ",$BD10)))),"")</f>
        <v>0</v>
      </c>
      <c r="BF10" s="93" t="str">
        <f>IF(10=10,IF($U10="","",IF(BC10&gt;0,"X",IF(BE10&gt;0,"?",""))),"")</f>
        <v/>
      </c>
      <c r="BG10" s="93">
        <f>IF(10=10,IF($U10="","",SUMPRODUCT(--ISNUMBER(SEARCH(" "&amp;$CR$1456:$CR$1555&amp;" ",$BJ10)))),"")</f>
        <v>1</v>
      </c>
      <c r="BH10" s="93">
        <f>IF(10=10,IF($U10="","",SUMPRODUCT(--ISNUMBER(SEARCH(" "&amp;$CR$1556:$CR$1655&amp;" ",$BJ10)))),"")</f>
        <v>0</v>
      </c>
      <c r="BI10" s="93">
        <f>IF(10=10,IF($U10="","",SUMPRODUCT(--ISNUMBER(SEARCH(" "&amp;$CR$1656:$CR$1739&amp;" ",$BJ10)))),"")</f>
        <v>0</v>
      </c>
      <c r="BJ10" s="93" t="str">
        <f>IF(10=10,IF($U10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10,"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beurre </v>
      </c>
      <c r="BK10" s="93">
        <f>IF(10=10,IF($U10="","",SUMPRODUCT(--ISNUMBER(SEARCH(" "&amp;$CR$1790:$CR$1869&amp;" ",$BL10)))+SUMPRODUCT(--ISNUMBER(SEARCH(" "&amp;$CR$2440:$CR$2453&amp;" ",$BL10)))),"")</f>
        <v>0</v>
      </c>
      <c r="BL10" s="93" t="str">
        <f>IF(10=10,IF($U10="","",SUBSTITUTE(SUBSTITUTE(SUBSTITUTE(SUBSTITUTE(SUBSTITUTE(SUBSTITUTE(SUBSTITUTE(SUBSTITUTE(SUBSTITUTE(SUBSTITUTE(SUBSTITUTE(SUBSTITUTE(SUBSTITUTE($BJ10," "&amp;$CR$1876&amp;" "," ")," "&amp;$CR$1874&amp;" "," ")," "&amp;$CR$2438&amp;" "," ")," "&amp;$CR$2439&amp;" "," ")," "&amp;$CR$1871&amp;" "," ")," "&amp;$CR$1875&amp;" "," ")," "&amp;$CR$1877&amp;" "," ")," "&amp;$CR$1872&amp;" "," ")," "&amp;$CR$1870&amp;" "," ")," "&amp;$CR$1367&amp;" "," ")," "&amp;$CR$1878&amp;" "," ")," "&amp;$CR$1366&amp;" "," ")," "&amp;$CR$1873&amp;" "," ")),"")</f>
        <v xml:space="preserve"> beurre </v>
      </c>
      <c r="BM10" s="93" t="str">
        <f>IF(10=10,IF($U10="","",IF(SUM(BG10:BI10)+SUMPRODUCT(--ISNUMBER(SEARCH(" "&amp;$CR$2423:$CR$2424&amp;" ",$BJ10)))&gt;0,"X",IF(BK10&gt;0,"?",""))),"")</f>
        <v>X</v>
      </c>
      <c r="BN10" s="93">
        <f>IF(10=10,IF($U10="","",SUMPRODUCT(--ISNUMBER(SEARCH(" "&amp;$CR$1879:$CR$1936&amp;" ",$BO10)))),"")</f>
        <v>0</v>
      </c>
      <c r="BO10" s="93" t="str">
        <f>IF(10=10,IF($U10="","",SUBSTITUTE(SUBSTITUTE(SUBSTITUTE(SUBSTITUTE(SUBSTITUTE(SUBSTITUTE(SUBSTITUTE(SUBSTITUTE(SUBSTITUTE(SUBSTITUTE(SUBSTITUTE(SUBSTITUTE(SUBSTITUTE(SUBSTITUTE(SUBSTITUTE(SUBSTITUTE(SUBSTITUTE(SUBSTITUTE(SUBSTITUTE(SUBSTITUTE(SUBSTITUTE(SUBSTITUTE(SUBSTITUTE($AA10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beurre </v>
      </c>
      <c r="BP10" s="93">
        <f>IF(10=10,IF($U10="","",SUMPRODUCT(--ISNUMBER(SEARCH(" "&amp;$CR$1960:$CR$1976&amp;" ",$BO10)))),"")</f>
        <v>0</v>
      </c>
      <c r="BQ10" s="93" t="str">
        <f>IF(10=10,IF($U10="","",IF(BN10&gt;0,"X",IF(BP10&gt;0,"?",""))),"")</f>
        <v/>
      </c>
      <c r="BR10" s="93">
        <f>IF(10=10,IF($U10="","",SUMPRODUCT(--ISNUMBER(SEARCH(" "&amp;$CR$1977:$CR$1990&amp;" ",$AA10)))),"")</f>
        <v>0</v>
      </c>
      <c r="BS10" s="93">
        <f>IF(10=10,IF($U10="","",SUMPRODUCT(--ISNUMBER(SEARCH(" "&amp;$CR$1991:$CR$2005&amp;" ",$AA10)))),"")</f>
        <v>0</v>
      </c>
      <c r="BT10" s="93" t="str">
        <f>IF(10=10,IF($U10="","",IF((BR10)-(0)&gt;0,"X",IF((BS10)-(0)&gt;0,"?",""))),"")</f>
        <v/>
      </c>
      <c r="BU10" s="93">
        <f>IF(10=10,IF($U10="","",SUMPRODUCT(--ISNUMBER(SEARCH(" "&amp;$CR$2006:$CR$2023&amp;" ",$AA10)))),"")</f>
        <v>0</v>
      </c>
      <c r="BV10" s="93">
        <f>IF(10=10,IF($U10="","",SUMPRODUCT(--ISNUMBER(SEARCH(" "&amp;$CR$2024:$CR$2038&amp;" ",$AA10)))),"")</f>
        <v>0</v>
      </c>
      <c r="BW10" s="93" t="str">
        <f>IF(10=10,IF($U10="","",IF((BU10)-(0)&gt;0,"X",IF((BV10)-(0)&gt;0,"?",""))),"")</f>
        <v/>
      </c>
      <c r="BX10" s="93">
        <f>IF(10=10,IF($U10="","",SUMPRODUCT(--ISNUMBER(SEARCH(" "&amp;$CR$2039:$CR$2057&amp;" ",$AA10)))),"")</f>
        <v>0</v>
      </c>
      <c r="BY10" s="93">
        <f>IF(10=10,IF($U10="","",SUMPRODUCT(--ISNUMBER(SEARCH(" "&amp;$CR$2058:$CR$2072&amp;" ",$AA10)))),"")</f>
        <v>0</v>
      </c>
      <c r="BZ10" s="93" t="str">
        <f>IF(10=10,IF($U10="","",IF((BX10)-(0)&gt;0,"X",IF((BY10)-(0)&gt;0,"?",""))),"")</f>
        <v/>
      </c>
      <c r="CA10" s="93">
        <f>IF(10=10,IF($U10="","",SUMPRODUCT(--ISNUMBER(SEARCH(" "&amp;$CR$2073:$CR$2093&amp;" ",$AA10)))),"")</f>
        <v>0</v>
      </c>
      <c r="CB10" s="93">
        <f>IF(10=10,IF($U10="","",SUMPRODUCT(--ISNUMBER(SEARCH(" "&amp;$CR$2094:$CR$2133&amp;" ",SUBSTITUTE(SUBSTITUTE($AA10," "&amp;$CR$1367&amp;" "," ")," "&amp;$CR$1366&amp;" "," "))))+--ISNUMBER(SEARCH("poiré",$V10))),"")</f>
        <v>0</v>
      </c>
      <c r="CC10" s="93" t="str">
        <f>IF(10=10,IF($U10="","",IF(OR(CA10&gt;0,ISNUMBER(SEARCH(" vinaigre de vin ",$AA10)),ISNUMBER(SEARCH(" vinaigre au vin ",$AA10))),"X",IF(CB10&gt;0,"?",""))),"")</f>
        <v/>
      </c>
      <c r="CD10" s="93">
        <f>IF(10=10,IF($U10="","",SUMPRODUCT(--ISNUMBER(SEARCH(" "&amp;$CR$2134:$CR$2146&amp;" ",$AA10)))),"")</f>
        <v>0</v>
      </c>
      <c r="CE10" s="93">
        <f>IF(10=10,IF($U10="","",SUMPRODUCT(--ISNUMBER(SEARCH(" "&amp;$CR$2147:$CR$2152&amp;" ",$AA10)))),"")</f>
        <v>0</v>
      </c>
      <c r="CF10" s="93" t="str">
        <f>IF(10=10,IF($U10="","",IF((CD10)-(0)&gt;0,"X",IF((CE10)-(0)&gt;0,"?",""))),"")</f>
        <v/>
      </c>
      <c r="CG10" s="93">
        <f>IF(10=10,IF($U10="","",SUMPRODUCT(--ISNUMBER(SEARCH(" "&amp;$CR$2153:$CR$2252&amp;" ",$CJ10)))),"")</f>
        <v>0</v>
      </c>
      <c r="CH10" s="93">
        <f>IF(10=10,IF($U10="","",SUMPRODUCT(--ISNUMBER(SEARCH(" "&amp;$CR$2253:$CR$2352&amp;" ",$CJ10)))),"")</f>
        <v>0</v>
      </c>
      <c r="CI10" s="93">
        <f>IF(10=10,IF($U10="","",SUMPRODUCT(--ISNUMBER(SEARCH(" "&amp;$CR$2353:$CR$2395&amp;" ",$CJ10)))),"")</f>
        <v>0</v>
      </c>
      <c r="CJ10" s="93" t="str">
        <f>IF(10=10,IF($U10="","",SUBSTITUTE(SUBSTITUTE(SUBSTITUTE(SUBSTITUTE(SUBSTITUTE(SUBSTITUTE(SUBSTITUTE(SUBSTITUTE(SUBSTITUTE(SUBSTITUTE(SUBSTITUTE(SUBSTITUTE(SUBSTITUTE(SUBSTITUTE(SUBSTITUTE(SUBSTITUTE($AA10," "&amp;$CR$2401&amp;" "," ")," "&amp;$CR$2400&amp;" "," ")," "&amp;$CR$2399&amp;" "," ")," "&amp;$CR$2406&amp;" "," ")," "&amp;$CR$2398&amp;" "," ")," "&amp;$CR$2410&amp;" "," ")," "&amp;$CR$2397&amp;" "," ")," "&amp;$CR$2402&amp;" "," ")," "&amp;$CR$2405&amp;" "," ")," "&amp;$CR$2396&amp;" "," ")," "&amp;$CR$2404&amp;" "," ")," "&amp;$CR$2411&amp;" "," ")," "&amp;$CR$2408&amp;" "," ")," "&amp;$CR$2403&amp;" "," ")," "&amp;$CR$2407&amp;" "," ")," "&amp;$CR$2409&amp;" "," ")),"")</f>
        <v xml:space="preserve"> beurre </v>
      </c>
      <c r="CK10" s="93">
        <f>IF(10=10,IF($U10="","",SUMPRODUCT(--ISNUMBER(SEARCH(" "&amp;$CR$2412:$CR$2416&amp;" ",$CJ10)))),"")</f>
        <v>0</v>
      </c>
      <c r="CL10" s="93" t="str">
        <f>IF(10=10,IF($U10="","",IF(SUM(CG10:CI10)&gt;0,"X",IF(CK10&gt;0,"?",""))),"")</f>
        <v/>
      </c>
      <c r="CM10" s="102"/>
      <c r="CN10" s="112" t="s">
        <v>623</v>
      </c>
      <c r="CO10" s="112" t="s">
        <v>522</v>
      </c>
      <c r="CP10" s="112" t="s">
        <v>523</v>
      </c>
      <c r="CQ10" s="112" t="s">
        <v>624</v>
      </c>
      <c r="CR10" s="112" t="s">
        <v>625</v>
      </c>
      <c r="CS10" s="112" t="s">
        <v>525</v>
      </c>
      <c r="CT10" s="112" t="s">
        <v>526</v>
      </c>
      <c r="CU10" s="112" t="s">
        <v>527</v>
      </c>
      <c r="CV10" s="113" t="s">
        <v>528</v>
      </c>
      <c r="CX10" s="36">
        <v>1</v>
      </c>
    </row>
    <row r="11" spans="1:102" ht="21" customHeight="1" x14ac:dyDescent="0.25">
      <c r="A11" s="135">
        <v>5</v>
      </c>
      <c r="B11" s="136" t="s">
        <v>290</v>
      </c>
      <c r="C11" s="137" t="str">
        <f t="shared" si="0"/>
        <v>Bouillon de volaille</v>
      </c>
      <c r="D11" s="138" t="str">
        <f>IF(11=11,IF($B11="","",IF(E11="X",""&amp;"Céréales contenant du gluten","")&amp;IF(F11="X",IF(COUNTIF($E11:$E11,"X")&gt;0,", ","")&amp;"Crustacés","")&amp;IF(G11="X",IF(COUNTIF($E11:$F11,"X")&gt;0,", ","")&amp;"Œufs","")&amp;IF(H11="X",IF(COUNTIF($E11:$G11,"X")&gt;0,", ","")&amp;"Poissons","")&amp;IF(I11="X",IF(COUNTIF($E11:$H11,"X")&gt;0,", ","")&amp;"Arachides","")&amp;IF(J11="X",IF(COUNTIF($E11:$I11,"X")&gt;0,", ","")&amp;"Soja","")&amp;IF(K11="X",IF(COUNTIF($E11:$J11,"X")&gt;0,", ","")&amp;"Lait","")&amp;IF(L11="X",IF(COUNTIF($E11:$K11,"X")&gt;0,", ","")&amp;"Fruits à coque","")&amp;IF(M11="X",IF(COUNTIF($E11:$L11,"X")&gt;0,", ","")&amp;"Céleri","")&amp;IF(N11="X",IF(COUNTIF($E11:$M11,"X")&gt;0,", ","")&amp;"Moutarde","")&amp;IF(O11="X",IF(COUNTIF($E11:$N11,"X")&gt;0,", ","")&amp;"Sésame","")&amp;IF(P11="X",IF(COUNTIF($E11:$O11,"X")&gt;0,", ","")&amp;"Sulfites","")&amp;IF(Q11="X",IF(COUNTIF($E11:$P11,"X")&gt;0,", ","")&amp;"Lupin","")&amp;IF(R11="X",IF(COUNTIF($E11:$Q11,"X")&gt;0,", ","")&amp;"Mollusques","")),"")</f>
        <v/>
      </c>
      <c r="E11" s="139" t="str">
        <f>IF(11=11,IF($B11="","",AF11),"")</f>
        <v/>
      </c>
      <c r="F11" s="139" t="str">
        <f>IF(11=11,IF($B11="","",AI11),"")</f>
        <v/>
      </c>
      <c r="G11" s="139" t="str">
        <f>IF(11=11,IF($B11="","",AM11),"")</f>
        <v/>
      </c>
      <c r="H11" s="139" t="str">
        <f>IF(11=11,IF($B11="","",IF(ISNUMBER(SEARCH(" colin ",$AA11)),"X",AZ11)),"")</f>
        <v/>
      </c>
      <c r="I11" s="139" t="str">
        <f>IF(11=11,IF($B11="","",BB11),"")</f>
        <v/>
      </c>
      <c r="J11" s="139" t="str">
        <f>IF(11=11,IF($B11="","",BF11),"")</f>
        <v/>
      </c>
      <c r="K11" s="139" t="str">
        <f>IF(11=11,IF($B11="","",BM11),"")</f>
        <v/>
      </c>
      <c r="L11" s="139" t="str">
        <f>IF(11=11,IF($B11="","",BQ11),"")</f>
        <v/>
      </c>
      <c r="M11" s="139" t="str">
        <f>IF(11=11,IF($B11="","",BT11),"")</f>
        <v/>
      </c>
      <c r="N11" s="139" t="str">
        <f>IF(11=11,IF($B11="","",BW11),"")</f>
        <v/>
      </c>
      <c r="O11" s="139" t="str">
        <f>IF(11=11,IF($B11="","",BZ11),"")</f>
        <v/>
      </c>
      <c r="P11" s="139" t="str">
        <f>IF(11=11,IF($B11="","",CC11),"")</f>
        <v/>
      </c>
      <c r="Q11" s="139" t="str">
        <f>IF(11=11,IF($B11="","",CF11),"")</f>
        <v/>
      </c>
      <c r="R11" s="139" t="str">
        <f>IF(11=11,IF($B11="","",CL11),"")</f>
        <v/>
      </c>
      <c r="S11" s="140" t="str">
        <f>IF(11=11,IF($B11="","",IF(E11="?",""&amp;"Céréales contenant du gluten","")&amp;IF(F11="?",IF(COUNTIF($E11:$E11,"~?")&gt;0,", ","")&amp;"Crustacés","")&amp;IF(G11="?",IF(COUNTIF($E11:$F11,"~?")&gt;0,", ","")&amp;"Œufs","")&amp;IF(H11="?",IF(COUNTIF($E11:$G11,"~?")&gt;0,", ","")&amp;"Poissons","")&amp;IF(I11="?",IF(COUNTIF($E11:$H11,"~?")&gt;0,", ","")&amp;"Arachides","")&amp;IF(J11="?",IF(COUNTIF($E11:$I11,"~?")&gt;0,", ","")&amp;"Soja","")&amp;IF(K11="?",IF(COUNTIF($E11:$J11,"~?")&gt;0,", ","")&amp;"Lait","")&amp;IF(L11="?",IF(COUNTIF($E11:$K11,"~?")&gt;0,", ","")&amp;"Fruits à coque","")&amp;IF(M11="?",IF(COUNTIF($E11:$L11,"~?")&gt;0,", ","")&amp;"Céleri","")&amp;IF(N11="?",IF(COUNTIF($E11:$M11,"~?")&gt;0,", ","")&amp;"Moutarde","")&amp;IF(O11="?",IF(COUNTIF($E11:$N11,"~?")&gt;0,", ","")&amp;"Sésame","")&amp;IF(P11="?",IF(COUNTIF($E11:$O11,"~?")&gt;0,", ","")&amp;"Sulfites","")&amp;IF(Q11="?",IF(COUNTIF($E11:$P11,"~?")&gt;0,", ","")&amp;"Lupin","")&amp;IF(R11="?",IF(COUNTIF($E11:$Q11,"~?")&gt;0,", ","")&amp;"Mollusques","")),"")</f>
        <v/>
      </c>
      <c r="U11" s="93" t="str">
        <f>IF(11=11,IF($B11="","",$B11),"")</f>
        <v>Bouillon de volaille</v>
      </c>
      <c r="V11" s="93" t="str">
        <f>IF(11=11,LOWER(CLEAN(SUBSTITUTE(SUBSTITUTE(SUBSTITUTE(SUBSTITUTE($U11,CHAR(160)," ")," "," "),CHAR(10)," "),CHAR(13)," "))),"")</f>
        <v>bouillon de volaille</v>
      </c>
      <c r="W11" s="93" t="str">
        <f>IF(11=11,SUBSTITUTE(SUBSTITUTE(SUBSTITUTE(SUBSTITUTE(SUBSTITUTE(SUBSTITUTE(SUBSTITUTE(SUBSTITUTE(SUBSTITUTE(SUBSTITUTE(SUBSTITUTE(SUBSTITUTE($V11,"œ","oe"),"æ","ae"),"à","a"),"á","a"),"â","a"),"ä","a"),"ã","a"),"ç","c"),"è","e"),"é","e"),"ê","e"),"ë","e"),"")</f>
        <v>bouillon de volaille</v>
      </c>
      <c r="X11" s="93" t="str">
        <f>IF(11=11,SUBSTITUTE(SUBSTITUTE(SUBSTITUTE(SUBSTITUTE(SUBSTITUTE(SUBSTITUTE(SUBSTITUTE(SUBSTITUTE(SUBSTITUTE(SUBSTITUTE(SUBSTITUTE(SUBSTITUTE(SUBSTITUTE(SUBSTITUTE(SUBSTITUTE(SUBSTITUTE($W11,"ì","i"),"í","i"),"î","i"),"ï","i"),"ñ","n"),"ò","o"),"ó","o"),"ô","o"),"ö","o"),"õ","o"),"ù","u"),"ú","u"),"û","u"),"ü","u"),"ý","y"),"ÿ","y"),"")</f>
        <v>bouillon de volaille</v>
      </c>
      <c r="Y11" s="93" t="str">
        <f>IF(11=11,SUBSTITUTE(SUBSTITUTE(SUBSTITUTE(SUBSTITUTE(SUBSTITUTE(SUBSTITUTE(SUBSTITUTE(SUBSTITUTE(SUBSTITUTE(SUBSTITUTE(SUBSTITUTE(SUBSTITUTE(SUBSTITUTE(SUBSTITUTE($X11,"’"," "),"`"," "),"–"," "),"—"," "),"-"," "),"'"," "),"/"," "),"_"," "),","," "),"."," "),"("," "),")"," "),";"," "),":"," "),"")</f>
        <v>bouillon de volaille</v>
      </c>
      <c r="Z11" s="93" t="str">
        <f>IF(11=11,SUBSTITUTE(SUBSTITUTE(SUBSTITUTE(SUBSTITUTE(SUBSTITUTE(SUBSTITUTE(SUBSTITUTE(SUBSTITUTE(SUBSTITUTE(SUBSTITUTE(SUBSTITUTE(SUBSTITUTE(SUBSTITUTE(SUBSTITUTE(SUBSTITUTE($Y11,"!"," "),"?"," "),"+"," "),"*"," "),"&amp;"," "),"["," "),"]"," "),"{"," "),"}"," "),"%"," "),"="," "),"\"," "),"|"," "),"&lt;"," "),"&gt;"," "),"")</f>
        <v>bouillon de volaille</v>
      </c>
      <c r="AA11" s="93" t="str">
        <f>IF(11=11," "&amp;TRIM(SUBSTITUTE(SUBSTITUTE(SUBSTITUTE(SUBSTITUTE(SUBSTITUTE(SUBSTITUTE($Z11,CHAR(34)," "),"  "," "),"  "," "),"  "," "),"  "," "),"  "," "))&amp;" ","")</f>
        <v xml:space="preserve"> bouillon de volaille </v>
      </c>
      <c r="AB11" s="93">
        <f>IF(11=11,IF($U11="","",SUMPRODUCT(--ISNUMBER(SEARCH(" "&amp;$CR$2:$CR$101&amp;" ",$AD11)))),"")</f>
        <v>0</v>
      </c>
      <c r="AC11" s="93">
        <f>IF(11=11,IF($U11="","",SUMPRODUCT(--ISNUMBER(SEARCH(" "&amp;$CR$102:$CR$151&amp;" ",$AD11)))),"")</f>
        <v>0</v>
      </c>
      <c r="AD11" s="93" t="str">
        <f t="shared" si="1"/>
        <v xml:space="preserve"> bouillon de volaille </v>
      </c>
      <c r="AE11" s="93">
        <f t="shared" si="2"/>
        <v>0</v>
      </c>
      <c r="AF11" s="93" t="str">
        <f>IF(11=11,IF($U11="","",IF(SUM(AB11:AC11)+SUMPRODUCT(--ISNUMBER(SEARCH(" "&amp;$CR$2418:$CR$2420&amp;" ",$AD11)))&gt;0,"X",IF(AE11&gt;0,"?",""))),"")</f>
        <v/>
      </c>
      <c r="AG11" s="93">
        <f>IF(11=11,IF($U11="","",SUMPRODUCT(--ISNUMBER(SEARCH(" "&amp;$CR$206:$CR$305&amp;" ",$AA11)))),"")</f>
        <v>0</v>
      </c>
      <c r="AH11" s="93">
        <f>IF(11=11,IF($U11="","",SUMPRODUCT(--ISNUMBER(SEARCH(" "&amp;$CR$306:$CR$340&amp;" ",$AA11)))),"")</f>
        <v>0</v>
      </c>
      <c r="AI11" s="93" t="str">
        <f>IF(11=11,IF($U11="","",IF((SUM(AG11:AH11))-(0)&gt;0,"X",IF((0)-(0)&gt;0,"?",""))),"")</f>
        <v/>
      </c>
      <c r="AJ11" s="93">
        <f>IF(11=11,IF($U11="","",SUMPRODUCT(--ISNUMBER(SEARCH(" "&amp;$CR$341:$CR$398&amp;" ",$AA11)))),"")</f>
        <v>0</v>
      </c>
      <c r="AK11" s="93">
        <f>IF(11=11,IF($U11="","",SUMPRODUCT(--ISNUMBER(SEARCH(" "&amp;$CR$399:$CR$426&amp;" ",$AL11)))+SUMPRODUCT(--ISNUMBER(SEARCH(" "&amp;$CR$2440:$CR$2453&amp;" ",$AL11)))),"")</f>
        <v>0</v>
      </c>
      <c r="AL11" s="93" t="str">
        <f>IF(11=11,IF($U11="","",SUBSTITUTE(SUBSTITUTE(SUBSTITUTE(SUBSTITUTE(SUBSTITUTE(SUBSTITUTE(SUBSTITUTE(SUBSTITUTE(SUBSTITUTE(SUBSTITUTE(SUBSTITUTE(SUBSTITUTE(SUBSTITUTE(SUBSTITUTE($AA11," "&amp;$CR$2455&amp;" "," ")," "&amp;$CR$433&amp;" "," ")," "&amp;$CR$431&amp;" "," ")," "&amp;$CR$2438&amp;" "," ")," "&amp;$CR$2439&amp;" "," ")," "&amp;$CR$428&amp;" "," ")," "&amp;$CR$432&amp;" "," ")," "&amp;$CR$434&amp;" "," ")," "&amp;$CR$429&amp;" "," ")," "&amp;$CR$427&amp;" "," ")," "&amp;$CR$1367&amp;" "," ")," "&amp;$CR$435&amp;" "," ")," "&amp;$CR$1366&amp;" "," ")," "&amp;$CR$430&amp;" "," ")),"")</f>
        <v xml:space="preserve"> bouillon de volaille </v>
      </c>
      <c r="AM11" s="93" t="str">
        <f>IF(11=11,IF($U11="","",IF(AJ11&gt;0,"X",IF(AK11&gt;0,"?",""))),"")</f>
        <v/>
      </c>
      <c r="AN11" s="93">
        <f>IF(11=11,IF($U11="","",SUMPRODUCT(--ISNUMBER(SEARCH(" "&amp;$CR$436:$CR$535&amp;" ",$AX11)))),"")</f>
        <v>0</v>
      </c>
      <c r="AO11" s="93">
        <f>IF(11=11,IF($U11="","",SUMPRODUCT(--ISNUMBER(SEARCH(" "&amp;$CR$536:$CR$635&amp;" ",$AX11)))),"")</f>
        <v>0</v>
      </c>
      <c r="AP11" s="93">
        <f>IF(11=11,IF($U11="","",SUMPRODUCT(--ISNUMBER(SEARCH(" "&amp;$CR$636:$CR$735&amp;" ",$AX11)))),"")</f>
        <v>0</v>
      </c>
      <c r="AQ11" s="93">
        <f>IF(11=11,IF($U11="","",SUMPRODUCT(--ISNUMBER(SEARCH(" "&amp;$CR$736:$CR$835&amp;" ",$AX11)))),"")</f>
        <v>0</v>
      </c>
      <c r="AR11" s="93">
        <f>IF(11=11,IF($U11="","",SUMPRODUCT(--ISNUMBER(SEARCH(" "&amp;$CR$836:$CR$935&amp;" ",$AX11)))),"")</f>
        <v>0</v>
      </c>
      <c r="AS11" s="93">
        <f>IF(11=11,IF($U11="","",SUMPRODUCT(--ISNUMBER(SEARCH(" "&amp;$CR$936:$CR$1035&amp;" ",$AX11)))),"")</f>
        <v>0</v>
      </c>
      <c r="AT11" s="93">
        <f>IF(11=11,IF($U11="","",SUMPRODUCT(--ISNUMBER(SEARCH(" "&amp;$CR$1036:$CR$1135&amp;" ",$AX11)))),"")</f>
        <v>0</v>
      </c>
      <c r="AU11" s="93">
        <f>IF(11=11,IF($U11="","",SUMPRODUCT(--ISNUMBER(SEARCH(" "&amp;$CR$1136:$CR$1235&amp;" ",$AX11)))),"")</f>
        <v>0</v>
      </c>
      <c r="AV11" s="93">
        <f>IF(11=11,IF($U11="","",SUMPRODUCT(--ISNUMBER(SEARCH(" "&amp;$CR$1236:$CR$1335&amp;" ",$AX11)))),"")</f>
        <v>0</v>
      </c>
      <c r="AW11" s="93">
        <f>IF(11=11,IF($U11="","",SUMPRODUCT(--ISNUMBER(SEARCH(" "&amp;$CR$1336:$CR$1363&amp;" ",$AX11)))),"")</f>
        <v>0</v>
      </c>
      <c r="AX11" s="93" t="str">
        <f>IF(11=11,IF($U11="","",SUBSTITUTE(SUBSTITUTE(SUBSTITUTE(SUBSTITUTE(SUBSTITUTE(SUBSTITUTE(SUBSTITUTE(SUBSTITUTE(SUBSTITUTE($AA11," "&amp;$CR$1365&amp;" "," ")," "&amp;$CR$1364&amp;" "," ")," "&amp;$CR$1370&amp;" "," ")," "&amp;$CR$1371&amp;" "," ")," "&amp;$CR$1367&amp;" "," ")," "&amp;$CR$1369&amp;" "," ")," "&amp;$CR$1366&amp;" "," ")," "&amp;$CR$1368&amp;" "," ")," "&amp;$CR$1372&amp;" "," ")),"")</f>
        <v xml:space="preserve"> bouillon de volaille </v>
      </c>
      <c r="AY11" s="93">
        <f>IF(11=11,IF($U11="","",SUMPRODUCT(--ISNUMBER(SEARCH(" "&amp;$CR$1373:$CR$1383&amp;" ",$AX11)))),"")</f>
        <v>0</v>
      </c>
      <c r="AZ11" s="93" t="str">
        <f>IF(11=11,IF($U11="","",IF(SUM(AN11:AW11)+SUMPRODUCT(--ISNUMBER(SEARCH(" "&amp;$CR$2421:$CR$2422&amp;" ",$AX11)))&gt;0,"X",IF(AY11&gt;0,"?",""))),"")</f>
        <v/>
      </c>
      <c r="BA11" s="93">
        <f>IF(11=11,IF($U11="","",SUMPRODUCT(--ISNUMBER(SEARCH(" "&amp;$CR$1384:$CR$1404&amp;" ",$AA11)))),"")</f>
        <v>0</v>
      </c>
      <c r="BB11" s="93" t="str">
        <f>IF(11=11,IF($U11="","",IF((BA11)-(0)&gt;0,"X",IF((0)-(0)&gt;0,"?",""))),"")</f>
        <v/>
      </c>
      <c r="BC11" s="93">
        <f>IF(11=11,IF($U11="","",SUMPRODUCT(--ISNUMBER(SEARCH(" "&amp;$CR$1405:$CR$1442&amp;" ",$BD11)))),"")</f>
        <v>0</v>
      </c>
      <c r="BD11" s="93" t="str">
        <f>IF(11=11,IF($U11="","",SUBSTITUTE(SUBSTITUTE($AA11," "&amp;$CR$1443&amp;" "," ")," "&amp;$CR$1444&amp;" "," ")),"")</f>
        <v xml:space="preserve"> bouillon de volaille </v>
      </c>
      <c r="BE11" s="93">
        <f>IF(11=11,IF($U11="","",SUMPRODUCT(--ISNUMBER(SEARCH(" "&amp;$CR$1445:$CR$1455&amp;" ",$BD11)))),"")</f>
        <v>0</v>
      </c>
      <c r="BF11" s="93" t="str">
        <f>IF(11=11,IF($U11="","",IF(BC11&gt;0,"X",IF(BE11&gt;0,"?",""))),"")</f>
        <v/>
      </c>
      <c r="BG11" s="93">
        <f>IF(11=11,IF($U11="","",SUMPRODUCT(--ISNUMBER(SEARCH(" "&amp;$CR$1456:$CR$1555&amp;" ",$BJ11)))),"")</f>
        <v>0</v>
      </c>
      <c r="BH11" s="93">
        <f>IF(11=11,IF($U11="","",SUMPRODUCT(--ISNUMBER(SEARCH(" "&amp;$CR$1556:$CR$1655&amp;" ",$BJ11)))),"")</f>
        <v>0</v>
      </c>
      <c r="BI11" s="93">
        <f>IF(11=11,IF($U11="","",SUMPRODUCT(--ISNUMBER(SEARCH(" "&amp;$CR$1656:$CR$1739&amp;" ",$BJ11)))),"")</f>
        <v>0</v>
      </c>
      <c r="BJ11" s="93" t="str">
        <f>IF(11=11,IF($U11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11,"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bouillon de volaille </v>
      </c>
      <c r="BK11" s="93">
        <f>IF(11=11,IF($U11="","",SUMPRODUCT(--ISNUMBER(SEARCH(" "&amp;$CR$1790:$CR$1869&amp;" ",$BL11)))+SUMPRODUCT(--ISNUMBER(SEARCH(" "&amp;$CR$2440:$CR$2453&amp;" ",$BL11)))),"")</f>
        <v>0</v>
      </c>
      <c r="BL11" s="93" t="str">
        <f>IF(11=11,IF($U11="","",SUBSTITUTE(SUBSTITUTE(SUBSTITUTE(SUBSTITUTE(SUBSTITUTE(SUBSTITUTE(SUBSTITUTE(SUBSTITUTE(SUBSTITUTE(SUBSTITUTE(SUBSTITUTE(SUBSTITUTE(SUBSTITUTE($BJ11," "&amp;$CR$1876&amp;" "," ")," "&amp;$CR$1874&amp;" "," ")," "&amp;$CR$2438&amp;" "," ")," "&amp;$CR$2439&amp;" "," ")," "&amp;$CR$1871&amp;" "," ")," "&amp;$CR$1875&amp;" "," ")," "&amp;$CR$1877&amp;" "," ")," "&amp;$CR$1872&amp;" "," ")," "&amp;$CR$1870&amp;" "," ")," "&amp;$CR$1367&amp;" "," ")," "&amp;$CR$1878&amp;" "," ")," "&amp;$CR$1366&amp;" "," ")," "&amp;$CR$1873&amp;" "," ")),"")</f>
        <v xml:space="preserve"> bouillon de volaille </v>
      </c>
      <c r="BM11" s="93" t="str">
        <f>IF(11=11,IF($U11="","",IF(SUM(BG11:BI11)+SUMPRODUCT(--ISNUMBER(SEARCH(" "&amp;$CR$2423:$CR$2424&amp;" ",$BJ11)))&gt;0,"X",IF(BK11&gt;0,"?",""))),"")</f>
        <v/>
      </c>
      <c r="BN11" s="93">
        <f>IF(11=11,IF($U11="","",SUMPRODUCT(--ISNUMBER(SEARCH(" "&amp;$CR$1879:$CR$1936&amp;" ",$BO11)))),"")</f>
        <v>0</v>
      </c>
      <c r="BO11" s="93" t="str">
        <f>IF(11=11,IF($U11="","",SUBSTITUTE(SUBSTITUTE(SUBSTITUTE(SUBSTITUTE(SUBSTITUTE(SUBSTITUTE(SUBSTITUTE(SUBSTITUTE(SUBSTITUTE(SUBSTITUTE(SUBSTITUTE(SUBSTITUTE(SUBSTITUTE(SUBSTITUTE(SUBSTITUTE(SUBSTITUTE(SUBSTITUTE(SUBSTITUTE(SUBSTITUTE(SUBSTITUTE(SUBSTITUTE(SUBSTITUTE(SUBSTITUTE($AA11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bouillon de volaille </v>
      </c>
      <c r="BP11" s="93">
        <f>IF(11=11,IF($U11="","",SUMPRODUCT(--ISNUMBER(SEARCH(" "&amp;$CR$1960:$CR$1976&amp;" ",$BO11)))),"")</f>
        <v>0</v>
      </c>
      <c r="BQ11" s="93" t="str">
        <f>IF(11=11,IF($U11="","",IF(BN11&gt;0,"X",IF(BP11&gt;0,"?",""))),"")</f>
        <v/>
      </c>
      <c r="BR11" s="93">
        <f>IF(11=11,IF($U11="","",SUMPRODUCT(--ISNUMBER(SEARCH(" "&amp;$CR$1977:$CR$1990&amp;" ",$AA11)))),"")</f>
        <v>0</v>
      </c>
      <c r="BS11" s="93">
        <f>IF(11=11,IF($U11="","",SUMPRODUCT(--ISNUMBER(SEARCH(" "&amp;$CR$1991:$CR$2005&amp;" ",$AA11)))),"")</f>
        <v>0</v>
      </c>
      <c r="BT11" s="93" t="str">
        <f>IF(11=11,IF($U11="","",IF((BR11)-(0)&gt;0,"X",IF((BS11)-(0)&gt;0,"?",""))),"")</f>
        <v/>
      </c>
      <c r="BU11" s="93">
        <f>IF(11=11,IF($U11="","",SUMPRODUCT(--ISNUMBER(SEARCH(" "&amp;$CR$2006:$CR$2023&amp;" ",$AA11)))),"")</f>
        <v>0</v>
      </c>
      <c r="BV11" s="93">
        <f>IF(11=11,IF($U11="","",SUMPRODUCT(--ISNUMBER(SEARCH(" "&amp;$CR$2024:$CR$2038&amp;" ",$AA11)))),"")</f>
        <v>0</v>
      </c>
      <c r="BW11" s="93" t="str">
        <f>IF(11=11,IF($U11="","",IF((BU11)-(0)&gt;0,"X",IF((BV11)-(0)&gt;0,"?",""))),"")</f>
        <v/>
      </c>
      <c r="BX11" s="93">
        <f>IF(11=11,IF($U11="","",SUMPRODUCT(--ISNUMBER(SEARCH(" "&amp;$CR$2039:$CR$2057&amp;" ",$AA11)))),"")</f>
        <v>0</v>
      </c>
      <c r="BY11" s="93">
        <f>IF(11=11,IF($U11="","",SUMPRODUCT(--ISNUMBER(SEARCH(" "&amp;$CR$2058:$CR$2072&amp;" ",$AA11)))),"")</f>
        <v>0</v>
      </c>
      <c r="BZ11" s="93" t="str">
        <f>IF(11=11,IF($U11="","",IF((BX11)-(0)&gt;0,"X",IF((BY11)-(0)&gt;0,"?",""))),"")</f>
        <v/>
      </c>
      <c r="CA11" s="93">
        <f>IF(11=11,IF($U11="","",SUMPRODUCT(--ISNUMBER(SEARCH(" "&amp;$CR$2073:$CR$2093&amp;" ",$AA11)))),"")</f>
        <v>0</v>
      </c>
      <c r="CB11" s="93">
        <f>IF(11=11,IF($U11="","",SUMPRODUCT(--ISNUMBER(SEARCH(" "&amp;$CR$2094:$CR$2133&amp;" ",SUBSTITUTE(SUBSTITUTE($AA11," "&amp;$CR$1367&amp;" "," ")," "&amp;$CR$1366&amp;" "," "))))+--ISNUMBER(SEARCH("poiré",$V11))),"")</f>
        <v>0</v>
      </c>
      <c r="CC11" s="93" t="str">
        <f>IF(11=11,IF($U11="","",IF(OR(CA11&gt;0,ISNUMBER(SEARCH(" vinaigre de vin ",$AA11)),ISNUMBER(SEARCH(" vinaigre au vin ",$AA11))),"X",IF(CB11&gt;0,"?",""))),"")</f>
        <v/>
      </c>
      <c r="CD11" s="93">
        <f>IF(11=11,IF($U11="","",SUMPRODUCT(--ISNUMBER(SEARCH(" "&amp;$CR$2134:$CR$2146&amp;" ",$AA11)))),"")</f>
        <v>0</v>
      </c>
      <c r="CE11" s="93">
        <f>IF(11=11,IF($U11="","",SUMPRODUCT(--ISNUMBER(SEARCH(" "&amp;$CR$2147:$CR$2152&amp;" ",$AA11)))),"")</f>
        <v>0</v>
      </c>
      <c r="CF11" s="93" t="str">
        <f>IF(11=11,IF($U11="","",IF((CD11)-(0)&gt;0,"X",IF((CE11)-(0)&gt;0,"?",""))),"")</f>
        <v/>
      </c>
      <c r="CG11" s="93">
        <f>IF(11=11,IF($U11="","",SUMPRODUCT(--ISNUMBER(SEARCH(" "&amp;$CR$2153:$CR$2252&amp;" ",$CJ11)))),"")</f>
        <v>0</v>
      </c>
      <c r="CH11" s="93">
        <f>IF(11=11,IF($U11="","",SUMPRODUCT(--ISNUMBER(SEARCH(" "&amp;$CR$2253:$CR$2352&amp;" ",$CJ11)))),"")</f>
        <v>0</v>
      </c>
      <c r="CI11" s="93">
        <f>IF(11=11,IF($U11="","",SUMPRODUCT(--ISNUMBER(SEARCH(" "&amp;$CR$2353:$CR$2395&amp;" ",$CJ11)))),"")</f>
        <v>0</v>
      </c>
      <c r="CJ11" s="93" t="str">
        <f>IF(11=11,IF($U11="","",SUBSTITUTE(SUBSTITUTE(SUBSTITUTE(SUBSTITUTE(SUBSTITUTE(SUBSTITUTE(SUBSTITUTE(SUBSTITUTE(SUBSTITUTE(SUBSTITUTE(SUBSTITUTE(SUBSTITUTE(SUBSTITUTE(SUBSTITUTE(SUBSTITUTE(SUBSTITUTE($AA11," "&amp;$CR$2401&amp;" "," ")," "&amp;$CR$2400&amp;" "," ")," "&amp;$CR$2399&amp;" "," ")," "&amp;$CR$2406&amp;" "," ")," "&amp;$CR$2398&amp;" "," ")," "&amp;$CR$2410&amp;" "," ")," "&amp;$CR$2397&amp;" "," ")," "&amp;$CR$2402&amp;" "," ")," "&amp;$CR$2405&amp;" "," ")," "&amp;$CR$2396&amp;" "," ")," "&amp;$CR$2404&amp;" "," ")," "&amp;$CR$2411&amp;" "," ")," "&amp;$CR$2408&amp;" "," ")," "&amp;$CR$2403&amp;" "," ")," "&amp;$CR$2407&amp;" "," ")," "&amp;$CR$2409&amp;" "," ")),"")</f>
        <v xml:space="preserve"> bouillon de volaille </v>
      </c>
      <c r="CK11" s="93">
        <f>IF(11=11,IF($U11="","",SUMPRODUCT(--ISNUMBER(SEARCH(" "&amp;$CR$2412:$CR$2416&amp;" ",$CJ11)))),"")</f>
        <v>0</v>
      </c>
      <c r="CL11" s="93" t="str">
        <f>IF(11=11,IF($U11="","",IF(SUM(CG11:CI11)&gt;0,"X",IF(CK11&gt;0,"?",""))),"")</f>
        <v/>
      </c>
      <c r="CM11" s="102"/>
      <c r="CN11" s="112" t="s">
        <v>626</v>
      </c>
      <c r="CO11" s="112" t="s">
        <v>522</v>
      </c>
      <c r="CP11" s="112" t="s">
        <v>523</v>
      </c>
      <c r="CQ11" s="112" t="s">
        <v>627</v>
      </c>
      <c r="CR11" s="112" t="s">
        <v>627</v>
      </c>
      <c r="CS11" s="112" t="s">
        <v>525</v>
      </c>
      <c r="CT11" s="112" t="s">
        <v>526</v>
      </c>
      <c r="CU11" s="112" t="s">
        <v>527</v>
      </c>
      <c r="CV11" s="113" t="s">
        <v>528</v>
      </c>
      <c r="CX11" s="36">
        <v>1</v>
      </c>
    </row>
    <row r="12" spans="1:102" ht="21" customHeight="1" x14ac:dyDescent="0.25">
      <c r="A12" s="135">
        <v>6</v>
      </c>
      <c r="B12" s="136" t="s">
        <v>5853</v>
      </c>
      <c r="C12" s="137" t="str">
        <f t="shared" si="0"/>
        <v>Bulbes de fenouil</v>
      </c>
      <c r="D12" s="138" t="str">
        <f>IF(12=12,IF($B12="","",IF(E12="X",""&amp;"Céréales contenant du gluten","")&amp;IF(F12="X",IF(COUNTIF($E12:$E12,"X")&gt;0,", ","")&amp;"Crustacés","")&amp;IF(G12="X",IF(COUNTIF($E12:$F12,"X")&gt;0,", ","")&amp;"Œufs","")&amp;IF(H12="X",IF(COUNTIF($E12:$G12,"X")&gt;0,", ","")&amp;"Poissons","")&amp;IF(I12="X",IF(COUNTIF($E12:$H12,"X")&gt;0,", ","")&amp;"Arachides","")&amp;IF(J12="X",IF(COUNTIF($E12:$I12,"X")&gt;0,", ","")&amp;"Soja","")&amp;IF(K12="X",IF(COUNTIF($E12:$J12,"X")&gt;0,", ","")&amp;"Lait","")&amp;IF(L12="X",IF(COUNTIF($E12:$K12,"X")&gt;0,", ","")&amp;"Fruits à coque","")&amp;IF(M12="X",IF(COUNTIF($E12:$L12,"X")&gt;0,", ","")&amp;"Céleri","")&amp;IF(N12="X",IF(COUNTIF($E12:$M12,"X")&gt;0,", ","")&amp;"Moutarde","")&amp;IF(O12="X",IF(COUNTIF($E12:$N12,"X")&gt;0,", ","")&amp;"Sésame","")&amp;IF(P12="X",IF(COUNTIF($E12:$O12,"X")&gt;0,", ","")&amp;"Sulfites","")&amp;IF(Q12="X",IF(COUNTIF($E12:$P12,"X")&gt;0,", ","")&amp;"Lupin","")&amp;IF(R12="X",IF(COUNTIF($E12:$Q12,"X")&gt;0,", ","")&amp;"Mollusques","")),"")</f>
        <v/>
      </c>
      <c r="E12" s="139" t="str">
        <f>IF(12=12,IF($B12="","",AF12),"")</f>
        <v/>
      </c>
      <c r="F12" s="139" t="str">
        <f>IF(12=12,IF($B12="","",AI12),"")</f>
        <v/>
      </c>
      <c r="G12" s="139" t="str">
        <f>IF(12=12,IF($B12="","",AM12),"")</f>
        <v/>
      </c>
      <c r="H12" s="139" t="str">
        <f>IF(12=12,IF($B12="","",IF(ISNUMBER(SEARCH(" colin ",$AA12)),"X",AZ12)),"")</f>
        <v/>
      </c>
      <c r="I12" s="139" t="str">
        <f>IF(12=12,IF($B12="","",BB12),"")</f>
        <v/>
      </c>
      <c r="J12" s="139" t="str">
        <f>IF(12=12,IF($B12="","",BF12),"")</f>
        <v/>
      </c>
      <c r="K12" s="139" t="str">
        <f>IF(12=12,IF($B12="","",BM12),"")</f>
        <v/>
      </c>
      <c r="L12" s="139" t="str">
        <f>IF(12=12,IF($B12="","",BQ12),"")</f>
        <v/>
      </c>
      <c r="M12" s="139" t="str">
        <f>IF(12=12,IF($B12="","",BT12),"")</f>
        <v/>
      </c>
      <c r="N12" s="139" t="str">
        <f>IF(12=12,IF($B12="","",BW12),"")</f>
        <v/>
      </c>
      <c r="O12" s="139" t="str">
        <f>IF(12=12,IF($B12="","",BZ12),"")</f>
        <v/>
      </c>
      <c r="P12" s="139" t="str">
        <f>IF(12=12,IF($B12="","",CC12),"")</f>
        <v/>
      </c>
      <c r="Q12" s="139" t="str">
        <f>IF(12=12,IF($B12="","",CF12),"")</f>
        <v/>
      </c>
      <c r="R12" s="139" t="str">
        <f>IF(12=12,IF($B12="","",CL12),"")</f>
        <v/>
      </c>
      <c r="S12" s="140" t="str">
        <f>IF(12=12,IF($B12="","",IF(E12="?",""&amp;"Céréales contenant du gluten","")&amp;IF(F12="?",IF(COUNTIF($E12:$E12,"~?")&gt;0,", ","")&amp;"Crustacés","")&amp;IF(G12="?",IF(COUNTIF($E12:$F12,"~?")&gt;0,", ","")&amp;"Œufs","")&amp;IF(H12="?",IF(COUNTIF($E12:$G12,"~?")&gt;0,", ","")&amp;"Poissons","")&amp;IF(I12="?",IF(COUNTIF($E12:$H12,"~?")&gt;0,", ","")&amp;"Arachides","")&amp;IF(J12="?",IF(COUNTIF($E12:$I12,"~?")&gt;0,", ","")&amp;"Soja","")&amp;IF(K12="?",IF(COUNTIF($E12:$J12,"~?")&gt;0,", ","")&amp;"Lait","")&amp;IF(L12="?",IF(COUNTIF($E12:$K12,"~?")&gt;0,", ","")&amp;"Fruits à coque","")&amp;IF(M12="?",IF(COUNTIF($E12:$L12,"~?")&gt;0,", ","")&amp;"Céleri","")&amp;IF(N12="?",IF(COUNTIF($E12:$M12,"~?")&gt;0,", ","")&amp;"Moutarde","")&amp;IF(O12="?",IF(COUNTIF($E12:$N12,"~?")&gt;0,", ","")&amp;"Sésame","")&amp;IF(P12="?",IF(COUNTIF($E12:$O12,"~?")&gt;0,", ","")&amp;"Sulfites","")&amp;IF(Q12="?",IF(COUNTIF($E12:$P12,"~?")&gt;0,", ","")&amp;"Lupin","")&amp;IF(R12="?",IF(COUNTIF($E12:$Q12,"~?")&gt;0,", ","")&amp;"Mollusques","")),"")</f>
        <v/>
      </c>
      <c r="U12" s="93" t="str">
        <f>IF(12=12,IF($B12="","",$B12),"")</f>
        <v>Bulbes de fenouil</v>
      </c>
      <c r="V12" s="93" t="str">
        <f>IF(12=12,LOWER(CLEAN(SUBSTITUTE(SUBSTITUTE(SUBSTITUTE(SUBSTITUTE($U12,CHAR(160)," ")," "," "),CHAR(10)," "),CHAR(13)," "))),"")</f>
        <v>bulbes de fenouil</v>
      </c>
      <c r="W12" s="93" t="str">
        <f>IF(12=12,SUBSTITUTE(SUBSTITUTE(SUBSTITUTE(SUBSTITUTE(SUBSTITUTE(SUBSTITUTE(SUBSTITUTE(SUBSTITUTE(SUBSTITUTE(SUBSTITUTE(SUBSTITUTE(SUBSTITUTE($V12,"œ","oe"),"æ","ae"),"à","a"),"á","a"),"â","a"),"ä","a"),"ã","a"),"ç","c"),"è","e"),"é","e"),"ê","e"),"ë","e"),"")</f>
        <v>bulbes de fenouil</v>
      </c>
      <c r="X12" s="93" t="str">
        <f>IF(12=12,SUBSTITUTE(SUBSTITUTE(SUBSTITUTE(SUBSTITUTE(SUBSTITUTE(SUBSTITUTE(SUBSTITUTE(SUBSTITUTE(SUBSTITUTE(SUBSTITUTE(SUBSTITUTE(SUBSTITUTE(SUBSTITUTE(SUBSTITUTE(SUBSTITUTE(SUBSTITUTE($W12,"ì","i"),"í","i"),"î","i"),"ï","i"),"ñ","n"),"ò","o"),"ó","o"),"ô","o"),"ö","o"),"õ","o"),"ù","u"),"ú","u"),"û","u"),"ü","u"),"ý","y"),"ÿ","y"),"")</f>
        <v>bulbes de fenouil</v>
      </c>
      <c r="Y12" s="93" t="str">
        <f>IF(12=12,SUBSTITUTE(SUBSTITUTE(SUBSTITUTE(SUBSTITUTE(SUBSTITUTE(SUBSTITUTE(SUBSTITUTE(SUBSTITUTE(SUBSTITUTE(SUBSTITUTE(SUBSTITUTE(SUBSTITUTE(SUBSTITUTE(SUBSTITUTE($X12,"’"," "),"`"," "),"–"," "),"—"," "),"-"," "),"'"," "),"/"," "),"_"," "),","," "),"."," "),"("," "),")"," "),";"," "),":"," "),"")</f>
        <v>bulbes de fenouil</v>
      </c>
      <c r="Z12" s="93" t="str">
        <f>IF(12=12,SUBSTITUTE(SUBSTITUTE(SUBSTITUTE(SUBSTITUTE(SUBSTITUTE(SUBSTITUTE(SUBSTITUTE(SUBSTITUTE(SUBSTITUTE(SUBSTITUTE(SUBSTITUTE(SUBSTITUTE(SUBSTITUTE(SUBSTITUTE(SUBSTITUTE($Y12,"!"," "),"?"," "),"+"," "),"*"," "),"&amp;"," "),"["," "),"]"," "),"{"," "),"}"," "),"%"," "),"="," "),"\"," "),"|"," "),"&lt;"," "),"&gt;"," "),"")</f>
        <v>bulbes de fenouil</v>
      </c>
      <c r="AA12" s="93" t="str">
        <f>IF(12=12," "&amp;TRIM(SUBSTITUTE(SUBSTITUTE(SUBSTITUTE(SUBSTITUTE(SUBSTITUTE(SUBSTITUTE($Z12,CHAR(34)," "),"  "," "),"  "," "),"  "," "),"  "," "),"  "," "))&amp;" ","")</f>
        <v xml:space="preserve"> bulbes de fenouil </v>
      </c>
      <c r="AB12" s="93">
        <f>IF(12=12,IF($U12="","",SUMPRODUCT(--ISNUMBER(SEARCH(" "&amp;$CR$2:$CR$101&amp;" ",$AD12)))),"")</f>
        <v>0</v>
      </c>
      <c r="AC12" s="93">
        <f>IF(12=12,IF($U12="","",SUMPRODUCT(--ISNUMBER(SEARCH(" "&amp;$CR$102:$CR$151&amp;" ",$AD12)))),"")</f>
        <v>0</v>
      </c>
      <c r="AD12" s="93" t="str">
        <f t="shared" si="1"/>
        <v xml:space="preserve"> bulbes de fenouil </v>
      </c>
      <c r="AE12" s="93">
        <f t="shared" si="2"/>
        <v>0</v>
      </c>
      <c r="AF12" s="93" t="str">
        <f>IF(12=12,IF($U12="","",IF(SUM(AB12:AC12)+SUMPRODUCT(--ISNUMBER(SEARCH(" "&amp;$CR$2418:$CR$2420&amp;" ",$AD12)))&gt;0,"X",IF(AE12&gt;0,"?",""))),"")</f>
        <v/>
      </c>
      <c r="AG12" s="93">
        <f>IF(12=12,IF($U12="","",SUMPRODUCT(--ISNUMBER(SEARCH(" "&amp;$CR$206:$CR$305&amp;" ",$AA12)))),"")</f>
        <v>0</v>
      </c>
      <c r="AH12" s="93">
        <f>IF(12=12,IF($U12="","",SUMPRODUCT(--ISNUMBER(SEARCH(" "&amp;$CR$306:$CR$340&amp;" ",$AA12)))),"")</f>
        <v>0</v>
      </c>
      <c r="AI12" s="93" t="str">
        <f>IF(12=12,IF($U12="","",IF((SUM(AG12:AH12))-(0)&gt;0,"X",IF((0)-(0)&gt;0,"?",""))),"")</f>
        <v/>
      </c>
      <c r="AJ12" s="93">
        <f>IF(12=12,IF($U12="","",SUMPRODUCT(--ISNUMBER(SEARCH(" "&amp;$CR$341:$CR$398&amp;" ",$AA12)))),"")</f>
        <v>0</v>
      </c>
      <c r="AK12" s="93">
        <f>IF(12=12,IF($U12="","",SUMPRODUCT(--ISNUMBER(SEARCH(" "&amp;$CR$399:$CR$426&amp;" ",$AL12)))+SUMPRODUCT(--ISNUMBER(SEARCH(" "&amp;$CR$2440:$CR$2453&amp;" ",$AL12)))),"")</f>
        <v>0</v>
      </c>
      <c r="AL12" s="93" t="str">
        <f>IF(12=12,IF($U12="","",SUBSTITUTE(SUBSTITUTE(SUBSTITUTE(SUBSTITUTE(SUBSTITUTE(SUBSTITUTE(SUBSTITUTE(SUBSTITUTE(SUBSTITUTE(SUBSTITUTE(SUBSTITUTE(SUBSTITUTE(SUBSTITUTE(SUBSTITUTE($AA12," "&amp;$CR$2455&amp;" "," ")," "&amp;$CR$433&amp;" "," ")," "&amp;$CR$431&amp;" "," ")," "&amp;$CR$2438&amp;" "," ")," "&amp;$CR$2439&amp;" "," ")," "&amp;$CR$428&amp;" "," ")," "&amp;$CR$432&amp;" "," ")," "&amp;$CR$434&amp;" "," ")," "&amp;$CR$429&amp;" "," ")," "&amp;$CR$427&amp;" "," ")," "&amp;$CR$1367&amp;" "," ")," "&amp;$CR$435&amp;" "," ")," "&amp;$CR$1366&amp;" "," ")," "&amp;$CR$430&amp;" "," ")),"")</f>
        <v xml:space="preserve"> bulbes de fenouil </v>
      </c>
      <c r="AM12" s="93" t="str">
        <f>IF(12=12,IF($U12="","",IF(AJ12&gt;0,"X",IF(AK12&gt;0,"?",""))),"")</f>
        <v/>
      </c>
      <c r="AN12" s="93">
        <f>IF(12=12,IF($U12="","",SUMPRODUCT(--ISNUMBER(SEARCH(" "&amp;$CR$436:$CR$535&amp;" ",$AX12)))),"")</f>
        <v>0</v>
      </c>
      <c r="AO12" s="93">
        <f>IF(12=12,IF($U12="","",SUMPRODUCT(--ISNUMBER(SEARCH(" "&amp;$CR$536:$CR$635&amp;" ",$AX12)))),"")</f>
        <v>0</v>
      </c>
      <c r="AP12" s="93">
        <f>IF(12=12,IF($U12="","",SUMPRODUCT(--ISNUMBER(SEARCH(" "&amp;$CR$636:$CR$735&amp;" ",$AX12)))),"")</f>
        <v>0</v>
      </c>
      <c r="AQ12" s="93">
        <f>IF(12=12,IF($U12="","",SUMPRODUCT(--ISNUMBER(SEARCH(" "&amp;$CR$736:$CR$835&amp;" ",$AX12)))),"")</f>
        <v>0</v>
      </c>
      <c r="AR12" s="93">
        <f>IF(12=12,IF($U12="","",SUMPRODUCT(--ISNUMBER(SEARCH(" "&amp;$CR$836:$CR$935&amp;" ",$AX12)))),"")</f>
        <v>0</v>
      </c>
      <c r="AS12" s="93">
        <f>IF(12=12,IF($U12="","",SUMPRODUCT(--ISNUMBER(SEARCH(" "&amp;$CR$936:$CR$1035&amp;" ",$AX12)))),"")</f>
        <v>0</v>
      </c>
      <c r="AT12" s="93">
        <f>IF(12=12,IF($U12="","",SUMPRODUCT(--ISNUMBER(SEARCH(" "&amp;$CR$1036:$CR$1135&amp;" ",$AX12)))),"")</f>
        <v>0</v>
      </c>
      <c r="AU12" s="93">
        <f>IF(12=12,IF($U12="","",SUMPRODUCT(--ISNUMBER(SEARCH(" "&amp;$CR$1136:$CR$1235&amp;" ",$AX12)))),"")</f>
        <v>0</v>
      </c>
      <c r="AV12" s="93">
        <f>IF(12=12,IF($U12="","",SUMPRODUCT(--ISNUMBER(SEARCH(" "&amp;$CR$1236:$CR$1335&amp;" ",$AX12)))),"")</f>
        <v>0</v>
      </c>
      <c r="AW12" s="93">
        <f>IF(12=12,IF($U12="","",SUMPRODUCT(--ISNUMBER(SEARCH(" "&amp;$CR$1336:$CR$1363&amp;" ",$AX12)))),"")</f>
        <v>0</v>
      </c>
      <c r="AX12" s="93" t="str">
        <f>IF(12=12,IF($U12="","",SUBSTITUTE(SUBSTITUTE(SUBSTITUTE(SUBSTITUTE(SUBSTITUTE(SUBSTITUTE(SUBSTITUTE(SUBSTITUTE(SUBSTITUTE($AA12," "&amp;$CR$1365&amp;" "," ")," "&amp;$CR$1364&amp;" "," ")," "&amp;$CR$1370&amp;" "," ")," "&amp;$CR$1371&amp;" "," ")," "&amp;$CR$1367&amp;" "," ")," "&amp;$CR$1369&amp;" "," ")," "&amp;$CR$1366&amp;" "," ")," "&amp;$CR$1368&amp;" "," ")," "&amp;$CR$1372&amp;" "," ")),"")</f>
        <v xml:space="preserve"> bulbes de fenouil </v>
      </c>
      <c r="AY12" s="93">
        <f>IF(12=12,IF($U12="","",SUMPRODUCT(--ISNUMBER(SEARCH(" "&amp;$CR$1373:$CR$1383&amp;" ",$AX12)))),"")</f>
        <v>0</v>
      </c>
      <c r="AZ12" s="93" t="str">
        <f>IF(12=12,IF($U12="","",IF(SUM(AN12:AW12)+SUMPRODUCT(--ISNUMBER(SEARCH(" "&amp;$CR$2421:$CR$2422&amp;" ",$AX12)))&gt;0,"X",IF(AY12&gt;0,"?",""))),"")</f>
        <v/>
      </c>
      <c r="BA12" s="93">
        <f>IF(12=12,IF($U12="","",SUMPRODUCT(--ISNUMBER(SEARCH(" "&amp;$CR$1384:$CR$1404&amp;" ",$AA12)))),"")</f>
        <v>0</v>
      </c>
      <c r="BB12" s="93" t="str">
        <f>IF(12=12,IF($U12="","",IF((BA12)-(0)&gt;0,"X",IF((0)-(0)&gt;0,"?",""))),"")</f>
        <v/>
      </c>
      <c r="BC12" s="93">
        <f>IF(12=12,IF($U12="","",SUMPRODUCT(--ISNUMBER(SEARCH(" "&amp;$CR$1405:$CR$1442&amp;" ",$BD12)))),"")</f>
        <v>0</v>
      </c>
      <c r="BD12" s="93" t="str">
        <f>IF(12=12,IF($U12="","",SUBSTITUTE(SUBSTITUTE($AA12," "&amp;$CR$1443&amp;" "," ")," "&amp;$CR$1444&amp;" "," ")),"")</f>
        <v xml:space="preserve"> bulbes de fenouil </v>
      </c>
      <c r="BE12" s="93">
        <f>IF(12=12,IF($U12="","",SUMPRODUCT(--ISNUMBER(SEARCH(" "&amp;$CR$1445:$CR$1455&amp;" ",$BD12)))),"")</f>
        <v>0</v>
      </c>
      <c r="BF12" s="93" t="str">
        <f>IF(12=12,IF($U12="","",IF(BC12&gt;0,"X",IF(BE12&gt;0,"?",""))),"")</f>
        <v/>
      </c>
      <c r="BG12" s="93">
        <f>IF(12=12,IF($U12="","",SUMPRODUCT(--ISNUMBER(SEARCH(" "&amp;$CR$1456:$CR$1555&amp;" ",$BJ12)))),"")</f>
        <v>0</v>
      </c>
      <c r="BH12" s="93">
        <f>IF(12=12,IF($U12="","",SUMPRODUCT(--ISNUMBER(SEARCH(" "&amp;$CR$1556:$CR$1655&amp;" ",$BJ12)))),"")</f>
        <v>0</v>
      </c>
      <c r="BI12" s="93">
        <f>IF(12=12,IF($U12="","",SUMPRODUCT(--ISNUMBER(SEARCH(" "&amp;$CR$1656:$CR$1739&amp;" ",$BJ12)))),"")</f>
        <v>0</v>
      </c>
      <c r="BJ12" s="93" t="str">
        <f>IF(12=12,IF($U12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12,"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bulbes de fenouil </v>
      </c>
      <c r="BK12" s="93">
        <f>IF(12=12,IF($U12="","",SUMPRODUCT(--ISNUMBER(SEARCH(" "&amp;$CR$1790:$CR$1869&amp;" ",$BL12)))+SUMPRODUCT(--ISNUMBER(SEARCH(" "&amp;$CR$2440:$CR$2453&amp;" ",$BL12)))),"")</f>
        <v>0</v>
      </c>
      <c r="BL12" s="93" t="str">
        <f>IF(12=12,IF($U12="","",SUBSTITUTE(SUBSTITUTE(SUBSTITUTE(SUBSTITUTE(SUBSTITUTE(SUBSTITUTE(SUBSTITUTE(SUBSTITUTE(SUBSTITUTE(SUBSTITUTE(SUBSTITUTE(SUBSTITUTE(SUBSTITUTE($BJ12," "&amp;$CR$1876&amp;" "," ")," "&amp;$CR$1874&amp;" "," ")," "&amp;$CR$2438&amp;" "," ")," "&amp;$CR$2439&amp;" "," ")," "&amp;$CR$1871&amp;" "," ")," "&amp;$CR$1875&amp;" "," ")," "&amp;$CR$1877&amp;" "," ")," "&amp;$CR$1872&amp;" "," ")," "&amp;$CR$1870&amp;" "," ")," "&amp;$CR$1367&amp;" "," ")," "&amp;$CR$1878&amp;" "," ")," "&amp;$CR$1366&amp;" "," ")," "&amp;$CR$1873&amp;" "," ")),"")</f>
        <v xml:space="preserve"> bulbes de fenouil </v>
      </c>
      <c r="BM12" s="93" t="str">
        <f>IF(12=12,IF($U12="","",IF(SUM(BG12:BI12)+SUMPRODUCT(--ISNUMBER(SEARCH(" "&amp;$CR$2423:$CR$2424&amp;" ",$BJ12)))&gt;0,"X",IF(BK12&gt;0,"?",""))),"")</f>
        <v/>
      </c>
      <c r="BN12" s="93">
        <f>IF(12=12,IF($U12="","",SUMPRODUCT(--ISNUMBER(SEARCH(" "&amp;$CR$1879:$CR$1936&amp;" ",$BO12)))),"")</f>
        <v>0</v>
      </c>
      <c r="BO12" s="93" t="str">
        <f>IF(12=12,IF($U12="","",SUBSTITUTE(SUBSTITUTE(SUBSTITUTE(SUBSTITUTE(SUBSTITUTE(SUBSTITUTE(SUBSTITUTE(SUBSTITUTE(SUBSTITUTE(SUBSTITUTE(SUBSTITUTE(SUBSTITUTE(SUBSTITUTE(SUBSTITUTE(SUBSTITUTE(SUBSTITUTE(SUBSTITUTE(SUBSTITUTE(SUBSTITUTE(SUBSTITUTE(SUBSTITUTE(SUBSTITUTE(SUBSTITUTE($AA12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bulbes de fenouil </v>
      </c>
      <c r="BP12" s="93">
        <f>IF(12=12,IF($U12="","",SUMPRODUCT(--ISNUMBER(SEARCH(" "&amp;$CR$1960:$CR$1976&amp;" ",$BO12)))),"")</f>
        <v>0</v>
      </c>
      <c r="BQ12" s="93" t="str">
        <f>IF(12=12,IF($U12="","",IF(BN12&gt;0,"X",IF(BP12&gt;0,"?",""))),"")</f>
        <v/>
      </c>
      <c r="BR12" s="93">
        <f>IF(12=12,IF($U12="","",SUMPRODUCT(--ISNUMBER(SEARCH(" "&amp;$CR$1977:$CR$1990&amp;" ",$AA12)))),"")</f>
        <v>0</v>
      </c>
      <c r="BS12" s="93">
        <f>IF(12=12,IF($U12="","",SUMPRODUCT(--ISNUMBER(SEARCH(" "&amp;$CR$1991:$CR$2005&amp;" ",$AA12)))),"")</f>
        <v>0</v>
      </c>
      <c r="BT12" s="93" t="str">
        <f>IF(12=12,IF($U12="","",IF((BR12)-(0)&gt;0,"X",IF((BS12)-(0)&gt;0,"?",""))),"")</f>
        <v/>
      </c>
      <c r="BU12" s="93">
        <f>IF(12=12,IF($U12="","",SUMPRODUCT(--ISNUMBER(SEARCH(" "&amp;$CR$2006:$CR$2023&amp;" ",$AA12)))),"")</f>
        <v>0</v>
      </c>
      <c r="BV12" s="93">
        <f>IF(12=12,IF($U12="","",SUMPRODUCT(--ISNUMBER(SEARCH(" "&amp;$CR$2024:$CR$2038&amp;" ",$AA12)))),"")</f>
        <v>0</v>
      </c>
      <c r="BW12" s="93" t="str">
        <f>IF(12=12,IF($U12="","",IF((BU12)-(0)&gt;0,"X",IF((BV12)-(0)&gt;0,"?",""))),"")</f>
        <v/>
      </c>
      <c r="BX12" s="93">
        <f>IF(12=12,IF($U12="","",SUMPRODUCT(--ISNUMBER(SEARCH(" "&amp;$CR$2039:$CR$2057&amp;" ",$AA12)))),"")</f>
        <v>0</v>
      </c>
      <c r="BY12" s="93">
        <f>IF(12=12,IF($U12="","",SUMPRODUCT(--ISNUMBER(SEARCH(" "&amp;$CR$2058:$CR$2072&amp;" ",$AA12)))),"")</f>
        <v>0</v>
      </c>
      <c r="BZ12" s="93" t="str">
        <f>IF(12=12,IF($U12="","",IF((BX12)-(0)&gt;0,"X",IF((BY12)-(0)&gt;0,"?",""))),"")</f>
        <v/>
      </c>
      <c r="CA12" s="93">
        <f>IF(12=12,IF($U12="","",SUMPRODUCT(--ISNUMBER(SEARCH(" "&amp;$CR$2073:$CR$2093&amp;" ",$AA12)))),"")</f>
        <v>0</v>
      </c>
      <c r="CB12" s="93">
        <f>IF(12=12,IF($U12="","",SUMPRODUCT(--ISNUMBER(SEARCH(" "&amp;$CR$2094:$CR$2133&amp;" ",SUBSTITUTE(SUBSTITUTE($AA12," "&amp;$CR$1367&amp;" "," ")," "&amp;$CR$1366&amp;" "," "))))+--ISNUMBER(SEARCH("poiré",$V12))),"")</f>
        <v>0</v>
      </c>
      <c r="CC12" s="93" t="str">
        <f>IF(12=12,IF($U12="","",IF(OR(CA12&gt;0,ISNUMBER(SEARCH(" vinaigre de vin ",$AA12)),ISNUMBER(SEARCH(" vinaigre au vin ",$AA12))),"X",IF(CB12&gt;0,"?",""))),"")</f>
        <v/>
      </c>
      <c r="CD12" s="93">
        <f>IF(12=12,IF($U12="","",SUMPRODUCT(--ISNUMBER(SEARCH(" "&amp;$CR$2134:$CR$2146&amp;" ",$AA12)))),"")</f>
        <v>0</v>
      </c>
      <c r="CE12" s="93">
        <f>IF(12=12,IF($U12="","",SUMPRODUCT(--ISNUMBER(SEARCH(" "&amp;$CR$2147:$CR$2152&amp;" ",$AA12)))),"")</f>
        <v>0</v>
      </c>
      <c r="CF12" s="93" t="str">
        <f>IF(12=12,IF($U12="","",IF((CD12)-(0)&gt;0,"X",IF((CE12)-(0)&gt;0,"?",""))),"")</f>
        <v/>
      </c>
      <c r="CG12" s="93">
        <f>IF(12=12,IF($U12="","",SUMPRODUCT(--ISNUMBER(SEARCH(" "&amp;$CR$2153:$CR$2252&amp;" ",$CJ12)))),"")</f>
        <v>0</v>
      </c>
      <c r="CH12" s="93">
        <f>IF(12=12,IF($U12="","",SUMPRODUCT(--ISNUMBER(SEARCH(" "&amp;$CR$2253:$CR$2352&amp;" ",$CJ12)))),"")</f>
        <v>0</v>
      </c>
      <c r="CI12" s="93">
        <f>IF(12=12,IF($U12="","",SUMPRODUCT(--ISNUMBER(SEARCH(" "&amp;$CR$2353:$CR$2395&amp;" ",$CJ12)))),"")</f>
        <v>0</v>
      </c>
      <c r="CJ12" s="93" t="str">
        <f>IF(12=12,IF($U12="","",SUBSTITUTE(SUBSTITUTE(SUBSTITUTE(SUBSTITUTE(SUBSTITUTE(SUBSTITUTE(SUBSTITUTE(SUBSTITUTE(SUBSTITUTE(SUBSTITUTE(SUBSTITUTE(SUBSTITUTE(SUBSTITUTE(SUBSTITUTE(SUBSTITUTE(SUBSTITUTE($AA12," "&amp;$CR$2401&amp;" "," ")," "&amp;$CR$2400&amp;" "," ")," "&amp;$CR$2399&amp;" "," ")," "&amp;$CR$2406&amp;" "," ")," "&amp;$CR$2398&amp;" "," ")," "&amp;$CR$2410&amp;" "," ")," "&amp;$CR$2397&amp;" "," ")," "&amp;$CR$2402&amp;" "," ")," "&amp;$CR$2405&amp;" "," ")," "&amp;$CR$2396&amp;" "," ")," "&amp;$CR$2404&amp;" "," ")," "&amp;$CR$2411&amp;" "," ")," "&amp;$CR$2408&amp;" "," ")," "&amp;$CR$2403&amp;" "," ")," "&amp;$CR$2407&amp;" "," ")," "&amp;$CR$2409&amp;" "," ")),"")</f>
        <v xml:space="preserve"> bulbes de fenouil </v>
      </c>
      <c r="CK12" s="93">
        <f>IF(12=12,IF($U12="","",SUMPRODUCT(--ISNUMBER(SEARCH(" "&amp;$CR$2412:$CR$2416&amp;" ",$CJ12)))),"")</f>
        <v>0</v>
      </c>
      <c r="CL12" s="93" t="str">
        <f>IF(12=12,IF($U12="","",IF(SUM(CG12:CI12)&gt;0,"X",IF(CK12&gt;0,"?",""))),"")</f>
        <v/>
      </c>
      <c r="CM12" s="102"/>
      <c r="CN12" s="112" t="s">
        <v>628</v>
      </c>
      <c r="CO12" s="112" t="s">
        <v>522</v>
      </c>
      <c r="CP12" s="112" t="s">
        <v>523</v>
      </c>
      <c r="CQ12" s="112" t="s">
        <v>629</v>
      </c>
      <c r="CR12" s="112" t="s">
        <v>629</v>
      </c>
      <c r="CS12" s="112" t="s">
        <v>525</v>
      </c>
      <c r="CT12" s="112" t="s">
        <v>526</v>
      </c>
      <c r="CU12" s="112" t="s">
        <v>527</v>
      </c>
      <c r="CV12" s="113" t="s">
        <v>528</v>
      </c>
      <c r="CX12" s="36">
        <v>1</v>
      </c>
    </row>
    <row r="13" spans="1:102" ht="21" customHeight="1" x14ac:dyDescent="0.25">
      <c r="A13" s="135">
        <v>7</v>
      </c>
      <c r="B13" s="136" t="s">
        <v>122</v>
      </c>
      <c r="C13" s="137" t="str">
        <f t="shared" si="0"/>
        <v>Carottes</v>
      </c>
      <c r="D13" s="138" t="str">
        <f>IF(13=13,IF($B13="","",IF(E13="X",""&amp;"Céréales contenant du gluten","")&amp;IF(F13="X",IF(COUNTIF($E13:$E13,"X")&gt;0,", ","")&amp;"Crustacés","")&amp;IF(G13="X",IF(COUNTIF($E13:$F13,"X")&gt;0,", ","")&amp;"Œufs","")&amp;IF(H13="X",IF(COUNTIF($E13:$G13,"X")&gt;0,", ","")&amp;"Poissons","")&amp;IF(I13="X",IF(COUNTIF($E13:$H13,"X")&gt;0,", ","")&amp;"Arachides","")&amp;IF(J13="X",IF(COUNTIF($E13:$I13,"X")&gt;0,", ","")&amp;"Soja","")&amp;IF(K13="X",IF(COUNTIF($E13:$J13,"X")&gt;0,", ","")&amp;"Lait","")&amp;IF(L13="X",IF(COUNTIF($E13:$K13,"X")&gt;0,", ","")&amp;"Fruits à coque","")&amp;IF(M13="X",IF(COUNTIF($E13:$L13,"X")&gt;0,", ","")&amp;"Céleri","")&amp;IF(N13="X",IF(COUNTIF($E13:$M13,"X")&gt;0,", ","")&amp;"Moutarde","")&amp;IF(O13="X",IF(COUNTIF($E13:$N13,"X")&gt;0,", ","")&amp;"Sésame","")&amp;IF(P13="X",IF(COUNTIF($E13:$O13,"X")&gt;0,", ","")&amp;"Sulfites","")&amp;IF(Q13="X",IF(COUNTIF($E13:$P13,"X")&gt;0,", ","")&amp;"Lupin","")&amp;IF(R13="X",IF(COUNTIF($E13:$Q13,"X")&gt;0,", ","")&amp;"Mollusques","")),"")</f>
        <v/>
      </c>
      <c r="E13" s="139" t="str">
        <f>IF(13=13,IF($B13="","",AF13),"")</f>
        <v/>
      </c>
      <c r="F13" s="139" t="str">
        <f>IF(13=13,IF($B13="","",AI13),"")</f>
        <v/>
      </c>
      <c r="G13" s="139" t="str">
        <f>IF(13=13,IF($B13="","",AM13),"")</f>
        <v/>
      </c>
      <c r="H13" s="139" t="str">
        <f>IF(13=13,IF($B13="","",IF(ISNUMBER(SEARCH(" colin ",$AA13)),"X",AZ13)),"")</f>
        <v/>
      </c>
      <c r="I13" s="139" t="str">
        <f>IF(13=13,IF($B13="","",BB13),"")</f>
        <v/>
      </c>
      <c r="J13" s="139" t="str">
        <f>IF(13=13,IF($B13="","",BF13),"")</f>
        <v/>
      </c>
      <c r="K13" s="139" t="str">
        <f>IF(13=13,IF($B13="","",BM13),"")</f>
        <v/>
      </c>
      <c r="L13" s="139" t="str">
        <f>IF(13=13,IF($B13="","",BQ13),"")</f>
        <v/>
      </c>
      <c r="M13" s="139" t="str">
        <f>IF(13=13,IF($B13="","",BT13),"")</f>
        <v/>
      </c>
      <c r="N13" s="139" t="str">
        <f>IF(13=13,IF($B13="","",BW13),"")</f>
        <v/>
      </c>
      <c r="O13" s="139" t="str">
        <f>IF(13=13,IF($B13="","",BZ13),"")</f>
        <v/>
      </c>
      <c r="P13" s="139" t="str">
        <f>IF(13=13,IF($B13="","",CC13),"")</f>
        <v/>
      </c>
      <c r="Q13" s="139" t="str">
        <f>IF(13=13,IF($B13="","",CF13),"")</f>
        <v/>
      </c>
      <c r="R13" s="139" t="str">
        <f>IF(13=13,IF($B13="","",CL13),"")</f>
        <v/>
      </c>
      <c r="S13" s="140" t="str">
        <f>IF(13=13,IF($B13="","",IF(E13="?",""&amp;"Céréales contenant du gluten","")&amp;IF(F13="?",IF(COUNTIF($E13:$E13,"~?")&gt;0,", ","")&amp;"Crustacés","")&amp;IF(G13="?",IF(COUNTIF($E13:$F13,"~?")&gt;0,", ","")&amp;"Œufs","")&amp;IF(H13="?",IF(COUNTIF($E13:$G13,"~?")&gt;0,", ","")&amp;"Poissons","")&amp;IF(I13="?",IF(COUNTIF($E13:$H13,"~?")&gt;0,", ","")&amp;"Arachides","")&amp;IF(J13="?",IF(COUNTIF($E13:$I13,"~?")&gt;0,", ","")&amp;"Soja","")&amp;IF(K13="?",IF(COUNTIF($E13:$J13,"~?")&gt;0,", ","")&amp;"Lait","")&amp;IF(L13="?",IF(COUNTIF($E13:$K13,"~?")&gt;0,", ","")&amp;"Fruits à coque","")&amp;IF(M13="?",IF(COUNTIF($E13:$L13,"~?")&gt;0,", ","")&amp;"Céleri","")&amp;IF(N13="?",IF(COUNTIF($E13:$M13,"~?")&gt;0,", ","")&amp;"Moutarde","")&amp;IF(O13="?",IF(COUNTIF($E13:$N13,"~?")&gt;0,", ","")&amp;"Sésame","")&amp;IF(P13="?",IF(COUNTIF($E13:$O13,"~?")&gt;0,", ","")&amp;"Sulfites","")&amp;IF(Q13="?",IF(COUNTIF($E13:$P13,"~?")&gt;0,", ","")&amp;"Lupin","")&amp;IF(R13="?",IF(COUNTIF($E13:$Q13,"~?")&gt;0,", ","")&amp;"Mollusques","")),"")</f>
        <v/>
      </c>
      <c r="U13" s="93" t="str">
        <f>IF(13=13,IF($B13="","",$B13),"")</f>
        <v>Carottes</v>
      </c>
      <c r="V13" s="93" t="str">
        <f>IF(13=13,LOWER(CLEAN(SUBSTITUTE(SUBSTITUTE(SUBSTITUTE(SUBSTITUTE($U13,CHAR(160)," ")," "," "),CHAR(10)," "),CHAR(13)," "))),"")</f>
        <v>carottes</v>
      </c>
      <c r="W13" s="93" t="str">
        <f>IF(13=13,SUBSTITUTE(SUBSTITUTE(SUBSTITUTE(SUBSTITUTE(SUBSTITUTE(SUBSTITUTE(SUBSTITUTE(SUBSTITUTE(SUBSTITUTE(SUBSTITUTE(SUBSTITUTE(SUBSTITUTE($V13,"œ","oe"),"æ","ae"),"à","a"),"á","a"),"â","a"),"ä","a"),"ã","a"),"ç","c"),"è","e"),"é","e"),"ê","e"),"ë","e"),"")</f>
        <v>carottes</v>
      </c>
      <c r="X13" s="93" t="str">
        <f>IF(13=13,SUBSTITUTE(SUBSTITUTE(SUBSTITUTE(SUBSTITUTE(SUBSTITUTE(SUBSTITUTE(SUBSTITUTE(SUBSTITUTE(SUBSTITUTE(SUBSTITUTE(SUBSTITUTE(SUBSTITUTE(SUBSTITUTE(SUBSTITUTE(SUBSTITUTE(SUBSTITUTE($W13,"ì","i"),"í","i"),"î","i"),"ï","i"),"ñ","n"),"ò","o"),"ó","o"),"ô","o"),"ö","o"),"õ","o"),"ù","u"),"ú","u"),"û","u"),"ü","u"),"ý","y"),"ÿ","y"),"")</f>
        <v>carottes</v>
      </c>
      <c r="Y13" s="93" t="str">
        <f>IF(13=13,SUBSTITUTE(SUBSTITUTE(SUBSTITUTE(SUBSTITUTE(SUBSTITUTE(SUBSTITUTE(SUBSTITUTE(SUBSTITUTE(SUBSTITUTE(SUBSTITUTE(SUBSTITUTE(SUBSTITUTE(SUBSTITUTE(SUBSTITUTE($X13,"’"," "),"`"," "),"–"," "),"—"," "),"-"," "),"'"," "),"/"," "),"_"," "),","," "),"."," "),"("," "),")"," "),";"," "),":"," "),"")</f>
        <v>carottes</v>
      </c>
      <c r="Z13" s="93" t="str">
        <f>IF(13=13,SUBSTITUTE(SUBSTITUTE(SUBSTITUTE(SUBSTITUTE(SUBSTITUTE(SUBSTITUTE(SUBSTITUTE(SUBSTITUTE(SUBSTITUTE(SUBSTITUTE(SUBSTITUTE(SUBSTITUTE(SUBSTITUTE(SUBSTITUTE(SUBSTITUTE($Y13,"!"," "),"?"," "),"+"," "),"*"," "),"&amp;"," "),"["," "),"]"," "),"{"," "),"}"," "),"%"," "),"="," "),"\"," "),"|"," "),"&lt;"," "),"&gt;"," "),"")</f>
        <v>carottes</v>
      </c>
      <c r="AA13" s="93" t="str">
        <f>IF(13=13," "&amp;TRIM(SUBSTITUTE(SUBSTITUTE(SUBSTITUTE(SUBSTITUTE(SUBSTITUTE(SUBSTITUTE($Z13,CHAR(34)," "),"  "," "),"  "," "),"  "," "),"  "," "),"  "," "))&amp;" ","")</f>
        <v xml:space="preserve"> carottes </v>
      </c>
      <c r="AB13" s="93">
        <f>IF(13=13,IF($U13="","",SUMPRODUCT(--ISNUMBER(SEARCH(" "&amp;$CR$2:$CR$101&amp;" ",$AD13)))),"")</f>
        <v>0</v>
      </c>
      <c r="AC13" s="93">
        <f>IF(13=13,IF($U13="","",SUMPRODUCT(--ISNUMBER(SEARCH(" "&amp;$CR$102:$CR$151&amp;" ",$AD13)))),"")</f>
        <v>0</v>
      </c>
      <c r="AD13" s="93" t="str">
        <f t="shared" si="1"/>
        <v xml:space="preserve"> carottes </v>
      </c>
      <c r="AE13" s="93">
        <f t="shared" si="2"/>
        <v>0</v>
      </c>
      <c r="AF13" s="93" t="str">
        <f>IF(13=13,IF($U13="","",IF(SUM(AB13:AC13)+SUMPRODUCT(--ISNUMBER(SEARCH(" "&amp;$CR$2418:$CR$2420&amp;" ",$AD13)))&gt;0,"X",IF(AE13&gt;0,"?",""))),"")</f>
        <v/>
      </c>
      <c r="AG13" s="93">
        <f>IF(13=13,IF($U13="","",SUMPRODUCT(--ISNUMBER(SEARCH(" "&amp;$CR$206:$CR$305&amp;" ",$AA13)))),"")</f>
        <v>0</v>
      </c>
      <c r="AH13" s="93">
        <f>IF(13=13,IF($U13="","",SUMPRODUCT(--ISNUMBER(SEARCH(" "&amp;$CR$306:$CR$340&amp;" ",$AA13)))),"")</f>
        <v>0</v>
      </c>
      <c r="AI13" s="93" t="str">
        <f>IF(13=13,IF($U13="","",IF((SUM(AG13:AH13))-(0)&gt;0,"X",IF((0)-(0)&gt;0,"?",""))),"")</f>
        <v/>
      </c>
      <c r="AJ13" s="93">
        <f>IF(13=13,IF($U13="","",SUMPRODUCT(--ISNUMBER(SEARCH(" "&amp;$CR$341:$CR$398&amp;" ",$AA13)))),"")</f>
        <v>0</v>
      </c>
      <c r="AK13" s="93">
        <f>IF(13=13,IF($U13="","",SUMPRODUCT(--ISNUMBER(SEARCH(" "&amp;$CR$399:$CR$426&amp;" ",$AL13)))+SUMPRODUCT(--ISNUMBER(SEARCH(" "&amp;$CR$2440:$CR$2453&amp;" ",$AL13)))),"")</f>
        <v>0</v>
      </c>
      <c r="AL13" s="93" t="str">
        <f>IF(13=13,IF($U13="","",SUBSTITUTE(SUBSTITUTE(SUBSTITUTE(SUBSTITUTE(SUBSTITUTE(SUBSTITUTE(SUBSTITUTE(SUBSTITUTE(SUBSTITUTE(SUBSTITUTE(SUBSTITUTE(SUBSTITUTE(SUBSTITUTE(SUBSTITUTE($AA13," "&amp;$CR$2455&amp;" "," ")," "&amp;$CR$433&amp;" "," ")," "&amp;$CR$431&amp;" "," ")," "&amp;$CR$2438&amp;" "," ")," "&amp;$CR$2439&amp;" "," ")," "&amp;$CR$428&amp;" "," ")," "&amp;$CR$432&amp;" "," ")," "&amp;$CR$434&amp;" "," ")," "&amp;$CR$429&amp;" "," ")," "&amp;$CR$427&amp;" "," ")," "&amp;$CR$1367&amp;" "," ")," "&amp;$CR$435&amp;" "," ")," "&amp;$CR$1366&amp;" "," ")," "&amp;$CR$430&amp;" "," ")),"")</f>
        <v xml:space="preserve"> carottes </v>
      </c>
      <c r="AM13" s="93" t="str">
        <f>IF(13=13,IF($U13="","",IF(AJ13&gt;0,"X",IF(AK13&gt;0,"?",""))),"")</f>
        <v/>
      </c>
      <c r="AN13" s="93">
        <f>IF(13=13,IF($U13="","",SUMPRODUCT(--ISNUMBER(SEARCH(" "&amp;$CR$436:$CR$535&amp;" ",$AX13)))),"")</f>
        <v>0</v>
      </c>
      <c r="AO13" s="93">
        <f>IF(13=13,IF($U13="","",SUMPRODUCT(--ISNUMBER(SEARCH(" "&amp;$CR$536:$CR$635&amp;" ",$AX13)))),"")</f>
        <v>0</v>
      </c>
      <c r="AP13" s="93">
        <f>IF(13=13,IF($U13="","",SUMPRODUCT(--ISNUMBER(SEARCH(" "&amp;$CR$636:$CR$735&amp;" ",$AX13)))),"")</f>
        <v>0</v>
      </c>
      <c r="AQ13" s="93">
        <f>IF(13=13,IF($U13="","",SUMPRODUCT(--ISNUMBER(SEARCH(" "&amp;$CR$736:$CR$835&amp;" ",$AX13)))),"")</f>
        <v>0</v>
      </c>
      <c r="AR13" s="93">
        <f>IF(13=13,IF($U13="","",SUMPRODUCT(--ISNUMBER(SEARCH(" "&amp;$CR$836:$CR$935&amp;" ",$AX13)))),"")</f>
        <v>0</v>
      </c>
      <c r="AS13" s="93">
        <f>IF(13=13,IF($U13="","",SUMPRODUCT(--ISNUMBER(SEARCH(" "&amp;$CR$936:$CR$1035&amp;" ",$AX13)))),"")</f>
        <v>0</v>
      </c>
      <c r="AT13" s="93">
        <f>IF(13=13,IF($U13="","",SUMPRODUCT(--ISNUMBER(SEARCH(" "&amp;$CR$1036:$CR$1135&amp;" ",$AX13)))),"")</f>
        <v>0</v>
      </c>
      <c r="AU13" s="93">
        <f>IF(13=13,IF($U13="","",SUMPRODUCT(--ISNUMBER(SEARCH(" "&amp;$CR$1136:$CR$1235&amp;" ",$AX13)))),"")</f>
        <v>0</v>
      </c>
      <c r="AV13" s="93">
        <f>IF(13=13,IF($U13="","",SUMPRODUCT(--ISNUMBER(SEARCH(" "&amp;$CR$1236:$CR$1335&amp;" ",$AX13)))),"")</f>
        <v>0</v>
      </c>
      <c r="AW13" s="93">
        <f>IF(13=13,IF($U13="","",SUMPRODUCT(--ISNUMBER(SEARCH(" "&amp;$CR$1336:$CR$1363&amp;" ",$AX13)))),"")</f>
        <v>0</v>
      </c>
      <c r="AX13" s="93" t="str">
        <f>IF(13=13,IF($U13="","",SUBSTITUTE(SUBSTITUTE(SUBSTITUTE(SUBSTITUTE(SUBSTITUTE(SUBSTITUTE(SUBSTITUTE(SUBSTITUTE(SUBSTITUTE($AA13," "&amp;$CR$1365&amp;" "," ")," "&amp;$CR$1364&amp;" "," ")," "&amp;$CR$1370&amp;" "," ")," "&amp;$CR$1371&amp;" "," ")," "&amp;$CR$1367&amp;" "," ")," "&amp;$CR$1369&amp;" "," ")," "&amp;$CR$1366&amp;" "," ")," "&amp;$CR$1368&amp;" "," ")," "&amp;$CR$1372&amp;" "," ")),"")</f>
        <v xml:space="preserve"> carottes </v>
      </c>
      <c r="AY13" s="93">
        <f>IF(13=13,IF($U13="","",SUMPRODUCT(--ISNUMBER(SEARCH(" "&amp;$CR$1373:$CR$1383&amp;" ",$AX13)))),"")</f>
        <v>0</v>
      </c>
      <c r="AZ13" s="93" t="str">
        <f>IF(13=13,IF($U13="","",IF(SUM(AN13:AW13)+SUMPRODUCT(--ISNUMBER(SEARCH(" "&amp;$CR$2421:$CR$2422&amp;" ",$AX13)))&gt;0,"X",IF(AY13&gt;0,"?",""))),"")</f>
        <v/>
      </c>
      <c r="BA13" s="93">
        <f>IF(13=13,IF($U13="","",SUMPRODUCT(--ISNUMBER(SEARCH(" "&amp;$CR$1384:$CR$1404&amp;" ",$AA13)))),"")</f>
        <v>0</v>
      </c>
      <c r="BB13" s="93" t="str">
        <f>IF(13=13,IF($U13="","",IF((BA13)-(0)&gt;0,"X",IF((0)-(0)&gt;0,"?",""))),"")</f>
        <v/>
      </c>
      <c r="BC13" s="93">
        <f>IF(13=13,IF($U13="","",SUMPRODUCT(--ISNUMBER(SEARCH(" "&amp;$CR$1405:$CR$1442&amp;" ",$BD13)))),"")</f>
        <v>0</v>
      </c>
      <c r="BD13" s="93" t="str">
        <f>IF(13=13,IF($U13="","",SUBSTITUTE(SUBSTITUTE($AA13," "&amp;$CR$1443&amp;" "," ")," "&amp;$CR$1444&amp;" "," ")),"")</f>
        <v xml:space="preserve"> carottes </v>
      </c>
      <c r="BE13" s="93">
        <f>IF(13=13,IF($U13="","",SUMPRODUCT(--ISNUMBER(SEARCH(" "&amp;$CR$1445:$CR$1455&amp;" ",$BD13)))),"")</f>
        <v>0</v>
      </c>
      <c r="BF13" s="93" t="str">
        <f>IF(13=13,IF($U13="","",IF(BC13&gt;0,"X",IF(BE13&gt;0,"?",""))),"")</f>
        <v/>
      </c>
      <c r="BG13" s="93">
        <f>IF(13=13,IF($U13="","",SUMPRODUCT(--ISNUMBER(SEARCH(" "&amp;$CR$1456:$CR$1555&amp;" ",$BJ13)))),"")</f>
        <v>0</v>
      </c>
      <c r="BH13" s="93">
        <f>IF(13=13,IF($U13="","",SUMPRODUCT(--ISNUMBER(SEARCH(" "&amp;$CR$1556:$CR$1655&amp;" ",$BJ13)))),"")</f>
        <v>0</v>
      </c>
      <c r="BI13" s="93">
        <f>IF(13=13,IF($U13="","",SUMPRODUCT(--ISNUMBER(SEARCH(" "&amp;$CR$1656:$CR$1739&amp;" ",$BJ13)))),"")</f>
        <v>0</v>
      </c>
      <c r="BJ13" s="93" t="str">
        <f>IF(13=13,IF($U13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13,"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carottes </v>
      </c>
      <c r="BK13" s="93">
        <f>IF(13=13,IF($U13="","",SUMPRODUCT(--ISNUMBER(SEARCH(" "&amp;$CR$1790:$CR$1869&amp;" ",$BL13)))+SUMPRODUCT(--ISNUMBER(SEARCH(" "&amp;$CR$2440:$CR$2453&amp;" ",$BL13)))),"")</f>
        <v>0</v>
      </c>
      <c r="BL13" s="93" t="str">
        <f>IF(13=13,IF($U13="","",SUBSTITUTE(SUBSTITUTE(SUBSTITUTE(SUBSTITUTE(SUBSTITUTE(SUBSTITUTE(SUBSTITUTE(SUBSTITUTE(SUBSTITUTE(SUBSTITUTE(SUBSTITUTE(SUBSTITUTE(SUBSTITUTE($BJ13," "&amp;$CR$1876&amp;" "," ")," "&amp;$CR$1874&amp;" "," ")," "&amp;$CR$2438&amp;" "," ")," "&amp;$CR$2439&amp;" "," ")," "&amp;$CR$1871&amp;" "," ")," "&amp;$CR$1875&amp;" "," ")," "&amp;$CR$1877&amp;" "," ")," "&amp;$CR$1872&amp;" "," ")," "&amp;$CR$1870&amp;" "," ")," "&amp;$CR$1367&amp;" "," ")," "&amp;$CR$1878&amp;" "," ")," "&amp;$CR$1366&amp;" "," ")," "&amp;$CR$1873&amp;" "," ")),"")</f>
        <v xml:space="preserve"> carottes </v>
      </c>
      <c r="BM13" s="93" t="str">
        <f>IF(13=13,IF($U13="","",IF(SUM(BG13:BI13)+SUMPRODUCT(--ISNUMBER(SEARCH(" "&amp;$CR$2423:$CR$2424&amp;" ",$BJ13)))&gt;0,"X",IF(BK13&gt;0,"?",""))),"")</f>
        <v/>
      </c>
      <c r="BN13" s="93">
        <f>IF(13=13,IF($U13="","",SUMPRODUCT(--ISNUMBER(SEARCH(" "&amp;$CR$1879:$CR$1936&amp;" ",$BO13)))),"")</f>
        <v>0</v>
      </c>
      <c r="BO13" s="93" t="str">
        <f>IF(13=13,IF($U13="","",SUBSTITUTE(SUBSTITUTE(SUBSTITUTE(SUBSTITUTE(SUBSTITUTE(SUBSTITUTE(SUBSTITUTE(SUBSTITUTE(SUBSTITUTE(SUBSTITUTE(SUBSTITUTE(SUBSTITUTE(SUBSTITUTE(SUBSTITUTE(SUBSTITUTE(SUBSTITUTE(SUBSTITUTE(SUBSTITUTE(SUBSTITUTE(SUBSTITUTE(SUBSTITUTE(SUBSTITUTE(SUBSTITUTE($AA13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carottes </v>
      </c>
      <c r="BP13" s="93">
        <f>IF(13=13,IF($U13="","",SUMPRODUCT(--ISNUMBER(SEARCH(" "&amp;$CR$1960:$CR$1976&amp;" ",$BO13)))),"")</f>
        <v>0</v>
      </c>
      <c r="BQ13" s="93" t="str">
        <f>IF(13=13,IF($U13="","",IF(BN13&gt;0,"X",IF(BP13&gt;0,"?",""))),"")</f>
        <v/>
      </c>
      <c r="BR13" s="93">
        <f>IF(13=13,IF($U13="","",SUMPRODUCT(--ISNUMBER(SEARCH(" "&amp;$CR$1977:$CR$1990&amp;" ",$AA13)))),"")</f>
        <v>0</v>
      </c>
      <c r="BS13" s="93">
        <f>IF(13=13,IF($U13="","",SUMPRODUCT(--ISNUMBER(SEARCH(" "&amp;$CR$1991:$CR$2005&amp;" ",$AA13)))),"")</f>
        <v>0</v>
      </c>
      <c r="BT13" s="93" t="str">
        <f>IF(13=13,IF($U13="","",IF((BR13)-(0)&gt;0,"X",IF((BS13)-(0)&gt;0,"?",""))),"")</f>
        <v/>
      </c>
      <c r="BU13" s="93">
        <f>IF(13=13,IF($U13="","",SUMPRODUCT(--ISNUMBER(SEARCH(" "&amp;$CR$2006:$CR$2023&amp;" ",$AA13)))),"")</f>
        <v>0</v>
      </c>
      <c r="BV13" s="93">
        <f>IF(13=13,IF($U13="","",SUMPRODUCT(--ISNUMBER(SEARCH(" "&amp;$CR$2024:$CR$2038&amp;" ",$AA13)))),"")</f>
        <v>0</v>
      </c>
      <c r="BW13" s="93" t="str">
        <f>IF(13=13,IF($U13="","",IF((BU13)-(0)&gt;0,"X",IF((BV13)-(0)&gt;0,"?",""))),"")</f>
        <v/>
      </c>
      <c r="BX13" s="93">
        <f>IF(13=13,IF($U13="","",SUMPRODUCT(--ISNUMBER(SEARCH(" "&amp;$CR$2039:$CR$2057&amp;" ",$AA13)))),"")</f>
        <v>0</v>
      </c>
      <c r="BY13" s="93">
        <f>IF(13=13,IF($U13="","",SUMPRODUCT(--ISNUMBER(SEARCH(" "&amp;$CR$2058:$CR$2072&amp;" ",$AA13)))),"")</f>
        <v>0</v>
      </c>
      <c r="BZ13" s="93" t="str">
        <f>IF(13=13,IF($U13="","",IF((BX13)-(0)&gt;0,"X",IF((BY13)-(0)&gt;0,"?",""))),"")</f>
        <v/>
      </c>
      <c r="CA13" s="93">
        <f>IF(13=13,IF($U13="","",SUMPRODUCT(--ISNUMBER(SEARCH(" "&amp;$CR$2073:$CR$2093&amp;" ",$AA13)))),"")</f>
        <v>0</v>
      </c>
      <c r="CB13" s="93">
        <f>IF(13=13,IF($U13="","",SUMPRODUCT(--ISNUMBER(SEARCH(" "&amp;$CR$2094:$CR$2133&amp;" ",SUBSTITUTE(SUBSTITUTE($AA13," "&amp;$CR$1367&amp;" "," ")," "&amp;$CR$1366&amp;" "," "))))+--ISNUMBER(SEARCH("poiré",$V13))),"")</f>
        <v>0</v>
      </c>
      <c r="CC13" s="93" t="str">
        <f>IF(13=13,IF($U13="","",IF(OR(CA13&gt;0,ISNUMBER(SEARCH(" vinaigre de vin ",$AA13)),ISNUMBER(SEARCH(" vinaigre au vin ",$AA13))),"X",IF(CB13&gt;0,"?",""))),"")</f>
        <v/>
      </c>
      <c r="CD13" s="93">
        <f>IF(13=13,IF($U13="","",SUMPRODUCT(--ISNUMBER(SEARCH(" "&amp;$CR$2134:$CR$2146&amp;" ",$AA13)))),"")</f>
        <v>0</v>
      </c>
      <c r="CE13" s="93">
        <f>IF(13=13,IF($U13="","",SUMPRODUCT(--ISNUMBER(SEARCH(" "&amp;$CR$2147:$CR$2152&amp;" ",$AA13)))),"")</f>
        <v>0</v>
      </c>
      <c r="CF13" s="93" t="str">
        <f>IF(13=13,IF($U13="","",IF((CD13)-(0)&gt;0,"X",IF((CE13)-(0)&gt;0,"?",""))),"")</f>
        <v/>
      </c>
      <c r="CG13" s="93">
        <f>IF(13=13,IF($U13="","",SUMPRODUCT(--ISNUMBER(SEARCH(" "&amp;$CR$2153:$CR$2252&amp;" ",$CJ13)))),"")</f>
        <v>0</v>
      </c>
      <c r="CH13" s="93">
        <f>IF(13=13,IF($U13="","",SUMPRODUCT(--ISNUMBER(SEARCH(" "&amp;$CR$2253:$CR$2352&amp;" ",$CJ13)))),"")</f>
        <v>0</v>
      </c>
      <c r="CI13" s="93">
        <f>IF(13=13,IF($U13="","",SUMPRODUCT(--ISNUMBER(SEARCH(" "&amp;$CR$2353:$CR$2395&amp;" ",$CJ13)))),"")</f>
        <v>0</v>
      </c>
      <c r="CJ13" s="93" t="str">
        <f>IF(13=13,IF($U13="","",SUBSTITUTE(SUBSTITUTE(SUBSTITUTE(SUBSTITUTE(SUBSTITUTE(SUBSTITUTE(SUBSTITUTE(SUBSTITUTE(SUBSTITUTE(SUBSTITUTE(SUBSTITUTE(SUBSTITUTE(SUBSTITUTE(SUBSTITUTE(SUBSTITUTE(SUBSTITUTE($AA13," "&amp;$CR$2401&amp;" "," ")," "&amp;$CR$2400&amp;" "," ")," "&amp;$CR$2399&amp;" "," ")," "&amp;$CR$2406&amp;" "," ")," "&amp;$CR$2398&amp;" "," ")," "&amp;$CR$2410&amp;" "," ")," "&amp;$CR$2397&amp;" "," ")," "&amp;$CR$2402&amp;" "," ")," "&amp;$CR$2405&amp;" "," ")," "&amp;$CR$2396&amp;" "," ")," "&amp;$CR$2404&amp;" "," ")," "&amp;$CR$2411&amp;" "," ")," "&amp;$CR$2408&amp;" "," ")," "&amp;$CR$2403&amp;" "," ")," "&amp;$CR$2407&amp;" "," ")," "&amp;$CR$2409&amp;" "," ")),"")</f>
        <v xml:space="preserve"> carottes </v>
      </c>
      <c r="CK13" s="93">
        <f>IF(13=13,IF($U13="","",SUMPRODUCT(--ISNUMBER(SEARCH(" "&amp;$CR$2412:$CR$2416&amp;" ",$CJ13)))),"")</f>
        <v>0</v>
      </c>
      <c r="CL13" s="93" t="str">
        <f>IF(13=13,IF($U13="","",IF(SUM(CG13:CI13)&gt;0,"X",IF(CK13&gt;0,"?",""))),"")</f>
        <v/>
      </c>
      <c r="CM13" s="102"/>
      <c r="CN13" s="112" t="s">
        <v>630</v>
      </c>
      <c r="CO13" s="112" t="s">
        <v>522</v>
      </c>
      <c r="CP13" s="112" t="s">
        <v>523</v>
      </c>
      <c r="CQ13" s="112" t="s">
        <v>631</v>
      </c>
      <c r="CR13" s="112" t="s">
        <v>631</v>
      </c>
      <c r="CS13" s="112" t="s">
        <v>525</v>
      </c>
      <c r="CT13" s="112" t="s">
        <v>526</v>
      </c>
      <c r="CU13" s="112" t="s">
        <v>527</v>
      </c>
      <c r="CV13" s="113" t="s">
        <v>528</v>
      </c>
      <c r="CX13" s="36">
        <v>1</v>
      </c>
    </row>
    <row r="14" spans="1:102" ht="21" customHeight="1" x14ac:dyDescent="0.25">
      <c r="A14" s="135">
        <v>8</v>
      </c>
      <c r="B14" s="136" t="s">
        <v>5854</v>
      </c>
      <c r="C14" s="137" t="str">
        <f t="shared" si="0"/>
        <v>Chorizo</v>
      </c>
      <c r="D14" s="138" t="str">
        <f>IF(14=14,IF($B14="","",IF(E14="X",""&amp;"Céréales contenant du gluten","")&amp;IF(F14="X",IF(COUNTIF($E14:$E14,"X")&gt;0,", ","")&amp;"Crustacés","")&amp;IF(G14="X",IF(COUNTIF($E14:$F14,"X")&gt;0,", ","")&amp;"Œufs","")&amp;IF(H14="X",IF(COUNTIF($E14:$G14,"X")&gt;0,", ","")&amp;"Poissons","")&amp;IF(I14="X",IF(COUNTIF($E14:$H14,"X")&gt;0,", ","")&amp;"Arachides","")&amp;IF(J14="X",IF(COUNTIF($E14:$I14,"X")&gt;0,", ","")&amp;"Soja","")&amp;IF(K14="X",IF(COUNTIF($E14:$J14,"X")&gt;0,", ","")&amp;"Lait","")&amp;IF(L14="X",IF(COUNTIF($E14:$K14,"X")&gt;0,", ","")&amp;"Fruits à coque","")&amp;IF(M14="X",IF(COUNTIF($E14:$L14,"X")&gt;0,", ","")&amp;"Céleri","")&amp;IF(N14="X",IF(COUNTIF($E14:$M14,"X")&gt;0,", ","")&amp;"Moutarde","")&amp;IF(O14="X",IF(COUNTIF($E14:$N14,"X")&gt;0,", ","")&amp;"Sésame","")&amp;IF(P14="X",IF(COUNTIF($E14:$O14,"X")&gt;0,", ","")&amp;"Sulfites","")&amp;IF(Q14="X",IF(COUNTIF($E14:$P14,"X")&gt;0,", ","")&amp;"Lupin","")&amp;IF(R14="X",IF(COUNTIF($E14:$Q14,"X")&gt;0,", ","")&amp;"Mollusques","")),"")</f>
        <v/>
      </c>
      <c r="E14" s="139" t="str">
        <f>IF(14=14,IF($B14="","",AF14),"")</f>
        <v/>
      </c>
      <c r="F14" s="139" t="str">
        <f>IF(14=14,IF($B14="","",AI14),"")</f>
        <v/>
      </c>
      <c r="G14" s="139" t="str">
        <f>IF(14=14,IF($B14="","",AM14),"")</f>
        <v/>
      </c>
      <c r="H14" s="139" t="str">
        <f>IF(14=14,IF($B14="","",IF(ISNUMBER(SEARCH(" colin ",$AA14)),"X",AZ14)),"")</f>
        <v/>
      </c>
      <c r="I14" s="139" t="str">
        <f>IF(14=14,IF($B14="","",BB14),"")</f>
        <v/>
      </c>
      <c r="J14" s="139" t="str">
        <f>IF(14=14,IF($B14="","",BF14),"")</f>
        <v/>
      </c>
      <c r="K14" s="139" t="str">
        <f>IF(14=14,IF($B14="","",BM14),"")</f>
        <v/>
      </c>
      <c r="L14" s="139" t="str">
        <f>IF(14=14,IF($B14="","",BQ14),"")</f>
        <v/>
      </c>
      <c r="M14" s="139" t="str">
        <f>IF(14=14,IF($B14="","",BT14),"")</f>
        <v/>
      </c>
      <c r="N14" s="139" t="str">
        <f>IF(14=14,IF($B14="","",BW14),"")</f>
        <v/>
      </c>
      <c r="O14" s="139" t="str">
        <f>IF(14=14,IF($B14="","",BZ14),"")</f>
        <v/>
      </c>
      <c r="P14" s="139" t="str">
        <f>IF(14=14,IF($B14="","",CC14),"")</f>
        <v/>
      </c>
      <c r="Q14" s="139" t="str">
        <f>IF(14=14,IF($B14="","",CF14),"")</f>
        <v/>
      </c>
      <c r="R14" s="139" t="str">
        <f>IF(14=14,IF($B14="","",CL14),"")</f>
        <v/>
      </c>
      <c r="S14" s="140" t="str">
        <f>IF(14=14,IF($B14="","",IF(E14="?",""&amp;"Céréales contenant du gluten","")&amp;IF(F14="?",IF(COUNTIF($E14:$E14,"~?")&gt;0,", ","")&amp;"Crustacés","")&amp;IF(G14="?",IF(COUNTIF($E14:$F14,"~?")&gt;0,", ","")&amp;"Œufs","")&amp;IF(H14="?",IF(COUNTIF($E14:$G14,"~?")&gt;0,", ","")&amp;"Poissons","")&amp;IF(I14="?",IF(COUNTIF($E14:$H14,"~?")&gt;0,", ","")&amp;"Arachides","")&amp;IF(J14="?",IF(COUNTIF($E14:$I14,"~?")&gt;0,", ","")&amp;"Soja","")&amp;IF(K14="?",IF(COUNTIF($E14:$J14,"~?")&gt;0,", ","")&amp;"Lait","")&amp;IF(L14="?",IF(COUNTIF($E14:$K14,"~?")&gt;0,", ","")&amp;"Fruits à coque","")&amp;IF(M14="?",IF(COUNTIF($E14:$L14,"~?")&gt;0,", ","")&amp;"Céleri","")&amp;IF(N14="?",IF(COUNTIF($E14:$M14,"~?")&gt;0,", ","")&amp;"Moutarde","")&amp;IF(O14="?",IF(COUNTIF($E14:$N14,"~?")&gt;0,", ","")&amp;"Sésame","")&amp;IF(P14="?",IF(COUNTIF($E14:$O14,"~?")&gt;0,", ","")&amp;"Sulfites","")&amp;IF(Q14="?",IF(COUNTIF($E14:$P14,"~?")&gt;0,", ","")&amp;"Lupin","")&amp;IF(R14="?",IF(COUNTIF($E14:$Q14,"~?")&gt;0,", ","")&amp;"Mollusques","")),"")</f>
        <v/>
      </c>
      <c r="U14" s="93" t="str">
        <f>IF(14=14,IF($B14="","",$B14),"")</f>
        <v>Chorizo</v>
      </c>
      <c r="V14" s="93" t="str">
        <f>IF(14=14,LOWER(CLEAN(SUBSTITUTE(SUBSTITUTE(SUBSTITUTE(SUBSTITUTE($U14,CHAR(160)," ")," "," "),CHAR(10)," "),CHAR(13)," "))),"")</f>
        <v>chorizo</v>
      </c>
      <c r="W14" s="93" t="str">
        <f>IF(14=14,SUBSTITUTE(SUBSTITUTE(SUBSTITUTE(SUBSTITUTE(SUBSTITUTE(SUBSTITUTE(SUBSTITUTE(SUBSTITUTE(SUBSTITUTE(SUBSTITUTE(SUBSTITUTE(SUBSTITUTE($V14,"œ","oe"),"æ","ae"),"à","a"),"á","a"),"â","a"),"ä","a"),"ã","a"),"ç","c"),"è","e"),"é","e"),"ê","e"),"ë","e"),"")</f>
        <v>chorizo</v>
      </c>
      <c r="X14" s="93" t="str">
        <f>IF(14=14,SUBSTITUTE(SUBSTITUTE(SUBSTITUTE(SUBSTITUTE(SUBSTITUTE(SUBSTITUTE(SUBSTITUTE(SUBSTITUTE(SUBSTITUTE(SUBSTITUTE(SUBSTITUTE(SUBSTITUTE(SUBSTITUTE(SUBSTITUTE(SUBSTITUTE(SUBSTITUTE($W14,"ì","i"),"í","i"),"î","i"),"ï","i"),"ñ","n"),"ò","o"),"ó","o"),"ô","o"),"ö","o"),"õ","o"),"ù","u"),"ú","u"),"û","u"),"ü","u"),"ý","y"),"ÿ","y"),"")</f>
        <v>chorizo</v>
      </c>
      <c r="Y14" s="93" t="str">
        <f>IF(14=14,SUBSTITUTE(SUBSTITUTE(SUBSTITUTE(SUBSTITUTE(SUBSTITUTE(SUBSTITUTE(SUBSTITUTE(SUBSTITUTE(SUBSTITUTE(SUBSTITUTE(SUBSTITUTE(SUBSTITUTE(SUBSTITUTE(SUBSTITUTE($X14,"’"," "),"`"," "),"–"," "),"—"," "),"-"," "),"'"," "),"/"," "),"_"," "),","," "),"."," "),"("," "),")"," "),";"," "),":"," "),"")</f>
        <v>chorizo</v>
      </c>
      <c r="Z14" s="93" t="str">
        <f>IF(14=14,SUBSTITUTE(SUBSTITUTE(SUBSTITUTE(SUBSTITUTE(SUBSTITUTE(SUBSTITUTE(SUBSTITUTE(SUBSTITUTE(SUBSTITUTE(SUBSTITUTE(SUBSTITUTE(SUBSTITUTE(SUBSTITUTE(SUBSTITUTE(SUBSTITUTE($Y14,"!"," "),"?"," "),"+"," "),"*"," "),"&amp;"," "),"["," "),"]"," "),"{"," "),"}"," "),"%"," "),"="," "),"\"," "),"|"," "),"&lt;"," "),"&gt;"," "),"")</f>
        <v>chorizo</v>
      </c>
      <c r="AA14" s="93" t="str">
        <f>IF(14=14," "&amp;TRIM(SUBSTITUTE(SUBSTITUTE(SUBSTITUTE(SUBSTITUTE(SUBSTITUTE(SUBSTITUTE($Z14,CHAR(34)," "),"  "," "),"  "," "),"  "," "),"  "," "),"  "," "))&amp;" ","")</f>
        <v xml:space="preserve"> chorizo </v>
      </c>
      <c r="AB14" s="93">
        <f>IF(14=14,IF($U14="","",SUMPRODUCT(--ISNUMBER(SEARCH(" "&amp;$CR$2:$CR$101&amp;" ",$AD14)))),"")</f>
        <v>0</v>
      </c>
      <c r="AC14" s="93">
        <f>IF(14=14,IF($U14="","",SUMPRODUCT(--ISNUMBER(SEARCH(" "&amp;$CR$102:$CR$151&amp;" ",$AD14)))),"")</f>
        <v>0</v>
      </c>
      <c r="AD14" s="93" t="str">
        <f t="shared" si="1"/>
        <v xml:space="preserve"> chorizo </v>
      </c>
      <c r="AE14" s="93">
        <f t="shared" si="2"/>
        <v>0</v>
      </c>
      <c r="AF14" s="93" t="str">
        <f>IF(14=14,IF($U14="","",IF(SUM(AB14:AC14)+SUMPRODUCT(--ISNUMBER(SEARCH(" "&amp;$CR$2418:$CR$2420&amp;" ",$AD14)))&gt;0,"X",IF(AE14&gt;0,"?",""))),"")</f>
        <v/>
      </c>
      <c r="AG14" s="93">
        <f>IF(14=14,IF($U14="","",SUMPRODUCT(--ISNUMBER(SEARCH(" "&amp;$CR$206:$CR$305&amp;" ",$AA14)))),"")</f>
        <v>0</v>
      </c>
      <c r="AH14" s="93">
        <f>IF(14=14,IF($U14="","",SUMPRODUCT(--ISNUMBER(SEARCH(" "&amp;$CR$306:$CR$340&amp;" ",$AA14)))),"")</f>
        <v>0</v>
      </c>
      <c r="AI14" s="93" t="str">
        <f>IF(14=14,IF($U14="","",IF((SUM(AG14:AH14))-(0)&gt;0,"X",IF((0)-(0)&gt;0,"?",""))),"")</f>
        <v/>
      </c>
      <c r="AJ14" s="93">
        <f>IF(14=14,IF($U14="","",SUMPRODUCT(--ISNUMBER(SEARCH(" "&amp;$CR$341:$CR$398&amp;" ",$AA14)))),"")</f>
        <v>0</v>
      </c>
      <c r="AK14" s="93">
        <f>IF(14=14,IF($U14="","",SUMPRODUCT(--ISNUMBER(SEARCH(" "&amp;$CR$399:$CR$426&amp;" ",$AL14)))+SUMPRODUCT(--ISNUMBER(SEARCH(" "&amp;$CR$2440:$CR$2453&amp;" ",$AL14)))),"")</f>
        <v>0</v>
      </c>
      <c r="AL14" s="93" t="str">
        <f>IF(14=14,IF($U14="","",SUBSTITUTE(SUBSTITUTE(SUBSTITUTE(SUBSTITUTE(SUBSTITUTE(SUBSTITUTE(SUBSTITUTE(SUBSTITUTE(SUBSTITUTE(SUBSTITUTE(SUBSTITUTE(SUBSTITUTE(SUBSTITUTE(SUBSTITUTE($AA14," "&amp;$CR$2455&amp;" "," ")," "&amp;$CR$433&amp;" "," ")," "&amp;$CR$431&amp;" "," ")," "&amp;$CR$2438&amp;" "," ")," "&amp;$CR$2439&amp;" "," ")," "&amp;$CR$428&amp;" "," ")," "&amp;$CR$432&amp;" "," ")," "&amp;$CR$434&amp;" "," ")," "&amp;$CR$429&amp;" "," ")," "&amp;$CR$427&amp;" "," ")," "&amp;$CR$1367&amp;" "," ")," "&amp;$CR$435&amp;" "," ")," "&amp;$CR$1366&amp;" "," ")," "&amp;$CR$430&amp;" "," ")),"")</f>
        <v xml:space="preserve"> chorizo </v>
      </c>
      <c r="AM14" s="93" t="str">
        <f>IF(14=14,IF($U14="","",IF(AJ14&gt;0,"X",IF(AK14&gt;0,"?",""))),"")</f>
        <v/>
      </c>
      <c r="AN14" s="93">
        <f>IF(14=14,IF($U14="","",SUMPRODUCT(--ISNUMBER(SEARCH(" "&amp;$CR$436:$CR$535&amp;" ",$AX14)))),"")</f>
        <v>0</v>
      </c>
      <c r="AO14" s="93">
        <f>IF(14=14,IF($U14="","",SUMPRODUCT(--ISNUMBER(SEARCH(" "&amp;$CR$536:$CR$635&amp;" ",$AX14)))),"")</f>
        <v>0</v>
      </c>
      <c r="AP14" s="93">
        <f>IF(14=14,IF($U14="","",SUMPRODUCT(--ISNUMBER(SEARCH(" "&amp;$CR$636:$CR$735&amp;" ",$AX14)))),"")</f>
        <v>0</v>
      </c>
      <c r="AQ14" s="93">
        <f>IF(14=14,IF($U14="","",SUMPRODUCT(--ISNUMBER(SEARCH(" "&amp;$CR$736:$CR$835&amp;" ",$AX14)))),"")</f>
        <v>0</v>
      </c>
      <c r="AR14" s="93">
        <f>IF(14=14,IF($U14="","",SUMPRODUCT(--ISNUMBER(SEARCH(" "&amp;$CR$836:$CR$935&amp;" ",$AX14)))),"")</f>
        <v>0</v>
      </c>
      <c r="AS14" s="93">
        <f>IF(14=14,IF($U14="","",SUMPRODUCT(--ISNUMBER(SEARCH(" "&amp;$CR$936:$CR$1035&amp;" ",$AX14)))),"")</f>
        <v>0</v>
      </c>
      <c r="AT14" s="93">
        <f>IF(14=14,IF($U14="","",SUMPRODUCT(--ISNUMBER(SEARCH(" "&amp;$CR$1036:$CR$1135&amp;" ",$AX14)))),"")</f>
        <v>0</v>
      </c>
      <c r="AU14" s="93">
        <f>IF(14=14,IF($U14="","",SUMPRODUCT(--ISNUMBER(SEARCH(" "&amp;$CR$1136:$CR$1235&amp;" ",$AX14)))),"")</f>
        <v>0</v>
      </c>
      <c r="AV14" s="93">
        <f>IF(14=14,IF($U14="","",SUMPRODUCT(--ISNUMBER(SEARCH(" "&amp;$CR$1236:$CR$1335&amp;" ",$AX14)))),"")</f>
        <v>0</v>
      </c>
      <c r="AW14" s="93">
        <f>IF(14=14,IF($U14="","",SUMPRODUCT(--ISNUMBER(SEARCH(" "&amp;$CR$1336:$CR$1363&amp;" ",$AX14)))),"")</f>
        <v>0</v>
      </c>
      <c r="AX14" s="93" t="str">
        <f>IF(14=14,IF($U14="","",SUBSTITUTE(SUBSTITUTE(SUBSTITUTE(SUBSTITUTE(SUBSTITUTE(SUBSTITUTE(SUBSTITUTE(SUBSTITUTE(SUBSTITUTE($AA14," "&amp;$CR$1365&amp;" "," ")," "&amp;$CR$1364&amp;" "," ")," "&amp;$CR$1370&amp;" "," ")," "&amp;$CR$1371&amp;" "," ")," "&amp;$CR$1367&amp;" "," ")," "&amp;$CR$1369&amp;" "," ")," "&amp;$CR$1366&amp;" "," ")," "&amp;$CR$1368&amp;" "," ")," "&amp;$CR$1372&amp;" "," ")),"")</f>
        <v xml:space="preserve"> chorizo </v>
      </c>
      <c r="AY14" s="93">
        <f>IF(14=14,IF($U14="","",SUMPRODUCT(--ISNUMBER(SEARCH(" "&amp;$CR$1373:$CR$1383&amp;" ",$AX14)))),"")</f>
        <v>0</v>
      </c>
      <c r="AZ14" s="93" t="str">
        <f>IF(14=14,IF($U14="","",IF(SUM(AN14:AW14)+SUMPRODUCT(--ISNUMBER(SEARCH(" "&amp;$CR$2421:$CR$2422&amp;" ",$AX14)))&gt;0,"X",IF(AY14&gt;0,"?",""))),"")</f>
        <v/>
      </c>
      <c r="BA14" s="93">
        <f>IF(14=14,IF($U14="","",SUMPRODUCT(--ISNUMBER(SEARCH(" "&amp;$CR$1384:$CR$1404&amp;" ",$AA14)))),"")</f>
        <v>0</v>
      </c>
      <c r="BB14" s="93" t="str">
        <f>IF(14=14,IF($U14="","",IF((BA14)-(0)&gt;0,"X",IF((0)-(0)&gt;0,"?",""))),"")</f>
        <v/>
      </c>
      <c r="BC14" s="93">
        <f>IF(14=14,IF($U14="","",SUMPRODUCT(--ISNUMBER(SEARCH(" "&amp;$CR$1405:$CR$1442&amp;" ",$BD14)))),"")</f>
        <v>0</v>
      </c>
      <c r="BD14" s="93" t="str">
        <f>IF(14=14,IF($U14="","",SUBSTITUTE(SUBSTITUTE($AA14," "&amp;$CR$1443&amp;" "," ")," "&amp;$CR$1444&amp;" "," ")),"")</f>
        <v xml:space="preserve"> chorizo </v>
      </c>
      <c r="BE14" s="93">
        <f>IF(14=14,IF($U14="","",SUMPRODUCT(--ISNUMBER(SEARCH(" "&amp;$CR$1445:$CR$1455&amp;" ",$BD14)))),"")</f>
        <v>0</v>
      </c>
      <c r="BF14" s="93" t="str">
        <f>IF(14=14,IF($U14="","",IF(BC14&gt;0,"X",IF(BE14&gt;0,"?",""))),"")</f>
        <v/>
      </c>
      <c r="BG14" s="93">
        <f>IF(14=14,IF($U14="","",SUMPRODUCT(--ISNUMBER(SEARCH(" "&amp;$CR$1456:$CR$1555&amp;" ",$BJ14)))),"")</f>
        <v>0</v>
      </c>
      <c r="BH14" s="93">
        <f>IF(14=14,IF($U14="","",SUMPRODUCT(--ISNUMBER(SEARCH(" "&amp;$CR$1556:$CR$1655&amp;" ",$BJ14)))),"")</f>
        <v>0</v>
      </c>
      <c r="BI14" s="93">
        <f>IF(14=14,IF($U14="","",SUMPRODUCT(--ISNUMBER(SEARCH(" "&amp;$CR$1656:$CR$1739&amp;" ",$BJ14)))),"")</f>
        <v>0</v>
      </c>
      <c r="BJ14" s="93" t="str">
        <f>IF(14=14,IF($U14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14,"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chorizo </v>
      </c>
      <c r="BK14" s="93">
        <f>IF(14=14,IF($U14="","",SUMPRODUCT(--ISNUMBER(SEARCH(" "&amp;$CR$1790:$CR$1869&amp;" ",$BL14)))+SUMPRODUCT(--ISNUMBER(SEARCH(" "&amp;$CR$2440:$CR$2453&amp;" ",$BL14)))),"")</f>
        <v>0</v>
      </c>
      <c r="BL14" s="93" t="str">
        <f>IF(14=14,IF($U14="","",SUBSTITUTE(SUBSTITUTE(SUBSTITUTE(SUBSTITUTE(SUBSTITUTE(SUBSTITUTE(SUBSTITUTE(SUBSTITUTE(SUBSTITUTE(SUBSTITUTE(SUBSTITUTE(SUBSTITUTE(SUBSTITUTE($BJ14," "&amp;$CR$1876&amp;" "," ")," "&amp;$CR$1874&amp;" "," ")," "&amp;$CR$2438&amp;" "," ")," "&amp;$CR$2439&amp;" "," ")," "&amp;$CR$1871&amp;" "," ")," "&amp;$CR$1875&amp;" "," ")," "&amp;$CR$1877&amp;" "," ")," "&amp;$CR$1872&amp;" "," ")," "&amp;$CR$1870&amp;" "," ")," "&amp;$CR$1367&amp;" "," ")," "&amp;$CR$1878&amp;" "," ")," "&amp;$CR$1366&amp;" "," ")," "&amp;$CR$1873&amp;" "," ")),"")</f>
        <v xml:space="preserve"> chorizo </v>
      </c>
      <c r="BM14" s="93" t="str">
        <f>IF(14=14,IF($U14="","",IF(SUM(BG14:BI14)+SUMPRODUCT(--ISNUMBER(SEARCH(" "&amp;$CR$2423:$CR$2424&amp;" ",$BJ14)))&gt;0,"X",IF(BK14&gt;0,"?",""))),"")</f>
        <v/>
      </c>
      <c r="BN14" s="93">
        <f>IF(14=14,IF($U14="","",SUMPRODUCT(--ISNUMBER(SEARCH(" "&amp;$CR$1879:$CR$1936&amp;" ",$BO14)))),"")</f>
        <v>0</v>
      </c>
      <c r="BO14" s="93" t="str">
        <f>IF(14=14,IF($U14="","",SUBSTITUTE(SUBSTITUTE(SUBSTITUTE(SUBSTITUTE(SUBSTITUTE(SUBSTITUTE(SUBSTITUTE(SUBSTITUTE(SUBSTITUTE(SUBSTITUTE(SUBSTITUTE(SUBSTITUTE(SUBSTITUTE(SUBSTITUTE(SUBSTITUTE(SUBSTITUTE(SUBSTITUTE(SUBSTITUTE(SUBSTITUTE(SUBSTITUTE(SUBSTITUTE(SUBSTITUTE(SUBSTITUTE($AA14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chorizo </v>
      </c>
      <c r="BP14" s="93">
        <f>IF(14=14,IF($U14="","",SUMPRODUCT(--ISNUMBER(SEARCH(" "&amp;$CR$1960:$CR$1976&amp;" ",$BO14)))),"")</f>
        <v>0</v>
      </c>
      <c r="BQ14" s="93" t="str">
        <f>IF(14=14,IF($U14="","",IF(BN14&gt;0,"X",IF(BP14&gt;0,"?",""))),"")</f>
        <v/>
      </c>
      <c r="BR14" s="93">
        <f>IF(14=14,IF($U14="","",SUMPRODUCT(--ISNUMBER(SEARCH(" "&amp;$CR$1977:$CR$1990&amp;" ",$AA14)))),"")</f>
        <v>0</v>
      </c>
      <c r="BS14" s="93">
        <f>IF(14=14,IF($U14="","",SUMPRODUCT(--ISNUMBER(SEARCH(" "&amp;$CR$1991:$CR$2005&amp;" ",$AA14)))),"")</f>
        <v>0</v>
      </c>
      <c r="BT14" s="93" t="str">
        <f>IF(14=14,IF($U14="","",IF((BR14)-(0)&gt;0,"X",IF((BS14)-(0)&gt;0,"?",""))),"")</f>
        <v/>
      </c>
      <c r="BU14" s="93">
        <f>IF(14=14,IF($U14="","",SUMPRODUCT(--ISNUMBER(SEARCH(" "&amp;$CR$2006:$CR$2023&amp;" ",$AA14)))),"")</f>
        <v>0</v>
      </c>
      <c r="BV14" s="93">
        <f>IF(14=14,IF($U14="","",SUMPRODUCT(--ISNUMBER(SEARCH(" "&amp;$CR$2024:$CR$2038&amp;" ",$AA14)))),"")</f>
        <v>0</v>
      </c>
      <c r="BW14" s="93" t="str">
        <f>IF(14=14,IF($U14="","",IF((BU14)-(0)&gt;0,"X",IF((BV14)-(0)&gt;0,"?",""))),"")</f>
        <v/>
      </c>
      <c r="BX14" s="93">
        <f>IF(14=14,IF($U14="","",SUMPRODUCT(--ISNUMBER(SEARCH(" "&amp;$CR$2039:$CR$2057&amp;" ",$AA14)))),"")</f>
        <v>0</v>
      </c>
      <c r="BY14" s="93">
        <f>IF(14=14,IF($U14="","",SUMPRODUCT(--ISNUMBER(SEARCH(" "&amp;$CR$2058:$CR$2072&amp;" ",$AA14)))),"")</f>
        <v>0</v>
      </c>
      <c r="BZ14" s="93" t="str">
        <f>IF(14=14,IF($U14="","",IF((BX14)-(0)&gt;0,"X",IF((BY14)-(0)&gt;0,"?",""))),"")</f>
        <v/>
      </c>
      <c r="CA14" s="93">
        <f>IF(14=14,IF($U14="","",SUMPRODUCT(--ISNUMBER(SEARCH(" "&amp;$CR$2073:$CR$2093&amp;" ",$AA14)))),"")</f>
        <v>0</v>
      </c>
      <c r="CB14" s="93">
        <f>IF(14=14,IF($U14="","",SUMPRODUCT(--ISNUMBER(SEARCH(" "&amp;$CR$2094:$CR$2133&amp;" ",SUBSTITUTE(SUBSTITUTE($AA14," "&amp;$CR$1367&amp;" "," ")," "&amp;$CR$1366&amp;" "," "))))+--ISNUMBER(SEARCH("poiré",$V14))),"")</f>
        <v>0</v>
      </c>
      <c r="CC14" s="93" t="str">
        <f>IF(14=14,IF($U14="","",IF(OR(CA14&gt;0,ISNUMBER(SEARCH(" vinaigre de vin ",$AA14)),ISNUMBER(SEARCH(" vinaigre au vin ",$AA14))),"X",IF(CB14&gt;0,"?",""))),"")</f>
        <v/>
      </c>
      <c r="CD14" s="93">
        <f>IF(14=14,IF($U14="","",SUMPRODUCT(--ISNUMBER(SEARCH(" "&amp;$CR$2134:$CR$2146&amp;" ",$AA14)))),"")</f>
        <v>0</v>
      </c>
      <c r="CE14" s="93">
        <f>IF(14=14,IF($U14="","",SUMPRODUCT(--ISNUMBER(SEARCH(" "&amp;$CR$2147:$CR$2152&amp;" ",$AA14)))),"")</f>
        <v>0</v>
      </c>
      <c r="CF14" s="93" t="str">
        <f>IF(14=14,IF($U14="","",IF((CD14)-(0)&gt;0,"X",IF((CE14)-(0)&gt;0,"?",""))),"")</f>
        <v/>
      </c>
      <c r="CG14" s="93">
        <f>IF(14=14,IF($U14="","",SUMPRODUCT(--ISNUMBER(SEARCH(" "&amp;$CR$2153:$CR$2252&amp;" ",$CJ14)))),"")</f>
        <v>0</v>
      </c>
      <c r="CH14" s="93">
        <f>IF(14=14,IF($U14="","",SUMPRODUCT(--ISNUMBER(SEARCH(" "&amp;$CR$2253:$CR$2352&amp;" ",$CJ14)))),"")</f>
        <v>0</v>
      </c>
      <c r="CI14" s="93">
        <f>IF(14=14,IF($U14="","",SUMPRODUCT(--ISNUMBER(SEARCH(" "&amp;$CR$2353:$CR$2395&amp;" ",$CJ14)))),"")</f>
        <v>0</v>
      </c>
      <c r="CJ14" s="93" t="str">
        <f>IF(14=14,IF($U14="","",SUBSTITUTE(SUBSTITUTE(SUBSTITUTE(SUBSTITUTE(SUBSTITUTE(SUBSTITUTE(SUBSTITUTE(SUBSTITUTE(SUBSTITUTE(SUBSTITUTE(SUBSTITUTE(SUBSTITUTE(SUBSTITUTE(SUBSTITUTE(SUBSTITUTE(SUBSTITUTE($AA14," "&amp;$CR$2401&amp;" "," ")," "&amp;$CR$2400&amp;" "," ")," "&amp;$CR$2399&amp;" "," ")," "&amp;$CR$2406&amp;" "," ")," "&amp;$CR$2398&amp;" "," ")," "&amp;$CR$2410&amp;" "," ")," "&amp;$CR$2397&amp;" "," ")," "&amp;$CR$2402&amp;" "," ")," "&amp;$CR$2405&amp;" "," ")," "&amp;$CR$2396&amp;" "," ")," "&amp;$CR$2404&amp;" "," ")," "&amp;$CR$2411&amp;" "," ")," "&amp;$CR$2408&amp;" "," ")," "&amp;$CR$2403&amp;" "," ")," "&amp;$CR$2407&amp;" "," ")," "&amp;$CR$2409&amp;" "," ")),"")</f>
        <v xml:space="preserve"> chorizo </v>
      </c>
      <c r="CK14" s="93">
        <f>IF(14=14,IF($U14="","",SUMPRODUCT(--ISNUMBER(SEARCH(" "&amp;$CR$2412:$CR$2416&amp;" ",$CJ14)))),"")</f>
        <v>0</v>
      </c>
      <c r="CL14" s="93" t="str">
        <f>IF(14=14,IF($U14="","",IF(SUM(CG14:CI14)&gt;0,"X",IF(CK14&gt;0,"?",""))),"")</f>
        <v/>
      </c>
      <c r="CM14" s="102"/>
      <c r="CN14" s="112" t="s">
        <v>632</v>
      </c>
      <c r="CO14" s="112" t="s">
        <v>522</v>
      </c>
      <c r="CP14" s="112" t="s">
        <v>523</v>
      </c>
      <c r="CQ14" s="112" t="s">
        <v>633</v>
      </c>
      <c r="CR14" s="112" t="s">
        <v>633</v>
      </c>
      <c r="CS14" s="112" t="s">
        <v>525</v>
      </c>
      <c r="CT14" s="112" t="s">
        <v>526</v>
      </c>
      <c r="CU14" s="112" t="s">
        <v>527</v>
      </c>
      <c r="CV14" s="113" t="s">
        <v>528</v>
      </c>
      <c r="CX14" s="36">
        <v>1</v>
      </c>
    </row>
    <row r="15" spans="1:102" ht="21" customHeight="1" x14ac:dyDescent="0.25">
      <c r="A15" s="135">
        <v>9</v>
      </c>
      <c r="B15" s="136" t="s">
        <v>5855</v>
      </c>
      <c r="C15" s="137" t="str">
        <f t="shared" si="0"/>
        <v>Choux-fleurs</v>
      </c>
      <c r="D15" s="138" t="str">
        <f>IF(15=15,IF($B15="","",IF(E15="X",""&amp;"Céréales contenant du gluten","")&amp;IF(F15="X",IF(COUNTIF($E15:$E15,"X")&gt;0,", ","")&amp;"Crustacés","")&amp;IF(G15="X",IF(COUNTIF($E15:$F15,"X")&gt;0,", ","")&amp;"Œufs","")&amp;IF(H15="X",IF(COUNTIF($E15:$G15,"X")&gt;0,", ","")&amp;"Poissons","")&amp;IF(I15="X",IF(COUNTIF($E15:$H15,"X")&gt;0,", ","")&amp;"Arachides","")&amp;IF(J15="X",IF(COUNTIF($E15:$I15,"X")&gt;0,", ","")&amp;"Soja","")&amp;IF(K15="X",IF(COUNTIF($E15:$J15,"X")&gt;0,", ","")&amp;"Lait","")&amp;IF(L15="X",IF(COUNTIF($E15:$K15,"X")&gt;0,", ","")&amp;"Fruits à coque","")&amp;IF(M15="X",IF(COUNTIF($E15:$L15,"X")&gt;0,", ","")&amp;"Céleri","")&amp;IF(N15="X",IF(COUNTIF($E15:$M15,"X")&gt;0,", ","")&amp;"Moutarde","")&amp;IF(O15="X",IF(COUNTIF($E15:$N15,"X")&gt;0,", ","")&amp;"Sésame","")&amp;IF(P15="X",IF(COUNTIF($E15:$O15,"X")&gt;0,", ","")&amp;"Sulfites","")&amp;IF(Q15="X",IF(COUNTIF($E15:$P15,"X")&gt;0,", ","")&amp;"Lupin","")&amp;IF(R15="X",IF(COUNTIF($E15:$Q15,"X")&gt;0,", ","")&amp;"Mollusques","")),"")</f>
        <v/>
      </c>
      <c r="E15" s="139" t="str">
        <f>IF(15=15,IF($B15="","",AF15),"")</f>
        <v/>
      </c>
      <c r="F15" s="139" t="str">
        <f>IF(15=15,IF($B15="","",AI15),"")</f>
        <v/>
      </c>
      <c r="G15" s="139" t="str">
        <f>IF(15=15,IF($B15="","",AM15),"")</f>
        <v/>
      </c>
      <c r="H15" s="139" t="str">
        <f>IF(15=15,IF($B15="","",IF(ISNUMBER(SEARCH(" colin ",$AA15)),"X",AZ15)),"")</f>
        <v/>
      </c>
      <c r="I15" s="139" t="str">
        <f>IF(15=15,IF($B15="","",BB15),"")</f>
        <v/>
      </c>
      <c r="J15" s="139" t="str">
        <f>IF(15=15,IF($B15="","",BF15),"")</f>
        <v/>
      </c>
      <c r="K15" s="139" t="str">
        <f>IF(15=15,IF($B15="","",BM15),"")</f>
        <v/>
      </c>
      <c r="L15" s="139" t="str">
        <f>IF(15=15,IF($B15="","",BQ15),"")</f>
        <v/>
      </c>
      <c r="M15" s="139" t="str">
        <f>IF(15=15,IF($B15="","",BT15),"")</f>
        <v/>
      </c>
      <c r="N15" s="139" t="str">
        <f>IF(15=15,IF($B15="","",BW15),"")</f>
        <v/>
      </c>
      <c r="O15" s="139" t="str">
        <f>IF(15=15,IF($B15="","",BZ15),"")</f>
        <v/>
      </c>
      <c r="P15" s="139" t="str">
        <f>IF(15=15,IF($B15="","",CC15),"")</f>
        <v/>
      </c>
      <c r="Q15" s="139" t="str">
        <f>IF(15=15,IF($B15="","",CF15),"")</f>
        <v/>
      </c>
      <c r="R15" s="139" t="str">
        <f>IF(15=15,IF($B15="","",CL15),"")</f>
        <v/>
      </c>
      <c r="S15" s="140" t="str">
        <f>IF(15=15,IF($B15="","",IF(E15="?",""&amp;"Céréales contenant du gluten","")&amp;IF(F15="?",IF(COUNTIF($E15:$E15,"~?")&gt;0,", ","")&amp;"Crustacés","")&amp;IF(G15="?",IF(COUNTIF($E15:$F15,"~?")&gt;0,", ","")&amp;"Œufs","")&amp;IF(H15="?",IF(COUNTIF($E15:$G15,"~?")&gt;0,", ","")&amp;"Poissons","")&amp;IF(I15="?",IF(COUNTIF($E15:$H15,"~?")&gt;0,", ","")&amp;"Arachides","")&amp;IF(J15="?",IF(COUNTIF($E15:$I15,"~?")&gt;0,", ","")&amp;"Soja","")&amp;IF(K15="?",IF(COUNTIF($E15:$J15,"~?")&gt;0,", ","")&amp;"Lait","")&amp;IF(L15="?",IF(COUNTIF($E15:$K15,"~?")&gt;0,", ","")&amp;"Fruits à coque","")&amp;IF(M15="?",IF(COUNTIF($E15:$L15,"~?")&gt;0,", ","")&amp;"Céleri","")&amp;IF(N15="?",IF(COUNTIF($E15:$M15,"~?")&gt;0,", ","")&amp;"Moutarde","")&amp;IF(O15="?",IF(COUNTIF($E15:$N15,"~?")&gt;0,", ","")&amp;"Sésame","")&amp;IF(P15="?",IF(COUNTIF($E15:$O15,"~?")&gt;0,", ","")&amp;"Sulfites","")&amp;IF(Q15="?",IF(COUNTIF($E15:$P15,"~?")&gt;0,", ","")&amp;"Lupin","")&amp;IF(R15="?",IF(COUNTIF($E15:$Q15,"~?")&gt;0,", ","")&amp;"Mollusques","")),"")</f>
        <v/>
      </c>
      <c r="U15" s="93" t="str">
        <f>IF(15=15,IF($B15="","",$B15),"")</f>
        <v>Choux-fleurs</v>
      </c>
      <c r="V15" s="93" t="str">
        <f>IF(15=15,LOWER(CLEAN(SUBSTITUTE(SUBSTITUTE(SUBSTITUTE(SUBSTITUTE($U15,CHAR(160)," ")," "," "),CHAR(10)," "),CHAR(13)," "))),"")</f>
        <v>choux-fleurs</v>
      </c>
      <c r="W15" s="93" t="str">
        <f>IF(15=15,SUBSTITUTE(SUBSTITUTE(SUBSTITUTE(SUBSTITUTE(SUBSTITUTE(SUBSTITUTE(SUBSTITUTE(SUBSTITUTE(SUBSTITUTE(SUBSTITUTE(SUBSTITUTE(SUBSTITUTE($V15,"œ","oe"),"æ","ae"),"à","a"),"á","a"),"â","a"),"ä","a"),"ã","a"),"ç","c"),"è","e"),"é","e"),"ê","e"),"ë","e"),"")</f>
        <v>choux-fleurs</v>
      </c>
      <c r="X15" s="93" t="str">
        <f>IF(15=15,SUBSTITUTE(SUBSTITUTE(SUBSTITUTE(SUBSTITUTE(SUBSTITUTE(SUBSTITUTE(SUBSTITUTE(SUBSTITUTE(SUBSTITUTE(SUBSTITUTE(SUBSTITUTE(SUBSTITUTE(SUBSTITUTE(SUBSTITUTE(SUBSTITUTE(SUBSTITUTE($W15,"ì","i"),"í","i"),"î","i"),"ï","i"),"ñ","n"),"ò","o"),"ó","o"),"ô","o"),"ö","o"),"õ","o"),"ù","u"),"ú","u"),"û","u"),"ü","u"),"ý","y"),"ÿ","y"),"")</f>
        <v>choux-fleurs</v>
      </c>
      <c r="Y15" s="93" t="str">
        <f>IF(15=15,SUBSTITUTE(SUBSTITUTE(SUBSTITUTE(SUBSTITUTE(SUBSTITUTE(SUBSTITUTE(SUBSTITUTE(SUBSTITUTE(SUBSTITUTE(SUBSTITUTE(SUBSTITUTE(SUBSTITUTE(SUBSTITUTE(SUBSTITUTE($X15,"’"," "),"`"," "),"–"," "),"—"," "),"-"," "),"'"," "),"/"," "),"_"," "),","," "),"."," "),"("," "),")"," "),";"," "),":"," "),"")</f>
        <v>choux fleurs</v>
      </c>
      <c r="Z15" s="93" t="str">
        <f>IF(15=15,SUBSTITUTE(SUBSTITUTE(SUBSTITUTE(SUBSTITUTE(SUBSTITUTE(SUBSTITUTE(SUBSTITUTE(SUBSTITUTE(SUBSTITUTE(SUBSTITUTE(SUBSTITUTE(SUBSTITUTE(SUBSTITUTE(SUBSTITUTE(SUBSTITUTE($Y15,"!"," "),"?"," "),"+"," "),"*"," "),"&amp;"," "),"["," "),"]"," "),"{"," "),"}"," "),"%"," "),"="," "),"\"," "),"|"," "),"&lt;"," "),"&gt;"," "),"")</f>
        <v>choux fleurs</v>
      </c>
      <c r="AA15" s="93" t="str">
        <f>IF(15=15," "&amp;TRIM(SUBSTITUTE(SUBSTITUTE(SUBSTITUTE(SUBSTITUTE(SUBSTITUTE(SUBSTITUTE($Z15,CHAR(34)," "),"  "," "),"  "," "),"  "," "),"  "," "),"  "," "))&amp;" ","")</f>
        <v xml:space="preserve"> choux fleurs </v>
      </c>
      <c r="AB15" s="93">
        <f>IF(15=15,IF($U15="","",SUMPRODUCT(--ISNUMBER(SEARCH(" "&amp;$CR$2:$CR$101&amp;" ",$AD15)))),"")</f>
        <v>0</v>
      </c>
      <c r="AC15" s="93">
        <f>IF(15=15,IF($U15="","",SUMPRODUCT(--ISNUMBER(SEARCH(" "&amp;$CR$102:$CR$151&amp;" ",$AD15)))),"")</f>
        <v>0</v>
      </c>
      <c r="AD15" s="93" t="str">
        <f t="shared" si="1"/>
        <v xml:space="preserve"> choux fleurs </v>
      </c>
      <c r="AE15" s="93">
        <f t="shared" si="2"/>
        <v>0</v>
      </c>
      <c r="AF15" s="93" t="str">
        <f>IF(15=15,IF($U15="","",IF(SUM(AB15:AC15)+SUMPRODUCT(--ISNUMBER(SEARCH(" "&amp;$CR$2418:$CR$2420&amp;" ",$AD15)))&gt;0,"X",IF(AE15&gt;0,"?",""))),"")</f>
        <v/>
      </c>
      <c r="AG15" s="93">
        <f>IF(15=15,IF($U15="","",SUMPRODUCT(--ISNUMBER(SEARCH(" "&amp;$CR$206:$CR$305&amp;" ",$AA15)))),"")</f>
        <v>0</v>
      </c>
      <c r="AH15" s="93">
        <f>IF(15=15,IF($U15="","",SUMPRODUCT(--ISNUMBER(SEARCH(" "&amp;$CR$306:$CR$340&amp;" ",$AA15)))),"")</f>
        <v>0</v>
      </c>
      <c r="AI15" s="93" t="str">
        <f>IF(15=15,IF($U15="","",IF((SUM(AG15:AH15))-(0)&gt;0,"X",IF((0)-(0)&gt;0,"?",""))),"")</f>
        <v/>
      </c>
      <c r="AJ15" s="93">
        <f>IF(15=15,IF($U15="","",SUMPRODUCT(--ISNUMBER(SEARCH(" "&amp;$CR$341:$CR$398&amp;" ",$AA15)))),"")</f>
        <v>0</v>
      </c>
      <c r="AK15" s="93">
        <f>IF(15=15,IF($U15="","",SUMPRODUCT(--ISNUMBER(SEARCH(" "&amp;$CR$399:$CR$426&amp;" ",$AL15)))+SUMPRODUCT(--ISNUMBER(SEARCH(" "&amp;$CR$2440:$CR$2453&amp;" ",$AL15)))),"")</f>
        <v>0</v>
      </c>
      <c r="AL15" s="93" t="str">
        <f>IF(15=15,IF($U15="","",SUBSTITUTE(SUBSTITUTE(SUBSTITUTE(SUBSTITUTE(SUBSTITUTE(SUBSTITUTE(SUBSTITUTE(SUBSTITUTE(SUBSTITUTE(SUBSTITUTE(SUBSTITUTE(SUBSTITUTE(SUBSTITUTE(SUBSTITUTE($AA15," "&amp;$CR$2455&amp;" "," ")," "&amp;$CR$433&amp;" "," ")," "&amp;$CR$431&amp;" "," ")," "&amp;$CR$2438&amp;" "," ")," "&amp;$CR$2439&amp;" "," ")," "&amp;$CR$428&amp;" "," ")," "&amp;$CR$432&amp;" "," ")," "&amp;$CR$434&amp;" "," ")," "&amp;$CR$429&amp;" "," ")," "&amp;$CR$427&amp;" "," ")," "&amp;$CR$1367&amp;" "," ")," "&amp;$CR$435&amp;" "," ")," "&amp;$CR$1366&amp;" "," ")," "&amp;$CR$430&amp;" "," ")),"")</f>
        <v xml:space="preserve"> choux fleurs </v>
      </c>
      <c r="AM15" s="93" t="str">
        <f>IF(15=15,IF($U15="","",IF(AJ15&gt;0,"X",IF(AK15&gt;0,"?",""))),"")</f>
        <v/>
      </c>
      <c r="AN15" s="93">
        <f>IF(15=15,IF($U15="","",SUMPRODUCT(--ISNUMBER(SEARCH(" "&amp;$CR$436:$CR$535&amp;" ",$AX15)))),"")</f>
        <v>0</v>
      </c>
      <c r="AO15" s="93">
        <f>IF(15=15,IF($U15="","",SUMPRODUCT(--ISNUMBER(SEARCH(" "&amp;$CR$536:$CR$635&amp;" ",$AX15)))),"")</f>
        <v>0</v>
      </c>
      <c r="AP15" s="93">
        <f>IF(15=15,IF($U15="","",SUMPRODUCT(--ISNUMBER(SEARCH(" "&amp;$CR$636:$CR$735&amp;" ",$AX15)))),"")</f>
        <v>0</v>
      </c>
      <c r="AQ15" s="93">
        <f>IF(15=15,IF($U15="","",SUMPRODUCT(--ISNUMBER(SEARCH(" "&amp;$CR$736:$CR$835&amp;" ",$AX15)))),"")</f>
        <v>0</v>
      </c>
      <c r="AR15" s="93">
        <f>IF(15=15,IF($U15="","",SUMPRODUCT(--ISNUMBER(SEARCH(" "&amp;$CR$836:$CR$935&amp;" ",$AX15)))),"")</f>
        <v>0</v>
      </c>
      <c r="AS15" s="93">
        <f>IF(15=15,IF($U15="","",SUMPRODUCT(--ISNUMBER(SEARCH(" "&amp;$CR$936:$CR$1035&amp;" ",$AX15)))),"")</f>
        <v>0</v>
      </c>
      <c r="AT15" s="93">
        <f>IF(15=15,IF($U15="","",SUMPRODUCT(--ISNUMBER(SEARCH(" "&amp;$CR$1036:$CR$1135&amp;" ",$AX15)))),"")</f>
        <v>0</v>
      </c>
      <c r="AU15" s="93">
        <f>IF(15=15,IF($U15="","",SUMPRODUCT(--ISNUMBER(SEARCH(" "&amp;$CR$1136:$CR$1235&amp;" ",$AX15)))),"")</f>
        <v>0</v>
      </c>
      <c r="AV15" s="93">
        <f>IF(15=15,IF($U15="","",SUMPRODUCT(--ISNUMBER(SEARCH(" "&amp;$CR$1236:$CR$1335&amp;" ",$AX15)))),"")</f>
        <v>0</v>
      </c>
      <c r="AW15" s="93">
        <f>IF(15=15,IF($U15="","",SUMPRODUCT(--ISNUMBER(SEARCH(" "&amp;$CR$1336:$CR$1363&amp;" ",$AX15)))),"")</f>
        <v>0</v>
      </c>
      <c r="AX15" s="93" t="str">
        <f>IF(15=15,IF($U15="","",SUBSTITUTE(SUBSTITUTE(SUBSTITUTE(SUBSTITUTE(SUBSTITUTE(SUBSTITUTE(SUBSTITUTE(SUBSTITUTE(SUBSTITUTE($AA15," "&amp;$CR$1365&amp;" "," ")," "&amp;$CR$1364&amp;" "," ")," "&amp;$CR$1370&amp;" "," ")," "&amp;$CR$1371&amp;" "," ")," "&amp;$CR$1367&amp;" "," ")," "&amp;$CR$1369&amp;" "," ")," "&amp;$CR$1366&amp;" "," ")," "&amp;$CR$1368&amp;" "," ")," "&amp;$CR$1372&amp;" "," ")),"")</f>
        <v xml:space="preserve"> choux fleurs </v>
      </c>
      <c r="AY15" s="93">
        <f>IF(15=15,IF($U15="","",SUMPRODUCT(--ISNUMBER(SEARCH(" "&amp;$CR$1373:$CR$1383&amp;" ",$AX15)))),"")</f>
        <v>0</v>
      </c>
      <c r="AZ15" s="93" t="str">
        <f>IF(15=15,IF($U15="","",IF(SUM(AN15:AW15)+SUMPRODUCT(--ISNUMBER(SEARCH(" "&amp;$CR$2421:$CR$2422&amp;" ",$AX15)))&gt;0,"X",IF(AY15&gt;0,"?",""))),"")</f>
        <v/>
      </c>
      <c r="BA15" s="93">
        <f>IF(15=15,IF($U15="","",SUMPRODUCT(--ISNUMBER(SEARCH(" "&amp;$CR$1384:$CR$1404&amp;" ",$AA15)))),"")</f>
        <v>0</v>
      </c>
      <c r="BB15" s="93" t="str">
        <f>IF(15=15,IF($U15="","",IF((BA15)-(0)&gt;0,"X",IF((0)-(0)&gt;0,"?",""))),"")</f>
        <v/>
      </c>
      <c r="BC15" s="93">
        <f>IF(15=15,IF($U15="","",SUMPRODUCT(--ISNUMBER(SEARCH(" "&amp;$CR$1405:$CR$1442&amp;" ",$BD15)))),"")</f>
        <v>0</v>
      </c>
      <c r="BD15" s="93" t="str">
        <f>IF(15=15,IF($U15="","",SUBSTITUTE(SUBSTITUTE($AA15," "&amp;$CR$1443&amp;" "," ")," "&amp;$CR$1444&amp;" "," ")),"")</f>
        <v xml:space="preserve"> choux fleurs </v>
      </c>
      <c r="BE15" s="93">
        <f>IF(15=15,IF($U15="","",SUMPRODUCT(--ISNUMBER(SEARCH(" "&amp;$CR$1445:$CR$1455&amp;" ",$BD15)))),"")</f>
        <v>0</v>
      </c>
      <c r="BF15" s="93" t="str">
        <f>IF(15=15,IF($U15="","",IF(BC15&gt;0,"X",IF(BE15&gt;0,"?",""))),"")</f>
        <v/>
      </c>
      <c r="BG15" s="93">
        <f>IF(15=15,IF($U15="","",SUMPRODUCT(--ISNUMBER(SEARCH(" "&amp;$CR$1456:$CR$1555&amp;" ",$BJ15)))),"")</f>
        <v>0</v>
      </c>
      <c r="BH15" s="93">
        <f>IF(15=15,IF($U15="","",SUMPRODUCT(--ISNUMBER(SEARCH(" "&amp;$CR$1556:$CR$1655&amp;" ",$BJ15)))),"")</f>
        <v>0</v>
      </c>
      <c r="BI15" s="93">
        <f>IF(15=15,IF($U15="","",SUMPRODUCT(--ISNUMBER(SEARCH(" "&amp;$CR$1656:$CR$1739&amp;" ",$BJ15)))),"")</f>
        <v>0</v>
      </c>
      <c r="BJ15" s="93" t="str">
        <f>IF(15=15,IF($U15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15,"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choux fleurs </v>
      </c>
      <c r="BK15" s="93">
        <f>IF(15=15,IF($U15="","",SUMPRODUCT(--ISNUMBER(SEARCH(" "&amp;$CR$1790:$CR$1869&amp;" ",$BL15)))+SUMPRODUCT(--ISNUMBER(SEARCH(" "&amp;$CR$2440:$CR$2453&amp;" ",$BL15)))),"")</f>
        <v>0</v>
      </c>
      <c r="BL15" s="93" t="str">
        <f>IF(15=15,IF($U15="","",SUBSTITUTE(SUBSTITUTE(SUBSTITUTE(SUBSTITUTE(SUBSTITUTE(SUBSTITUTE(SUBSTITUTE(SUBSTITUTE(SUBSTITUTE(SUBSTITUTE(SUBSTITUTE(SUBSTITUTE(SUBSTITUTE($BJ15," "&amp;$CR$1876&amp;" "," ")," "&amp;$CR$1874&amp;" "," ")," "&amp;$CR$2438&amp;" "," ")," "&amp;$CR$2439&amp;" "," ")," "&amp;$CR$1871&amp;" "," ")," "&amp;$CR$1875&amp;" "," ")," "&amp;$CR$1877&amp;" "," ")," "&amp;$CR$1872&amp;" "," ")," "&amp;$CR$1870&amp;" "," ")," "&amp;$CR$1367&amp;" "," ")," "&amp;$CR$1878&amp;" "," ")," "&amp;$CR$1366&amp;" "," ")," "&amp;$CR$1873&amp;" "," ")),"")</f>
        <v xml:space="preserve"> choux fleurs </v>
      </c>
      <c r="BM15" s="93" t="str">
        <f>IF(15=15,IF($U15="","",IF(SUM(BG15:BI15)+SUMPRODUCT(--ISNUMBER(SEARCH(" "&amp;$CR$2423:$CR$2424&amp;" ",$BJ15)))&gt;0,"X",IF(BK15&gt;0,"?",""))),"")</f>
        <v/>
      </c>
      <c r="BN15" s="93">
        <f>IF(15=15,IF($U15="","",SUMPRODUCT(--ISNUMBER(SEARCH(" "&amp;$CR$1879:$CR$1936&amp;" ",$BO15)))),"")</f>
        <v>0</v>
      </c>
      <c r="BO15" s="93" t="str">
        <f>IF(15=15,IF($U15="","",SUBSTITUTE(SUBSTITUTE(SUBSTITUTE(SUBSTITUTE(SUBSTITUTE(SUBSTITUTE(SUBSTITUTE(SUBSTITUTE(SUBSTITUTE(SUBSTITUTE(SUBSTITUTE(SUBSTITUTE(SUBSTITUTE(SUBSTITUTE(SUBSTITUTE(SUBSTITUTE(SUBSTITUTE(SUBSTITUTE(SUBSTITUTE(SUBSTITUTE(SUBSTITUTE(SUBSTITUTE(SUBSTITUTE($AA15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choux fleurs </v>
      </c>
      <c r="BP15" s="93">
        <f>IF(15=15,IF($U15="","",SUMPRODUCT(--ISNUMBER(SEARCH(" "&amp;$CR$1960:$CR$1976&amp;" ",$BO15)))),"")</f>
        <v>0</v>
      </c>
      <c r="BQ15" s="93" t="str">
        <f>IF(15=15,IF($U15="","",IF(BN15&gt;0,"X",IF(BP15&gt;0,"?",""))),"")</f>
        <v/>
      </c>
      <c r="BR15" s="93">
        <f>IF(15=15,IF($U15="","",SUMPRODUCT(--ISNUMBER(SEARCH(" "&amp;$CR$1977:$CR$1990&amp;" ",$AA15)))),"")</f>
        <v>0</v>
      </c>
      <c r="BS15" s="93">
        <f>IF(15=15,IF($U15="","",SUMPRODUCT(--ISNUMBER(SEARCH(" "&amp;$CR$1991:$CR$2005&amp;" ",$AA15)))),"")</f>
        <v>0</v>
      </c>
      <c r="BT15" s="93" t="str">
        <f>IF(15=15,IF($U15="","",IF((BR15)-(0)&gt;0,"X",IF((BS15)-(0)&gt;0,"?",""))),"")</f>
        <v/>
      </c>
      <c r="BU15" s="93">
        <f>IF(15=15,IF($U15="","",SUMPRODUCT(--ISNUMBER(SEARCH(" "&amp;$CR$2006:$CR$2023&amp;" ",$AA15)))),"")</f>
        <v>0</v>
      </c>
      <c r="BV15" s="93">
        <f>IF(15=15,IF($U15="","",SUMPRODUCT(--ISNUMBER(SEARCH(" "&amp;$CR$2024:$CR$2038&amp;" ",$AA15)))),"")</f>
        <v>0</v>
      </c>
      <c r="BW15" s="93" t="str">
        <f>IF(15=15,IF($U15="","",IF((BU15)-(0)&gt;0,"X",IF((BV15)-(0)&gt;0,"?",""))),"")</f>
        <v/>
      </c>
      <c r="BX15" s="93">
        <f>IF(15=15,IF($U15="","",SUMPRODUCT(--ISNUMBER(SEARCH(" "&amp;$CR$2039:$CR$2057&amp;" ",$AA15)))),"")</f>
        <v>0</v>
      </c>
      <c r="BY15" s="93">
        <f>IF(15=15,IF($U15="","",SUMPRODUCT(--ISNUMBER(SEARCH(" "&amp;$CR$2058:$CR$2072&amp;" ",$AA15)))),"")</f>
        <v>0</v>
      </c>
      <c r="BZ15" s="93" t="str">
        <f>IF(15=15,IF($U15="","",IF((BX15)-(0)&gt;0,"X",IF((BY15)-(0)&gt;0,"?",""))),"")</f>
        <v/>
      </c>
      <c r="CA15" s="93">
        <f>IF(15=15,IF($U15="","",SUMPRODUCT(--ISNUMBER(SEARCH(" "&amp;$CR$2073:$CR$2093&amp;" ",$AA15)))),"")</f>
        <v>0</v>
      </c>
      <c r="CB15" s="93">
        <f>IF(15=15,IF($U15="","",SUMPRODUCT(--ISNUMBER(SEARCH(" "&amp;$CR$2094:$CR$2133&amp;" ",SUBSTITUTE(SUBSTITUTE($AA15," "&amp;$CR$1367&amp;" "," ")," "&amp;$CR$1366&amp;" "," "))))+--ISNUMBER(SEARCH("poiré",$V15))),"")</f>
        <v>0</v>
      </c>
      <c r="CC15" s="93" t="str">
        <f>IF(15=15,IF($U15="","",IF(OR(CA15&gt;0,ISNUMBER(SEARCH(" vinaigre de vin ",$AA15)),ISNUMBER(SEARCH(" vinaigre au vin ",$AA15))),"X",IF(CB15&gt;0,"?",""))),"")</f>
        <v/>
      </c>
      <c r="CD15" s="93">
        <f>IF(15=15,IF($U15="","",SUMPRODUCT(--ISNUMBER(SEARCH(" "&amp;$CR$2134:$CR$2146&amp;" ",$AA15)))),"")</f>
        <v>0</v>
      </c>
      <c r="CE15" s="93">
        <f>IF(15=15,IF($U15="","",SUMPRODUCT(--ISNUMBER(SEARCH(" "&amp;$CR$2147:$CR$2152&amp;" ",$AA15)))),"")</f>
        <v>0</v>
      </c>
      <c r="CF15" s="93" t="str">
        <f>IF(15=15,IF($U15="","",IF((CD15)-(0)&gt;0,"X",IF((CE15)-(0)&gt;0,"?",""))),"")</f>
        <v/>
      </c>
      <c r="CG15" s="93">
        <f>IF(15=15,IF($U15="","",SUMPRODUCT(--ISNUMBER(SEARCH(" "&amp;$CR$2153:$CR$2252&amp;" ",$CJ15)))),"")</f>
        <v>0</v>
      </c>
      <c r="CH15" s="93">
        <f>IF(15=15,IF($U15="","",SUMPRODUCT(--ISNUMBER(SEARCH(" "&amp;$CR$2253:$CR$2352&amp;" ",$CJ15)))),"")</f>
        <v>0</v>
      </c>
      <c r="CI15" s="93">
        <f>IF(15=15,IF($U15="","",SUMPRODUCT(--ISNUMBER(SEARCH(" "&amp;$CR$2353:$CR$2395&amp;" ",$CJ15)))),"")</f>
        <v>0</v>
      </c>
      <c r="CJ15" s="93" t="str">
        <f>IF(15=15,IF($U15="","",SUBSTITUTE(SUBSTITUTE(SUBSTITUTE(SUBSTITUTE(SUBSTITUTE(SUBSTITUTE(SUBSTITUTE(SUBSTITUTE(SUBSTITUTE(SUBSTITUTE(SUBSTITUTE(SUBSTITUTE(SUBSTITUTE(SUBSTITUTE(SUBSTITUTE(SUBSTITUTE($AA15," "&amp;$CR$2401&amp;" "," ")," "&amp;$CR$2400&amp;" "," ")," "&amp;$CR$2399&amp;" "," ")," "&amp;$CR$2406&amp;" "," ")," "&amp;$CR$2398&amp;" "," ")," "&amp;$CR$2410&amp;" "," ")," "&amp;$CR$2397&amp;" "," ")," "&amp;$CR$2402&amp;" "," ")," "&amp;$CR$2405&amp;" "," ")," "&amp;$CR$2396&amp;" "," ")," "&amp;$CR$2404&amp;" "," ")," "&amp;$CR$2411&amp;" "," ")," "&amp;$CR$2408&amp;" "," ")," "&amp;$CR$2403&amp;" "," ")," "&amp;$CR$2407&amp;" "," ")," "&amp;$CR$2409&amp;" "," ")),"")</f>
        <v xml:space="preserve"> choux fleurs </v>
      </c>
      <c r="CK15" s="93">
        <f>IF(15=15,IF($U15="","",SUMPRODUCT(--ISNUMBER(SEARCH(" "&amp;$CR$2412:$CR$2416&amp;" ",$CJ15)))),"")</f>
        <v>0</v>
      </c>
      <c r="CL15" s="93" t="str">
        <f>IF(15=15,IF($U15="","",IF(SUM(CG15:CI15)&gt;0,"X",IF(CK15&gt;0,"?",""))),"")</f>
        <v/>
      </c>
      <c r="CM15" s="102"/>
      <c r="CN15" s="112" t="s">
        <v>634</v>
      </c>
      <c r="CO15" s="112" t="s">
        <v>522</v>
      </c>
      <c r="CP15" s="112" t="s">
        <v>523</v>
      </c>
      <c r="CQ15" s="112" t="s">
        <v>635</v>
      </c>
      <c r="CR15" s="112" t="s">
        <v>636</v>
      </c>
      <c r="CS15" s="112" t="s">
        <v>525</v>
      </c>
      <c r="CT15" s="112" t="s">
        <v>526</v>
      </c>
      <c r="CU15" s="112" t="s">
        <v>527</v>
      </c>
      <c r="CV15" s="113" t="s">
        <v>528</v>
      </c>
      <c r="CX15" s="36">
        <v>1</v>
      </c>
    </row>
    <row r="16" spans="1:102" ht="21" customHeight="1" x14ac:dyDescent="0.25">
      <c r="A16" s="135">
        <v>10</v>
      </c>
      <c r="B16" s="136" t="s">
        <v>5856</v>
      </c>
      <c r="C16" s="137" t="str">
        <f t="shared" si="0"/>
        <v>Citrons</v>
      </c>
      <c r="D16" s="138" t="str">
        <f>IF(16=16,IF($B16="","",IF(E16="X",""&amp;"Céréales contenant du gluten","")&amp;IF(F16="X",IF(COUNTIF($E16:$E16,"X")&gt;0,", ","")&amp;"Crustacés","")&amp;IF(G16="X",IF(COUNTIF($E16:$F16,"X")&gt;0,", ","")&amp;"Œufs","")&amp;IF(H16="X",IF(COUNTIF($E16:$G16,"X")&gt;0,", ","")&amp;"Poissons","")&amp;IF(I16="X",IF(COUNTIF($E16:$H16,"X")&gt;0,", ","")&amp;"Arachides","")&amp;IF(J16="X",IF(COUNTIF($E16:$I16,"X")&gt;0,", ","")&amp;"Soja","")&amp;IF(K16="X",IF(COUNTIF($E16:$J16,"X")&gt;0,", ","")&amp;"Lait","")&amp;IF(L16="X",IF(COUNTIF($E16:$K16,"X")&gt;0,", ","")&amp;"Fruits à coque","")&amp;IF(M16="X",IF(COUNTIF($E16:$L16,"X")&gt;0,", ","")&amp;"Céleri","")&amp;IF(N16="X",IF(COUNTIF($E16:$M16,"X")&gt;0,", ","")&amp;"Moutarde","")&amp;IF(O16="X",IF(COUNTIF($E16:$N16,"X")&gt;0,", ","")&amp;"Sésame","")&amp;IF(P16="X",IF(COUNTIF($E16:$O16,"X")&gt;0,", ","")&amp;"Sulfites","")&amp;IF(Q16="X",IF(COUNTIF($E16:$P16,"X")&gt;0,", ","")&amp;"Lupin","")&amp;IF(R16="X",IF(COUNTIF($E16:$Q16,"X")&gt;0,", ","")&amp;"Mollusques","")),"")</f>
        <v/>
      </c>
      <c r="E16" s="139" t="str">
        <f>IF(16=16,IF($B16="","",AF16),"")</f>
        <v/>
      </c>
      <c r="F16" s="139" t="str">
        <f>IF(16=16,IF($B16="","",AI16),"")</f>
        <v/>
      </c>
      <c r="G16" s="139" t="str">
        <f>IF(16=16,IF($B16="","",AM16),"")</f>
        <v/>
      </c>
      <c r="H16" s="139" t="str">
        <f>IF(16=16,IF($B16="","",IF(ISNUMBER(SEARCH(" colin ",$AA16)),"X",AZ16)),"")</f>
        <v/>
      </c>
      <c r="I16" s="139" t="str">
        <f>IF(16=16,IF($B16="","",BB16),"")</f>
        <v/>
      </c>
      <c r="J16" s="139" t="str">
        <f>IF(16=16,IF($B16="","",BF16),"")</f>
        <v/>
      </c>
      <c r="K16" s="139" t="str">
        <f>IF(16=16,IF($B16="","",BM16),"")</f>
        <v/>
      </c>
      <c r="L16" s="139" t="str">
        <f>IF(16=16,IF($B16="","",BQ16),"")</f>
        <v/>
      </c>
      <c r="M16" s="139" t="str">
        <f>IF(16=16,IF($B16="","",BT16),"")</f>
        <v/>
      </c>
      <c r="N16" s="139" t="str">
        <f>IF(16=16,IF($B16="","",BW16),"")</f>
        <v/>
      </c>
      <c r="O16" s="139" t="str">
        <f>IF(16=16,IF($B16="","",BZ16),"")</f>
        <v/>
      </c>
      <c r="P16" s="139" t="str">
        <f>IF(16=16,IF($B16="","",CC16),"")</f>
        <v/>
      </c>
      <c r="Q16" s="139" t="str">
        <f>IF(16=16,IF($B16="","",CF16),"")</f>
        <v/>
      </c>
      <c r="R16" s="139" t="str">
        <f>IF(16=16,IF($B16="","",CL16),"")</f>
        <v/>
      </c>
      <c r="S16" s="140" t="str">
        <f>IF(16=16,IF($B16="","",IF(E16="?",""&amp;"Céréales contenant du gluten","")&amp;IF(F16="?",IF(COUNTIF($E16:$E16,"~?")&gt;0,", ","")&amp;"Crustacés","")&amp;IF(G16="?",IF(COUNTIF($E16:$F16,"~?")&gt;0,", ","")&amp;"Œufs","")&amp;IF(H16="?",IF(COUNTIF($E16:$G16,"~?")&gt;0,", ","")&amp;"Poissons","")&amp;IF(I16="?",IF(COUNTIF($E16:$H16,"~?")&gt;0,", ","")&amp;"Arachides","")&amp;IF(J16="?",IF(COUNTIF($E16:$I16,"~?")&gt;0,", ","")&amp;"Soja","")&amp;IF(K16="?",IF(COUNTIF($E16:$J16,"~?")&gt;0,", ","")&amp;"Lait","")&amp;IF(L16="?",IF(COUNTIF($E16:$K16,"~?")&gt;0,", ","")&amp;"Fruits à coque","")&amp;IF(M16="?",IF(COUNTIF($E16:$L16,"~?")&gt;0,", ","")&amp;"Céleri","")&amp;IF(N16="?",IF(COUNTIF($E16:$M16,"~?")&gt;0,", ","")&amp;"Moutarde","")&amp;IF(O16="?",IF(COUNTIF($E16:$N16,"~?")&gt;0,", ","")&amp;"Sésame","")&amp;IF(P16="?",IF(COUNTIF($E16:$O16,"~?")&gt;0,", ","")&amp;"Sulfites","")&amp;IF(Q16="?",IF(COUNTIF($E16:$P16,"~?")&gt;0,", ","")&amp;"Lupin","")&amp;IF(R16="?",IF(COUNTIF($E16:$Q16,"~?")&gt;0,", ","")&amp;"Mollusques","")),"")</f>
        <v/>
      </c>
      <c r="U16" s="93" t="str">
        <f>IF(16=16,IF($B16="","",$B16),"")</f>
        <v>Citrons</v>
      </c>
      <c r="V16" s="93" t="str">
        <f>IF(16=16,LOWER(CLEAN(SUBSTITUTE(SUBSTITUTE(SUBSTITUTE(SUBSTITUTE($U16,CHAR(160)," ")," "," "),CHAR(10)," "),CHAR(13)," "))),"")</f>
        <v>citrons</v>
      </c>
      <c r="W16" s="93" t="str">
        <f>IF(16=16,SUBSTITUTE(SUBSTITUTE(SUBSTITUTE(SUBSTITUTE(SUBSTITUTE(SUBSTITUTE(SUBSTITUTE(SUBSTITUTE(SUBSTITUTE(SUBSTITUTE(SUBSTITUTE(SUBSTITUTE($V16,"œ","oe"),"æ","ae"),"à","a"),"á","a"),"â","a"),"ä","a"),"ã","a"),"ç","c"),"è","e"),"é","e"),"ê","e"),"ë","e"),"")</f>
        <v>citrons</v>
      </c>
      <c r="X16" s="93" t="str">
        <f>IF(16=16,SUBSTITUTE(SUBSTITUTE(SUBSTITUTE(SUBSTITUTE(SUBSTITUTE(SUBSTITUTE(SUBSTITUTE(SUBSTITUTE(SUBSTITUTE(SUBSTITUTE(SUBSTITUTE(SUBSTITUTE(SUBSTITUTE(SUBSTITUTE(SUBSTITUTE(SUBSTITUTE($W16,"ì","i"),"í","i"),"î","i"),"ï","i"),"ñ","n"),"ò","o"),"ó","o"),"ô","o"),"ö","o"),"õ","o"),"ù","u"),"ú","u"),"û","u"),"ü","u"),"ý","y"),"ÿ","y"),"")</f>
        <v>citrons</v>
      </c>
      <c r="Y16" s="93" t="str">
        <f>IF(16=16,SUBSTITUTE(SUBSTITUTE(SUBSTITUTE(SUBSTITUTE(SUBSTITUTE(SUBSTITUTE(SUBSTITUTE(SUBSTITUTE(SUBSTITUTE(SUBSTITUTE(SUBSTITUTE(SUBSTITUTE(SUBSTITUTE(SUBSTITUTE($X16,"’"," "),"`"," "),"–"," "),"—"," "),"-"," "),"'"," "),"/"," "),"_"," "),","," "),"."," "),"("," "),")"," "),";"," "),":"," "),"")</f>
        <v>citrons</v>
      </c>
      <c r="Z16" s="93" t="str">
        <f>IF(16=16,SUBSTITUTE(SUBSTITUTE(SUBSTITUTE(SUBSTITUTE(SUBSTITUTE(SUBSTITUTE(SUBSTITUTE(SUBSTITUTE(SUBSTITUTE(SUBSTITUTE(SUBSTITUTE(SUBSTITUTE(SUBSTITUTE(SUBSTITUTE(SUBSTITUTE($Y16,"!"," "),"?"," "),"+"," "),"*"," "),"&amp;"," "),"["," "),"]"," "),"{"," "),"}"," "),"%"," "),"="," "),"\"," "),"|"," "),"&lt;"," "),"&gt;"," "),"")</f>
        <v>citrons</v>
      </c>
      <c r="AA16" s="93" t="str">
        <f>IF(16=16," "&amp;TRIM(SUBSTITUTE(SUBSTITUTE(SUBSTITUTE(SUBSTITUTE(SUBSTITUTE(SUBSTITUTE($Z16,CHAR(34)," "),"  "," "),"  "," "),"  "," "),"  "," "),"  "," "))&amp;" ","")</f>
        <v xml:space="preserve"> citrons </v>
      </c>
      <c r="AB16" s="93">
        <f>IF(16=16,IF($U16="","",SUMPRODUCT(--ISNUMBER(SEARCH(" "&amp;$CR$2:$CR$101&amp;" ",$AD16)))),"")</f>
        <v>0</v>
      </c>
      <c r="AC16" s="93">
        <f>IF(16=16,IF($U16="","",SUMPRODUCT(--ISNUMBER(SEARCH(" "&amp;$CR$102:$CR$151&amp;" ",$AD16)))),"")</f>
        <v>0</v>
      </c>
      <c r="AD16" s="93" t="str">
        <f t="shared" si="1"/>
        <v xml:space="preserve"> citrons </v>
      </c>
      <c r="AE16" s="93">
        <f t="shared" si="2"/>
        <v>0</v>
      </c>
      <c r="AF16" s="93" t="str">
        <f>IF(16=16,IF($U16="","",IF(SUM(AB16:AC16)+SUMPRODUCT(--ISNUMBER(SEARCH(" "&amp;$CR$2418:$CR$2420&amp;" ",$AD16)))&gt;0,"X",IF(AE16&gt;0,"?",""))),"")</f>
        <v/>
      </c>
      <c r="AG16" s="93">
        <f>IF(16=16,IF($U16="","",SUMPRODUCT(--ISNUMBER(SEARCH(" "&amp;$CR$206:$CR$305&amp;" ",$AA16)))),"")</f>
        <v>0</v>
      </c>
      <c r="AH16" s="93">
        <f>IF(16=16,IF($U16="","",SUMPRODUCT(--ISNUMBER(SEARCH(" "&amp;$CR$306:$CR$340&amp;" ",$AA16)))),"")</f>
        <v>0</v>
      </c>
      <c r="AI16" s="93" t="str">
        <f>IF(16=16,IF($U16="","",IF((SUM(AG16:AH16))-(0)&gt;0,"X",IF((0)-(0)&gt;0,"?",""))),"")</f>
        <v/>
      </c>
      <c r="AJ16" s="93">
        <f>IF(16=16,IF($U16="","",SUMPRODUCT(--ISNUMBER(SEARCH(" "&amp;$CR$341:$CR$398&amp;" ",$AA16)))),"")</f>
        <v>0</v>
      </c>
      <c r="AK16" s="93">
        <f>IF(16=16,IF($U16="","",SUMPRODUCT(--ISNUMBER(SEARCH(" "&amp;$CR$399:$CR$426&amp;" ",$AL16)))+SUMPRODUCT(--ISNUMBER(SEARCH(" "&amp;$CR$2440:$CR$2453&amp;" ",$AL16)))),"")</f>
        <v>0</v>
      </c>
      <c r="AL16" s="93" t="str">
        <f>IF(16=16,IF($U16="","",SUBSTITUTE(SUBSTITUTE(SUBSTITUTE(SUBSTITUTE(SUBSTITUTE(SUBSTITUTE(SUBSTITUTE(SUBSTITUTE(SUBSTITUTE(SUBSTITUTE(SUBSTITUTE(SUBSTITUTE(SUBSTITUTE(SUBSTITUTE($AA16," "&amp;$CR$2455&amp;" "," ")," "&amp;$CR$433&amp;" "," ")," "&amp;$CR$431&amp;" "," ")," "&amp;$CR$2438&amp;" "," ")," "&amp;$CR$2439&amp;" "," ")," "&amp;$CR$428&amp;" "," ")," "&amp;$CR$432&amp;" "," ")," "&amp;$CR$434&amp;" "," ")," "&amp;$CR$429&amp;" "," ")," "&amp;$CR$427&amp;" "," ")," "&amp;$CR$1367&amp;" "," ")," "&amp;$CR$435&amp;" "," ")," "&amp;$CR$1366&amp;" "," ")," "&amp;$CR$430&amp;" "," ")),"")</f>
        <v xml:space="preserve"> citrons </v>
      </c>
      <c r="AM16" s="93" t="str">
        <f>IF(16=16,IF($U16="","",IF(AJ16&gt;0,"X",IF(AK16&gt;0,"?",""))),"")</f>
        <v/>
      </c>
      <c r="AN16" s="93">
        <f>IF(16=16,IF($U16="","",SUMPRODUCT(--ISNUMBER(SEARCH(" "&amp;$CR$436:$CR$535&amp;" ",$AX16)))),"")</f>
        <v>0</v>
      </c>
      <c r="AO16" s="93">
        <f>IF(16=16,IF($U16="","",SUMPRODUCT(--ISNUMBER(SEARCH(" "&amp;$CR$536:$CR$635&amp;" ",$AX16)))),"")</f>
        <v>0</v>
      </c>
      <c r="AP16" s="93">
        <f>IF(16=16,IF($U16="","",SUMPRODUCT(--ISNUMBER(SEARCH(" "&amp;$CR$636:$CR$735&amp;" ",$AX16)))),"")</f>
        <v>0</v>
      </c>
      <c r="AQ16" s="93">
        <f>IF(16=16,IF($U16="","",SUMPRODUCT(--ISNUMBER(SEARCH(" "&amp;$CR$736:$CR$835&amp;" ",$AX16)))),"")</f>
        <v>0</v>
      </c>
      <c r="AR16" s="93">
        <f>IF(16=16,IF($U16="","",SUMPRODUCT(--ISNUMBER(SEARCH(" "&amp;$CR$836:$CR$935&amp;" ",$AX16)))),"")</f>
        <v>0</v>
      </c>
      <c r="AS16" s="93">
        <f>IF(16=16,IF($U16="","",SUMPRODUCT(--ISNUMBER(SEARCH(" "&amp;$CR$936:$CR$1035&amp;" ",$AX16)))),"")</f>
        <v>0</v>
      </c>
      <c r="AT16" s="93">
        <f>IF(16=16,IF($U16="","",SUMPRODUCT(--ISNUMBER(SEARCH(" "&amp;$CR$1036:$CR$1135&amp;" ",$AX16)))),"")</f>
        <v>0</v>
      </c>
      <c r="AU16" s="93">
        <f>IF(16=16,IF($U16="","",SUMPRODUCT(--ISNUMBER(SEARCH(" "&amp;$CR$1136:$CR$1235&amp;" ",$AX16)))),"")</f>
        <v>0</v>
      </c>
      <c r="AV16" s="93">
        <f>IF(16=16,IF($U16="","",SUMPRODUCT(--ISNUMBER(SEARCH(" "&amp;$CR$1236:$CR$1335&amp;" ",$AX16)))),"")</f>
        <v>0</v>
      </c>
      <c r="AW16" s="93">
        <f>IF(16=16,IF($U16="","",SUMPRODUCT(--ISNUMBER(SEARCH(" "&amp;$CR$1336:$CR$1363&amp;" ",$AX16)))),"")</f>
        <v>0</v>
      </c>
      <c r="AX16" s="93" t="str">
        <f>IF(16=16,IF($U16="","",SUBSTITUTE(SUBSTITUTE(SUBSTITUTE(SUBSTITUTE(SUBSTITUTE(SUBSTITUTE(SUBSTITUTE(SUBSTITUTE(SUBSTITUTE($AA16," "&amp;$CR$1365&amp;" "," ")," "&amp;$CR$1364&amp;" "," ")," "&amp;$CR$1370&amp;" "," ")," "&amp;$CR$1371&amp;" "," ")," "&amp;$CR$1367&amp;" "," ")," "&amp;$CR$1369&amp;" "," ")," "&amp;$CR$1366&amp;" "," ")," "&amp;$CR$1368&amp;" "," ")," "&amp;$CR$1372&amp;" "," ")),"")</f>
        <v xml:space="preserve"> citrons </v>
      </c>
      <c r="AY16" s="93">
        <f>IF(16=16,IF($U16="","",SUMPRODUCT(--ISNUMBER(SEARCH(" "&amp;$CR$1373:$CR$1383&amp;" ",$AX16)))),"")</f>
        <v>0</v>
      </c>
      <c r="AZ16" s="93" t="str">
        <f>IF(16=16,IF($U16="","",IF(SUM(AN16:AW16)+SUMPRODUCT(--ISNUMBER(SEARCH(" "&amp;$CR$2421:$CR$2422&amp;" ",$AX16)))&gt;0,"X",IF(AY16&gt;0,"?",""))),"")</f>
        <v/>
      </c>
      <c r="BA16" s="93">
        <f>IF(16=16,IF($U16="","",SUMPRODUCT(--ISNUMBER(SEARCH(" "&amp;$CR$1384:$CR$1404&amp;" ",$AA16)))),"")</f>
        <v>0</v>
      </c>
      <c r="BB16" s="93" t="str">
        <f>IF(16=16,IF($U16="","",IF((BA16)-(0)&gt;0,"X",IF((0)-(0)&gt;0,"?",""))),"")</f>
        <v/>
      </c>
      <c r="BC16" s="93">
        <f>IF(16=16,IF($U16="","",SUMPRODUCT(--ISNUMBER(SEARCH(" "&amp;$CR$1405:$CR$1442&amp;" ",$BD16)))),"")</f>
        <v>0</v>
      </c>
      <c r="BD16" s="93" t="str">
        <f>IF(16=16,IF($U16="","",SUBSTITUTE(SUBSTITUTE($AA16," "&amp;$CR$1443&amp;" "," ")," "&amp;$CR$1444&amp;" "," ")),"")</f>
        <v xml:space="preserve"> citrons </v>
      </c>
      <c r="BE16" s="93">
        <f>IF(16=16,IF($U16="","",SUMPRODUCT(--ISNUMBER(SEARCH(" "&amp;$CR$1445:$CR$1455&amp;" ",$BD16)))),"")</f>
        <v>0</v>
      </c>
      <c r="BF16" s="93" t="str">
        <f>IF(16=16,IF($U16="","",IF(BC16&gt;0,"X",IF(BE16&gt;0,"?",""))),"")</f>
        <v/>
      </c>
      <c r="BG16" s="93">
        <f>IF(16=16,IF($U16="","",SUMPRODUCT(--ISNUMBER(SEARCH(" "&amp;$CR$1456:$CR$1555&amp;" ",$BJ16)))),"")</f>
        <v>0</v>
      </c>
      <c r="BH16" s="93">
        <f>IF(16=16,IF($U16="","",SUMPRODUCT(--ISNUMBER(SEARCH(" "&amp;$CR$1556:$CR$1655&amp;" ",$BJ16)))),"")</f>
        <v>0</v>
      </c>
      <c r="BI16" s="93">
        <f>IF(16=16,IF($U16="","",SUMPRODUCT(--ISNUMBER(SEARCH(" "&amp;$CR$1656:$CR$1739&amp;" ",$BJ16)))),"")</f>
        <v>0</v>
      </c>
      <c r="BJ16" s="93" t="str">
        <f>IF(16=16,IF($U16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16,"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citrons </v>
      </c>
      <c r="BK16" s="93">
        <f>IF(16=16,IF($U16="","",SUMPRODUCT(--ISNUMBER(SEARCH(" "&amp;$CR$1790:$CR$1869&amp;" ",$BL16)))+SUMPRODUCT(--ISNUMBER(SEARCH(" "&amp;$CR$2440:$CR$2453&amp;" ",$BL16)))),"")</f>
        <v>0</v>
      </c>
      <c r="BL16" s="93" t="str">
        <f>IF(16=16,IF($U16="","",SUBSTITUTE(SUBSTITUTE(SUBSTITUTE(SUBSTITUTE(SUBSTITUTE(SUBSTITUTE(SUBSTITUTE(SUBSTITUTE(SUBSTITUTE(SUBSTITUTE(SUBSTITUTE(SUBSTITUTE(SUBSTITUTE($BJ16," "&amp;$CR$1876&amp;" "," ")," "&amp;$CR$1874&amp;" "," ")," "&amp;$CR$2438&amp;" "," ")," "&amp;$CR$2439&amp;" "," ")," "&amp;$CR$1871&amp;" "," ")," "&amp;$CR$1875&amp;" "," ")," "&amp;$CR$1877&amp;" "," ")," "&amp;$CR$1872&amp;" "," ")," "&amp;$CR$1870&amp;" "," ")," "&amp;$CR$1367&amp;" "," ")," "&amp;$CR$1878&amp;" "," ")," "&amp;$CR$1366&amp;" "," ")," "&amp;$CR$1873&amp;" "," ")),"")</f>
        <v xml:space="preserve"> citrons </v>
      </c>
      <c r="BM16" s="93" t="str">
        <f>IF(16=16,IF($U16="","",IF(SUM(BG16:BI16)+SUMPRODUCT(--ISNUMBER(SEARCH(" "&amp;$CR$2423:$CR$2424&amp;" ",$BJ16)))&gt;0,"X",IF(BK16&gt;0,"?",""))),"")</f>
        <v/>
      </c>
      <c r="BN16" s="93">
        <f>IF(16=16,IF($U16="","",SUMPRODUCT(--ISNUMBER(SEARCH(" "&amp;$CR$1879:$CR$1936&amp;" ",$BO16)))),"")</f>
        <v>0</v>
      </c>
      <c r="BO16" s="93" t="str">
        <f>IF(16=16,IF($U16="","",SUBSTITUTE(SUBSTITUTE(SUBSTITUTE(SUBSTITUTE(SUBSTITUTE(SUBSTITUTE(SUBSTITUTE(SUBSTITUTE(SUBSTITUTE(SUBSTITUTE(SUBSTITUTE(SUBSTITUTE(SUBSTITUTE(SUBSTITUTE(SUBSTITUTE(SUBSTITUTE(SUBSTITUTE(SUBSTITUTE(SUBSTITUTE(SUBSTITUTE(SUBSTITUTE(SUBSTITUTE(SUBSTITUTE($AA16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citrons </v>
      </c>
      <c r="BP16" s="93">
        <f>IF(16=16,IF($U16="","",SUMPRODUCT(--ISNUMBER(SEARCH(" "&amp;$CR$1960:$CR$1976&amp;" ",$BO16)))),"")</f>
        <v>0</v>
      </c>
      <c r="BQ16" s="93" t="str">
        <f>IF(16=16,IF($U16="","",IF(BN16&gt;0,"X",IF(BP16&gt;0,"?",""))),"")</f>
        <v/>
      </c>
      <c r="BR16" s="93">
        <f>IF(16=16,IF($U16="","",SUMPRODUCT(--ISNUMBER(SEARCH(" "&amp;$CR$1977:$CR$1990&amp;" ",$AA16)))),"")</f>
        <v>0</v>
      </c>
      <c r="BS16" s="93">
        <f>IF(16=16,IF($U16="","",SUMPRODUCT(--ISNUMBER(SEARCH(" "&amp;$CR$1991:$CR$2005&amp;" ",$AA16)))),"")</f>
        <v>0</v>
      </c>
      <c r="BT16" s="93" t="str">
        <f>IF(16=16,IF($U16="","",IF((BR16)-(0)&gt;0,"X",IF((BS16)-(0)&gt;0,"?",""))),"")</f>
        <v/>
      </c>
      <c r="BU16" s="93">
        <f>IF(16=16,IF($U16="","",SUMPRODUCT(--ISNUMBER(SEARCH(" "&amp;$CR$2006:$CR$2023&amp;" ",$AA16)))),"")</f>
        <v>0</v>
      </c>
      <c r="BV16" s="93">
        <f>IF(16=16,IF($U16="","",SUMPRODUCT(--ISNUMBER(SEARCH(" "&amp;$CR$2024:$CR$2038&amp;" ",$AA16)))),"")</f>
        <v>0</v>
      </c>
      <c r="BW16" s="93" t="str">
        <f>IF(16=16,IF($U16="","",IF((BU16)-(0)&gt;0,"X",IF((BV16)-(0)&gt;0,"?",""))),"")</f>
        <v/>
      </c>
      <c r="BX16" s="93">
        <f>IF(16=16,IF($U16="","",SUMPRODUCT(--ISNUMBER(SEARCH(" "&amp;$CR$2039:$CR$2057&amp;" ",$AA16)))),"")</f>
        <v>0</v>
      </c>
      <c r="BY16" s="93">
        <f>IF(16=16,IF($U16="","",SUMPRODUCT(--ISNUMBER(SEARCH(" "&amp;$CR$2058:$CR$2072&amp;" ",$AA16)))),"")</f>
        <v>0</v>
      </c>
      <c r="BZ16" s="93" t="str">
        <f>IF(16=16,IF($U16="","",IF((BX16)-(0)&gt;0,"X",IF((BY16)-(0)&gt;0,"?",""))),"")</f>
        <v/>
      </c>
      <c r="CA16" s="93">
        <f>IF(16=16,IF($U16="","",SUMPRODUCT(--ISNUMBER(SEARCH(" "&amp;$CR$2073:$CR$2093&amp;" ",$AA16)))),"")</f>
        <v>0</v>
      </c>
      <c r="CB16" s="93">
        <f>IF(16=16,IF($U16="","",SUMPRODUCT(--ISNUMBER(SEARCH(" "&amp;$CR$2094:$CR$2133&amp;" ",SUBSTITUTE(SUBSTITUTE($AA16," "&amp;$CR$1367&amp;" "," ")," "&amp;$CR$1366&amp;" "," "))))+--ISNUMBER(SEARCH("poiré",$V16))),"")</f>
        <v>0</v>
      </c>
      <c r="CC16" s="93" t="str">
        <f>IF(16=16,IF($U16="","",IF(OR(CA16&gt;0,ISNUMBER(SEARCH(" vinaigre de vin ",$AA16)),ISNUMBER(SEARCH(" vinaigre au vin ",$AA16))),"X",IF(CB16&gt;0,"?",""))),"")</f>
        <v/>
      </c>
      <c r="CD16" s="93">
        <f>IF(16=16,IF($U16="","",SUMPRODUCT(--ISNUMBER(SEARCH(" "&amp;$CR$2134:$CR$2146&amp;" ",$AA16)))),"")</f>
        <v>0</v>
      </c>
      <c r="CE16" s="93">
        <f>IF(16=16,IF($U16="","",SUMPRODUCT(--ISNUMBER(SEARCH(" "&amp;$CR$2147:$CR$2152&amp;" ",$AA16)))),"")</f>
        <v>0</v>
      </c>
      <c r="CF16" s="93" t="str">
        <f>IF(16=16,IF($U16="","",IF((CD16)-(0)&gt;0,"X",IF((CE16)-(0)&gt;0,"?",""))),"")</f>
        <v/>
      </c>
      <c r="CG16" s="93">
        <f>IF(16=16,IF($U16="","",SUMPRODUCT(--ISNUMBER(SEARCH(" "&amp;$CR$2153:$CR$2252&amp;" ",$CJ16)))),"")</f>
        <v>0</v>
      </c>
      <c r="CH16" s="93">
        <f>IF(16=16,IF($U16="","",SUMPRODUCT(--ISNUMBER(SEARCH(" "&amp;$CR$2253:$CR$2352&amp;" ",$CJ16)))),"")</f>
        <v>0</v>
      </c>
      <c r="CI16" s="93">
        <f>IF(16=16,IF($U16="","",SUMPRODUCT(--ISNUMBER(SEARCH(" "&amp;$CR$2353:$CR$2395&amp;" ",$CJ16)))),"")</f>
        <v>0</v>
      </c>
      <c r="CJ16" s="93" t="str">
        <f>IF(16=16,IF($U16="","",SUBSTITUTE(SUBSTITUTE(SUBSTITUTE(SUBSTITUTE(SUBSTITUTE(SUBSTITUTE(SUBSTITUTE(SUBSTITUTE(SUBSTITUTE(SUBSTITUTE(SUBSTITUTE(SUBSTITUTE(SUBSTITUTE(SUBSTITUTE(SUBSTITUTE(SUBSTITUTE($AA16," "&amp;$CR$2401&amp;" "," ")," "&amp;$CR$2400&amp;" "," ")," "&amp;$CR$2399&amp;" "," ")," "&amp;$CR$2406&amp;" "," ")," "&amp;$CR$2398&amp;" "," ")," "&amp;$CR$2410&amp;" "," ")," "&amp;$CR$2397&amp;" "," ")," "&amp;$CR$2402&amp;" "," ")," "&amp;$CR$2405&amp;" "," ")," "&amp;$CR$2396&amp;" "," ")," "&amp;$CR$2404&amp;" "," ")," "&amp;$CR$2411&amp;" "," ")," "&amp;$CR$2408&amp;" "," ")," "&amp;$CR$2403&amp;" "," ")," "&amp;$CR$2407&amp;" "," ")," "&amp;$CR$2409&amp;" "," ")),"")</f>
        <v xml:space="preserve"> citrons </v>
      </c>
      <c r="CK16" s="93">
        <f>IF(16=16,IF($U16="","",SUMPRODUCT(--ISNUMBER(SEARCH(" "&amp;$CR$2412:$CR$2416&amp;" ",$CJ16)))),"")</f>
        <v>0</v>
      </c>
      <c r="CL16" s="93" t="str">
        <f>IF(16=16,IF($U16="","",IF(SUM(CG16:CI16)&gt;0,"X",IF(CK16&gt;0,"?",""))),"")</f>
        <v/>
      </c>
      <c r="CM16" s="102"/>
      <c r="CN16" s="112" t="s">
        <v>637</v>
      </c>
      <c r="CO16" s="112" t="s">
        <v>522</v>
      </c>
      <c r="CP16" s="112" t="s">
        <v>523</v>
      </c>
      <c r="CQ16" s="112" t="s">
        <v>638</v>
      </c>
      <c r="CR16" s="112" t="s">
        <v>638</v>
      </c>
      <c r="CS16" s="112" t="s">
        <v>525</v>
      </c>
      <c r="CT16" s="112" t="s">
        <v>526</v>
      </c>
      <c r="CU16" s="112" t="s">
        <v>527</v>
      </c>
      <c r="CV16" s="113" t="s">
        <v>528</v>
      </c>
      <c r="CX16" s="36">
        <v>1</v>
      </c>
    </row>
    <row r="17" spans="1:102" ht="21" customHeight="1" x14ac:dyDescent="0.25">
      <c r="A17" s="135">
        <v>11</v>
      </c>
      <c r="B17" s="136" t="s">
        <v>5857</v>
      </c>
      <c r="C17" s="137" t="str">
        <f t="shared" si="0"/>
        <v>Cive (botte)</v>
      </c>
      <c r="D17" s="138" t="str">
        <f>IF(17=17,IF($B17="","",IF(E17="X",""&amp;"Céréales contenant du gluten","")&amp;IF(F17="X",IF(COUNTIF($E17:$E17,"X")&gt;0,", ","")&amp;"Crustacés","")&amp;IF(G17="X",IF(COUNTIF($E17:$F17,"X")&gt;0,", ","")&amp;"Œufs","")&amp;IF(H17="X",IF(COUNTIF($E17:$G17,"X")&gt;0,", ","")&amp;"Poissons","")&amp;IF(I17="X",IF(COUNTIF($E17:$H17,"X")&gt;0,", ","")&amp;"Arachides","")&amp;IF(J17="X",IF(COUNTIF($E17:$I17,"X")&gt;0,", ","")&amp;"Soja","")&amp;IF(K17="X",IF(COUNTIF($E17:$J17,"X")&gt;0,", ","")&amp;"Lait","")&amp;IF(L17="X",IF(COUNTIF($E17:$K17,"X")&gt;0,", ","")&amp;"Fruits à coque","")&amp;IF(M17="X",IF(COUNTIF($E17:$L17,"X")&gt;0,", ","")&amp;"Céleri","")&amp;IF(N17="X",IF(COUNTIF($E17:$M17,"X")&gt;0,", ","")&amp;"Moutarde","")&amp;IF(O17="X",IF(COUNTIF($E17:$N17,"X")&gt;0,", ","")&amp;"Sésame","")&amp;IF(P17="X",IF(COUNTIF($E17:$O17,"X")&gt;0,", ","")&amp;"Sulfites","")&amp;IF(Q17="X",IF(COUNTIF($E17:$P17,"X")&gt;0,", ","")&amp;"Lupin","")&amp;IF(R17="X",IF(COUNTIF($E17:$Q17,"X")&gt;0,", ","")&amp;"Mollusques","")),"")</f>
        <v/>
      </c>
      <c r="E17" s="139" t="str">
        <f>IF(17=17,IF($B17="","",AF17),"")</f>
        <v/>
      </c>
      <c r="F17" s="139" t="str">
        <f>IF(17=17,IF($B17="","",AI17),"")</f>
        <v/>
      </c>
      <c r="G17" s="139" t="str">
        <f>IF(17=17,IF($B17="","",AM17),"")</f>
        <v/>
      </c>
      <c r="H17" s="139" t="str">
        <f>IF(17=17,IF($B17="","",IF(ISNUMBER(SEARCH(" colin ",$AA17)),"X",AZ17)),"")</f>
        <v/>
      </c>
      <c r="I17" s="139" t="str">
        <f>IF(17=17,IF($B17="","",BB17),"")</f>
        <v/>
      </c>
      <c r="J17" s="139" t="str">
        <f>IF(17=17,IF($B17="","",BF17),"")</f>
        <v/>
      </c>
      <c r="K17" s="139" t="str">
        <f>IF(17=17,IF($B17="","",BM17),"")</f>
        <v/>
      </c>
      <c r="L17" s="139" t="str">
        <f>IF(17=17,IF($B17="","",BQ17),"")</f>
        <v/>
      </c>
      <c r="M17" s="139" t="str">
        <f>IF(17=17,IF($B17="","",BT17),"")</f>
        <v/>
      </c>
      <c r="N17" s="139" t="str">
        <f>IF(17=17,IF($B17="","",BW17),"")</f>
        <v/>
      </c>
      <c r="O17" s="139" t="str">
        <f>IF(17=17,IF($B17="","",BZ17),"")</f>
        <v/>
      </c>
      <c r="P17" s="139" t="str">
        <f>IF(17=17,IF($B17="","",CC17),"")</f>
        <v/>
      </c>
      <c r="Q17" s="139" t="str">
        <f>IF(17=17,IF($B17="","",CF17),"")</f>
        <v/>
      </c>
      <c r="R17" s="139" t="str">
        <f>IF(17=17,IF($B17="","",CL17),"")</f>
        <v/>
      </c>
      <c r="S17" s="140" t="str">
        <f>IF(17=17,IF($B17="","",IF(E17="?",""&amp;"Céréales contenant du gluten","")&amp;IF(F17="?",IF(COUNTIF($E17:$E17,"~?")&gt;0,", ","")&amp;"Crustacés","")&amp;IF(G17="?",IF(COUNTIF($E17:$F17,"~?")&gt;0,", ","")&amp;"Œufs","")&amp;IF(H17="?",IF(COUNTIF($E17:$G17,"~?")&gt;0,", ","")&amp;"Poissons","")&amp;IF(I17="?",IF(COUNTIF($E17:$H17,"~?")&gt;0,", ","")&amp;"Arachides","")&amp;IF(J17="?",IF(COUNTIF($E17:$I17,"~?")&gt;0,", ","")&amp;"Soja","")&amp;IF(K17="?",IF(COUNTIF($E17:$J17,"~?")&gt;0,", ","")&amp;"Lait","")&amp;IF(L17="?",IF(COUNTIF($E17:$K17,"~?")&gt;0,", ","")&amp;"Fruits à coque","")&amp;IF(M17="?",IF(COUNTIF($E17:$L17,"~?")&gt;0,", ","")&amp;"Céleri","")&amp;IF(N17="?",IF(COUNTIF($E17:$M17,"~?")&gt;0,", ","")&amp;"Moutarde","")&amp;IF(O17="?",IF(COUNTIF($E17:$N17,"~?")&gt;0,", ","")&amp;"Sésame","")&amp;IF(P17="?",IF(COUNTIF($E17:$O17,"~?")&gt;0,", ","")&amp;"Sulfites","")&amp;IF(Q17="?",IF(COUNTIF($E17:$P17,"~?")&gt;0,", ","")&amp;"Lupin","")&amp;IF(R17="?",IF(COUNTIF($E17:$Q17,"~?")&gt;0,", ","")&amp;"Mollusques","")),"")</f>
        <v/>
      </c>
      <c r="U17" s="93" t="str">
        <f>IF(17=17,IF($B17="","",$B17),"")</f>
        <v>Cive (botte)</v>
      </c>
      <c r="V17" s="93" t="str">
        <f>IF(17=17,LOWER(CLEAN(SUBSTITUTE(SUBSTITUTE(SUBSTITUTE(SUBSTITUTE($U17,CHAR(160)," ")," "," "),CHAR(10)," "),CHAR(13)," "))),"")</f>
        <v>cive (botte)</v>
      </c>
      <c r="W17" s="93" t="str">
        <f>IF(17=17,SUBSTITUTE(SUBSTITUTE(SUBSTITUTE(SUBSTITUTE(SUBSTITUTE(SUBSTITUTE(SUBSTITUTE(SUBSTITUTE(SUBSTITUTE(SUBSTITUTE(SUBSTITUTE(SUBSTITUTE($V17,"œ","oe"),"æ","ae"),"à","a"),"á","a"),"â","a"),"ä","a"),"ã","a"),"ç","c"),"è","e"),"é","e"),"ê","e"),"ë","e"),"")</f>
        <v>cive (botte)</v>
      </c>
      <c r="X17" s="93" t="str">
        <f>IF(17=17,SUBSTITUTE(SUBSTITUTE(SUBSTITUTE(SUBSTITUTE(SUBSTITUTE(SUBSTITUTE(SUBSTITUTE(SUBSTITUTE(SUBSTITUTE(SUBSTITUTE(SUBSTITUTE(SUBSTITUTE(SUBSTITUTE(SUBSTITUTE(SUBSTITUTE(SUBSTITUTE($W17,"ì","i"),"í","i"),"î","i"),"ï","i"),"ñ","n"),"ò","o"),"ó","o"),"ô","o"),"ö","o"),"õ","o"),"ù","u"),"ú","u"),"û","u"),"ü","u"),"ý","y"),"ÿ","y"),"")</f>
        <v>cive (botte)</v>
      </c>
      <c r="Y17" s="93" t="str">
        <f>IF(17=17,SUBSTITUTE(SUBSTITUTE(SUBSTITUTE(SUBSTITUTE(SUBSTITUTE(SUBSTITUTE(SUBSTITUTE(SUBSTITUTE(SUBSTITUTE(SUBSTITUTE(SUBSTITUTE(SUBSTITUTE(SUBSTITUTE(SUBSTITUTE($X17,"’"," "),"`"," "),"–"," "),"—"," "),"-"," "),"'"," "),"/"," "),"_"," "),","," "),"."," "),"("," "),")"," "),";"," "),":"," "),"")</f>
        <v xml:space="preserve">cive  botte </v>
      </c>
      <c r="Z17" s="93" t="str">
        <f>IF(17=17,SUBSTITUTE(SUBSTITUTE(SUBSTITUTE(SUBSTITUTE(SUBSTITUTE(SUBSTITUTE(SUBSTITUTE(SUBSTITUTE(SUBSTITUTE(SUBSTITUTE(SUBSTITUTE(SUBSTITUTE(SUBSTITUTE(SUBSTITUTE(SUBSTITUTE($Y17,"!"," "),"?"," "),"+"," "),"*"," "),"&amp;"," "),"["," "),"]"," "),"{"," "),"}"," "),"%"," "),"="," "),"\"," "),"|"," "),"&lt;"," "),"&gt;"," "),"")</f>
        <v xml:space="preserve">cive  botte </v>
      </c>
      <c r="AA17" s="93" t="str">
        <f>IF(17=17," "&amp;TRIM(SUBSTITUTE(SUBSTITUTE(SUBSTITUTE(SUBSTITUTE(SUBSTITUTE(SUBSTITUTE($Z17,CHAR(34)," "),"  "," "),"  "," "),"  "," "),"  "," "),"  "," "))&amp;" ","")</f>
        <v xml:space="preserve"> cive botte </v>
      </c>
      <c r="AB17" s="93">
        <f>IF(17=17,IF($U17="","",SUMPRODUCT(--ISNUMBER(SEARCH(" "&amp;$CR$2:$CR$101&amp;" ",$AD17)))),"")</f>
        <v>0</v>
      </c>
      <c r="AC17" s="93">
        <f>IF(17=17,IF($U17="","",SUMPRODUCT(--ISNUMBER(SEARCH(" "&amp;$CR$102:$CR$151&amp;" ",$AD17)))),"")</f>
        <v>0</v>
      </c>
      <c r="AD17" s="93" t="str">
        <f t="shared" si="1"/>
        <v xml:space="preserve"> cive botte </v>
      </c>
      <c r="AE17" s="93">
        <f t="shared" si="2"/>
        <v>0</v>
      </c>
      <c r="AF17" s="93" t="str">
        <f>IF(17=17,IF($U17="","",IF(SUM(AB17:AC17)+SUMPRODUCT(--ISNUMBER(SEARCH(" "&amp;$CR$2418:$CR$2420&amp;" ",$AD17)))&gt;0,"X",IF(AE17&gt;0,"?",""))),"")</f>
        <v/>
      </c>
      <c r="AG17" s="93">
        <f>IF(17=17,IF($U17="","",SUMPRODUCT(--ISNUMBER(SEARCH(" "&amp;$CR$206:$CR$305&amp;" ",$AA17)))),"")</f>
        <v>0</v>
      </c>
      <c r="AH17" s="93">
        <f>IF(17=17,IF($U17="","",SUMPRODUCT(--ISNUMBER(SEARCH(" "&amp;$CR$306:$CR$340&amp;" ",$AA17)))),"")</f>
        <v>0</v>
      </c>
      <c r="AI17" s="93" t="str">
        <f>IF(17=17,IF($U17="","",IF((SUM(AG17:AH17))-(0)&gt;0,"X",IF((0)-(0)&gt;0,"?",""))),"")</f>
        <v/>
      </c>
      <c r="AJ17" s="93">
        <f>IF(17=17,IF($U17="","",SUMPRODUCT(--ISNUMBER(SEARCH(" "&amp;$CR$341:$CR$398&amp;" ",$AA17)))),"")</f>
        <v>0</v>
      </c>
      <c r="AK17" s="93">
        <f>IF(17=17,IF($U17="","",SUMPRODUCT(--ISNUMBER(SEARCH(" "&amp;$CR$399:$CR$426&amp;" ",$AL17)))+SUMPRODUCT(--ISNUMBER(SEARCH(" "&amp;$CR$2440:$CR$2453&amp;" ",$AL17)))),"")</f>
        <v>0</v>
      </c>
      <c r="AL17" s="93" t="str">
        <f>IF(17=17,IF($U17="","",SUBSTITUTE(SUBSTITUTE(SUBSTITUTE(SUBSTITUTE(SUBSTITUTE(SUBSTITUTE(SUBSTITUTE(SUBSTITUTE(SUBSTITUTE(SUBSTITUTE(SUBSTITUTE(SUBSTITUTE(SUBSTITUTE(SUBSTITUTE($AA17," "&amp;$CR$2455&amp;" "," ")," "&amp;$CR$433&amp;" "," ")," "&amp;$CR$431&amp;" "," ")," "&amp;$CR$2438&amp;" "," ")," "&amp;$CR$2439&amp;" "," ")," "&amp;$CR$428&amp;" "," ")," "&amp;$CR$432&amp;" "," ")," "&amp;$CR$434&amp;" "," ")," "&amp;$CR$429&amp;" "," ")," "&amp;$CR$427&amp;" "," ")," "&amp;$CR$1367&amp;" "," ")," "&amp;$CR$435&amp;" "," ")," "&amp;$CR$1366&amp;" "," ")," "&amp;$CR$430&amp;" "," ")),"")</f>
        <v xml:space="preserve"> cive botte </v>
      </c>
      <c r="AM17" s="93" t="str">
        <f>IF(17=17,IF($U17="","",IF(AJ17&gt;0,"X",IF(AK17&gt;0,"?",""))),"")</f>
        <v/>
      </c>
      <c r="AN17" s="93">
        <f>IF(17=17,IF($U17="","",SUMPRODUCT(--ISNUMBER(SEARCH(" "&amp;$CR$436:$CR$535&amp;" ",$AX17)))),"")</f>
        <v>0</v>
      </c>
      <c r="AO17" s="93">
        <f>IF(17=17,IF($U17="","",SUMPRODUCT(--ISNUMBER(SEARCH(" "&amp;$CR$536:$CR$635&amp;" ",$AX17)))),"")</f>
        <v>0</v>
      </c>
      <c r="AP17" s="93">
        <f>IF(17=17,IF($U17="","",SUMPRODUCT(--ISNUMBER(SEARCH(" "&amp;$CR$636:$CR$735&amp;" ",$AX17)))),"")</f>
        <v>0</v>
      </c>
      <c r="AQ17" s="93">
        <f>IF(17=17,IF($U17="","",SUMPRODUCT(--ISNUMBER(SEARCH(" "&amp;$CR$736:$CR$835&amp;" ",$AX17)))),"")</f>
        <v>0</v>
      </c>
      <c r="AR17" s="93">
        <f>IF(17=17,IF($U17="","",SUMPRODUCT(--ISNUMBER(SEARCH(" "&amp;$CR$836:$CR$935&amp;" ",$AX17)))),"")</f>
        <v>0</v>
      </c>
      <c r="AS17" s="93">
        <f>IF(17=17,IF($U17="","",SUMPRODUCT(--ISNUMBER(SEARCH(" "&amp;$CR$936:$CR$1035&amp;" ",$AX17)))),"")</f>
        <v>0</v>
      </c>
      <c r="AT17" s="93">
        <f>IF(17=17,IF($U17="","",SUMPRODUCT(--ISNUMBER(SEARCH(" "&amp;$CR$1036:$CR$1135&amp;" ",$AX17)))),"")</f>
        <v>0</v>
      </c>
      <c r="AU17" s="93">
        <f>IF(17=17,IF($U17="","",SUMPRODUCT(--ISNUMBER(SEARCH(" "&amp;$CR$1136:$CR$1235&amp;" ",$AX17)))),"")</f>
        <v>0</v>
      </c>
      <c r="AV17" s="93">
        <f>IF(17=17,IF($U17="","",SUMPRODUCT(--ISNUMBER(SEARCH(" "&amp;$CR$1236:$CR$1335&amp;" ",$AX17)))),"")</f>
        <v>0</v>
      </c>
      <c r="AW17" s="93">
        <f>IF(17=17,IF($U17="","",SUMPRODUCT(--ISNUMBER(SEARCH(" "&amp;$CR$1336:$CR$1363&amp;" ",$AX17)))),"")</f>
        <v>0</v>
      </c>
      <c r="AX17" s="93" t="str">
        <f>IF(17=17,IF($U17="","",SUBSTITUTE(SUBSTITUTE(SUBSTITUTE(SUBSTITUTE(SUBSTITUTE(SUBSTITUTE(SUBSTITUTE(SUBSTITUTE(SUBSTITUTE($AA17," "&amp;$CR$1365&amp;" "," ")," "&amp;$CR$1364&amp;" "," ")," "&amp;$CR$1370&amp;" "," ")," "&amp;$CR$1371&amp;" "," ")," "&amp;$CR$1367&amp;" "," ")," "&amp;$CR$1369&amp;" "," ")," "&amp;$CR$1366&amp;" "," ")," "&amp;$CR$1368&amp;" "," ")," "&amp;$CR$1372&amp;" "," ")),"")</f>
        <v xml:space="preserve"> cive botte </v>
      </c>
      <c r="AY17" s="93">
        <f>IF(17=17,IF($U17="","",SUMPRODUCT(--ISNUMBER(SEARCH(" "&amp;$CR$1373:$CR$1383&amp;" ",$AX17)))),"")</f>
        <v>0</v>
      </c>
      <c r="AZ17" s="93" t="str">
        <f>IF(17=17,IF($U17="","",IF(SUM(AN17:AW17)+SUMPRODUCT(--ISNUMBER(SEARCH(" "&amp;$CR$2421:$CR$2422&amp;" ",$AX17)))&gt;0,"X",IF(AY17&gt;0,"?",""))),"")</f>
        <v/>
      </c>
      <c r="BA17" s="93">
        <f>IF(17=17,IF($U17="","",SUMPRODUCT(--ISNUMBER(SEARCH(" "&amp;$CR$1384:$CR$1404&amp;" ",$AA17)))),"")</f>
        <v>0</v>
      </c>
      <c r="BB17" s="93" t="str">
        <f>IF(17=17,IF($U17="","",IF((BA17)-(0)&gt;0,"X",IF((0)-(0)&gt;0,"?",""))),"")</f>
        <v/>
      </c>
      <c r="BC17" s="93">
        <f>IF(17=17,IF($U17="","",SUMPRODUCT(--ISNUMBER(SEARCH(" "&amp;$CR$1405:$CR$1442&amp;" ",$BD17)))),"")</f>
        <v>0</v>
      </c>
      <c r="BD17" s="93" t="str">
        <f>IF(17=17,IF($U17="","",SUBSTITUTE(SUBSTITUTE($AA17," "&amp;$CR$1443&amp;" "," ")," "&amp;$CR$1444&amp;" "," ")),"")</f>
        <v xml:space="preserve"> cive botte </v>
      </c>
      <c r="BE17" s="93">
        <f>IF(17=17,IF($U17="","",SUMPRODUCT(--ISNUMBER(SEARCH(" "&amp;$CR$1445:$CR$1455&amp;" ",$BD17)))),"")</f>
        <v>0</v>
      </c>
      <c r="BF17" s="93" t="str">
        <f>IF(17=17,IF($U17="","",IF(BC17&gt;0,"X",IF(BE17&gt;0,"?",""))),"")</f>
        <v/>
      </c>
      <c r="BG17" s="93">
        <f>IF(17=17,IF($U17="","",SUMPRODUCT(--ISNUMBER(SEARCH(" "&amp;$CR$1456:$CR$1555&amp;" ",$BJ17)))),"")</f>
        <v>0</v>
      </c>
      <c r="BH17" s="93">
        <f>IF(17=17,IF($U17="","",SUMPRODUCT(--ISNUMBER(SEARCH(" "&amp;$CR$1556:$CR$1655&amp;" ",$BJ17)))),"")</f>
        <v>0</v>
      </c>
      <c r="BI17" s="93">
        <f>IF(17=17,IF($U17="","",SUMPRODUCT(--ISNUMBER(SEARCH(" "&amp;$CR$1656:$CR$1739&amp;" ",$BJ17)))),"")</f>
        <v>0</v>
      </c>
      <c r="BJ17" s="93" t="str">
        <f>IF(17=17,IF($U17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17,"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cive botte </v>
      </c>
      <c r="BK17" s="93">
        <f>IF(17=17,IF($U17="","",SUMPRODUCT(--ISNUMBER(SEARCH(" "&amp;$CR$1790:$CR$1869&amp;" ",$BL17)))+SUMPRODUCT(--ISNUMBER(SEARCH(" "&amp;$CR$2440:$CR$2453&amp;" ",$BL17)))),"")</f>
        <v>0</v>
      </c>
      <c r="BL17" s="93" t="str">
        <f>IF(17=17,IF($U17="","",SUBSTITUTE(SUBSTITUTE(SUBSTITUTE(SUBSTITUTE(SUBSTITUTE(SUBSTITUTE(SUBSTITUTE(SUBSTITUTE(SUBSTITUTE(SUBSTITUTE(SUBSTITUTE(SUBSTITUTE(SUBSTITUTE($BJ17," "&amp;$CR$1876&amp;" "," ")," "&amp;$CR$1874&amp;" "," ")," "&amp;$CR$2438&amp;" "," ")," "&amp;$CR$2439&amp;" "," ")," "&amp;$CR$1871&amp;" "," ")," "&amp;$CR$1875&amp;" "," ")," "&amp;$CR$1877&amp;" "," ")," "&amp;$CR$1872&amp;" "," ")," "&amp;$CR$1870&amp;" "," ")," "&amp;$CR$1367&amp;" "," ")," "&amp;$CR$1878&amp;" "," ")," "&amp;$CR$1366&amp;" "," ")," "&amp;$CR$1873&amp;" "," ")),"")</f>
        <v xml:space="preserve"> cive botte </v>
      </c>
      <c r="BM17" s="93" t="str">
        <f>IF(17=17,IF($U17="","",IF(SUM(BG17:BI17)+SUMPRODUCT(--ISNUMBER(SEARCH(" "&amp;$CR$2423:$CR$2424&amp;" ",$BJ17)))&gt;0,"X",IF(BK17&gt;0,"?",""))),"")</f>
        <v/>
      </c>
      <c r="BN17" s="93">
        <f>IF(17=17,IF($U17="","",SUMPRODUCT(--ISNUMBER(SEARCH(" "&amp;$CR$1879:$CR$1936&amp;" ",$BO17)))),"")</f>
        <v>0</v>
      </c>
      <c r="BO17" s="93" t="str">
        <f>IF(17=17,IF($U17="","",SUBSTITUTE(SUBSTITUTE(SUBSTITUTE(SUBSTITUTE(SUBSTITUTE(SUBSTITUTE(SUBSTITUTE(SUBSTITUTE(SUBSTITUTE(SUBSTITUTE(SUBSTITUTE(SUBSTITUTE(SUBSTITUTE(SUBSTITUTE(SUBSTITUTE(SUBSTITUTE(SUBSTITUTE(SUBSTITUTE(SUBSTITUTE(SUBSTITUTE(SUBSTITUTE(SUBSTITUTE(SUBSTITUTE($AA17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cive botte </v>
      </c>
      <c r="BP17" s="93">
        <f>IF(17=17,IF($U17="","",SUMPRODUCT(--ISNUMBER(SEARCH(" "&amp;$CR$1960:$CR$1976&amp;" ",$BO17)))),"")</f>
        <v>0</v>
      </c>
      <c r="BQ17" s="93" t="str">
        <f>IF(17=17,IF($U17="","",IF(BN17&gt;0,"X",IF(BP17&gt;0,"?",""))),"")</f>
        <v/>
      </c>
      <c r="BR17" s="93">
        <f>IF(17=17,IF($U17="","",SUMPRODUCT(--ISNUMBER(SEARCH(" "&amp;$CR$1977:$CR$1990&amp;" ",$AA17)))),"")</f>
        <v>0</v>
      </c>
      <c r="BS17" s="93">
        <f>IF(17=17,IF($U17="","",SUMPRODUCT(--ISNUMBER(SEARCH(" "&amp;$CR$1991:$CR$2005&amp;" ",$AA17)))),"")</f>
        <v>0</v>
      </c>
      <c r="BT17" s="93" t="str">
        <f>IF(17=17,IF($U17="","",IF((BR17)-(0)&gt;0,"X",IF((BS17)-(0)&gt;0,"?",""))),"")</f>
        <v/>
      </c>
      <c r="BU17" s="93">
        <f>IF(17=17,IF($U17="","",SUMPRODUCT(--ISNUMBER(SEARCH(" "&amp;$CR$2006:$CR$2023&amp;" ",$AA17)))),"")</f>
        <v>0</v>
      </c>
      <c r="BV17" s="93">
        <f>IF(17=17,IF($U17="","",SUMPRODUCT(--ISNUMBER(SEARCH(" "&amp;$CR$2024:$CR$2038&amp;" ",$AA17)))),"")</f>
        <v>0</v>
      </c>
      <c r="BW17" s="93" t="str">
        <f>IF(17=17,IF($U17="","",IF((BU17)-(0)&gt;0,"X",IF((BV17)-(0)&gt;0,"?",""))),"")</f>
        <v/>
      </c>
      <c r="BX17" s="93">
        <f>IF(17=17,IF($U17="","",SUMPRODUCT(--ISNUMBER(SEARCH(" "&amp;$CR$2039:$CR$2057&amp;" ",$AA17)))),"")</f>
        <v>0</v>
      </c>
      <c r="BY17" s="93">
        <f>IF(17=17,IF($U17="","",SUMPRODUCT(--ISNUMBER(SEARCH(" "&amp;$CR$2058:$CR$2072&amp;" ",$AA17)))),"")</f>
        <v>0</v>
      </c>
      <c r="BZ17" s="93" t="str">
        <f>IF(17=17,IF($U17="","",IF((BX17)-(0)&gt;0,"X",IF((BY17)-(0)&gt;0,"?",""))),"")</f>
        <v/>
      </c>
      <c r="CA17" s="93">
        <f>IF(17=17,IF($U17="","",SUMPRODUCT(--ISNUMBER(SEARCH(" "&amp;$CR$2073:$CR$2093&amp;" ",$AA17)))),"")</f>
        <v>0</v>
      </c>
      <c r="CB17" s="93">
        <f>IF(17=17,IF($U17="","",SUMPRODUCT(--ISNUMBER(SEARCH(" "&amp;$CR$2094:$CR$2133&amp;" ",SUBSTITUTE(SUBSTITUTE($AA17," "&amp;$CR$1367&amp;" "," ")," "&amp;$CR$1366&amp;" "," "))))+--ISNUMBER(SEARCH("poiré",$V17))),"")</f>
        <v>0</v>
      </c>
      <c r="CC17" s="93" t="str">
        <f>IF(17=17,IF($U17="","",IF(OR(CA17&gt;0,ISNUMBER(SEARCH(" vinaigre de vin ",$AA17)),ISNUMBER(SEARCH(" vinaigre au vin ",$AA17))),"X",IF(CB17&gt;0,"?",""))),"")</f>
        <v/>
      </c>
      <c r="CD17" s="93">
        <f>IF(17=17,IF($U17="","",SUMPRODUCT(--ISNUMBER(SEARCH(" "&amp;$CR$2134:$CR$2146&amp;" ",$AA17)))),"")</f>
        <v>0</v>
      </c>
      <c r="CE17" s="93">
        <f>IF(17=17,IF($U17="","",SUMPRODUCT(--ISNUMBER(SEARCH(" "&amp;$CR$2147:$CR$2152&amp;" ",$AA17)))),"")</f>
        <v>0</v>
      </c>
      <c r="CF17" s="93" t="str">
        <f>IF(17=17,IF($U17="","",IF((CD17)-(0)&gt;0,"X",IF((CE17)-(0)&gt;0,"?",""))),"")</f>
        <v/>
      </c>
      <c r="CG17" s="93">
        <f>IF(17=17,IF($U17="","",SUMPRODUCT(--ISNUMBER(SEARCH(" "&amp;$CR$2153:$CR$2252&amp;" ",$CJ17)))),"")</f>
        <v>0</v>
      </c>
      <c r="CH17" s="93">
        <f>IF(17=17,IF($U17="","",SUMPRODUCT(--ISNUMBER(SEARCH(" "&amp;$CR$2253:$CR$2352&amp;" ",$CJ17)))),"")</f>
        <v>0</v>
      </c>
      <c r="CI17" s="93">
        <f>IF(17=17,IF($U17="","",SUMPRODUCT(--ISNUMBER(SEARCH(" "&amp;$CR$2353:$CR$2395&amp;" ",$CJ17)))),"")</f>
        <v>0</v>
      </c>
      <c r="CJ17" s="93" t="str">
        <f>IF(17=17,IF($U17="","",SUBSTITUTE(SUBSTITUTE(SUBSTITUTE(SUBSTITUTE(SUBSTITUTE(SUBSTITUTE(SUBSTITUTE(SUBSTITUTE(SUBSTITUTE(SUBSTITUTE(SUBSTITUTE(SUBSTITUTE(SUBSTITUTE(SUBSTITUTE(SUBSTITUTE(SUBSTITUTE($AA17," "&amp;$CR$2401&amp;" "," ")," "&amp;$CR$2400&amp;" "," ")," "&amp;$CR$2399&amp;" "," ")," "&amp;$CR$2406&amp;" "," ")," "&amp;$CR$2398&amp;" "," ")," "&amp;$CR$2410&amp;" "," ")," "&amp;$CR$2397&amp;" "," ")," "&amp;$CR$2402&amp;" "," ")," "&amp;$CR$2405&amp;" "," ")," "&amp;$CR$2396&amp;" "," ")," "&amp;$CR$2404&amp;" "," ")," "&amp;$CR$2411&amp;" "," ")," "&amp;$CR$2408&amp;" "," ")," "&amp;$CR$2403&amp;" "," ")," "&amp;$CR$2407&amp;" "," ")," "&amp;$CR$2409&amp;" "," ")),"")</f>
        <v xml:space="preserve"> cive botte </v>
      </c>
      <c r="CK17" s="93">
        <f>IF(17=17,IF($U17="","",SUMPRODUCT(--ISNUMBER(SEARCH(" "&amp;$CR$2412:$CR$2416&amp;" ",$CJ17)))),"")</f>
        <v>0</v>
      </c>
      <c r="CL17" s="93" t="str">
        <f>IF(17=17,IF($U17="","",IF(SUM(CG17:CI17)&gt;0,"X",IF(CK17&gt;0,"?",""))),"")</f>
        <v/>
      </c>
      <c r="CM17" s="102"/>
      <c r="CN17" s="112" t="s">
        <v>639</v>
      </c>
      <c r="CO17" s="112" t="s">
        <v>522</v>
      </c>
      <c r="CP17" s="112" t="s">
        <v>523</v>
      </c>
      <c r="CQ17" s="112" t="s">
        <v>640</v>
      </c>
      <c r="CR17" s="112" t="s">
        <v>640</v>
      </c>
      <c r="CS17" s="112" t="s">
        <v>610</v>
      </c>
      <c r="CT17" s="112" t="s">
        <v>611</v>
      </c>
      <c r="CU17" s="112" t="s">
        <v>527</v>
      </c>
      <c r="CV17" s="113" t="s">
        <v>612</v>
      </c>
      <c r="CX17" s="36">
        <v>1</v>
      </c>
    </row>
    <row r="18" spans="1:102" ht="21" customHeight="1" x14ac:dyDescent="0.25">
      <c r="A18" s="135">
        <v>12</v>
      </c>
      <c r="B18" s="136" t="s">
        <v>277</v>
      </c>
      <c r="C18" s="137" t="str">
        <f t="shared" si="0"/>
        <v>Clous de girofle</v>
      </c>
      <c r="D18" s="138" t="str">
        <f>IF(18=18,IF($B18="","",IF(E18="X",""&amp;"Céréales contenant du gluten","")&amp;IF(F18="X",IF(COUNTIF($E18:$E18,"X")&gt;0,", ","")&amp;"Crustacés","")&amp;IF(G18="X",IF(COUNTIF($E18:$F18,"X")&gt;0,", ","")&amp;"Œufs","")&amp;IF(H18="X",IF(COUNTIF($E18:$G18,"X")&gt;0,", ","")&amp;"Poissons","")&amp;IF(I18="X",IF(COUNTIF($E18:$H18,"X")&gt;0,", ","")&amp;"Arachides","")&amp;IF(J18="X",IF(COUNTIF($E18:$I18,"X")&gt;0,", ","")&amp;"Soja","")&amp;IF(K18="X",IF(COUNTIF($E18:$J18,"X")&gt;0,", ","")&amp;"Lait","")&amp;IF(L18="X",IF(COUNTIF($E18:$K18,"X")&gt;0,", ","")&amp;"Fruits à coque","")&amp;IF(M18="X",IF(COUNTIF($E18:$L18,"X")&gt;0,", ","")&amp;"Céleri","")&amp;IF(N18="X",IF(COUNTIF($E18:$M18,"X")&gt;0,", ","")&amp;"Moutarde","")&amp;IF(O18="X",IF(COUNTIF($E18:$N18,"X")&gt;0,", ","")&amp;"Sésame","")&amp;IF(P18="X",IF(COUNTIF($E18:$O18,"X")&gt;0,", ","")&amp;"Sulfites","")&amp;IF(Q18="X",IF(COUNTIF($E18:$P18,"X")&gt;0,", ","")&amp;"Lupin","")&amp;IF(R18="X",IF(COUNTIF($E18:$Q18,"X")&gt;0,", ","")&amp;"Mollusques","")),"")</f>
        <v/>
      </c>
      <c r="E18" s="139" t="str">
        <f>IF(18=18,IF($B18="","",AF18),"")</f>
        <v/>
      </c>
      <c r="F18" s="139" t="str">
        <f>IF(18=18,IF($B18="","",AI18),"")</f>
        <v/>
      </c>
      <c r="G18" s="139" t="str">
        <f>IF(18=18,IF($B18="","",AM18),"")</f>
        <v/>
      </c>
      <c r="H18" s="139" t="str">
        <f>IF(18=18,IF($B18="","",IF(ISNUMBER(SEARCH(" colin ",$AA18)),"X",AZ18)),"")</f>
        <v/>
      </c>
      <c r="I18" s="139" t="str">
        <f>IF(18=18,IF($B18="","",BB18),"")</f>
        <v/>
      </c>
      <c r="J18" s="139" t="str">
        <f>IF(18=18,IF($B18="","",BF18),"")</f>
        <v/>
      </c>
      <c r="K18" s="139" t="str">
        <f>IF(18=18,IF($B18="","",BM18),"")</f>
        <v/>
      </c>
      <c r="L18" s="139" t="str">
        <f>IF(18=18,IF($B18="","",BQ18),"")</f>
        <v/>
      </c>
      <c r="M18" s="139" t="str">
        <f>IF(18=18,IF($B18="","",BT18),"")</f>
        <v/>
      </c>
      <c r="N18" s="139" t="str">
        <f>IF(18=18,IF($B18="","",BW18),"")</f>
        <v/>
      </c>
      <c r="O18" s="139" t="str">
        <f>IF(18=18,IF($B18="","",BZ18),"")</f>
        <v/>
      </c>
      <c r="P18" s="139" t="str">
        <f>IF(18=18,IF($B18="","",CC18),"")</f>
        <v/>
      </c>
      <c r="Q18" s="139" t="str">
        <f>IF(18=18,IF($B18="","",CF18),"")</f>
        <v/>
      </c>
      <c r="R18" s="139" t="str">
        <f>IF(18=18,IF($B18="","",CL18),"")</f>
        <v/>
      </c>
      <c r="S18" s="140" t="str">
        <f>IF(18=18,IF($B18="","",IF(E18="?",""&amp;"Céréales contenant du gluten","")&amp;IF(F18="?",IF(COUNTIF($E18:$E18,"~?")&gt;0,", ","")&amp;"Crustacés","")&amp;IF(G18="?",IF(COUNTIF($E18:$F18,"~?")&gt;0,", ","")&amp;"Œufs","")&amp;IF(H18="?",IF(COUNTIF($E18:$G18,"~?")&gt;0,", ","")&amp;"Poissons","")&amp;IF(I18="?",IF(COUNTIF($E18:$H18,"~?")&gt;0,", ","")&amp;"Arachides","")&amp;IF(J18="?",IF(COUNTIF($E18:$I18,"~?")&gt;0,", ","")&amp;"Soja","")&amp;IF(K18="?",IF(COUNTIF($E18:$J18,"~?")&gt;0,", ","")&amp;"Lait","")&amp;IF(L18="?",IF(COUNTIF($E18:$K18,"~?")&gt;0,", ","")&amp;"Fruits à coque","")&amp;IF(M18="?",IF(COUNTIF($E18:$L18,"~?")&gt;0,", ","")&amp;"Céleri","")&amp;IF(N18="?",IF(COUNTIF($E18:$M18,"~?")&gt;0,", ","")&amp;"Moutarde","")&amp;IF(O18="?",IF(COUNTIF($E18:$N18,"~?")&gt;0,", ","")&amp;"Sésame","")&amp;IF(P18="?",IF(COUNTIF($E18:$O18,"~?")&gt;0,", ","")&amp;"Sulfites","")&amp;IF(Q18="?",IF(COUNTIF($E18:$P18,"~?")&gt;0,", ","")&amp;"Lupin","")&amp;IF(R18="?",IF(COUNTIF($E18:$Q18,"~?")&gt;0,", ","")&amp;"Mollusques","")),"")</f>
        <v/>
      </c>
      <c r="U18" s="93" t="str">
        <f>IF(18=18,IF($B18="","",$B18),"")</f>
        <v>Clous de girofle</v>
      </c>
      <c r="V18" s="93" t="str">
        <f>IF(18=18,LOWER(CLEAN(SUBSTITUTE(SUBSTITUTE(SUBSTITUTE(SUBSTITUTE($U18,CHAR(160)," ")," "," "),CHAR(10)," "),CHAR(13)," "))),"")</f>
        <v>clous de girofle</v>
      </c>
      <c r="W18" s="93" t="str">
        <f>IF(18=18,SUBSTITUTE(SUBSTITUTE(SUBSTITUTE(SUBSTITUTE(SUBSTITUTE(SUBSTITUTE(SUBSTITUTE(SUBSTITUTE(SUBSTITUTE(SUBSTITUTE(SUBSTITUTE(SUBSTITUTE($V18,"œ","oe"),"æ","ae"),"à","a"),"á","a"),"â","a"),"ä","a"),"ã","a"),"ç","c"),"è","e"),"é","e"),"ê","e"),"ë","e"),"")</f>
        <v>clous de girofle</v>
      </c>
      <c r="X18" s="93" t="str">
        <f>IF(18=18,SUBSTITUTE(SUBSTITUTE(SUBSTITUTE(SUBSTITUTE(SUBSTITUTE(SUBSTITUTE(SUBSTITUTE(SUBSTITUTE(SUBSTITUTE(SUBSTITUTE(SUBSTITUTE(SUBSTITUTE(SUBSTITUTE(SUBSTITUTE(SUBSTITUTE(SUBSTITUTE($W18,"ì","i"),"í","i"),"î","i"),"ï","i"),"ñ","n"),"ò","o"),"ó","o"),"ô","o"),"ö","o"),"õ","o"),"ù","u"),"ú","u"),"û","u"),"ü","u"),"ý","y"),"ÿ","y"),"")</f>
        <v>clous de girofle</v>
      </c>
      <c r="Y18" s="93" t="str">
        <f>IF(18=18,SUBSTITUTE(SUBSTITUTE(SUBSTITUTE(SUBSTITUTE(SUBSTITUTE(SUBSTITUTE(SUBSTITUTE(SUBSTITUTE(SUBSTITUTE(SUBSTITUTE(SUBSTITUTE(SUBSTITUTE(SUBSTITUTE(SUBSTITUTE($X18,"’"," "),"`"," "),"–"," "),"—"," "),"-"," "),"'"," "),"/"," "),"_"," "),","," "),"."," "),"("," "),")"," "),";"," "),":"," "),"")</f>
        <v>clous de girofle</v>
      </c>
      <c r="Z18" s="93" t="str">
        <f>IF(18=18,SUBSTITUTE(SUBSTITUTE(SUBSTITUTE(SUBSTITUTE(SUBSTITUTE(SUBSTITUTE(SUBSTITUTE(SUBSTITUTE(SUBSTITUTE(SUBSTITUTE(SUBSTITUTE(SUBSTITUTE(SUBSTITUTE(SUBSTITUTE(SUBSTITUTE($Y18,"!"," "),"?"," "),"+"," "),"*"," "),"&amp;"," "),"["," "),"]"," "),"{"," "),"}"," "),"%"," "),"="," "),"\"," "),"|"," "),"&lt;"," "),"&gt;"," "),"")</f>
        <v>clous de girofle</v>
      </c>
      <c r="AA18" s="93" t="str">
        <f>IF(18=18," "&amp;TRIM(SUBSTITUTE(SUBSTITUTE(SUBSTITUTE(SUBSTITUTE(SUBSTITUTE(SUBSTITUTE($Z18,CHAR(34)," "),"  "," "),"  "," "),"  "," "),"  "," "),"  "," "))&amp;" ","")</f>
        <v xml:space="preserve"> clous de girofle </v>
      </c>
      <c r="AB18" s="93">
        <f>IF(18=18,IF($U18="","",SUMPRODUCT(--ISNUMBER(SEARCH(" "&amp;$CR$2:$CR$101&amp;" ",$AD18)))),"")</f>
        <v>0</v>
      </c>
      <c r="AC18" s="93">
        <f>IF(18=18,IF($U18="","",SUMPRODUCT(--ISNUMBER(SEARCH(" "&amp;$CR$102:$CR$151&amp;" ",$AD18)))),"")</f>
        <v>0</v>
      </c>
      <c r="AD18" s="93" t="str">
        <f t="shared" si="1"/>
        <v xml:space="preserve"> clous de girofle </v>
      </c>
      <c r="AE18" s="93">
        <f t="shared" si="2"/>
        <v>0</v>
      </c>
      <c r="AF18" s="93" t="str">
        <f>IF(18=18,IF($U18="","",IF(SUM(AB18:AC18)+SUMPRODUCT(--ISNUMBER(SEARCH(" "&amp;$CR$2418:$CR$2420&amp;" ",$AD18)))&gt;0,"X",IF(AE18&gt;0,"?",""))),"")</f>
        <v/>
      </c>
      <c r="AG18" s="93">
        <f>IF(18=18,IF($U18="","",SUMPRODUCT(--ISNUMBER(SEARCH(" "&amp;$CR$206:$CR$305&amp;" ",$AA18)))),"")</f>
        <v>0</v>
      </c>
      <c r="AH18" s="93">
        <f>IF(18=18,IF($U18="","",SUMPRODUCT(--ISNUMBER(SEARCH(" "&amp;$CR$306:$CR$340&amp;" ",$AA18)))),"")</f>
        <v>0</v>
      </c>
      <c r="AI18" s="93" t="str">
        <f>IF(18=18,IF($U18="","",IF((SUM(AG18:AH18))-(0)&gt;0,"X",IF((0)-(0)&gt;0,"?",""))),"")</f>
        <v/>
      </c>
      <c r="AJ18" s="93">
        <f>IF(18=18,IF($U18="","",SUMPRODUCT(--ISNUMBER(SEARCH(" "&amp;$CR$341:$CR$398&amp;" ",$AA18)))),"")</f>
        <v>0</v>
      </c>
      <c r="AK18" s="93">
        <f>IF(18=18,IF($U18="","",SUMPRODUCT(--ISNUMBER(SEARCH(" "&amp;$CR$399:$CR$426&amp;" ",$AL18)))+SUMPRODUCT(--ISNUMBER(SEARCH(" "&amp;$CR$2440:$CR$2453&amp;" ",$AL18)))),"")</f>
        <v>0</v>
      </c>
      <c r="AL18" s="93" t="str">
        <f>IF(18=18,IF($U18="","",SUBSTITUTE(SUBSTITUTE(SUBSTITUTE(SUBSTITUTE(SUBSTITUTE(SUBSTITUTE(SUBSTITUTE(SUBSTITUTE(SUBSTITUTE(SUBSTITUTE(SUBSTITUTE(SUBSTITUTE(SUBSTITUTE(SUBSTITUTE($AA18," "&amp;$CR$2455&amp;" "," ")," "&amp;$CR$433&amp;" "," ")," "&amp;$CR$431&amp;" "," ")," "&amp;$CR$2438&amp;" "," ")," "&amp;$CR$2439&amp;" "," ")," "&amp;$CR$428&amp;" "," ")," "&amp;$CR$432&amp;" "," ")," "&amp;$CR$434&amp;" "," ")," "&amp;$CR$429&amp;" "," ")," "&amp;$CR$427&amp;" "," ")," "&amp;$CR$1367&amp;" "," ")," "&amp;$CR$435&amp;" "," ")," "&amp;$CR$1366&amp;" "," ")," "&amp;$CR$430&amp;" "," ")),"")</f>
        <v xml:space="preserve"> clous de girofle </v>
      </c>
      <c r="AM18" s="93" t="str">
        <f>IF(18=18,IF($U18="","",IF(AJ18&gt;0,"X",IF(AK18&gt;0,"?",""))),"")</f>
        <v/>
      </c>
      <c r="AN18" s="93">
        <f>IF(18=18,IF($U18="","",SUMPRODUCT(--ISNUMBER(SEARCH(" "&amp;$CR$436:$CR$535&amp;" ",$AX18)))),"")</f>
        <v>0</v>
      </c>
      <c r="AO18" s="93">
        <f>IF(18=18,IF($U18="","",SUMPRODUCT(--ISNUMBER(SEARCH(" "&amp;$CR$536:$CR$635&amp;" ",$AX18)))),"")</f>
        <v>0</v>
      </c>
      <c r="AP18" s="93">
        <f>IF(18=18,IF($U18="","",SUMPRODUCT(--ISNUMBER(SEARCH(" "&amp;$CR$636:$CR$735&amp;" ",$AX18)))),"")</f>
        <v>0</v>
      </c>
      <c r="AQ18" s="93">
        <f>IF(18=18,IF($U18="","",SUMPRODUCT(--ISNUMBER(SEARCH(" "&amp;$CR$736:$CR$835&amp;" ",$AX18)))),"")</f>
        <v>0</v>
      </c>
      <c r="AR18" s="93">
        <f>IF(18=18,IF($U18="","",SUMPRODUCT(--ISNUMBER(SEARCH(" "&amp;$CR$836:$CR$935&amp;" ",$AX18)))),"")</f>
        <v>0</v>
      </c>
      <c r="AS18" s="93">
        <f>IF(18=18,IF($U18="","",SUMPRODUCT(--ISNUMBER(SEARCH(" "&amp;$CR$936:$CR$1035&amp;" ",$AX18)))),"")</f>
        <v>0</v>
      </c>
      <c r="AT18" s="93">
        <f>IF(18=18,IF($U18="","",SUMPRODUCT(--ISNUMBER(SEARCH(" "&amp;$CR$1036:$CR$1135&amp;" ",$AX18)))),"")</f>
        <v>0</v>
      </c>
      <c r="AU18" s="93">
        <f>IF(18=18,IF($U18="","",SUMPRODUCT(--ISNUMBER(SEARCH(" "&amp;$CR$1136:$CR$1235&amp;" ",$AX18)))),"")</f>
        <v>0</v>
      </c>
      <c r="AV18" s="93">
        <f>IF(18=18,IF($U18="","",SUMPRODUCT(--ISNUMBER(SEARCH(" "&amp;$CR$1236:$CR$1335&amp;" ",$AX18)))),"")</f>
        <v>0</v>
      </c>
      <c r="AW18" s="93">
        <f>IF(18=18,IF($U18="","",SUMPRODUCT(--ISNUMBER(SEARCH(" "&amp;$CR$1336:$CR$1363&amp;" ",$AX18)))),"")</f>
        <v>0</v>
      </c>
      <c r="AX18" s="93" t="str">
        <f>IF(18=18,IF($U18="","",SUBSTITUTE(SUBSTITUTE(SUBSTITUTE(SUBSTITUTE(SUBSTITUTE(SUBSTITUTE(SUBSTITUTE(SUBSTITUTE(SUBSTITUTE($AA18," "&amp;$CR$1365&amp;" "," ")," "&amp;$CR$1364&amp;" "," ")," "&amp;$CR$1370&amp;" "," ")," "&amp;$CR$1371&amp;" "," ")," "&amp;$CR$1367&amp;" "," ")," "&amp;$CR$1369&amp;" "," ")," "&amp;$CR$1366&amp;" "," ")," "&amp;$CR$1368&amp;" "," ")," "&amp;$CR$1372&amp;" "," ")),"")</f>
        <v xml:space="preserve"> clous de girofle </v>
      </c>
      <c r="AY18" s="93">
        <f>IF(18=18,IF($U18="","",SUMPRODUCT(--ISNUMBER(SEARCH(" "&amp;$CR$1373:$CR$1383&amp;" ",$AX18)))),"")</f>
        <v>0</v>
      </c>
      <c r="AZ18" s="93" t="str">
        <f>IF(18=18,IF($U18="","",IF(SUM(AN18:AW18)+SUMPRODUCT(--ISNUMBER(SEARCH(" "&amp;$CR$2421:$CR$2422&amp;" ",$AX18)))&gt;0,"X",IF(AY18&gt;0,"?",""))),"")</f>
        <v/>
      </c>
      <c r="BA18" s="93">
        <f>IF(18=18,IF($U18="","",SUMPRODUCT(--ISNUMBER(SEARCH(" "&amp;$CR$1384:$CR$1404&amp;" ",$AA18)))),"")</f>
        <v>0</v>
      </c>
      <c r="BB18" s="93" t="str">
        <f>IF(18=18,IF($U18="","",IF((BA18)-(0)&gt;0,"X",IF((0)-(0)&gt;0,"?",""))),"")</f>
        <v/>
      </c>
      <c r="BC18" s="93">
        <f>IF(18=18,IF($U18="","",SUMPRODUCT(--ISNUMBER(SEARCH(" "&amp;$CR$1405:$CR$1442&amp;" ",$BD18)))),"")</f>
        <v>0</v>
      </c>
      <c r="BD18" s="93" t="str">
        <f>IF(18=18,IF($U18="","",SUBSTITUTE(SUBSTITUTE($AA18," "&amp;$CR$1443&amp;" "," ")," "&amp;$CR$1444&amp;" "," ")),"")</f>
        <v xml:space="preserve"> clous de girofle </v>
      </c>
      <c r="BE18" s="93">
        <f>IF(18=18,IF($U18="","",SUMPRODUCT(--ISNUMBER(SEARCH(" "&amp;$CR$1445:$CR$1455&amp;" ",$BD18)))),"")</f>
        <v>0</v>
      </c>
      <c r="BF18" s="93" t="str">
        <f>IF(18=18,IF($U18="","",IF(BC18&gt;0,"X",IF(BE18&gt;0,"?",""))),"")</f>
        <v/>
      </c>
      <c r="BG18" s="93">
        <f>IF(18=18,IF($U18="","",SUMPRODUCT(--ISNUMBER(SEARCH(" "&amp;$CR$1456:$CR$1555&amp;" ",$BJ18)))),"")</f>
        <v>0</v>
      </c>
      <c r="BH18" s="93">
        <f>IF(18=18,IF($U18="","",SUMPRODUCT(--ISNUMBER(SEARCH(" "&amp;$CR$1556:$CR$1655&amp;" ",$BJ18)))),"")</f>
        <v>0</v>
      </c>
      <c r="BI18" s="93">
        <f>IF(18=18,IF($U18="","",SUMPRODUCT(--ISNUMBER(SEARCH(" "&amp;$CR$1656:$CR$1739&amp;" ",$BJ18)))),"")</f>
        <v>0</v>
      </c>
      <c r="BJ18" s="93" t="str">
        <f>IF(18=18,IF($U18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18,"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clous de girofle </v>
      </c>
      <c r="BK18" s="93">
        <f>IF(18=18,IF($U18="","",SUMPRODUCT(--ISNUMBER(SEARCH(" "&amp;$CR$1790:$CR$1869&amp;" ",$BL18)))+SUMPRODUCT(--ISNUMBER(SEARCH(" "&amp;$CR$2440:$CR$2453&amp;" ",$BL18)))),"")</f>
        <v>0</v>
      </c>
      <c r="BL18" s="93" t="str">
        <f>IF(18=18,IF($U18="","",SUBSTITUTE(SUBSTITUTE(SUBSTITUTE(SUBSTITUTE(SUBSTITUTE(SUBSTITUTE(SUBSTITUTE(SUBSTITUTE(SUBSTITUTE(SUBSTITUTE(SUBSTITUTE(SUBSTITUTE(SUBSTITUTE($BJ18," "&amp;$CR$1876&amp;" "," ")," "&amp;$CR$1874&amp;" "," ")," "&amp;$CR$2438&amp;" "," ")," "&amp;$CR$2439&amp;" "," ")," "&amp;$CR$1871&amp;" "," ")," "&amp;$CR$1875&amp;" "," ")," "&amp;$CR$1877&amp;" "," ")," "&amp;$CR$1872&amp;" "," ")," "&amp;$CR$1870&amp;" "," ")," "&amp;$CR$1367&amp;" "," ")," "&amp;$CR$1878&amp;" "," ")," "&amp;$CR$1366&amp;" "," ")," "&amp;$CR$1873&amp;" "," ")),"")</f>
        <v xml:space="preserve"> clous de girofle </v>
      </c>
      <c r="BM18" s="93" t="str">
        <f>IF(18=18,IF($U18="","",IF(SUM(BG18:BI18)+SUMPRODUCT(--ISNUMBER(SEARCH(" "&amp;$CR$2423:$CR$2424&amp;" ",$BJ18)))&gt;0,"X",IF(BK18&gt;0,"?",""))),"")</f>
        <v/>
      </c>
      <c r="BN18" s="93">
        <f>IF(18=18,IF($U18="","",SUMPRODUCT(--ISNUMBER(SEARCH(" "&amp;$CR$1879:$CR$1936&amp;" ",$BO18)))),"")</f>
        <v>0</v>
      </c>
      <c r="BO18" s="93" t="str">
        <f>IF(18=18,IF($U18="","",SUBSTITUTE(SUBSTITUTE(SUBSTITUTE(SUBSTITUTE(SUBSTITUTE(SUBSTITUTE(SUBSTITUTE(SUBSTITUTE(SUBSTITUTE(SUBSTITUTE(SUBSTITUTE(SUBSTITUTE(SUBSTITUTE(SUBSTITUTE(SUBSTITUTE(SUBSTITUTE(SUBSTITUTE(SUBSTITUTE(SUBSTITUTE(SUBSTITUTE(SUBSTITUTE(SUBSTITUTE(SUBSTITUTE($AA18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clous de girofle </v>
      </c>
      <c r="BP18" s="93">
        <f>IF(18=18,IF($U18="","",SUMPRODUCT(--ISNUMBER(SEARCH(" "&amp;$CR$1960:$CR$1976&amp;" ",$BO18)))),"")</f>
        <v>0</v>
      </c>
      <c r="BQ18" s="93" t="str">
        <f>IF(18=18,IF($U18="","",IF(BN18&gt;0,"X",IF(BP18&gt;0,"?",""))),"")</f>
        <v/>
      </c>
      <c r="BR18" s="93">
        <f>IF(18=18,IF($U18="","",SUMPRODUCT(--ISNUMBER(SEARCH(" "&amp;$CR$1977:$CR$1990&amp;" ",$AA18)))),"")</f>
        <v>0</v>
      </c>
      <c r="BS18" s="93">
        <f>IF(18=18,IF($U18="","",SUMPRODUCT(--ISNUMBER(SEARCH(" "&amp;$CR$1991:$CR$2005&amp;" ",$AA18)))),"")</f>
        <v>0</v>
      </c>
      <c r="BT18" s="93" t="str">
        <f>IF(18=18,IF($U18="","",IF((BR18)-(0)&gt;0,"X",IF((BS18)-(0)&gt;0,"?",""))),"")</f>
        <v/>
      </c>
      <c r="BU18" s="93">
        <f>IF(18=18,IF($U18="","",SUMPRODUCT(--ISNUMBER(SEARCH(" "&amp;$CR$2006:$CR$2023&amp;" ",$AA18)))),"")</f>
        <v>0</v>
      </c>
      <c r="BV18" s="93">
        <f>IF(18=18,IF($U18="","",SUMPRODUCT(--ISNUMBER(SEARCH(" "&amp;$CR$2024:$CR$2038&amp;" ",$AA18)))),"")</f>
        <v>0</v>
      </c>
      <c r="BW18" s="93" t="str">
        <f>IF(18=18,IF($U18="","",IF((BU18)-(0)&gt;0,"X",IF((BV18)-(0)&gt;0,"?",""))),"")</f>
        <v/>
      </c>
      <c r="BX18" s="93">
        <f>IF(18=18,IF($U18="","",SUMPRODUCT(--ISNUMBER(SEARCH(" "&amp;$CR$2039:$CR$2057&amp;" ",$AA18)))),"")</f>
        <v>0</v>
      </c>
      <c r="BY18" s="93">
        <f>IF(18=18,IF($U18="","",SUMPRODUCT(--ISNUMBER(SEARCH(" "&amp;$CR$2058:$CR$2072&amp;" ",$AA18)))),"")</f>
        <v>0</v>
      </c>
      <c r="BZ18" s="93" t="str">
        <f>IF(18=18,IF($U18="","",IF((BX18)-(0)&gt;0,"X",IF((BY18)-(0)&gt;0,"?",""))),"")</f>
        <v/>
      </c>
      <c r="CA18" s="93">
        <f>IF(18=18,IF($U18="","",SUMPRODUCT(--ISNUMBER(SEARCH(" "&amp;$CR$2073:$CR$2093&amp;" ",$AA18)))),"")</f>
        <v>0</v>
      </c>
      <c r="CB18" s="93">
        <f>IF(18=18,IF($U18="","",SUMPRODUCT(--ISNUMBER(SEARCH(" "&amp;$CR$2094:$CR$2133&amp;" ",SUBSTITUTE(SUBSTITUTE($AA18," "&amp;$CR$1367&amp;" "," ")," "&amp;$CR$1366&amp;" "," "))))+--ISNUMBER(SEARCH("poiré",$V18))),"")</f>
        <v>0</v>
      </c>
      <c r="CC18" s="93" t="str">
        <f>IF(18=18,IF($U18="","",IF(OR(CA18&gt;0,ISNUMBER(SEARCH(" vinaigre de vin ",$AA18)),ISNUMBER(SEARCH(" vinaigre au vin ",$AA18))),"X",IF(CB18&gt;0,"?",""))),"")</f>
        <v/>
      </c>
      <c r="CD18" s="93">
        <f>IF(18=18,IF($U18="","",SUMPRODUCT(--ISNUMBER(SEARCH(" "&amp;$CR$2134:$CR$2146&amp;" ",$AA18)))),"")</f>
        <v>0</v>
      </c>
      <c r="CE18" s="93">
        <f>IF(18=18,IF($U18="","",SUMPRODUCT(--ISNUMBER(SEARCH(" "&amp;$CR$2147:$CR$2152&amp;" ",$AA18)))),"")</f>
        <v>0</v>
      </c>
      <c r="CF18" s="93" t="str">
        <f>IF(18=18,IF($U18="","",IF((CD18)-(0)&gt;0,"X",IF((CE18)-(0)&gt;0,"?",""))),"")</f>
        <v/>
      </c>
      <c r="CG18" s="93">
        <f>IF(18=18,IF($U18="","",SUMPRODUCT(--ISNUMBER(SEARCH(" "&amp;$CR$2153:$CR$2252&amp;" ",$CJ18)))),"")</f>
        <v>0</v>
      </c>
      <c r="CH18" s="93">
        <f>IF(18=18,IF($U18="","",SUMPRODUCT(--ISNUMBER(SEARCH(" "&amp;$CR$2253:$CR$2352&amp;" ",$CJ18)))),"")</f>
        <v>0</v>
      </c>
      <c r="CI18" s="93">
        <f>IF(18=18,IF($U18="","",SUMPRODUCT(--ISNUMBER(SEARCH(" "&amp;$CR$2353:$CR$2395&amp;" ",$CJ18)))),"")</f>
        <v>0</v>
      </c>
      <c r="CJ18" s="93" t="str">
        <f>IF(18=18,IF($U18="","",SUBSTITUTE(SUBSTITUTE(SUBSTITUTE(SUBSTITUTE(SUBSTITUTE(SUBSTITUTE(SUBSTITUTE(SUBSTITUTE(SUBSTITUTE(SUBSTITUTE(SUBSTITUTE(SUBSTITUTE(SUBSTITUTE(SUBSTITUTE(SUBSTITUTE(SUBSTITUTE($AA18," "&amp;$CR$2401&amp;" "," ")," "&amp;$CR$2400&amp;" "," ")," "&amp;$CR$2399&amp;" "," ")," "&amp;$CR$2406&amp;" "," ")," "&amp;$CR$2398&amp;" "," ")," "&amp;$CR$2410&amp;" "," ")," "&amp;$CR$2397&amp;" "," ")," "&amp;$CR$2402&amp;" "," ")," "&amp;$CR$2405&amp;" "," ")," "&amp;$CR$2396&amp;" "," ")," "&amp;$CR$2404&amp;" "," ")," "&amp;$CR$2411&amp;" "," ")," "&amp;$CR$2408&amp;" "," ")," "&amp;$CR$2403&amp;" "," ")," "&amp;$CR$2407&amp;" "," ")," "&amp;$CR$2409&amp;" "," ")),"")</f>
        <v xml:space="preserve"> clous de girofle </v>
      </c>
      <c r="CK18" s="93">
        <f>IF(18=18,IF($U18="","",SUMPRODUCT(--ISNUMBER(SEARCH(" "&amp;$CR$2412:$CR$2416&amp;" ",$CJ18)))),"")</f>
        <v>0</v>
      </c>
      <c r="CL18" s="93" t="str">
        <f>IF(18=18,IF($U18="","",IF(SUM(CG18:CI18)&gt;0,"X",IF(CK18&gt;0,"?",""))),"")</f>
        <v/>
      </c>
      <c r="CM18" s="102"/>
      <c r="CN18" s="112" t="s">
        <v>641</v>
      </c>
      <c r="CO18" s="112" t="s">
        <v>522</v>
      </c>
      <c r="CP18" s="112" t="s">
        <v>523</v>
      </c>
      <c r="CQ18" s="112" t="s">
        <v>642</v>
      </c>
      <c r="CR18" s="112" t="s">
        <v>642</v>
      </c>
      <c r="CS18" s="112" t="s">
        <v>610</v>
      </c>
      <c r="CT18" s="112" t="s">
        <v>611</v>
      </c>
      <c r="CU18" s="112" t="s">
        <v>527</v>
      </c>
      <c r="CV18" s="113" t="s">
        <v>612</v>
      </c>
      <c r="CX18" s="36">
        <v>1</v>
      </c>
    </row>
    <row r="19" spans="1:102" ht="21" customHeight="1" x14ac:dyDescent="0.25">
      <c r="A19" s="135">
        <v>13</v>
      </c>
      <c r="B19" s="136" t="s">
        <v>5858</v>
      </c>
      <c r="C19" s="137" t="str">
        <f t="shared" si="0"/>
        <v>Cocktail de fruits de mer surgelés crus *</v>
      </c>
      <c r="D19" s="138" t="str">
        <f>IF(19=19,IF($B19="","",IF(E19="X",""&amp;"Céréales contenant du gluten","")&amp;IF(F19="X",IF(COUNTIF($E19:$E19,"X")&gt;0,", ","")&amp;"Crustacés","")&amp;IF(G19="X",IF(COUNTIF($E19:$F19,"X")&gt;0,", ","")&amp;"Œufs","")&amp;IF(H19="X",IF(COUNTIF($E19:$G19,"X")&gt;0,", ","")&amp;"Poissons","")&amp;IF(I19="X",IF(COUNTIF($E19:$H19,"X")&gt;0,", ","")&amp;"Arachides","")&amp;IF(J19="X",IF(COUNTIF($E19:$I19,"X")&gt;0,", ","")&amp;"Soja","")&amp;IF(K19="X",IF(COUNTIF($E19:$J19,"X")&gt;0,", ","")&amp;"Lait","")&amp;IF(L19="X",IF(COUNTIF($E19:$K19,"X")&gt;0,", ","")&amp;"Fruits à coque","")&amp;IF(M19="X",IF(COUNTIF($E19:$L19,"X")&gt;0,", ","")&amp;"Céleri","")&amp;IF(N19="X",IF(COUNTIF($E19:$M19,"X")&gt;0,", ","")&amp;"Moutarde","")&amp;IF(O19="X",IF(COUNTIF($E19:$N19,"X")&gt;0,", ","")&amp;"Sésame","")&amp;IF(P19="X",IF(COUNTIF($E19:$O19,"X")&gt;0,", ","")&amp;"Sulfites","")&amp;IF(Q19="X",IF(COUNTIF($E19:$P19,"X")&gt;0,", ","")&amp;"Lupin","")&amp;IF(R19="X",IF(COUNTIF($E19:$Q19,"X")&gt;0,", ","")&amp;"Mollusques","")),"")</f>
        <v>Mollusques</v>
      </c>
      <c r="E19" s="139" t="str">
        <f>IF(19=19,IF($B19="","",AF19),"")</f>
        <v/>
      </c>
      <c r="F19" s="139" t="str">
        <f>IF(19=19,IF($B19="","",AI19),"")</f>
        <v/>
      </c>
      <c r="G19" s="139" t="str">
        <f>IF(19=19,IF($B19="","",AM19),"")</f>
        <v/>
      </c>
      <c r="H19" s="139" t="str">
        <f>IF(19=19,IF($B19="","",IF(ISNUMBER(SEARCH(" colin ",$AA19)),"X",AZ19)),"")</f>
        <v/>
      </c>
      <c r="I19" s="139" t="str">
        <f>IF(19=19,IF($B19="","",BB19),"")</f>
        <v/>
      </c>
      <c r="J19" s="139" t="str">
        <f>IF(19=19,IF($B19="","",BF19),"")</f>
        <v/>
      </c>
      <c r="K19" s="139" t="str">
        <f>IF(19=19,IF($B19="","",BM19),"")</f>
        <v/>
      </c>
      <c r="L19" s="139" t="str">
        <f>IF(19=19,IF($B19="","",BQ19),"")</f>
        <v/>
      </c>
      <c r="M19" s="139" t="str">
        <f>IF(19=19,IF($B19="","",BT19),"")</f>
        <v/>
      </c>
      <c r="N19" s="139" t="str">
        <f>IF(19=19,IF($B19="","",BW19),"")</f>
        <v/>
      </c>
      <c r="O19" s="139" t="str">
        <f>IF(19=19,IF($B19="","",BZ19),"")</f>
        <v/>
      </c>
      <c r="P19" s="139" t="str">
        <f>IF(19=19,IF($B19="","",CC19),"")</f>
        <v/>
      </c>
      <c r="Q19" s="139" t="str">
        <f>IF(19=19,IF($B19="","",CF19),"")</f>
        <v/>
      </c>
      <c r="R19" s="139" t="str">
        <f>IF(19=19,IF($B19="","",CL19),"")</f>
        <v>X</v>
      </c>
      <c r="S19" s="140" t="str">
        <f>IF(19=19,IF($B19="","",IF(E19="?",""&amp;"Céréales contenant du gluten","")&amp;IF(F19="?",IF(COUNTIF($E19:$E19,"~?")&gt;0,", ","")&amp;"Crustacés","")&amp;IF(G19="?",IF(COUNTIF($E19:$F19,"~?")&gt;0,", ","")&amp;"Œufs","")&amp;IF(H19="?",IF(COUNTIF($E19:$G19,"~?")&gt;0,", ","")&amp;"Poissons","")&amp;IF(I19="?",IF(COUNTIF($E19:$H19,"~?")&gt;0,", ","")&amp;"Arachides","")&amp;IF(J19="?",IF(COUNTIF($E19:$I19,"~?")&gt;0,", ","")&amp;"Soja","")&amp;IF(K19="?",IF(COUNTIF($E19:$J19,"~?")&gt;0,", ","")&amp;"Lait","")&amp;IF(L19="?",IF(COUNTIF($E19:$K19,"~?")&gt;0,", ","")&amp;"Fruits à coque","")&amp;IF(M19="?",IF(COUNTIF($E19:$L19,"~?")&gt;0,", ","")&amp;"Céleri","")&amp;IF(N19="?",IF(COUNTIF($E19:$M19,"~?")&gt;0,", ","")&amp;"Moutarde","")&amp;IF(O19="?",IF(COUNTIF($E19:$N19,"~?")&gt;0,", ","")&amp;"Sésame","")&amp;IF(P19="?",IF(COUNTIF($E19:$O19,"~?")&gt;0,", ","")&amp;"Sulfites","")&amp;IF(Q19="?",IF(COUNTIF($E19:$P19,"~?")&gt;0,", ","")&amp;"Lupin","")&amp;IF(R19="?",IF(COUNTIF($E19:$Q19,"~?")&gt;0,", ","")&amp;"Mollusques","")),"")</f>
        <v/>
      </c>
      <c r="U19" s="93" t="str">
        <f>IF(19=19,IF($B19="","",$B19),"")</f>
        <v xml:space="preserve">Cocktail de fruits de mer surgelés crus </v>
      </c>
      <c r="V19" s="93" t="str">
        <f>IF(19=19,LOWER(CLEAN(SUBSTITUTE(SUBSTITUTE(SUBSTITUTE(SUBSTITUTE($U19,CHAR(160)," ")," "," "),CHAR(10)," "),CHAR(13)," "))),"")</f>
        <v xml:space="preserve">cocktail de fruits de mer surgelés crus </v>
      </c>
      <c r="W19" s="93" t="str">
        <f>IF(19=19,SUBSTITUTE(SUBSTITUTE(SUBSTITUTE(SUBSTITUTE(SUBSTITUTE(SUBSTITUTE(SUBSTITUTE(SUBSTITUTE(SUBSTITUTE(SUBSTITUTE(SUBSTITUTE(SUBSTITUTE($V19,"œ","oe"),"æ","ae"),"à","a"),"á","a"),"â","a"),"ä","a"),"ã","a"),"ç","c"),"è","e"),"é","e"),"ê","e"),"ë","e"),"")</f>
        <v xml:space="preserve">cocktail de fruits de mer surgeles crus </v>
      </c>
      <c r="X19" s="93" t="str">
        <f>IF(19=19,SUBSTITUTE(SUBSTITUTE(SUBSTITUTE(SUBSTITUTE(SUBSTITUTE(SUBSTITUTE(SUBSTITUTE(SUBSTITUTE(SUBSTITUTE(SUBSTITUTE(SUBSTITUTE(SUBSTITUTE(SUBSTITUTE(SUBSTITUTE(SUBSTITUTE(SUBSTITUTE($W19,"ì","i"),"í","i"),"î","i"),"ï","i"),"ñ","n"),"ò","o"),"ó","o"),"ô","o"),"ö","o"),"õ","o"),"ù","u"),"ú","u"),"û","u"),"ü","u"),"ý","y"),"ÿ","y"),"")</f>
        <v xml:space="preserve">cocktail de fruits de mer surgeles crus </v>
      </c>
      <c r="Y19" s="93" t="str">
        <f>IF(19=19,SUBSTITUTE(SUBSTITUTE(SUBSTITUTE(SUBSTITUTE(SUBSTITUTE(SUBSTITUTE(SUBSTITUTE(SUBSTITUTE(SUBSTITUTE(SUBSTITUTE(SUBSTITUTE(SUBSTITUTE(SUBSTITUTE(SUBSTITUTE($X19,"’"," "),"`"," "),"–"," "),"—"," "),"-"," "),"'"," "),"/"," "),"_"," "),","," "),"."," "),"("," "),")"," "),";"," "),":"," "),"")</f>
        <v xml:space="preserve">cocktail de fruits de mer surgeles crus </v>
      </c>
      <c r="Z19" s="93" t="str">
        <f>IF(19=19,SUBSTITUTE(SUBSTITUTE(SUBSTITUTE(SUBSTITUTE(SUBSTITUTE(SUBSTITUTE(SUBSTITUTE(SUBSTITUTE(SUBSTITUTE(SUBSTITUTE(SUBSTITUTE(SUBSTITUTE(SUBSTITUTE(SUBSTITUTE(SUBSTITUTE($Y19,"!"," "),"?"," "),"+"," "),"*"," "),"&amp;"," "),"["," "),"]"," "),"{"," "),"}"," "),"%"," "),"="," "),"\"," "),"|"," "),"&lt;"," "),"&gt;"," "),"")</f>
        <v xml:space="preserve">cocktail de fruits de mer surgeles crus </v>
      </c>
      <c r="AA19" s="93" t="str">
        <f>IF(19=19," "&amp;TRIM(SUBSTITUTE(SUBSTITUTE(SUBSTITUTE(SUBSTITUTE(SUBSTITUTE(SUBSTITUTE($Z19,CHAR(34)," "),"  "," "),"  "," "),"  "," "),"  "," "),"  "," "))&amp;" ","")</f>
        <v xml:space="preserve"> cocktail de fruits de mer surgeles crus </v>
      </c>
      <c r="AB19" s="93">
        <f>IF(19=19,IF($U19="","",SUMPRODUCT(--ISNUMBER(SEARCH(" "&amp;$CR$2:$CR$101&amp;" ",$AD19)))),"")</f>
        <v>0</v>
      </c>
      <c r="AC19" s="93">
        <f>IF(19=19,IF($U19="","",SUMPRODUCT(--ISNUMBER(SEARCH(" "&amp;$CR$102:$CR$151&amp;" ",$AD19)))),"")</f>
        <v>0</v>
      </c>
      <c r="AD19" s="93" t="str">
        <f t="shared" si="1"/>
        <v xml:space="preserve"> cocktail de fruits de mer surgeles crus </v>
      </c>
      <c r="AE19" s="93">
        <f t="shared" si="2"/>
        <v>0</v>
      </c>
      <c r="AF19" s="93" t="str">
        <f>IF(19=19,IF($U19="","",IF(SUM(AB19:AC19)+SUMPRODUCT(--ISNUMBER(SEARCH(" "&amp;$CR$2418:$CR$2420&amp;" ",$AD19)))&gt;0,"X",IF(AE19&gt;0,"?",""))),"")</f>
        <v/>
      </c>
      <c r="AG19" s="93">
        <f>IF(19=19,IF($U19="","",SUMPRODUCT(--ISNUMBER(SEARCH(" "&amp;$CR$206:$CR$305&amp;" ",$AA19)))),"")</f>
        <v>0</v>
      </c>
      <c r="AH19" s="93">
        <f>IF(19=19,IF($U19="","",SUMPRODUCT(--ISNUMBER(SEARCH(" "&amp;$CR$306:$CR$340&amp;" ",$AA19)))),"")</f>
        <v>0</v>
      </c>
      <c r="AI19" s="93" t="str">
        <f>IF(19=19,IF($U19="","",IF((SUM(AG19:AH19))-(0)&gt;0,"X",IF((0)-(0)&gt;0,"?",""))),"")</f>
        <v/>
      </c>
      <c r="AJ19" s="93">
        <f>IF(19=19,IF($U19="","",SUMPRODUCT(--ISNUMBER(SEARCH(" "&amp;$CR$341:$CR$398&amp;" ",$AA19)))),"")</f>
        <v>0</v>
      </c>
      <c r="AK19" s="93">
        <f>IF(19=19,IF($U19="","",SUMPRODUCT(--ISNUMBER(SEARCH(" "&amp;$CR$399:$CR$426&amp;" ",$AL19)))+SUMPRODUCT(--ISNUMBER(SEARCH(" "&amp;$CR$2440:$CR$2453&amp;" ",$AL19)))),"")</f>
        <v>0</v>
      </c>
      <c r="AL19" s="93" t="str">
        <f>IF(19=19,IF($U19="","",SUBSTITUTE(SUBSTITUTE(SUBSTITUTE(SUBSTITUTE(SUBSTITUTE(SUBSTITUTE(SUBSTITUTE(SUBSTITUTE(SUBSTITUTE(SUBSTITUTE(SUBSTITUTE(SUBSTITUTE(SUBSTITUTE(SUBSTITUTE($AA19," "&amp;$CR$2455&amp;" "," ")," "&amp;$CR$433&amp;" "," ")," "&amp;$CR$431&amp;" "," ")," "&amp;$CR$2438&amp;" "," ")," "&amp;$CR$2439&amp;" "," ")," "&amp;$CR$428&amp;" "," ")," "&amp;$CR$432&amp;" "," ")," "&amp;$CR$434&amp;" "," ")," "&amp;$CR$429&amp;" "," ")," "&amp;$CR$427&amp;" "," ")," "&amp;$CR$1367&amp;" "," ")," "&amp;$CR$435&amp;" "," ")," "&amp;$CR$1366&amp;" "," ")," "&amp;$CR$430&amp;" "," ")),"")</f>
        <v xml:space="preserve"> cocktail de fruits de mer surgeles crus </v>
      </c>
      <c r="AM19" s="93" t="str">
        <f>IF(19=19,IF($U19="","",IF(AJ19&gt;0,"X",IF(AK19&gt;0,"?",""))),"")</f>
        <v/>
      </c>
      <c r="AN19" s="93">
        <f>IF(19=19,IF($U19="","",SUMPRODUCT(--ISNUMBER(SEARCH(" "&amp;$CR$436:$CR$535&amp;" ",$AX19)))),"")</f>
        <v>0</v>
      </c>
      <c r="AO19" s="93">
        <f>IF(19=19,IF($U19="","",SUMPRODUCT(--ISNUMBER(SEARCH(" "&amp;$CR$536:$CR$635&amp;" ",$AX19)))),"")</f>
        <v>0</v>
      </c>
      <c r="AP19" s="93">
        <f>IF(19=19,IF($U19="","",SUMPRODUCT(--ISNUMBER(SEARCH(" "&amp;$CR$636:$CR$735&amp;" ",$AX19)))),"")</f>
        <v>0</v>
      </c>
      <c r="AQ19" s="93">
        <f>IF(19=19,IF($U19="","",SUMPRODUCT(--ISNUMBER(SEARCH(" "&amp;$CR$736:$CR$835&amp;" ",$AX19)))),"")</f>
        <v>0</v>
      </c>
      <c r="AR19" s="93">
        <f>IF(19=19,IF($U19="","",SUMPRODUCT(--ISNUMBER(SEARCH(" "&amp;$CR$836:$CR$935&amp;" ",$AX19)))),"")</f>
        <v>0</v>
      </c>
      <c r="AS19" s="93">
        <f>IF(19=19,IF($U19="","",SUMPRODUCT(--ISNUMBER(SEARCH(" "&amp;$CR$936:$CR$1035&amp;" ",$AX19)))),"")</f>
        <v>0</v>
      </c>
      <c r="AT19" s="93">
        <f>IF(19=19,IF($U19="","",SUMPRODUCT(--ISNUMBER(SEARCH(" "&amp;$CR$1036:$CR$1135&amp;" ",$AX19)))),"")</f>
        <v>0</v>
      </c>
      <c r="AU19" s="93">
        <f>IF(19=19,IF($U19="","",SUMPRODUCT(--ISNUMBER(SEARCH(" "&amp;$CR$1136:$CR$1235&amp;" ",$AX19)))),"")</f>
        <v>0</v>
      </c>
      <c r="AV19" s="93">
        <f>IF(19=19,IF($U19="","",SUMPRODUCT(--ISNUMBER(SEARCH(" "&amp;$CR$1236:$CR$1335&amp;" ",$AX19)))),"")</f>
        <v>0</v>
      </c>
      <c r="AW19" s="93">
        <f>IF(19=19,IF($U19="","",SUMPRODUCT(--ISNUMBER(SEARCH(" "&amp;$CR$1336:$CR$1363&amp;" ",$AX19)))),"")</f>
        <v>0</v>
      </c>
      <c r="AX19" s="93" t="str">
        <f>IF(19=19,IF($U19="","",SUBSTITUTE(SUBSTITUTE(SUBSTITUTE(SUBSTITUTE(SUBSTITUTE(SUBSTITUTE(SUBSTITUTE(SUBSTITUTE(SUBSTITUTE($AA19," "&amp;$CR$1365&amp;" "," ")," "&amp;$CR$1364&amp;" "," ")," "&amp;$CR$1370&amp;" "," ")," "&amp;$CR$1371&amp;" "," ")," "&amp;$CR$1367&amp;" "," ")," "&amp;$CR$1369&amp;" "," ")," "&amp;$CR$1366&amp;" "," ")," "&amp;$CR$1368&amp;" "," ")," "&amp;$CR$1372&amp;" "," ")),"")</f>
        <v xml:space="preserve"> cocktail de fruits de mer surgeles crus </v>
      </c>
      <c r="AY19" s="93">
        <f>IF(19=19,IF($U19="","",SUMPRODUCT(--ISNUMBER(SEARCH(" "&amp;$CR$1373:$CR$1383&amp;" ",$AX19)))),"")</f>
        <v>0</v>
      </c>
      <c r="AZ19" s="93" t="str">
        <f>IF(19=19,IF($U19="","",IF(SUM(AN19:AW19)+SUMPRODUCT(--ISNUMBER(SEARCH(" "&amp;$CR$2421:$CR$2422&amp;" ",$AX19)))&gt;0,"X",IF(AY19&gt;0,"?",""))),"")</f>
        <v/>
      </c>
      <c r="BA19" s="93">
        <f>IF(19=19,IF($U19="","",SUMPRODUCT(--ISNUMBER(SEARCH(" "&amp;$CR$1384:$CR$1404&amp;" ",$AA19)))),"")</f>
        <v>0</v>
      </c>
      <c r="BB19" s="93" t="str">
        <f>IF(19=19,IF($U19="","",IF((BA19)-(0)&gt;0,"X",IF((0)-(0)&gt;0,"?",""))),"")</f>
        <v/>
      </c>
      <c r="BC19" s="93">
        <f>IF(19=19,IF($U19="","",SUMPRODUCT(--ISNUMBER(SEARCH(" "&amp;$CR$1405:$CR$1442&amp;" ",$BD19)))),"")</f>
        <v>0</v>
      </c>
      <c r="BD19" s="93" t="str">
        <f>IF(19=19,IF($U19="","",SUBSTITUTE(SUBSTITUTE($AA19," "&amp;$CR$1443&amp;" "," ")," "&amp;$CR$1444&amp;" "," ")),"")</f>
        <v xml:space="preserve"> cocktail de fruits de mer surgeles crus </v>
      </c>
      <c r="BE19" s="93">
        <f>IF(19=19,IF($U19="","",SUMPRODUCT(--ISNUMBER(SEARCH(" "&amp;$CR$1445:$CR$1455&amp;" ",$BD19)))),"")</f>
        <v>0</v>
      </c>
      <c r="BF19" s="93" t="str">
        <f>IF(19=19,IF($U19="","",IF(BC19&gt;0,"X",IF(BE19&gt;0,"?",""))),"")</f>
        <v/>
      </c>
      <c r="BG19" s="93">
        <f>IF(19=19,IF($U19="","",SUMPRODUCT(--ISNUMBER(SEARCH(" "&amp;$CR$1456:$CR$1555&amp;" ",$BJ19)))),"")</f>
        <v>0</v>
      </c>
      <c r="BH19" s="93">
        <f>IF(19=19,IF($U19="","",SUMPRODUCT(--ISNUMBER(SEARCH(" "&amp;$CR$1556:$CR$1655&amp;" ",$BJ19)))),"")</f>
        <v>0</v>
      </c>
      <c r="BI19" s="93">
        <f>IF(19=19,IF($U19="","",SUMPRODUCT(--ISNUMBER(SEARCH(" "&amp;$CR$1656:$CR$1739&amp;" ",$BJ19)))),"")</f>
        <v>0</v>
      </c>
      <c r="BJ19" s="93" t="str">
        <f>IF(19=19,IF($U19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19,"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cocktail de fruits de mer surgeles crus </v>
      </c>
      <c r="BK19" s="93">
        <f>IF(19=19,IF($U19="","",SUMPRODUCT(--ISNUMBER(SEARCH(" "&amp;$CR$1790:$CR$1869&amp;" ",$BL19)))+SUMPRODUCT(--ISNUMBER(SEARCH(" "&amp;$CR$2440:$CR$2453&amp;" ",$BL19)))),"")</f>
        <v>0</v>
      </c>
      <c r="BL19" s="93" t="str">
        <f>IF(19=19,IF($U19="","",SUBSTITUTE(SUBSTITUTE(SUBSTITUTE(SUBSTITUTE(SUBSTITUTE(SUBSTITUTE(SUBSTITUTE(SUBSTITUTE(SUBSTITUTE(SUBSTITUTE(SUBSTITUTE(SUBSTITUTE(SUBSTITUTE($BJ19," "&amp;$CR$1876&amp;" "," ")," "&amp;$CR$1874&amp;" "," ")," "&amp;$CR$2438&amp;" "," ")," "&amp;$CR$2439&amp;" "," ")," "&amp;$CR$1871&amp;" "," ")," "&amp;$CR$1875&amp;" "," ")," "&amp;$CR$1877&amp;" "," ")," "&amp;$CR$1872&amp;" "," ")," "&amp;$CR$1870&amp;" "," ")," "&amp;$CR$1367&amp;" "," ")," "&amp;$CR$1878&amp;" "," ")," "&amp;$CR$1366&amp;" "," ")," "&amp;$CR$1873&amp;" "," ")),"")</f>
        <v xml:space="preserve"> cocktail de fruits de mer surgeles crus </v>
      </c>
      <c r="BM19" s="93" t="str">
        <f>IF(19=19,IF($U19="","",IF(SUM(BG19:BI19)+SUMPRODUCT(--ISNUMBER(SEARCH(" "&amp;$CR$2423:$CR$2424&amp;" ",$BJ19)))&gt;0,"X",IF(BK19&gt;0,"?",""))),"")</f>
        <v/>
      </c>
      <c r="BN19" s="93">
        <f>IF(19=19,IF($U19="","",SUMPRODUCT(--ISNUMBER(SEARCH(" "&amp;$CR$1879:$CR$1936&amp;" ",$BO19)))),"")</f>
        <v>0</v>
      </c>
      <c r="BO19" s="93" t="str">
        <f>IF(19=19,IF($U19="","",SUBSTITUTE(SUBSTITUTE(SUBSTITUTE(SUBSTITUTE(SUBSTITUTE(SUBSTITUTE(SUBSTITUTE(SUBSTITUTE(SUBSTITUTE(SUBSTITUTE(SUBSTITUTE(SUBSTITUTE(SUBSTITUTE(SUBSTITUTE(SUBSTITUTE(SUBSTITUTE(SUBSTITUTE(SUBSTITUTE(SUBSTITUTE(SUBSTITUTE(SUBSTITUTE(SUBSTITUTE(SUBSTITUTE($AA19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cocktail de fruits de mer surgeles crus </v>
      </c>
      <c r="BP19" s="93">
        <f>IF(19=19,IF($U19="","",SUMPRODUCT(--ISNUMBER(SEARCH(" "&amp;$CR$1960:$CR$1976&amp;" ",$BO19)))),"")</f>
        <v>0</v>
      </c>
      <c r="BQ19" s="93" t="str">
        <f>IF(19=19,IF($U19="","",IF(BN19&gt;0,"X",IF(BP19&gt;0,"?",""))),"")</f>
        <v/>
      </c>
      <c r="BR19" s="93">
        <f>IF(19=19,IF($U19="","",SUMPRODUCT(--ISNUMBER(SEARCH(" "&amp;$CR$1977:$CR$1990&amp;" ",$AA19)))),"")</f>
        <v>0</v>
      </c>
      <c r="BS19" s="93">
        <f>IF(19=19,IF($U19="","",SUMPRODUCT(--ISNUMBER(SEARCH(" "&amp;$CR$1991:$CR$2005&amp;" ",$AA19)))),"")</f>
        <v>0</v>
      </c>
      <c r="BT19" s="93" t="str">
        <f>IF(19=19,IF($U19="","",IF((BR19)-(0)&gt;0,"X",IF((BS19)-(0)&gt;0,"?",""))),"")</f>
        <v/>
      </c>
      <c r="BU19" s="93">
        <f>IF(19=19,IF($U19="","",SUMPRODUCT(--ISNUMBER(SEARCH(" "&amp;$CR$2006:$CR$2023&amp;" ",$AA19)))),"")</f>
        <v>0</v>
      </c>
      <c r="BV19" s="93">
        <f>IF(19=19,IF($U19="","",SUMPRODUCT(--ISNUMBER(SEARCH(" "&amp;$CR$2024:$CR$2038&amp;" ",$AA19)))),"")</f>
        <v>0</v>
      </c>
      <c r="BW19" s="93" t="str">
        <f>IF(19=19,IF($U19="","",IF((BU19)-(0)&gt;0,"X",IF((BV19)-(0)&gt;0,"?",""))),"")</f>
        <v/>
      </c>
      <c r="BX19" s="93">
        <f>IF(19=19,IF($U19="","",SUMPRODUCT(--ISNUMBER(SEARCH(" "&amp;$CR$2039:$CR$2057&amp;" ",$AA19)))),"")</f>
        <v>0</v>
      </c>
      <c r="BY19" s="93">
        <f>IF(19=19,IF($U19="","",SUMPRODUCT(--ISNUMBER(SEARCH(" "&amp;$CR$2058:$CR$2072&amp;" ",$AA19)))),"")</f>
        <v>0</v>
      </c>
      <c r="BZ19" s="93" t="str">
        <f>IF(19=19,IF($U19="","",IF((BX19)-(0)&gt;0,"X",IF((BY19)-(0)&gt;0,"?",""))),"")</f>
        <v/>
      </c>
      <c r="CA19" s="93">
        <f>IF(19=19,IF($U19="","",SUMPRODUCT(--ISNUMBER(SEARCH(" "&amp;$CR$2073:$CR$2093&amp;" ",$AA19)))),"")</f>
        <v>0</v>
      </c>
      <c r="CB19" s="93">
        <f>IF(19=19,IF($U19="","",SUMPRODUCT(--ISNUMBER(SEARCH(" "&amp;$CR$2094:$CR$2133&amp;" ",SUBSTITUTE(SUBSTITUTE($AA19," "&amp;$CR$1367&amp;" "," ")," "&amp;$CR$1366&amp;" "," "))))+--ISNUMBER(SEARCH("poiré",$V19))),"")</f>
        <v>0</v>
      </c>
      <c r="CC19" s="93" t="str">
        <f>IF(19=19,IF($U19="","",IF(OR(CA19&gt;0,ISNUMBER(SEARCH(" vinaigre de vin ",$AA19)),ISNUMBER(SEARCH(" vinaigre au vin ",$AA19))),"X",IF(CB19&gt;0,"?",""))),"")</f>
        <v/>
      </c>
      <c r="CD19" s="93">
        <f>IF(19=19,IF($U19="","",SUMPRODUCT(--ISNUMBER(SEARCH(" "&amp;$CR$2134:$CR$2146&amp;" ",$AA19)))),"")</f>
        <v>0</v>
      </c>
      <c r="CE19" s="93">
        <f>IF(19=19,IF($U19="","",SUMPRODUCT(--ISNUMBER(SEARCH(" "&amp;$CR$2147:$CR$2152&amp;" ",$AA19)))),"")</f>
        <v>0</v>
      </c>
      <c r="CF19" s="93" t="str">
        <f>IF(19=19,IF($U19="","",IF((CD19)-(0)&gt;0,"X",IF((CE19)-(0)&gt;0,"?",""))),"")</f>
        <v/>
      </c>
      <c r="CG19" s="93">
        <f>IF(19=19,IF($U19="","",SUMPRODUCT(--ISNUMBER(SEARCH(" "&amp;$CR$2153:$CR$2252&amp;" ",$CJ19)))),"")</f>
        <v>1</v>
      </c>
      <c r="CH19" s="93">
        <f>IF(19=19,IF($U19="","",SUMPRODUCT(--ISNUMBER(SEARCH(" "&amp;$CR$2253:$CR$2352&amp;" ",$CJ19)))),"")</f>
        <v>0</v>
      </c>
      <c r="CI19" s="93">
        <f>IF(19=19,IF($U19="","",SUMPRODUCT(--ISNUMBER(SEARCH(" "&amp;$CR$2353:$CR$2395&amp;" ",$CJ19)))),"")</f>
        <v>0</v>
      </c>
      <c r="CJ19" s="93" t="str">
        <f>IF(19=19,IF($U19="","",SUBSTITUTE(SUBSTITUTE(SUBSTITUTE(SUBSTITUTE(SUBSTITUTE(SUBSTITUTE(SUBSTITUTE(SUBSTITUTE(SUBSTITUTE(SUBSTITUTE(SUBSTITUTE(SUBSTITUTE(SUBSTITUTE(SUBSTITUTE(SUBSTITUTE(SUBSTITUTE($AA19," "&amp;$CR$2401&amp;" "," ")," "&amp;$CR$2400&amp;" "," ")," "&amp;$CR$2399&amp;" "," ")," "&amp;$CR$2406&amp;" "," ")," "&amp;$CR$2398&amp;" "," ")," "&amp;$CR$2410&amp;" "," ")," "&amp;$CR$2397&amp;" "," ")," "&amp;$CR$2402&amp;" "," ")," "&amp;$CR$2405&amp;" "," ")," "&amp;$CR$2396&amp;" "," ")," "&amp;$CR$2404&amp;" "," ")," "&amp;$CR$2411&amp;" "," ")," "&amp;$CR$2408&amp;" "," ")," "&amp;$CR$2403&amp;" "," ")," "&amp;$CR$2407&amp;" "," ")," "&amp;$CR$2409&amp;" "," ")),"")</f>
        <v xml:space="preserve"> cocktail de fruits de mer surgeles crus </v>
      </c>
      <c r="CK19" s="93">
        <f>IF(19=19,IF($U19="","",SUMPRODUCT(--ISNUMBER(SEARCH(" "&amp;$CR$2412:$CR$2416&amp;" ",$CJ19)))),"")</f>
        <v>1</v>
      </c>
      <c r="CL19" s="93" t="str">
        <f>IF(19=19,IF($U19="","",IF(SUM(CG19:CI19)&gt;0,"X",IF(CK19&gt;0,"?",""))),"")</f>
        <v>X</v>
      </c>
      <c r="CM19" s="102"/>
      <c r="CN19" s="112" t="s">
        <v>644</v>
      </c>
      <c r="CO19" s="112" t="s">
        <v>522</v>
      </c>
      <c r="CP19" s="112" t="s">
        <v>523</v>
      </c>
      <c r="CQ19" s="112" t="s">
        <v>645</v>
      </c>
      <c r="CR19" s="112" t="s">
        <v>645</v>
      </c>
      <c r="CS19" s="112" t="s">
        <v>525</v>
      </c>
      <c r="CT19" s="112" t="s">
        <v>526</v>
      </c>
      <c r="CU19" s="112" t="s">
        <v>527</v>
      </c>
      <c r="CV19" s="113" t="s">
        <v>528</v>
      </c>
      <c r="CX19" s="36">
        <v>1</v>
      </c>
    </row>
    <row r="20" spans="1:102" ht="21" customHeight="1" x14ac:dyDescent="0.25">
      <c r="A20" s="135">
        <v>14</v>
      </c>
      <c r="B20" s="136" t="s">
        <v>111</v>
      </c>
      <c r="C20" s="137" t="str">
        <f t="shared" si="0"/>
        <v>Courgettes</v>
      </c>
      <c r="D20" s="138" t="str">
        <f>IF(20=20,IF($B20="","",IF(E20="X",""&amp;"Céréales contenant du gluten","")&amp;IF(F20="X",IF(COUNTIF($E20:$E20,"X")&gt;0,", ","")&amp;"Crustacés","")&amp;IF(G20="X",IF(COUNTIF($E20:$F20,"X")&gt;0,", ","")&amp;"Œufs","")&amp;IF(H20="X",IF(COUNTIF($E20:$G20,"X")&gt;0,", ","")&amp;"Poissons","")&amp;IF(I20="X",IF(COUNTIF($E20:$H20,"X")&gt;0,", ","")&amp;"Arachides","")&amp;IF(J20="X",IF(COUNTIF($E20:$I20,"X")&gt;0,", ","")&amp;"Soja","")&amp;IF(K20="X",IF(COUNTIF($E20:$J20,"X")&gt;0,", ","")&amp;"Lait","")&amp;IF(L20="X",IF(COUNTIF($E20:$K20,"X")&gt;0,", ","")&amp;"Fruits à coque","")&amp;IF(M20="X",IF(COUNTIF($E20:$L20,"X")&gt;0,", ","")&amp;"Céleri","")&amp;IF(N20="X",IF(COUNTIF($E20:$M20,"X")&gt;0,", ","")&amp;"Moutarde","")&amp;IF(O20="X",IF(COUNTIF($E20:$N20,"X")&gt;0,", ","")&amp;"Sésame","")&amp;IF(P20="X",IF(COUNTIF($E20:$O20,"X")&gt;0,", ","")&amp;"Sulfites","")&amp;IF(Q20="X",IF(COUNTIF($E20:$P20,"X")&gt;0,", ","")&amp;"Lupin","")&amp;IF(R20="X",IF(COUNTIF($E20:$Q20,"X")&gt;0,", ","")&amp;"Mollusques","")),"")</f>
        <v/>
      </c>
      <c r="E20" s="139" t="str">
        <f>IF(20=20,IF($B20="","",AF20),"")</f>
        <v/>
      </c>
      <c r="F20" s="139" t="str">
        <f>IF(20=20,IF($B20="","",AI20),"")</f>
        <v/>
      </c>
      <c r="G20" s="139" t="str">
        <f>IF(20=20,IF($B20="","",AM20),"")</f>
        <v/>
      </c>
      <c r="H20" s="139" t="str">
        <f>IF(20=20,IF($B20="","",IF(ISNUMBER(SEARCH(" colin ",$AA20)),"X",AZ20)),"")</f>
        <v/>
      </c>
      <c r="I20" s="139" t="str">
        <f>IF(20=20,IF($B20="","",BB20),"")</f>
        <v/>
      </c>
      <c r="J20" s="139" t="str">
        <f>IF(20=20,IF($B20="","",BF20),"")</f>
        <v/>
      </c>
      <c r="K20" s="139" t="str">
        <f>IF(20=20,IF($B20="","",BM20),"")</f>
        <v/>
      </c>
      <c r="L20" s="139" t="str">
        <f>IF(20=20,IF($B20="","",BQ20),"")</f>
        <v/>
      </c>
      <c r="M20" s="139" t="str">
        <f>IF(20=20,IF($B20="","",BT20),"")</f>
        <v/>
      </c>
      <c r="N20" s="139" t="str">
        <f>IF(20=20,IF($B20="","",BW20),"")</f>
        <v/>
      </c>
      <c r="O20" s="139" t="str">
        <f>IF(20=20,IF($B20="","",BZ20),"")</f>
        <v/>
      </c>
      <c r="P20" s="139" t="str">
        <f>IF(20=20,IF($B20="","",CC20),"")</f>
        <v/>
      </c>
      <c r="Q20" s="139" t="str">
        <f>IF(20=20,IF($B20="","",CF20),"")</f>
        <v/>
      </c>
      <c r="R20" s="139" t="str">
        <f>IF(20=20,IF($B20="","",CL20),"")</f>
        <v/>
      </c>
      <c r="S20" s="140" t="str">
        <f>IF(20=20,IF($B20="","",IF(E20="?",""&amp;"Céréales contenant du gluten","")&amp;IF(F20="?",IF(COUNTIF($E20:$E20,"~?")&gt;0,", ","")&amp;"Crustacés","")&amp;IF(G20="?",IF(COUNTIF($E20:$F20,"~?")&gt;0,", ","")&amp;"Œufs","")&amp;IF(H20="?",IF(COUNTIF($E20:$G20,"~?")&gt;0,", ","")&amp;"Poissons","")&amp;IF(I20="?",IF(COUNTIF($E20:$H20,"~?")&gt;0,", ","")&amp;"Arachides","")&amp;IF(J20="?",IF(COUNTIF($E20:$I20,"~?")&gt;0,", ","")&amp;"Soja","")&amp;IF(K20="?",IF(COUNTIF($E20:$J20,"~?")&gt;0,", ","")&amp;"Lait","")&amp;IF(L20="?",IF(COUNTIF($E20:$K20,"~?")&gt;0,", ","")&amp;"Fruits à coque","")&amp;IF(M20="?",IF(COUNTIF($E20:$L20,"~?")&gt;0,", ","")&amp;"Céleri","")&amp;IF(N20="?",IF(COUNTIF($E20:$M20,"~?")&gt;0,", ","")&amp;"Moutarde","")&amp;IF(O20="?",IF(COUNTIF($E20:$N20,"~?")&gt;0,", ","")&amp;"Sésame","")&amp;IF(P20="?",IF(COUNTIF($E20:$O20,"~?")&gt;0,", ","")&amp;"Sulfites","")&amp;IF(Q20="?",IF(COUNTIF($E20:$P20,"~?")&gt;0,", ","")&amp;"Lupin","")&amp;IF(R20="?",IF(COUNTIF($E20:$Q20,"~?")&gt;0,", ","")&amp;"Mollusques","")),"")</f>
        <v/>
      </c>
      <c r="U20" s="93" t="str">
        <f>IF(20=20,IF($B20="","",$B20),"")</f>
        <v>Courgettes</v>
      </c>
      <c r="V20" s="93" t="str">
        <f>IF(20=20,LOWER(CLEAN(SUBSTITUTE(SUBSTITUTE(SUBSTITUTE(SUBSTITUTE($U20,CHAR(160)," ")," "," "),CHAR(10)," "),CHAR(13)," "))),"")</f>
        <v>courgettes</v>
      </c>
      <c r="W20" s="93" t="str">
        <f>IF(20=20,SUBSTITUTE(SUBSTITUTE(SUBSTITUTE(SUBSTITUTE(SUBSTITUTE(SUBSTITUTE(SUBSTITUTE(SUBSTITUTE(SUBSTITUTE(SUBSTITUTE(SUBSTITUTE(SUBSTITUTE($V20,"œ","oe"),"æ","ae"),"à","a"),"á","a"),"â","a"),"ä","a"),"ã","a"),"ç","c"),"è","e"),"é","e"),"ê","e"),"ë","e"),"")</f>
        <v>courgettes</v>
      </c>
      <c r="X20" s="93" t="str">
        <f>IF(20=20,SUBSTITUTE(SUBSTITUTE(SUBSTITUTE(SUBSTITUTE(SUBSTITUTE(SUBSTITUTE(SUBSTITUTE(SUBSTITUTE(SUBSTITUTE(SUBSTITUTE(SUBSTITUTE(SUBSTITUTE(SUBSTITUTE(SUBSTITUTE(SUBSTITUTE(SUBSTITUTE($W20,"ì","i"),"í","i"),"î","i"),"ï","i"),"ñ","n"),"ò","o"),"ó","o"),"ô","o"),"ö","o"),"õ","o"),"ù","u"),"ú","u"),"û","u"),"ü","u"),"ý","y"),"ÿ","y"),"")</f>
        <v>courgettes</v>
      </c>
      <c r="Y20" s="93" t="str">
        <f>IF(20=20,SUBSTITUTE(SUBSTITUTE(SUBSTITUTE(SUBSTITUTE(SUBSTITUTE(SUBSTITUTE(SUBSTITUTE(SUBSTITUTE(SUBSTITUTE(SUBSTITUTE(SUBSTITUTE(SUBSTITUTE(SUBSTITUTE(SUBSTITUTE($X20,"’"," "),"`"," "),"–"," "),"—"," "),"-"," "),"'"," "),"/"," "),"_"," "),","," "),"."," "),"("," "),")"," "),";"," "),":"," "),"")</f>
        <v>courgettes</v>
      </c>
      <c r="Z20" s="93" t="str">
        <f>IF(20=20,SUBSTITUTE(SUBSTITUTE(SUBSTITUTE(SUBSTITUTE(SUBSTITUTE(SUBSTITUTE(SUBSTITUTE(SUBSTITUTE(SUBSTITUTE(SUBSTITUTE(SUBSTITUTE(SUBSTITUTE(SUBSTITUTE(SUBSTITUTE(SUBSTITUTE($Y20,"!"," "),"?"," "),"+"," "),"*"," "),"&amp;"," "),"["," "),"]"," "),"{"," "),"}"," "),"%"," "),"="," "),"\"," "),"|"," "),"&lt;"," "),"&gt;"," "),"")</f>
        <v>courgettes</v>
      </c>
      <c r="AA20" s="93" t="str">
        <f>IF(20=20," "&amp;TRIM(SUBSTITUTE(SUBSTITUTE(SUBSTITUTE(SUBSTITUTE(SUBSTITUTE(SUBSTITUTE($Z20,CHAR(34)," "),"  "," "),"  "," "),"  "," "),"  "," "),"  "," "))&amp;" ","")</f>
        <v xml:space="preserve"> courgettes </v>
      </c>
      <c r="AB20" s="93">
        <f>IF(20=20,IF($U20="","",SUMPRODUCT(--ISNUMBER(SEARCH(" "&amp;$CR$2:$CR$101&amp;" ",$AD20)))),"")</f>
        <v>0</v>
      </c>
      <c r="AC20" s="93">
        <f>IF(20=20,IF($U20="","",SUMPRODUCT(--ISNUMBER(SEARCH(" "&amp;$CR$102:$CR$151&amp;" ",$AD20)))),"")</f>
        <v>0</v>
      </c>
      <c r="AD20" s="93" t="str">
        <f t="shared" si="1"/>
        <v xml:space="preserve"> courgettes </v>
      </c>
      <c r="AE20" s="93">
        <f t="shared" si="2"/>
        <v>0</v>
      </c>
      <c r="AF20" s="93" t="str">
        <f>IF(20=20,IF($U20="","",IF(SUM(AB20:AC20)+SUMPRODUCT(--ISNUMBER(SEARCH(" "&amp;$CR$2418:$CR$2420&amp;" ",$AD20)))&gt;0,"X",IF(AE20&gt;0,"?",""))),"")</f>
        <v/>
      </c>
      <c r="AG20" s="93">
        <f>IF(20=20,IF($U20="","",SUMPRODUCT(--ISNUMBER(SEARCH(" "&amp;$CR$206:$CR$305&amp;" ",$AA20)))),"")</f>
        <v>0</v>
      </c>
      <c r="AH20" s="93">
        <f>IF(20=20,IF($U20="","",SUMPRODUCT(--ISNUMBER(SEARCH(" "&amp;$CR$306:$CR$340&amp;" ",$AA20)))),"")</f>
        <v>0</v>
      </c>
      <c r="AI20" s="93" t="str">
        <f>IF(20=20,IF($U20="","",IF((SUM(AG20:AH20))-(0)&gt;0,"X",IF((0)-(0)&gt;0,"?",""))),"")</f>
        <v/>
      </c>
      <c r="AJ20" s="93">
        <f>IF(20=20,IF($U20="","",SUMPRODUCT(--ISNUMBER(SEARCH(" "&amp;$CR$341:$CR$398&amp;" ",$AA20)))),"")</f>
        <v>0</v>
      </c>
      <c r="AK20" s="93">
        <f>IF(20=20,IF($U20="","",SUMPRODUCT(--ISNUMBER(SEARCH(" "&amp;$CR$399:$CR$426&amp;" ",$AL20)))+SUMPRODUCT(--ISNUMBER(SEARCH(" "&amp;$CR$2440:$CR$2453&amp;" ",$AL20)))),"")</f>
        <v>0</v>
      </c>
      <c r="AL20" s="93" t="str">
        <f>IF(20=20,IF($U20="","",SUBSTITUTE(SUBSTITUTE(SUBSTITUTE(SUBSTITUTE(SUBSTITUTE(SUBSTITUTE(SUBSTITUTE(SUBSTITUTE(SUBSTITUTE(SUBSTITUTE(SUBSTITUTE(SUBSTITUTE(SUBSTITUTE(SUBSTITUTE($AA20," "&amp;$CR$2455&amp;" "," ")," "&amp;$CR$433&amp;" "," ")," "&amp;$CR$431&amp;" "," ")," "&amp;$CR$2438&amp;" "," ")," "&amp;$CR$2439&amp;" "," ")," "&amp;$CR$428&amp;" "," ")," "&amp;$CR$432&amp;" "," ")," "&amp;$CR$434&amp;" "," ")," "&amp;$CR$429&amp;" "," ")," "&amp;$CR$427&amp;" "," ")," "&amp;$CR$1367&amp;" "," ")," "&amp;$CR$435&amp;" "," ")," "&amp;$CR$1366&amp;" "," ")," "&amp;$CR$430&amp;" "," ")),"")</f>
        <v xml:space="preserve"> courgettes </v>
      </c>
      <c r="AM20" s="93" t="str">
        <f>IF(20=20,IF($U20="","",IF(AJ20&gt;0,"X",IF(AK20&gt;0,"?",""))),"")</f>
        <v/>
      </c>
      <c r="AN20" s="93">
        <f>IF(20=20,IF($U20="","",SUMPRODUCT(--ISNUMBER(SEARCH(" "&amp;$CR$436:$CR$535&amp;" ",$AX20)))),"")</f>
        <v>0</v>
      </c>
      <c r="AO20" s="93">
        <f>IF(20=20,IF($U20="","",SUMPRODUCT(--ISNUMBER(SEARCH(" "&amp;$CR$536:$CR$635&amp;" ",$AX20)))),"")</f>
        <v>0</v>
      </c>
      <c r="AP20" s="93">
        <f>IF(20=20,IF($U20="","",SUMPRODUCT(--ISNUMBER(SEARCH(" "&amp;$CR$636:$CR$735&amp;" ",$AX20)))),"")</f>
        <v>0</v>
      </c>
      <c r="AQ20" s="93">
        <f>IF(20=20,IF($U20="","",SUMPRODUCT(--ISNUMBER(SEARCH(" "&amp;$CR$736:$CR$835&amp;" ",$AX20)))),"")</f>
        <v>0</v>
      </c>
      <c r="AR20" s="93">
        <f>IF(20=20,IF($U20="","",SUMPRODUCT(--ISNUMBER(SEARCH(" "&amp;$CR$836:$CR$935&amp;" ",$AX20)))),"")</f>
        <v>0</v>
      </c>
      <c r="AS20" s="93">
        <f>IF(20=20,IF($U20="","",SUMPRODUCT(--ISNUMBER(SEARCH(" "&amp;$CR$936:$CR$1035&amp;" ",$AX20)))),"")</f>
        <v>0</v>
      </c>
      <c r="AT20" s="93">
        <f>IF(20=20,IF($U20="","",SUMPRODUCT(--ISNUMBER(SEARCH(" "&amp;$CR$1036:$CR$1135&amp;" ",$AX20)))),"")</f>
        <v>0</v>
      </c>
      <c r="AU20" s="93">
        <f>IF(20=20,IF($U20="","",SUMPRODUCT(--ISNUMBER(SEARCH(" "&amp;$CR$1136:$CR$1235&amp;" ",$AX20)))),"")</f>
        <v>0</v>
      </c>
      <c r="AV20" s="93">
        <f>IF(20=20,IF($U20="","",SUMPRODUCT(--ISNUMBER(SEARCH(" "&amp;$CR$1236:$CR$1335&amp;" ",$AX20)))),"")</f>
        <v>0</v>
      </c>
      <c r="AW20" s="93">
        <f>IF(20=20,IF($U20="","",SUMPRODUCT(--ISNUMBER(SEARCH(" "&amp;$CR$1336:$CR$1363&amp;" ",$AX20)))),"")</f>
        <v>0</v>
      </c>
      <c r="AX20" s="93" t="str">
        <f>IF(20=20,IF($U20="","",SUBSTITUTE(SUBSTITUTE(SUBSTITUTE(SUBSTITUTE(SUBSTITUTE(SUBSTITUTE(SUBSTITUTE(SUBSTITUTE(SUBSTITUTE($AA20," "&amp;$CR$1365&amp;" "," ")," "&amp;$CR$1364&amp;" "," ")," "&amp;$CR$1370&amp;" "," ")," "&amp;$CR$1371&amp;" "," ")," "&amp;$CR$1367&amp;" "," ")," "&amp;$CR$1369&amp;" "," ")," "&amp;$CR$1366&amp;" "," ")," "&amp;$CR$1368&amp;" "," ")," "&amp;$CR$1372&amp;" "," ")),"")</f>
        <v xml:space="preserve"> courgettes </v>
      </c>
      <c r="AY20" s="93">
        <f>IF(20=20,IF($U20="","",SUMPRODUCT(--ISNUMBER(SEARCH(" "&amp;$CR$1373:$CR$1383&amp;" ",$AX20)))),"")</f>
        <v>0</v>
      </c>
      <c r="AZ20" s="93" t="str">
        <f>IF(20=20,IF($U20="","",IF(SUM(AN20:AW20)+SUMPRODUCT(--ISNUMBER(SEARCH(" "&amp;$CR$2421:$CR$2422&amp;" ",$AX20)))&gt;0,"X",IF(AY20&gt;0,"?",""))),"")</f>
        <v/>
      </c>
      <c r="BA20" s="93">
        <f>IF(20=20,IF($U20="","",SUMPRODUCT(--ISNUMBER(SEARCH(" "&amp;$CR$1384:$CR$1404&amp;" ",$AA20)))),"")</f>
        <v>0</v>
      </c>
      <c r="BB20" s="93" t="str">
        <f>IF(20=20,IF($U20="","",IF((BA20)-(0)&gt;0,"X",IF((0)-(0)&gt;0,"?",""))),"")</f>
        <v/>
      </c>
      <c r="BC20" s="93">
        <f>IF(20=20,IF($U20="","",SUMPRODUCT(--ISNUMBER(SEARCH(" "&amp;$CR$1405:$CR$1442&amp;" ",$BD20)))),"")</f>
        <v>0</v>
      </c>
      <c r="BD20" s="93" t="str">
        <f>IF(20=20,IF($U20="","",SUBSTITUTE(SUBSTITUTE($AA20," "&amp;$CR$1443&amp;" "," ")," "&amp;$CR$1444&amp;" "," ")),"")</f>
        <v xml:space="preserve"> courgettes </v>
      </c>
      <c r="BE20" s="93">
        <f>IF(20=20,IF($U20="","",SUMPRODUCT(--ISNUMBER(SEARCH(" "&amp;$CR$1445:$CR$1455&amp;" ",$BD20)))),"")</f>
        <v>0</v>
      </c>
      <c r="BF20" s="93" t="str">
        <f>IF(20=20,IF($U20="","",IF(BC20&gt;0,"X",IF(BE20&gt;0,"?",""))),"")</f>
        <v/>
      </c>
      <c r="BG20" s="93">
        <f>IF(20=20,IF($U20="","",SUMPRODUCT(--ISNUMBER(SEARCH(" "&amp;$CR$1456:$CR$1555&amp;" ",$BJ20)))),"")</f>
        <v>0</v>
      </c>
      <c r="BH20" s="93">
        <f>IF(20=20,IF($U20="","",SUMPRODUCT(--ISNUMBER(SEARCH(" "&amp;$CR$1556:$CR$1655&amp;" ",$BJ20)))),"")</f>
        <v>0</v>
      </c>
      <c r="BI20" s="93">
        <f>IF(20=20,IF($U20="","",SUMPRODUCT(--ISNUMBER(SEARCH(" "&amp;$CR$1656:$CR$1739&amp;" ",$BJ20)))),"")</f>
        <v>0</v>
      </c>
      <c r="BJ20" s="93" t="str">
        <f>IF(20=20,IF($U20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20,"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courgettes </v>
      </c>
      <c r="BK20" s="93">
        <f>IF(20=20,IF($U20="","",SUMPRODUCT(--ISNUMBER(SEARCH(" "&amp;$CR$1790:$CR$1869&amp;" ",$BL20)))+SUMPRODUCT(--ISNUMBER(SEARCH(" "&amp;$CR$2440:$CR$2453&amp;" ",$BL20)))),"")</f>
        <v>0</v>
      </c>
      <c r="BL20" s="93" t="str">
        <f>IF(20=20,IF($U20="","",SUBSTITUTE(SUBSTITUTE(SUBSTITUTE(SUBSTITUTE(SUBSTITUTE(SUBSTITUTE(SUBSTITUTE(SUBSTITUTE(SUBSTITUTE(SUBSTITUTE(SUBSTITUTE(SUBSTITUTE(SUBSTITUTE($BJ20," "&amp;$CR$1876&amp;" "," ")," "&amp;$CR$1874&amp;" "," ")," "&amp;$CR$2438&amp;" "," ")," "&amp;$CR$2439&amp;" "," ")," "&amp;$CR$1871&amp;" "," ")," "&amp;$CR$1875&amp;" "," ")," "&amp;$CR$1877&amp;" "," ")," "&amp;$CR$1872&amp;" "," ")," "&amp;$CR$1870&amp;" "," ")," "&amp;$CR$1367&amp;" "," ")," "&amp;$CR$1878&amp;" "," ")," "&amp;$CR$1366&amp;" "," ")," "&amp;$CR$1873&amp;" "," ")),"")</f>
        <v xml:space="preserve"> courgettes </v>
      </c>
      <c r="BM20" s="93" t="str">
        <f>IF(20=20,IF($U20="","",IF(SUM(BG20:BI20)+SUMPRODUCT(--ISNUMBER(SEARCH(" "&amp;$CR$2423:$CR$2424&amp;" ",$BJ20)))&gt;0,"X",IF(BK20&gt;0,"?",""))),"")</f>
        <v/>
      </c>
      <c r="BN20" s="93">
        <f>IF(20=20,IF($U20="","",SUMPRODUCT(--ISNUMBER(SEARCH(" "&amp;$CR$1879:$CR$1936&amp;" ",$BO20)))),"")</f>
        <v>0</v>
      </c>
      <c r="BO20" s="93" t="str">
        <f>IF(20=20,IF($U20="","",SUBSTITUTE(SUBSTITUTE(SUBSTITUTE(SUBSTITUTE(SUBSTITUTE(SUBSTITUTE(SUBSTITUTE(SUBSTITUTE(SUBSTITUTE(SUBSTITUTE(SUBSTITUTE(SUBSTITUTE(SUBSTITUTE(SUBSTITUTE(SUBSTITUTE(SUBSTITUTE(SUBSTITUTE(SUBSTITUTE(SUBSTITUTE(SUBSTITUTE(SUBSTITUTE(SUBSTITUTE(SUBSTITUTE($AA20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courgettes </v>
      </c>
      <c r="BP20" s="93">
        <f>IF(20=20,IF($U20="","",SUMPRODUCT(--ISNUMBER(SEARCH(" "&amp;$CR$1960:$CR$1976&amp;" ",$BO20)))),"")</f>
        <v>0</v>
      </c>
      <c r="BQ20" s="93" t="str">
        <f>IF(20=20,IF($U20="","",IF(BN20&gt;0,"X",IF(BP20&gt;0,"?",""))),"")</f>
        <v/>
      </c>
      <c r="BR20" s="93">
        <f>IF(20=20,IF($U20="","",SUMPRODUCT(--ISNUMBER(SEARCH(" "&amp;$CR$1977:$CR$1990&amp;" ",$AA20)))),"")</f>
        <v>0</v>
      </c>
      <c r="BS20" s="93">
        <f>IF(20=20,IF($U20="","",SUMPRODUCT(--ISNUMBER(SEARCH(" "&amp;$CR$1991:$CR$2005&amp;" ",$AA20)))),"")</f>
        <v>0</v>
      </c>
      <c r="BT20" s="93" t="str">
        <f>IF(20=20,IF($U20="","",IF((BR20)-(0)&gt;0,"X",IF((BS20)-(0)&gt;0,"?",""))),"")</f>
        <v/>
      </c>
      <c r="BU20" s="93">
        <f>IF(20=20,IF($U20="","",SUMPRODUCT(--ISNUMBER(SEARCH(" "&amp;$CR$2006:$CR$2023&amp;" ",$AA20)))),"")</f>
        <v>0</v>
      </c>
      <c r="BV20" s="93">
        <f>IF(20=20,IF($U20="","",SUMPRODUCT(--ISNUMBER(SEARCH(" "&amp;$CR$2024:$CR$2038&amp;" ",$AA20)))),"")</f>
        <v>0</v>
      </c>
      <c r="BW20" s="93" t="str">
        <f>IF(20=20,IF($U20="","",IF((BU20)-(0)&gt;0,"X",IF((BV20)-(0)&gt;0,"?",""))),"")</f>
        <v/>
      </c>
      <c r="BX20" s="93">
        <f>IF(20=20,IF($U20="","",SUMPRODUCT(--ISNUMBER(SEARCH(" "&amp;$CR$2039:$CR$2057&amp;" ",$AA20)))),"")</f>
        <v>0</v>
      </c>
      <c r="BY20" s="93">
        <f>IF(20=20,IF($U20="","",SUMPRODUCT(--ISNUMBER(SEARCH(" "&amp;$CR$2058:$CR$2072&amp;" ",$AA20)))),"")</f>
        <v>0</v>
      </c>
      <c r="BZ20" s="93" t="str">
        <f>IF(20=20,IF($U20="","",IF((BX20)-(0)&gt;0,"X",IF((BY20)-(0)&gt;0,"?",""))),"")</f>
        <v/>
      </c>
      <c r="CA20" s="93">
        <f>IF(20=20,IF($U20="","",SUMPRODUCT(--ISNUMBER(SEARCH(" "&amp;$CR$2073:$CR$2093&amp;" ",$AA20)))),"")</f>
        <v>0</v>
      </c>
      <c r="CB20" s="93">
        <f>IF(20=20,IF($U20="","",SUMPRODUCT(--ISNUMBER(SEARCH(" "&amp;$CR$2094:$CR$2133&amp;" ",SUBSTITUTE(SUBSTITUTE($AA20," "&amp;$CR$1367&amp;" "," ")," "&amp;$CR$1366&amp;" "," "))))+--ISNUMBER(SEARCH("poiré",$V20))),"")</f>
        <v>0</v>
      </c>
      <c r="CC20" s="93" t="str">
        <f>IF(20=20,IF($U20="","",IF(OR(CA20&gt;0,ISNUMBER(SEARCH(" vinaigre de vin ",$AA20)),ISNUMBER(SEARCH(" vinaigre au vin ",$AA20))),"X",IF(CB20&gt;0,"?",""))),"")</f>
        <v/>
      </c>
      <c r="CD20" s="93">
        <f>IF(20=20,IF($U20="","",SUMPRODUCT(--ISNUMBER(SEARCH(" "&amp;$CR$2134:$CR$2146&amp;" ",$AA20)))),"")</f>
        <v>0</v>
      </c>
      <c r="CE20" s="93">
        <f>IF(20=20,IF($U20="","",SUMPRODUCT(--ISNUMBER(SEARCH(" "&amp;$CR$2147:$CR$2152&amp;" ",$AA20)))),"")</f>
        <v>0</v>
      </c>
      <c r="CF20" s="93" t="str">
        <f>IF(20=20,IF($U20="","",IF((CD20)-(0)&gt;0,"X",IF((CE20)-(0)&gt;0,"?",""))),"")</f>
        <v/>
      </c>
      <c r="CG20" s="93">
        <f>IF(20=20,IF($U20="","",SUMPRODUCT(--ISNUMBER(SEARCH(" "&amp;$CR$2153:$CR$2252&amp;" ",$CJ20)))),"")</f>
        <v>0</v>
      </c>
      <c r="CH20" s="93">
        <f>IF(20=20,IF($U20="","",SUMPRODUCT(--ISNUMBER(SEARCH(" "&amp;$CR$2253:$CR$2352&amp;" ",$CJ20)))),"")</f>
        <v>0</v>
      </c>
      <c r="CI20" s="93">
        <f>IF(20=20,IF($U20="","",SUMPRODUCT(--ISNUMBER(SEARCH(" "&amp;$CR$2353:$CR$2395&amp;" ",$CJ20)))),"")</f>
        <v>0</v>
      </c>
      <c r="CJ20" s="93" t="str">
        <f>IF(20=20,IF($U20="","",SUBSTITUTE(SUBSTITUTE(SUBSTITUTE(SUBSTITUTE(SUBSTITUTE(SUBSTITUTE(SUBSTITUTE(SUBSTITUTE(SUBSTITUTE(SUBSTITUTE(SUBSTITUTE(SUBSTITUTE(SUBSTITUTE(SUBSTITUTE(SUBSTITUTE(SUBSTITUTE($AA20," "&amp;$CR$2401&amp;" "," ")," "&amp;$CR$2400&amp;" "," ")," "&amp;$CR$2399&amp;" "," ")," "&amp;$CR$2406&amp;" "," ")," "&amp;$CR$2398&amp;" "," ")," "&amp;$CR$2410&amp;" "," ")," "&amp;$CR$2397&amp;" "," ")," "&amp;$CR$2402&amp;" "," ")," "&amp;$CR$2405&amp;" "," ")," "&amp;$CR$2396&amp;" "," ")," "&amp;$CR$2404&amp;" "," ")," "&amp;$CR$2411&amp;" "," ")," "&amp;$CR$2408&amp;" "," ")," "&amp;$CR$2403&amp;" "," ")," "&amp;$CR$2407&amp;" "," ")," "&amp;$CR$2409&amp;" "," ")),"")</f>
        <v xml:space="preserve"> courgettes </v>
      </c>
      <c r="CK20" s="93">
        <f>IF(20=20,IF($U20="","",SUMPRODUCT(--ISNUMBER(SEARCH(" "&amp;$CR$2412:$CR$2416&amp;" ",$CJ20)))),"")</f>
        <v>0</v>
      </c>
      <c r="CL20" s="93" t="str">
        <f>IF(20=20,IF($U20="","",IF(SUM(CG20:CI20)&gt;0,"X",IF(CK20&gt;0,"?",""))),"")</f>
        <v/>
      </c>
      <c r="CM20" s="102"/>
      <c r="CN20" s="112" t="s">
        <v>646</v>
      </c>
      <c r="CO20" s="112" t="s">
        <v>522</v>
      </c>
      <c r="CP20" s="112" t="s">
        <v>523</v>
      </c>
      <c r="CQ20" s="112" t="s">
        <v>647</v>
      </c>
      <c r="CR20" s="112" t="s">
        <v>647</v>
      </c>
      <c r="CS20" s="112" t="s">
        <v>525</v>
      </c>
      <c r="CT20" s="112" t="s">
        <v>526</v>
      </c>
      <c r="CU20" s="112" t="s">
        <v>527</v>
      </c>
      <c r="CV20" s="113" t="s">
        <v>528</v>
      </c>
      <c r="CX20" s="36">
        <v>1</v>
      </c>
    </row>
    <row r="21" spans="1:102" ht="21" customHeight="1" x14ac:dyDescent="0.25">
      <c r="A21" s="135">
        <v>15</v>
      </c>
      <c r="B21" s="136" t="s">
        <v>5859</v>
      </c>
      <c r="C21" s="137" t="str">
        <f t="shared" si="0"/>
        <v>Crème fraîche *</v>
      </c>
      <c r="D21" s="138" t="str">
        <f>IF(21=21,IF($B21="","",IF(E21="X",""&amp;"Céréales contenant du gluten","")&amp;IF(F21="X",IF(COUNTIF($E21:$E21,"X")&gt;0,", ","")&amp;"Crustacés","")&amp;IF(G21="X",IF(COUNTIF($E21:$F21,"X")&gt;0,", ","")&amp;"Œufs","")&amp;IF(H21="X",IF(COUNTIF($E21:$G21,"X")&gt;0,", ","")&amp;"Poissons","")&amp;IF(I21="X",IF(COUNTIF($E21:$H21,"X")&gt;0,", ","")&amp;"Arachides","")&amp;IF(J21="X",IF(COUNTIF($E21:$I21,"X")&gt;0,", ","")&amp;"Soja","")&amp;IF(K21="X",IF(COUNTIF($E21:$J21,"X")&gt;0,", ","")&amp;"Lait","")&amp;IF(L21="X",IF(COUNTIF($E21:$K21,"X")&gt;0,", ","")&amp;"Fruits à coque","")&amp;IF(M21="X",IF(COUNTIF($E21:$L21,"X")&gt;0,", ","")&amp;"Céleri","")&amp;IF(N21="X",IF(COUNTIF($E21:$M21,"X")&gt;0,", ","")&amp;"Moutarde","")&amp;IF(O21="X",IF(COUNTIF($E21:$N21,"X")&gt;0,", ","")&amp;"Sésame","")&amp;IF(P21="X",IF(COUNTIF($E21:$O21,"X")&gt;0,", ","")&amp;"Sulfites","")&amp;IF(Q21="X",IF(COUNTIF($E21:$P21,"X")&gt;0,", ","")&amp;"Lupin","")&amp;IF(R21="X",IF(COUNTIF($E21:$Q21,"X")&gt;0,", ","")&amp;"Mollusques","")),"")</f>
        <v>Lait</v>
      </c>
      <c r="E21" s="139" t="str">
        <f>IF(21=21,IF($B21="","",AF21),"")</f>
        <v/>
      </c>
      <c r="F21" s="139" t="str">
        <f>IF(21=21,IF($B21="","",AI21),"")</f>
        <v/>
      </c>
      <c r="G21" s="139" t="str">
        <f>IF(21=21,IF($B21="","",AM21),"")</f>
        <v/>
      </c>
      <c r="H21" s="139" t="str">
        <f>IF(21=21,IF($B21="","",IF(ISNUMBER(SEARCH(" colin ",$AA21)),"X",AZ21)),"")</f>
        <v/>
      </c>
      <c r="I21" s="139" t="str">
        <f>IF(21=21,IF($B21="","",BB21),"")</f>
        <v/>
      </c>
      <c r="J21" s="139" t="str">
        <f>IF(21=21,IF($B21="","",BF21),"")</f>
        <v/>
      </c>
      <c r="K21" s="139" t="str">
        <f>IF(21=21,IF($B21="","",BM21),"")</f>
        <v>X</v>
      </c>
      <c r="L21" s="139" t="str">
        <f>IF(21=21,IF($B21="","",BQ21),"")</f>
        <v/>
      </c>
      <c r="M21" s="139" t="str">
        <f>IF(21=21,IF($B21="","",BT21),"")</f>
        <v/>
      </c>
      <c r="N21" s="139" t="str">
        <f>IF(21=21,IF($B21="","",BW21),"")</f>
        <v/>
      </c>
      <c r="O21" s="139" t="str">
        <f>IF(21=21,IF($B21="","",BZ21),"")</f>
        <v/>
      </c>
      <c r="P21" s="139" t="str">
        <f>IF(21=21,IF($B21="","",CC21),"")</f>
        <v/>
      </c>
      <c r="Q21" s="139" t="str">
        <f>IF(21=21,IF($B21="","",CF21),"")</f>
        <v/>
      </c>
      <c r="R21" s="139" t="str">
        <f>IF(21=21,IF($B21="","",CL21),"")</f>
        <v/>
      </c>
      <c r="S21" s="140" t="str">
        <f>IF(21=21,IF($B21="","",IF(E21="?",""&amp;"Céréales contenant du gluten","")&amp;IF(F21="?",IF(COUNTIF($E21:$E21,"~?")&gt;0,", ","")&amp;"Crustacés","")&amp;IF(G21="?",IF(COUNTIF($E21:$F21,"~?")&gt;0,", ","")&amp;"Œufs","")&amp;IF(H21="?",IF(COUNTIF($E21:$G21,"~?")&gt;0,", ","")&amp;"Poissons","")&amp;IF(I21="?",IF(COUNTIF($E21:$H21,"~?")&gt;0,", ","")&amp;"Arachides","")&amp;IF(J21="?",IF(COUNTIF($E21:$I21,"~?")&gt;0,", ","")&amp;"Soja","")&amp;IF(K21="?",IF(COUNTIF($E21:$J21,"~?")&gt;0,", ","")&amp;"Lait","")&amp;IF(L21="?",IF(COUNTIF($E21:$K21,"~?")&gt;0,", ","")&amp;"Fruits à coque","")&amp;IF(M21="?",IF(COUNTIF($E21:$L21,"~?")&gt;0,", ","")&amp;"Céleri","")&amp;IF(N21="?",IF(COUNTIF($E21:$M21,"~?")&gt;0,", ","")&amp;"Moutarde","")&amp;IF(O21="?",IF(COUNTIF($E21:$N21,"~?")&gt;0,", ","")&amp;"Sésame","")&amp;IF(P21="?",IF(COUNTIF($E21:$O21,"~?")&gt;0,", ","")&amp;"Sulfites","")&amp;IF(Q21="?",IF(COUNTIF($E21:$P21,"~?")&gt;0,", ","")&amp;"Lupin","")&amp;IF(R21="?",IF(COUNTIF($E21:$Q21,"~?")&gt;0,", ","")&amp;"Mollusques","")),"")</f>
        <v/>
      </c>
      <c r="U21" s="93" t="str">
        <f>IF(21=21,IF($B21="","",$B21),"")</f>
        <v xml:space="preserve">Crème fraîche </v>
      </c>
      <c r="V21" s="93" t="str">
        <f>IF(21=21,LOWER(CLEAN(SUBSTITUTE(SUBSTITUTE(SUBSTITUTE(SUBSTITUTE($U21,CHAR(160)," ")," "," "),CHAR(10)," "),CHAR(13)," "))),"")</f>
        <v xml:space="preserve">crème fraîche </v>
      </c>
      <c r="W21" s="93" t="str">
        <f>IF(21=21,SUBSTITUTE(SUBSTITUTE(SUBSTITUTE(SUBSTITUTE(SUBSTITUTE(SUBSTITUTE(SUBSTITUTE(SUBSTITUTE(SUBSTITUTE(SUBSTITUTE(SUBSTITUTE(SUBSTITUTE($V21,"œ","oe"),"æ","ae"),"à","a"),"á","a"),"â","a"),"ä","a"),"ã","a"),"ç","c"),"è","e"),"é","e"),"ê","e"),"ë","e"),"")</f>
        <v xml:space="preserve">creme fraîche </v>
      </c>
      <c r="X21" s="93" t="str">
        <f>IF(21=21,SUBSTITUTE(SUBSTITUTE(SUBSTITUTE(SUBSTITUTE(SUBSTITUTE(SUBSTITUTE(SUBSTITUTE(SUBSTITUTE(SUBSTITUTE(SUBSTITUTE(SUBSTITUTE(SUBSTITUTE(SUBSTITUTE(SUBSTITUTE(SUBSTITUTE(SUBSTITUTE($W21,"ì","i"),"í","i"),"î","i"),"ï","i"),"ñ","n"),"ò","o"),"ó","o"),"ô","o"),"ö","o"),"õ","o"),"ù","u"),"ú","u"),"û","u"),"ü","u"),"ý","y"),"ÿ","y"),"")</f>
        <v xml:space="preserve">creme fraiche </v>
      </c>
      <c r="Y21" s="93" t="str">
        <f>IF(21=21,SUBSTITUTE(SUBSTITUTE(SUBSTITUTE(SUBSTITUTE(SUBSTITUTE(SUBSTITUTE(SUBSTITUTE(SUBSTITUTE(SUBSTITUTE(SUBSTITUTE(SUBSTITUTE(SUBSTITUTE(SUBSTITUTE(SUBSTITUTE($X21,"’"," "),"`"," "),"–"," "),"—"," "),"-"," "),"'"," "),"/"," "),"_"," "),","," "),"."," "),"("," "),")"," "),";"," "),":"," "),"")</f>
        <v xml:space="preserve">creme fraiche </v>
      </c>
      <c r="Z21" s="93" t="str">
        <f>IF(21=21,SUBSTITUTE(SUBSTITUTE(SUBSTITUTE(SUBSTITUTE(SUBSTITUTE(SUBSTITUTE(SUBSTITUTE(SUBSTITUTE(SUBSTITUTE(SUBSTITUTE(SUBSTITUTE(SUBSTITUTE(SUBSTITUTE(SUBSTITUTE(SUBSTITUTE($Y21,"!"," "),"?"," "),"+"," "),"*"," "),"&amp;"," "),"["," "),"]"," "),"{"," "),"}"," "),"%"," "),"="," "),"\"," "),"|"," "),"&lt;"," "),"&gt;"," "),"")</f>
        <v xml:space="preserve">creme fraiche </v>
      </c>
      <c r="AA21" s="93" t="str">
        <f>IF(21=21," "&amp;TRIM(SUBSTITUTE(SUBSTITUTE(SUBSTITUTE(SUBSTITUTE(SUBSTITUTE(SUBSTITUTE($Z21,CHAR(34)," "),"  "," "),"  "," "),"  "," "),"  "," "),"  "," "))&amp;" ","")</f>
        <v xml:space="preserve"> creme fraiche </v>
      </c>
      <c r="AB21" s="93">
        <f>IF(21=21,IF($U21="","",SUMPRODUCT(--ISNUMBER(SEARCH(" "&amp;$CR$2:$CR$101&amp;" ",$AD21)))),"")</f>
        <v>0</v>
      </c>
      <c r="AC21" s="93">
        <f>IF(21=21,IF($U21="","",SUMPRODUCT(--ISNUMBER(SEARCH(" "&amp;$CR$102:$CR$151&amp;" ",$AD21)))),"")</f>
        <v>0</v>
      </c>
      <c r="AD21" s="93" t="str">
        <f t="shared" si="1"/>
        <v xml:space="preserve"> creme fraiche </v>
      </c>
      <c r="AE21" s="93">
        <f t="shared" si="2"/>
        <v>0</v>
      </c>
      <c r="AF21" s="93" t="str">
        <f>IF(21=21,IF($U21="","",IF(SUM(AB21:AC21)+SUMPRODUCT(--ISNUMBER(SEARCH(" "&amp;$CR$2418:$CR$2420&amp;" ",$AD21)))&gt;0,"X",IF(AE21&gt;0,"?",""))),"")</f>
        <v/>
      </c>
      <c r="AG21" s="93">
        <f>IF(21=21,IF($U21="","",SUMPRODUCT(--ISNUMBER(SEARCH(" "&amp;$CR$206:$CR$305&amp;" ",$AA21)))),"")</f>
        <v>0</v>
      </c>
      <c r="AH21" s="93">
        <f>IF(21=21,IF($U21="","",SUMPRODUCT(--ISNUMBER(SEARCH(" "&amp;$CR$306:$CR$340&amp;" ",$AA21)))),"")</f>
        <v>0</v>
      </c>
      <c r="AI21" s="93" t="str">
        <f>IF(21=21,IF($U21="","",IF((SUM(AG21:AH21))-(0)&gt;0,"X",IF((0)-(0)&gt;0,"?",""))),"")</f>
        <v/>
      </c>
      <c r="AJ21" s="93">
        <f>IF(21=21,IF($U21="","",SUMPRODUCT(--ISNUMBER(SEARCH(" "&amp;$CR$341:$CR$398&amp;" ",$AA21)))),"")</f>
        <v>0</v>
      </c>
      <c r="AK21" s="93">
        <f>IF(21=21,IF($U21="","",SUMPRODUCT(--ISNUMBER(SEARCH(" "&amp;$CR$399:$CR$426&amp;" ",$AL21)))+SUMPRODUCT(--ISNUMBER(SEARCH(" "&amp;$CR$2440:$CR$2453&amp;" ",$AL21)))),"")</f>
        <v>0</v>
      </c>
      <c r="AL21" s="93" t="str">
        <f>IF(21=21,IF($U21="","",SUBSTITUTE(SUBSTITUTE(SUBSTITUTE(SUBSTITUTE(SUBSTITUTE(SUBSTITUTE(SUBSTITUTE(SUBSTITUTE(SUBSTITUTE(SUBSTITUTE(SUBSTITUTE(SUBSTITUTE(SUBSTITUTE(SUBSTITUTE($AA21," "&amp;$CR$2455&amp;" "," ")," "&amp;$CR$433&amp;" "," ")," "&amp;$CR$431&amp;" "," ")," "&amp;$CR$2438&amp;" "," ")," "&amp;$CR$2439&amp;" "," ")," "&amp;$CR$428&amp;" "," ")," "&amp;$CR$432&amp;" "," ")," "&amp;$CR$434&amp;" "," ")," "&amp;$CR$429&amp;" "," ")," "&amp;$CR$427&amp;" "," ")," "&amp;$CR$1367&amp;" "," ")," "&amp;$CR$435&amp;" "," ")," "&amp;$CR$1366&amp;" "," ")," "&amp;$CR$430&amp;" "," ")),"")</f>
        <v xml:space="preserve"> creme fraiche </v>
      </c>
      <c r="AM21" s="93" t="str">
        <f>IF(21=21,IF($U21="","",IF(AJ21&gt;0,"X",IF(AK21&gt;0,"?",""))),"")</f>
        <v/>
      </c>
      <c r="AN21" s="93">
        <f>IF(21=21,IF($U21="","",SUMPRODUCT(--ISNUMBER(SEARCH(" "&amp;$CR$436:$CR$535&amp;" ",$AX21)))),"")</f>
        <v>0</v>
      </c>
      <c r="AO21" s="93">
        <f>IF(21=21,IF($U21="","",SUMPRODUCT(--ISNUMBER(SEARCH(" "&amp;$CR$536:$CR$635&amp;" ",$AX21)))),"")</f>
        <v>0</v>
      </c>
      <c r="AP21" s="93">
        <f>IF(21=21,IF($U21="","",SUMPRODUCT(--ISNUMBER(SEARCH(" "&amp;$CR$636:$CR$735&amp;" ",$AX21)))),"")</f>
        <v>0</v>
      </c>
      <c r="AQ21" s="93">
        <f>IF(21=21,IF($U21="","",SUMPRODUCT(--ISNUMBER(SEARCH(" "&amp;$CR$736:$CR$835&amp;" ",$AX21)))),"")</f>
        <v>0</v>
      </c>
      <c r="AR21" s="93">
        <f>IF(21=21,IF($U21="","",SUMPRODUCT(--ISNUMBER(SEARCH(" "&amp;$CR$836:$CR$935&amp;" ",$AX21)))),"")</f>
        <v>0</v>
      </c>
      <c r="AS21" s="93">
        <f>IF(21=21,IF($U21="","",SUMPRODUCT(--ISNUMBER(SEARCH(" "&amp;$CR$936:$CR$1035&amp;" ",$AX21)))),"")</f>
        <v>0</v>
      </c>
      <c r="AT21" s="93">
        <f>IF(21=21,IF($U21="","",SUMPRODUCT(--ISNUMBER(SEARCH(" "&amp;$CR$1036:$CR$1135&amp;" ",$AX21)))),"")</f>
        <v>0</v>
      </c>
      <c r="AU21" s="93">
        <f>IF(21=21,IF($U21="","",SUMPRODUCT(--ISNUMBER(SEARCH(" "&amp;$CR$1136:$CR$1235&amp;" ",$AX21)))),"")</f>
        <v>0</v>
      </c>
      <c r="AV21" s="93">
        <f>IF(21=21,IF($U21="","",SUMPRODUCT(--ISNUMBER(SEARCH(" "&amp;$CR$1236:$CR$1335&amp;" ",$AX21)))),"")</f>
        <v>0</v>
      </c>
      <c r="AW21" s="93">
        <f>IF(21=21,IF($U21="","",SUMPRODUCT(--ISNUMBER(SEARCH(" "&amp;$CR$1336:$CR$1363&amp;" ",$AX21)))),"")</f>
        <v>0</v>
      </c>
      <c r="AX21" s="93" t="str">
        <f>IF(21=21,IF($U21="","",SUBSTITUTE(SUBSTITUTE(SUBSTITUTE(SUBSTITUTE(SUBSTITUTE(SUBSTITUTE(SUBSTITUTE(SUBSTITUTE(SUBSTITUTE($AA21," "&amp;$CR$1365&amp;" "," ")," "&amp;$CR$1364&amp;" "," ")," "&amp;$CR$1370&amp;" "," ")," "&amp;$CR$1371&amp;" "," ")," "&amp;$CR$1367&amp;" "," ")," "&amp;$CR$1369&amp;" "," ")," "&amp;$CR$1366&amp;" "," ")," "&amp;$CR$1368&amp;" "," ")," "&amp;$CR$1372&amp;" "," ")),"")</f>
        <v xml:space="preserve"> creme fraiche </v>
      </c>
      <c r="AY21" s="93">
        <f>IF(21=21,IF($U21="","",SUMPRODUCT(--ISNUMBER(SEARCH(" "&amp;$CR$1373:$CR$1383&amp;" ",$AX21)))),"")</f>
        <v>0</v>
      </c>
      <c r="AZ21" s="93" t="str">
        <f>IF(21=21,IF($U21="","",IF(SUM(AN21:AW21)+SUMPRODUCT(--ISNUMBER(SEARCH(" "&amp;$CR$2421:$CR$2422&amp;" ",$AX21)))&gt;0,"X",IF(AY21&gt;0,"?",""))),"")</f>
        <v/>
      </c>
      <c r="BA21" s="93">
        <f>IF(21=21,IF($U21="","",SUMPRODUCT(--ISNUMBER(SEARCH(" "&amp;$CR$1384:$CR$1404&amp;" ",$AA21)))),"")</f>
        <v>0</v>
      </c>
      <c r="BB21" s="93" t="str">
        <f>IF(21=21,IF($U21="","",IF((BA21)-(0)&gt;0,"X",IF((0)-(0)&gt;0,"?",""))),"")</f>
        <v/>
      </c>
      <c r="BC21" s="93">
        <f>IF(21=21,IF($U21="","",SUMPRODUCT(--ISNUMBER(SEARCH(" "&amp;$CR$1405:$CR$1442&amp;" ",$BD21)))),"")</f>
        <v>0</v>
      </c>
      <c r="BD21" s="93" t="str">
        <f>IF(21=21,IF($U21="","",SUBSTITUTE(SUBSTITUTE($AA21," "&amp;$CR$1443&amp;" "," ")," "&amp;$CR$1444&amp;" "," ")),"")</f>
        <v xml:space="preserve"> creme fraiche </v>
      </c>
      <c r="BE21" s="93">
        <f>IF(21=21,IF($U21="","",SUMPRODUCT(--ISNUMBER(SEARCH(" "&amp;$CR$1445:$CR$1455&amp;" ",$BD21)))),"")</f>
        <v>0</v>
      </c>
      <c r="BF21" s="93" t="str">
        <f>IF(21=21,IF($U21="","",IF(BC21&gt;0,"X",IF(BE21&gt;0,"?",""))),"")</f>
        <v/>
      </c>
      <c r="BG21" s="93">
        <f>IF(21=21,IF($U21="","",SUMPRODUCT(--ISNUMBER(SEARCH(" "&amp;$CR$1456:$CR$1555&amp;" ",$BJ21)))),"")</f>
        <v>2</v>
      </c>
      <c r="BH21" s="93">
        <f>IF(21=21,IF($U21="","",SUMPRODUCT(--ISNUMBER(SEARCH(" "&amp;$CR$1556:$CR$1655&amp;" ",$BJ21)))),"")</f>
        <v>0</v>
      </c>
      <c r="BI21" s="93">
        <f>IF(21=21,IF($U21="","",SUMPRODUCT(--ISNUMBER(SEARCH(" "&amp;$CR$1656:$CR$1739&amp;" ",$BJ21)))),"")</f>
        <v>0</v>
      </c>
      <c r="BJ21" s="93" t="str">
        <f>IF(21=21,IF($U21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21,"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creme fraiche </v>
      </c>
      <c r="BK21" s="93">
        <f>IF(21=21,IF($U21="","",SUMPRODUCT(--ISNUMBER(SEARCH(" "&amp;$CR$1790:$CR$1869&amp;" ",$BL21)))+SUMPRODUCT(--ISNUMBER(SEARCH(" "&amp;$CR$2440:$CR$2453&amp;" ",$BL21)))),"")</f>
        <v>0</v>
      </c>
      <c r="BL21" s="93" t="str">
        <f>IF(21=21,IF($U21="","",SUBSTITUTE(SUBSTITUTE(SUBSTITUTE(SUBSTITUTE(SUBSTITUTE(SUBSTITUTE(SUBSTITUTE(SUBSTITUTE(SUBSTITUTE(SUBSTITUTE(SUBSTITUTE(SUBSTITUTE(SUBSTITUTE($BJ21," "&amp;$CR$1876&amp;" "," ")," "&amp;$CR$1874&amp;" "," ")," "&amp;$CR$2438&amp;" "," ")," "&amp;$CR$2439&amp;" "," ")," "&amp;$CR$1871&amp;" "," ")," "&amp;$CR$1875&amp;" "," ")," "&amp;$CR$1877&amp;" "," ")," "&amp;$CR$1872&amp;" "," ")," "&amp;$CR$1870&amp;" "," ")," "&amp;$CR$1367&amp;" "," ")," "&amp;$CR$1878&amp;" "," ")," "&amp;$CR$1366&amp;" "," ")," "&amp;$CR$1873&amp;" "," ")),"")</f>
        <v xml:space="preserve"> creme fraiche </v>
      </c>
      <c r="BM21" s="93" t="str">
        <f>IF(21=21,IF($U21="","",IF(SUM(BG21:BI21)+SUMPRODUCT(--ISNUMBER(SEARCH(" "&amp;$CR$2423:$CR$2424&amp;" ",$BJ21)))&gt;0,"X",IF(BK21&gt;0,"?",""))),"")</f>
        <v>X</v>
      </c>
      <c r="BN21" s="93">
        <f>IF(21=21,IF($U21="","",SUMPRODUCT(--ISNUMBER(SEARCH(" "&amp;$CR$1879:$CR$1936&amp;" ",$BO21)))),"")</f>
        <v>0</v>
      </c>
      <c r="BO21" s="93" t="str">
        <f>IF(21=21,IF($U21="","",SUBSTITUTE(SUBSTITUTE(SUBSTITUTE(SUBSTITUTE(SUBSTITUTE(SUBSTITUTE(SUBSTITUTE(SUBSTITUTE(SUBSTITUTE(SUBSTITUTE(SUBSTITUTE(SUBSTITUTE(SUBSTITUTE(SUBSTITUTE(SUBSTITUTE(SUBSTITUTE(SUBSTITUTE(SUBSTITUTE(SUBSTITUTE(SUBSTITUTE(SUBSTITUTE(SUBSTITUTE(SUBSTITUTE($AA21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creme fraiche </v>
      </c>
      <c r="BP21" s="93">
        <f>IF(21=21,IF($U21="","",SUMPRODUCT(--ISNUMBER(SEARCH(" "&amp;$CR$1960:$CR$1976&amp;" ",$BO21)))),"")</f>
        <v>0</v>
      </c>
      <c r="BQ21" s="93" t="str">
        <f>IF(21=21,IF($U21="","",IF(BN21&gt;0,"X",IF(BP21&gt;0,"?",""))),"")</f>
        <v/>
      </c>
      <c r="BR21" s="93">
        <f>IF(21=21,IF($U21="","",SUMPRODUCT(--ISNUMBER(SEARCH(" "&amp;$CR$1977:$CR$1990&amp;" ",$AA21)))),"")</f>
        <v>0</v>
      </c>
      <c r="BS21" s="93">
        <f>IF(21=21,IF($U21="","",SUMPRODUCT(--ISNUMBER(SEARCH(" "&amp;$CR$1991:$CR$2005&amp;" ",$AA21)))),"")</f>
        <v>0</v>
      </c>
      <c r="BT21" s="93" t="str">
        <f>IF(21=21,IF($U21="","",IF((BR21)-(0)&gt;0,"X",IF((BS21)-(0)&gt;0,"?",""))),"")</f>
        <v/>
      </c>
      <c r="BU21" s="93">
        <f>IF(21=21,IF($U21="","",SUMPRODUCT(--ISNUMBER(SEARCH(" "&amp;$CR$2006:$CR$2023&amp;" ",$AA21)))),"")</f>
        <v>0</v>
      </c>
      <c r="BV21" s="93">
        <f>IF(21=21,IF($U21="","",SUMPRODUCT(--ISNUMBER(SEARCH(" "&amp;$CR$2024:$CR$2038&amp;" ",$AA21)))),"")</f>
        <v>0</v>
      </c>
      <c r="BW21" s="93" t="str">
        <f>IF(21=21,IF($U21="","",IF((BU21)-(0)&gt;0,"X",IF((BV21)-(0)&gt;0,"?",""))),"")</f>
        <v/>
      </c>
      <c r="BX21" s="93">
        <f>IF(21=21,IF($U21="","",SUMPRODUCT(--ISNUMBER(SEARCH(" "&amp;$CR$2039:$CR$2057&amp;" ",$AA21)))),"")</f>
        <v>0</v>
      </c>
      <c r="BY21" s="93">
        <f>IF(21=21,IF($U21="","",SUMPRODUCT(--ISNUMBER(SEARCH(" "&amp;$CR$2058:$CR$2072&amp;" ",$AA21)))),"")</f>
        <v>0</v>
      </c>
      <c r="BZ21" s="93" t="str">
        <f>IF(21=21,IF($U21="","",IF((BX21)-(0)&gt;0,"X",IF((BY21)-(0)&gt;0,"?",""))),"")</f>
        <v/>
      </c>
      <c r="CA21" s="93">
        <f>IF(21=21,IF($U21="","",SUMPRODUCT(--ISNUMBER(SEARCH(" "&amp;$CR$2073:$CR$2093&amp;" ",$AA21)))),"")</f>
        <v>0</v>
      </c>
      <c r="CB21" s="93">
        <f>IF(21=21,IF($U21="","",SUMPRODUCT(--ISNUMBER(SEARCH(" "&amp;$CR$2094:$CR$2133&amp;" ",SUBSTITUTE(SUBSTITUTE($AA21," "&amp;$CR$1367&amp;" "," ")," "&amp;$CR$1366&amp;" "," "))))+--ISNUMBER(SEARCH("poiré",$V21))),"")</f>
        <v>0</v>
      </c>
      <c r="CC21" s="93" t="str">
        <f>IF(21=21,IF($U21="","",IF(OR(CA21&gt;0,ISNUMBER(SEARCH(" vinaigre de vin ",$AA21)),ISNUMBER(SEARCH(" vinaigre au vin ",$AA21))),"X",IF(CB21&gt;0,"?",""))),"")</f>
        <v/>
      </c>
      <c r="CD21" s="93">
        <f>IF(21=21,IF($U21="","",SUMPRODUCT(--ISNUMBER(SEARCH(" "&amp;$CR$2134:$CR$2146&amp;" ",$AA21)))),"")</f>
        <v>0</v>
      </c>
      <c r="CE21" s="93">
        <f>IF(21=21,IF($U21="","",SUMPRODUCT(--ISNUMBER(SEARCH(" "&amp;$CR$2147:$CR$2152&amp;" ",$AA21)))),"")</f>
        <v>0</v>
      </c>
      <c r="CF21" s="93" t="str">
        <f>IF(21=21,IF($U21="","",IF((CD21)-(0)&gt;0,"X",IF((CE21)-(0)&gt;0,"?",""))),"")</f>
        <v/>
      </c>
      <c r="CG21" s="93">
        <f>IF(21=21,IF($U21="","",SUMPRODUCT(--ISNUMBER(SEARCH(" "&amp;$CR$2153:$CR$2252&amp;" ",$CJ21)))),"")</f>
        <v>0</v>
      </c>
      <c r="CH21" s="93">
        <f>IF(21=21,IF($U21="","",SUMPRODUCT(--ISNUMBER(SEARCH(" "&amp;$CR$2253:$CR$2352&amp;" ",$CJ21)))),"")</f>
        <v>0</v>
      </c>
      <c r="CI21" s="93">
        <f>IF(21=21,IF($U21="","",SUMPRODUCT(--ISNUMBER(SEARCH(" "&amp;$CR$2353:$CR$2395&amp;" ",$CJ21)))),"")</f>
        <v>0</v>
      </c>
      <c r="CJ21" s="93" t="str">
        <f>IF(21=21,IF($U21="","",SUBSTITUTE(SUBSTITUTE(SUBSTITUTE(SUBSTITUTE(SUBSTITUTE(SUBSTITUTE(SUBSTITUTE(SUBSTITUTE(SUBSTITUTE(SUBSTITUTE(SUBSTITUTE(SUBSTITUTE(SUBSTITUTE(SUBSTITUTE(SUBSTITUTE(SUBSTITUTE($AA21," "&amp;$CR$2401&amp;" "," ")," "&amp;$CR$2400&amp;" "," ")," "&amp;$CR$2399&amp;" "," ")," "&amp;$CR$2406&amp;" "," ")," "&amp;$CR$2398&amp;" "," ")," "&amp;$CR$2410&amp;" "," ")," "&amp;$CR$2397&amp;" "," ")," "&amp;$CR$2402&amp;" "," ")," "&amp;$CR$2405&amp;" "," ")," "&amp;$CR$2396&amp;" "," ")," "&amp;$CR$2404&amp;" "," ")," "&amp;$CR$2411&amp;" "," ")," "&amp;$CR$2408&amp;" "," ")," "&amp;$CR$2403&amp;" "," ")," "&amp;$CR$2407&amp;" "," ")," "&amp;$CR$2409&amp;" "," ")),"")</f>
        <v xml:space="preserve"> creme fraiche </v>
      </c>
      <c r="CK21" s="93">
        <f>IF(21=21,IF($U21="","",SUMPRODUCT(--ISNUMBER(SEARCH(" "&amp;$CR$2412:$CR$2416&amp;" ",$CJ21)))),"")</f>
        <v>0</v>
      </c>
      <c r="CL21" s="93" t="str">
        <f>IF(21=21,IF($U21="","",IF(SUM(CG21:CI21)&gt;0,"X",IF(CK21&gt;0,"?",""))),"")</f>
        <v/>
      </c>
      <c r="CM21" s="102"/>
      <c r="CN21" s="112" t="s">
        <v>649</v>
      </c>
      <c r="CO21" s="112" t="s">
        <v>522</v>
      </c>
      <c r="CP21" s="112" t="s">
        <v>523</v>
      </c>
      <c r="CQ21" s="112" t="s">
        <v>650</v>
      </c>
      <c r="CR21" s="112" t="s">
        <v>650</v>
      </c>
      <c r="CS21" s="112" t="s">
        <v>525</v>
      </c>
      <c r="CT21" s="112" t="s">
        <v>526</v>
      </c>
      <c r="CU21" s="112" t="s">
        <v>527</v>
      </c>
      <c r="CV21" s="113" t="s">
        <v>528</v>
      </c>
      <c r="CX21" s="36">
        <v>1</v>
      </c>
    </row>
    <row r="22" spans="1:102" ht="21" customHeight="1" x14ac:dyDescent="0.25">
      <c r="A22" s="135">
        <v>16</v>
      </c>
      <c r="B22" s="136" t="s">
        <v>5860</v>
      </c>
      <c r="C22" s="137" t="str">
        <f t="shared" si="0"/>
        <v>Crème fraîche double *</v>
      </c>
      <c r="D22" s="138" t="str">
        <f>IF(22=22,IF($B22="","",IF(E22="X",""&amp;"Céréales contenant du gluten","")&amp;IF(F22="X",IF(COUNTIF($E22:$E22,"X")&gt;0,", ","")&amp;"Crustacés","")&amp;IF(G22="X",IF(COUNTIF($E22:$F22,"X")&gt;0,", ","")&amp;"Œufs","")&amp;IF(H22="X",IF(COUNTIF($E22:$G22,"X")&gt;0,", ","")&amp;"Poissons","")&amp;IF(I22="X",IF(COUNTIF($E22:$H22,"X")&gt;0,", ","")&amp;"Arachides","")&amp;IF(J22="X",IF(COUNTIF($E22:$I22,"X")&gt;0,", ","")&amp;"Soja","")&amp;IF(K22="X",IF(COUNTIF($E22:$J22,"X")&gt;0,", ","")&amp;"Lait","")&amp;IF(L22="X",IF(COUNTIF($E22:$K22,"X")&gt;0,", ","")&amp;"Fruits à coque","")&amp;IF(M22="X",IF(COUNTIF($E22:$L22,"X")&gt;0,", ","")&amp;"Céleri","")&amp;IF(N22="X",IF(COUNTIF($E22:$M22,"X")&gt;0,", ","")&amp;"Moutarde","")&amp;IF(O22="X",IF(COUNTIF($E22:$N22,"X")&gt;0,", ","")&amp;"Sésame","")&amp;IF(P22="X",IF(COUNTIF($E22:$O22,"X")&gt;0,", ","")&amp;"Sulfites","")&amp;IF(Q22="X",IF(COUNTIF($E22:$P22,"X")&gt;0,", ","")&amp;"Lupin","")&amp;IF(R22="X",IF(COUNTIF($E22:$Q22,"X")&gt;0,", ","")&amp;"Mollusques","")),"")</f>
        <v>Lait</v>
      </c>
      <c r="E22" s="139" t="str">
        <f>IF(22=22,IF($B22="","",AF22),"")</f>
        <v/>
      </c>
      <c r="F22" s="139" t="str">
        <f>IF(22=22,IF($B22="","",AI22),"")</f>
        <v/>
      </c>
      <c r="G22" s="139" t="str">
        <f>IF(22=22,IF($B22="","",AM22),"")</f>
        <v/>
      </c>
      <c r="H22" s="139" t="str">
        <f>IF(22=22,IF($B22="","",IF(ISNUMBER(SEARCH(" colin ",$AA22)),"X",AZ22)),"")</f>
        <v/>
      </c>
      <c r="I22" s="139" t="str">
        <f>IF(22=22,IF($B22="","",BB22),"")</f>
        <v/>
      </c>
      <c r="J22" s="139" t="str">
        <f>IF(22=22,IF($B22="","",BF22),"")</f>
        <v/>
      </c>
      <c r="K22" s="139" t="str">
        <f>IF(22=22,IF($B22="","",BM22),"")</f>
        <v>X</v>
      </c>
      <c r="L22" s="139" t="str">
        <f>IF(22=22,IF($B22="","",BQ22),"")</f>
        <v/>
      </c>
      <c r="M22" s="139" t="str">
        <f>IF(22=22,IF($B22="","",BT22),"")</f>
        <v/>
      </c>
      <c r="N22" s="139" t="str">
        <f>IF(22=22,IF($B22="","",BW22),"")</f>
        <v/>
      </c>
      <c r="O22" s="139" t="str">
        <f>IF(22=22,IF($B22="","",BZ22),"")</f>
        <v/>
      </c>
      <c r="P22" s="139" t="str">
        <f>IF(22=22,IF($B22="","",CC22),"")</f>
        <v/>
      </c>
      <c r="Q22" s="139" t="str">
        <f>IF(22=22,IF($B22="","",CF22),"")</f>
        <v/>
      </c>
      <c r="R22" s="139" t="str">
        <f>IF(22=22,IF($B22="","",CL22),"")</f>
        <v/>
      </c>
      <c r="S22" s="140" t="str">
        <f>IF(22=22,IF($B22="","",IF(E22="?",""&amp;"Céréales contenant du gluten","")&amp;IF(F22="?",IF(COUNTIF($E22:$E22,"~?")&gt;0,", ","")&amp;"Crustacés","")&amp;IF(G22="?",IF(COUNTIF($E22:$F22,"~?")&gt;0,", ","")&amp;"Œufs","")&amp;IF(H22="?",IF(COUNTIF($E22:$G22,"~?")&gt;0,", ","")&amp;"Poissons","")&amp;IF(I22="?",IF(COUNTIF($E22:$H22,"~?")&gt;0,", ","")&amp;"Arachides","")&amp;IF(J22="?",IF(COUNTIF($E22:$I22,"~?")&gt;0,", ","")&amp;"Soja","")&amp;IF(K22="?",IF(COUNTIF($E22:$J22,"~?")&gt;0,", ","")&amp;"Lait","")&amp;IF(L22="?",IF(COUNTIF($E22:$K22,"~?")&gt;0,", ","")&amp;"Fruits à coque","")&amp;IF(M22="?",IF(COUNTIF($E22:$L22,"~?")&gt;0,", ","")&amp;"Céleri","")&amp;IF(N22="?",IF(COUNTIF($E22:$M22,"~?")&gt;0,", ","")&amp;"Moutarde","")&amp;IF(O22="?",IF(COUNTIF($E22:$N22,"~?")&gt;0,", ","")&amp;"Sésame","")&amp;IF(P22="?",IF(COUNTIF($E22:$O22,"~?")&gt;0,", ","")&amp;"Sulfites","")&amp;IF(Q22="?",IF(COUNTIF($E22:$P22,"~?")&gt;0,", ","")&amp;"Lupin","")&amp;IF(R22="?",IF(COUNTIF($E22:$Q22,"~?")&gt;0,", ","")&amp;"Mollusques","")),"")</f>
        <v/>
      </c>
      <c r="U22" s="93" t="str">
        <f>IF(22=22,IF($B22="","",$B22),"")</f>
        <v>Crème fraîche double</v>
      </c>
      <c r="V22" s="93" t="str">
        <f>IF(22=22,LOWER(CLEAN(SUBSTITUTE(SUBSTITUTE(SUBSTITUTE(SUBSTITUTE($U22,CHAR(160)," ")," "," "),CHAR(10)," "),CHAR(13)," "))),"")</f>
        <v>crème fraîche double</v>
      </c>
      <c r="W22" s="93" t="str">
        <f>IF(22=22,SUBSTITUTE(SUBSTITUTE(SUBSTITUTE(SUBSTITUTE(SUBSTITUTE(SUBSTITUTE(SUBSTITUTE(SUBSTITUTE(SUBSTITUTE(SUBSTITUTE(SUBSTITUTE(SUBSTITUTE($V22,"œ","oe"),"æ","ae"),"à","a"),"á","a"),"â","a"),"ä","a"),"ã","a"),"ç","c"),"è","e"),"é","e"),"ê","e"),"ë","e"),"")</f>
        <v>creme fraîche double</v>
      </c>
      <c r="X22" s="93" t="str">
        <f>IF(22=22,SUBSTITUTE(SUBSTITUTE(SUBSTITUTE(SUBSTITUTE(SUBSTITUTE(SUBSTITUTE(SUBSTITUTE(SUBSTITUTE(SUBSTITUTE(SUBSTITUTE(SUBSTITUTE(SUBSTITUTE(SUBSTITUTE(SUBSTITUTE(SUBSTITUTE(SUBSTITUTE($W22,"ì","i"),"í","i"),"î","i"),"ï","i"),"ñ","n"),"ò","o"),"ó","o"),"ô","o"),"ö","o"),"õ","o"),"ù","u"),"ú","u"),"û","u"),"ü","u"),"ý","y"),"ÿ","y"),"")</f>
        <v>creme fraiche double</v>
      </c>
      <c r="Y22" s="93" t="str">
        <f>IF(22=22,SUBSTITUTE(SUBSTITUTE(SUBSTITUTE(SUBSTITUTE(SUBSTITUTE(SUBSTITUTE(SUBSTITUTE(SUBSTITUTE(SUBSTITUTE(SUBSTITUTE(SUBSTITUTE(SUBSTITUTE(SUBSTITUTE(SUBSTITUTE($X22,"’"," "),"`"," "),"–"," "),"—"," "),"-"," "),"'"," "),"/"," "),"_"," "),","," "),"."," "),"("," "),")"," "),";"," "),":"," "),"")</f>
        <v>creme fraiche double</v>
      </c>
      <c r="Z22" s="93" t="str">
        <f>IF(22=22,SUBSTITUTE(SUBSTITUTE(SUBSTITUTE(SUBSTITUTE(SUBSTITUTE(SUBSTITUTE(SUBSTITUTE(SUBSTITUTE(SUBSTITUTE(SUBSTITUTE(SUBSTITUTE(SUBSTITUTE(SUBSTITUTE(SUBSTITUTE(SUBSTITUTE($Y22,"!"," "),"?"," "),"+"," "),"*"," "),"&amp;"," "),"["," "),"]"," "),"{"," "),"}"," "),"%"," "),"="," "),"\"," "),"|"," "),"&lt;"," "),"&gt;"," "),"")</f>
        <v>creme fraiche double</v>
      </c>
      <c r="AA22" s="93" t="str">
        <f>IF(22=22," "&amp;TRIM(SUBSTITUTE(SUBSTITUTE(SUBSTITUTE(SUBSTITUTE(SUBSTITUTE(SUBSTITUTE($Z22,CHAR(34)," "),"  "," "),"  "," "),"  "," "),"  "," "),"  "," "))&amp;" ","")</f>
        <v xml:space="preserve"> creme fraiche double </v>
      </c>
      <c r="AB22" s="93">
        <f>IF(22=22,IF($U22="","",SUMPRODUCT(--ISNUMBER(SEARCH(" "&amp;$CR$2:$CR$101&amp;" ",$AD22)))),"")</f>
        <v>0</v>
      </c>
      <c r="AC22" s="93">
        <f>IF(22=22,IF($U22="","",SUMPRODUCT(--ISNUMBER(SEARCH(" "&amp;$CR$102:$CR$151&amp;" ",$AD22)))),"")</f>
        <v>0</v>
      </c>
      <c r="AD22" s="93" t="str">
        <f t="shared" si="1"/>
        <v xml:space="preserve"> creme fraiche double </v>
      </c>
      <c r="AE22" s="93">
        <f t="shared" si="2"/>
        <v>0</v>
      </c>
      <c r="AF22" s="93" t="str">
        <f>IF(22=22,IF($U22="","",IF(SUM(AB22:AC22)+SUMPRODUCT(--ISNUMBER(SEARCH(" "&amp;$CR$2418:$CR$2420&amp;" ",$AD22)))&gt;0,"X",IF(AE22&gt;0,"?",""))),"")</f>
        <v/>
      </c>
      <c r="AG22" s="93">
        <f>IF(22=22,IF($U22="","",SUMPRODUCT(--ISNUMBER(SEARCH(" "&amp;$CR$206:$CR$305&amp;" ",$AA22)))),"")</f>
        <v>0</v>
      </c>
      <c r="AH22" s="93">
        <f>IF(22=22,IF($U22="","",SUMPRODUCT(--ISNUMBER(SEARCH(" "&amp;$CR$306:$CR$340&amp;" ",$AA22)))),"")</f>
        <v>0</v>
      </c>
      <c r="AI22" s="93" t="str">
        <f>IF(22=22,IF($U22="","",IF((SUM(AG22:AH22))-(0)&gt;0,"X",IF((0)-(0)&gt;0,"?",""))),"")</f>
        <v/>
      </c>
      <c r="AJ22" s="93">
        <f>IF(22=22,IF($U22="","",SUMPRODUCT(--ISNUMBER(SEARCH(" "&amp;$CR$341:$CR$398&amp;" ",$AA22)))),"")</f>
        <v>0</v>
      </c>
      <c r="AK22" s="93">
        <f>IF(22=22,IF($U22="","",SUMPRODUCT(--ISNUMBER(SEARCH(" "&amp;$CR$399:$CR$426&amp;" ",$AL22)))+SUMPRODUCT(--ISNUMBER(SEARCH(" "&amp;$CR$2440:$CR$2453&amp;" ",$AL22)))),"")</f>
        <v>0</v>
      </c>
      <c r="AL22" s="93" t="str">
        <f>IF(22=22,IF($U22="","",SUBSTITUTE(SUBSTITUTE(SUBSTITUTE(SUBSTITUTE(SUBSTITUTE(SUBSTITUTE(SUBSTITUTE(SUBSTITUTE(SUBSTITUTE(SUBSTITUTE(SUBSTITUTE(SUBSTITUTE(SUBSTITUTE(SUBSTITUTE($AA22," "&amp;$CR$2455&amp;" "," ")," "&amp;$CR$433&amp;" "," ")," "&amp;$CR$431&amp;" "," ")," "&amp;$CR$2438&amp;" "," ")," "&amp;$CR$2439&amp;" "," ")," "&amp;$CR$428&amp;" "," ")," "&amp;$CR$432&amp;" "," ")," "&amp;$CR$434&amp;" "," ")," "&amp;$CR$429&amp;" "," ")," "&amp;$CR$427&amp;" "," ")," "&amp;$CR$1367&amp;" "," ")," "&amp;$CR$435&amp;" "," ")," "&amp;$CR$1366&amp;" "," ")," "&amp;$CR$430&amp;" "," ")),"")</f>
        <v xml:space="preserve"> creme fraiche double </v>
      </c>
      <c r="AM22" s="93" t="str">
        <f>IF(22=22,IF($U22="","",IF(AJ22&gt;0,"X",IF(AK22&gt;0,"?",""))),"")</f>
        <v/>
      </c>
      <c r="AN22" s="93">
        <f>IF(22=22,IF($U22="","",SUMPRODUCT(--ISNUMBER(SEARCH(" "&amp;$CR$436:$CR$535&amp;" ",$AX22)))),"")</f>
        <v>0</v>
      </c>
      <c r="AO22" s="93">
        <f>IF(22=22,IF($U22="","",SUMPRODUCT(--ISNUMBER(SEARCH(" "&amp;$CR$536:$CR$635&amp;" ",$AX22)))),"")</f>
        <v>0</v>
      </c>
      <c r="AP22" s="93">
        <f>IF(22=22,IF($U22="","",SUMPRODUCT(--ISNUMBER(SEARCH(" "&amp;$CR$636:$CR$735&amp;" ",$AX22)))),"")</f>
        <v>0</v>
      </c>
      <c r="AQ22" s="93">
        <f>IF(22=22,IF($U22="","",SUMPRODUCT(--ISNUMBER(SEARCH(" "&amp;$CR$736:$CR$835&amp;" ",$AX22)))),"")</f>
        <v>0</v>
      </c>
      <c r="AR22" s="93">
        <f>IF(22=22,IF($U22="","",SUMPRODUCT(--ISNUMBER(SEARCH(" "&amp;$CR$836:$CR$935&amp;" ",$AX22)))),"")</f>
        <v>0</v>
      </c>
      <c r="AS22" s="93">
        <f>IF(22=22,IF($U22="","",SUMPRODUCT(--ISNUMBER(SEARCH(" "&amp;$CR$936:$CR$1035&amp;" ",$AX22)))),"")</f>
        <v>0</v>
      </c>
      <c r="AT22" s="93">
        <f>IF(22=22,IF($U22="","",SUMPRODUCT(--ISNUMBER(SEARCH(" "&amp;$CR$1036:$CR$1135&amp;" ",$AX22)))),"")</f>
        <v>0</v>
      </c>
      <c r="AU22" s="93">
        <f>IF(22=22,IF($U22="","",SUMPRODUCT(--ISNUMBER(SEARCH(" "&amp;$CR$1136:$CR$1235&amp;" ",$AX22)))),"")</f>
        <v>0</v>
      </c>
      <c r="AV22" s="93">
        <f>IF(22=22,IF($U22="","",SUMPRODUCT(--ISNUMBER(SEARCH(" "&amp;$CR$1236:$CR$1335&amp;" ",$AX22)))),"")</f>
        <v>0</v>
      </c>
      <c r="AW22" s="93">
        <f>IF(22=22,IF($U22="","",SUMPRODUCT(--ISNUMBER(SEARCH(" "&amp;$CR$1336:$CR$1363&amp;" ",$AX22)))),"")</f>
        <v>0</v>
      </c>
      <c r="AX22" s="93" t="str">
        <f>IF(22=22,IF($U22="","",SUBSTITUTE(SUBSTITUTE(SUBSTITUTE(SUBSTITUTE(SUBSTITUTE(SUBSTITUTE(SUBSTITUTE(SUBSTITUTE(SUBSTITUTE($AA22," "&amp;$CR$1365&amp;" "," ")," "&amp;$CR$1364&amp;" "," ")," "&amp;$CR$1370&amp;" "," ")," "&amp;$CR$1371&amp;" "," ")," "&amp;$CR$1367&amp;" "," ")," "&amp;$CR$1369&amp;" "," ")," "&amp;$CR$1366&amp;" "," ")," "&amp;$CR$1368&amp;" "," ")," "&amp;$CR$1372&amp;" "," ")),"")</f>
        <v xml:space="preserve"> creme fraiche double </v>
      </c>
      <c r="AY22" s="93">
        <f>IF(22=22,IF($U22="","",SUMPRODUCT(--ISNUMBER(SEARCH(" "&amp;$CR$1373:$CR$1383&amp;" ",$AX22)))),"")</f>
        <v>0</v>
      </c>
      <c r="AZ22" s="93" t="str">
        <f>IF(22=22,IF($U22="","",IF(SUM(AN22:AW22)+SUMPRODUCT(--ISNUMBER(SEARCH(" "&amp;$CR$2421:$CR$2422&amp;" ",$AX22)))&gt;0,"X",IF(AY22&gt;0,"?",""))),"")</f>
        <v/>
      </c>
      <c r="BA22" s="93">
        <f>IF(22=22,IF($U22="","",SUMPRODUCT(--ISNUMBER(SEARCH(" "&amp;$CR$1384:$CR$1404&amp;" ",$AA22)))),"")</f>
        <v>0</v>
      </c>
      <c r="BB22" s="93" t="str">
        <f>IF(22=22,IF($U22="","",IF((BA22)-(0)&gt;0,"X",IF((0)-(0)&gt;0,"?",""))),"")</f>
        <v/>
      </c>
      <c r="BC22" s="93">
        <f>IF(22=22,IF($U22="","",SUMPRODUCT(--ISNUMBER(SEARCH(" "&amp;$CR$1405:$CR$1442&amp;" ",$BD22)))),"")</f>
        <v>0</v>
      </c>
      <c r="BD22" s="93" t="str">
        <f>IF(22=22,IF($U22="","",SUBSTITUTE(SUBSTITUTE($AA22," "&amp;$CR$1443&amp;" "," ")," "&amp;$CR$1444&amp;" "," ")),"")</f>
        <v xml:space="preserve"> creme fraiche double </v>
      </c>
      <c r="BE22" s="93">
        <f>IF(22=22,IF($U22="","",SUMPRODUCT(--ISNUMBER(SEARCH(" "&amp;$CR$1445:$CR$1455&amp;" ",$BD22)))),"")</f>
        <v>0</v>
      </c>
      <c r="BF22" s="93" t="str">
        <f>IF(22=22,IF($U22="","",IF(BC22&gt;0,"X",IF(BE22&gt;0,"?",""))),"")</f>
        <v/>
      </c>
      <c r="BG22" s="93">
        <f>IF(22=22,IF($U22="","",SUMPRODUCT(--ISNUMBER(SEARCH(" "&amp;$CR$1456:$CR$1555&amp;" ",$BJ22)))),"")</f>
        <v>2</v>
      </c>
      <c r="BH22" s="93">
        <f>IF(22=22,IF($U22="","",SUMPRODUCT(--ISNUMBER(SEARCH(" "&amp;$CR$1556:$CR$1655&amp;" ",$BJ22)))),"")</f>
        <v>0</v>
      </c>
      <c r="BI22" s="93">
        <f>IF(22=22,IF($U22="","",SUMPRODUCT(--ISNUMBER(SEARCH(" "&amp;$CR$1656:$CR$1739&amp;" ",$BJ22)))),"")</f>
        <v>0</v>
      </c>
      <c r="BJ22" s="93" t="str">
        <f>IF(22=22,IF($U22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22,"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creme fraiche double </v>
      </c>
      <c r="BK22" s="93">
        <f>IF(22=22,IF($U22="","",SUMPRODUCT(--ISNUMBER(SEARCH(" "&amp;$CR$1790:$CR$1869&amp;" ",$BL22)))+SUMPRODUCT(--ISNUMBER(SEARCH(" "&amp;$CR$2440:$CR$2453&amp;" ",$BL22)))),"")</f>
        <v>0</v>
      </c>
      <c r="BL22" s="93" t="str">
        <f>IF(22=22,IF($U22="","",SUBSTITUTE(SUBSTITUTE(SUBSTITUTE(SUBSTITUTE(SUBSTITUTE(SUBSTITUTE(SUBSTITUTE(SUBSTITUTE(SUBSTITUTE(SUBSTITUTE(SUBSTITUTE(SUBSTITUTE(SUBSTITUTE($BJ22," "&amp;$CR$1876&amp;" "," ")," "&amp;$CR$1874&amp;" "," ")," "&amp;$CR$2438&amp;" "," ")," "&amp;$CR$2439&amp;" "," ")," "&amp;$CR$1871&amp;" "," ")," "&amp;$CR$1875&amp;" "," ")," "&amp;$CR$1877&amp;" "," ")," "&amp;$CR$1872&amp;" "," ")," "&amp;$CR$1870&amp;" "," ")," "&amp;$CR$1367&amp;" "," ")," "&amp;$CR$1878&amp;" "," ")," "&amp;$CR$1366&amp;" "," ")," "&amp;$CR$1873&amp;" "," ")),"")</f>
        <v xml:space="preserve"> creme fraiche double </v>
      </c>
      <c r="BM22" s="93" t="str">
        <f>IF(22=22,IF($U22="","",IF(SUM(BG22:BI22)+SUMPRODUCT(--ISNUMBER(SEARCH(" "&amp;$CR$2423:$CR$2424&amp;" ",$BJ22)))&gt;0,"X",IF(BK22&gt;0,"?",""))),"")</f>
        <v>X</v>
      </c>
      <c r="BN22" s="93">
        <f>IF(22=22,IF($U22="","",SUMPRODUCT(--ISNUMBER(SEARCH(" "&amp;$CR$1879:$CR$1936&amp;" ",$BO22)))),"")</f>
        <v>0</v>
      </c>
      <c r="BO22" s="93" t="str">
        <f>IF(22=22,IF($U22="","",SUBSTITUTE(SUBSTITUTE(SUBSTITUTE(SUBSTITUTE(SUBSTITUTE(SUBSTITUTE(SUBSTITUTE(SUBSTITUTE(SUBSTITUTE(SUBSTITUTE(SUBSTITUTE(SUBSTITUTE(SUBSTITUTE(SUBSTITUTE(SUBSTITUTE(SUBSTITUTE(SUBSTITUTE(SUBSTITUTE(SUBSTITUTE(SUBSTITUTE(SUBSTITUTE(SUBSTITUTE(SUBSTITUTE($AA22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creme fraiche double </v>
      </c>
      <c r="BP22" s="93">
        <f>IF(22=22,IF($U22="","",SUMPRODUCT(--ISNUMBER(SEARCH(" "&amp;$CR$1960:$CR$1976&amp;" ",$BO22)))),"")</f>
        <v>0</v>
      </c>
      <c r="BQ22" s="93" t="str">
        <f>IF(22=22,IF($U22="","",IF(BN22&gt;0,"X",IF(BP22&gt;0,"?",""))),"")</f>
        <v/>
      </c>
      <c r="BR22" s="93">
        <f>IF(22=22,IF($U22="","",SUMPRODUCT(--ISNUMBER(SEARCH(" "&amp;$CR$1977:$CR$1990&amp;" ",$AA22)))),"")</f>
        <v>0</v>
      </c>
      <c r="BS22" s="93">
        <f>IF(22=22,IF($U22="","",SUMPRODUCT(--ISNUMBER(SEARCH(" "&amp;$CR$1991:$CR$2005&amp;" ",$AA22)))),"")</f>
        <v>0</v>
      </c>
      <c r="BT22" s="93" t="str">
        <f>IF(22=22,IF($U22="","",IF((BR22)-(0)&gt;0,"X",IF((BS22)-(0)&gt;0,"?",""))),"")</f>
        <v/>
      </c>
      <c r="BU22" s="93">
        <f>IF(22=22,IF($U22="","",SUMPRODUCT(--ISNUMBER(SEARCH(" "&amp;$CR$2006:$CR$2023&amp;" ",$AA22)))),"")</f>
        <v>0</v>
      </c>
      <c r="BV22" s="93">
        <f>IF(22=22,IF($U22="","",SUMPRODUCT(--ISNUMBER(SEARCH(" "&amp;$CR$2024:$CR$2038&amp;" ",$AA22)))),"")</f>
        <v>0</v>
      </c>
      <c r="BW22" s="93" t="str">
        <f>IF(22=22,IF($U22="","",IF((BU22)-(0)&gt;0,"X",IF((BV22)-(0)&gt;0,"?",""))),"")</f>
        <v/>
      </c>
      <c r="BX22" s="93">
        <f>IF(22=22,IF($U22="","",SUMPRODUCT(--ISNUMBER(SEARCH(" "&amp;$CR$2039:$CR$2057&amp;" ",$AA22)))),"")</f>
        <v>0</v>
      </c>
      <c r="BY22" s="93">
        <f>IF(22=22,IF($U22="","",SUMPRODUCT(--ISNUMBER(SEARCH(" "&amp;$CR$2058:$CR$2072&amp;" ",$AA22)))),"")</f>
        <v>0</v>
      </c>
      <c r="BZ22" s="93" t="str">
        <f>IF(22=22,IF($U22="","",IF((BX22)-(0)&gt;0,"X",IF((BY22)-(0)&gt;0,"?",""))),"")</f>
        <v/>
      </c>
      <c r="CA22" s="93">
        <f>IF(22=22,IF($U22="","",SUMPRODUCT(--ISNUMBER(SEARCH(" "&amp;$CR$2073:$CR$2093&amp;" ",$AA22)))),"")</f>
        <v>0</v>
      </c>
      <c r="CB22" s="93">
        <f>IF(22=22,IF($U22="","",SUMPRODUCT(--ISNUMBER(SEARCH(" "&amp;$CR$2094:$CR$2133&amp;" ",SUBSTITUTE(SUBSTITUTE($AA22," "&amp;$CR$1367&amp;" "," ")," "&amp;$CR$1366&amp;" "," "))))+--ISNUMBER(SEARCH("poiré",$V22))),"")</f>
        <v>0</v>
      </c>
      <c r="CC22" s="93" t="str">
        <f>IF(22=22,IF($U22="","",IF(OR(CA22&gt;0,ISNUMBER(SEARCH(" vinaigre de vin ",$AA22)),ISNUMBER(SEARCH(" vinaigre au vin ",$AA22))),"X",IF(CB22&gt;0,"?",""))),"")</f>
        <v/>
      </c>
      <c r="CD22" s="93">
        <f>IF(22=22,IF($U22="","",SUMPRODUCT(--ISNUMBER(SEARCH(" "&amp;$CR$2134:$CR$2146&amp;" ",$AA22)))),"")</f>
        <v>0</v>
      </c>
      <c r="CE22" s="93">
        <f>IF(22=22,IF($U22="","",SUMPRODUCT(--ISNUMBER(SEARCH(" "&amp;$CR$2147:$CR$2152&amp;" ",$AA22)))),"")</f>
        <v>0</v>
      </c>
      <c r="CF22" s="93" t="str">
        <f>IF(22=22,IF($U22="","",IF((CD22)-(0)&gt;0,"X",IF((CE22)-(0)&gt;0,"?",""))),"")</f>
        <v/>
      </c>
      <c r="CG22" s="93">
        <f>IF(22=22,IF($U22="","",SUMPRODUCT(--ISNUMBER(SEARCH(" "&amp;$CR$2153:$CR$2252&amp;" ",$CJ22)))),"")</f>
        <v>0</v>
      </c>
      <c r="CH22" s="93">
        <f>IF(22=22,IF($U22="","",SUMPRODUCT(--ISNUMBER(SEARCH(" "&amp;$CR$2253:$CR$2352&amp;" ",$CJ22)))),"")</f>
        <v>0</v>
      </c>
      <c r="CI22" s="93">
        <f>IF(22=22,IF($U22="","",SUMPRODUCT(--ISNUMBER(SEARCH(" "&amp;$CR$2353:$CR$2395&amp;" ",$CJ22)))),"")</f>
        <v>0</v>
      </c>
      <c r="CJ22" s="93" t="str">
        <f>IF(22=22,IF($U22="","",SUBSTITUTE(SUBSTITUTE(SUBSTITUTE(SUBSTITUTE(SUBSTITUTE(SUBSTITUTE(SUBSTITUTE(SUBSTITUTE(SUBSTITUTE(SUBSTITUTE(SUBSTITUTE(SUBSTITUTE(SUBSTITUTE(SUBSTITUTE(SUBSTITUTE(SUBSTITUTE($AA22," "&amp;$CR$2401&amp;" "," ")," "&amp;$CR$2400&amp;" "," ")," "&amp;$CR$2399&amp;" "," ")," "&amp;$CR$2406&amp;" "," ")," "&amp;$CR$2398&amp;" "," ")," "&amp;$CR$2410&amp;" "," ")," "&amp;$CR$2397&amp;" "," ")," "&amp;$CR$2402&amp;" "," ")," "&amp;$CR$2405&amp;" "," ")," "&amp;$CR$2396&amp;" "," ")," "&amp;$CR$2404&amp;" "," ")," "&amp;$CR$2411&amp;" "," ")," "&amp;$CR$2408&amp;" "," ")," "&amp;$CR$2403&amp;" "," ")," "&amp;$CR$2407&amp;" "," ")," "&amp;$CR$2409&amp;" "," ")),"")</f>
        <v xml:space="preserve"> creme fraiche double </v>
      </c>
      <c r="CK22" s="93">
        <f>IF(22=22,IF($U22="","",SUMPRODUCT(--ISNUMBER(SEARCH(" "&amp;$CR$2412:$CR$2416&amp;" ",$CJ22)))),"")</f>
        <v>0</v>
      </c>
      <c r="CL22" s="93" t="str">
        <f>IF(22=22,IF($U22="","",IF(SUM(CG22:CI22)&gt;0,"X",IF(CK22&gt;0,"?",""))),"")</f>
        <v/>
      </c>
      <c r="CM22" s="102"/>
      <c r="CN22" s="112" t="s">
        <v>651</v>
      </c>
      <c r="CO22" s="112" t="s">
        <v>522</v>
      </c>
      <c r="CP22" s="112" t="s">
        <v>523</v>
      </c>
      <c r="CQ22" s="112" t="s">
        <v>652</v>
      </c>
      <c r="CR22" s="112" t="s">
        <v>652</v>
      </c>
      <c r="CS22" s="112" t="s">
        <v>525</v>
      </c>
      <c r="CT22" s="112" t="s">
        <v>526</v>
      </c>
      <c r="CU22" s="112" t="s">
        <v>527</v>
      </c>
      <c r="CV22" s="113" t="s">
        <v>528</v>
      </c>
      <c r="CX22" s="36">
        <v>1</v>
      </c>
    </row>
    <row r="23" spans="1:102" ht="21" customHeight="1" x14ac:dyDescent="0.25">
      <c r="A23" s="135">
        <v>17</v>
      </c>
      <c r="B23" s="136" t="s">
        <v>5861</v>
      </c>
      <c r="C23" s="137" t="str">
        <f t="shared" si="0"/>
        <v>Crevettes décortiquées *</v>
      </c>
      <c r="D23" s="138" t="str">
        <f>IF(23=23,IF($B23="","",IF(E23="X",""&amp;"Céréales contenant du gluten","")&amp;IF(F23="X",IF(COUNTIF($E23:$E23,"X")&gt;0,", ","")&amp;"Crustacés","")&amp;IF(G23="X",IF(COUNTIF($E23:$F23,"X")&gt;0,", ","")&amp;"Œufs","")&amp;IF(H23="X",IF(COUNTIF($E23:$G23,"X")&gt;0,", ","")&amp;"Poissons","")&amp;IF(I23="X",IF(COUNTIF($E23:$H23,"X")&gt;0,", ","")&amp;"Arachides","")&amp;IF(J23="X",IF(COUNTIF($E23:$I23,"X")&gt;0,", ","")&amp;"Soja","")&amp;IF(K23="X",IF(COUNTIF($E23:$J23,"X")&gt;0,", ","")&amp;"Lait","")&amp;IF(L23="X",IF(COUNTIF($E23:$K23,"X")&gt;0,", ","")&amp;"Fruits à coque","")&amp;IF(M23="X",IF(COUNTIF($E23:$L23,"X")&gt;0,", ","")&amp;"Céleri","")&amp;IF(N23="X",IF(COUNTIF($E23:$M23,"X")&gt;0,", ","")&amp;"Moutarde","")&amp;IF(O23="X",IF(COUNTIF($E23:$N23,"X")&gt;0,", ","")&amp;"Sésame","")&amp;IF(P23="X",IF(COUNTIF($E23:$O23,"X")&gt;0,", ","")&amp;"Sulfites","")&amp;IF(Q23="X",IF(COUNTIF($E23:$P23,"X")&gt;0,", ","")&amp;"Lupin","")&amp;IF(R23="X",IF(COUNTIF($E23:$Q23,"X")&gt;0,", ","")&amp;"Mollusques","")),"")</f>
        <v>Crustacés</v>
      </c>
      <c r="E23" s="139" t="str">
        <f>IF(23=23,IF($B23="","",AF23),"")</f>
        <v/>
      </c>
      <c r="F23" s="139" t="str">
        <f>IF(23=23,IF($B23="","",AI23),"")</f>
        <v>X</v>
      </c>
      <c r="G23" s="139" t="str">
        <f>IF(23=23,IF($B23="","",AM23),"")</f>
        <v/>
      </c>
      <c r="H23" s="139" t="str">
        <f>IF(23=23,IF($B23="","",IF(ISNUMBER(SEARCH(" colin ",$AA23)),"X",AZ23)),"")</f>
        <v/>
      </c>
      <c r="I23" s="139" t="str">
        <f>IF(23=23,IF($B23="","",BB23),"")</f>
        <v/>
      </c>
      <c r="J23" s="139" t="str">
        <f>IF(23=23,IF($B23="","",BF23),"")</f>
        <v/>
      </c>
      <c r="K23" s="139" t="str">
        <f>IF(23=23,IF($B23="","",BM23),"")</f>
        <v/>
      </c>
      <c r="L23" s="139" t="str">
        <f>IF(23=23,IF($B23="","",BQ23),"")</f>
        <v/>
      </c>
      <c r="M23" s="139" t="str">
        <f>IF(23=23,IF($B23="","",BT23),"")</f>
        <v/>
      </c>
      <c r="N23" s="139" t="str">
        <f>IF(23=23,IF($B23="","",BW23),"")</f>
        <v/>
      </c>
      <c r="O23" s="139" t="str">
        <f>IF(23=23,IF($B23="","",BZ23),"")</f>
        <v/>
      </c>
      <c r="P23" s="139" t="str">
        <f>IF(23=23,IF($B23="","",CC23),"")</f>
        <v/>
      </c>
      <c r="Q23" s="139" t="str">
        <f>IF(23=23,IF($B23="","",CF23),"")</f>
        <v/>
      </c>
      <c r="R23" s="139" t="str">
        <f>IF(23=23,IF($B23="","",CL23),"")</f>
        <v/>
      </c>
      <c r="S23" s="140" t="str">
        <f>IF(23=23,IF($B23="","",IF(E23="?",""&amp;"Céréales contenant du gluten","")&amp;IF(F23="?",IF(COUNTIF($E23:$E23,"~?")&gt;0,", ","")&amp;"Crustacés","")&amp;IF(G23="?",IF(COUNTIF($E23:$F23,"~?")&gt;0,", ","")&amp;"Œufs","")&amp;IF(H23="?",IF(COUNTIF($E23:$G23,"~?")&gt;0,", ","")&amp;"Poissons","")&amp;IF(I23="?",IF(COUNTIF($E23:$H23,"~?")&gt;0,", ","")&amp;"Arachides","")&amp;IF(J23="?",IF(COUNTIF($E23:$I23,"~?")&gt;0,", ","")&amp;"Soja","")&amp;IF(K23="?",IF(COUNTIF($E23:$J23,"~?")&gt;0,", ","")&amp;"Lait","")&amp;IF(L23="?",IF(COUNTIF($E23:$K23,"~?")&gt;0,", ","")&amp;"Fruits à coque","")&amp;IF(M23="?",IF(COUNTIF($E23:$L23,"~?")&gt;0,", ","")&amp;"Céleri","")&amp;IF(N23="?",IF(COUNTIF($E23:$M23,"~?")&gt;0,", ","")&amp;"Moutarde","")&amp;IF(O23="?",IF(COUNTIF($E23:$N23,"~?")&gt;0,", ","")&amp;"Sésame","")&amp;IF(P23="?",IF(COUNTIF($E23:$O23,"~?")&gt;0,", ","")&amp;"Sulfites","")&amp;IF(Q23="?",IF(COUNTIF($E23:$P23,"~?")&gt;0,", ","")&amp;"Lupin","")&amp;IF(R23="?",IF(COUNTIF($E23:$Q23,"~?")&gt;0,", ","")&amp;"Mollusques","")),"")</f>
        <v/>
      </c>
      <c r="U23" s="93" t="str">
        <f>IF(23=23,IF($B23="","",$B23),"")</f>
        <v xml:space="preserve">Crevettes décortiquées </v>
      </c>
      <c r="V23" s="93" t="str">
        <f>IF(23=23,LOWER(CLEAN(SUBSTITUTE(SUBSTITUTE(SUBSTITUTE(SUBSTITUTE($U23,CHAR(160)," ")," "," "),CHAR(10)," "),CHAR(13)," "))),"")</f>
        <v xml:space="preserve">crevettes décortiquées </v>
      </c>
      <c r="W23" s="93" t="str">
        <f>IF(23=23,SUBSTITUTE(SUBSTITUTE(SUBSTITUTE(SUBSTITUTE(SUBSTITUTE(SUBSTITUTE(SUBSTITUTE(SUBSTITUTE(SUBSTITUTE(SUBSTITUTE(SUBSTITUTE(SUBSTITUTE($V23,"œ","oe"),"æ","ae"),"à","a"),"á","a"),"â","a"),"ä","a"),"ã","a"),"ç","c"),"è","e"),"é","e"),"ê","e"),"ë","e"),"")</f>
        <v xml:space="preserve">crevettes decortiquees </v>
      </c>
      <c r="X23" s="93" t="str">
        <f>IF(23=23,SUBSTITUTE(SUBSTITUTE(SUBSTITUTE(SUBSTITUTE(SUBSTITUTE(SUBSTITUTE(SUBSTITUTE(SUBSTITUTE(SUBSTITUTE(SUBSTITUTE(SUBSTITUTE(SUBSTITUTE(SUBSTITUTE(SUBSTITUTE(SUBSTITUTE(SUBSTITUTE($W23,"ì","i"),"í","i"),"î","i"),"ï","i"),"ñ","n"),"ò","o"),"ó","o"),"ô","o"),"ö","o"),"õ","o"),"ù","u"),"ú","u"),"û","u"),"ü","u"),"ý","y"),"ÿ","y"),"")</f>
        <v xml:space="preserve">crevettes decortiquees </v>
      </c>
      <c r="Y23" s="93" t="str">
        <f>IF(23=23,SUBSTITUTE(SUBSTITUTE(SUBSTITUTE(SUBSTITUTE(SUBSTITUTE(SUBSTITUTE(SUBSTITUTE(SUBSTITUTE(SUBSTITUTE(SUBSTITUTE(SUBSTITUTE(SUBSTITUTE(SUBSTITUTE(SUBSTITUTE($X23,"’"," "),"`"," "),"–"," "),"—"," "),"-"," "),"'"," "),"/"," "),"_"," "),","," "),"."," "),"("," "),")"," "),";"," "),":"," "),"")</f>
        <v xml:space="preserve">crevettes decortiquees </v>
      </c>
      <c r="Z23" s="93" t="str">
        <f>IF(23=23,SUBSTITUTE(SUBSTITUTE(SUBSTITUTE(SUBSTITUTE(SUBSTITUTE(SUBSTITUTE(SUBSTITUTE(SUBSTITUTE(SUBSTITUTE(SUBSTITUTE(SUBSTITUTE(SUBSTITUTE(SUBSTITUTE(SUBSTITUTE(SUBSTITUTE($Y23,"!"," "),"?"," "),"+"," "),"*"," "),"&amp;"," "),"["," "),"]"," "),"{"," "),"}"," "),"%"," "),"="," "),"\"," "),"|"," "),"&lt;"," "),"&gt;"," "),"")</f>
        <v xml:space="preserve">crevettes decortiquees </v>
      </c>
      <c r="AA23" s="93" t="str">
        <f>IF(23=23," "&amp;TRIM(SUBSTITUTE(SUBSTITUTE(SUBSTITUTE(SUBSTITUTE(SUBSTITUTE(SUBSTITUTE($Z23,CHAR(34)," "),"  "," "),"  "," "),"  "," "),"  "," "),"  "," "))&amp;" ","")</f>
        <v xml:space="preserve"> crevettes decortiquees </v>
      </c>
      <c r="AB23" s="93">
        <f>IF(23=23,IF($U23="","",SUMPRODUCT(--ISNUMBER(SEARCH(" "&amp;$CR$2:$CR$101&amp;" ",$AD23)))),"")</f>
        <v>0</v>
      </c>
      <c r="AC23" s="93">
        <f>IF(23=23,IF($U23="","",SUMPRODUCT(--ISNUMBER(SEARCH(" "&amp;$CR$102:$CR$151&amp;" ",$AD23)))),"")</f>
        <v>0</v>
      </c>
      <c r="AD23" s="93" t="str">
        <f t="shared" si="1"/>
        <v xml:space="preserve"> crevettes decortiquees </v>
      </c>
      <c r="AE23" s="93">
        <f t="shared" si="2"/>
        <v>0</v>
      </c>
      <c r="AF23" s="93" t="str">
        <f>IF(23=23,IF($U23="","",IF(SUM(AB23:AC23)+SUMPRODUCT(--ISNUMBER(SEARCH(" "&amp;$CR$2418:$CR$2420&amp;" ",$AD23)))&gt;0,"X",IF(AE23&gt;0,"?",""))),"")</f>
        <v/>
      </c>
      <c r="AG23" s="93">
        <f>IF(23=23,IF($U23="","",SUMPRODUCT(--ISNUMBER(SEARCH(" "&amp;$CR$206:$CR$305&amp;" ",$AA23)))),"")</f>
        <v>1</v>
      </c>
      <c r="AH23" s="93">
        <f>IF(23=23,IF($U23="","",SUMPRODUCT(--ISNUMBER(SEARCH(" "&amp;$CR$306:$CR$340&amp;" ",$AA23)))),"")</f>
        <v>0</v>
      </c>
      <c r="AI23" s="93" t="str">
        <f>IF(23=23,IF($U23="","",IF((SUM(AG23:AH23))-(0)&gt;0,"X",IF((0)-(0)&gt;0,"?",""))),"")</f>
        <v>X</v>
      </c>
      <c r="AJ23" s="93">
        <f>IF(23=23,IF($U23="","",SUMPRODUCT(--ISNUMBER(SEARCH(" "&amp;$CR$341:$CR$398&amp;" ",$AA23)))),"")</f>
        <v>0</v>
      </c>
      <c r="AK23" s="93">
        <f>IF(23=23,IF($U23="","",SUMPRODUCT(--ISNUMBER(SEARCH(" "&amp;$CR$399:$CR$426&amp;" ",$AL23)))+SUMPRODUCT(--ISNUMBER(SEARCH(" "&amp;$CR$2440:$CR$2453&amp;" ",$AL23)))),"")</f>
        <v>0</v>
      </c>
      <c r="AL23" s="93" t="str">
        <f>IF(23=23,IF($U23="","",SUBSTITUTE(SUBSTITUTE(SUBSTITUTE(SUBSTITUTE(SUBSTITUTE(SUBSTITUTE(SUBSTITUTE(SUBSTITUTE(SUBSTITUTE(SUBSTITUTE(SUBSTITUTE(SUBSTITUTE(SUBSTITUTE(SUBSTITUTE($AA23," "&amp;$CR$2455&amp;" "," ")," "&amp;$CR$433&amp;" "," ")," "&amp;$CR$431&amp;" "," ")," "&amp;$CR$2438&amp;" "," ")," "&amp;$CR$2439&amp;" "," ")," "&amp;$CR$428&amp;" "," ")," "&amp;$CR$432&amp;" "," ")," "&amp;$CR$434&amp;" "," ")," "&amp;$CR$429&amp;" "," ")," "&amp;$CR$427&amp;" "," ")," "&amp;$CR$1367&amp;" "," ")," "&amp;$CR$435&amp;" "," ")," "&amp;$CR$1366&amp;" "," ")," "&amp;$CR$430&amp;" "," ")),"")</f>
        <v xml:space="preserve"> crevettes decortiquees </v>
      </c>
      <c r="AM23" s="93" t="str">
        <f>IF(23=23,IF($U23="","",IF(AJ23&gt;0,"X",IF(AK23&gt;0,"?",""))),"")</f>
        <v/>
      </c>
      <c r="AN23" s="93">
        <f>IF(23=23,IF($U23="","",SUMPRODUCT(--ISNUMBER(SEARCH(" "&amp;$CR$436:$CR$535&amp;" ",$AX23)))),"")</f>
        <v>0</v>
      </c>
      <c r="AO23" s="93">
        <f>IF(23=23,IF($U23="","",SUMPRODUCT(--ISNUMBER(SEARCH(" "&amp;$CR$536:$CR$635&amp;" ",$AX23)))),"")</f>
        <v>0</v>
      </c>
      <c r="AP23" s="93">
        <f>IF(23=23,IF($U23="","",SUMPRODUCT(--ISNUMBER(SEARCH(" "&amp;$CR$636:$CR$735&amp;" ",$AX23)))),"")</f>
        <v>0</v>
      </c>
      <c r="AQ23" s="93">
        <f>IF(23=23,IF($U23="","",SUMPRODUCT(--ISNUMBER(SEARCH(" "&amp;$CR$736:$CR$835&amp;" ",$AX23)))),"")</f>
        <v>0</v>
      </c>
      <c r="AR23" s="93">
        <f>IF(23=23,IF($U23="","",SUMPRODUCT(--ISNUMBER(SEARCH(" "&amp;$CR$836:$CR$935&amp;" ",$AX23)))),"")</f>
        <v>0</v>
      </c>
      <c r="AS23" s="93">
        <f>IF(23=23,IF($U23="","",SUMPRODUCT(--ISNUMBER(SEARCH(" "&amp;$CR$936:$CR$1035&amp;" ",$AX23)))),"")</f>
        <v>0</v>
      </c>
      <c r="AT23" s="93">
        <f>IF(23=23,IF($U23="","",SUMPRODUCT(--ISNUMBER(SEARCH(" "&amp;$CR$1036:$CR$1135&amp;" ",$AX23)))),"")</f>
        <v>0</v>
      </c>
      <c r="AU23" s="93">
        <f>IF(23=23,IF($U23="","",SUMPRODUCT(--ISNUMBER(SEARCH(" "&amp;$CR$1136:$CR$1235&amp;" ",$AX23)))),"")</f>
        <v>0</v>
      </c>
      <c r="AV23" s="93">
        <f>IF(23=23,IF($U23="","",SUMPRODUCT(--ISNUMBER(SEARCH(" "&amp;$CR$1236:$CR$1335&amp;" ",$AX23)))),"")</f>
        <v>0</v>
      </c>
      <c r="AW23" s="93">
        <f>IF(23=23,IF($U23="","",SUMPRODUCT(--ISNUMBER(SEARCH(" "&amp;$CR$1336:$CR$1363&amp;" ",$AX23)))),"")</f>
        <v>0</v>
      </c>
      <c r="AX23" s="93" t="str">
        <f>IF(23=23,IF($U23="","",SUBSTITUTE(SUBSTITUTE(SUBSTITUTE(SUBSTITUTE(SUBSTITUTE(SUBSTITUTE(SUBSTITUTE(SUBSTITUTE(SUBSTITUTE($AA23," "&amp;$CR$1365&amp;" "," ")," "&amp;$CR$1364&amp;" "," ")," "&amp;$CR$1370&amp;" "," ")," "&amp;$CR$1371&amp;" "," ")," "&amp;$CR$1367&amp;" "," ")," "&amp;$CR$1369&amp;" "," ")," "&amp;$CR$1366&amp;" "," ")," "&amp;$CR$1368&amp;" "," ")," "&amp;$CR$1372&amp;" "," ")),"")</f>
        <v xml:space="preserve"> crevettes decortiquees </v>
      </c>
      <c r="AY23" s="93">
        <f>IF(23=23,IF($U23="","",SUMPRODUCT(--ISNUMBER(SEARCH(" "&amp;$CR$1373:$CR$1383&amp;" ",$AX23)))),"")</f>
        <v>0</v>
      </c>
      <c r="AZ23" s="93" t="str">
        <f>IF(23=23,IF($U23="","",IF(SUM(AN23:AW23)+SUMPRODUCT(--ISNUMBER(SEARCH(" "&amp;$CR$2421:$CR$2422&amp;" ",$AX23)))&gt;0,"X",IF(AY23&gt;0,"?",""))),"")</f>
        <v/>
      </c>
      <c r="BA23" s="93">
        <f>IF(23=23,IF($U23="","",SUMPRODUCT(--ISNUMBER(SEARCH(" "&amp;$CR$1384:$CR$1404&amp;" ",$AA23)))),"")</f>
        <v>0</v>
      </c>
      <c r="BB23" s="93" t="str">
        <f>IF(23=23,IF($U23="","",IF((BA23)-(0)&gt;0,"X",IF((0)-(0)&gt;0,"?",""))),"")</f>
        <v/>
      </c>
      <c r="BC23" s="93">
        <f>IF(23=23,IF($U23="","",SUMPRODUCT(--ISNUMBER(SEARCH(" "&amp;$CR$1405:$CR$1442&amp;" ",$BD23)))),"")</f>
        <v>0</v>
      </c>
      <c r="BD23" s="93" t="str">
        <f>IF(23=23,IF($U23="","",SUBSTITUTE(SUBSTITUTE($AA23," "&amp;$CR$1443&amp;" "," ")," "&amp;$CR$1444&amp;" "," ")),"")</f>
        <v xml:space="preserve"> crevettes decortiquees </v>
      </c>
      <c r="BE23" s="93">
        <f>IF(23=23,IF($U23="","",SUMPRODUCT(--ISNUMBER(SEARCH(" "&amp;$CR$1445:$CR$1455&amp;" ",$BD23)))),"")</f>
        <v>0</v>
      </c>
      <c r="BF23" s="93" t="str">
        <f>IF(23=23,IF($U23="","",IF(BC23&gt;0,"X",IF(BE23&gt;0,"?",""))),"")</f>
        <v/>
      </c>
      <c r="BG23" s="93">
        <f>IF(23=23,IF($U23="","",SUMPRODUCT(--ISNUMBER(SEARCH(" "&amp;$CR$1456:$CR$1555&amp;" ",$BJ23)))),"")</f>
        <v>0</v>
      </c>
      <c r="BH23" s="93">
        <f>IF(23=23,IF($U23="","",SUMPRODUCT(--ISNUMBER(SEARCH(" "&amp;$CR$1556:$CR$1655&amp;" ",$BJ23)))),"")</f>
        <v>0</v>
      </c>
      <c r="BI23" s="93">
        <f>IF(23=23,IF($U23="","",SUMPRODUCT(--ISNUMBER(SEARCH(" "&amp;$CR$1656:$CR$1739&amp;" ",$BJ23)))),"")</f>
        <v>0</v>
      </c>
      <c r="BJ23" s="93" t="str">
        <f>IF(23=23,IF($U23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23,"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crevettes decortiquees </v>
      </c>
      <c r="BK23" s="93">
        <f>IF(23=23,IF($U23="","",SUMPRODUCT(--ISNUMBER(SEARCH(" "&amp;$CR$1790:$CR$1869&amp;" ",$BL23)))+SUMPRODUCT(--ISNUMBER(SEARCH(" "&amp;$CR$2440:$CR$2453&amp;" ",$BL23)))),"")</f>
        <v>0</v>
      </c>
      <c r="BL23" s="93" t="str">
        <f>IF(23=23,IF($U23="","",SUBSTITUTE(SUBSTITUTE(SUBSTITUTE(SUBSTITUTE(SUBSTITUTE(SUBSTITUTE(SUBSTITUTE(SUBSTITUTE(SUBSTITUTE(SUBSTITUTE(SUBSTITUTE(SUBSTITUTE(SUBSTITUTE($BJ23," "&amp;$CR$1876&amp;" "," ")," "&amp;$CR$1874&amp;" "," ")," "&amp;$CR$2438&amp;" "," ")," "&amp;$CR$2439&amp;" "," ")," "&amp;$CR$1871&amp;" "," ")," "&amp;$CR$1875&amp;" "," ")," "&amp;$CR$1877&amp;" "," ")," "&amp;$CR$1872&amp;" "," ")," "&amp;$CR$1870&amp;" "," ")," "&amp;$CR$1367&amp;" "," ")," "&amp;$CR$1878&amp;" "," ")," "&amp;$CR$1366&amp;" "," ")," "&amp;$CR$1873&amp;" "," ")),"")</f>
        <v xml:space="preserve"> crevettes decortiquees </v>
      </c>
      <c r="BM23" s="93" t="str">
        <f>IF(23=23,IF($U23="","",IF(SUM(BG23:BI23)+SUMPRODUCT(--ISNUMBER(SEARCH(" "&amp;$CR$2423:$CR$2424&amp;" ",$BJ23)))&gt;0,"X",IF(BK23&gt;0,"?",""))),"")</f>
        <v/>
      </c>
      <c r="BN23" s="93">
        <f>IF(23=23,IF($U23="","",SUMPRODUCT(--ISNUMBER(SEARCH(" "&amp;$CR$1879:$CR$1936&amp;" ",$BO23)))),"")</f>
        <v>0</v>
      </c>
      <c r="BO23" s="93" t="str">
        <f>IF(23=23,IF($U23="","",SUBSTITUTE(SUBSTITUTE(SUBSTITUTE(SUBSTITUTE(SUBSTITUTE(SUBSTITUTE(SUBSTITUTE(SUBSTITUTE(SUBSTITUTE(SUBSTITUTE(SUBSTITUTE(SUBSTITUTE(SUBSTITUTE(SUBSTITUTE(SUBSTITUTE(SUBSTITUTE(SUBSTITUTE(SUBSTITUTE(SUBSTITUTE(SUBSTITUTE(SUBSTITUTE(SUBSTITUTE(SUBSTITUTE($AA23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crevettes decortiquees </v>
      </c>
      <c r="BP23" s="93">
        <f>IF(23=23,IF($U23="","",SUMPRODUCT(--ISNUMBER(SEARCH(" "&amp;$CR$1960:$CR$1976&amp;" ",$BO23)))),"")</f>
        <v>0</v>
      </c>
      <c r="BQ23" s="93" t="str">
        <f>IF(23=23,IF($U23="","",IF(BN23&gt;0,"X",IF(BP23&gt;0,"?",""))),"")</f>
        <v/>
      </c>
      <c r="BR23" s="93">
        <f>IF(23=23,IF($U23="","",SUMPRODUCT(--ISNUMBER(SEARCH(" "&amp;$CR$1977:$CR$1990&amp;" ",$AA23)))),"")</f>
        <v>0</v>
      </c>
      <c r="BS23" s="93">
        <f>IF(23=23,IF($U23="","",SUMPRODUCT(--ISNUMBER(SEARCH(" "&amp;$CR$1991:$CR$2005&amp;" ",$AA23)))),"")</f>
        <v>0</v>
      </c>
      <c r="BT23" s="93" t="str">
        <f>IF(23=23,IF($U23="","",IF((BR23)-(0)&gt;0,"X",IF((BS23)-(0)&gt;0,"?",""))),"")</f>
        <v/>
      </c>
      <c r="BU23" s="93">
        <f>IF(23=23,IF($U23="","",SUMPRODUCT(--ISNUMBER(SEARCH(" "&amp;$CR$2006:$CR$2023&amp;" ",$AA23)))),"")</f>
        <v>0</v>
      </c>
      <c r="BV23" s="93">
        <f>IF(23=23,IF($U23="","",SUMPRODUCT(--ISNUMBER(SEARCH(" "&amp;$CR$2024:$CR$2038&amp;" ",$AA23)))),"")</f>
        <v>0</v>
      </c>
      <c r="BW23" s="93" t="str">
        <f>IF(23=23,IF($U23="","",IF((BU23)-(0)&gt;0,"X",IF((BV23)-(0)&gt;0,"?",""))),"")</f>
        <v/>
      </c>
      <c r="BX23" s="93">
        <f>IF(23=23,IF($U23="","",SUMPRODUCT(--ISNUMBER(SEARCH(" "&amp;$CR$2039:$CR$2057&amp;" ",$AA23)))),"")</f>
        <v>0</v>
      </c>
      <c r="BY23" s="93">
        <f>IF(23=23,IF($U23="","",SUMPRODUCT(--ISNUMBER(SEARCH(" "&amp;$CR$2058:$CR$2072&amp;" ",$AA23)))),"")</f>
        <v>0</v>
      </c>
      <c r="BZ23" s="93" t="str">
        <f>IF(23=23,IF($U23="","",IF((BX23)-(0)&gt;0,"X",IF((BY23)-(0)&gt;0,"?",""))),"")</f>
        <v/>
      </c>
      <c r="CA23" s="93">
        <f>IF(23=23,IF($U23="","",SUMPRODUCT(--ISNUMBER(SEARCH(" "&amp;$CR$2073:$CR$2093&amp;" ",$AA23)))),"")</f>
        <v>0</v>
      </c>
      <c r="CB23" s="93">
        <f>IF(23=23,IF($U23="","",SUMPRODUCT(--ISNUMBER(SEARCH(" "&amp;$CR$2094:$CR$2133&amp;" ",SUBSTITUTE(SUBSTITUTE($AA23," "&amp;$CR$1367&amp;" "," ")," "&amp;$CR$1366&amp;" "," "))))+--ISNUMBER(SEARCH("poiré",$V23))),"")</f>
        <v>0</v>
      </c>
      <c r="CC23" s="93" t="str">
        <f>IF(23=23,IF($U23="","",IF(OR(CA23&gt;0,ISNUMBER(SEARCH(" vinaigre de vin ",$AA23)),ISNUMBER(SEARCH(" vinaigre au vin ",$AA23))),"X",IF(CB23&gt;0,"?",""))),"")</f>
        <v/>
      </c>
      <c r="CD23" s="93">
        <f>IF(23=23,IF($U23="","",SUMPRODUCT(--ISNUMBER(SEARCH(" "&amp;$CR$2134:$CR$2146&amp;" ",$AA23)))),"")</f>
        <v>0</v>
      </c>
      <c r="CE23" s="93">
        <f>IF(23=23,IF($U23="","",SUMPRODUCT(--ISNUMBER(SEARCH(" "&amp;$CR$2147:$CR$2152&amp;" ",$AA23)))),"")</f>
        <v>0</v>
      </c>
      <c r="CF23" s="93" t="str">
        <f>IF(23=23,IF($U23="","",IF((CD23)-(0)&gt;0,"X",IF((CE23)-(0)&gt;0,"?",""))),"")</f>
        <v/>
      </c>
      <c r="CG23" s="93">
        <f>IF(23=23,IF($U23="","",SUMPRODUCT(--ISNUMBER(SEARCH(" "&amp;$CR$2153:$CR$2252&amp;" ",$CJ23)))),"")</f>
        <v>0</v>
      </c>
      <c r="CH23" s="93">
        <f>IF(23=23,IF($U23="","",SUMPRODUCT(--ISNUMBER(SEARCH(" "&amp;$CR$2253:$CR$2352&amp;" ",$CJ23)))),"")</f>
        <v>0</v>
      </c>
      <c r="CI23" s="93">
        <f>IF(23=23,IF($U23="","",SUMPRODUCT(--ISNUMBER(SEARCH(" "&amp;$CR$2353:$CR$2395&amp;" ",$CJ23)))),"")</f>
        <v>0</v>
      </c>
      <c r="CJ23" s="93" t="str">
        <f>IF(23=23,IF($U23="","",SUBSTITUTE(SUBSTITUTE(SUBSTITUTE(SUBSTITUTE(SUBSTITUTE(SUBSTITUTE(SUBSTITUTE(SUBSTITUTE(SUBSTITUTE(SUBSTITUTE(SUBSTITUTE(SUBSTITUTE(SUBSTITUTE(SUBSTITUTE(SUBSTITUTE(SUBSTITUTE($AA23," "&amp;$CR$2401&amp;" "," ")," "&amp;$CR$2400&amp;" "," ")," "&amp;$CR$2399&amp;" "," ")," "&amp;$CR$2406&amp;" "," ")," "&amp;$CR$2398&amp;" "," ")," "&amp;$CR$2410&amp;" "," ")," "&amp;$CR$2397&amp;" "," ")," "&amp;$CR$2402&amp;" "," ")," "&amp;$CR$2405&amp;" "," ")," "&amp;$CR$2396&amp;" "," ")," "&amp;$CR$2404&amp;" "," ")," "&amp;$CR$2411&amp;" "," ")," "&amp;$CR$2408&amp;" "," ")," "&amp;$CR$2403&amp;" "," ")," "&amp;$CR$2407&amp;" "," ")," "&amp;$CR$2409&amp;" "," ")),"")</f>
        <v xml:space="preserve"> crevettes decortiquees </v>
      </c>
      <c r="CK23" s="93">
        <f>IF(23=23,IF($U23="","",SUMPRODUCT(--ISNUMBER(SEARCH(" "&amp;$CR$2412:$CR$2416&amp;" ",$CJ23)))),"")</f>
        <v>0</v>
      </c>
      <c r="CL23" s="93" t="str">
        <f>IF(23=23,IF($U23="","",IF(SUM(CG23:CI23)&gt;0,"X",IF(CK23&gt;0,"?",""))),"")</f>
        <v/>
      </c>
      <c r="CM23" s="102"/>
      <c r="CN23" s="112" t="s">
        <v>653</v>
      </c>
      <c r="CO23" s="112" t="s">
        <v>522</v>
      </c>
      <c r="CP23" s="112" t="s">
        <v>523</v>
      </c>
      <c r="CQ23" s="112" t="s">
        <v>654</v>
      </c>
      <c r="CR23" s="112" t="s">
        <v>654</v>
      </c>
      <c r="CS23" s="112" t="s">
        <v>525</v>
      </c>
      <c r="CT23" s="112" t="s">
        <v>526</v>
      </c>
      <c r="CU23" s="112" t="s">
        <v>527</v>
      </c>
      <c r="CV23" s="113" t="s">
        <v>528</v>
      </c>
      <c r="CX23" s="36">
        <v>1</v>
      </c>
    </row>
    <row r="24" spans="1:102" ht="21" customHeight="1" x14ac:dyDescent="0.25">
      <c r="A24" s="135">
        <v>18</v>
      </c>
      <c r="B24" s="136" t="s">
        <v>5862</v>
      </c>
      <c r="C24" s="137" t="str">
        <f t="shared" si="0"/>
        <v>Cuisses de poulet</v>
      </c>
      <c r="D24" s="138" t="str">
        <f>IF(24=24,IF($B24="","",IF(E24="X",""&amp;"Céréales contenant du gluten","")&amp;IF(F24="X",IF(COUNTIF($E24:$E24,"X")&gt;0,", ","")&amp;"Crustacés","")&amp;IF(G24="X",IF(COUNTIF($E24:$F24,"X")&gt;0,", ","")&amp;"Œufs","")&amp;IF(H24="X",IF(COUNTIF($E24:$G24,"X")&gt;0,", ","")&amp;"Poissons","")&amp;IF(I24="X",IF(COUNTIF($E24:$H24,"X")&gt;0,", ","")&amp;"Arachides","")&amp;IF(J24="X",IF(COUNTIF($E24:$I24,"X")&gt;0,", ","")&amp;"Soja","")&amp;IF(K24="X",IF(COUNTIF($E24:$J24,"X")&gt;0,", ","")&amp;"Lait","")&amp;IF(L24="X",IF(COUNTIF($E24:$K24,"X")&gt;0,", ","")&amp;"Fruits à coque","")&amp;IF(M24="X",IF(COUNTIF($E24:$L24,"X")&gt;0,", ","")&amp;"Céleri","")&amp;IF(N24="X",IF(COUNTIF($E24:$M24,"X")&gt;0,", ","")&amp;"Moutarde","")&amp;IF(O24="X",IF(COUNTIF($E24:$N24,"X")&gt;0,", ","")&amp;"Sésame","")&amp;IF(P24="X",IF(COUNTIF($E24:$O24,"X")&gt;0,", ","")&amp;"Sulfites","")&amp;IF(Q24="X",IF(COUNTIF($E24:$P24,"X")&gt;0,", ","")&amp;"Lupin","")&amp;IF(R24="X",IF(COUNTIF($E24:$Q24,"X")&gt;0,", ","")&amp;"Mollusques","")),"")</f>
        <v/>
      </c>
      <c r="E24" s="139" t="str">
        <f>IF(24=24,IF($B24="","",AF24),"")</f>
        <v/>
      </c>
      <c r="F24" s="139" t="str">
        <f>IF(24=24,IF($B24="","",AI24),"")</f>
        <v/>
      </c>
      <c r="G24" s="139" t="str">
        <f>IF(24=24,IF($B24="","",AM24),"")</f>
        <v/>
      </c>
      <c r="H24" s="139" t="str">
        <f>IF(24=24,IF($B24="","",IF(ISNUMBER(SEARCH(" colin ",$AA24)),"X",AZ24)),"")</f>
        <v/>
      </c>
      <c r="I24" s="139" t="str">
        <f>IF(24=24,IF($B24="","",BB24),"")</f>
        <v/>
      </c>
      <c r="J24" s="139" t="str">
        <f>IF(24=24,IF($B24="","",BF24),"")</f>
        <v/>
      </c>
      <c r="K24" s="139" t="str">
        <f>IF(24=24,IF($B24="","",BM24),"")</f>
        <v/>
      </c>
      <c r="L24" s="139" t="str">
        <f>IF(24=24,IF($B24="","",BQ24),"")</f>
        <v/>
      </c>
      <c r="M24" s="139" t="str">
        <f>IF(24=24,IF($B24="","",BT24),"")</f>
        <v/>
      </c>
      <c r="N24" s="139" t="str">
        <f>IF(24=24,IF($B24="","",BW24),"")</f>
        <v/>
      </c>
      <c r="O24" s="139" t="str">
        <f>IF(24=24,IF($B24="","",BZ24),"")</f>
        <v/>
      </c>
      <c r="P24" s="139" t="str">
        <f>IF(24=24,IF($B24="","",CC24),"")</f>
        <v/>
      </c>
      <c r="Q24" s="139" t="str">
        <f>IF(24=24,IF($B24="","",CF24),"")</f>
        <v/>
      </c>
      <c r="R24" s="139" t="str">
        <f>IF(24=24,IF($B24="","",CL24),"")</f>
        <v/>
      </c>
      <c r="S24" s="140" t="str">
        <f>IF(24=24,IF($B24="","",IF(E24="?",""&amp;"Céréales contenant du gluten","")&amp;IF(F24="?",IF(COUNTIF($E24:$E24,"~?")&gt;0,", ","")&amp;"Crustacés","")&amp;IF(G24="?",IF(COUNTIF($E24:$F24,"~?")&gt;0,", ","")&amp;"Œufs","")&amp;IF(H24="?",IF(COUNTIF($E24:$G24,"~?")&gt;0,", ","")&amp;"Poissons","")&amp;IF(I24="?",IF(COUNTIF($E24:$H24,"~?")&gt;0,", ","")&amp;"Arachides","")&amp;IF(J24="?",IF(COUNTIF($E24:$I24,"~?")&gt;0,", ","")&amp;"Soja","")&amp;IF(K24="?",IF(COUNTIF($E24:$J24,"~?")&gt;0,", ","")&amp;"Lait","")&amp;IF(L24="?",IF(COUNTIF($E24:$K24,"~?")&gt;0,", ","")&amp;"Fruits à coque","")&amp;IF(M24="?",IF(COUNTIF($E24:$L24,"~?")&gt;0,", ","")&amp;"Céleri","")&amp;IF(N24="?",IF(COUNTIF($E24:$M24,"~?")&gt;0,", ","")&amp;"Moutarde","")&amp;IF(O24="?",IF(COUNTIF($E24:$N24,"~?")&gt;0,", ","")&amp;"Sésame","")&amp;IF(P24="?",IF(COUNTIF($E24:$O24,"~?")&gt;0,", ","")&amp;"Sulfites","")&amp;IF(Q24="?",IF(COUNTIF($E24:$P24,"~?")&gt;0,", ","")&amp;"Lupin","")&amp;IF(R24="?",IF(COUNTIF($E24:$Q24,"~?")&gt;0,", ","")&amp;"Mollusques","")),"")</f>
        <v/>
      </c>
      <c r="U24" s="93" t="str">
        <f>IF(24=24,IF($B24="","",$B24),"")</f>
        <v>Cuisses de poulet</v>
      </c>
      <c r="V24" s="93" t="str">
        <f>IF(24=24,LOWER(CLEAN(SUBSTITUTE(SUBSTITUTE(SUBSTITUTE(SUBSTITUTE($U24,CHAR(160)," ")," "," "),CHAR(10)," "),CHAR(13)," "))),"")</f>
        <v>cuisses de poulet</v>
      </c>
      <c r="W24" s="93" t="str">
        <f>IF(24=24,SUBSTITUTE(SUBSTITUTE(SUBSTITUTE(SUBSTITUTE(SUBSTITUTE(SUBSTITUTE(SUBSTITUTE(SUBSTITUTE(SUBSTITUTE(SUBSTITUTE(SUBSTITUTE(SUBSTITUTE($V24,"œ","oe"),"æ","ae"),"à","a"),"á","a"),"â","a"),"ä","a"),"ã","a"),"ç","c"),"è","e"),"é","e"),"ê","e"),"ë","e"),"")</f>
        <v>cuisses de poulet</v>
      </c>
      <c r="X24" s="93" t="str">
        <f>IF(24=24,SUBSTITUTE(SUBSTITUTE(SUBSTITUTE(SUBSTITUTE(SUBSTITUTE(SUBSTITUTE(SUBSTITUTE(SUBSTITUTE(SUBSTITUTE(SUBSTITUTE(SUBSTITUTE(SUBSTITUTE(SUBSTITUTE(SUBSTITUTE(SUBSTITUTE(SUBSTITUTE($W24,"ì","i"),"í","i"),"î","i"),"ï","i"),"ñ","n"),"ò","o"),"ó","o"),"ô","o"),"ö","o"),"õ","o"),"ù","u"),"ú","u"),"û","u"),"ü","u"),"ý","y"),"ÿ","y"),"")</f>
        <v>cuisses de poulet</v>
      </c>
      <c r="Y24" s="93" t="str">
        <f>IF(24=24,SUBSTITUTE(SUBSTITUTE(SUBSTITUTE(SUBSTITUTE(SUBSTITUTE(SUBSTITUTE(SUBSTITUTE(SUBSTITUTE(SUBSTITUTE(SUBSTITUTE(SUBSTITUTE(SUBSTITUTE(SUBSTITUTE(SUBSTITUTE($X24,"’"," "),"`"," "),"–"," "),"—"," "),"-"," "),"'"," "),"/"," "),"_"," "),","," "),"."," "),"("," "),")"," "),";"," "),":"," "),"")</f>
        <v>cuisses de poulet</v>
      </c>
      <c r="Z24" s="93" t="str">
        <f>IF(24=24,SUBSTITUTE(SUBSTITUTE(SUBSTITUTE(SUBSTITUTE(SUBSTITUTE(SUBSTITUTE(SUBSTITUTE(SUBSTITUTE(SUBSTITUTE(SUBSTITUTE(SUBSTITUTE(SUBSTITUTE(SUBSTITUTE(SUBSTITUTE(SUBSTITUTE($Y24,"!"," "),"?"," "),"+"," "),"*"," "),"&amp;"," "),"["," "),"]"," "),"{"," "),"}"," "),"%"," "),"="," "),"\"," "),"|"," "),"&lt;"," "),"&gt;"," "),"")</f>
        <v>cuisses de poulet</v>
      </c>
      <c r="AA24" s="93" t="str">
        <f>IF(24=24," "&amp;TRIM(SUBSTITUTE(SUBSTITUTE(SUBSTITUTE(SUBSTITUTE(SUBSTITUTE(SUBSTITUTE($Z24,CHAR(34)," "),"  "," "),"  "," "),"  "," "),"  "," "),"  "," "))&amp;" ","")</f>
        <v xml:space="preserve"> cuisses de poulet </v>
      </c>
      <c r="AB24" s="93">
        <f>IF(24=24,IF($U24="","",SUMPRODUCT(--ISNUMBER(SEARCH(" "&amp;$CR$2:$CR$101&amp;" ",$AD24)))),"")</f>
        <v>0</v>
      </c>
      <c r="AC24" s="93">
        <f>IF(24=24,IF($U24="","",SUMPRODUCT(--ISNUMBER(SEARCH(" "&amp;$CR$102:$CR$151&amp;" ",$AD24)))),"")</f>
        <v>0</v>
      </c>
      <c r="AD24" s="93" t="str">
        <f t="shared" si="1"/>
        <v xml:space="preserve"> cuisses de poulet </v>
      </c>
      <c r="AE24" s="93">
        <f t="shared" si="2"/>
        <v>0</v>
      </c>
      <c r="AF24" s="93" t="str">
        <f>IF(24=24,IF($U24="","",IF(SUM(AB24:AC24)+SUMPRODUCT(--ISNUMBER(SEARCH(" "&amp;$CR$2418:$CR$2420&amp;" ",$AD24)))&gt;0,"X",IF(AE24&gt;0,"?",""))),"")</f>
        <v/>
      </c>
      <c r="AG24" s="93">
        <f>IF(24=24,IF($U24="","",SUMPRODUCT(--ISNUMBER(SEARCH(" "&amp;$CR$206:$CR$305&amp;" ",$AA24)))),"")</f>
        <v>0</v>
      </c>
      <c r="AH24" s="93">
        <f>IF(24=24,IF($U24="","",SUMPRODUCT(--ISNUMBER(SEARCH(" "&amp;$CR$306:$CR$340&amp;" ",$AA24)))),"")</f>
        <v>0</v>
      </c>
      <c r="AI24" s="93" t="str">
        <f>IF(24=24,IF($U24="","",IF((SUM(AG24:AH24))-(0)&gt;0,"X",IF((0)-(0)&gt;0,"?",""))),"")</f>
        <v/>
      </c>
      <c r="AJ24" s="93">
        <f>IF(24=24,IF($U24="","",SUMPRODUCT(--ISNUMBER(SEARCH(" "&amp;$CR$341:$CR$398&amp;" ",$AA24)))),"")</f>
        <v>0</v>
      </c>
      <c r="AK24" s="93">
        <f>IF(24=24,IF($U24="","",SUMPRODUCT(--ISNUMBER(SEARCH(" "&amp;$CR$399:$CR$426&amp;" ",$AL24)))+SUMPRODUCT(--ISNUMBER(SEARCH(" "&amp;$CR$2440:$CR$2453&amp;" ",$AL24)))),"")</f>
        <v>0</v>
      </c>
      <c r="AL24" s="93" t="str">
        <f>IF(24=24,IF($U24="","",SUBSTITUTE(SUBSTITUTE(SUBSTITUTE(SUBSTITUTE(SUBSTITUTE(SUBSTITUTE(SUBSTITUTE(SUBSTITUTE(SUBSTITUTE(SUBSTITUTE(SUBSTITUTE(SUBSTITUTE(SUBSTITUTE(SUBSTITUTE($AA24," "&amp;$CR$2455&amp;" "," ")," "&amp;$CR$433&amp;" "," ")," "&amp;$CR$431&amp;" "," ")," "&amp;$CR$2438&amp;" "," ")," "&amp;$CR$2439&amp;" "," ")," "&amp;$CR$428&amp;" "," ")," "&amp;$CR$432&amp;" "," ")," "&amp;$CR$434&amp;" "," ")," "&amp;$CR$429&amp;" "," ")," "&amp;$CR$427&amp;" "," ")," "&amp;$CR$1367&amp;" "," ")," "&amp;$CR$435&amp;" "," ")," "&amp;$CR$1366&amp;" "," ")," "&amp;$CR$430&amp;" "," ")),"")</f>
        <v xml:space="preserve"> cuisses de poulet </v>
      </c>
      <c r="AM24" s="93" t="str">
        <f>IF(24=24,IF($U24="","",IF(AJ24&gt;0,"X",IF(AK24&gt;0,"?",""))),"")</f>
        <v/>
      </c>
      <c r="AN24" s="93">
        <f>IF(24=24,IF($U24="","",SUMPRODUCT(--ISNUMBER(SEARCH(" "&amp;$CR$436:$CR$535&amp;" ",$AX24)))),"")</f>
        <v>0</v>
      </c>
      <c r="AO24" s="93">
        <f>IF(24=24,IF($U24="","",SUMPRODUCT(--ISNUMBER(SEARCH(" "&amp;$CR$536:$CR$635&amp;" ",$AX24)))),"")</f>
        <v>0</v>
      </c>
      <c r="AP24" s="93">
        <f>IF(24=24,IF($U24="","",SUMPRODUCT(--ISNUMBER(SEARCH(" "&amp;$CR$636:$CR$735&amp;" ",$AX24)))),"")</f>
        <v>0</v>
      </c>
      <c r="AQ24" s="93">
        <f>IF(24=24,IF($U24="","",SUMPRODUCT(--ISNUMBER(SEARCH(" "&amp;$CR$736:$CR$835&amp;" ",$AX24)))),"")</f>
        <v>0</v>
      </c>
      <c r="AR24" s="93">
        <f>IF(24=24,IF($U24="","",SUMPRODUCT(--ISNUMBER(SEARCH(" "&amp;$CR$836:$CR$935&amp;" ",$AX24)))),"")</f>
        <v>0</v>
      </c>
      <c r="AS24" s="93">
        <f>IF(24=24,IF($U24="","",SUMPRODUCT(--ISNUMBER(SEARCH(" "&amp;$CR$936:$CR$1035&amp;" ",$AX24)))),"")</f>
        <v>0</v>
      </c>
      <c r="AT24" s="93">
        <f>IF(24=24,IF($U24="","",SUMPRODUCT(--ISNUMBER(SEARCH(" "&amp;$CR$1036:$CR$1135&amp;" ",$AX24)))),"")</f>
        <v>0</v>
      </c>
      <c r="AU24" s="93">
        <f>IF(24=24,IF($U24="","",SUMPRODUCT(--ISNUMBER(SEARCH(" "&amp;$CR$1136:$CR$1235&amp;" ",$AX24)))),"")</f>
        <v>0</v>
      </c>
      <c r="AV24" s="93">
        <f>IF(24=24,IF($U24="","",SUMPRODUCT(--ISNUMBER(SEARCH(" "&amp;$CR$1236:$CR$1335&amp;" ",$AX24)))),"")</f>
        <v>0</v>
      </c>
      <c r="AW24" s="93">
        <f>IF(24=24,IF($U24="","",SUMPRODUCT(--ISNUMBER(SEARCH(" "&amp;$CR$1336:$CR$1363&amp;" ",$AX24)))),"")</f>
        <v>0</v>
      </c>
      <c r="AX24" s="93" t="str">
        <f>IF(24=24,IF($U24="","",SUBSTITUTE(SUBSTITUTE(SUBSTITUTE(SUBSTITUTE(SUBSTITUTE(SUBSTITUTE(SUBSTITUTE(SUBSTITUTE(SUBSTITUTE($AA24," "&amp;$CR$1365&amp;" "," ")," "&amp;$CR$1364&amp;" "," ")," "&amp;$CR$1370&amp;" "," ")," "&amp;$CR$1371&amp;" "," ")," "&amp;$CR$1367&amp;" "," ")," "&amp;$CR$1369&amp;" "," ")," "&amp;$CR$1366&amp;" "," ")," "&amp;$CR$1368&amp;" "," ")," "&amp;$CR$1372&amp;" "," ")),"")</f>
        <v xml:space="preserve"> cuisses de poulet </v>
      </c>
      <c r="AY24" s="93">
        <f>IF(24=24,IF($U24="","",SUMPRODUCT(--ISNUMBER(SEARCH(" "&amp;$CR$1373:$CR$1383&amp;" ",$AX24)))),"")</f>
        <v>0</v>
      </c>
      <c r="AZ24" s="93" t="str">
        <f>IF(24=24,IF($U24="","",IF(SUM(AN24:AW24)+SUMPRODUCT(--ISNUMBER(SEARCH(" "&amp;$CR$2421:$CR$2422&amp;" ",$AX24)))&gt;0,"X",IF(AY24&gt;0,"?",""))),"")</f>
        <v/>
      </c>
      <c r="BA24" s="93">
        <f>IF(24=24,IF($U24="","",SUMPRODUCT(--ISNUMBER(SEARCH(" "&amp;$CR$1384:$CR$1404&amp;" ",$AA24)))),"")</f>
        <v>0</v>
      </c>
      <c r="BB24" s="93" t="str">
        <f>IF(24=24,IF($U24="","",IF((BA24)-(0)&gt;0,"X",IF((0)-(0)&gt;0,"?",""))),"")</f>
        <v/>
      </c>
      <c r="BC24" s="93">
        <f>IF(24=24,IF($U24="","",SUMPRODUCT(--ISNUMBER(SEARCH(" "&amp;$CR$1405:$CR$1442&amp;" ",$BD24)))),"")</f>
        <v>0</v>
      </c>
      <c r="BD24" s="93" t="str">
        <f>IF(24=24,IF($U24="","",SUBSTITUTE(SUBSTITUTE($AA24," "&amp;$CR$1443&amp;" "," ")," "&amp;$CR$1444&amp;" "," ")),"")</f>
        <v xml:space="preserve"> cuisses de poulet </v>
      </c>
      <c r="BE24" s="93">
        <f>IF(24=24,IF($U24="","",SUMPRODUCT(--ISNUMBER(SEARCH(" "&amp;$CR$1445:$CR$1455&amp;" ",$BD24)))),"")</f>
        <v>0</v>
      </c>
      <c r="BF24" s="93" t="str">
        <f>IF(24=24,IF($U24="","",IF(BC24&gt;0,"X",IF(BE24&gt;0,"?",""))),"")</f>
        <v/>
      </c>
      <c r="BG24" s="93">
        <f>IF(24=24,IF($U24="","",SUMPRODUCT(--ISNUMBER(SEARCH(" "&amp;$CR$1456:$CR$1555&amp;" ",$BJ24)))),"")</f>
        <v>0</v>
      </c>
      <c r="BH24" s="93">
        <f>IF(24=24,IF($U24="","",SUMPRODUCT(--ISNUMBER(SEARCH(" "&amp;$CR$1556:$CR$1655&amp;" ",$BJ24)))),"")</f>
        <v>0</v>
      </c>
      <c r="BI24" s="93">
        <f>IF(24=24,IF($U24="","",SUMPRODUCT(--ISNUMBER(SEARCH(" "&amp;$CR$1656:$CR$1739&amp;" ",$BJ24)))),"")</f>
        <v>0</v>
      </c>
      <c r="BJ24" s="93" t="str">
        <f>IF(24=24,IF($U24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24,"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cuisses de poulet </v>
      </c>
      <c r="BK24" s="93">
        <f>IF(24=24,IF($U24="","",SUMPRODUCT(--ISNUMBER(SEARCH(" "&amp;$CR$1790:$CR$1869&amp;" ",$BL24)))+SUMPRODUCT(--ISNUMBER(SEARCH(" "&amp;$CR$2440:$CR$2453&amp;" ",$BL24)))),"")</f>
        <v>0</v>
      </c>
      <c r="BL24" s="93" t="str">
        <f>IF(24=24,IF($U24="","",SUBSTITUTE(SUBSTITUTE(SUBSTITUTE(SUBSTITUTE(SUBSTITUTE(SUBSTITUTE(SUBSTITUTE(SUBSTITUTE(SUBSTITUTE(SUBSTITUTE(SUBSTITUTE(SUBSTITUTE(SUBSTITUTE($BJ24," "&amp;$CR$1876&amp;" "," ")," "&amp;$CR$1874&amp;" "," ")," "&amp;$CR$2438&amp;" "," ")," "&amp;$CR$2439&amp;" "," ")," "&amp;$CR$1871&amp;" "," ")," "&amp;$CR$1875&amp;" "," ")," "&amp;$CR$1877&amp;" "," ")," "&amp;$CR$1872&amp;" "," ")," "&amp;$CR$1870&amp;" "," ")," "&amp;$CR$1367&amp;" "," ")," "&amp;$CR$1878&amp;" "," ")," "&amp;$CR$1366&amp;" "," ")," "&amp;$CR$1873&amp;" "," ")),"")</f>
        <v xml:space="preserve"> cuisses de poulet </v>
      </c>
      <c r="BM24" s="93" t="str">
        <f>IF(24=24,IF($U24="","",IF(SUM(BG24:BI24)+SUMPRODUCT(--ISNUMBER(SEARCH(" "&amp;$CR$2423:$CR$2424&amp;" ",$BJ24)))&gt;0,"X",IF(BK24&gt;0,"?",""))),"")</f>
        <v/>
      </c>
      <c r="BN24" s="93">
        <f>IF(24=24,IF($U24="","",SUMPRODUCT(--ISNUMBER(SEARCH(" "&amp;$CR$1879:$CR$1936&amp;" ",$BO24)))),"")</f>
        <v>0</v>
      </c>
      <c r="BO24" s="93" t="str">
        <f>IF(24=24,IF($U24="","",SUBSTITUTE(SUBSTITUTE(SUBSTITUTE(SUBSTITUTE(SUBSTITUTE(SUBSTITUTE(SUBSTITUTE(SUBSTITUTE(SUBSTITUTE(SUBSTITUTE(SUBSTITUTE(SUBSTITUTE(SUBSTITUTE(SUBSTITUTE(SUBSTITUTE(SUBSTITUTE(SUBSTITUTE(SUBSTITUTE(SUBSTITUTE(SUBSTITUTE(SUBSTITUTE(SUBSTITUTE(SUBSTITUTE($AA24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cuisses de poulet </v>
      </c>
      <c r="BP24" s="93">
        <f>IF(24=24,IF($U24="","",SUMPRODUCT(--ISNUMBER(SEARCH(" "&amp;$CR$1960:$CR$1976&amp;" ",$BO24)))),"")</f>
        <v>0</v>
      </c>
      <c r="BQ24" s="93" t="str">
        <f>IF(24=24,IF($U24="","",IF(BN24&gt;0,"X",IF(BP24&gt;0,"?",""))),"")</f>
        <v/>
      </c>
      <c r="BR24" s="93">
        <f>IF(24=24,IF($U24="","",SUMPRODUCT(--ISNUMBER(SEARCH(" "&amp;$CR$1977:$CR$1990&amp;" ",$AA24)))),"")</f>
        <v>0</v>
      </c>
      <c r="BS24" s="93">
        <f>IF(24=24,IF($U24="","",SUMPRODUCT(--ISNUMBER(SEARCH(" "&amp;$CR$1991:$CR$2005&amp;" ",$AA24)))),"")</f>
        <v>0</v>
      </c>
      <c r="BT24" s="93" t="str">
        <f>IF(24=24,IF($U24="","",IF((BR24)-(0)&gt;0,"X",IF((BS24)-(0)&gt;0,"?",""))),"")</f>
        <v/>
      </c>
      <c r="BU24" s="93">
        <f>IF(24=24,IF($U24="","",SUMPRODUCT(--ISNUMBER(SEARCH(" "&amp;$CR$2006:$CR$2023&amp;" ",$AA24)))),"")</f>
        <v>0</v>
      </c>
      <c r="BV24" s="93">
        <f>IF(24=24,IF($U24="","",SUMPRODUCT(--ISNUMBER(SEARCH(" "&amp;$CR$2024:$CR$2038&amp;" ",$AA24)))),"")</f>
        <v>0</v>
      </c>
      <c r="BW24" s="93" t="str">
        <f>IF(24=24,IF($U24="","",IF((BU24)-(0)&gt;0,"X",IF((BV24)-(0)&gt;0,"?",""))),"")</f>
        <v/>
      </c>
      <c r="BX24" s="93">
        <f>IF(24=24,IF($U24="","",SUMPRODUCT(--ISNUMBER(SEARCH(" "&amp;$CR$2039:$CR$2057&amp;" ",$AA24)))),"")</f>
        <v>0</v>
      </c>
      <c r="BY24" s="93">
        <f>IF(24=24,IF($U24="","",SUMPRODUCT(--ISNUMBER(SEARCH(" "&amp;$CR$2058:$CR$2072&amp;" ",$AA24)))),"")</f>
        <v>0</v>
      </c>
      <c r="BZ24" s="93" t="str">
        <f>IF(24=24,IF($U24="","",IF((BX24)-(0)&gt;0,"X",IF((BY24)-(0)&gt;0,"?",""))),"")</f>
        <v/>
      </c>
      <c r="CA24" s="93">
        <f>IF(24=24,IF($U24="","",SUMPRODUCT(--ISNUMBER(SEARCH(" "&amp;$CR$2073:$CR$2093&amp;" ",$AA24)))),"")</f>
        <v>0</v>
      </c>
      <c r="CB24" s="93">
        <f>IF(24=24,IF($U24="","",SUMPRODUCT(--ISNUMBER(SEARCH(" "&amp;$CR$2094:$CR$2133&amp;" ",SUBSTITUTE(SUBSTITUTE($AA24," "&amp;$CR$1367&amp;" "," ")," "&amp;$CR$1366&amp;" "," "))))+--ISNUMBER(SEARCH("poiré",$V24))),"")</f>
        <v>0</v>
      </c>
      <c r="CC24" s="93" t="str">
        <f>IF(24=24,IF($U24="","",IF(OR(CA24&gt;0,ISNUMBER(SEARCH(" vinaigre de vin ",$AA24)),ISNUMBER(SEARCH(" vinaigre au vin ",$AA24))),"X",IF(CB24&gt;0,"?",""))),"")</f>
        <v/>
      </c>
      <c r="CD24" s="93">
        <f>IF(24=24,IF($U24="","",SUMPRODUCT(--ISNUMBER(SEARCH(" "&amp;$CR$2134:$CR$2146&amp;" ",$AA24)))),"")</f>
        <v>0</v>
      </c>
      <c r="CE24" s="93">
        <f>IF(24=24,IF($U24="","",SUMPRODUCT(--ISNUMBER(SEARCH(" "&amp;$CR$2147:$CR$2152&amp;" ",$AA24)))),"")</f>
        <v>0</v>
      </c>
      <c r="CF24" s="93" t="str">
        <f>IF(24=24,IF($U24="","",IF((CD24)-(0)&gt;0,"X",IF((CE24)-(0)&gt;0,"?",""))),"")</f>
        <v/>
      </c>
      <c r="CG24" s="93">
        <f>IF(24=24,IF($U24="","",SUMPRODUCT(--ISNUMBER(SEARCH(" "&amp;$CR$2153:$CR$2252&amp;" ",$CJ24)))),"")</f>
        <v>0</v>
      </c>
      <c r="CH24" s="93">
        <f>IF(24=24,IF($U24="","",SUMPRODUCT(--ISNUMBER(SEARCH(" "&amp;$CR$2253:$CR$2352&amp;" ",$CJ24)))),"")</f>
        <v>0</v>
      </c>
      <c r="CI24" s="93">
        <f>IF(24=24,IF($U24="","",SUMPRODUCT(--ISNUMBER(SEARCH(" "&amp;$CR$2353:$CR$2395&amp;" ",$CJ24)))),"")</f>
        <v>0</v>
      </c>
      <c r="CJ24" s="93" t="str">
        <f>IF(24=24,IF($U24="","",SUBSTITUTE(SUBSTITUTE(SUBSTITUTE(SUBSTITUTE(SUBSTITUTE(SUBSTITUTE(SUBSTITUTE(SUBSTITUTE(SUBSTITUTE(SUBSTITUTE(SUBSTITUTE(SUBSTITUTE(SUBSTITUTE(SUBSTITUTE(SUBSTITUTE(SUBSTITUTE($AA24," "&amp;$CR$2401&amp;" "," ")," "&amp;$CR$2400&amp;" "," ")," "&amp;$CR$2399&amp;" "," ")," "&amp;$CR$2406&amp;" "," ")," "&amp;$CR$2398&amp;" "," ")," "&amp;$CR$2410&amp;" "," ")," "&amp;$CR$2397&amp;" "," ")," "&amp;$CR$2402&amp;" "," ")," "&amp;$CR$2405&amp;" "," ")," "&amp;$CR$2396&amp;" "," ")," "&amp;$CR$2404&amp;" "," ")," "&amp;$CR$2411&amp;" "," ")," "&amp;$CR$2408&amp;" "," ")," "&amp;$CR$2403&amp;" "," ")," "&amp;$CR$2407&amp;" "," ")," "&amp;$CR$2409&amp;" "," ")),"")</f>
        <v xml:space="preserve"> cuisses de poulet </v>
      </c>
      <c r="CK24" s="93">
        <f>IF(24=24,IF($U24="","",SUMPRODUCT(--ISNUMBER(SEARCH(" "&amp;$CR$2412:$CR$2416&amp;" ",$CJ24)))),"")</f>
        <v>0</v>
      </c>
      <c r="CL24" s="93" t="str">
        <f>IF(24=24,IF($U24="","",IF(SUM(CG24:CI24)&gt;0,"X",IF(CK24&gt;0,"?",""))),"")</f>
        <v/>
      </c>
      <c r="CM24" s="102"/>
      <c r="CN24" s="112" t="s">
        <v>656</v>
      </c>
      <c r="CO24" s="112" t="s">
        <v>522</v>
      </c>
      <c r="CP24" s="112" t="s">
        <v>523</v>
      </c>
      <c r="CQ24" s="112" t="s">
        <v>657</v>
      </c>
      <c r="CR24" s="112" t="s">
        <v>657</v>
      </c>
      <c r="CS24" s="112" t="s">
        <v>525</v>
      </c>
      <c r="CT24" s="112" t="s">
        <v>526</v>
      </c>
      <c r="CU24" s="112" t="s">
        <v>527</v>
      </c>
      <c r="CV24" s="113" t="s">
        <v>528</v>
      </c>
      <c r="CX24" s="36">
        <v>1</v>
      </c>
    </row>
    <row r="25" spans="1:102" ht="21" customHeight="1" x14ac:dyDescent="0.25">
      <c r="A25" s="135">
        <v>19</v>
      </c>
      <c r="B25" s="136" t="s">
        <v>5863</v>
      </c>
      <c r="C25" s="137" t="str">
        <f t="shared" si="0"/>
        <v>Dos de colin *</v>
      </c>
      <c r="D25" s="138" t="str">
        <f>IF(25=25,IF($B25="","",IF(E25="X",""&amp;"Céréales contenant du gluten","")&amp;IF(F25="X",IF(COUNTIF($E25:$E25,"X")&gt;0,", ","")&amp;"Crustacés","")&amp;IF(G25="X",IF(COUNTIF($E25:$F25,"X")&gt;0,", ","")&amp;"Œufs","")&amp;IF(H25="X",IF(COUNTIF($E25:$G25,"X")&gt;0,", ","")&amp;"Poissons","")&amp;IF(I25="X",IF(COUNTIF($E25:$H25,"X")&gt;0,", ","")&amp;"Arachides","")&amp;IF(J25="X",IF(COUNTIF($E25:$I25,"X")&gt;0,", ","")&amp;"Soja","")&amp;IF(K25="X",IF(COUNTIF($E25:$J25,"X")&gt;0,", ","")&amp;"Lait","")&amp;IF(L25="X",IF(COUNTIF($E25:$K25,"X")&gt;0,", ","")&amp;"Fruits à coque","")&amp;IF(M25="X",IF(COUNTIF($E25:$L25,"X")&gt;0,", ","")&amp;"Céleri","")&amp;IF(N25="X",IF(COUNTIF($E25:$M25,"X")&gt;0,", ","")&amp;"Moutarde","")&amp;IF(O25="X",IF(COUNTIF($E25:$N25,"X")&gt;0,", ","")&amp;"Sésame","")&amp;IF(P25="X",IF(COUNTIF($E25:$O25,"X")&gt;0,", ","")&amp;"Sulfites","")&amp;IF(Q25="X",IF(COUNTIF($E25:$P25,"X")&gt;0,", ","")&amp;"Lupin","")&amp;IF(R25="X",IF(COUNTIF($E25:$Q25,"X")&gt;0,", ","")&amp;"Mollusques","")),"")</f>
        <v>Poissons</v>
      </c>
      <c r="E25" s="139" t="str">
        <f>IF(25=25,IF($B25="","",AF25),"")</f>
        <v/>
      </c>
      <c r="F25" s="139" t="str">
        <f>IF(25=25,IF($B25="","",AI25),"")</f>
        <v/>
      </c>
      <c r="G25" s="139" t="str">
        <f>IF(25=25,IF($B25="","",AM25),"")</f>
        <v/>
      </c>
      <c r="H25" s="139" t="str">
        <f>IF(25=25,IF($B25="","",IF(ISNUMBER(SEARCH(" colin ",$AA25)),"X",AZ25)),"")</f>
        <v>X</v>
      </c>
      <c r="I25" s="139" t="str">
        <f>IF(25=25,IF($B25="","",BB25),"")</f>
        <v/>
      </c>
      <c r="J25" s="139" t="str">
        <f>IF(25=25,IF($B25="","",BF25),"")</f>
        <v/>
      </c>
      <c r="K25" s="139" t="str">
        <f>IF(25=25,IF($B25="","",BM25),"")</f>
        <v/>
      </c>
      <c r="L25" s="139" t="str">
        <f>IF(25=25,IF($B25="","",BQ25),"")</f>
        <v/>
      </c>
      <c r="M25" s="139" t="str">
        <f>IF(25=25,IF($B25="","",BT25),"")</f>
        <v/>
      </c>
      <c r="N25" s="139" t="str">
        <f>IF(25=25,IF($B25="","",BW25),"")</f>
        <v/>
      </c>
      <c r="O25" s="139" t="str">
        <f>IF(25=25,IF($B25="","",BZ25),"")</f>
        <v/>
      </c>
      <c r="P25" s="139" t="str">
        <f>IF(25=25,IF($B25="","",CC25),"")</f>
        <v/>
      </c>
      <c r="Q25" s="139" t="str">
        <f>IF(25=25,IF($B25="","",CF25),"")</f>
        <v/>
      </c>
      <c r="R25" s="139" t="str">
        <f>IF(25=25,IF($B25="","",CL25),"")</f>
        <v/>
      </c>
      <c r="S25" s="140" t="str">
        <f>IF(25=25,IF($B25="","",IF(E25="?",""&amp;"Céréales contenant du gluten","")&amp;IF(F25="?",IF(COUNTIF($E25:$E25,"~?")&gt;0,", ","")&amp;"Crustacés","")&amp;IF(G25="?",IF(COUNTIF($E25:$F25,"~?")&gt;0,", ","")&amp;"Œufs","")&amp;IF(H25="?",IF(COUNTIF($E25:$G25,"~?")&gt;0,", ","")&amp;"Poissons","")&amp;IF(I25="?",IF(COUNTIF($E25:$H25,"~?")&gt;0,", ","")&amp;"Arachides","")&amp;IF(J25="?",IF(COUNTIF($E25:$I25,"~?")&gt;0,", ","")&amp;"Soja","")&amp;IF(K25="?",IF(COUNTIF($E25:$J25,"~?")&gt;0,", ","")&amp;"Lait","")&amp;IF(L25="?",IF(COUNTIF($E25:$K25,"~?")&gt;0,", ","")&amp;"Fruits à coque","")&amp;IF(M25="?",IF(COUNTIF($E25:$L25,"~?")&gt;0,", ","")&amp;"Céleri","")&amp;IF(N25="?",IF(COUNTIF($E25:$M25,"~?")&gt;0,", ","")&amp;"Moutarde","")&amp;IF(O25="?",IF(COUNTIF($E25:$N25,"~?")&gt;0,", ","")&amp;"Sésame","")&amp;IF(P25="?",IF(COUNTIF($E25:$O25,"~?")&gt;0,", ","")&amp;"Sulfites","")&amp;IF(Q25="?",IF(COUNTIF($E25:$P25,"~?")&gt;0,", ","")&amp;"Lupin","")&amp;IF(R25="?",IF(COUNTIF($E25:$Q25,"~?")&gt;0,", ","")&amp;"Mollusques","")),"")</f>
        <v/>
      </c>
      <c r="U25" s="93" t="str">
        <f>IF(25=25,IF($B25="","",$B25),"")</f>
        <v>Dos de colin</v>
      </c>
      <c r="V25" s="93" t="str">
        <f>IF(25=25,LOWER(CLEAN(SUBSTITUTE(SUBSTITUTE(SUBSTITUTE(SUBSTITUTE($U25,CHAR(160)," ")," "," "),CHAR(10)," "),CHAR(13)," "))),"")</f>
        <v>dos de colin</v>
      </c>
      <c r="W25" s="93" t="str">
        <f>IF(25=25,SUBSTITUTE(SUBSTITUTE(SUBSTITUTE(SUBSTITUTE(SUBSTITUTE(SUBSTITUTE(SUBSTITUTE(SUBSTITUTE(SUBSTITUTE(SUBSTITUTE(SUBSTITUTE(SUBSTITUTE($V25,"œ","oe"),"æ","ae"),"à","a"),"á","a"),"â","a"),"ä","a"),"ã","a"),"ç","c"),"è","e"),"é","e"),"ê","e"),"ë","e"),"")</f>
        <v>dos de colin</v>
      </c>
      <c r="X25" s="93" t="str">
        <f>IF(25=25,SUBSTITUTE(SUBSTITUTE(SUBSTITUTE(SUBSTITUTE(SUBSTITUTE(SUBSTITUTE(SUBSTITUTE(SUBSTITUTE(SUBSTITUTE(SUBSTITUTE(SUBSTITUTE(SUBSTITUTE(SUBSTITUTE(SUBSTITUTE(SUBSTITUTE(SUBSTITUTE($W25,"ì","i"),"í","i"),"î","i"),"ï","i"),"ñ","n"),"ò","o"),"ó","o"),"ô","o"),"ö","o"),"õ","o"),"ù","u"),"ú","u"),"û","u"),"ü","u"),"ý","y"),"ÿ","y"),"")</f>
        <v>dos de colin</v>
      </c>
      <c r="Y25" s="93" t="str">
        <f>IF(25=25,SUBSTITUTE(SUBSTITUTE(SUBSTITUTE(SUBSTITUTE(SUBSTITUTE(SUBSTITUTE(SUBSTITUTE(SUBSTITUTE(SUBSTITUTE(SUBSTITUTE(SUBSTITUTE(SUBSTITUTE(SUBSTITUTE(SUBSTITUTE($X25,"’"," "),"`"," "),"–"," "),"—"," "),"-"," "),"'"," "),"/"," "),"_"," "),","," "),"."," "),"("," "),")"," "),";"," "),":"," "),"")</f>
        <v>dos de colin</v>
      </c>
      <c r="Z25" s="93" t="str">
        <f>IF(25=25,SUBSTITUTE(SUBSTITUTE(SUBSTITUTE(SUBSTITUTE(SUBSTITUTE(SUBSTITUTE(SUBSTITUTE(SUBSTITUTE(SUBSTITUTE(SUBSTITUTE(SUBSTITUTE(SUBSTITUTE(SUBSTITUTE(SUBSTITUTE(SUBSTITUTE($Y25,"!"," "),"?"," "),"+"," "),"*"," "),"&amp;"," "),"["," "),"]"," "),"{"," "),"}"," "),"%"," "),"="," "),"\"," "),"|"," "),"&lt;"," "),"&gt;"," "),"")</f>
        <v>dos de colin</v>
      </c>
      <c r="AA25" s="93" t="str">
        <f>IF(25=25," "&amp;TRIM(SUBSTITUTE(SUBSTITUTE(SUBSTITUTE(SUBSTITUTE(SUBSTITUTE(SUBSTITUTE($Z25,CHAR(34)," "),"  "," "),"  "," "),"  "," "),"  "," "),"  "," "))&amp;" ","")</f>
        <v xml:space="preserve"> dos de colin </v>
      </c>
      <c r="AB25" s="93">
        <f>IF(25=25,IF($U25="","",SUMPRODUCT(--ISNUMBER(SEARCH(" "&amp;$CR$2:$CR$101&amp;" ",$AD25)))),"")</f>
        <v>0</v>
      </c>
      <c r="AC25" s="93">
        <f>IF(25=25,IF($U25="","",SUMPRODUCT(--ISNUMBER(SEARCH(" "&amp;$CR$102:$CR$151&amp;" ",$AD25)))),"")</f>
        <v>0</v>
      </c>
      <c r="AD25" s="93" t="str">
        <f t="shared" si="1"/>
        <v xml:space="preserve"> dos de colin </v>
      </c>
      <c r="AE25" s="93">
        <f t="shared" si="2"/>
        <v>0</v>
      </c>
      <c r="AF25" s="93" t="str">
        <f>IF(25=25,IF($U25="","",IF(SUM(AB25:AC25)+SUMPRODUCT(--ISNUMBER(SEARCH(" "&amp;$CR$2418:$CR$2420&amp;" ",$AD25)))&gt;0,"X",IF(AE25&gt;0,"?",""))),"")</f>
        <v/>
      </c>
      <c r="AG25" s="93">
        <f>IF(25=25,IF($U25="","",SUMPRODUCT(--ISNUMBER(SEARCH(" "&amp;$CR$206:$CR$305&amp;" ",$AA25)))),"")</f>
        <v>0</v>
      </c>
      <c r="AH25" s="93">
        <f>IF(25=25,IF($U25="","",SUMPRODUCT(--ISNUMBER(SEARCH(" "&amp;$CR$306:$CR$340&amp;" ",$AA25)))),"")</f>
        <v>0</v>
      </c>
      <c r="AI25" s="93" t="str">
        <f>IF(25=25,IF($U25="","",IF((SUM(AG25:AH25))-(0)&gt;0,"X",IF((0)-(0)&gt;0,"?",""))),"")</f>
        <v/>
      </c>
      <c r="AJ25" s="93">
        <f>IF(25=25,IF($U25="","",SUMPRODUCT(--ISNUMBER(SEARCH(" "&amp;$CR$341:$CR$398&amp;" ",$AA25)))),"")</f>
        <v>0</v>
      </c>
      <c r="AK25" s="93">
        <f>IF(25=25,IF($U25="","",SUMPRODUCT(--ISNUMBER(SEARCH(" "&amp;$CR$399:$CR$426&amp;" ",$AL25)))+SUMPRODUCT(--ISNUMBER(SEARCH(" "&amp;$CR$2440:$CR$2453&amp;" ",$AL25)))),"")</f>
        <v>0</v>
      </c>
      <c r="AL25" s="93" t="str">
        <f>IF(25=25,IF($U25="","",SUBSTITUTE(SUBSTITUTE(SUBSTITUTE(SUBSTITUTE(SUBSTITUTE(SUBSTITUTE(SUBSTITUTE(SUBSTITUTE(SUBSTITUTE(SUBSTITUTE(SUBSTITUTE(SUBSTITUTE(SUBSTITUTE(SUBSTITUTE($AA25," "&amp;$CR$2455&amp;" "," ")," "&amp;$CR$433&amp;" "," ")," "&amp;$CR$431&amp;" "," ")," "&amp;$CR$2438&amp;" "," ")," "&amp;$CR$2439&amp;" "," ")," "&amp;$CR$428&amp;" "," ")," "&amp;$CR$432&amp;" "," ")," "&amp;$CR$434&amp;" "," ")," "&amp;$CR$429&amp;" "," ")," "&amp;$CR$427&amp;" "," ")," "&amp;$CR$1367&amp;" "," ")," "&amp;$CR$435&amp;" "," ")," "&amp;$CR$1366&amp;" "," ")," "&amp;$CR$430&amp;" "," ")),"")</f>
        <v xml:space="preserve"> dos de colin </v>
      </c>
      <c r="AM25" s="93" t="str">
        <f>IF(25=25,IF($U25="","",IF(AJ25&gt;0,"X",IF(AK25&gt;0,"?",""))),"")</f>
        <v/>
      </c>
      <c r="AN25" s="93">
        <f>IF(25=25,IF($U25="","",SUMPRODUCT(--ISNUMBER(SEARCH(" "&amp;$CR$436:$CR$535&amp;" ",$AX25)))),"")</f>
        <v>0</v>
      </c>
      <c r="AO25" s="93">
        <f>IF(25=25,IF($U25="","",SUMPRODUCT(--ISNUMBER(SEARCH(" "&amp;$CR$536:$CR$635&amp;" ",$AX25)))),"")</f>
        <v>1</v>
      </c>
      <c r="AP25" s="93">
        <f>IF(25=25,IF($U25="","",SUMPRODUCT(--ISNUMBER(SEARCH(" "&amp;$CR$636:$CR$735&amp;" ",$AX25)))),"")</f>
        <v>0</v>
      </c>
      <c r="AQ25" s="93">
        <f>IF(25=25,IF($U25="","",SUMPRODUCT(--ISNUMBER(SEARCH(" "&amp;$CR$736:$CR$835&amp;" ",$AX25)))),"")</f>
        <v>0</v>
      </c>
      <c r="AR25" s="93">
        <f>IF(25=25,IF($U25="","",SUMPRODUCT(--ISNUMBER(SEARCH(" "&amp;$CR$836:$CR$935&amp;" ",$AX25)))),"")</f>
        <v>0</v>
      </c>
      <c r="AS25" s="93">
        <f>IF(25=25,IF($U25="","",SUMPRODUCT(--ISNUMBER(SEARCH(" "&amp;$CR$936:$CR$1035&amp;" ",$AX25)))),"")</f>
        <v>0</v>
      </c>
      <c r="AT25" s="93">
        <f>IF(25=25,IF($U25="","",SUMPRODUCT(--ISNUMBER(SEARCH(" "&amp;$CR$1036:$CR$1135&amp;" ",$AX25)))),"")</f>
        <v>0</v>
      </c>
      <c r="AU25" s="93">
        <f>IF(25=25,IF($U25="","",SUMPRODUCT(--ISNUMBER(SEARCH(" "&amp;$CR$1136:$CR$1235&amp;" ",$AX25)))),"")</f>
        <v>0</v>
      </c>
      <c r="AV25" s="93">
        <f>IF(25=25,IF($U25="","",SUMPRODUCT(--ISNUMBER(SEARCH(" "&amp;$CR$1236:$CR$1335&amp;" ",$AX25)))),"")</f>
        <v>0</v>
      </c>
      <c r="AW25" s="93">
        <f>IF(25=25,IF($U25="","",SUMPRODUCT(--ISNUMBER(SEARCH(" "&amp;$CR$1336:$CR$1363&amp;" ",$AX25)))),"")</f>
        <v>0</v>
      </c>
      <c r="AX25" s="93" t="str">
        <f>IF(25=25,IF($U25="","",SUBSTITUTE(SUBSTITUTE(SUBSTITUTE(SUBSTITUTE(SUBSTITUTE(SUBSTITUTE(SUBSTITUTE(SUBSTITUTE(SUBSTITUTE($AA25," "&amp;$CR$1365&amp;" "," ")," "&amp;$CR$1364&amp;" "," ")," "&amp;$CR$1370&amp;" "," ")," "&amp;$CR$1371&amp;" "," ")," "&amp;$CR$1367&amp;" "," ")," "&amp;$CR$1369&amp;" "," ")," "&amp;$CR$1366&amp;" "," ")," "&amp;$CR$1368&amp;" "," ")," "&amp;$CR$1372&amp;" "," ")),"")</f>
        <v xml:space="preserve"> dos de colin </v>
      </c>
      <c r="AY25" s="93">
        <f>IF(25=25,IF($U25="","",SUMPRODUCT(--ISNUMBER(SEARCH(" "&amp;$CR$1373:$CR$1383&amp;" ",$AX25)))),"")</f>
        <v>0</v>
      </c>
      <c r="AZ25" s="93" t="str">
        <f>IF(25=25,IF($U25="","",IF(SUM(AN25:AW25)+SUMPRODUCT(--ISNUMBER(SEARCH(" "&amp;$CR$2421:$CR$2422&amp;" ",$AX25)))&gt;0,"X",IF(AY25&gt;0,"?",""))),"")</f>
        <v>X</v>
      </c>
      <c r="BA25" s="93">
        <f>IF(25=25,IF($U25="","",SUMPRODUCT(--ISNUMBER(SEARCH(" "&amp;$CR$1384:$CR$1404&amp;" ",$AA25)))),"")</f>
        <v>0</v>
      </c>
      <c r="BB25" s="93" t="str">
        <f>IF(25=25,IF($U25="","",IF((BA25)-(0)&gt;0,"X",IF((0)-(0)&gt;0,"?",""))),"")</f>
        <v/>
      </c>
      <c r="BC25" s="93">
        <f>IF(25=25,IF($U25="","",SUMPRODUCT(--ISNUMBER(SEARCH(" "&amp;$CR$1405:$CR$1442&amp;" ",$BD25)))),"")</f>
        <v>0</v>
      </c>
      <c r="BD25" s="93" t="str">
        <f>IF(25=25,IF($U25="","",SUBSTITUTE(SUBSTITUTE($AA25," "&amp;$CR$1443&amp;" "," ")," "&amp;$CR$1444&amp;" "," ")),"")</f>
        <v xml:space="preserve"> dos de colin </v>
      </c>
      <c r="BE25" s="93">
        <f>IF(25=25,IF($U25="","",SUMPRODUCT(--ISNUMBER(SEARCH(" "&amp;$CR$1445:$CR$1455&amp;" ",$BD25)))),"")</f>
        <v>0</v>
      </c>
      <c r="BF25" s="93" t="str">
        <f>IF(25=25,IF($U25="","",IF(BC25&gt;0,"X",IF(BE25&gt;0,"?",""))),"")</f>
        <v/>
      </c>
      <c r="BG25" s="93">
        <f>IF(25=25,IF($U25="","",SUMPRODUCT(--ISNUMBER(SEARCH(" "&amp;$CR$1456:$CR$1555&amp;" ",$BJ25)))),"")</f>
        <v>0</v>
      </c>
      <c r="BH25" s="93">
        <f>IF(25=25,IF($U25="","",SUMPRODUCT(--ISNUMBER(SEARCH(" "&amp;$CR$1556:$CR$1655&amp;" ",$BJ25)))),"")</f>
        <v>0</v>
      </c>
      <c r="BI25" s="93">
        <f>IF(25=25,IF($U25="","",SUMPRODUCT(--ISNUMBER(SEARCH(" "&amp;$CR$1656:$CR$1739&amp;" ",$BJ25)))),"")</f>
        <v>0</v>
      </c>
      <c r="BJ25" s="93" t="str">
        <f>IF(25=25,IF($U25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25,"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dos de colin </v>
      </c>
      <c r="BK25" s="93">
        <f>IF(25=25,IF($U25="","",SUMPRODUCT(--ISNUMBER(SEARCH(" "&amp;$CR$1790:$CR$1869&amp;" ",$BL25)))+SUMPRODUCT(--ISNUMBER(SEARCH(" "&amp;$CR$2440:$CR$2453&amp;" ",$BL25)))),"")</f>
        <v>0</v>
      </c>
      <c r="BL25" s="93" t="str">
        <f>IF(25=25,IF($U25="","",SUBSTITUTE(SUBSTITUTE(SUBSTITUTE(SUBSTITUTE(SUBSTITUTE(SUBSTITUTE(SUBSTITUTE(SUBSTITUTE(SUBSTITUTE(SUBSTITUTE(SUBSTITUTE(SUBSTITUTE(SUBSTITUTE($BJ25," "&amp;$CR$1876&amp;" "," ")," "&amp;$CR$1874&amp;" "," ")," "&amp;$CR$2438&amp;" "," ")," "&amp;$CR$2439&amp;" "," ")," "&amp;$CR$1871&amp;" "," ")," "&amp;$CR$1875&amp;" "," ")," "&amp;$CR$1877&amp;" "," ")," "&amp;$CR$1872&amp;" "," ")," "&amp;$CR$1870&amp;" "," ")," "&amp;$CR$1367&amp;" "," ")," "&amp;$CR$1878&amp;" "," ")," "&amp;$CR$1366&amp;" "," ")," "&amp;$CR$1873&amp;" "," ")),"")</f>
        <v xml:space="preserve"> dos de colin </v>
      </c>
      <c r="BM25" s="93" t="str">
        <f>IF(25=25,IF($U25="","",IF(SUM(BG25:BI25)+SUMPRODUCT(--ISNUMBER(SEARCH(" "&amp;$CR$2423:$CR$2424&amp;" ",$BJ25)))&gt;0,"X",IF(BK25&gt;0,"?",""))),"")</f>
        <v/>
      </c>
      <c r="BN25" s="93">
        <f>IF(25=25,IF($U25="","",SUMPRODUCT(--ISNUMBER(SEARCH(" "&amp;$CR$1879:$CR$1936&amp;" ",$BO25)))),"")</f>
        <v>0</v>
      </c>
      <c r="BO25" s="93" t="str">
        <f>IF(25=25,IF($U25="","",SUBSTITUTE(SUBSTITUTE(SUBSTITUTE(SUBSTITUTE(SUBSTITUTE(SUBSTITUTE(SUBSTITUTE(SUBSTITUTE(SUBSTITUTE(SUBSTITUTE(SUBSTITUTE(SUBSTITUTE(SUBSTITUTE(SUBSTITUTE(SUBSTITUTE(SUBSTITUTE(SUBSTITUTE(SUBSTITUTE(SUBSTITUTE(SUBSTITUTE(SUBSTITUTE(SUBSTITUTE(SUBSTITUTE($AA25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dos de colin </v>
      </c>
      <c r="BP25" s="93">
        <f>IF(25=25,IF($U25="","",SUMPRODUCT(--ISNUMBER(SEARCH(" "&amp;$CR$1960:$CR$1976&amp;" ",$BO25)))),"")</f>
        <v>0</v>
      </c>
      <c r="BQ25" s="93" t="str">
        <f>IF(25=25,IF($U25="","",IF(BN25&gt;0,"X",IF(BP25&gt;0,"?",""))),"")</f>
        <v/>
      </c>
      <c r="BR25" s="93">
        <f>IF(25=25,IF($U25="","",SUMPRODUCT(--ISNUMBER(SEARCH(" "&amp;$CR$1977:$CR$1990&amp;" ",$AA25)))),"")</f>
        <v>0</v>
      </c>
      <c r="BS25" s="93">
        <f>IF(25=25,IF($U25="","",SUMPRODUCT(--ISNUMBER(SEARCH(" "&amp;$CR$1991:$CR$2005&amp;" ",$AA25)))),"")</f>
        <v>0</v>
      </c>
      <c r="BT25" s="93" t="str">
        <f>IF(25=25,IF($U25="","",IF((BR25)-(0)&gt;0,"X",IF((BS25)-(0)&gt;0,"?",""))),"")</f>
        <v/>
      </c>
      <c r="BU25" s="93">
        <f>IF(25=25,IF($U25="","",SUMPRODUCT(--ISNUMBER(SEARCH(" "&amp;$CR$2006:$CR$2023&amp;" ",$AA25)))),"")</f>
        <v>0</v>
      </c>
      <c r="BV25" s="93">
        <f>IF(25=25,IF($U25="","",SUMPRODUCT(--ISNUMBER(SEARCH(" "&amp;$CR$2024:$CR$2038&amp;" ",$AA25)))),"")</f>
        <v>0</v>
      </c>
      <c r="BW25" s="93" t="str">
        <f>IF(25=25,IF($U25="","",IF((BU25)-(0)&gt;0,"X",IF((BV25)-(0)&gt;0,"?",""))),"")</f>
        <v/>
      </c>
      <c r="BX25" s="93">
        <f>IF(25=25,IF($U25="","",SUMPRODUCT(--ISNUMBER(SEARCH(" "&amp;$CR$2039:$CR$2057&amp;" ",$AA25)))),"")</f>
        <v>0</v>
      </c>
      <c r="BY25" s="93">
        <f>IF(25=25,IF($U25="","",SUMPRODUCT(--ISNUMBER(SEARCH(" "&amp;$CR$2058:$CR$2072&amp;" ",$AA25)))),"")</f>
        <v>0</v>
      </c>
      <c r="BZ25" s="93" t="str">
        <f>IF(25=25,IF($U25="","",IF((BX25)-(0)&gt;0,"X",IF((BY25)-(0)&gt;0,"?",""))),"")</f>
        <v/>
      </c>
      <c r="CA25" s="93">
        <f>IF(25=25,IF($U25="","",SUMPRODUCT(--ISNUMBER(SEARCH(" "&amp;$CR$2073:$CR$2093&amp;" ",$AA25)))),"")</f>
        <v>0</v>
      </c>
      <c r="CB25" s="93">
        <f>IF(25=25,IF($U25="","",SUMPRODUCT(--ISNUMBER(SEARCH(" "&amp;$CR$2094:$CR$2133&amp;" ",SUBSTITUTE(SUBSTITUTE($AA25," "&amp;$CR$1367&amp;" "," ")," "&amp;$CR$1366&amp;" "," "))))+--ISNUMBER(SEARCH("poiré",$V25))),"")</f>
        <v>0</v>
      </c>
      <c r="CC25" s="93" t="str">
        <f>IF(25=25,IF($U25="","",IF(OR(CA25&gt;0,ISNUMBER(SEARCH(" vinaigre de vin ",$AA25)),ISNUMBER(SEARCH(" vinaigre au vin ",$AA25))),"X",IF(CB25&gt;0,"?",""))),"")</f>
        <v/>
      </c>
      <c r="CD25" s="93">
        <f>IF(25=25,IF($U25="","",SUMPRODUCT(--ISNUMBER(SEARCH(" "&amp;$CR$2134:$CR$2146&amp;" ",$AA25)))),"")</f>
        <v>0</v>
      </c>
      <c r="CE25" s="93">
        <f>IF(25=25,IF($U25="","",SUMPRODUCT(--ISNUMBER(SEARCH(" "&amp;$CR$2147:$CR$2152&amp;" ",$AA25)))),"")</f>
        <v>0</v>
      </c>
      <c r="CF25" s="93" t="str">
        <f>IF(25=25,IF($U25="","",IF((CD25)-(0)&gt;0,"X",IF((CE25)-(0)&gt;0,"?",""))),"")</f>
        <v/>
      </c>
      <c r="CG25" s="93">
        <f>IF(25=25,IF($U25="","",SUMPRODUCT(--ISNUMBER(SEARCH(" "&amp;$CR$2153:$CR$2252&amp;" ",$CJ25)))),"")</f>
        <v>0</v>
      </c>
      <c r="CH25" s="93">
        <f>IF(25=25,IF($U25="","",SUMPRODUCT(--ISNUMBER(SEARCH(" "&amp;$CR$2253:$CR$2352&amp;" ",$CJ25)))),"")</f>
        <v>0</v>
      </c>
      <c r="CI25" s="93">
        <f>IF(25=25,IF($U25="","",SUMPRODUCT(--ISNUMBER(SEARCH(" "&amp;$CR$2353:$CR$2395&amp;" ",$CJ25)))),"")</f>
        <v>0</v>
      </c>
      <c r="CJ25" s="93" t="str">
        <f>IF(25=25,IF($U25="","",SUBSTITUTE(SUBSTITUTE(SUBSTITUTE(SUBSTITUTE(SUBSTITUTE(SUBSTITUTE(SUBSTITUTE(SUBSTITUTE(SUBSTITUTE(SUBSTITUTE(SUBSTITUTE(SUBSTITUTE(SUBSTITUTE(SUBSTITUTE(SUBSTITUTE(SUBSTITUTE($AA25," "&amp;$CR$2401&amp;" "," ")," "&amp;$CR$2400&amp;" "," ")," "&amp;$CR$2399&amp;" "," ")," "&amp;$CR$2406&amp;" "," ")," "&amp;$CR$2398&amp;" "," ")," "&amp;$CR$2410&amp;" "," ")," "&amp;$CR$2397&amp;" "," ")," "&amp;$CR$2402&amp;" "," ")," "&amp;$CR$2405&amp;" "," ")," "&amp;$CR$2396&amp;" "," ")," "&amp;$CR$2404&amp;" "," ")," "&amp;$CR$2411&amp;" "," ")," "&amp;$CR$2408&amp;" "," ")," "&amp;$CR$2403&amp;" "," ")," "&amp;$CR$2407&amp;" "," ")," "&amp;$CR$2409&amp;" "," ")),"")</f>
        <v xml:space="preserve"> dos de colin </v>
      </c>
      <c r="CK25" s="93">
        <f>IF(25=25,IF($U25="","",SUMPRODUCT(--ISNUMBER(SEARCH(" "&amp;$CR$2412:$CR$2416&amp;" ",$CJ25)))),"")</f>
        <v>0</v>
      </c>
      <c r="CL25" s="93" t="str">
        <f>IF(25=25,IF($U25="","",IF(SUM(CG25:CI25)&gt;0,"X",IF(CK25&gt;0,"?",""))),"")</f>
        <v/>
      </c>
      <c r="CM25" s="102"/>
      <c r="CN25" s="112" t="s">
        <v>658</v>
      </c>
      <c r="CO25" s="112" t="s">
        <v>522</v>
      </c>
      <c r="CP25" s="112" t="s">
        <v>523</v>
      </c>
      <c r="CQ25" s="112" t="s">
        <v>659</v>
      </c>
      <c r="CR25" s="112" t="s">
        <v>659</v>
      </c>
      <c r="CS25" s="112" t="s">
        <v>525</v>
      </c>
      <c r="CT25" s="112" t="s">
        <v>526</v>
      </c>
      <c r="CU25" s="112" t="s">
        <v>527</v>
      </c>
      <c r="CV25" s="113" t="s">
        <v>528</v>
      </c>
      <c r="CX25" s="36">
        <v>1</v>
      </c>
    </row>
    <row r="26" spans="1:102" ht="21" customHeight="1" x14ac:dyDescent="0.25">
      <c r="A26" s="135">
        <v>20</v>
      </c>
      <c r="B26" s="136" t="s">
        <v>5864</v>
      </c>
      <c r="C26" s="137" t="str">
        <f t="shared" si="0"/>
        <v>Echalotes fraîches ou émincées surgelées</v>
      </c>
      <c r="D26" s="138" t="str">
        <f>IF(26=26,IF($B26="","",IF(E26="X",""&amp;"Céréales contenant du gluten","")&amp;IF(F26="X",IF(COUNTIF($E26:$E26,"X")&gt;0,", ","")&amp;"Crustacés","")&amp;IF(G26="X",IF(COUNTIF($E26:$F26,"X")&gt;0,", ","")&amp;"Œufs","")&amp;IF(H26="X",IF(COUNTIF($E26:$G26,"X")&gt;0,", ","")&amp;"Poissons","")&amp;IF(I26="X",IF(COUNTIF($E26:$H26,"X")&gt;0,", ","")&amp;"Arachides","")&amp;IF(J26="X",IF(COUNTIF($E26:$I26,"X")&gt;0,", ","")&amp;"Soja","")&amp;IF(K26="X",IF(COUNTIF($E26:$J26,"X")&gt;0,", ","")&amp;"Lait","")&amp;IF(L26="X",IF(COUNTIF($E26:$K26,"X")&gt;0,", ","")&amp;"Fruits à coque","")&amp;IF(M26="X",IF(COUNTIF($E26:$L26,"X")&gt;0,", ","")&amp;"Céleri","")&amp;IF(N26="X",IF(COUNTIF($E26:$M26,"X")&gt;0,", ","")&amp;"Moutarde","")&amp;IF(O26="X",IF(COUNTIF($E26:$N26,"X")&gt;0,", ","")&amp;"Sésame","")&amp;IF(P26="X",IF(COUNTIF($E26:$O26,"X")&gt;0,", ","")&amp;"Sulfites","")&amp;IF(Q26="X",IF(COUNTIF($E26:$P26,"X")&gt;0,", ","")&amp;"Lupin","")&amp;IF(R26="X",IF(COUNTIF($E26:$Q26,"X")&gt;0,", ","")&amp;"Mollusques","")),"")</f>
        <v/>
      </c>
      <c r="E26" s="139" t="str">
        <f>IF(26=26,IF($B26="","",AF26),"")</f>
        <v/>
      </c>
      <c r="F26" s="139" t="str">
        <f>IF(26=26,IF($B26="","",AI26),"")</f>
        <v/>
      </c>
      <c r="G26" s="139" t="str">
        <f>IF(26=26,IF($B26="","",AM26),"")</f>
        <v/>
      </c>
      <c r="H26" s="139" t="str">
        <f>IF(26=26,IF($B26="","",IF(ISNUMBER(SEARCH(" colin ",$AA26)),"X",AZ26)),"")</f>
        <v/>
      </c>
      <c r="I26" s="139" t="str">
        <f>IF(26=26,IF($B26="","",BB26),"")</f>
        <v/>
      </c>
      <c r="J26" s="139" t="str">
        <f>IF(26=26,IF($B26="","",BF26),"")</f>
        <v/>
      </c>
      <c r="K26" s="139" t="str">
        <f>IF(26=26,IF($B26="","",BM26),"")</f>
        <v/>
      </c>
      <c r="L26" s="139" t="str">
        <f>IF(26=26,IF($B26="","",BQ26),"")</f>
        <v/>
      </c>
      <c r="M26" s="139" t="str">
        <f>IF(26=26,IF($B26="","",BT26),"")</f>
        <v/>
      </c>
      <c r="N26" s="139" t="str">
        <f>IF(26=26,IF($B26="","",BW26),"")</f>
        <v/>
      </c>
      <c r="O26" s="139" t="str">
        <f>IF(26=26,IF($B26="","",BZ26),"")</f>
        <v/>
      </c>
      <c r="P26" s="139" t="str">
        <f>IF(26=26,IF($B26="","",CC26),"")</f>
        <v/>
      </c>
      <c r="Q26" s="139" t="str">
        <f>IF(26=26,IF($B26="","",CF26),"")</f>
        <v/>
      </c>
      <c r="R26" s="139" t="str">
        <f>IF(26=26,IF($B26="","",CL26),"")</f>
        <v/>
      </c>
      <c r="S26" s="140" t="str">
        <f>IF(26=26,IF($B26="","",IF(E26="?",""&amp;"Céréales contenant du gluten","")&amp;IF(F26="?",IF(COUNTIF($E26:$E26,"~?")&gt;0,", ","")&amp;"Crustacés","")&amp;IF(G26="?",IF(COUNTIF($E26:$F26,"~?")&gt;0,", ","")&amp;"Œufs","")&amp;IF(H26="?",IF(COUNTIF($E26:$G26,"~?")&gt;0,", ","")&amp;"Poissons","")&amp;IF(I26="?",IF(COUNTIF($E26:$H26,"~?")&gt;0,", ","")&amp;"Arachides","")&amp;IF(J26="?",IF(COUNTIF($E26:$I26,"~?")&gt;0,", ","")&amp;"Soja","")&amp;IF(K26="?",IF(COUNTIF($E26:$J26,"~?")&gt;0,", ","")&amp;"Lait","")&amp;IF(L26="?",IF(COUNTIF($E26:$K26,"~?")&gt;0,", ","")&amp;"Fruits à coque","")&amp;IF(M26="?",IF(COUNTIF($E26:$L26,"~?")&gt;0,", ","")&amp;"Céleri","")&amp;IF(N26="?",IF(COUNTIF($E26:$M26,"~?")&gt;0,", ","")&amp;"Moutarde","")&amp;IF(O26="?",IF(COUNTIF($E26:$N26,"~?")&gt;0,", ","")&amp;"Sésame","")&amp;IF(P26="?",IF(COUNTIF($E26:$O26,"~?")&gt;0,", ","")&amp;"Sulfites","")&amp;IF(Q26="?",IF(COUNTIF($E26:$P26,"~?")&gt;0,", ","")&amp;"Lupin","")&amp;IF(R26="?",IF(COUNTIF($E26:$Q26,"~?")&gt;0,", ","")&amp;"Mollusques","")),"")</f>
        <v/>
      </c>
      <c r="U26" s="93" t="str">
        <f>IF(26=26,IF($B26="","",$B26),"")</f>
        <v>Echalotes fraîches ou émincées surgelées</v>
      </c>
      <c r="V26" s="93" t="str">
        <f>IF(26=26,LOWER(CLEAN(SUBSTITUTE(SUBSTITUTE(SUBSTITUTE(SUBSTITUTE($U26,CHAR(160)," ")," "," "),CHAR(10)," "),CHAR(13)," "))),"")</f>
        <v>echalotes fraîches ou émincées surgelées</v>
      </c>
      <c r="W26" s="93" t="str">
        <f>IF(26=26,SUBSTITUTE(SUBSTITUTE(SUBSTITUTE(SUBSTITUTE(SUBSTITUTE(SUBSTITUTE(SUBSTITUTE(SUBSTITUTE(SUBSTITUTE(SUBSTITUTE(SUBSTITUTE(SUBSTITUTE($V26,"œ","oe"),"æ","ae"),"à","a"),"á","a"),"â","a"),"ä","a"),"ã","a"),"ç","c"),"è","e"),"é","e"),"ê","e"),"ë","e"),"")</f>
        <v>echalotes fraîches ou emincees surgelees</v>
      </c>
      <c r="X26" s="93" t="str">
        <f>IF(26=26,SUBSTITUTE(SUBSTITUTE(SUBSTITUTE(SUBSTITUTE(SUBSTITUTE(SUBSTITUTE(SUBSTITUTE(SUBSTITUTE(SUBSTITUTE(SUBSTITUTE(SUBSTITUTE(SUBSTITUTE(SUBSTITUTE(SUBSTITUTE(SUBSTITUTE(SUBSTITUTE($W26,"ì","i"),"í","i"),"î","i"),"ï","i"),"ñ","n"),"ò","o"),"ó","o"),"ô","o"),"ö","o"),"õ","o"),"ù","u"),"ú","u"),"û","u"),"ü","u"),"ý","y"),"ÿ","y"),"")</f>
        <v>echalotes fraiches ou emincees surgelees</v>
      </c>
      <c r="Y26" s="93" t="str">
        <f>IF(26=26,SUBSTITUTE(SUBSTITUTE(SUBSTITUTE(SUBSTITUTE(SUBSTITUTE(SUBSTITUTE(SUBSTITUTE(SUBSTITUTE(SUBSTITUTE(SUBSTITUTE(SUBSTITUTE(SUBSTITUTE(SUBSTITUTE(SUBSTITUTE($X26,"’"," "),"`"," "),"–"," "),"—"," "),"-"," "),"'"," "),"/"," "),"_"," "),","," "),"."," "),"("," "),")"," "),";"," "),":"," "),"")</f>
        <v>echalotes fraiches ou emincees surgelees</v>
      </c>
      <c r="Z26" s="93" t="str">
        <f>IF(26=26,SUBSTITUTE(SUBSTITUTE(SUBSTITUTE(SUBSTITUTE(SUBSTITUTE(SUBSTITUTE(SUBSTITUTE(SUBSTITUTE(SUBSTITUTE(SUBSTITUTE(SUBSTITUTE(SUBSTITUTE(SUBSTITUTE(SUBSTITUTE(SUBSTITUTE($Y26,"!"," "),"?"," "),"+"," "),"*"," "),"&amp;"," "),"["," "),"]"," "),"{"," "),"}"," "),"%"," "),"="," "),"\"," "),"|"," "),"&lt;"," "),"&gt;"," "),"")</f>
        <v>echalotes fraiches ou emincees surgelees</v>
      </c>
      <c r="AA26" s="93" t="str">
        <f>IF(26=26," "&amp;TRIM(SUBSTITUTE(SUBSTITUTE(SUBSTITUTE(SUBSTITUTE(SUBSTITUTE(SUBSTITUTE($Z26,CHAR(34)," "),"  "," "),"  "," "),"  "," "),"  "," "),"  "," "))&amp;" ","")</f>
        <v xml:space="preserve"> echalotes fraiches ou emincees surgelees </v>
      </c>
      <c r="AB26" s="93">
        <f>IF(26=26,IF($U26="","",SUMPRODUCT(--ISNUMBER(SEARCH(" "&amp;$CR$2:$CR$101&amp;" ",$AD26)))),"")</f>
        <v>0</v>
      </c>
      <c r="AC26" s="93">
        <f>IF(26=26,IF($U26="","",SUMPRODUCT(--ISNUMBER(SEARCH(" "&amp;$CR$102:$CR$151&amp;" ",$AD26)))),"")</f>
        <v>0</v>
      </c>
      <c r="AD26" s="93" t="str">
        <f t="shared" si="1"/>
        <v xml:space="preserve"> echalotes fraiches ou emincees surgelees </v>
      </c>
      <c r="AE26" s="93">
        <f t="shared" si="2"/>
        <v>0</v>
      </c>
      <c r="AF26" s="93" t="str">
        <f>IF(26=26,IF($U26="","",IF(SUM(AB26:AC26)+SUMPRODUCT(--ISNUMBER(SEARCH(" "&amp;$CR$2418:$CR$2420&amp;" ",$AD26)))&gt;0,"X",IF(AE26&gt;0,"?",""))),"")</f>
        <v/>
      </c>
      <c r="AG26" s="93">
        <f>IF(26=26,IF($U26="","",SUMPRODUCT(--ISNUMBER(SEARCH(" "&amp;$CR$206:$CR$305&amp;" ",$AA26)))),"")</f>
        <v>0</v>
      </c>
      <c r="AH26" s="93">
        <f>IF(26=26,IF($U26="","",SUMPRODUCT(--ISNUMBER(SEARCH(" "&amp;$CR$306:$CR$340&amp;" ",$AA26)))),"")</f>
        <v>0</v>
      </c>
      <c r="AI26" s="93" t="str">
        <f>IF(26=26,IF($U26="","",IF((SUM(AG26:AH26))-(0)&gt;0,"X",IF((0)-(0)&gt;0,"?",""))),"")</f>
        <v/>
      </c>
      <c r="AJ26" s="93">
        <f>IF(26=26,IF($U26="","",SUMPRODUCT(--ISNUMBER(SEARCH(" "&amp;$CR$341:$CR$398&amp;" ",$AA26)))),"")</f>
        <v>0</v>
      </c>
      <c r="AK26" s="93">
        <f>IF(26=26,IF($U26="","",SUMPRODUCT(--ISNUMBER(SEARCH(" "&amp;$CR$399:$CR$426&amp;" ",$AL26)))+SUMPRODUCT(--ISNUMBER(SEARCH(" "&amp;$CR$2440:$CR$2453&amp;" ",$AL26)))),"")</f>
        <v>0</v>
      </c>
      <c r="AL26" s="93" t="str">
        <f>IF(26=26,IF($U26="","",SUBSTITUTE(SUBSTITUTE(SUBSTITUTE(SUBSTITUTE(SUBSTITUTE(SUBSTITUTE(SUBSTITUTE(SUBSTITUTE(SUBSTITUTE(SUBSTITUTE(SUBSTITUTE(SUBSTITUTE(SUBSTITUTE(SUBSTITUTE($AA26," "&amp;$CR$2455&amp;" "," ")," "&amp;$CR$433&amp;" "," ")," "&amp;$CR$431&amp;" "," ")," "&amp;$CR$2438&amp;" "," ")," "&amp;$CR$2439&amp;" "," ")," "&amp;$CR$428&amp;" "," ")," "&amp;$CR$432&amp;" "," ")," "&amp;$CR$434&amp;" "," ")," "&amp;$CR$429&amp;" "," ")," "&amp;$CR$427&amp;" "," ")," "&amp;$CR$1367&amp;" "," ")," "&amp;$CR$435&amp;" "," ")," "&amp;$CR$1366&amp;" "," ")," "&amp;$CR$430&amp;" "," ")),"")</f>
        <v xml:space="preserve"> echalotes fraiches ou emincees surgelees </v>
      </c>
      <c r="AM26" s="93" t="str">
        <f>IF(26=26,IF($U26="","",IF(AJ26&gt;0,"X",IF(AK26&gt;0,"?",""))),"")</f>
        <v/>
      </c>
      <c r="AN26" s="93">
        <f>IF(26=26,IF($U26="","",SUMPRODUCT(--ISNUMBER(SEARCH(" "&amp;$CR$436:$CR$535&amp;" ",$AX26)))),"")</f>
        <v>0</v>
      </c>
      <c r="AO26" s="93">
        <f>IF(26=26,IF($U26="","",SUMPRODUCT(--ISNUMBER(SEARCH(" "&amp;$CR$536:$CR$635&amp;" ",$AX26)))),"")</f>
        <v>0</v>
      </c>
      <c r="AP26" s="93">
        <f>IF(26=26,IF($U26="","",SUMPRODUCT(--ISNUMBER(SEARCH(" "&amp;$CR$636:$CR$735&amp;" ",$AX26)))),"")</f>
        <v>0</v>
      </c>
      <c r="AQ26" s="93">
        <f>IF(26=26,IF($U26="","",SUMPRODUCT(--ISNUMBER(SEARCH(" "&amp;$CR$736:$CR$835&amp;" ",$AX26)))),"")</f>
        <v>0</v>
      </c>
      <c r="AR26" s="93">
        <f>IF(26=26,IF($U26="","",SUMPRODUCT(--ISNUMBER(SEARCH(" "&amp;$CR$836:$CR$935&amp;" ",$AX26)))),"")</f>
        <v>0</v>
      </c>
      <c r="AS26" s="93">
        <f>IF(26=26,IF($U26="","",SUMPRODUCT(--ISNUMBER(SEARCH(" "&amp;$CR$936:$CR$1035&amp;" ",$AX26)))),"")</f>
        <v>0</v>
      </c>
      <c r="AT26" s="93">
        <f>IF(26=26,IF($U26="","",SUMPRODUCT(--ISNUMBER(SEARCH(" "&amp;$CR$1036:$CR$1135&amp;" ",$AX26)))),"")</f>
        <v>0</v>
      </c>
      <c r="AU26" s="93">
        <f>IF(26=26,IF($U26="","",SUMPRODUCT(--ISNUMBER(SEARCH(" "&amp;$CR$1136:$CR$1235&amp;" ",$AX26)))),"")</f>
        <v>0</v>
      </c>
      <c r="AV26" s="93">
        <f>IF(26=26,IF($U26="","",SUMPRODUCT(--ISNUMBER(SEARCH(" "&amp;$CR$1236:$CR$1335&amp;" ",$AX26)))),"")</f>
        <v>0</v>
      </c>
      <c r="AW26" s="93">
        <f>IF(26=26,IF($U26="","",SUMPRODUCT(--ISNUMBER(SEARCH(" "&amp;$CR$1336:$CR$1363&amp;" ",$AX26)))),"")</f>
        <v>0</v>
      </c>
      <c r="AX26" s="93" t="str">
        <f>IF(26=26,IF($U26="","",SUBSTITUTE(SUBSTITUTE(SUBSTITUTE(SUBSTITUTE(SUBSTITUTE(SUBSTITUTE(SUBSTITUTE(SUBSTITUTE(SUBSTITUTE($AA26," "&amp;$CR$1365&amp;" "," ")," "&amp;$CR$1364&amp;" "," ")," "&amp;$CR$1370&amp;" "," ")," "&amp;$CR$1371&amp;" "," ")," "&amp;$CR$1367&amp;" "," ")," "&amp;$CR$1369&amp;" "," ")," "&amp;$CR$1366&amp;" "," ")," "&amp;$CR$1368&amp;" "," ")," "&amp;$CR$1372&amp;" "," ")),"")</f>
        <v xml:space="preserve"> echalotes fraiches ou emincees surgelees </v>
      </c>
      <c r="AY26" s="93">
        <f>IF(26=26,IF($U26="","",SUMPRODUCT(--ISNUMBER(SEARCH(" "&amp;$CR$1373:$CR$1383&amp;" ",$AX26)))),"")</f>
        <v>0</v>
      </c>
      <c r="AZ26" s="93" t="str">
        <f>IF(26=26,IF($U26="","",IF(SUM(AN26:AW26)+SUMPRODUCT(--ISNUMBER(SEARCH(" "&amp;$CR$2421:$CR$2422&amp;" ",$AX26)))&gt;0,"X",IF(AY26&gt;0,"?",""))),"")</f>
        <v/>
      </c>
      <c r="BA26" s="93">
        <f>IF(26=26,IF($U26="","",SUMPRODUCT(--ISNUMBER(SEARCH(" "&amp;$CR$1384:$CR$1404&amp;" ",$AA26)))),"")</f>
        <v>0</v>
      </c>
      <c r="BB26" s="93" t="str">
        <f>IF(26=26,IF($U26="","",IF((BA26)-(0)&gt;0,"X",IF((0)-(0)&gt;0,"?",""))),"")</f>
        <v/>
      </c>
      <c r="BC26" s="93">
        <f>IF(26=26,IF($U26="","",SUMPRODUCT(--ISNUMBER(SEARCH(" "&amp;$CR$1405:$CR$1442&amp;" ",$BD26)))),"")</f>
        <v>0</v>
      </c>
      <c r="BD26" s="93" t="str">
        <f>IF(26=26,IF($U26="","",SUBSTITUTE(SUBSTITUTE($AA26," "&amp;$CR$1443&amp;" "," ")," "&amp;$CR$1444&amp;" "," ")),"")</f>
        <v xml:space="preserve"> echalotes fraiches ou emincees surgelees </v>
      </c>
      <c r="BE26" s="93">
        <f>IF(26=26,IF($U26="","",SUMPRODUCT(--ISNUMBER(SEARCH(" "&amp;$CR$1445:$CR$1455&amp;" ",$BD26)))),"")</f>
        <v>0</v>
      </c>
      <c r="BF26" s="93" t="str">
        <f>IF(26=26,IF($U26="","",IF(BC26&gt;0,"X",IF(BE26&gt;0,"?",""))),"")</f>
        <v/>
      </c>
      <c r="BG26" s="93">
        <f>IF(26=26,IF($U26="","",SUMPRODUCT(--ISNUMBER(SEARCH(" "&amp;$CR$1456:$CR$1555&amp;" ",$BJ26)))),"")</f>
        <v>0</v>
      </c>
      <c r="BH26" s="93">
        <f>IF(26=26,IF($U26="","",SUMPRODUCT(--ISNUMBER(SEARCH(" "&amp;$CR$1556:$CR$1655&amp;" ",$BJ26)))),"")</f>
        <v>0</v>
      </c>
      <c r="BI26" s="93">
        <f>IF(26=26,IF($U26="","",SUMPRODUCT(--ISNUMBER(SEARCH(" "&amp;$CR$1656:$CR$1739&amp;" ",$BJ26)))),"")</f>
        <v>0</v>
      </c>
      <c r="BJ26" s="93" t="str">
        <f>IF(26=26,IF($U26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26,"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echalotes fraiches ou emincees surgelees </v>
      </c>
      <c r="BK26" s="93">
        <f>IF(26=26,IF($U26="","",SUMPRODUCT(--ISNUMBER(SEARCH(" "&amp;$CR$1790:$CR$1869&amp;" ",$BL26)))+SUMPRODUCT(--ISNUMBER(SEARCH(" "&amp;$CR$2440:$CR$2453&amp;" ",$BL26)))),"")</f>
        <v>0</v>
      </c>
      <c r="BL26" s="93" t="str">
        <f>IF(26=26,IF($U26="","",SUBSTITUTE(SUBSTITUTE(SUBSTITUTE(SUBSTITUTE(SUBSTITUTE(SUBSTITUTE(SUBSTITUTE(SUBSTITUTE(SUBSTITUTE(SUBSTITUTE(SUBSTITUTE(SUBSTITUTE(SUBSTITUTE($BJ26," "&amp;$CR$1876&amp;" "," ")," "&amp;$CR$1874&amp;" "," ")," "&amp;$CR$2438&amp;" "," ")," "&amp;$CR$2439&amp;" "," ")," "&amp;$CR$1871&amp;" "," ")," "&amp;$CR$1875&amp;" "," ")," "&amp;$CR$1877&amp;" "," ")," "&amp;$CR$1872&amp;" "," ")," "&amp;$CR$1870&amp;" "," ")," "&amp;$CR$1367&amp;" "," ")," "&amp;$CR$1878&amp;" "," ")," "&amp;$CR$1366&amp;" "," ")," "&amp;$CR$1873&amp;" "," ")),"")</f>
        <v xml:space="preserve"> echalotes fraiches ou emincees surgelees </v>
      </c>
      <c r="BM26" s="93" t="str">
        <f>IF(26=26,IF($U26="","",IF(SUM(BG26:BI26)+SUMPRODUCT(--ISNUMBER(SEARCH(" "&amp;$CR$2423:$CR$2424&amp;" ",$BJ26)))&gt;0,"X",IF(BK26&gt;0,"?",""))),"")</f>
        <v/>
      </c>
      <c r="BN26" s="93">
        <f>IF(26=26,IF($U26="","",SUMPRODUCT(--ISNUMBER(SEARCH(" "&amp;$CR$1879:$CR$1936&amp;" ",$BO26)))),"")</f>
        <v>0</v>
      </c>
      <c r="BO26" s="93" t="str">
        <f>IF(26=26,IF($U26="","",SUBSTITUTE(SUBSTITUTE(SUBSTITUTE(SUBSTITUTE(SUBSTITUTE(SUBSTITUTE(SUBSTITUTE(SUBSTITUTE(SUBSTITUTE(SUBSTITUTE(SUBSTITUTE(SUBSTITUTE(SUBSTITUTE(SUBSTITUTE(SUBSTITUTE(SUBSTITUTE(SUBSTITUTE(SUBSTITUTE(SUBSTITUTE(SUBSTITUTE(SUBSTITUTE(SUBSTITUTE(SUBSTITUTE($AA26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echalotes fraiches ou emincees surgelees </v>
      </c>
      <c r="BP26" s="93">
        <f>IF(26=26,IF($U26="","",SUMPRODUCT(--ISNUMBER(SEARCH(" "&amp;$CR$1960:$CR$1976&amp;" ",$BO26)))),"")</f>
        <v>0</v>
      </c>
      <c r="BQ26" s="93" t="str">
        <f>IF(26=26,IF($U26="","",IF(BN26&gt;0,"X",IF(BP26&gt;0,"?",""))),"")</f>
        <v/>
      </c>
      <c r="BR26" s="93">
        <f>IF(26=26,IF($U26="","",SUMPRODUCT(--ISNUMBER(SEARCH(" "&amp;$CR$1977:$CR$1990&amp;" ",$AA26)))),"")</f>
        <v>0</v>
      </c>
      <c r="BS26" s="93">
        <f>IF(26=26,IF($U26="","",SUMPRODUCT(--ISNUMBER(SEARCH(" "&amp;$CR$1991:$CR$2005&amp;" ",$AA26)))),"")</f>
        <v>0</v>
      </c>
      <c r="BT26" s="93" t="str">
        <f>IF(26=26,IF($U26="","",IF((BR26)-(0)&gt;0,"X",IF((BS26)-(0)&gt;0,"?",""))),"")</f>
        <v/>
      </c>
      <c r="BU26" s="93">
        <f>IF(26=26,IF($U26="","",SUMPRODUCT(--ISNUMBER(SEARCH(" "&amp;$CR$2006:$CR$2023&amp;" ",$AA26)))),"")</f>
        <v>0</v>
      </c>
      <c r="BV26" s="93">
        <f>IF(26=26,IF($U26="","",SUMPRODUCT(--ISNUMBER(SEARCH(" "&amp;$CR$2024:$CR$2038&amp;" ",$AA26)))),"")</f>
        <v>0</v>
      </c>
      <c r="BW26" s="93" t="str">
        <f>IF(26=26,IF($U26="","",IF((BU26)-(0)&gt;0,"X",IF((BV26)-(0)&gt;0,"?",""))),"")</f>
        <v/>
      </c>
      <c r="BX26" s="93">
        <f>IF(26=26,IF($U26="","",SUMPRODUCT(--ISNUMBER(SEARCH(" "&amp;$CR$2039:$CR$2057&amp;" ",$AA26)))),"")</f>
        <v>0</v>
      </c>
      <c r="BY26" s="93">
        <f>IF(26=26,IF($U26="","",SUMPRODUCT(--ISNUMBER(SEARCH(" "&amp;$CR$2058:$CR$2072&amp;" ",$AA26)))),"")</f>
        <v>0</v>
      </c>
      <c r="BZ26" s="93" t="str">
        <f>IF(26=26,IF($U26="","",IF((BX26)-(0)&gt;0,"X",IF((BY26)-(0)&gt;0,"?",""))),"")</f>
        <v/>
      </c>
      <c r="CA26" s="93">
        <f>IF(26=26,IF($U26="","",SUMPRODUCT(--ISNUMBER(SEARCH(" "&amp;$CR$2073:$CR$2093&amp;" ",$AA26)))),"")</f>
        <v>0</v>
      </c>
      <c r="CB26" s="93">
        <f>IF(26=26,IF($U26="","",SUMPRODUCT(--ISNUMBER(SEARCH(" "&amp;$CR$2094:$CR$2133&amp;" ",SUBSTITUTE(SUBSTITUTE($AA26," "&amp;$CR$1367&amp;" "," ")," "&amp;$CR$1366&amp;" "," "))))+--ISNUMBER(SEARCH("poiré",$V26))),"")</f>
        <v>0</v>
      </c>
      <c r="CC26" s="93" t="str">
        <f>IF(26=26,IF($U26="","",IF(OR(CA26&gt;0,ISNUMBER(SEARCH(" vinaigre de vin ",$AA26)),ISNUMBER(SEARCH(" vinaigre au vin ",$AA26))),"X",IF(CB26&gt;0,"?",""))),"")</f>
        <v/>
      </c>
      <c r="CD26" s="93">
        <f>IF(26=26,IF($U26="","",SUMPRODUCT(--ISNUMBER(SEARCH(" "&amp;$CR$2134:$CR$2146&amp;" ",$AA26)))),"")</f>
        <v>0</v>
      </c>
      <c r="CE26" s="93">
        <f>IF(26=26,IF($U26="","",SUMPRODUCT(--ISNUMBER(SEARCH(" "&amp;$CR$2147:$CR$2152&amp;" ",$AA26)))),"")</f>
        <v>0</v>
      </c>
      <c r="CF26" s="93" t="str">
        <f>IF(26=26,IF($U26="","",IF((CD26)-(0)&gt;0,"X",IF((CE26)-(0)&gt;0,"?",""))),"")</f>
        <v/>
      </c>
      <c r="CG26" s="93">
        <f>IF(26=26,IF($U26="","",SUMPRODUCT(--ISNUMBER(SEARCH(" "&amp;$CR$2153:$CR$2252&amp;" ",$CJ26)))),"")</f>
        <v>0</v>
      </c>
      <c r="CH26" s="93">
        <f>IF(26=26,IF($U26="","",SUMPRODUCT(--ISNUMBER(SEARCH(" "&amp;$CR$2253:$CR$2352&amp;" ",$CJ26)))),"")</f>
        <v>0</v>
      </c>
      <c r="CI26" s="93">
        <f>IF(26=26,IF($U26="","",SUMPRODUCT(--ISNUMBER(SEARCH(" "&amp;$CR$2353:$CR$2395&amp;" ",$CJ26)))),"")</f>
        <v>0</v>
      </c>
      <c r="CJ26" s="93" t="str">
        <f>IF(26=26,IF($U26="","",SUBSTITUTE(SUBSTITUTE(SUBSTITUTE(SUBSTITUTE(SUBSTITUTE(SUBSTITUTE(SUBSTITUTE(SUBSTITUTE(SUBSTITUTE(SUBSTITUTE(SUBSTITUTE(SUBSTITUTE(SUBSTITUTE(SUBSTITUTE(SUBSTITUTE(SUBSTITUTE($AA26," "&amp;$CR$2401&amp;" "," ")," "&amp;$CR$2400&amp;" "," ")," "&amp;$CR$2399&amp;" "," ")," "&amp;$CR$2406&amp;" "," ")," "&amp;$CR$2398&amp;" "," ")," "&amp;$CR$2410&amp;" "," ")," "&amp;$CR$2397&amp;" "," ")," "&amp;$CR$2402&amp;" "," ")," "&amp;$CR$2405&amp;" "," ")," "&amp;$CR$2396&amp;" "," ")," "&amp;$CR$2404&amp;" "," ")," "&amp;$CR$2411&amp;" "," ")," "&amp;$CR$2408&amp;" "," ")," "&amp;$CR$2403&amp;" "," ")," "&amp;$CR$2407&amp;" "," ")," "&amp;$CR$2409&amp;" "," ")),"")</f>
        <v xml:space="preserve"> echalotes fraiches ou emincees surgelees </v>
      </c>
      <c r="CK26" s="93">
        <f>IF(26=26,IF($U26="","",SUMPRODUCT(--ISNUMBER(SEARCH(" "&amp;$CR$2412:$CR$2416&amp;" ",$CJ26)))),"")</f>
        <v>0</v>
      </c>
      <c r="CL26" s="93" t="str">
        <f>IF(26=26,IF($U26="","",IF(SUM(CG26:CI26)&gt;0,"X",IF(CK26&gt;0,"?",""))),"")</f>
        <v/>
      </c>
      <c r="CM26" s="102"/>
      <c r="CN26" s="112" t="s">
        <v>660</v>
      </c>
      <c r="CO26" s="112" t="s">
        <v>522</v>
      </c>
      <c r="CP26" s="112" t="s">
        <v>523</v>
      </c>
      <c r="CQ26" s="112" t="s">
        <v>661</v>
      </c>
      <c r="CR26" s="112" t="s">
        <v>661</v>
      </c>
      <c r="CS26" s="112" t="s">
        <v>525</v>
      </c>
      <c r="CT26" s="112" t="s">
        <v>526</v>
      </c>
      <c r="CU26" s="112" t="s">
        <v>527</v>
      </c>
      <c r="CV26" s="113" t="s">
        <v>528</v>
      </c>
      <c r="CX26" s="36">
        <v>1</v>
      </c>
    </row>
    <row r="27" spans="1:102" ht="21" customHeight="1" x14ac:dyDescent="0.25">
      <c r="A27" s="135">
        <v>21</v>
      </c>
      <c r="B27" s="136" t="s">
        <v>5865</v>
      </c>
      <c r="C27" s="137" t="str">
        <f t="shared" si="0"/>
        <v>Farine ?</v>
      </c>
      <c r="D27" s="138" t="str">
        <f>IF(27=27,IF($B27="","",IF(E27="X",""&amp;"Céréales contenant du gluten","")&amp;IF(F27="X",IF(COUNTIF($E27:$E27,"X")&gt;0,", ","")&amp;"Crustacés","")&amp;IF(G27="X",IF(COUNTIF($E27:$F27,"X")&gt;0,", ","")&amp;"Œufs","")&amp;IF(H27="X",IF(COUNTIF($E27:$G27,"X")&gt;0,", ","")&amp;"Poissons","")&amp;IF(I27="X",IF(COUNTIF($E27:$H27,"X")&gt;0,", ","")&amp;"Arachides","")&amp;IF(J27="X",IF(COUNTIF($E27:$I27,"X")&gt;0,", ","")&amp;"Soja","")&amp;IF(K27="X",IF(COUNTIF($E27:$J27,"X")&gt;0,", ","")&amp;"Lait","")&amp;IF(L27="X",IF(COUNTIF($E27:$K27,"X")&gt;0,", ","")&amp;"Fruits à coque","")&amp;IF(M27="X",IF(COUNTIF($E27:$L27,"X")&gt;0,", ","")&amp;"Céleri","")&amp;IF(N27="X",IF(COUNTIF($E27:$M27,"X")&gt;0,", ","")&amp;"Moutarde","")&amp;IF(O27="X",IF(COUNTIF($E27:$N27,"X")&gt;0,", ","")&amp;"Sésame","")&amp;IF(P27="X",IF(COUNTIF($E27:$O27,"X")&gt;0,", ","")&amp;"Sulfites","")&amp;IF(Q27="X",IF(COUNTIF($E27:$P27,"X")&gt;0,", ","")&amp;"Lupin","")&amp;IF(R27="X",IF(COUNTIF($E27:$Q27,"X")&gt;0,", ","")&amp;"Mollusques","")),"")</f>
        <v/>
      </c>
      <c r="E27" s="139" t="str">
        <f>IF(27=27,IF($B27="","",AF27),"")</f>
        <v>?</v>
      </c>
      <c r="F27" s="139" t="str">
        <f>IF(27=27,IF($B27="","",AI27),"")</f>
        <v/>
      </c>
      <c r="G27" s="139" t="str">
        <f>IF(27=27,IF($B27="","",AM27),"")</f>
        <v/>
      </c>
      <c r="H27" s="139" t="str">
        <f>IF(27=27,IF($B27="","",IF(ISNUMBER(SEARCH(" colin ",$AA27)),"X",AZ27)),"")</f>
        <v/>
      </c>
      <c r="I27" s="139" t="str">
        <f>IF(27=27,IF($B27="","",BB27),"")</f>
        <v/>
      </c>
      <c r="J27" s="139" t="str">
        <f>IF(27=27,IF($B27="","",BF27),"")</f>
        <v/>
      </c>
      <c r="K27" s="139" t="str">
        <f>IF(27=27,IF($B27="","",BM27),"")</f>
        <v/>
      </c>
      <c r="L27" s="139" t="str">
        <f>IF(27=27,IF($B27="","",BQ27),"")</f>
        <v/>
      </c>
      <c r="M27" s="139" t="str">
        <f>IF(27=27,IF($B27="","",BT27),"")</f>
        <v/>
      </c>
      <c r="N27" s="139" t="str">
        <f>IF(27=27,IF($B27="","",BW27),"")</f>
        <v/>
      </c>
      <c r="O27" s="139" t="str">
        <f>IF(27=27,IF($B27="","",BZ27),"")</f>
        <v/>
      </c>
      <c r="P27" s="139" t="str">
        <f>IF(27=27,IF($B27="","",CC27),"")</f>
        <v/>
      </c>
      <c r="Q27" s="139" t="str">
        <f>IF(27=27,IF($B27="","",CF27),"")</f>
        <v/>
      </c>
      <c r="R27" s="139" t="str">
        <f>IF(27=27,IF($B27="","",CL27),"")</f>
        <v/>
      </c>
      <c r="S27" s="140" t="str">
        <f>IF(27=27,IF($B27="","",IF(E27="?",""&amp;"Céréales contenant du gluten","")&amp;IF(F27="?",IF(COUNTIF($E27:$E27,"~?")&gt;0,", ","")&amp;"Crustacés","")&amp;IF(G27="?",IF(COUNTIF($E27:$F27,"~?")&gt;0,", ","")&amp;"Œufs","")&amp;IF(H27="?",IF(COUNTIF($E27:$G27,"~?")&gt;0,", ","")&amp;"Poissons","")&amp;IF(I27="?",IF(COUNTIF($E27:$H27,"~?")&gt;0,", ","")&amp;"Arachides","")&amp;IF(J27="?",IF(COUNTIF($E27:$I27,"~?")&gt;0,", ","")&amp;"Soja","")&amp;IF(K27="?",IF(COUNTIF($E27:$J27,"~?")&gt;0,", ","")&amp;"Lait","")&amp;IF(L27="?",IF(COUNTIF($E27:$K27,"~?")&gt;0,", ","")&amp;"Fruits à coque","")&amp;IF(M27="?",IF(COUNTIF($E27:$L27,"~?")&gt;0,", ","")&amp;"Céleri","")&amp;IF(N27="?",IF(COUNTIF($E27:$M27,"~?")&gt;0,", ","")&amp;"Moutarde","")&amp;IF(O27="?",IF(COUNTIF($E27:$N27,"~?")&gt;0,", ","")&amp;"Sésame","")&amp;IF(P27="?",IF(COUNTIF($E27:$O27,"~?")&gt;0,", ","")&amp;"Sulfites","")&amp;IF(Q27="?",IF(COUNTIF($E27:$P27,"~?")&gt;0,", ","")&amp;"Lupin","")&amp;IF(R27="?",IF(COUNTIF($E27:$Q27,"~?")&gt;0,", ","")&amp;"Mollusques","")),"")</f>
        <v>Céréales contenant du gluten</v>
      </c>
      <c r="U27" s="93" t="str">
        <f>IF(27=27,IF($B27="","",$B27),"")</f>
        <v xml:space="preserve">Farine </v>
      </c>
      <c r="V27" s="93" t="str">
        <f>IF(27=27,LOWER(CLEAN(SUBSTITUTE(SUBSTITUTE(SUBSTITUTE(SUBSTITUTE($U27,CHAR(160)," ")," "," "),CHAR(10)," "),CHAR(13)," "))),"")</f>
        <v xml:space="preserve">farine </v>
      </c>
      <c r="W27" s="93" t="str">
        <f>IF(27=27,SUBSTITUTE(SUBSTITUTE(SUBSTITUTE(SUBSTITUTE(SUBSTITUTE(SUBSTITUTE(SUBSTITUTE(SUBSTITUTE(SUBSTITUTE(SUBSTITUTE(SUBSTITUTE(SUBSTITUTE($V27,"œ","oe"),"æ","ae"),"à","a"),"á","a"),"â","a"),"ä","a"),"ã","a"),"ç","c"),"è","e"),"é","e"),"ê","e"),"ë","e"),"")</f>
        <v xml:space="preserve">farine </v>
      </c>
      <c r="X27" s="93" t="str">
        <f>IF(27=27,SUBSTITUTE(SUBSTITUTE(SUBSTITUTE(SUBSTITUTE(SUBSTITUTE(SUBSTITUTE(SUBSTITUTE(SUBSTITUTE(SUBSTITUTE(SUBSTITUTE(SUBSTITUTE(SUBSTITUTE(SUBSTITUTE(SUBSTITUTE(SUBSTITUTE(SUBSTITUTE($W27,"ì","i"),"í","i"),"î","i"),"ï","i"),"ñ","n"),"ò","o"),"ó","o"),"ô","o"),"ö","o"),"õ","o"),"ù","u"),"ú","u"),"û","u"),"ü","u"),"ý","y"),"ÿ","y"),"")</f>
        <v xml:space="preserve">farine </v>
      </c>
      <c r="Y27" s="93" t="str">
        <f>IF(27=27,SUBSTITUTE(SUBSTITUTE(SUBSTITUTE(SUBSTITUTE(SUBSTITUTE(SUBSTITUTE(SUBSTITUTE(SUBSTITUTE(SUBSTITUTE(SUBSTITUTE(SUBSTITUTE(SUBSTITUTE(SUBSTITUTE(SUBSTITUTE($X27,"’"," "),"`"," "),"–"," "),"—"," "),"-"," "),"'"," "),"/"," "),"_"," "),","," "),"."," "),"("," "),")"," "),";"," "),":"," "),"")</f>
        <v xml:space="preserve">farine </v>
      </c>
      <c r="Z27" s="93" t="str">
        <f>IF(27=27,SUBSTITUTE(SUBSTITUTE(SUBSTITUTE(SUBSTITUTE(SUBSTITUTE(SUBSTITUTE(SUBSTITUTE(SUBSTITUTE(SUBSTITUTE(SUBSTITUTE(SUBSTITUTE(SUBSTITUTE(SUBSTITUTE(SUBSTITUTE(SUBSTITUTE($Y27,"!"," "),"?"," "),"+"," "),"*"," "),"&amp;"," "),"["," "),"]"," "),"{"," "),"}"," "),"%"," "),"="," "),"\"," "),"|"," "),"&lt;"," "),"&gt;"," "),"")</f>
        <v xml:space="preserve">farine </v>
      </c>
      <c r="AA27" s="93" t="str">
        <f>IF(27=27," "&amp;TRIM(SUBSTITUTE(SUBSTITUTE(SUBSTITUTE(SUBSTITUTE(SUBSTITUTE(SUBSTITUTE($Z27,CHAR(34)," "),"  "," "),"  "," "),"  "," "),"  "," "),"  "," "))&amp;" ","")</f>
        <v xml:space="preserve"> farine </v>
      </c>
      <c r="AB27" s="93">
        <f>IF(27=27,IF($U27="","",SUMPRODUCT(--ISNUMBER(SEARCH(" "&amp;$CR$2:$CR$101&amp;" ",$AD27)))),"")</f>
        <v>0</v>
      </c>
      <c r="AC27" s="93">
        <f>IF(27=27,IF($U27="","",SUMPRODUCT(--ISNUMBER(SEARCH(" "&amp;$CR$102:$CR$151&amp;" ",$AD27)))),"")</f>
        <v>0</v>
      </c>
      <c r="AD27" s="93" t="str">
        <f t="shared" si="1"/>
        <v xml:space="preserve"> farine </v>
      </c>
      <c r="AE27" s="93">
        <f t="shared" si="2"/>
        <v>1</v>
      </c>
      <c r="AF27" s="93" t="str">
        <f>IF(27=27,IF($U27="","",IF(SUM(AB27:AC27)+SUMPRODUCT(--ISNUMBER(SEARCH(" "&amp;$CR$2418:$CR$2420&amp;" ",$AD27)))&gt;0,"X",IF(AE27&gt;0,"?",""))),"")</f>
        <v>?</v>
      </c>
      <c r="AG27" s="93">
        <f>IF(27=27,IF($U27="","",SUMPRODUCT(--ISNUMBER(SEARCH(" "&amp;$CR$206:$CR$305&amp;" ",$AA27)))),"")</f>
        <v>0</v>
      </c>
      <c r="AH27" s="93">
        <f>IF(27=27,IF($U27="","",SUMPRODUCT(--ISNUMBER(SEARCH(" "&amp;$CR$306:$CR$340&amp;" ",$AA27)))),"")</f>
        <v>0</v>
      </c>
      <c r="AI27" s="93" t="str">
        <f>IF(27=27,IF($U27="","",IF((SUM(AG27:AH27))-(0)&gt;0,"X",IF((0)-(0)&gt;0,"?",""))),"")</f>
        <v/>
      </c>
      <c r="AJ27" s="93">
        <f>IF(27=27,IF($U27="","",SUMPRODUCT(--ISNUMBER(SEARCH(" "&amp;$CR$341:$CR$398&amp;" ",$AA27)))),"")</f>
        <v>0</v>
      </c>
      <c r="AK27" s="93">
        <f>IF(27=27,IF($U27="","",SUMPRODUCT(--ISNUMBER(SEARCH(" "&amp;$CR$399:$CR$426&amp;" ",$AL27)))+SUMPRODUCT(--ISNUMBER(SEARCH(" "&amp;$CR$2440:$CR$2453&amp;" ",$AL27)))),"")</f>
        <v>0</v>
      </c>
      <c r="AL27" s="93" t="str">
        <f>IF(27=27,IF($U27="","",SUBSTITUTE(SUBSTITUTE(SUBSTITUTE(SUBSTITUTE(SUBSTITUTE(SUBSTITUTE(SUBSTITUTE(SUBSTITUTE(SUBSTITUTE(SUBSTITUTE(SUBSTITUTE(SUBSTITUTE(SUBSTITUTE(SUBSTITUTE($AA27," "&amp;$CR$2455&amp;" "," ")," "&amp;$CR$433&amp;" "," ")," "&amp;$CR$431&amp;" "," ")," "&amp;$CR$2438&amp;" "," ")," "&amp;$CR$2439&amp;" "," ")," "&amp;$CR$428&amp;" "," ")," "&amp;$CR$432&amp;" "," ")," "&amp;$CR$434&amp;" "," ")," "&amp;$CR$429&amp;" "," ")," "&amp;$CR$427&amp;" "," ")," "&amp;$CR$1367&amp;" "," ")," "&amp;$CR$435&amp;" "," ")," "&amp;$CR$1366&amp;" "," ")," "&amp;$CR$430&amp;" "," ")),"")</f>
        <v xml:space="preserve"> farine </v>
      </c>
      <c r="AM27" s="93" t="str">
        <f>IF(27=27,IF($U27="","",IF(AJ27&gt;0,"X",IF(AK27&gt;0,"?",""))),"")</f>
        <v/>
      </c>
      <c r="AN27" s="93">
        <f>IF(27=27,IF($U27="","",SUMPRODUCT(--ISNUMBER(SEARCH(" "&amp;$CR$436:$CR$535&amp;" ",$AX27)))),"")</f>
        <v>0</v>
      </c>
      <c r="AO27" s="93">
        <f>IF(27=27,IF($U27="","",SUMPRODUCT(--ISNUMBER(SEARCH(" "&amp;$CR$536:$CR$635&amp;" ",$AX27)))),"")</f>
        <v>0</v>
      </c>
      <c r="AP27" s="93">
        <f>IF(27=27,IF($U27="","",SUMPRODUCT(--ISNUMBER(SEARCH(" "&amp;$CR$636:$CR$735&amp;" ",$AX27)))),"")</f>
        <v>0</v>
      </c>
      <c r="AQ27" s="93">
        <f>IF(27=27,IF($U27="","",SUMPRODUCT(--ISNUMBER(SEARCH(" "&amp;$CR$736:$CR$835&amp;" ",$AX27)))),"")</f>
        <v>0</v>
      </c>
      <c r="AR27" s="93">
        <f>IF(27=27,IF($U27="","",SUMPRODUCT(--ISNUMBER(SEARCH(" "&amp;$CR$836:$CR$935&amp;" ",$AX27)))),"")</f>
        <v>0</v>
      </c>
      <c r="AS27" s="93">
        <f>IF(27=27,IF($U27="","",SUMPRODUCT(--ISNUMBER(SEARCH(" "&amp;$CR$936:$CR$1035&amp;" ",$AX27)))),"")</f>
        <v>0</v>
      </c>
      <c r="AT27" s="93">
        <f>IF(27=27,IF($U27="","",SUMPRODUCT(--ISNUMBER(SEARCH(" "&amp;$CR$1036:$CR$1135&amp;" ",$AX27)))),"")</f>
        <v>0</v>
      </c>
      <c r="AU27" s="93">
        <f>IF(27=27,IF($U27="","",SUMPRODUCT(--ISNUMBER(SEARCH(" "&amp;$CR$1136:$CR$1235&amp;" ",$AX27)))),"")</f>
        <v>0</v>
      </c>
      <c r="AV27" s="93">
        <f>IF(27=27,IF($U27="","",SUMPRODUCT(--ISNUMBER(SEARCH(" "&amp;$CR$1236:$CR$1335&amp;" ",$AX27)))),"")</f>
        <v>0</v>
      </c>
      <c r="AW27" s="93">
        <f>IF(27=27,IF($U27="","",SUMPRODUCT(--ISNUMBER(SEARCH(" "&amp;$CR$1336:$CR$1363&amp;" ",$AX27)))),"")</f>
        <v>0</v>
      </c>
      <c r="AX27" s="93" t="str">
        <f>IF(27=27,IF($U27="","",SUBSTITUTE(SUBSTITUTE(SUBSTITUTE(SUBSTITUTE(SUBSTITUTE(SUBSTITUTE(SUBSTITUTE(SUBSTITUTE(SUBSTITUTE($AA27," "&amp;$CR$1365&amp;" "," ")," "&amp;$CR$1364&amp;" "," ")," "&amp;$CR$1370&amp;" "," ")," "&amp;$CR$1371&amp;" "," ")," "&amp;$CR$1367&amp;" "," ")," "&amp;$CR$1369&amp;" "," ")," "&amp;$CR$1366&amp;" "," ")," "&amp;$CR$1368&amp;" "," ")," "&amp;$CR$1372&amp;" "," ")),"")</f>
        <v xml:space="preserve"> farine </v>
      </c>
      <c r="AY27" s="93">
        <f>IF(27=27,IF($U27="","",SUMPRODUCT(--ISNUMBER(SEARCH(" "&amp;$CR$1373:$CR$1383&amp;" ",$AX27)))),"")</f>
        <v>0</v>
      </c>
      <c r="AZ27" s="93" t="str">
        <f>IF(27=27,IF($U27="","",IF(SUM(AN27:AW27)+SUMPRODUCT(--ISNUMBER(SEARCH(" "&amp;$CR$2421:$CR$2422&amp;" ",$AX27)))&gt;0,"X",IF(AY27&gt;0,"?",""))),"")</f>
        <v/>
      </c>
      <c r="BA27" s="93">
        <f>IF(27=27,IF($U27="","",SUMPRODUCT(--ISNUMBER(SEARCH(" "&amp;$CR$1384:$CR$1404&amp;" ",$AA27)))),"")</f>
        <v>0</v>
      </c>
      <c r="BB27" s="93" t="str">
        <f>IF(27=27,IF($U27="","",IF((BA27)-(0)&gt;0,"X",IF((0)-(0)&gt;0,"?",""))),"")</f>
        <v/>
      </c>
      <c r="BC27" s="93">
        <f>IF(27=27,IF($U27="","",SUMPRODUCT(--ISNUMBER(SEARCH(" "&amp;$CR$1405:$CR$1442&amp;" ",$BD27)))),"")</f>
        <v>0</v>
      </c>
      <c r="BD27" s="93" t="str">
        <f>IF(27=27,IF($U27="","",SUBSTITUTE(SUBSTITUTE($AA27," "&amp;$CR$1443&amp;" "," ")," "&amp;$CR$1444&amp;" "," ")),"")</f>
        <v xml:space="preserve"> farine </v>
      </c>
      <c r="BE27" s="93">
        <f>IF(27=27,IF($U27="","",SUMPRODUCT(--ISNUMBER(SEARCH(" "&amp;$CR$1445:$CR$1455&amp;" ",$BD27)))),"")</f>
        <v>0</v>
      </c>
      <c r="BF27" s="93" t="str">
        <f>IF(27=27,IF($U27="","",IF(BC27&gt;0,"X",IF(BE27&gt;0,"?",""))),"")</f>
        <v/>
      </c>
      <c r="BG27" s="93">
        <f>IF(27=27,IF($U27="","",SUMPRODUCT(--ISNUMBER(SEARCH(" "&amp;$CR$1456:$CR$1555&amp;" ",$BJ27)))),"")</f>
        <v>0</v>
      </c>
      <c r="BH27" s="93">
        <f>IF(27=27,IF($U27="","",SUMPRODUCT(--ISNUMBER(SEARCH(" "&amp;$CR$1556:$CR$1655&amp;" ",$BJ27)))),"")</f>
        <v>0</v>
      </c>
      <c r="BI27" s="93">
        <f>IF(27=27,IF($U27="","",SUMPRODUCT(--ISNUMBER(SEARCH(" "&amp;$CR$1656:$CR$1739&amp;" ",$BJ27)))),"")</f>
        <v>0</v>
      </c>
      <c r="BJ27" s="93" t="str">
        <f>IF(27=27,IF($U27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27,"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farine </v>
      </c>
      <c r="BK27" s="93">
        <f>IF(27=27,IF($U27="","",SUMPRODUCT(--ISNUMBER(SEARCH(" "&amp;$CR$1790:$CR$1869&amp;" ",$BL27)))+SUMPRODUCT(--ISNUMBER(SEARCH(" "&amp;$CR$2440:$CR$2453&amp;" ",$BL27)))),"")</f>
        <v>0</v>
      </c>
      <c r="BL27" s="93" t="str">
        <f>IF(27=27,IF($U27="","",SUBSTITUTE(SUBSTITUTE(SUBSTITUTE(SUBSTITUTE(SUBSTITUTE(SUBSTITUTE(SUBSTITUTE(SUBSTITUTE(SUBSTITUTE(SUBSTITUTE(SUBSTITUTE(SUBSTITUTE(SUBSTITUTE($BJ27," "&amp;$CR$1876&amp;" "," ")," "&amp;$CR$1874&amp;" "," ")," "&amp;$CR$2438&amp;" "," ")," "&amp;$CR$2439&amp;" "," ")," "&amp;$CR$1871&amp;" "," ")," "&amp;$CR$1875&amp;" "," ")," "&amp;$CR$1877&amp;" "," ")," "&amp;$CR$1872&amp;" "," ")," "&amp;$CR$1870&amp;" "," ")," "&amp;$CR$1367&amp;" "," ")," "&amp;$CR$1878&amp;" "," ")," "&amp;$CR$1366&amp;" "," ")," "&amp;$CR$1873&amp;" "," ")),"")</f>
        <v xml:space="preserve"> farine </v>
      </c>
      <c r="BM27" s="93" t="str">
        <f>IF(27=27,IF($U27="","",IF(SUM(BG27:BI27)+SUMPRODUCT(--ISNUMBER(SEARCH(" "&amp;$CR$2423:$CR$2424&amp;" ",$BJ27)))&gt;0,"X",IF(BK27&gt;0,"?",""))),"")</f>
        <v/>
      </c>
      <c r="BN27" s="93">
        <f>IF(27=27,IF($U27="","",SUMPRODUCT(--ISNUMBER(SEARCH(" "&amp;$CR$1879:$CR$1936&amp;" ",$BO27)))),"")</f>
        <v>0</v>
      </c>
      <c r="BO27" s="93" t="str">
        <f>IF(27=27,IF($U27="","",SUBSTITUTE(SUBSTITUTE(SUBSTITUTE(SUBSTITUTE(SUBSTITUTE(SUBSTITUTE(SUBSTITUTE(SUBSTITUTE(SUBSTITUTE(SUBSTITUTE(SUBSTITUTE(SUBSTITUTE(SUBSTITUTE(SUBSTITUTE(SUBSTITUTE(SUBSTITUTE(SUBSTITUTE(SUBSTITUTE(SUBSTITUTE(SUBSTITUTE(SUBSTITUTE(SUBSTITUTE(SUBSTITUTE($AA27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farine </v>
      </c>
      <c r="BP27" s="93">
        <f>IF(27=27,IF($U27="","",SUMPRODUCT(--ISNUMBER(SEARCH(" "&amp;$CR$1960:$CR$1976&amp;" ",$BO27)))),"")</f>
        <v>0</v>
      </c>
      <c r="BQ27" s="93" t="str">
        <f>IF(27=27,IF($U27="","",IF(BN27&gt;0,"X",IF(BP27&gt;0,"?",""))),"")</f>
        <v/>
      </c>
      <c r="BR27" s="93">
        <f>IF(27=27,IF($U27="","",SUMPRODUCT(--ISNUMBER(SEARCH(" "&amp;$CR$1977:$CR$1990&amp;" ",$AA27)))),"")</f>
        <v>0</v>
      </c>
      <c r="BS27" s="93">
        <f>IF(27=27,IF($U27="","",SUMPRODUCT(--ISNUMBER(SEARCH(" "&amp;$CR$1991:$CR$2005&amp;" ",$AA27)))),"")</f>
        <v>0</v>
      </c>
      <c r="BT27" s="93" t="str">
        <f>IF(27=27,IF($U27="","",IF((BR27)-(0)&gt;0,"X",IF((BS27)-(0)&gt;0,"?",""))),"")</f>
        <v/>
      </c>
      <c r="BU27" s="93">
        <f>IF(27=27,IF($U27="","",SUMPRODUCT(--ISNUMBER(SEARCH(" "&amp;$CR$2006:$CR$2023&amp;" ",$AA27)))),"")</f>
        <v>0</v>
      </c>
      <c r="BV27" s="93">
        <f>IF(27=27,IF($U27="","",SUMPRODUCT(--ISNUMBER(SEARCH(" "&amp;$CR$2024:$CR$2038&amp;" ",$AA27)))),"")</f>
        <v>0</v>
      </c>
      <c r="BW27" s="93" t="str">
        <f>IF(27=27,IF($U27="","",IF((BU27)-(0)&gt;0,"X",IF((BV27)-(0)&gt;0,"?",""))),"")</f>
        <v/>
      </c>
      <c r="BX27" s="93">
        <f>IF(27=27,IF($U27="","",SUMPRODUCT(--ISNUMBER(SEARCH(" "&amp;$CR$2039:$CR$2057&amp;" ",$AA27)))),"")</f>
        <v>0</v>
      </c>
      <c r="BY27" s="93">
        <f>IF(27=27,IF($U27="","",SUMPRODUCT(--ISNUMBER(SEARCH(" "&amp;$CR$2058:$CR$2072&amp;" ",$AA27)))),"")</f>
        <v>0</v>
      </c>
      <c r="BZ27" s="93" t="str">
        <f>IF(27=27,IF($U27="","",IF((BX27)-(0)&gt;0,"X",IF((BY27)-(0)&gt;0,"?",""))),"")</f>
        <v/>
      </c>
      <c r="CA27" s="93">
        <f>IF(27=27,IF($U27="","",SUMPRODUCT(--ISNUMBER(SEARCH(" "&amp;$CR$2073:$CR$2093&amp;" ",$AA27)))),"")</f>
        <v>0</v>
      </c>
      <c r="CB27" s="93">
        <f>IF(27=27,IF($U27="","",SUMPRODUCT(--ISNUMBER(SEARCH(" "&amp;$CR$2094:$CR$2133&amp;" ",SUBSTITUTE(SUBSTITUTE($AA27," "&amp;$CR$1367&amp;" "," ")," "&amp;$CR$1366&amp;" "," "))))+--ISNUMBER(SEARCH("poiré",$V27))),"")</f>
        <v>0</v>
      </c>
      <c r="CC27" s="93" t="str">
        <f>IF(27=27,IF($U27="","",IF(OR(CA27&gt;0,ISNUMBER(SEARCH(" vinaigre de vin ",$AA27)),ISNUMBER(SEARCH(" vinaigre au vin ",$AA27))),"X",IF(CB27&gt;0,"?",""))),"")</f>
        <v/>
      </c>
      <c r="CD27" s="93">
        <f>IF(27=27,IF($U27="","",SUMPRODUCT(--ISNUMBER(SEARCH(" "&amp;$CR$2134:$CR$2146&amp;" ",$AA27)))),"")</f>
        <v>0</v>
      </c>
      <c r="CE27" s="93">
        <f>IF(27=27,IF($U27="","",SUMPRODUCT(--ISNUMBER(SEARCH(" "&amp;$CR$2147:$CR$2152&amp;" ",$AA27)))),"")</f>
        <v>0</v>
      </c>
      <c r="CF27" s="93" t="str">
        <f>IF(27=27,IF($U27="","",IF((CD27)-(0)&gt;0,"X",IF((CE27)-(0)&gt;0,"?",""))),"")</f>
        <v/>
      </c>
      <c r="CG27" s="93">
        <f>IF(27=27,IF($U27="","",SUMPRODUCT(--ISNUMBER(SEARCH(" "&amp;$CR$2153:$CR$2252&amp;" ",$CJ27)))),"")</f>
        <v>0</v>
      </c>
      <c r="CH27" s="93">
        <f>IF(27=27,IF($U27="","",SUMPRODUCT(--ISNUMBER(SEARCH(" "&amp;$CR$2253:$CR$2352&amp;" ",$CJ27)))),"")</f>
        <v>0</v>
      </c>
      <c r="CI27" s="93">
        <f>IF(27=27,IF($U27="","",SUMPRODUCT(--ISNUMBER(SEARCH(" "&amp;$CR$2353:$CR$2395&amp;" ",$CJ27)))),"")</f>
        <v>0</v>
      </c>
      <c r="CJ27" s="93" t="str">
        <f>IF(27=27,IF($U27="","",SUBSTITUTE(SUBSTITUTE(SUBSTITUTE(SUBSTITUTE(SUBSTITUTE(SUBSTITUTE(SUBSTITUTE(SUBSTITUTE(SUBSTITUTE(SUBSTITUTE(SUBSTITUTE(SUBSTITUTE(SUBSTITUTE(SUBSTITUTE(SUBSTITUTE(SUBSTITUTE($AA27," "&amp;$CR$2401&amp;" "," ")," "&amp;$CR$2400&amp;" "," ")," "&amp;$CR$2399&amp;" "," ")," "&amp;$CR$2406&amp;" "," ")," "&amp;$CR$2398&amp;" "," ")," "&amp;$CR$2410&amp;" "," ")," "&amp;$CR$2397&amp;" "," ")," "&amp;$CR$2402&amp;" "," ")," "&amp;$CR$2405&amp;" "," ")," "&amp;$CR$2396&amp;" "," ")," "&amp;$CR$2404&amp;" "," ")," "&amp;$CR$2411&amp;" "," ")," "&amp;$CR$2408&amp;" "," ")," "&amp;$CR$2403&amp;" "," ")," "&amp;$CR$2407&amp;" "," ")," "&amp;$CR$2409&amp;" "," ")),"")</f>
        <v xml:space="preserve"> farine </v>
      </c>
      <c r="CK27" s="93">
        <f>IF(27=27,IF($U27="","",SUMPRODUCT(--ISNUMBER(SEARCH(" "&amp;$CR$2412:$CR$2416&amp;" ",$CJ27)))),"")</f>
        <v>0</v>
      </c>
      <c r="CL27" s="93" t="str">
        <f>IF(27=27,IF($U27="","",IF(SUM(CG27:CI27)&gt;0,"X",IF(CK27&gt;0,"?",""))),"")</f>
        <v/>
      </c>
      <c r="CM27" s="102"/>
      <c r="CN27" s="112" t="s">
        <v>662</v>
      </c>
      <c r="CO27" s="112" t="s">
        <v>522</v>
      </c>
      <c r="CP27" s="112" t="s">
        <v>523</v>
      </c>
      <c r="CQ27" s="112" t="s">
        <v>663</v>
      </c>
      <c r="CR27" s="112" t="s">
        <v>664</v>
      </c>
      <c r="CS27" s="112" t="s">
        <v>525</v>
      </c>
      <c r="CT27" s="112" t="s">
        <v>526</v>
      </c>
      <c r="CU27" s="112" t="s">
        <v>527</v>
      </c>
      <c r="CV27" s="113" t="s">
        <v>528</v>
      </c>
      <c r="CX27" s="36">
        <v>1</v>
      </c>
    </row>
    <row r="28" spans="1:102" ht="21" customHeight="1" x14ac:dyDescent="0.25">
      <c r="A28" s="135">
        <v>22</v>
      </c>
      <c r="B28" s="136" t="s">
        <v>5866</v>
      </c>
      <c r="C28" s="137" t="str">
        <f t="shared" si="0"/>
        <v>Filets de morue dessalés *</v>
      </c>
      <c r="D28" s="138" t="str">
        <f>IF(28=28,IF($B28="","",IF(E28="X",""&amp;"Céréales contenant du gluten","")&amp;IF(F28="X",IF(COUNTIF($E28:$E28,"X")&gt;0,", ","")&amp;"Crustacés","")&amp;IF(G28="X",IF(COUNTIF($E28:$F28,"X")&gt;0,", ","")&amp;"Œufs","")&amp;IF(H28="X",IF(COUNTIF($E28:$G28,"X")&gt;0,", ","")&amp;"Poissons","")&amp;IF(I28="X",IF(COUNTIF($E28:$H28,"X")&gt;0,", ","")&amp;"Arachides","")&amp;IF(J28="X",IF(COUNTIF($E28:$I28,"X")&gt;0,", ","")&amp;"Soja","")&amp;IF(K28="X",IF(COUNTIF($E28:$J28,"X")&gt;0,", ","")&amp;"Lait","")&amp;IF(L28="X",IF(COUNTIF($E28:$K28,"X")&gt;0,", ","")&amp;"Fruits à coque","")&amp;IF(M28="X",IF(COUNTIF($E28:$L28,"X")&gt;0,", ","")&amp;"Céleri","")&amp;IF(N28="X",IF(COUNTIF($E28:$M28,"X")&gt;0,", ","")&amp;"Moutarde","")&amp;IF(O28="X",IF(COUNTIF($E28:$N28,"X")&gt;0,", ","")&amp;"Sésame","")&amp;IF(P28="X",IF(COUNTIF($E28:$O28,"X")&gt;0,", ","")&amp;"Sulfites","")&amp;IF(Q28="X",IF(COUNTIF($E28:$P28,"X")&gt;0,", ","")&amp;"Lupin","")&amp;IF(R28="X",IF(COUNTIF($E28:$Q28,"X")&gt;0,", ","")&amp;"Mollusques","")),"")</f>
        <v>Poissons</v>
      </c>
      <c r="E28" s="139" t="str">
        <f>IF(28=28,IF($B28="","",AF28),"")</f>
        <v/>
      </c>
      <c r="F28" s="139" t="str">
        <f>IF(28=28,IF($B28="","",AI28),"")</f>
        <v/>
      </c>
      <c r="G28" s="139" t="str">
        <f>IF(28=28,IF($B28="","",AM28),"")</f>
        <v/>
      </c>
      <c r="H28" s="139" t="str">
        <f>IF(28=28,IF($B28="","",IF(ISNUMBER(SEARCH(" colin ",$AA28)),"X",AZ28)),"")</f>
        <v>X</v>
      </c>
      <c r="I28" s="139" t="str">
        <f>IF(28=28,IF($B28="","",BB28),"")</f>
        <v/>
      </c>
      <c r="J28" s="139" t="str">
        <f>IF(28=28,IF($B28="","",BF28),"")</f>
        <v/>
      </c>
      <c r="K28" s="139" t="str">
        <f>IF(28=28,IF($B28="","",BM28),"")</f>
        <v/>
      </c>
      <c r="L28" s="139" t="str">
        <f>IF(28=28,IF($B28="","",BQ28),"")</f>
        <v/>
      </c>
      <c r="M28" s="139" t="str">
        <f>IF(28=28,IF($B28="","",BT28),"")</f>
        <v/>
      </c>
      <c r="N28" s="139" t="str">
        <f>IF(28=28,IF($B28="","",BW28),"")</f>
        <v/>
      </c>
      <c r="O28" s="139" t="str">
        <f>IF(28=28,IF($B28="","",BZ28),"")</f>
        <v/>
      </c>
      <c r="P28" s="139" t="str">
        <f>IF(28=28,IF($B28="","",CC28),"")</f>
        <v/>
      </c>
      <c r="Q28" s="139" t="str">
        <f>IF(28=28,IF($B28="","",CF28),"")</f>
        <v/>
      </c>
      <c r="R28" s="139" t="str">
        <f>IF(28=28,IF($B28="","",CL28),"")</f>
        <v/>
      </c>
      <c r="S28" s="140" t="str">
        <f>IF(28=28,IF($B28="","",IF(E28="?",""&amp;"Céréales contenant du gluten","")&amp;IF(F28="?",IF(COUNTIF($E28:$E28,"~?")&gt;0,", ","")&amp;"Crustacés","")&amp;IF(G28="?",IF(COUNTIF($E28:$F28,"~?")&gt;0,", ","")&amp;"Œufs","")&amp;IF(H28="?",IF(COUNTIF($E28:$G28,"~?")&gt;0,", ","")&amp;"Poissons","")&amp;IF(I28="?",IF(COUNTIF($E28:$H28,"~?")&gt;0,", ","")&amp;"Arachides","")&amp;IF(J28="?",IF(COUNTIF($E28:$I28,"~?")&gt;0,", ","")&amp;"Soja","")&amp;IF(K28="?",IF(COUNTIF($E28:$J28,"~?")&gt;0,", ","")&amp;"Lait","")&amp;IF(L28="?",IF(COUNTIF($E28:$K28,"~?")&gt;0,", ","")&amp;"Fruits à coque","")&amp;IF(M28="?",IF(COUNTIF($E28:$L28,"~?")&gt;0,", ","")&amp;"Céleri","")&amp;IF(N28="?",IF(COUNTIF($E28:$M28,"~?")&gt;0,", ","")&amp;"Moutarde","")&amp;IF(O28="?",IF(COUNTIF($E28:$N28,"~?")&gt;0,", ","")&amp;"Sésame","")&amp;IF(P28="?",IF(COUNTIF($E28:$O28,"~?")&gt;0,", ","")&amp;"Sulfites","")&amp;IF(Q28="?",IF(COUNTIF($E28:$P28,"~?")&gt;0,", ","")&amp;"Lupin","")&amp;IF(R28="?",IF(COUNTIF($E28:$Q28,"~?")&gt;0,", ","")&amp;"Mollusques","")),"")</f>
        <v/>
      </c>
      <c r="U28" s="93" t="str">
        <f>IF(28=28,IF($B28="","",$B28),"")</f>
        <v>Filets de morue dessalés</v>
      </c>
      <c r="V28" s="93" t="str">
        <f>IF(28=28,LOWER(CLEAN(SUBSTITUTE(SUBSTITUTE(SUBSTITUTE(SUBSTITUTE($U28,CHAR(160)," ")," "," "),CHAR(10)," "),CHAR(13)," "))),"")</f>
        <v>filets de morue dessalés</v>
      </c>
      <c r="W28" s="93" t="str">
        <f>IF(28=28,SUBSTITUTE(SUBSTITUTE(SUBSTITUTE(SUBSTITUTE(SUBSTITUTE(SUBSTITUTE(SUBSTITUTE(SUBSTITUTE(SUBSTITUTE(SUBSTITUTE(SUBSTITUTE(SUBSTITUTE($V28,"œ","oe"),"æ","ae"),"à","a"),"á","a"),"â","a"),"ä","a"),"ã","a"),"ç","c"),"è","e"),"é","e"),"ê","e"),"ë","e"),"")</f>
        <v>filets de morue dessales</v>
      </c>
      <c r="X28" s="93" t="str">
        <f>IF(28=28,SUBSTITUTE(SUBSTITUTE(SUBSTITUTE(SUBSTITUTE(SUBSTITUTE(SUBSTITUTE(SUBSTITUTE(SUBSTITUTE(SUBSTITUTE(SUBSTITUTE(SUBSTITUTE(SUBSTITUTE(SUBSTITUTE(SUBSTITUTE(SUBSTITUTE(SUBSTITUTE($W28,"ì","i"),"í","i"),"î","i"),"ï","i"),"ñ","n"),"ò","o"),"ó","o"),"ô","o"),"ö","o"),"õ","o"),"ù","u"),"ú","u"),"û","u"),"ü","u"),"ý","y"),"ÿ","y"),"")</f>
        <v>filets de morue dessales</v>
      </c>
      <c r="Y28" s="93" t="str">
        <f>IF(28=28,SUBSTITUTE(SUBSTITUTE(SUBSTITUTE(SUBSTITUTE(SUBSTITUTE(SUBSTITUTE(SUBSTITUTE(SUBSTITUTE(SUBSTITUTE(SUBSTITUTE(SUBSTITUTE(SUBSTITUTE(SUBSTITUTE(SUBSTITUTE($X28,"’"," "),"`"," "),"–"," "),"—"," "),"-"," "),"'"," "),"/"," "),"_"," "),","," "),"."," "),"("," "),")"," "),";"," "),":"," "),"")</f>
        <v>filets de morue dessales</v>
      </c>
      <c r="Z28" s="93" t="str">
        <f>IF(28=28,SUBSTITUTE(SUBSTITUTE(SUBSTITUTE(SUBSTITUTE(SUBSTITUTE(SUBSTITUTE(SUBSTITUTE(SUBSTITUTE(SUBSTITUTE(SUBSTITUTE(SUBSTITUTE(SUBSTITUTE(SUBSTITUTE(SUBSTITUTE(SUBSTITUTE($Y28,"!"," "),"?"," "),"+"," "),"*"," "),"&amp;"," "),"["," "),"]"," "),"{"," "),"}"," "),"%"," "),"="," "),"\"," "),"|"," "),"&lt;"," "),"&gt;"," "),"")</f>
        <v>filets de morue dessales</v>
      </c>
      <c r="AA28" s="93" t="str">
        <f>IF(28=28," "&amp;TRIM(SUBSTITUTE(SUBSTITUTE(SUBSTITUTE(SUBSTITUTE(SUBSTITUTE(SUBSTITUTE($Z28,CHAR(34)," "),"  "," "),"  "," "),"  "," "),"  "," "),"  "," "))&amp;" ","")</f>
        <v xml:space="preserve"> filets de morue dessales </v>
      </c>
      <c r="AB28" s="93">
        <f>IF(28=28,IF($U28="","",SUMPRODUCT(--ISNUMBER(SEARCH(" "&amp;$CR$2:$CR$101&amp;" ",$AD28)))),"")</f>
        <v>0</v>
      </c>
      <c r="AC28" s="93">
        <f>IF(28=28,IF($U28="","",SUMPRODUCT(--ISNUMBER(SEARCH(" "&amp;$CR$102:$CR$151&amp;" ",$AD28)))),"")</f>
        <v>0</v>
      </c>
      <c r="AD28" s="93" t="str">
        <f t="shared" si="1"/>
        <v xml:space="preserve"> filets de morue dessales </v>
      </c>
      <c r="AE28" s="93">
        <f t="shared" si="2"/>
        <v>0</v>
      </c>
      <c r="AF28" s="93" t="str">
        <f>IF(28=28,IF($U28="","",IF(SUM(AB28:AC28)+SUMPRODUCT(--ISNUMBER(SEARCH(" "&amp;$CR$2418:$CR$2420&amp;" ",$AD28)))&gt;0,"X",IF(AE28&gt;0,"?",""))),"")</f>
        <v/>
      </c>
      <c r="AG28" s="93">
        <f>IF(28=28,IF($U28="","",SUMPRODUCT(--ISNUMBER(SEARCH(" "&amp;$CR$206:$CR$305&amp;" ",$AA28)))),"")</f>
        <v>0</v>
      </c>
      <c r="AH28" s="93">
        <f>IF(28=28,IF($U28="","",SUMPRODUCT(--ISNUMBER(SEARCH(" "&amp;$CR$306:$CR$340&amp;" ",$AA28)))),"")</f>
        <v>0</v>
      </c>
      <c r="AI28" s="93" t="str">
        <f>IF(28=28,IF($U28="","",IF((SUM(AG28:AH28))-(0)&gt;0,"X",IF((0)-(0)&gt;0,"?",""))),"")</f>
        <v/>
      </c>
      <c r="AJ28" s="93">
        <f>IF(28=28,IF($U28="","",SUMPRODUCT(--ISNUMBER(SEARCH(" "&amp;$CR$341:$CR$398&amp;" ",$AA28)))),"")</f>
        <v>0</v>
      </c>
      <c r="AK28" s="93">
        <f>IF(28=28,IF($U28="","",SUMPRODUCT(--ISNUMBER(SEARCH(" "&amp;$CR$399:$CR$426&amp;" ",$AL28)))+SUMPRODUCT(--ISNUMBER(SEARCH(" "&amp;$CR$2440:$CR$2453&amp;" ",$AL28)))),"")</f>
        <v>0</v>
      </c>
      <c r="AL28" s="93" t="str">
        <f>IF(28=28,IF($U28="","",SUBSTITUTE(SUBSTITUTE(SUBSTITUTE(SUBSTITUTE(SUBSTITUTE(SUBSTITUTE(SUBSTITUTE(SUBSTITUTE(SUBSTITUTE(SUBSTITUTE(SUBSTITUTE(SUBSTITUTE(SUBSTITUTE(SUBSTITUTE($AA28," "&amp;$CR$2455&amp;" "," ")," "&amp;$CR$433&amp;" "," ")," "&amp;$CR$431&amp;" "," ")," "&amp;$CR$2438&amp;" "," ")," "&amp;$CR$2439&amp;" "," ")," "&amp;$CR$428&amp;" "," ")," "&amp;$CR$432&amp;" "," ")," "&amp;$CR$434&amp;" "," ")," "&amp;$CR$429&amp;" "," ")," "&amp;$CR$427&amp;" "," ")," "&amp;$CR$1367&amp;" "," ")," "&amp;$CR$435&amp;" "," ")," "&amp;$CR$1366&amp;" "," ")," "&amp;$CR$430&amp;" "," ")),"")</f>
        <v xml:space="preserve"> filets de morue dessales </v>
      </c>
      <c r="AM28" s="93" t="str">
        <f>IF(28=28,IF($U28="","",IF(AJ28&gt;0,"X",IF(AK28&gt;0,"?",""))),"")</f>
        <v/>
      </c>
      <c r="AN28" s="93">
        <f>IF(28=28,IF($U28="","",SUMPRODUCT(--ISNUMBER(SEARCH(" "&amp;$CR$436:$CR$535&amp;" ",$AX28)))),"")</f>
        <v>0</v>
      </c>
      <c r="AO28" s="93">
        <f>IF(28=28,IF($U28="","",SUMPRODUCT(--ISNUMBER(SEARCH(" "&amp;$CR$536:$CR$635&amp;" ",$AX28)))),"")</f>
        <v>0</v>
      </c>
      <c r="AP28" s="93">
        <f>IF(28=28,IF($U28="","",SUMPRODUCT(--ISNUMBER(SEARCH(" "&amp;$CR$636:$CR$735&amp;" ",$AX28)))),"")</f>
        <v>0</v>
      </c>
      <c r="AQ28" s="93">
        <f>IF(28=28,IF($U28="","",SUMPRODUCT(--ISNUMBER(SEARCH(" "&amp;$CR$736:$CR$835&amp;" ",$AX28)))),"")</f>
        <v>0</v>
      </c>
      <c r="AR28" s="93">
        <f>IF(28=28,IF($U28="","",SUMPRODUCT(--ISNUMBER(SEARCH(" "&amp;$CR$836:$CR$935&amp;" ",$AX28)))),"")</f>
        <v>0</v>
      </c>
      <c r="AS28" s="93">
        <f>IF(28=28,IF($U28="","",SUMPRODUCT(--ISNUMBER(SEARCH(" "&amp;$CR$936:$CR$1035&amp;" ",$AX28)))),"")</f>
        <v>1</v>
      </c>
      <c r="AT28" s="93">
        <f>IF(28=28,IF($U28="","",SUMPRODUCT(--ISNUMBER(SEARCH(" "&amp;$CR$1036:$CR$1135&amp;" ",$AX28)))),"")</f>
        <v>0</v>
      </c>
      <c r="AU28" s="93">
        <f>IF(28=28,IF($U28="","",SUMPRODUCT(--ISNUMBER(SEARCH(" "&amp;$CR$1136:$CR$1235&amp;" ",$AX28)))),"")</f>
        <v>0</v>
      </c>
      <c r="AV28" s="93">
        <f>IF(28=28,IF($U28="","",SUMPRODUCT(--ISNUMBER(SEARCH(" "&amp;$CR$1236:$CR$1335&amp;" ",$AX28)))),"")</f>
        <v>0</v>
      </c>
      <c r="AW28" s="93">
        <f>IF(28=28,IF($U28="","",SUMPRODUCT(--ISNUMBER(SEARCH(" "&amp;$CR$1336:$CR$1363&amp;" ",$AX28)))),"")</f>
        <v>0</v>
      </c>
      <c r="AX28" s="93" t="str">
        <f>IF(28=28,IF($U28="","",SUBSTITUTE(SUBSTITUTE(SUBSTITUTE(SUBSTITUTE(SUBSTITUTE(SUBSTITUTE(SUBSTITUTE(SUBSTITUTE(SUBSTITUTE($AA28," "&amp;$CR$1365&amp;" "," ")," "&amp;$CR$1364&amp;" "," ")," "&amp;$CR$1370&amp;" "," ")," "&amp;$CR$1371&amp;" "," ")," "&amp;$CR$1367&amp;" "," ")," "&amp;$CR$1369&amp;" "," ")," "&amp;$CR$1366&amp;" "," ")," "&amp;$CR$1368&amp;" "," ")," "&amp;$CR$1372&amp;" "," ")),"")</f>
        <v xml:space="preserve"> filets de morue dessales </v>
      </c>
      <c r="AY28" s="93">
        <f>IF(28=28,IF($U28="","",SUMPRODUCT(--ISNUMBER(SEARCH(" "&amp;$CR$1373:$CR$1383&amp;" ",$AX28)))),"")</f>
        <v>0</v>
      </c>
      <c r="AZ28" s="93" t="str">
        <f>IF(28=28,IF($U28="","",IF(SUM(AN28:AW28)+SUMPRODUCT(--ISNUMBER(SEARCH(" "&amp;$CR$2421:$CR$2422&amp;" ",$AX28)))&gt;0,"X",IF(AY28&gt;0,"?",""))),"")</f>
        <v>X</v>
      </c>
      <c r="BA28" s="93">
        <f>IF(28=28,IF($U28="","",SUMPRODUCT(--ISNUMBER(SEARCH(" "&amp;$CR$1384:$CR$1404&amp;" ",$AA28)))),"")</f>
        <v>0</v>
      </c>
      <c r="BB28" s="93" t="str">
        <f>IF(28=28,IF($U28="","",IF((BA28)-(0)&gt;0,"X",IF((0)-(0)&gt;0,"?",""))),"")</f>
        <v/>
      </c>
      <c r="BC28" s="93">
        <f>IF(28=28,IF($U28="","",SUMPRODUCT(--ISNUMBER(SEARCH(" "&amp;$CR$1405:$CR$1442&amp;" ",$BD28)))),"")</f>
        <v>0</v>
      </c>
      <c r="BD28" s="93" t="str">
        <f>IF(28=28,IF($U28="","",SUBSTITUTE(SUBSTITUTE($AA28," "&amp;$CR$1443&amp;" "," ")," "&amp;$CR$1444&amp;" "," ")),"")</f>
        <v xml:space="preserve"> filets de morue dessales </v>
      </c>
      <c r="BE28" s="93">
        <f>IF(28=28,IF($U28="","",SUMPRODUCT(--ISNUMBER(SEARCH(" "&amp;$CR$1445:$CR$1455&amp;" ",$BD28)))),"")</f>
        <v>0</v>
      </c>
      <c r="BF28" s="93" t="str">
        <f>IF(28=28,IF($U28="","",IF(BC28&gt;0,"X",IF(BE28&gt;0,"?",""))),"")</f>
        <v/>
      </c>
      <c r="BG28" s="93">
        <f>IF(28=28,IF($U28="","",SUMPRODUCT(--ISNUMBER(SEARCH(" "&amp;$CR$1456:$CR$1555&amp;" ",$BJ28)))),"")</f>
        <v>0</v>
      </c>
      <c r="BH28" s="93">
        <f>IF(28=28,IF($U28="","",SUMPRODUCT(--ISNUMBER(SEARCH(" "&amp;$CR$1556:$CR$1655&amp;" ",$BJ28)))),"")</f>
        <v>0</v>
      </c>
      <c r="BI28" s="93">
        <f>IF(28=28,IF($U28="","",SUMPRODUCT(--ISNUMBER(SEARCH(" "&amp;$CR$1656:$CR$1739&amp;" ",$BJ28)))),"")</f>
        <v>0</v>
      </c>
      <c r="BJ28" s="93" t="str">
        <f>IF(28=28,IF($U28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28,"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filets de morue dessales </v>
      </c>
      <c r="BK28" s="93">
        <f>IF(28=28,IF($U28="","",SUMPRODUCT(--ISNUMBER(SEARCH(" "&amp;$CR$1790:$CR$1869&amp;" ",$BL28)))+SUMPRODUCT(--ISNUMBER(SEARCH(" "&amp;$CR$2440:$CR$2453&amp;" ",$BL28)))),"")</f>
        <v>0</v>
      </c>
      <c r="BL28" s="93" t="str">
        <f>IF(28=28,IF($U28="","",SUBSTITUTE(SUBSTITUTE(SUBSTITUTE(SUBSTITUTE(SUBSTITUTE(SUBSTITUTE(SUBSTITUTE(SUBSTITUTE(SUBSTITUTE(SUBSTITUTE(SUBSTITUTE(SUBSTITUTE(SUBSTITUTE($BJ28," "&amp;$CR$1876&amp;" "," ")," "&amp;$CR$1874&amp;" "," ")," "&amp;$CR$2438&amp;" "," ")," "&amp;$CR$2439&amp;" "," ")," "&amp;$CR$1871&amp;" "," ")," "&amp;$CR$1875&amp;" "," ")," "&amp;$CR$1877&amp;" "," ")," "&amp;$CR$1872&amp;" "," ")," "&amp;$CR$1870&amp;" "," ")," "&amp;$CR$1367&amp;" "," ")," "&amp;$CR$1878&amp;" "," ")," "&amp;$CR$1366&amp;" "," ")," "&amp;$CR$1873&amp;" "," ")),"")</f>
        <v xml:space="preserve"> filets de morue dessales </v>
      </c>
      <c r="BM28" s="93" t="str">
        <f>IF(28=28,IF($U28="","",IF(SUM(BG28:BI28)+SUMPRODUCT(--ISNUMBER(SEARCH(" "&amp;$CR$2423:$CR$2424&amp;" ",$BJ28)))&gt;0,"X",IF(BK28&gt;0,"?",""))),"")</f>
        <v/>
      </c>
      <c r="BN28" s="93">
        <f>IF(28=28,IF($U28="","",SUMPRODUCT(--ISNUMBER(SEARCH(" "&amp;$CR$1879:$CR$1936&amp;" ",$BO28)))),"")</f>
        <v>0</v>
      </c>
      <c r="BO28" s="93" t="str">
        <f>IF(28=28,IF($U28="","",SUBSTITUTE(SUBSTITUTE(SUBSTITUTE(SUBSTITUTE(SUBSTITUTE(SUBSTITUTE(SUBSTITUTE(SUBSTITUTE(SUBSTITUTE(SUBSTITUTE(SUBSTITUTE(SUBSTITUTE(SUBSTITUTE(SUBSTITUTE(SUBSTITUTE(SUBSTITUTE(SUBSTITUTE(SUBSTITUTE(SUBSTITUTE(SUBSTITUTE(SUBSTITUTE(SUBSTITUTE(SUBSTITUTE($AA28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filets de morue dessales </v>
      </c>
      <c r="BP28" s="93">
        <f>IF(28=28,IF($U28="","",SUMPRODUCT(--ISNUMBER(SEARCH(" "&amp;$CR$1960:$CR$1976&amp;" ",$BO28)))),"")</f>
        <v>0</v>
      </c>
      <c r="BQ28" s="93" t="str">
        <f>IF(28=28,IF($U28="","",IF(BN28&gt;0,"X",IF(BP28&gt;0,"?",""))),"")</f>
        <v/>
      </c>
      <c r="BR28" s="93">
        <f>IF(28=28,IF($U28="","",SUMPRODUCT(--ISNUMBER(SEARCH(" "&amp;$CR$1977:$CR$1990&amp;" ",$AA28)))),"")</f>
        <v>0</v>
      </c>
      <c r="BS28" s="93">
        <f>IF(28=28,IF($U28="","",SUMPRODUCT(--ISNUMBER(SEARCH(" "&amp;$CR$1991:$CR$2005&amp;" ",$AA28)))),"")</f>
        <v>0</v>
      </c>
      <c r="BT28" s="93" t="str">
        <f>IF(28=28,IF($U28="","",IF((BR28)-(0)&gt;0,"X",IF((BS28)-(0)&gt;0,"?",""))),"")</f>
        <v/>
      </c>
      <c r="BU28" s="93">
        <f>IF(28=28,IF($U28="","",SUMPRODUCT(--ISNUMBER(SEARCH(" "&amp;$CR$2006:$CR$2023&amp;" ",$AA28)))),"")</f>
        <v>0</v>
      </c>
      <c r="BV28" s="93">
        <f>IF(28=28,IF($U28="","",SUMPRODUCT(--ISNUMBER(SEARCH(" "&amp;$CR$2024:$CR$2038&amp;" ",$AA28)))),"")</f>
        <v>0</v>
      </c>
      <c r="BW28" s="93" t="str">
        <f>IF(28=28,IF($U28="","",IF((BU28)-(0)&gt;0,"X",IF((BV28)-(0)&gt;0,"?",""))),"")</f>
        <v/>
      </c>
      <c r="BX28" s="93">
        <f>IF(28=28,IF($U28="","",SUMPRODUCT(--ISNUMBER(SEARCH(" "&amp;$CR$2039:$CR$2057&amp;" ",$AA28)))),"")</f>
        <v>0</v>
      </c>
      <c r="BY28" s="93">
        <f>IF(28=28,IF($U28="","",SUMPRODUCT(--ISNUMBER(SEARCH(" "&amp;$CR$2058:$CR$2072&amp;" ",$AA28)))),"")</f>
        <v>0</v>
      </c>
      <c r="BZ28" s="93" t="str">
        <f>IF(28=28,IF($U28="","",IF((BX28)-(0)&gt;0,"X",IF((BY28)-(0)&gt;0,"?",""))),"")</f>
        <v/>
      </c>
      <c r="CA28" s="93">
        <f>IF(28=28,IF($U28="","",SUMPRODUCT(--ISNUMBER(SEARCH(" "&amp;$CR$2073:$CR$2093&amp;" ",$AA28)))),"")</f>
        <v>0</v>
      </c>
      <c r="CB28" s="93">
        <f>IF(28=28,IF($U28="","",SUMPRODUCT(--ISNUMBER(SEARCH(" "&amp;$CR$2094:$CR$2133&amp;" ",SUBSTITUTE(SUBSTITUTE($AA28," "&amp;$CR$1367&amp;" "," ")," "&amp;$CR$1366&amp;" "," "))))+--ISNUMBER(SEARCH("poiré",$V28))),"")</f>
        <v>0</v>
      </c>
      <c r="CC28" s="93" t="str">
        <f>IF(28=28,IF($U28="","",IF(OR(CA28&gt;0,ISNUMBER(SEARCH(" vinaigre de vin ",$AA28)),ISNUMBER(SEARCH(" vinaigre au vin ",$AA28))),"X",IF(CB28&gt;0,"?",""))),"")</f>
        <v/>
      </c>
      <c r="CD28" s="93">
        <f>IF(28=28,IF($U28="","",SUMPRODUCT(--ISNUMBER(SEARCH(" "&amp;$CR$2134:$CR$2146&amp;" ",$AA28)))),"")</f>
        <v>0</v>
      </c>
      <c r="CE28" s="93">
        <f>IF(28=28,IF($U28="","",SUMPRODUCT(--ISNUMBER(SEARCH(" "&amp;$CR$2147:$CR$2152&amp;" ",$AA28)))),"")</f>
        <v>0</v>
      </c>
      <c r="CF28" s="93" t="str">
        <f>IF(28=28,IF($U28="","",IF((CD28)-(0)&gt;0,"X",IF((CE28)-(0)&gt;0,"?",""))),"")</f>
        <v/>
      </c>
      <c r="CG28" s="93">
        <f>IF(28=28,IF($U28="","",SUMPRODUCT(--ISNUMBER(SEARCH(" "&amp;$CR$2153:$CR$2252&amp;" ",$CJ28)))),"")</f>
        <v>0</v>
      </c>
      <c r="CH28" s="93">
        <f>IF(28=28,IF($U28="","",SUMPRODUCT(--ISNUMBER(SEARCH(" "&amp;$CR$2253:$CR$2352&amp;" ",$CJ28)))),"")</f>
        <v>0</v>
      </c>
      <c r="CI28" s="93">
        <f>IF(28=28,IF($U28="","",SUMPRODUCT(--ISNUMBER(SEARCH(" "&amp;$CR$2353:$CR$2395&amp;" ",$CJ28)))),"")</f>
        <v>0</v>
      </c>
      <c r="CJ28" s="93" t="str">
        <f>IF(28=28,IF($U28="","",SUBSTITUTE(SUBSTITUTE(SUBSTITUTE(SUBSTITUTE(SUBSTITUTE(SUBSTITUTE(SUBSTITUTE(SUBSTITUTE(SUBSTITUTE(SUBSTITUTE(SUBSTITUTE(SUBSTITUTE(SUBSTITUTE(SUBSTITUTE(SUBSTITUTE(SUBSTITUTE($AA28," "&amp;$CR$2401&amp;" "," ")," "&amp;$CR$2400&amp;" "," ")," "&amp;$CR$2399&amp;" "," ")," "&amp;$CR$2406&amp;" "," ")," "&amp;$CR$2398&amp;" "," ")," "&amp;$CR$2410&amp;" "," ")," "&amp;$CR$2397&amp;" "," ")," "&amp;$CR$2402&amp;" "," ")," "&amp;$CR$2405&amp;" "," ")," "&amp;$CR$2396&amp;" "," ")," "&amp;$CR$2404&amp;" "," ")," "&amp;$CR$2411&amp;" "," ")," "&amp;$CR$2408&amp;" "," ")," "&amp;$CR$2403&amp;" "," ")," "&amp;$CR$2407&amp;" "," ")," "&amp;$CR$2409&amp;" "," ")),"")</f>
        <v xml:space="preserve"> filets de morue dessales </v>
      </c>
      <c r="CK28" s="93">
        <f>IF(28=28,IF($U28="","",SUMPRODUCT(--ISNUMBER(SEARCH(" "&amp;$CR$2412:$CR$2416&amp;" ",$CJ28)))),"")</f>
        <v>0</v>
      </c>
      <c r="CL28" s="93" t="str">
        <f>IF(28=28,IF($U28="","",IF(SUM(CG28:CI28)&gt;0,"X",IF(CK28&gt;0,"?",""))),"")</f>
        <v/>
      </c>
      <c r="CM28" s="102"/>
      <c r="CN28" s="112" t="s">
        <v>665</v>
      </c>
      <c r="CO28" s="112" t="s">
        <v>522</v>
      </c>
      <c r="CP28" s="112" t="s">
        <v>523</v>
      </c>
      <c r="CQ28" s="112" t="s">
        <v>666</v>
      </c>
      <c r="CR28" s="112" t="s">
        <v>666</v>
      </c>
      <c r="CS28" s="112" t="s">
        <v>525</v>
      </c>
      <c r="CT28" s="112" t="s">
        <v>526</v>
      </c>
      <c r="CU28" s="112" t="s">
        <v>527</v>
      </c>
      <c r="CV28" s="113" t="s">
        <v>528</v>
      </c>
      <c r="CX28" s="36">
        <v>1</v>
      </c>
    </row>
    <row r="29" spans="1:102" ht="21" customHeight="1" x14ac:dyDescent="0.25">
      <c r="A29" s="135">
        <v>23</v>
      </c>
      <c r="B29" s="136" t="s">
        <v>5867</v>
      </c>
      <c r="C29" s="137" t="str">
        <f t="shared" si="0"/>
        <v>Fond blanc de veau ?</v>
      </c>
      <c r="D29" s="138" t="str">
        <f>IF(29=29,IF($B29="","",IF(E29="X",""&amp;"Céréales contenant du gluten","")&amp;IF(F29="X",IF(COUNTIF($E29:$E29,"X")&gt;0,", ","")&amp;"Crustacés","")&amp;IF(G29="X",IF(COUNTIF($E29:$F29,"X")&gt;0,", ","")&amp;"Œufs","")&amp;IF(H29="X",IF(COUNTIF($E29:$G29,"X")&gt;0,", ","")&amp;"Poissons","")&amp;IF(I29="X",IF(COUNTIF($E29:$H29,"X")&gt;0,", ","")&amp;"Arachides","")&amp;IF(J29="X",IF(COUNTIF($E29:$I29,"X")&gt;0,", ","")&amp;"Soja","")&amp;IF(K29="X",IF(COUNTIF($E29:$J29,"X")&gt;0,", ","")&amp;"Lait","")&amp;IF(L29="X",IF(COUNTIF($E29:$K29,"X")&gt;0,", ","")&amp;"Fruits à coque","")&amp;IF(M29="X",IF(COUNTIF($E29:$L29,"X")&gt;0,", ","")&amp;"Céleri","")&amp;IF(N29="X",IF(COUNTIF($E29:$M29,"X")&gt;0,", ","")&amp;"Moutarde","")&amp;IF(O29="X",IF(COUNTIF($E29:$N29,"X")&gt;0,", ","")&amp;"Sésame","")&amp;IF(P29="X",IF(COUNTIF($E29:$O29,"X")&gt;0,", ","")&amp;"Sulfites","")&amp;IF(Q29="X",IF(COUNTIF($E29:$P29,"X")&gt;0,", ","")&amp;"Lupin","")&amp;IF(R29="X",IF(COUNTIF($E29:$Q29,"X")&gt;0,", ","")&amp;"Mollusques","")),"")</f>
        <v/>
      </c>
      <c r="E29" s="139" t="str">
        <f>IF(29=29,IF($B29="","",AF29),"")</f>
        <v>?</v>
      </c>
      <c r="F29" s="139" t="str">
        <f>IF(29=29,IF($B29="","",AI29),"")</f>
        <v/>
      </c>
      <c r="G29" s="139" t="str">
        <f>IF(29=29,IF($B29="","",AM29),"")</f>
        <v/>
      </c>
      <c r="H29" s="139" t="str">
        <f>IF(29=29,IF($B29="","",IF(ISNUMBER(SEARCH(" colin ",$AA29)),"X",AZ29)),"")</f>
        <v/>
      </c>
      <c r="I29" s="139" t="str">
        <f>IF(29=29,IF($B29="","",BB29),"")</f>
        <v/>
      </c>
      <c r="J29" s="139" t="str">
        <f>IF(29=29,IF($B29="","",BF29),"")</f>
        <v/>
      </c>
      <c r="K29" s="139" t="str">
        <f>IF(29=29,IF($B29="","",BM29),"")</f>
        <v/>
      </c>
      <c r="L29" s="139" t="str">
        <f>IF(29=29,IF($B29="","",BQ29),"")</f>
        <v/>
      </c>
      <c r="M29" s="139" t="str">
        <f>IF(29=29,IF($B29="","",BT29),"")</f>
        <v>?</v>
      </c>
      <c r="N29" s="139" t="str">
        <f>IF(29=29,IF($B29="","",BW29),"")</f>
        <v/>
      </c>
      <c r="O29" s="139" t="str">
        <f>IF(29=29,IF($B29="","",BZ29),"")</f>
        <v/>
      </c>
      <c r="P29" s="139" t="str">
        <f>IF(29=29,IF($B29="","",CC29),"")</f>
        <v/>
      </c>
      <c r="Q29" s="139" t="str">
        <f>IF(29=29,IF($B29="","",CF29),"")</f>
        <v/>
      </c>
      <c r="R29" s="139" t="str">
        <f>IF(29=29,IF($B29="","",CL29),"")</f>
        <v/>
      </c>
      <c r="S29" s="140" t="str">
        <f>IF(29=29,IF($B29="","",IF(E29="?",""&amp;"Céréales contenant du gluten","")&amp;IF(F29="?",IF(COUNTIF($E29:$E29,"~?")&gt;0,", ","")&amp;"Crustacés","")&amp;IF(G29="?",IF(COUNTIF($E29:$F29,"~?")&gt;0,", ","")&amp;"Œufs","")&amp;IF(H29="?",IF(COUNTIF($E29:$G29,"~?")&gt;0,", ","")&amp;"Poissons","")&amp;IF(I29="?",IF(COUNTIF($E29:$H29,"~?")&gt;0,", ","")&amp;"Arachides","")&amp;IF(J29="?",IF(COUNTIF($E29:$I29,"~?")&gt;0,", ","")&amp;"Soja","")&amp;IF(K29="?",IF(COUNTIF($E29:$J29,"~?")&gt;0,", ","")&amp;"Lait","")&amp;IF(L29="?",IF(COUNTIF($E29:$K29,"~?")&gt;0,", ","")&amp;"Fruits à coque","")&amp;IF(M29="?",IF(COUNTIF($E29:$L29,"~?")&gt;0,", ","")&amp;"Céleri","")&amp;IF(N29="?",IF(COUNTIF($E29:$M29,"~?")&gt;0,", ","")&amp;"Moutarde","")&amp;IF(O29="?",IF(COUNTIF($E29:$N29,"~?")&gt;0,", ","")&amp;"Sésame","")&amp;IF(P29="?",IF(COUNTIF($E29:$O29,"~?")&gt;0,", ","")&amp;"Sulfites","")&amp;IF(Q29="?",IF(COUNTIF($E29:$P29,"~?")&gt;0,", ","")&amp;"Lupin","")&amp;IF(R29="?",IF(COUNTIF($E29:$Q29,"~?")&gt;0,", ","")&amp;"Mollusques","")),"")</f>
        <v>Céréales contenant du gluten, Céleri</v>
      </c>
      <c r="U29" s="93" t="str">
        <f>IF(29=29,IF($B29="","",$B29),"")</f>
        <v>Fond blanc de veau</v>
      </c>
      <c r="V29" s="93" t="str">
        <f>IF(29=29,LOWER(CLEAN(SUBSTITUTE(SUBSTITUTE(SUBSTITUTE(SUBSTITUTE($U29,CHAR(160)," ")," "," "),CHAR(10)," "),CHAR(13)," "))),"")</f>
        <v>fond blanc de veau</v>
      </c>
      <c r="W29" s="93" t="str">
        <f>IF(29=29,SUBSTITUTE(SUBSTITUTE(SUBSTITUTE(SUBSTITUTE(SUBSTITUTE(SUBSTITUTE(SUBSTITUTE(SUBSTITUTE(SUBSTITUTE(SUBSTITUTE(SUBSTITUTE(SUBSTITUTE($V29,"œ","oe"),"æ","ae"),"à","a"),"á","a"),"â","a"),"ä","a"),"ã","a"),"ç","c"),"è","e"),"é","e"),"ê","e"),"ë","e"),"")</f>
        <v>fond blanc de veau</v>
      </c>
      <c r="X29" s="93" t="str">
        <f>IF(29=29,SUBSTITUTE(SUBSTITUTE(SUBSTITUTE(SUBSTITUTE(SUBSTITUTE(SUBSTITUTE(SUBSTITUTE(SUBSTITUTE(SUBSTITUTE(SUBSTITUTE(SUBSTITUTE(SUBSTITUTE(SUBSTITUTE(SUBSTITUTE(SUBSTITUTE(SUBSTITUTE($W29,"ì","i"),"í","i"),"î","i"),"ï","i"),"ñ","n"),"ò","o"),"ó","o"),"ô","o"),"ö","o"),"õ","o"),"ù","u"),"ú","u"),"û","u"),"ü","u"),"ý","y"),"ÿ","y"),"")</f>
        <v>fond blanc de veau</v>
      </c>
      <c r="Y29" s="93" t="str">
        <f>IF(29=29,SUBSTITUTE(SUBSTITUTE(SUBSTITUTE(SUBSTITUTE(SUBSTITUTE(SUBSTITUTE(SUBSTITUTE(SUBSTITUTE(SUBSTITUTE(SUBSTITUTE(SUBSTITUTE(SUBSTITUTE(SUBSTITUTE(SUBSTITUTE($X29,"’"," "),"`"," "),"–"," "),"—"," "),"-"," "),"'"," "),"/"," "),"_"," "),","," "),"."," "),"("," "),")"," "),";"," "),":"," "),"")</f>
        <v>fond blanc de veau</v>
      </c>
      <c r="Z29" s="93" t="str">
        <f>IF(29=29,SUBSTITUTE(SUBSTITUTE(SUBSTITUTE(SUBSTITUTE(SUBSTITUTE(SUBSTITUTE(SUBSTITUTE(SUBSTITUTE(SUBSTITUTE(SUBSTITUTE(SUBSTITUTE(SUBSTITUTE(SUBSTITUTE(SUBSTITUTE(SUBSTITUTE($Y29,"!"," "),"?"," "),"+"," "),"*"," "),"&amp;"," "),"["," "),"]"," "),"{"," "),"}"," "),"%"," "),"="," "),"\"," "),"|"," "),"&lt;"," "),"&gt;"," "),"")</f>
        <v>fond blanc de veau</v>
      </c>
      <c r="AA29" s="93" t="str">
        <f>IF(29=29," "&amp;TRIM(SUBSTITUTE(SUBSTITUTE(SUBSTITUTE(SUBSTITUTE(SUBSTITUTE(SUBSTITUTE($Z29,CHAR(34)," "),"  "," "),"  "," "),"  "," "),"  "," "),"  "," "))&amp;" ","")</f>
        <v xml:space="preserve"> fond blanc de veau </v>
      </c>
      <c r="AB29" s="93">
        <f>IF(29=29,IF($U29="","",SUMPRODUCT(--ISNUMBER(SEARCH(" "&amp;$CR$2:$CR$101&amp;" ",$AD29)))),"")</f>
        <v>0</v>
      </c>
      <c r="AC29" s="93">
        <f>IF(29=29,IF($U29="","",SUMPRODUCT(--ISNUMBER(SEARCH(" "&amp;$CR$102:$CR$151&amp;" ",$AD29)))),"")</f>
        <v>0</v>
      </c>
      <c r="AD29" s="93" t="str">
        <f t="shared" si="1"/>
        <v xml:space="preserve"> fond blanc de veau </v>
      </c>
      <c r="AE29" s="93">
        <f t="shared" si="2"/>
        <v>1</v>
      </c>
      <c r="AF29" s="93" t="str">
        <f>IF(29=29,IF($U29="","",IF(SUM(AB29:AC29)+SUMPRODUCT(--ISNUMBER(SEARCH(" "&amp;$CR$2418:$CR$2420&amp;" ",$AD29)))&gt;0,"X",IF(AE29&gt;0,"?",""))),"")</f>
        <v>?</v>
      </c>
      <c r="AG29" s="93">
        <f>IF(29=29,IF($U29="","",SUMPRODUCT(--ISNUMBER(SEARCH(" "&amp;$CR$206:$CR$305&amp;" ",$AA29)))),"")</f>
        <v>0</v>
      </c>
      <c r="AH29" s="93">
        <f>IF(29=29,IF($U29="","",SUMPRODUCT(--ISNUMBER(SEARCH(" "&amp;$CR$306:$CR$340&amp;" ",$AA29)))),"")</f>
        <v>0</v>
      </c>
      <c r="AI29" s="93" t="str">
        <f>IF(29=29,IF($U29="","",IF((SUM(AG29:AH29))-(0)&gt;0,"X",IF((0)-(0)&gt;0,"?",""))),"")</f>
        <v/>
      </c>
      <c r="AJ29" s="93">
        <f>IF(29=29,IF($U29="","",SUMPRODUCT(--ISNUMBER(SEARCH(" "&amp;$CR$341:$CR$398&amp;" ",$AA29)))),"")</f>
        <v>0</v>
      </c>
      <c r="AK29" s="93">
        <f>IF(29=29,IF($U29="","",SUMPRODUCT(--ISNUMBER(SEARCH(" "&amp;$CR$399:$CR$426&amp;" ",$AL29)))+SUMPRODUCT(--ISNUMBER(SEARCH(" "&amp;$CR$2440:$CR$2453&amp;" ",$AL29)))),"")</f>
        <v>0</v>
      </c>
      <c r="AL29" s="93" t="str">
        <f>IF(29=29,IF($U29="","",SUBSTITUTE(SUBSTITUTE(SUBSTITUTE(SUBSTITUTE(SUBSTITUTE(SUBSTITUTE(SUBSTITUTE(SUBSTITUTE(SUBSTITUTE(SUBSTITUTE(SUBSTITUTE(SUBSTITUTE(SUBSTITUTE(SUBSTITUTE($AA29," "&amp;$CR$2455&amp;" "," ")," "&amp;$CR$433&amp;" "," ")," "&amp;$CR$431&amp;" "," ")," "&amp;$CR$2438&amp;" "," ")," "&amp;$CR$2439&amp;" "," ")," "&amp;$CR$428&amp;" "," ")," "&amp;$CR$432&amp;" "," ")," "&amp;$CR$434&amp;" "," ")," "&amp;$CR$429&amp;" "," ")," "&amp;$CR$427&amp;" "," ")," "&amp;$CR$1367&amp;" "," ")," "&amp;$CR$435&amp;" "," ")," "&amp;$CR$1366&amp;" "," ")," "&amp;$CR$430&amp;" "," ")),"")</f>
        <v xml:space="preserve"> fond blanc de veau </v>
      </c>
      <c r="AM29" s="93" t="str">
        <f>IF(29=29,IF($U29="","",IF(AJ29&gt;0,"X",IF(AK29&gt;0,"?",""))),"")</f>
        <v/>
      </c>
      <c r="AN29" s="93">
        <f>IF(29=29,IF($U29="","",SUMPRODUCT(--ISNUMBER(SEARCH(" "&amp;$CR$436:$CR$535&amp;" ",$AX29)))),"")</f>
        <v>0</v>
      </c>
      <c r="AO29" s="93">
        <f>IF(29=29,IF($U29="","",SUMPRODUCT(--ISNUMBER(SEARCH(" "&amp;$CR$536:$CR$635&amp;" ",$AX29)))),"")</f>
        <v>0</v>
      </c>
      <c r="AP29" s="93">
        <f>IF(29=29,IF($U29="","",SUMPRODUCT(--ISNUMBER(SEARCH(" "&amp;$CR$636:$CR$735&amp;" ",$AX29)))),"")</f>
        <v>0</v>
      </c>
      <c r="AQ29" s="93">
        <f>IF(29=29,IF($U29="","",SUMPRODUCT(--ISNUMBER(SEARCH(" "&amp;$CR$736:$CR$835&amp;" ",$AX29)))),"")</f>
        <v>0</v>
      </c>
      <c r="AR29" s="93">
        <f>IF(29=29,IF($U29="","",SUMPRODUCT(--ISNUMBER(SEARCH(" "&amp;$CR$836:$CR$935&amp;" ",$AX29)))),"")</f>
        <v>0</v>
      </c>
      <c r="AS29" s="93">
        <f>IF(29=29,IF($U29="","",SUMPRODUCT(--ISNUMBER(SEARCH(" "&amp;$CR$936:$CR$1035&amp;" ",$AX29)))),"")</f>
        <v>0</v>
      </c>
      <c r="AT29" s="93">
        <f>IF(29=29,IF($U29="","",SUMPRODUCT(--ISNUMBER(SEARCH(" "&amp;$CR$1036:$CR$1135&amp;" ",$AX29)))),"")</f>
        <v>0</v>
      </c>
      <c r="AU29" s="93">
        <f>IF(29=29,IF($U29="","",SUMPRODUCT(--ISNUMBER(SEARCH(" "&amp;$CR$1136:$CR$1235&amp;" ",$AX29)))),"")</f>
        <v>0</v>
      </c>
      <c r="AV29" s="93">
        <f>IF(29=29,IF($U29="","",SUMPRODUCT(--ISNUMBER(SEARCH(" "&amp;$CR$1236:$CR$1335&amp;" ",$AX29)))),"")</f>
        <v>0</v>
      </c>
      <c r="AW29" s="93">
        <f>IF(29=29,IF($U29="","",SUMPRODUCT(--ISNUMBER(SEARCH(" "&amp;$CR$1336:$CR$1363&amp;" ",$AX29)))),"")</f>
        <v>0</v>
      </c>
      <c r="AX29" s="93" t="str">
        <f>IF(29=29,IF($U29="","",SUBSTITUTE(SUBSTITUTE(SUBSTITUTE(SUBSTITUTE(SUBSTITUTE(SUBSTITUTE(SUBSTITUTE(SUBSTITUTE(SUBSTITUTE($AA29," "&amp;$CR$1365&amp;" "," ")," "&amp;$CR$1364&amp;" "," ")," "&amp;$CR$1370&amp;" "," ")," "&amp;$CR$1371&amp;" "," ")," "&amp;$CR$1367&amp;" "," ")," "&amp;$CR$1369&amp;" "," ")," "&amp;$CR$1366&amp;" "," ")," "&amp;$CR$1368&amp;" "," ")," "&amp;$CR$1372&amp;" "," ")),"")</f>
        <v xml:space="preserve"> fond blanc de veau </v>
      </c>
      <c r="AY29" s="93">
        <f>IF(29=29,IF($U29="","",SUMPRODUCT(--ISNUMBER(SEARCH(" "&amp;$CR$1373:$CR$1383&amp;" ",$AX29)))),"")</f>
        <v>0</v>
      </c>
      <c r="AZ29" s="93" t="str">
        <f>IF(29=29,IF($U29="","",IF(SUM(AN29:AW29)+SUMPRODUCT(--ISNUMBER(SEARCH(" "&amp;$CR$2421:$CR$2422&amp;" ",$AX29)))&gt;0,"X",IF(AY29&gt;0,"?",""))),"")</f>
        <v/>
      </c>
      <c r="BA29" s="93">
        <f>IF(29=29,IF($U29="","",SUMPRODUCT(--ISNUMBER(SEARCH(" "&amp;$CR$1384:$CR$1404&amp;" ",$AA29)))),"")</f>
        <v>0</v>
      </c>
      <c r="BB29" s="93" t="str">
        <f>IF(29=29,IF($U29="","",IF((BA29)-(0)&gt;0,"X",IF((0)-(0)&gt;0,"?",""))),"")</f>
        <v/>
      </c>
      <c r="BC29" s="93">
        <f>IF(29=29,IF($U29="","",SUMPRODUCT(--ISNUMBER(SEARCH(" "&amp;$CR$1405:$CR$1442&amp;" ",$BD29)))),"")</f>
        <v>0</v>
      </c>
      <c r="BD29" s="93" t="str">
        <f>IF(29=29,IF($U29="","",SUBSTITUTE(SUBSTITUTE($AA29," "&amp;$CR$1443&amp;" "," ")," "&amp;$CR$1444&amp;" "," ")),"")</f>
        <v xml:space="preserve"> fond blanc de veau </v>
      </c>
      <c r="BE29" s="93">
        <f>IF(29=29,IF($U29="","",SUMPRODUCT(--ISNUMBER(SEARCH(" "&amp;$CR$1445:$CR$1455&amp;" ",$BD29)))),"")</f>
        <v>0</v>
      </c>
      <c r="BF29" s="93" t="str">
        <f>IF(29=29,IF($U29="","",IF(BC29&gt;0,"X",IF(BE29&gt;0,"?",""))),"")</f>
        <v/>
      </c>
      <c r="BG29" s="93">
        <f>IF(29=29,IF($U29="","",SUMPRODUCT(--ISNUMBER(SEARCH(" "&amp;$CR$1456:$CR$1555&amp;" ",$BJ29)))),"")</f>
        <v>0</v>
      </c>
      <c r="BH29" s="93">
        <f>IF(29=29,IF($U29="","",SUMPRODUCT(--ISNUMBER(SEARCH(" "&amp;$CR$1556:$CR$1655&amp;" ",$BJ29)))),"")</f>
        <v>0</v>
      </c>
      <c r="BI29" s="93">
        <f>IF(29=29,IF($U29="","",SUMPRODUCT(--ISNUMBER(SEARCH(" "&amp;$CR$1656:$CR$1739&amp;" ",$BJ29)))),"")</f>
        <v>0</v>
      </c>
      <c r="BJ29" s="93" t="str">
        <f>IF(29=29,IF($U29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29,"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fond blanc de veau </v>
      </c>
      <c r="BK29" s="93">
        <f>IF(29=29,IF($U29="","",SUMPRODUCT(--ISNUMBER(SEARCH(" "&amp;$CR$1790:$CR$1869&amp;" ",$BL29)))+SUMPRODUCT(--ISNUMBER(SEARCH(" "&amp;$CR$2440:$CR$2453&amp;" ",$BL29)))),"")</f>
        <v>0</v>
      </c>
      <c r="BL29" s="93" t="str">
        <f>IF(29=29,IF($U29="","",SUBSTITUTE(SUBSTITUTE(SUBSTITUTE(SUBSTITUTE(SUBSTITUTE(SUBSTITUTE(SUBSTITUTE(SUBSTITUTE(SUBSTITUTE(SUBSTITUTE(SUBSTITUTE(SUBSTITUTE(SUBSTITUTE($BJ29," "&amp;$CR$1876&amp;" "," ")," "&amp;$CR$1874&amp;" "," ")," "&amp;$CR$2438&amp;" "," ")," "&amp;$CR$2439&amp;" "," ")," "&amp;$CR$1871&amp;" "," ")," "&amp;$CR$1875&amp;" "," ")," "&amp;$CR$1877&amp;" "," ")," "&amp;$CR$1872&amp;" "," ")," "&amp;$CR$1870&amp;" "," ")," "&amp;$CR$1367&amp;" "," ")," "&amp;$CR$1878&amp;" "," ")," "&amp;$CR$1366&amp;" "," ")," "&amp;$CR$1873&amp;" "," ")),"")</f>
        <v xml:space="preserve"> fond blanc de veau </v>
      </c>
      <c r="BM29" s="93" t="str">
        <f>IF(29=29,IF($U29="","",IF(SUM(BG29:BI29)+SUMPRODUCT(--ISNUMBER(SEARCH(" "&amp;$CR$2423:$CR$2424&amp;" ",$BJ29)))&gt;0,"X",IF(BK29&gt;0,"?",""))),"")</f>
        <v/>
      </c>
      <c r="BN29" s="93">
        <f>IF(29=29,IF($U29="","",SUMPRODUCT(--ISNUMBER(SEARCH(" "&amp;$CR$1879:$CR$1936&amp;" ",$BO29)))),"")</f>
        <v>0</v>
      </c>
      <c r="BO29" s="93" t="str">
        <f>IF(29=29,IF($U29="","",SUBSTITUTE(SUBSTITUTE(SUBSTITUTE(SUBSTITUTE(SUBSTITUTE(SUBSTITUTE(SUBSTITUTE(SUBSTITUTE(SUBSTITUTE(SUBSTITUTE(SUBSTITUTE(SUBSTITUTE(SUBSTITUTE(SUBSTITUTE(SUBSTITUTE(SUBSTITUTE(SUBSTITUTE(SUBSTITUTE(SUBSTITUTE(SUBSTITUTE(SUBSTITUTE(SUBSTITUTE(SUBSTITUTE($AA29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fond blanc de veau </v>
      </c>
      <c r="BP29" s="93">
        <f>IF(29=29,IF($U29="","",SUMPRODUCT(--ISNUMBER(SEARCH(" "&amp;$CR$1960:$CR$1976&amp;" ",$BO29)))),"")</f>
        <v>0</v>
      </c>
      <c r="BQ29" s="93" t="str">
        <f>IF(29=29,IF($U29="","",IF(BN29&gt;0,"X",IF(BP29&gt;0,"?",""))),"")</f>
        <v/>
      </c>
      <c r="BR29" s="93">
        <f>IF(29=29,IF($U29="","",SUMPRODUCT(--ISNUMBER(SEARCH(" "&amp;$CR$1977:$CR$1990&amp;" ",$AA29)))),"")</f>
        <v>0</v>
      </c>
      <c r="BS29" s="93">
        <f>IF(29=29,IF($U29="","",SUMPRODUCT(--ISNUMBER(SEARCH(" "&amp;$CR$1991:$CR$2005&amp;" ",$AA29)))),"")</f>
        <v>1</v>
      </c>
      <c r="BT29" s="93" t="str">
        <f>IF(29=29,IF($U29="","",IF((BR29)-(0)&gt;0,"X",IF((BS29)-(0)&gt;0,"?",""))),"")</f>
        <v>?</v>
      </c>
      <c r="BU29" s="93">
        <f>IF(29=29,IF($U29="","",SUMPRODUCT(--ISNUMBER(SEARCH(" "&amp;$CR$2006:$CR$2023&amp;" ",$AA29)))),"")</f>
        <v>0</v>
      </c>
      <c r="BV29" s="93">
        <f>IF(29=29,IF($U29="","",SUMPRODUCT(--ISNUMBER(SEARCH(" "&amp;$CR$2024:$CR$2038&amp;" ",$AA29)))),"")</f>
        <v>0</v>
      </c>
      <c r="BW29" s="93" t="str">
        <f>IF(29=29,IF($U29="","",IF((BU29)-(0)&gt;0,"X",IF((BV29)-(0)&gt;0,"?",""))),"")</f>
        <v/>
      </c>
      <c r="BX29" s="93">
        <f>IF(29=29,IF($U29="","",SUMPRODUCT(--ISNUMBER(SEARCH(" "&amp;$CR$2039:$CR$2057&amp;" ",$AA29)))),"")</f>
        <v>0</v>
      </c>
      <c r="BY29" s="93">
        <f>IF(29=29,IF($U29="","",SUMPRODUCT(--ISNUMBER(SEARCH(" "&amp;$CR$2058:$CR$2072&amp;" ",$AA29)))),"")</f>
        <v>0</v>
      </c>
      <c r="BZ29" s="93" t="str">
        <f>IF(29=29,IF($U29="","",IF((BX29)-(0)&gt;0,"X",IF((BY29)-(0)&gt;0,"?",""))),"")</f>
        <v/>
      </c>
      <c r="CA29" s="93">
        <f>IF(29=29,IF($U29="","",SUMPRODUCT(--ISNUMBER(SEARCH(" "&amp;$CR$2073:$CR$2093&amp;" ",$AA29)))),"")</f>
        <v>0</v>
      </c>
      <c r="CB29" s="93">
        <f>IF(29=29,IF($U29="","",SUMPRODUCT(--ISNUMBER(SEARCH(" "&amp;$CR$2094:$CR$2133&amp;" ",SUBSTITUTE(SUBSTITUTE($AA29," "&amp;$CR$1367&amp;" "," ")," "&amp;$CR$1366&amp;" "," "))))+--ISNUMBER(SEARCH("poiré",$V29))),"")</f>
        <v>0</v>
      </c>
      <c r="CC29" s="93" t="str">
        <f>IF(29=29,IF($U29="","",IF(OR(CA29&gt;0,ISNUMBER(SEARCH(" vinaigre de vin ",$AA29)),ISNUMBER(SEARCH(" vinaigre au vin ",$AA29))),"X",IF(CB29&gt;0,"?",""))),"")</f>
        <v/>
      </c>
      <c r="CD29" s="93">
        <f>IF(29=29,IF($U29="","",SUMPRODUCT(--ISNUMBER(SEARCH(" "&amp;$CR$2134:$CR$2146&amp;" ",$AA29)))),"")</f>
        <v>0</v>
      </c>
      <c r="CE29" s="93">
        <f>IF(29=29,IF($U29="","",SUMPRODUCT(--ISNUMBER(SEARCH(" "&amp;$CR$2147:$CR$2152&amp;" ",$AA29)))),"")</f>
        <v>0</v>
      </c>
      <c r="CF29" s="93" t="str">
        <f>IF(29=29,IF($U29="","",IF((CD29)-(0)&gt;0,"X",IF((CE29)-(0)&gt;0,"?",""))),"")</f>
        <v/>
      </c>
      <c r="CG29" s="93">
        <f>IF(29=29,IF($U29="","",SUMPRODUCT(--ISNUMBER(SEARCH(" "&amp;$CR$2153:$CR$2252&amp;" ",$CJ29)))),"")</f>
        <v>0</v>
      </c>
      <c r="CH29" s="93">
        <f>IF(29=29,IF($U29="","",SUMPRODUCT(--ISNUMBER(SEARCH(" "&amp;$CR$2253:$CR$2352&amp;" ",$CJ29)))),"")</f>
        <v>0</v>
      </c>
      <c r="CI29" s="93">
        <f>IF(29=29,IF($U29="","",SUMPRODUCT(--ISNUMBER(SEARCH(" "&amp;$CR$2353:$CR$2395&amp;" ",$CJ29)))),"")</f>
        <v>0</v>
      </c>
      <c r="CJ29" s="93" t="str">
        <f>IF(29=29,IF($U29="","",SUBSTITUTE(SUBSTITUTE(SUBSTITUTE(SUBSTITUTE(SUBSTITUTE(SUBSTITUTE(SUBSTITUTE(SUBSTITUTE(SUBSTITUTE(SUBSTITUTE(SUBSTITUTE(SUBSTITUTE(SUBSTITUTE(SUBSTITUTE(SUBSTITUTE(SUBSTITUTE($AA29," "&amp;$CR$2401&amp;" "," ")," "&amp;$CR$2400&amp;" "," ")," "&amp;$CR$2399&amp;" "," ")," "&amp;$CR$2406&amp;" "," ")," "&amp;$CR$2398&amp;" "," ")," "&amp;$CR$2410&amp;" "," ")," "&amp;$CR$2397&amp;" "," ")," "&amp;$CR$2402&amp;" "," ")," "&amp;$CR$2405&amp;" "," ")," "&amp;$CR$2396&amp;" "," ")," "&amp;$CR$2404&amp;" "," ")," "&amp;$CR$2411&amp;" "," ")," "&amp;$CR$2408&amp;" "," ")," "&amp;$CR$2403&amp;" "," ")," "&amp;$CR$2407&amp;" "," ")," "&amp;$CR$2409&amp;" "," ")),"")</f>
        <v xml:space="preserve"> fond blanc de veau </v>
      </c>
      <c r="CK29" s="93">
        <f>IF(29=29,IF($U29="","",SUMPRODUCT(--ISNUMBER(SEARCH(" "&amp;$CR$2412:$CR$2416&amp;" ",$CJ29)))),"")</f>
        <v>0</v>
      </c>
      <c r="CL29" s="93" t="str">
        <f>IF(29=29,IF($U29="","",IF(SUM(CG29:CI29)&gt;0,"X",IF(CK29&gt;0,"?",""))),"")</f>
        <v/>
      </c>
      <c r="CM29" s="102"/>
      <c r="CN29" s="112" t="s">
        <v>667</v>
      </c>
      <c r="CO29" s="112" t="s">
        <v>522</v>
      </c>
      <c r="CP29" s="112" t="s">
        <v>523</v>
      </c>
      <c r="CQ29" s="112" t="s">
        <v>668</v>
      </c>
      <c r="CR29" s="112" t="s">
        <v>668</v>
      </c>
      <c r="CS29" s="112" t="s">
        <v>525</v>
      </c>
      <c r="CT29" s="112" t="s">
        <v>526</v>
      </c>
      <c r="CU29" s="112" t="s">
        <v>527</v>
      </c>
      <c r="CV29" s="113" t="s">
        <v>528</v>
      </c>
      <c r="CX29" s="36">
        <v>1</v>
      </c>
    </row>
    <row r="30" spans="1:102" ht="21" customHeight="1" x14ac:dyDescent="0.25">
      <c r="A30" s="135">
        <v>24</v>
      </c>
      <c r="B30" s="136" t="s">
        <v>5868</v>
      </c>
      <c r="C30" s="137" t="str">
        <f t="shared" si="0"/>
        <v>Fumet de crustacés *</v>
      </c>
      <c r="D30" s="138" t="str">
        <f>IF(30=30,IF($B30="","",IF(E30="X",""&amp;"Céréales contenant du gluten","")&amp;IF(F30="X",IF(COUNTIF($E30:$E30,"X")&gt;0,", ","")&amp;"Crustacés","")&amp;IF(G30="X",IF(COUNTIF($E30:$F30,"X")&gt;0,", ","")&amp;"Œufs","")&amp;IF(H30="X",IF(COUNTIF($E30:$G30,"X")&gt;0,", ","")&amp;"Poissons","")&amp;IF(I30="X",IF(COUNTIF($E30:$H30,"X")&gt;0,", ","")&amp;"Arachides","")&amp;IF(J30="X",IF(COUNTIF($E30:$I30,"X")&gt;0,", ","")&amp;"Soja","")&amp;IF(K30="X",IF(COUNTIF($E30:$J30,"X")&gt;0,", ","")&amp;"Lait","")&amp;IF(L30="X",IF(COUNTIF($E30:$K30,"X")&gt;0,", ","")&amp;"Fruits à coque","")&amp;IF(M30="X",IF(COUNTIF($E30:$L30,"X")&gt;0,", ","")&amp;"Céleri","")&amp;IF(N30="X",IF(COUNTIF($E30:$M30,"X")&gt;0,", ","")&amp;"Moutarde","")&amp;IF(O30="X",IF(COUNTIF($E30:$N30,"X")&gt;0,", ","")&amp;"Sésame","")&amp;IF(P30="X",IF(COUNTIF($E30:$O30,"X")&gt;0,", ","")&amp;"Sulfites","")&amp;IF(Q30="X",IF(COUNTIF($E30:$P30,"X")&gt;0,", ","")&amp;"Lupin","")&amp;IF(R30="X",IF(COUNTIF($E30:$Q30,"X")&gt;0,", ","")&amp;"Mollusques","")),"")</f>
        <v>Crustacés</v>
      </c>
      <c r="E30" s="139" t="str">
        <f>IF(30=30,IF($B30="","",AF30),"")</f>
        <v/>
      </c>
      <c r="F30" s="139" t="str">
        <f>IF(30=30,IF($B30="","",AI30),"")</f>
        <v>X</v>
      </c>
      <c r="G30" s="139" t="str">
        <f>IF(30=30,IF($B30="","",AM30),"")</f>
        <v/>
      </c>
      <c r="H30" s="139" t="str">
        <f>IF(30=30,IF($B30="","",IF(ISNUMBER(SEARCH(" colin ",$AA30)),"X",AZ30)),"")</f>
        <v/>
      </c>
      <c r="I30" s="139" t="str">
        <f>IF(30=30,IF($B30="","",BB30),"")</f>
        <v/>
      </c>
      <c r="J30" s="139" t="str">
        <f>IF(30=30,IF($B30="","",BF30),"")</f>
        <v/>
      </c>
      <c r="K30" s="139" t="str">
        <f>IF(30=30,IF($B30="","",BM30),"")</f>
        <v/>
      </c>
      <c r="L30" s="139" t="str">
        <f>IF(30=30,IF($B30="","",BQ30),"")</f>
        <v/>
      </c>
      <c r="M30" s="139" t="str">
        <f>IF(30=30,IF($B30="","",BT30),"")</f>
        <v/>
      </c>
      <c r="N30" s="139" t="str">
        <f>IF(30=30,IF($B30="","",BW30),"")</f>
        <v/>
      </c>
      <c r="O30" s="139" t="str">
        <f>IF(30=30,IF($B30="","",BZ30),"")</f>
        <v/>
      </c>
      <c r="P30" s="139" t="str">
        <f>IF(30=30,IF($B30="","",CC30),"")</f>
        <v/>
      </c>
      <c r="Q30" s="139" t="str">
        <f>IF(30=30,IF($B30="","",CF30),"")</f>
        <v/>
      </c>
      <c r="R30" s="139" t="str">
        <f>IF(30=30,IF($B30="","",CL30),"")</f>
        <v/>
      </c>
      <c r="S30" s="140" t="str">
        <f>IF(30=30,IF($B30="","",IF(E30="?",""&amp;"Céréales contenant du gluten","")&amp;IF(F30="?",IF(COUNTIF($E30:$E30,"~?")&gt;0,", ","")&amp;"Crustacés","")&amp;IF(G30="?",IF(COUNTIF($E30:$F30,"~?")&gt;0,", ","")&amp;"Œufs","")&amp;IF(H30="?",IF(COUNTIF($E30:$G30,"~?")&gt;0,", ","")&amp;"Poissons","")&amp;IF(I30="?",IF(COUNTIF($E30:$H30,"~?")&gt;0,", ","")&amp;"Arachides","")&amp;IF(J30="?",IF(COUNTIF($E30:$I30,"~?")&gt;0,", ","")&amp;"Soja","")&amp;IF(K30="?",IF(COUNTIF($E30:$J30,"~?")&gt;0,", ","")&amp;"Lait","")&amp;IF(L30="?",IF(COUNTIF($E30:$K30,"~?")&gt;0,", ","")&amp;"Fruits à coque","")&amp;IF(M30="?",IF(COUNTIF($E30:$L30,"~?")&gt;0,", ","")&amp;"Céleri","")&amp;IF(N30="?",IF(COUNTIF($E30:$M30,"~?")&gt;0,", ","")&amp;"Moutarde","")&amp;IF(O30="?",IF(COUNTIF($E30:$N30,"~?")&gt;0,", ","")&amp;"Sésame","")&amp;IF(P30="?",IF(COUNTIF($E30:$O30,"~?")&gt;0,", ","")&amp;"Sulfites","")&amp;IF(Q30="?",IF(COUNTIF($E30:$P30,"~?")&gt;0,", ","")&amp;"Lupin","")&amp;IF(R30="?",IF(COUNTIF($E30:$Q30,"~?")&gt;0,", ","")&amp;"Mollusques","")),"")</f>
        <v/>
      </c>
      <c r="U30" s="93" t="str">
        <f>IF(30=30,IF($B30="","",$B30),"")</f>
        <v xml:space="preserve">Fumet de crustacés </v>
      </c>
      <c r="V30" s="93" t="str">
        <f>IF(30=30,LOWER(CLEAN(SUBSTITUTE(SUBSTITUTE(SUBSTITUTE(SUBSTITUTE($U30,CHAR(160)," ")," "," "),CHAR(10)," "),CHAR(13)," "))),"")</f>
        <v xml:space="preserve">fumet de crustacés </v>
      </c>
      <c r="W30" s="93" t="str">
        <f>IF(30=30,SUBSTITUTE(SUBSTITUTE(SUBSTITUTE(SUBSTITUTE(SUBSTITUTE(SUBSTITUTE(SUBSTITUTE(SUBSTITUTE(SUBSTITUTE(SUBSTITUTE(SUBSTITUTE(SUBSTITUTE($V30,"œ","oe"),"æ","ae"),"à","a"),"á","a"),"â","a"),"ä","a"),"ã","a"),"ç","c"),"è","e"),"é","e"),"ê","e"),"ë","e"),"")</f>
        <v xml:space="preserve">fumet de crustaces </v>
      </c>
      <c r="X30" s="93" t="str">
        <f>IF(30=30,SUBSTITUTE(SUBSTITUTE(SUBSTITUTE(SUBSTITUTE(SUBSTITUTE(SUBSTITUTE(SUBSTITUTE(SUBSTITUTE(SUBSTITUTE(SUBSTITUTE(SUBSTITUTE(SUBSTITUTE(SUBSTITUTE(SUBSTITUTE(SUBSTITUTE(SUBSTITUTE($W30,"ì","i"),"í","i"),"î","i"),"ï","i"),"ñ","n"),"ò","o"),"ó","o"),"ô","o"),"ö","o"),"õ","o"),"ù","u"),"ú","u"),"û","u"),"ü","u"),"ý","y"),"ÿ","y"),"")</f>
        <v xml:space="preserve">fumet de crustaces </v>
      </c>
      <c r="Y30" s="93" t="str">
        <f>IF(30=30,SUBSTITUTE(SUBSTITUTE(SUBSTITUTE(SUBSTITUTE(SUBSTITUTE(SUBSTITUTE(SUBSTITUTE(SUBSTITUTE(SUBSTITUTE(SUBSTITUTE(SUBSTITUTE(SUBSTITUTE(SUBSTITUTE(SUBSTITUTE($X30,"’"," "),"`"," "),"–"," "),"—"," "),"-"," "),"'"," "),"/"," "),"_"," "),","," "),"."," "),"("," "),")"," "),";"," "),":"," "),"")</f>
        <v xml:space="preserve">fumet de crustaces </v>
      </c>
      <c r="Z30" s="93" t="str">
        <f>IF(30=30,SUBSTITUTE(SUBSTITUTE(SUBSTITUTE(SUBSTITUTE(SUBSTITUTE(SUBSTITUTE(SUBSTITUTE(SUBSTITUTE(SUBSTITUTE(SUBSTITUTE(SUBSTITUTE(SUBSTITUTE(SUBSTITUTE(SUBSTITUTE(SUBSTITUTE($Y30,"!"," "),"?"," "),"+"," "),"*"," "),"&amp;"," "),"["," "),"]"," "),"{"," "),"}"," "),"%"," "),"="," "),"\"," "),"|"," "),"&lt;"," "),"&gt;"," "),"")</f>
        <v xml:space="preserve">fumet de crustaces </v>
      </c>
      <c r="AA30" s="93" t="str">
        <f>IF(30=30," "&amp;TRIM(SUBSTITUTE(SUBSTITUTE(SUBSTITUTE(SUBSTITUTE(SUBSTITUTE(SUBSTITUTE($Z30,CHAR(34)," "),"  "," "),"  "," "),"  "," "),"  "," "),"  "," "))&amp;" ","")</f>
        <v xml:space="preserve"> fumet de crustaces </v>
      </c>
      <c r="AB30" s="93">
        <f>IF(30=30,IF($U30="","",SUMPRODUCT(--ISNUMBER(SEARCH(" "&amp;$CR$2:$CR$101&amp;" ",$AD30)))),"")</f>
        <v>0</v>
      </c>
      <c r="AC30" s="93">
        <f>IF(30=30,IF($U30="","",SUMPRODUCT(--ISNUMBER(SEARCH(" "&amp;$CR$102:$CR$151&amp;" ",$AD30)))),"")</f>
        <v>0</v>
      </c>
      <c r="AD30" s="93" t="str">
        <f t="shared" si="1"/>
        <v xml:space="preserve"> fumet de crustaces </v>
      </c>
      <c r="AE30" s="93">
        <f t="shared" si="2"/>
        <v>0</v>
      </c>
      <c r="AF30" s="93" t="str">
        <f>IF(30=30,IF($U30="","",IF(SUM(AB30:AC30)+SUMPRODUCT(--ISNUMBER(SEARCH(" "&amp;$CR$2418:$CR$2420&amp;" ",$AD30)))&gt;0,"X",IF(AE30&gt;0,"?",""))),"")</f>
        <v/>
      </c>
      <c r="AG30" s="93">
        <f>IF(30=30,IF($U30="","",SUMPRODUCT(--ISNUMBER(SEARCH(" "&amp;$CR$206:$CR$305&amp;" ",$AA30)))),"")</f>
        <v>1</v>
      </c>
      <c r="AH30" s="93">
        <f>IF(30=30,IF($U30="","",SUMPRODUCT(--ISNUMBER(SEARCH(" "&amp;$CR$306:$CR$340&amp;" ",$AA30)))),"")</f>
        <v>0</v>
      </c>
      <c r="AI30" s="93" t="str">
        <f>IF(30=30,IF($U30="","",IF((SUM(AG30:AH30))-(0)&gt;0,"X",IF((0)-(0)&gt;0,"?",""))),"")</f>
        <v>X</v>
      </c>
      <c r="AJ30" s="93">
        <f>IF(30=30,IF($U30="","",SUMPRODUCT(--ISNUMBER(SEARCH(" "&amp;$CR$341:$CR$398&amp;" ",$AA30)))),"")</f>
        <v>0</v>
      </c>
      <c r="AK30" s="93">
        <f>IF(30=30,IF($U30="","",SUMPRODUCT(--ISNUMBER(SEARCH(" "&amp;$CR$399:$CR$426&amp;" ",$AL30)))+SUMPRODUCT(--ISNUMBER(SEARCH(" "&amp;$CR$2440:$CR$2453&amp;" ",$AL30)))),"")</f>
        <v>0</v>
      </c>
      <c r="AL30" s="93" t="str">
        <f>IF(30=30,IF($U30="","",SUBSTITUTE(SUBSTITUTE(SUBSTITUTE(SUBSTITUTE(SUBSTITUTE(SUBSTITUTE(SUBSTITUTE(SUBSTITUTE(SUBSTITUTE(SUBSTITUTE(SUBSTITUTE(SUBSTITUTE(SUBSTITUTE(SUBSTITUTE($AA30," "&amp;$CR$2455&amp;" "," ")," "&amp;$CR$433&amp;" "," ")," "&amp;$CR$431&amp;" "," ")," "&amp;$CR$2438&amp;" "," ")," "&amp;$CR$2439&amp;" "," ")," "&amp;$CR$428&amp;" "," ")," "&amp;$CR$432&amp;" "," ")," "&amp;$CR$434&amp;" "," ")," "&amp;$CR$429&amp;" "," ")," "&amp;$CR$427&amp;" "," ")," "&amp;$CR$1367&amp;" "," ")," "&amp;$CR$435&amp;" "," ")," "&amp;$CR$1366&amp;" "," ")," "&amp;$CR$430&amp;" "," ")),"")</f>
        <v xml:space="preserve"> fumet de crustaces </v>
      </c>
      <c r="AM30" s="93" t="str">
        <f>IF(30=30,IF($U30="","",IF(AJ30&gt;0,"X",IF(AK30&gt;0,"?",""))),"")</f>
        <v/>
      </c>
      <c r="AN30" s="93">
        <f>IF(30=30,IF($U30="","",SUMPRODUCT(--ISNUMBER(SEARCH(" "&amp;$CR$436:$CR$535&amp;" ",$AX30)))),"")</f>
        <v>0</v>
      </c>
      <c r="AO30" s="93">
        <f>IF(30=30,IF($U30="","",SUMPRODUCT(--ISNUMBER(SEARCH(" "&amp;$CR$536:$CR$635&amp;" ",$AX30)))),"")</f>
        <v>0</v>
      </c>
      <c r="AP30" s="93">
        <f>IF(30=30,IF($U30="","",SUMPRODUCT(--ISNUMBER(SEARCH(" "&amp;$CR$636:$CR$735&amp;" ",$AX30)))),"")</f>
        <v>0</v>
      </c>
      <c r="AQ30" s="93">
        <f>IF(30=30,IF($U30="","",SUMPRODUCT(--ISNUMBER(SEARCH(" "&amp;$CR$736:$CR$835&amp;" ",$AX30)))),"")</f>
        <v>0</v>
      </c>
      <c r="AR30" s="93">
        <f>IF(30=30,IF($U30="","",SUMPRODUCT(--ISNUMBER(SEARCH(" "&amp;$CR$836:$CR$935&amp;" ",$AX30)))),"")</f>
        <v>0</v>
      </c>
      <c r="AS30" s="93">
        <f>IF(30=30,IF($U30="","",SUMPRODUCT(--ISNUMBER(SEARCH(" "&amp;$CR$936:$CR$1035&amp;" ",$AX30)))),"")</f>
        <v>0</v>
      </c>
      <c r="AT30" s="93">
        <f>IF(30=30,IF($U30="","",SUMPRODUCT(--ISNUMBER(SEARCH(" "&amp;$CR$1036:$CR$1135&amp;" ",$AX30)))),"")</f>
        <v>0</v>
      </c>
      <c r="AU30" s="93">
        <f>IF(30=30,IF($U30="","",SUMPRODUCT(--ISNUMBER(SEARCH(" "&amp;$CR$1136:$CR$1235&amp;" ",$AX30)))),"")</f>
        <v>0</v>
      </c>
      <c r="AV30" s="93">
        <f>IF(30=30,IF($U30="","",SUMPRODUCT(--ISNUMBER(SEARCH(" "&amp;$CR$1236:$CR$1335&amp;" ",$AX30)))),"")</f>
        <v>0</v>
      </c>
      <c r="AW30" s="93">
        <f>IF(30=30,IF($U30="","",SUMPRODUCT(--ISNUMBER(SEARCH(" "&amp;$CR$1336:$CR$1363&amp;" ",$AX30)))),"")</f>
        <v>0</v>
      </c>
      <c r="AX30" s="93" t="str">
        <f>IF(30=30,IF($U30="","",SUBSTITUTE(SUBSTITUTE(SUBSTITUTE(SUBSTITUTE(SUBSTITUTE(SUBSTITUTE(SUBSTITUTE(SUBSTITUTE(SUBSTITUTE($AA30," "&amp;$CR$1365&amp;" "," ")," "&amp;$CR$1364&amp;" "," ")," "&amp;$CR$1370&amp;" "," ")," "&amp;$CR$1371&amp;" "," ")," "&amp;$CR$1367&amp;" "," ")," "&amp;$CR$1369&amp;" "," ")," "&amp;$CR$1366&amp;" "," ")," "&amp;$CR$1368&amp;" "," ")," "&amp;$CR$1372&amp;" "," ")),"")</f>
        <v xml:space="preserve"> fumet de crustaces </v>
      </c>
      <c r="AY30" s="93">
        <f>IF(30=30,IF($U30="","",SUMPRODUCT(--ISNUMBER(SEARCH(" "&amp;$CR$1373:$CR$1383&amp;" ",$AX30)))),"")</f>
        <v>0</v>
      </c>
      <c r="AZ30" s="93" t="str">
        <f>IF(30=30,IF($U30="","",IF(SUM(AN30:AW30)+SUMPRODUCT(--ISNUMBER(SEARCH(" "&amp;$CR$2421:$CR$2422&amp;" ",$AX30)))&gt;0,"X",IF(AY30&gt;0,"?",""))),"")</f>
        <v/>
      </c>
      <c r="BA30" s="93">
        <f>IF(30=30,IF($U30="","",SUMPRODUCT(--ISNUMBER(SEARCH(" "&amp;$CR$1384:$CR$1404&amp;" ",$AA30)))),"")</f>
        <v>0</v>
      </c>
      <c r="BB30" s="93" t="str">
        <f>IF(30=30,IF($U30="","",IF((BA30)-(0)&gt;0,"X",IF((0)-(0)&gt;0,"?",""))),"")</f>
        <v/>
      </c>
      <c r="BC30" s="93">
        <f>IF(30=30,IF($U30="","",SUMPRODUCT(--ISNUMBER(SEARCH(" "&amp;$CR$1405:$CR$1442&amp;" ",$BD30)))),"")</f>
        <v>0</v>
      </c>
      <c r="BD30" s="93" t="str">
        <f>IF(30=30,IF($U30="","",SUBSTITUTE(SUBSTITUTE($AA30," "&amp;$CR$1443&amp;" "," ")," "&amp;$CR$1444&amp;" "," ")),"")</f>
        <v xml:space="preserve"> fumet de crustaces </v>
      </c>
      <c r="BE30" s="93">
        <f>IF(30=30,IF($U30="","",SUMPRODUCT(--ISNUMBER(SEARCH(" "&amp;$CR$1445:$CR$1455&amp;" ",$BD30)))),"")</f>
        <v>0</v>
      </c>
      <c r="BF30" s="93" t="str">
        <f>IF(30=30,IF($U30="","",IF(BC30&gt;0,"X",IF(BE30&gt;0,"?",""))),"")</f>
        <v/>
      </c>
      <c r="BG30" s="93">
        <f>IF(30=30,IF($U30="","",SUMPRODUCT(--ISNUMBER(SEARCH(" "&amp;$CR$1456:$CR$1555&amp;" ",$BJ30)))),"")</f>
        <v>0</v>
      </c>
      <c r="BH30" s="93">
        <f>IF(30=30,IF($U30="","",SUMPRODUCT(--ISNUMBER(SEARCH(" "&amp;$CR$1556:$CR$1655&amp;" ",$BJ30)))),"")</f>
        <v>0</v>
      </c>
      <c r="BI30" s="93">
        <f>IF(30=30,IF($U30="","",SUMPRODUCT(--ISNUMBER(SEARCH(" "&amp;$CR$1656:$CR$1739&amp;" ",$BJ30)))),"")</f>
        <v>0</v>
      </c>
      <c r="BJ30" s="93" t="str">
        <f>IF(30=30,IF($U30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30,"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fumet de crustaces </v>
      </c>
      <c r="BK30" s="93">
        <f>IF(30=30,IF($U30="","",SUMPRODUCT(--ISNUMBER(SEARCH(" "&amp;$CR$1790:$CR$1869&amp;" ",$BL30)))+SUMPRODUCT(--ISNUMBER(SEARCH(" "&amp;$CR$2440:$CR$2453&amp;" ",$BL30)))),"")</f>
        <v>0</v>
      </c>
      <c r="BL30" s="93" t="str">
        <f>IF(30=30,IF($U30="","",SUBSTITUTE(SUBSTITUTE(SUBSTITUTE(SUBSTITUTE(SUBSTITUTE(SUBSTITUTE(SUBSTITUTE(SUBSTITUTE(SUBSTITUTE(SUBSTITUTE(SUBSTITUTE(SUBSTITUTE(SUBSTITUTE($BJ30," "&amp;$CR$1876&amp;" "," ")," "&amp;$CR$1874&amp;" "," ")," "&amp;$CR$2438&amp;" "," ")," "&amp;$CR$2439&amp;" "," ")," "&amp;$CR$1871&amp;" "," ")," "&amp;$CR$1875&amp;" "," ")," "&amp;$CR$1877&amp;" "," ")," "&amp;$CR$1872&amp;" "," ")," "&amp;$CR$1870&amp;" "," ")," "&amp;$CR$1367&amp;" "," ")," "&amp;$CR$1878&amp;" "," ")," "&amp;$CR$1366&amp;" "," ")," "&amp;$CR$1873&amp;" "," ")),"")</f>
        <v xml:space="preserve"> fumet de crustaces </v>
      </c>
      <c r="BM30" s="93" t="str">
        <f>IF(30=30,IF($U30="","",IF(SUM(BG30:BI30)+SUMPRODUCT(--ISNUMBER(SEARCH(" "&amp;$CR$2423:$CR$2424&amp;" ",$BJ30)))&gt;0,"X",IF(BK30&gt;0,"?",""))),"")</f>
        <v/>
      </c>
      <c r="BN30" s="93">
        <f>IF(30=30,IF($U30="","",SUMPRODUCT(--ISNUMBER(SEARCH(" "&amp;$CR$1879:$CR$1936&amp;" ",$BO30)))),"")</f>
        <v>0</v>
      </c>
      <c r="BO30" s="93" t="str">
        <f>IF(30=30,IF($U30="","",SUBSTITUTE(SUBSTITUTE(SUBSTITUTE(SUBSTITUTE(SUBSTITUTE(SUBSTITUTE(SUBSTITUTE(SUBSTITUTE(SUBSTITUTE(SUBSTITUTE(SUBSTITUTE(SUBSTITUTE(SUBSTITUTE(SUBSTITUTE(SUBSTITUTE(SUBSTITUTE(SUBSTITUTE(SUBSTITUTE(SUBSTITUTE(SUBSTITUTE(SUBSTITUTE(SUBSTITUTE(SUBSTITUTE($AA30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fumet de crustaces </v>
      </c>
      <c r="BP30" s="93">
        <f>IF(30=30,IF($U30="","",SUMPRODUCT(--ISNUMBER(SEARCH(" "&amp;$CR$1960:$CR$1976&amp;" ",$BO30)))),"")</f>
        <v>0</v>
      </c>
      <c r="BQ30" s="93" t="str">
        <f>IF(30=30,IF($U30="","",IF(BN30&gt;0,"X",IF(BP30&gt;0,"?",""))),"")</f>
        <v/>
      </c>
      <c r="BR30" s="93">
        <f>IF(30=30,IF($U30="","",SUMPRODUCT(--ISNUMBER(SEARCH(" "&amp;$CR$1977:$CR$1990&amp;" ",$AA30)))),"")</f>
        <v>0</v>
      </c>
      <c r="BS30" s="93">
        <f>IF(30=30,IF($U30="","",SUMPRODUCT(--ISNUMBER(SEARCH(" "&amp;$CR$1991:$CR$2005&amp;" ",$AA30)))),"")</f>
        <v>0</v>
      </c>
      <c r="BT30" s="93" t="str">
        <f>IF(30=30,IF($U30="","",IF((BR30)-(0)&gt;0,"X",IF((BS30)-(0)&gt;0,"?",""))),"")</f>
        <v/>
      </c>
      <c r="BU30" s="93">
        <f>IF(30=30,IF($U30="","",SUMPRODUCT(--ISNUMBER(SEARCH(" "&amp;$CR$2006:$CR$2023&amp;" ",$AA30)))),"")</f>
        <v>0</v>
      </c>
      <c r="BV30" s="93">
        <f>IF(30=30,IF($U30="","",SUMPRODUCT(--ISNUMBER(SEARCH(" "&amp;$CR$2024:$CR$2038&amp;" ",$AA30)))),"")</f>
        <v>0</v>
      </c>
      <c r="BW30" s="93" t="str">
        <f>IF(30=30,IF($U30="","",IF((BU30)-(0)&gt;0,"X",IF((BV30)-(0)&gt;0,"?",""))),"")</f>
        <v/>
      </c>
      <c r="BX30" s="93">
        <f>IF(30=30,IF($U30="","",SUMPRODUCT(--ISNUMBER(SEARCH(" "&amp;$CR$2039:$CR$2057&amp;" ",$AA30)))),"")</f>
        <v>0</v>
      </c>
      <c r="BY30" s="93">
        <f>IF(30=30,IF($U30="","",SUMPRODUCT(--ISNUMBER(SEARCH(" "&amp;$CR$2058:$CR$2072&amp;" ",$AA30)))),"")</f>
        <v>0</v>
      </c>
      <c r="BZ30" s="93" t="str">
        <f>IF(30=30,IF($U30="","",IF((BX30)-(0)&gt;0,"X",IF((BY30)-(0)&gt;0,"?",""))),"")</f>
        <v/>
      </c>
      <c r="CA30" s="93">
        <f>IF(30=30,IF($U30="","",SUMPRODUCT(--ISNUMBER(SEARCH(" "&amp;$CR$2073:$CR$2093&amp;" ",$AA30)))),"")</f>
        <v>0</v>
      </c>
      <c r="CB30" s="93">
        <f>IF(30=30,IF($U30="","",SUMPRODUCT(--ISNUMBER(SEARCH(" "&amp;$CR$2094:$CR$2133&amp;" ",SUBSTITUTE(SUBSTITUTE($AA30," "&amp;$CR$1367&amp;" "," ")," "&amp;$CR$1366&amp;" "," "))))+--ISNUMBER(SEARCH("poiré",$V30))),"")</f>
        <v>0</v>
      </c>
      <c r="CC30" s="93" t="str">
        <f>IF(30=30,IF($U30="","",IF(OR(CA30&gt;0,ISNUMBER(SEARCH(" vinaigre de vin ",$AA30)),ISNUMBER(SEARCH(" vinaigre au vin ",$AA30))),"X",IF(CB30&gt;0,"?",""))),"")</f>
        <v/>
      </c>
      <c r="CD30" s="93">
        <f>IF(30=30,IF($U30="","",SUMPRODUCT(--ISNUMBER(SEARCH(" "&amp;$CR$2134:$CR$2146&amp;" ",$AA30)))),"")</f>
        <v>0</v>
      </c>
      <c r="CE30" s="93">
        <f>IF(30=30,IF($U30="","",SUMPRODUCT(--ISNUMBER(SEARCH(" "&amp;$CR$2147:$CR$2152&amp;" ",$AA30)))),"")</f>
        <v>0</v>
      </c>
      <c r="CF30" s="93" t="str">
        <f>IF(30=30,IF($U30="","",IF((CD30)-(0)&gt;0,"X",IF((CE30)-(0)&gt;0,"?",""))),"")</f>
        <v/>
      </c>
      <c r="CG30" s="93">
        <f>IF(30=30,IF($U30="","",SUMPRODUCT(--ISNUMBER(SEARCH(" "&amp;$CR$2153:$CR$2252&amp;" ",$CJ30)))),"")</f>
        <v>0</v>
      </c>
      <c r="CH30" s="93">
        <f>IF(30=30,IF($U30="","",SUMPRODUCT(--ISNUMBER(SEARCH(" "&amp;$CR$2253:$CR$2352&amp;" ",$CJ30)))),"")</f>
        <v>0</v>
      </c>
      <c r="CI30" s="93">
        <f>IF(30=30,IF($U30="","",SUMPRODUCT(--ISNUMBER(SEARCH(" "&amp;$CR$2353:$CR$2395&amp;" ",$CJ30)))),"")</f>
        <v>0</v>
      </c>
      <c r="CJ30" s="93" t="str">
        <f>IF(30=30,IF($U30="","",SUBSTITUTE(SUBSTITUTE(SUBSTITUTE(SUBSTITUTE(SUBSTITUTE(SUBSTITUTE(SUBSTITUTE(SUBSTITUTE(SUBSTITUTE(SUBSTITUTE(SUBSTITUTE(SUBSTITUTE(SUBSTITUTE(SUBSTITUTE(SUBSTITUTE(SUBSTITUTE($AA30," "&amp;$CR$2401&amp;" "," ")," "&amp;$CR$2400&amp;" "," ")," "&amp;$CR$2399&amp;" "," ")," "&amp;$CR$2406&amp;" "," ")," "&amp;$CR$2398&amp;" "," ")," "&amp;$CR$2410&amp;" "," ")," "&amp;$CR$2397&amp;" "," ")," "&amp;$CR$2402&amp;" "," ")," "&amp;$CR$2405&amp;" "," ")," "&amp;$CR$2396&amp;" "," ")," "&amp;$CR$2404&amp;" "," ")," "&amp;$CR$2411&amp;" "," ")," "&amp;$CR$2408&amp;" "," ")," "&amp;$CR$2403&amp;" "," ")," "&amp;$CR$2407&amp;" "," ")," "&amp;$CR$2409&amp;" "," ")),"")</f>
        <v xml:space="preserve"> fumet de crustaces </v>
      </c>
      <c r="CK30" s="93">
        <f>IF(30=30,IF($U30="","",SUMPRODUCT(--ISNUMBER(SEARCH(" "&amp;$CR$2412:$CR$2416&amp;" ",$CJ30)))),"")</f>
        <v>0</v>
      </c>
      <c r="CL30" s="93" t="str">
        <f>IF(30=30,IF($U30="","",IF(SUM(CG30:CI30)&gt;0,"X",IF(CK30&gt;0,"?",""))),"")</f>
        <v/>
      </c>
      <c r="CM30" s="102"/>
      <c r="CN30" s="112" t="s">
        <v>670</v>
      </c>
      <c r="CO30" s="112" t="s">
        <v>522</v>
      </c>
      <c r="CP30" s="112" t="s">
        <v>523</v>
      </c>
      <c r="CQ30" s="112" t="s">
        <v>671</v>
      </c>
      <c r="CR30" s="112" t="s">
        <v>671</v>
      </c>
      <c r="CS30" s="112" t="s">
        <v>525</v>
      </c>
      <c r="CT30" s="112" t="s">
        <v>526</v>
      </c>
      <c r="CU30" s="112" t="s">
        <v>527</v>
      </c>
      <c r="CV30" s="113" t="s">
        <v>528</v>
      </c>
      <c r="CX30" s="36">
        <v>1</v>
      </c>
    </row>
    <row r="31" spans="1:102" ht="21" customHeight="1" x14ac:dyDescent="0.25">
      <c r="A31" s="135">
        <v>25</v>
      </c>
      <c r="B31" s="136" t="s">
        <v>5869</v>
      </c>
      <c r="C31" s="137" t="str">
        <f t="shared" si="0"/>
        <v>Glace de poisson *</v>
      </c>
      <c r="D31" s="138" t="str">
        <f>IF(31=31,IF($B31="","",IF(E31="X",""&amp;"Céréales contenant du gluten","")&amp;IF(F31="X",IF(COUNTIF($E31:$E31,"X")&gt;0,", ","")&amp;"Crustacés","")&amp;IF(G31="X",IF(COUNTIF($E31:$F31,"X")&gt;0,", ","")&amp;"Œufs","")&amp;IF(H31="X",IF(COUNTIF($E31:$G31,"X")&gt;0,", ","")&amp;"Poissons","")&amp;IF(I31="X",IF(COUNTIF($E31:$H31,"X")&gt;0,", ","")&amp;"Arachides","")&amp;IF(J31="X",IF(COUNTIF($E31:$I31,"X")&gt;0,", ","")&amp;"Soja","")&amp;IF(K31="X",IF(COUNTIF($E31:$J31,"X")&gt;0,", ","")&amp;"Lait","")&amp;IF(L31="X",IF(COUNTIF($E31:$K31,"X")&gt;0,", ","")&amp;"Fruits à coque","")&amp;IF(M31="X",IF(COUNTIF($E31:$L31,"X")&gt;0,", ","")&amp;"Céleri","")&amp;IF(N31="X",IF(COUNTIF($E31:$M31,"X")&gt;0,", ","")&amp;"Moutarde","")&amp;IF(O31="X",IF(COUNTIF($E31:$N31,"X")&gt;0,", ","")&amp;"Sésame","")&amp;IF(P31="X",IF(COUNTIF($E31:$O31,"X")&gt;0,", ","")&amp;"Sulfites","")&amp;IF(Q31="X",IF(COUNTIF($E31:$P31,"X")&gt;0,", ","")&amp;"Lupin","")&amp;IF(R31="X",IF(COUNTIF($E31:$Q31,"X")&gt;0,", ","")&amp;"Mollusques","")),"")</f>
        <v>Poissons</v>
      </c>
      <c r="E31" s="139" t="str">
        <f>IF(31=31,IF($B31="","",AF31),"")</f>
        <v/>
      </c>
      <c r="F31" s="139" t="str">
        <f>IF(31=31,IF($B31="","",AI31),"")</f>
        <v/>
      </c>
      <c r="G31" s="139" t="str">
        <f>IF(31=31,IF($B31="","",AM31),"")</f>
        <v>?</v>
      </c>
      <c r="H31" s="139" t="str">
        <f>IF(31=31,IF($B31="","",IF(ISNUMBER(SEARCH(" colin ",$AA31)),"X",AZ31)),"")</f>
        <v>X</v>
      </c>
      <c r="I31" s="139" t="str">
        <f>IF(31=31,IF($B31="","",BB31),"")</f>
        <v/>
      </c>
      <c r="J31" s="139" t="str">
        <f>IF(31=31,IF($B31="","",BF31),"")</f>
        <v/>
      </c>
      <c r="K31" s="139" t="str">
        <f>IF(31=31,IF($B31="","",BM31),"")</f>
        <v>?</v>
      </c>
      <c r="L31" s="139" t="str">
        <f>IF(31=31,IF($B31="","",BQ31),"")</f>
        <v/>
      </c>
      <c r="M31" s="139" t="str">
        <f>IF(31=31,IF($B31="","",BT31),"")</f>
        <v/>
      </c>
      <c r="N31" s="139" t="str">
        <f>IF(31=31,IF($B31="","",BW31),"")</f>
        <v/>
      </c>
      <c r="O31" s="139" t="str">
        <f>IF(31=31,IF($B31="","",BZ31),"")</f>
        <v/>
      </c>
      <c r="P31" s="139" t="str">
        <f>IF(31=31,IF($B31="","",CC31),"")</f>
        <v/>
      </c>
      <c r="Q31" s="139" t="str">
        <f>IF(31=31,IF($B31="","",CF31),"")</f>
        <v/>
      </c>
      <c r="R31" s="139" t="str">
        <f>IF(31=31,IF($B31="","",CL31),"")</f>
        <v/>
      </c>
      <c r="S31" s="140" t="str">
        <f>IF(31=31,IF($B31="","",IF(E31="?",""&amp;"Céréales contenant du gluten","")&amp;IF(F31="?",IF(COUNTIF($E31:$E31,"~?")&gt;0,", ","")&amp;"Crustacés","")&amp;IF(G31="?",IF(COUNTIF($E31:$F31,"~?")&gt;0,", ","")&amp;"Œufs","")&amp;IF(H31="?",IF(COUNTIF($E31:$G31,"~?")&gt;0,", ","")&amp;"Poissons","")&amp;IF(I31="?",IF(COUNTIF($E31:$H31,"~?")&gt;0,", ","")&amp;"Arachides","")&amp;IF(J31="?",IF(COUNTIF($E31:$I31,"~?")&gt;0,", ","")&amp;"Soja","")&amp;IF(K31="?",IF(COUNTIF($E31:$J31,"~?")&gt;0,", ","")&amp;"Lait","")&amp;IF(L31="?",IF(COUNTIF($E31:$K31,"~?")&gt;0,", ","")&amp;"Fruits à coque","")&amp;IF(M31="?",IF(COUNTIF($E31:$L31,"~?")&gt;0,", ","")&amp;"Céleri","")&amp;IF(N31="?",IF(COUNTIF($E31:$M31,"~?")&gt;0,", ","")&amp;"Moutarde","")&amp;IF(O31="?",IF(COUNTIF($E31:$N31,"~?")&gt;0,", ","")&amp;"Sésame","")&amp;IF(P31="?",IF(COUNTIF($E31:$O31,"~?")&gt;0,", ","")&amp;"Sulfites","")&amp;IF(Q31="?",IF(COUNTIF($E31:$P31,"~?")&gt;0,", ","")&amp;"Lupin","")&amp;IF(R31="?",IF(COUNTIF($E31:$Q31,"~?")&gt;0,", ","")&amp;"Mollusques","")),"")</f>
        <v>Œufs, Lait</v>
      </c>
      <c r="U31" s="93" t="str">
        <f>IF(31=31,IF($B31="","",$B31),"")</f>
        <v xml:space="preserve">Glace de poisson </v>
      </c>
      <c r="V31" s="93" t="str">
        <f>IF(31=31,LOWER(CLEAN(SUBSTITUTE(SUBSTITUTE(SUBSTITUTE(SUBSTITUTE($U31,CHAR(160)," ")," "," "),CHAR(10)," "),CHAR(13)," "))),"")</f>
        <v xml:space="preserve">glace de poisson </v>
      </c>
      <c r="W31" s="93" t="str">
        <f>IF(31=31,SUBSTITUTE(SUBSTITUTE(SUBSTITUTE(SUBSTITUTE(SUBSTITUTE(SUBSTITUTE(SUBSTITUTE(SUBSTITUTE(SUBSTITUTE(SUBSTITUTE(SUBSTITUTE(SUBSTITUTE($V31,"œ","oe"),"æ","ae"),"à","a"),"á","a"),"â","a"),"ä","a"),"ã","a"),"ç","c"),"è","e"),"é","e"),"ê","e"),"ë","e"),"")</f>
        <v xml:space="preserve">glace de poisson </v>
      </c>
      <c r="X31" s="93" t="str">
        <f>IF(31=31,SUBSTITUTE(SUBSTITUTE(SUBSTITUTE(SUBSTITUTE(SUBSTITUTE(SUBSTITUTE(SUBSTITUTE(SUBSTITUTE(SUBSTITUTE(SUBSTITUTE(SUBSTITUTE(SUBSTITUTE(SUBSTITUTE(SUBSTITUTE(SUBSTITUTE(SUBSTITUTE($W31,"ì","i"),"í","i"),"î","i"),"ï","i"),"ñ","n"),"ò","o"),"ó","o"),"ô","o"),"ö","o"),"õ","o"),"ù","u"),"ú","u"),"û","u"),"ü","u"),"ý","y"),"ÿ","y"),"")</f>
        <v xml:space="preserve">glace de poisson </v>
      </c>
      <c r="Y31" s="93" t="str">
        <f>IF(31=31,SUBSTITUTE(SUBSTITUTE(SUBSTITUTE(SUBSTITUTE(SUBSTITUTE(SUBSTITUTE(SUBSTITUTE(SUBSTITUTE(SUBSTITUTE(SUBSTITUTE(SUBSTITUTE(SUBSTITUTE(SUBSTITUTE(SUBSTITUTE($X31,"’"," "),"`"," "),"–"," "),"—"," "),"-"," "),"'"," "),"/"," "),"_"," "),","," "),"."," "),"("," "),")"," "),";"," "),":"," "),"")</f>
        <v xml:space="preserve">glace de poisson </v>
      </c>
      <c r="Z31" s="93" t="str">
        <f>IF(31=31,SUBSTITUTE(SUBSTITUTE(SUBSTITUTE(SUBSTITUTE(SUBSTITUTE(SUBSTITUTE(SUBSTITUTE(SUBSTITUTE(SUBSTITUTE(SUBSTITUTE(SUBSTITUTE(SUBSTITUTE(SUBSTITUTE(SUBSTITUTE(SUBSTITUTE($Y31,"!"," "),"?"," "),"+"," "),"*"," "),"&amp;"," "),"["," "),"]"," "),"{"," "),"}"," "),"%"," "),"="," "),"\"," "),"|"," "),"&lt;"," "),"&gt;"," "),"")</f>
        <v xml:space="preserve">glace de poisson </v>
      </c>
      <c r="AA31" s="93" t="str">
        <f>IF(31=31," "&amp;TRIM(SUBSTITUTE(SUBSTITUTE(SUBSTITUTE(SUBSTITUTE(SUBSTITUTE(SUBSTITUTE($Z31,CHAR(34)," "),"  "," "),"  "," "),"  "," "),"  "," "),"  "," "))&amp;" ","")</f>
        <v xml:space="preserve"> glace de poisson </v>
      </c>
      <c r="AB31" s="93">
        <f>IF(31=31,IF($U31="","",SUMPRODUCT(--ISNUMBER(SEARCH(" "&amp;$CR$2:$CR$101&amp;" ",$AD31)))),"")</f>
        <v>0</v>
      </c>
      <c r="AC31" s="93">
        <f>IF(31=31,IF($U31="","",SUMPRODUCT(--ISNUMBER(SEARCH(" "&amp;$CR$102:$CR$151&amp;" ",$AD31)))),"")</f>
        <v>0</v>
      </c>
      <c r="AD31" s="93" t="str">
        <f t="shared" si="1"/>
        <v xml:space="preserve"> glace de poisson </v>
      </c>
      <c r="AE31" s="93">
        <f t="shared" si="2"/>
        <v>0</v>
      </c>
      <c r="AF31" s="93" t="str">
        <f>IF(31=31,IF($U31="","",IF(SUM(AB31:AC31)+SUMPRODUCT(--ISNUMBER(SEARCH(" "&amp;$CR$2418:$CR$2420&amp;" ",$AD31)))&gt;0,"X",IF(AE31&gt;0,"?",""))),"")</f>
        <v/>
      </c>
      <c r="AG31" s="93">
        <f>IF(31=31,IF($U31="","",SUMPRODUCT(--ISNUMBER(SEARCH(" "&amp;$CR$206:$CR$305&amp;" ",$AA31)))),"")</f>
        <v>0</v>
      </c>
      <c r="AH31" s="93">
        <f>IF(31=31,IF($U31="","",SUMPRODUCT(--ISNUMBER(SEARCH(" "&amp;$CR$306:$CR$340&amp;" ",$AA31)))),"")</f>
        <v>0</v>
      </c>
      <c r="AI31" s="93" t="str">
        <f>IF(31=31,IF($U31="","",IF((SUM(AG31:AH31))-(0)&gt;0,"X",IF((0)-(0)&gt;0,"?",""))),"")</f>
        <v/>
      </c>
      <c r="AJ31" s="93">
        <f>IF(31=31,IF($U31="","",SUMPRODUCT(--ISNUMBER(SEARCH(" "&amp;$CR$341:$CR$398&amp;" ",$AA31)))),"")</f>
        <v>0</v>
      </c>
      <c r="AK31" s="93">
        <f>IF(31=31,IF($U31="","",SUMPRODUCT(--ISNUMBER(SEARCH(" "&amp;$CR$399:$CR$426&amp;" ",$AL31)))+SUMPRODUCT(--ISNUMBER(SEARCH(" "&amp;$CR$2440:$CR$2453&amp;" ",$AL31)))),"")</f>
        <v>1</v>
      </c>
      <c r="AL31" s="93" t="str">
        <f>IF(31=31,IF($U31="","",SUBSTITUTE(SUBSTITUTE(SUBSTITUTE(SUBSTITUTE(SUBSTITUTE(SUBSTITUTE(SUBSTITUTE(SUBSTITUTE(SUBSTITUTE(SUBSTITUTE(SUBSTITUTE(SUBSTITUTE(SUBSTITUTE(SUBSTITUTE($AA31," "&amp;$CR$2455&amp;" "," ")," "&amp;$CR$433&amp;" "," ")," "&amp;$CR$431&amp;" "," ")," "&amp;$CR$2438&amp;" "," ")," "&amp;$CR$2439&amp;" "," ")," "&amp;$CR$428&amp;" "," ")," "&amp;$CR$432&amp;" "," ")," "&amp;$CR$434&amp;" "," ")," "&amp;$CR$429&amp;" "," ")," "&amp;$CR$427&amp;" "," ")," "&amp;$CR$1367&amp;" "," ")," "&amp;$CR$435&amp;" "," ")," "&amp;$CR$1366&amp;" "," ")," "&amp;$CR$430&amp;" "," ")),"")</f>
        <v xml:space="preserve"> glace de poisson </v>
      </c>
      <c r="AM31" s="93" t="str">
        <f>IF(31=31,IF($U31="","",IF(AJ31&gt;0,"X",IF(AK31&gt;0,"?",""))),"")</f>
        <v>?</v>
      </c>
      <c r="AN31" s="93">
        <f>IF(31=31,IF($U31="","",SUMPRODUCT(--ISNUMBER(SEARCH(" "&amp;$CR$436:$CR$535&amp;" ",$AX31)))),"")</f>
        <v>0</v>
      </c>
      <c r="AO31" s="93">
        <f>IF(31=31,IF($U31="","",SUMPRODUCT(--ISNUMBER(SEARCH(" "&amp;$CR$536:$CR$635&amp;" ",$AX31)))),"")</f>
        <v>0</v>
      </c>
      <c r="AP31" s="93">
        <f>IF(31=31,IF($U31="","",SUMPRODUCT(--ISNUMBER(SEARCH(" "&amp;$CR$636:$CR$735&amp;" ",$AX31)))),"")</f>
        <v>0</v>
      </c>
      <c r="AQ31" s="93">
        <f>IF(31=31,IF($U31="","",SUMPRODUCT(--ISNUMBER(SEARCH(" "&amp;$CR$736:$CR$835&amp;" ",$AX31)))),"")</f>
        <v>0</v>
      </c>
      <c r="AR31" s="93">
        <f>IF(31=31,IF($U31="","",SUMPRODUCT(--ISNUMBER(SEARCH(" "&amp;$CR$836:$CR$935&amp;" ",$AX31)))),"")</f>
        <v>0</v>
      </c>
      <c r="AS31" s="93">
        <f>IF(31=31,IF($U31="","",SUMPRODUCT(--ISNUMBER(SEARCH(" "&amp;$CR$936:$CR$1035&amp;" ",$AX31)))),"")</f>
        <v>0</v>
      </c>
      <c r="AT31" s="93">
        <f>IF(31=31,IF($U31="","",SUMPRODUCT(--ISNUMBER(SEARCH(" "&amp;$CR$1036:$CR$1135&amp;" ",$AX31)))),"")</f>
        <v>1</v>
      </c>
      <c r="AU31" s="93">
        <f>IF(31=31,IF($U31="","",SUMPRODUCT(--ISNUMBER(SEARCH(" "&amp;$CR$1136:$CR$1235&amp;" ",$AX31)))),"")</f>
        <v>0</v>
      </c>
      <c r="AV31" s="93">
        <f>IF(31=31,IF($U31="","",SUMPRODUCT(--ISNUMBER(SEARCH(" "&amp;$CR$1236:$CR$1335&amp;" ",$AX31)))),"")</f>
        <v>0</v>
      </c>
      <c r="AW31" s="93">
        <f>IF(31=31,IF($U31="","",SUMPRODUCT(--ISNUMBER(SEARCH(" "&amp;$CR$1336:$CR$1363&amp;" ",$AX31)))),"")</f>
        <v>0</v>
      </c>
      <c r="AX31" s="93" t="str">
        <f>IF(31=31,IF($U31="","",SUBSTITUTE(SUBSTITUTE(SUBSTITUTE(SUBSTITUTE(SUBSTITUTE(SUBSTITUTE(SUBSTITUTE(SUBSTITUTE(SUBSTITUTE($AA31," "&amp;$CR$1365&amp;" "," ")," "&amp;$CR$1364&amp;" "," ")," "&amp;$CR$1370&amp;" "," ")," "&amp;$CR$1371&amp;" "," ")," "&amp;$CR$1367&amp;" "," ")," "&amp;$CR$1369&amp;" "," ")," "&amp;$CR$1366&amp;" "," ")," "&amp;$CR$1368&amp;" "," ")," "&amp;$CR$1372&amp;" "," ")),"")</f>
        <v xml:space="preserve"> glace de poisson </v>
      </c>
      <c r="AY31" s="93">
        <f>IF(31=31,IF($U31="","",SUMPRODUCT(--ISNUMBER(SEARCH(" "&amp;$CR$1373:$CR$1383&amp;" ",$AX31)))),"")</f>
        <v>0</v>
      </c>
      <c r="AZ31" s="93" t="str">
        <f>IF(31=31,IF($U31="","",IF(SUM(AN31:AW31)+SUMPRODUCT(--ISNUMBER(SEARCH(" "&amp;$CR$2421:$CR$2422&amp;" ",$AX31)))&gt;0,"X",IF(AY31&gt;0,"?",""))),"")</f>
        <v>X</v>
      </c>
      <c r="BA31" s="93">
        <f>IF(31=31,IF($U31="","",SUMPRODUCT(--ISNUMBER(SEARCH(" "&amp;$CR$1384:$CR$1404&amp;" ",$AA31)))),"")</f>
        <v>0</v>
      </c>
      <c r="BB31" s="93" t="str">
        <f>IF(31=31,IF($U31="","",IF((BA31)-(0)&gt;0,"X",IF((0)-(0)&gt;0,"?",""))),"")</f>
        <v/>
      </c>
      <c r="BC31" s="93">
        <f>IF(31=31,IF($U31="","",SUMPRODUCT(--ISNUMBER(SEARCH(" "&amp;$CR$1405:$CR$1442&amp;" ",$BD31)))),"")</f>
        <v>0</v>
      </c>
      <c r="BD31" s="93" t="str">
        <f>IF(31=31,IF($U31="","",SUBSTITUTE(SUBSTITUTE($AA31," "&amp;$CR$1443&amp;" "," ")," "&amp;$CR$1444&amp;" "," ")),"")</f>
        <v xml:space="preserve"> glace de poisson </v>
      </c>
      <c r="BE31" s="93">
        <f>IF(31=31,IF($U31="","",SUMPRODUCT(--ISNUMBER(SEARCH(" "&amp;$CR$1445:$CR$1455&amp;" ",$BD31)))),"")</f>
        <v>0</v>
      </c>
      <c r="BF31" s="93" t="str">
        <f>IF(31=31,IF($U31="","",IF(BC31&gt;0,"X",IF(BE31&gt;0,"?",""))),"")</f>
        <v/>
      </c>
      <c r="BG31" s="93">
        <f>IF(31=31,IF($U31="","",SUMPRODUCT(--ISNUMBER(SEARCH(" "&amp;$CR$1456:$CR$1555&amp;" ",$BJ31)))),"")</f>
        <v>0</v>
      </c>
      <c r="BH31" s="93">
        <f>IF(31=31,IF($U31="","",SUMPRODUCT(--ISNUMBER(SEARCH(" "&amp;$CR$1556:$CR$1655&amp;" ",$BJ31)))),"")</f>
        <v>0</v>
      </c>
      <c r="BI31" s="93">
        <f>IF(31=31,IF($U31="","",SUMPRODUCT(--ISNUMBER(SEARCH(" "&amp;$CR$1656:$CR$1739&amp;" ",$BJ31)))),"")</f>
        <v>0</v>
      </c>
      <c r="BJ31" s="93" t="str">
        <f>IF(31=31,IF($U31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31,"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glace de poisson </v>
      </c>
      <c r="BK31" s="93">
        <f>IF(31=31,IF($U31="","",SUMPRODUCT(--ISNUMBER(SEARCH(" "&amp;$CR$1790:$CR$1869&amp;" ",$BL31)))+SUMPRODUCT(--ISNUMBER(SEARCH(" "&amp;$CR$2440:$CR$2453&amp;" ",$BL31)))),"")</f>
        <v>1</v>
      </c>
      <c r="BL31" s="93" t="str">
        <f>IF(31=31,IF($U31="","",SUBSTITUTE(SUBSTITUTE(SUBSTITUTE(SUBSTITUTE(SUBSTITUTE(SUBSTITUTE(SUBSTITUTE(SUBSTITUTE(SUBSTITUTE(SUBSTITUTE(SUBSTITUTE(SUBSTITUTE(SUBSTITUTE($BJ31," "&amp;$CR$1876&amp;" "," ")," "&amp;$CR$1874&amp;" "," ")," "&amp;$CR$2438&amp;" "," ")," "&amp;$CR$2439&amp;" "," ")," "&amp;$CR$1871&amp;" "," ")," "&amp;$CR$1875&amp;" "," ")," "&amp;$CR$1877&amp;" "," ")," "&amp;$CR$1872&amp;" "," ")," "&amp;$CR$1870&amp;" "," ")," "&amp;$CR$1367&amp;" "," ")," "&amp;$CR$1878&amp;" "," ")," "&amp;$CR$1366&amp;" "," ")," "&amp;$CR$1873&amp;" "," ")),"")</f>
        <v xml:space="preserve"> glace de poisson </v>
      </c>
      <c r="BM31" s="93" t="str">
        <f>IF(31=31,IF($U31="","",IF(SUM(BG31:BI31)+SUMPRODUCT(--ISNUMBER(SEARCH(" "&amp;$CR$2423:$CR$2424&amp;" ",$BJ31)))&gt;0,"X",IF(BK31&gt;0,"?",""))),"")</f>
        <v>?</v>
      </c>
      <c r="BN31" s="93">
        <f>IF(31=31,IF($U31="","",SUMPRODUCT(--ISNUMBER(SEARCH(" "&amp;$CR$1879:$CR$1936&amp;" ",$BO31)))),"")</f>
        <v>0</v>
      </c>
      <c r="BO31" s="93" t="str">
        <f>IF(31=31,IF($U31="","",SUBSTITUTE(SUBSTITUTE(SUBSTITUTE(SUBSTITUTE(SUBSTITUTE(SUBSTITUTE(SUBSTITUTE(SUBSTITUTE(SUBSTITUTE(SUBSTITUTE(SUBSTITUTE(SUBSTITUTE(SUBSTITUTE(SUBSTITUTE(SUBSTITUTE(SUBSTITUTE(SUBSTITUTE(SUBSTITUTE(SUBSTITUTE(SUBSTITUTE(SUBSTITUTE(SUBSTITUTE(SUBSTITUTE($AA31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glace de poisson </v>
      </c>
      <c r="BP31" s="93">
        <f>IF(31=31,IF($U31="","",SUMPRODUCT(--ISNUMBER(SEARCH(" "&amp;$CR$1960:$CR$1976&amp;" ",$BO31)))),"")</f>
        <v>0</v>
      </c>
      <c r="BQ31" s="93" t="str">
        <f>IF(31=31,IF($U31="","",IF(BN31&gt;0,"X",IF(BP31&gt;0,"?",""))),"")</f>
        <v/>
      </c>
      <c r="BR31" s="93">
        <f>IF(31=31,IF($U31="","",SUMPRODUCT(--ISNUMBER(SEARCH(" "&amp;$CR$1977:$CR$1990&amp;" ",$AA31)))),"")</f>
        <v>0</v>
      </c>
      <c r="BS31" s="93">
        <f>IF(31=31,IF($U31="","",SUMPRODUCT(--ISNUMBER(SEARCH(" "&amp;$CR$1991:$CR$2005&amp;" ",$AA31)))),"")</f>
        <v>0</v>
      </c>
      <c r="BT31" s="93" t="str">
        <f>IF(31=31,IF($U31="","",IF((BR31)-(0)&gt;0,"X",IF((BS31)-(0)&gt;0,"?",""))),"")</f>
        <v/>
      </c>
      <c r="BU31" s="93">
        <f>IF(31=31,IF($U31="","",SUMPRODUCT(--ISNUMBER(SEARCH(" "&amp;$CR$2006:$CR$2023&amp;" ",$AA31)))),"")</f>
        <v>0</v>
      </c>
      <c r="BV31" s="93">
        <f>IF(31=31,IF($U31="","",SUMPRODUCT(--ISNUMBER(SEARCH(" "&amp;$CR$2024:$CR$2038&amp;" ",$AA31)))),"")</f>
        <v>0</v>
      </c>
      <c r="BW31" s="93" t="str">
        <f>IF(31=31,IF($U31="","",IF((BU31)-(0)&gt;0,"X",IF((BV31)-(0)&gt;0,"?",""))),"")</f>
        <v/>
      </c>
      <c r="BX31" s="93">
        <f>IF(31=31,IF($U31="","",SUMPRODUCT(--ISNUMBER(SEARCH(" "&amp;$CR$2039:$CR$2057&amp;" ",$AA31)))),"")</f>
        <v>0</v>
      </c>
      <c r="BY31" s="93">
        <f>IF(31=31,IF($U31="","",SUMPRODUCT(--ISNUMBER(SEARCH(" "&amp;$CR$2058:$CR$2072&amp;" ",$AA31)))),"")</f>
        <v>0</v>
      </c>
      <c r="BZ31" s="93" t="str">
        <f>IF(31=31,IF($U31="","",IF((BX31)-(0)&gt;0,"X",IF((BY31)-(0)&gt;0,"?",""))),"")</f>
        <v/>
      </c>
      <c r="CA31" s="93">
        <f>IF(31=31,IF($U31="","",SUMPRODUCT(--ISNUMBER(SEARCH(" "&amp;$CR$2073:$CR$2093&amp;" ",$AA31)))),"")</f>
        <v>0</v>
      </c>
      <c r="CB31" s="93">
        <f>IF(31=31,IF($U31="","",SUMPRODUCT(--ISNUMBER(SEARCH(" "&amp;$CR$2094:$CR$2133&amp;" ",SUBSTITUTE(SUBSTITUTE($AA31," "&amp;$CR$1367&amp;" "," ")," "&amp;$CR$1366&amp;" "," "))))+--ISNUMBER(SEARCH("poiré",$V31))),"")</f>
        <v>0</v>
      </c>
      <c r="CC31" s="93" t="str">
        <f>IF(31=31,IF($U31="","",IF(OR(CA31&gt;0,ISNUMBER(SEARCH(" vinaigre de vin ",$AA31)),ISNUMBER(SEARCH(" vinaigre au vin ",$AA31))),"X",IF(CB31&gt;0,"?",""))),"")</f>
        <v/>
      </c>
      <c r="CD31" s="93">
        <f>IF(31=31,IF($U31="","",SUMPRODUCT(--ISNUMBER(SEARCH(" "&amp;$CR$2134:$CR$2146&amp;" ",$AA31)))),"")</f>
        <v>0</v>
      </c>
      <c r="CE31" s="93">
        <f>IF(31=31,IF($U31="","",SUMPRODUCT(--ISNUMBER(SEARCH(" "&amp;$CR$2147:$CR$2152&amp;" ",$AA31)))),"")</f>
        <v>0</v>
      </c>
      <c r="CF31" s="93" t="str">
        <f>IF(31=31,IF($U31="","",IF((CD31)-(0)&gt;0,"X",IF((CE31)-(0)&gt;0,"?",""))),"")</f>
        <v/>
      </c>
      <c r="CG31" s="93">
        <f>IF(31=31,IF($U31="","",SUMPRODUCT(--ISNUMBER(SEARCH(" "&amp;$CR$2153:$CR$2252&amp;" ",$CJ31)))),"")</f>
        <v>0</v>
      </c>
      <c r="CH31" s="93">
        <f>IF(31=31,IF($U31="","",SUMPRODUCT(--ISNUMBER(SEARCH(" "&amp;$CR$2253:$CR$2352&amp;" ",$CJ31)))),"")</f>
        <v>0</v>
      </c>
      <c r="CI31" s="93">
        <f>IF(31=31,IF($U31="","",SUMPRODUCT(--ISNUMBER(SEARCH(" "&amp;$CR$2353:$CR$2395&amp;" ",$CJ31)))),"")</f>
        <v>0</v>
      </c>
      <c r="CJ31" s="93" t="str">
        <f>IF(31=31,IF($U31="","",SUBSTITUTE(SUBSTITUTE(SUBSTITUTE(SUBSTITUTE(SUBSTITUTE(SUBSTITUTE(SUBSTITUTE(SUBSTITUTE(SUBSTITUTE(SUBSTITUTE(SUBSTITUTE(SUBSTITUTE(SUBSTITUTE(SUBSTITUTE(SUBSTITUTE(SUBSTITUTE($AA31," "&amp;$CR$2401&amp;" "," ")," "&amp;$CR$2400&amp;" "," ")," "&amp;$CR$2399&amp;" "," ")," "&amp;$CR$2406&amp;" "," ")," "&amp;$CR$2398&amp;" "," ")," "&amp;$CR$2410&amp;" "," ")," "&amp;$CR$2397&amp;" "," ")," "&amp;$CR$2402&amp;" "," ")," "&amp;$CR$2405&amp;" "," ")," "&amp;$CR$2396&amp;" "," ")," "&amp;$CR$2404&amp;" "," ")," "&amp;$CR$2411&amp;" "," ")," "&amp;$CR$2408&amp;" "," ")," "&amp;$CR$2403&amp;" "," ")," "&amp;$CR$2407&amp;" "," ")," "&amp;$CR$2409&amp;" "," ")),"")</f>
        <v xml:space="preserve"> glace de poisson </v>
      </c>
      <c r="CK31" s="93">
        <f>IF(31=31,IF($U31="","",SUMPRODUCT(--ISNUMBER(SEARCH(" "&amp;$CR$2412:$CR$2416&amp;" ",$CJ31)))),"")</f>
        <v>0</v>
      </c>
      <c r="CL31" s="93" t="str">
        <f>IF(31=31,IF($U31="","",IF(SUM(CG31:CI31)&gt;0,"X",IF(CK31&gt;0,"?",""))),"")</f>
        <v/>
      </c>
      <c r="CM31" s="102"/>
      <c r="CN31" s="112" t="s">
        <v>672</v>
      </c>
      <c r="CO31" s="112" t="s">
        <v>522</v>
      </c>
      <c r="CP31" s="112" t="s">
        <v>523</v>
      </c>
      <c r="CQ31" s="112" t="s">
        <v>673</v>
      </c>
      <c r="CR31" s="112" t="s">
        <v>673</v>
      </c>
      <c r="CS31" s="112" t="s">
        <v>525</v>
      </c>
      <c r="CT31" s="112" t="s">
        <v>526</v>
      </c>
      <c r="CU31" s="112" t="s">
        <v>527</v>
      </c>
      <c r="CV31" s="113" t="s">
        <v>528</v>
      </c>
      <c r="CX31" s="36">
        <v>1</v>
      </c>
    </row>
    <row r="32" spans="1:102" ht="21" customHeight="1" x14ac:dyDescent="0.25">
      <c r="A32" s="135">
        <v>26</v>
      </c>
      <c r="B32" s="136" t="s">
        <v>5870</v>
      </c>
      <c r="C32" s="137" t="str">
        <f t="shared" si="0"/>
        <v>Haricots plats d’Espagne surgelés</v>
      </c>
      <c r="D32" s="138" t="str">
        <f>IF(32=32,IF($B32="","",IF(E32="X",""&amp;"Céréales contenant du gluten","")&amp;IF(F32="X",IF(COUNTIF($E32:$E32,"X")&gt;0,", ","")&amp;"Crustacés","")&amp;IF(G32="X",IF(COUNTIF($E32:$F32,"X")&gt;0,", ","")&amp;"Œufs","")&amp;IF(H32="X",IF(COUNTIF($E32:$G32,"X")&gt;0,", ","")&amp;"Poissons","")&amp;IF(I32="X",IF(COUNTIF($E32:$H32,"X")&gt;0,", ","")&amp;"Arachides","")&amp;IF(J32="X",IF(COUNTIF($E32:$I32,"X")&gt;0,", ","")&amp;"Soja","")&amp;IF(K32="X",IF(COUNTIF($E32:$J32,"X")&gt;0,", ","")&amp;"Lait","")&amp;IF(L32="X",IF(COUNTIF($E32:$K32,"X")&gt;0,", ","")&amp;"Fruits à coque","")&amp;IF(M32="X",IF(COUNTIF($E32:$L32,"X")&gt;0,", ","")&amp;"Céleri","")&amp;IF(N32="X",IF(COUNTIF($E32:$M32,"X")&gt;0,", ","")&amp;"Moutarde","")&amp;IF(O32="X",IF(COUNTIF($E32:$N32,"X")&gt;0,", ","")&amp;"Sésame","")&amp;IF(P32="X",IF(COUNTIF($E32:$O32,"X")&gt;0,", ","")&amp;"Sulfites","")&amp;IF(Q32="X",IF(COUNTIF($E32:$P32,"X")&gt;0,", ","")&amp;"Lupin","")&amp;IF(R32="X",IF(COUNTIF($E32:$Q32,"X")&gt;0,", ","")&amp;"Mollusques","")),"")</f>
        <v/>
      </c>
      <c r="E32" s="139" t="str">
        <f>IF(32=32,IF($B32="","",AF32),"")</f>
        <v/>
      </c>
      <c r="F32" s="139" t="str">
        <f>IF(32=32,IF($B32="","",AI32),"")</f>
        <v/>
      </c>
      <c r="G32" s="139" t="str">
        <f>IF(32=32,IF($B32="","",AM32),"")</f>
        <v/>
      </c>
      <c r="H32" s="139" t="str">
        <f>IF(32=32,IF($B32="","",IF(ISNUMBER(SEARCH(" colin ",$AA32)),"X",AZ32)),"")</f>
        <v/>
      </c>
      <c r="I32" s="139" t="str">
        <f>IF(32=32,IF($B32="","",BB32),"")</f>
        <v/>
      </c>
      <c r="J32" s="139" t="str">
        <f>IF(32=32,IF($B32="","",BF32),"")</f>
        <v/>
      </c>
      <c r="K32" s="139" t="str">
        <f>IF(32=32,IF($B32="","",BM32),"")</f>
        <v/>
      </c>
      <c r="L32" s="139" t="str">
        <f>IF(32=32,IF($B32="","",BQ32),"")</f>
        <v/>
      </c>
      <c r="M32" s="139" t="str">
        <f>IF(32=32,IF($B32="","",BT32),"")</f>
        <v/>
      </c>
      <c r="N32" s="139" t="str">
        <f>IF(32=32,IF($B32="","",BW32),"")</f>
        <v/>
      </c>
      <c r="O32" s="139" t="str">
        <f>IF(32=32,IF($B32="","",BZ32),"")</f>
        <v/>
      </c>
      <c r="P32" s="139" t="str">
        <f>IF(32=32,IF($B32="","",CC32),"")</f>
        <v/>
      </c>
      <c r="Q32" s="139" t="str">
        <f>IF(32=32,IF($B32="","",CF32),"")</f>
        <v/>
      </c>
      <c r="R32" s="139" t="str">
        <f>IF(32=32,IF($B32="","",CL32),"")</f>
        <v/>
      </c>
      <c r="S32" s="140" t="str">
        <f>IF(32=32,IF($B32="","",IF(E32="?",""&amp;"Céréales contenant du gluten","")&amp;IF(F32="?",IF(COUNTIF($E32:$E32,"~?")&gt;0,", ","")&amp;"Crustacés","")&amp;IF(G32="?",IF(COUNTIF($E32:$F32,"~?")&gt;0,", ","")&amp;"Œufs","")&amp;IF(H32="?",IF(COUNTIF($E32:$G32,"~?")&gt;0,", ","")&amp;"Poissons","")&amp;IF(I32="?",IF(COUNTIF($E32:$H32,"~?")&gt;0,", ","")&amp;"Arachides","")&amp;IF(J32="?",IF(COUNTIF($E32:$I32,"~?")&gt;0,", ","")&amp;"Soja","")&amp;IF(K32="?",IF(COUNTIF($E32:$J32,"~?")&gt;0,", ","")&amp;"Lait","")&amp;IF(L32="?",IF(COUNTIF($E32:$K32,"~?")&gt;0,", ","")&amp;"Fruits à coque","")&amp;IF(M32="?",IF(COUNTIF($E32:$L32,"~?")&gt;0,", ","")&amp;"Céleri","")&amp;IF(N32="?",IF(COUNTIF($E32:$M32,"~?")&gt;0,", ","")&amp;"Moutarde","")&amp;IF(O32="?",IF(COUNTIF($E32:$N32,"~?")&gt;0,", ","")&amp;"Sésame","")&amp;IF(P32="?",IF(COUNTIF($E32:$O32,"~?")&gt;0,", ","")&amp;"Sulfites","")&amp;IF(Q32="?",IF(COUNTIF($E32:$P32,"~?")&gt;0,", ","")&amp;"Lupin","")&amp;IF(R32="?",IF(COUNTIF($E32:$Q32,"~?")&gt;0,", ","")&amp;"Mollusques","")),"")</f>
        <v/>
      </c>
      <c r="U32" s="93" t="str">
        <f>IF(32=32,IF($B32="","",$B32),"")</f>
        <v>Haricots plats d’Espagne surgelés</v>
      </c>
      <c r="V32" s="93" t="str">
        <f>IF(32=32,LOWER(CLEAN(SUBSTITUTE(SUBSTITUTE(SUBSTITUTE(SUBSTITUTE($U32,CHAR(160)," ")," "," "),CHAR(10)," "),CHAR(13)," "))),"")</f>
        <v>haricots plats d’espagne surgelés</v>
      </c>
      <c r="W32" s="93" t="str">
        <f>IF(32=32,SUBSTITUTE(SUBSTITUTE(SUBSTITUTE(SUBSTITUTE(SUBSTITUTE(SUBSTITUTE(SUBSTITUTE(SUBSTITUTE(SUBSTITUTE(SUBSTITUTE(SUBSTITUTE(SUBSTITUTE($V32,"œ","oe"),"æ","ae"),"à","a"),"á","a"),"â","a"),"ä","a"),"ã","a"),"ç","c"),"è","e"),"é","e"),"ê","e"),"ë","e"),"")</f>
        <v>haricots plats d’espagne surgeles</v>
      </c>
      <c r="X32" s="93" t="str">
        <f>IF(32=32,SUBSTITUTE(SUBSTITUTE(SUBSTITUTE(SUBSTITUTE(SUBSTITUTE(SUBSTITUTE(SUBSTITUTE(SUBSTITUTE(SUBSTITUTE(SUBSTITUTE(SUBSTITUTE(SUBSTITUTE(SUBSTITUTE(SUBSTITUTE(SUBSTITUTE(SUBSTITUTE($W32,"ì","i"),"í","i"),"î","i"),"ï","i"),"ñ","n"),"ò","o"),"ó","o"),"ô","o"),"ö","o"),"õ","o"),"ù","u"),"ú","u"),"û","u"),"ü","u"),"ý","y"),"ÿ","y"),"")</f>
        <v>haricots plats d’espagne surgeles</v>
      </c>
      <c r="Y32" s="93" t="str">
        <f>IF(32=32,SUBSTITUTE(SUBSTITUTE(SUBSTITUTE(SUBSTITUTE(SUBSTITUTE(SUBSTITUTE(SUBSTITUTE(SUBSTITUTE(SUBSTITUTE(SUBSTITUTE(SUBSTITUTE(SUBSTITUTE(SUBSTITUTE(SUBSTITUTE($X32,"’"," "),"`"," "),"–"," "),"—"," "),"-"," "),"'"," "),"/"," "),"_"," "),","," "),"."," "),"("," "),")"," "),";"," "),":"," "),"")</f>
        <v>haricots plats d espagne surgeles</v>
      </c>
      <c r="Z32" s="93" t="str">
        <f>IF(32=32,SUBSTITUTE(SUBSTITUTE(SUBSTITUTE(SUBSTITUTE(SUBSTITUTE(SUBSTITUTE(SUBSTITUTE(SUBSTITUTE(SUBSTITUTE(SUBSTITUTE(SUBSTITUTE(SUBSTITUTE(SUBSTITUTE(SUBSTITUTE(SUBSTITUTE($Y32,"!"," "),"?"," "),"+"," "),"*"," "),"&amp;"," "),"["," "),"]"," "),"{"," "),"}"," "),"%"," "),"="," "),"\"," "),"|"," "),"&lt;"," "),"&gt;"," "),"")</f>
        <v>haricots plats d espagne surgeles</v>
      </c>
      <c r="AA32" s="93" t="str">
        <f>IF(32=32," "&amp;TRIM(SUBSTITUTE(SUBSTITUTE(SUBSTITUTE(SUBSTITUTE(SUBSTITUTE(SUBSTITUTE($Z32,CHAR(34)," "),"  "," "),"  "," "),"  "," "),"  "," "),"  "," "))&amp;" ","")</f>
        <v xml:space="preserve"> haricots plats d espagne surgeles </v>
      </c>
      <c r="AB32" s="93">
        <f>IF(32=32,IF($U32="","",SUMPRODUCT(--ISNUMBER(SEARCH(" "&amp;$CR$2:$CR$101&amp;" ",$AD32)))),"")</f>
        <v>0</v>
      </c>
      <c r="AC32" s="93">
        <f>IF(32=32,IF($U32="","",SUMPRODUCT(--ISNUMBER(SEARCH(" "&amp;$CR$102:$CR$151&amp;" ",$AD32)))),"")</f>
        <v>0</v>
      </c>
      <c r="AD32" s="93" t="str">
        <f t="shared" si="1"/>
        <v xml:space="preserve"> haricots plats d espagne surgeles </v>
      </c>
      <c r="AE32" s="93">
        <f t="shared" si="2"/>
        <v>0</v>
      </c>
      <c r="AF32" s="93" t="str">
        <f>IF(32=32,IF($U32="","",IF(SUM(AB32:AC32)+SUMPRODUCT(--ISNUMBER(SEARCH(" "&amp;$CR$2418:$CR$2420&amp;" ",$AD32)))&gt;0,"X",IF(AE32&gt;0,"?",""))),"")</f>
        <v/>
      </c>
      <c r="AG32" s="93">
        <f>IF(32=32,IF($U32="","",SUMPRODUCT(--ISNUMBER(SEARCH(" "&amp;$CR$206:$CR$305&amp;" ",$AA32)))),"")</f>
        <v>0</v>
      </c>
      <c r="AH32" s="93">
        <f>IF(32=32,IF($U32="","",SUMPRODUCT(--ISNUMBER(SEARCH(" "&amp;$CR$306:$CR$340&amp;" ",$AA32)))),"")</f>
        <v>0</v>
      </c>
      <c r="AI32" s="93" t="str">
        <f>IF(32=32,IF($U32="","",IF((SUM(AG32:AH32))-(0)&gt;0,"X",IF((0)-(0)&gt;0,"?",""))),"")</f>
        <v/>
      </c>
      <c r="AJ32" s="93">
        <f>IF(32=32,IF($U32="","",SUMPRODUCT(--ISNUMBER(SEARCH(" "&amp;$CR$341:$CR$398&amp;" ",$AA32)))),"")</f>
        <v>0</v>
      </c>
      <c r="AK32" s="93">
        <f>IF(32=32,IF($U32="","",SUMPRODUCT(--ISNUMBER(SEARCH(" "&amp;$CR$399:$CR$426&amp;" ",$AL32)))+SUMPRODUCT(--ISNUMBER(SEARCH(" "&amp;$CR$2440:$CR$2453&amp;" ",$AL32)))),"")</f>
        <v>0</v>
      </c>
      <c r="AL32" s="93" t="str">
        <f>IF(32=32,IF($U32="","",SUBSTITUTE(SUBSTITUTE(SUBSTITUTE(SUBSTITUTE(SUBSTITUTE(SUBSTITUTE(SUBSTITUTE(SUBSTITUTE(SUBSTITUTE(SUBSTITUTE(SUBSTITUTE(SUBSTITUTE(SUBSTITUTE(SUBSTITUTE($AA32," "&amp;$CR$2455&amp;" "," ")," "&amp;$CR$433&amp;" "," ")," "&amp;$CR$431&amp;" "," ")," "&amp;$CR$2438&amp;" "," ")," "&amp;$CR$2439&amp;" "," ")," "&amp;$CR$428&amp;" "," ")," "&amp;$CR$432&amp;" "," ")," "&amp;$CR$434&amp;" "," ")," "&amp;$CR$429&amp;" "," ")," "&amp;$CR$427&amp;" "," ")," "&amp;$CR$1367&amp;" "," ")," "&amp;$CR$435&amp;" "," ")," "&amp;$CR$1366&amp;" "," ")," "&amp;$CR$430&amp;" "," ")),"")</f>
        <v xml:space="preserve"> haricots plats d espagne surgeles </v>
      </c>
      <c r="AM32" s="93" t="str">
        <f>IF(32=32,IF($U32="","",IF(AJ32&gt;0,"X",IF(AK32&gt;0,"?",""))),"")</f>
        <v/>
      </c>
      <c r="AN32" s="93">
        <f>IF(32=32,IF($U32="","",SUMPRODUCT(--ISNUMBER(SEARCH(" "&amp;$CR$436:$CR$535&amp;" ",$AX32)))),"")</f>
        <v>0</v>
      </c>
      <c r="AO32" s="93">
        <f>IF(32=32,IF($U32="","",SUMPRODUCT(--ISNUMBER(SEARCH(" "&amp;$CR$536:$CR$635&amp;" ",$AX32)))),"")</f>
        <v>0</v>
      </c>
      <c r="AP32" s="93">
        <f>IF(32=32,IF($U32="","",SUMPRODUCT(--ISNUMBER(SEARCH(" "&amp;$CR$636:$CR$735&amp;" ",$AX32)))),"")</f>
        <v>0</v>
      </c>
      <c r="AQ32" s="93">
        <f>IF(32=32,IF($U32="","",SUMPRODUCT(--ISNUMBER(SEARCH(" "&amp;$CR$736:$CR$835&amp;" ",$AX32)))),"")</f>
        <v>0</v>
      </c>
      <c r="AR32" s="93">
        <f>IF(32=32,IF($U32="","",SUMPRODUCT(--ISNUMBER(SEARCH(" "&amp;$CR$836:$CR$935&amp;" ",$AX32)))),"")</f>
        <v>0</v>
      </c>
      <c r="AS32" s="93">
        <f>IF(32=32,IF($U32="","",SUMPRODUCT(--ISNUMBER(SEARCH(" "&amp;$CR$936:$CR$1035&amp;" ",$AX32)))),"")</f>
        <v>0</v>
      </c>
      <c r="AT32" s="93">
        <f>IF(32=32,IF($U32="","",SUMPRODUCT(--ISNUMBER(SEARCH(" "&amp;$CR$1036:$CR$1135&amp;" ",$AX32)))),"")</f>
        <v>0</v>
      </c>
      <c r="AU32" s="93">
        <f>IF(32=32,IF($U32="","",SUMPRODUCT(--ISNUMBER(SEARCH(" "&amp;$CR$1136:$CR$1235&amp;" ",$AX32)))),"")</f>
        <v>0</v>
      </c>
      <c r="AV32" s="93">
        <f>IF(32=32,IF($U32="","",SUMPRODUCT(--ISNUMBER(SEARCH(" "&amp;$CR$1236:$CR$1335&amp;" ",$AX32)))),"")</f>
        <v>0</v>
      </c>
      <c r="AW32" s="93">
        <f>IF(32=32,IF($U32="","",SUMPRODUCT(--ISNUMBER(SEARCH(" "&amp;$CR$1336:$CR$1363&amp;" ",$AX32)))),"")</f>
        <v>0</v>
      </c>
      <c r="AX32" s="93" t="str">
        <f>IF(32=32,IF($U32="","",SUBSTITUTE(SUBSTITUTE(SUBSTITUTE(SUBSTITUTE(SUBSTITUTE(SUBSTITUTE(SUBSTITUTE(SUBSTITUTE(SUBSTITUTE($AA32," "&amp;$CR$1365&amp;" "," ")," "&amp;$CR$1364&amp;" "," ")," "&amp;$CR$1370&amp;" "," ")," "&amp;$CR$1371&amp;" "," ")," "&amp;$CR$1367&amp;" "," ")," "&amp;$CR$1369&amp;" "," ")," "&amp;$CR$1366&amp;" "," ")," "&amp;$CR$1368&amp;" "," ")," "&amp;$CR$1372&amp;" "," ")),"")</f>
        <v xml:space="preserve"> haricots plats d espagne surgeles </v>
      </c>
      <c r="AY32" s="93">
        <f>IF(32=32,IF($U32="","",SUMPRODUCT(--ISNUMBER(SEARCH(" "&amp;$CR$1373:$CR$1383&amp;" ",$AX32)))),"")</f>
        <v>0</v>
      </c>
      <c r="AZ32" s="93" t="str">
        <f>IF(32=32,IF($U32="","",IF(SUM(AN32:AW32)+SUMPRODUCT(--ISNUMBER(SEARCH(" "&amp;$CR$2421:$CR$2422&amp;" ",$AX32)))&gt;0,"X",IF(AY32&gt;0,"?",""))),"")</f>
        <v/>
      </c>
      <c r="BA32" s="93">
        <f>IF(32=32,IF($U32="","",SUMPRODUCT(--ISNUMBER(SEARCH(" "&amp;$CR$1384:$CR$1404&amp;" ",$AA32)))),"")</f>
        <v>0</v>
      </c>
      <c r="BB32" s="93" t="str">
        <f>IF(32=32,IF($U32="","",IF((BA32)-(0)&gt;0,"X",IF((0)-(0)&gt;0,"?",""))),"")</f>
        <v/>
      </c>
      <c r="BC32" s="93">
        <f>IF(32=32,IF($U32="","",SUMPRODUCT(--ISNUMBER(SEARCH(" "&amp;$CR$1405:$CR$1442&amp;" ",$BD32)))),"")</f>
        <v>0</v>
      </c>
      <c r="BD32" s="93" t="str">
        <f>IF(32=32,IF($U32="","",SUBSTITUTE(SUBSTITUTE($AA32," "&amp;$CR$1443&amp;" "," ")," "&amp;$CR$1444&amp;" "," ")),"")</f>
        <v xml:space="preserve"> haricots plats d espagne surgeles </v>
      </c>
      <c r="BE32" s="93">
        <f>IF(32=32,IF($U32="","",SUMPRODUCT(--ISNUMBER(SEARCH(" "&amp;$CR$1445:$CR$1455&amp;" ",$BD32)))),"")</f>
        <v>0</v>
      </c>
      <c r="BF32" s="93" t="str">
        <f>IF(32=32,IF($U32="","",IF(BC32&gt;0,"X",IF(BE32&gt;0,"?",""))),"")</f>
        <v/>
      </c>
      <c r="BG32" s="93">
        <f>IF(32=32,IF($U32="","",SUMPRODUCT(--ISNUMBER(SEARCH(" "&amp;$CR$1456:$CR$1555&amp;" ",$BJ32)))),"")</f>
        <v>0</v>
      </c>
      <c r="BH32" s="93">
        <f>IF(32=32,IF($U32="","",SUMPRODUCT(--ISNUMBER(SEARCH(" "&amp;$CR$1556:$CR$1655&amp;" ",$BJ32)))),"")</f>
        <v>0</v>
      </c>
      <c r="BI32" s="93">
        <f>IF(32=32,IF($U32="","",SUMPRODUCT(--ISNUMBER(SEARCH(" "&amp;$CR$1656:$CR$1739&amp;" ",$BJ32)))),"")</f>
        <v>0</v>
      </c>
      <c r="BJ32" s="93" t="str">
        <f>IF(32=32,IF($U32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32,"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haricots plats d espagne surgeles </v>
      </c>
      <c r="BK32" s="93">
        <f>IF(32=32,IF($U32="","",SUMPRODUCT(--ISNUMBER(SEARCH(" "&amp;$CR$1790:$CR$1869&amp;" ",$BL32)))+SUMPRODUCT(--ISNUMBER(SEARCH(" "&amp;$CR$2440:$CR$2453&amp;" ",$BL32)))),"")</f>
        <v>0</v>
      </c>
      <c r="BL32" s="93" t="str">
        <f>IF(32=32,IF($U32="","",SUBSTITUTE(SUBSTITUTE(SUBSTITUTE(SUBSTITUTE(SUBSTITUTE(SUBSTITUTE(SUBSTITUTE(SUBSTITUTE(SUBSTITUTE(SUBSTITUTE(SUBSTITUTE(SUBSTITUTE(SUBSTITUTE($BJ32," "&amp;$CR$1876&amp;" "," ")," "&amp;$CR$1874&amp;" "," ")," "&amp;$CR$2438&amp;" "," ")," "&amp;$CR$2439&amp;" "," ")," "&amp;$CR$1871&amp;" "," ")," "&amp;$CR$1875&amp;" "," ")," "&amp;$CR$1877&amp;" "," ")," "&amp;$CR$1872&amp;" "," ")," "&amp;$CR$1870&amp;" "," ")," "&amp;$CR$1367&amp;" "," ")," "&amp;$CR$1878&amp;" "," ")," "&amp;$CR$1366&amp;" "," ")," "&amp;$CR$1873&amp;" "," ")),"")</f>
        <v xml:space="preserve"> haricots plats d espagne surgeles </v>
      </c>
      <c r="BM32" s="93" t="str">
        <f>IF(32=32,IF($U32="","",IF(SUM(BG32:BI32)+SUMPRODUCT(--ISNUMBER(SEARCH(" "&amp;$CR$2423:$CR$2424&amp;" ",$BJ32)))&gt;0,"X",IF(BK32&gt;0,"?",""))),"")</f>
        <v/>
      </c>
      <c r="BN32" s="93">
        <f>IF(32=32,IF($U32="","",SUMPRODUCT(--ISNUMBER(SEARCH(" "&amp;$CR$1879:$CR$1936&amp;" ",$BO32)))),"")</f>
        <v>0</v>
      </c>
      <c r="BO32" s="93" t="str">
        <f>IF(32=32,IF($U32="","",SUBSTITUTE(SUBSTITUTE(SUBSTITUTE(SUBSTITUTE(SUBSTITUTE(SUBSTITUTE(SUBSTITUTE(SUBSTITUTE(SUBSTITUTE(SUBSTITUTE(SUBSTITUTE(SUBSTITUTE(SUBSTITUTE(SUBSTITUTE(SUBSTITUTE(SUBSTITUTE(SUBSTITUTE(SUBSTITUTE(SUBSTITUTE(SUBSTITUTE(SUBSTITUTE(SUBSTITUTE(SUBSTITUTE($AA32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haricots plats d espagne surgeles </v>
      </c>
      <c r="BP32" s="93">
        <f>IF(32=32,IF($U32="","",SUMPRODUCT(--ISNUMBER(SEARCH(" "&amp;$CR$1960:$CR$1976&amp;" ",$BO32)))),"")</f>
        <v>0</v>
      </c>
      <c r="BQ32" s="93" t="str">
        <f>IF(32=32,IF($U32="","",IF(BN32&gt;0,"X",IF(BP32&gt;0,"?",""))),"")</f>
        <v/>
      </c>
      <c r="BR32" s="93">
        <f>IF(32=32,IF($U32="","",SUMPRODUCT(--ISNUMBER(SEARCH(" "&amp;$CR$1977:$CR$1990&amp;" ",$AA32)))),"")</f>
        <v>0</v>
      </c>
      <c r="BS32" s="93">
        <f>IF(32=32,IF($U32="","",SUMPRODUCT(--ISNUMBER(SEARCH(" "&amp;$CR$1991:$CR$2005&amp;" ",$AA32)))),"")</f>
        <v>0</v>
      </c>
      <c r="BT32" s="93" t="str">
        <f>IF(32=32,IF($U32="","",IF((BR32)-(0)&gt;0,"X",IF((BS32)-(0)&gt;0,"?",""))),"")</f>
        <v/>
      </c>
      <c r="BU32" s="93">
        <f>IF(32=32,IF($U32="","",SUMPRODUCT(--ISNUMBER(SEARCH(" "&amp;$CR$2006:$CR$2023&amp;" ",$AA32)))),"")</f>
        <v>0</v>
      </c>
      <c r="BV32" s="93">
        <f>IF(32=32,IF($U32="","",SUMPRODUCT(--ISNUMBER(SEARCH(" "&amp;$CR$2024:$CR$2038&amp;" ",$AA32)))),"")</f>
        <v>0</v>
      </c>
      <c r="BW32" s="93" t="str">
        <f>IF(32=32,IF($U32="","",IF((BU32)-(0)&gt;0,"X",IF((BV32)-(0)&gt;0,"?",""))),"")</f>
        <v/>
      </c>
      <c r="BX32" s="93">
        <f>IF(32=32,IF($U32="","",SUMPRODUCT(--ISNUMBER(SEARCH(" "&amp;$CR$2039:$CR$2057&amp;" ",$AA32)))),"")</f>
        <v>0</v>
      </c>
      <c r="BY32" s="93">
        <f>IF(32=32,IF($U32="","",SUMPRODUCT(--ISNUMBER(SEARCH(" "&amp;$CR$2058:$CR$2072&amp;" ",$AA32)))),"")</f>
        <v>0</v>
      </c>
      <c r="BZ32" s="93" t="str">
        <f>IF(32=32,IF($U32="","",IF((BX32)-(0)&gt;0,"X",IF((BY32)-(0)&gt;0,"?",""))),"")</f>
        <v/>
      </c>
      <c r="CA32" s="93">
        <f>IF(32=32,IF($U32="","",SUMPRODUCT(--ISNUMBER(SEARCH(" "&amp;$CR$2073:$CR$2093&amp;" ",$AA32)))),"")</f>
        <v>0</v>
      </c>
      <c r="CB32" s="93">
        <f>IF(32=32,IF($U32="","",SUMPRODUCT(--ISNUMBER(SEARCH(" "&amp;$CR$2094:$CR$2133&amp;" ",SUBSTITUTE(SUBSTITUTE($AA32," "&amp;$CR$1367&amp;" "," ")," "&amp;$CR$1366&amp;" "," "))))+--ISNUMBER(SEARCH("poiré",$V32))),"")</f>
        <v>0</v>
      </c>
      <c r="CC32" s="93" t="str">
        <f>IF(32=32,IF($U32="","",IF(OR(CA32&gt;0,ISNUMBER(SEARCH(" vinaigre de vin ",$AA32)),ISNUMBER(SEARCH(" vinaigre au vin ",$AA32))),"X",IF(CB32&gt;0,"?",""))),"")</f>
        <v/>
      </c>
      <c r="CD32" s="93">
        <f>IF(32=32,IF($U32="","",SUMPRODUCT(--ISNUMBER(SEARCH(" "&amp;$CR$2134:$CR$2146&amp;" ",$AA32)))),"")</f>
        <v>0</v>
      </c>
      <c r="CE32" s="93">
        <f>IF(32=32,IF($U32="","",SUMPRODUCT(--ISNUMBER(SEARCH(" "&amp;$CR$2147:$CR$2152&amp;" ",$AA32)))),"")</f>
        <v>0</v>
      </c>
      <c r="CF32" s="93" t="str">
        <f>IF(32=32,IF($U32="","",IF((CD32)-(0)&gt;0,"X",IF((CE32)-(0)&gt;0,"?",""))),"")</f>
        <v/>
      </c>
      <c r="CG32" s="93">
        <f>IF(32=32,IF($U32="","",SUMPRODUCT(--ISNUMBER(SEARCH(" "&amp;$CR$2153:$CR$2252&amp;" ",$CJ32)))),"")</f>
        <v>0</v>
      </c>
      <c r="CH32" s="93">
        <f>IF(32=32,IF($U32="","",SUMPRODUCT(--ISNUMBER(SEARCH(" "&amp;$CR$2253:$CR$2352&amp;" ",$CJ32)))),"")</f>
        <v>0</v>
      </c>
      <c r="CI32" s="93">
        <f>IF(32=32,IF($U32="","",SUMPRODUCT(--ISNUMBER(SEARCH(" "&amp;$CR$2353:$CR$2395&amp;" ",$CJ32)))),"")</f>
        <v>0</v>
      </c>
      <c r="CJ32" s="93" t="str">
        <f>IF(32=32,IF($U32="","",SUBSTITUTE(SUBSTITUTE(SUBSTITUTE(SUBSTITUTE(SUBSTITUTE(SUBSTITUTE(SUBSTITUTE(SUBSTITUTE(SUBSTITUTE(SUBSTITUTE(SUBSTITUTE(SUBSTITUTE(SUBSTITUTE(SUBSTITUTE(SUBSTITUTE(SUBSTITUTE($AA32," "&amp;$CR$2401&amp;" "," ")," "&amp;$CR$2400&amp;" "," ")," "&amp;$CR$2399&amp;" "," ")," "&amp;$CR$2406&amp;" "," ")," "&amp;$CR$2398&amp;" "," ")," "&amp;$CR$2410&amp;" "," ")," "&amp;$CR$2397&amp;" "," ")," "&amp;$CR$2402&amp;" "," ")," "&amp;$CR$2405&amp;" "," ")," "&amp;$CR$2396&amp;" "," ")," "&amp;$CR$2404&amp;" "," ")," "&amp;$CR$2411&amp;" "," ")," "&amp;$CR$2408&amp;" "," ")," "&amp;$CR$2403&amp;" "," ")," "&amp;$CR$2407&amp;" "," ")," "&amp;$CR$2409&amp;" "," ")),"")</f>
        <v xml:space="preserve"> haricots plats d espagne surgeles </v>
      </c>
      <c r="CK32" s="93">
        <f>IF(32=32,IF($U32="","",SUMPRODUCT(--ISNUMBER(SEARCH(" "&amp;$CR$2412:$CR$2416&amp;" ",$CJ32)))),"")</f>
        <v>0</v>
      </c>
      <c r="CL32" s="93" t="str">
        <f>IF(32=32,IF($U32="","",IF(SUM(CG32:CI32)&gt;0,"X",IF(CK32&gt;0,"?",""))),"")</f>
        <v/>
      </c>
      <c r="CM32" s="102"/>
      <c r="CN32" s="112" t="s">
        <v>675</v>
      </c>
      <c r="CO32" s="112" t="s">
        <v>522</v>
      </c>
      <c r="CP32" s="112" t="s">
        <v>523</v>
      </c>
      <c r="CQ32" s="112" t="s">
        <v>676</v>
      </c>
      <c r="CR32" s="112" t="s">
        <v>676</v>
      </c>
      <c r="CS32" s="112" t="s">
        <v>525</v>
      </c>
      <c r="CT32" s="112" t="s">
        <v>526</v>
      </c>
      <c r="CU32" s="112" t="s">
        <v>527</v>
      </c>
      <c r="CV32" s="113" t="s">
        <v>528</v>
      </c>
      <c r="CX32" s="36">
        <v>1</v>
      </c>
    </row>
    <row r="33" spans="1:102" ht="21" customHeight="1" x14ac:dyDescent="0.25">
      <c r="A33" s="135">
        <v>27</v>
      </c>
      <c r="B33" s="136" t="s">
        <v>203</v>
      </c>
      <c r="C33" s="137" t="str">
        <f t="shared" si="0"/>
        <v>Herbes de Provence</v>
      </c>
      <c r="D33" s="138" t="str">
        <f>IF(33=33,IF($B33="","",IF(E33="X",""&amp;"Céréales contenant du gluten","")&amp;IF(F33="X",IF(COUNTIF($E33:$E33,"X")&gt;0,", ","")&amp;"Crustacés","")&amp;IF(G33="X",IF(COUNTIF($E33:$F33,"X")&gt;0,", ","")&amp;"Œufs","")&amp;IF(H33="X",IF(COUNTIF($E33:$G33,"X")&gt;0,", ","")&amp;"Poissons","")&amp;IF(I33="X",IF(COUNTIF($E33:$H33,"X")&gt;0,", ","")&amp;"Arachides","")&amp;IF(J33="X",IF(COUNTIF($E33:$I33,"X")&gt;0,", ","")&amp;"Soja","")&amp;IF(K33="X",IF(COUNTIF($E33:$J33,"X")&gt;0,", ","")&amp;"Lait","")&amp;IF(L33="X",IF(COUNTIF($E33:$K33,"X")&gt;0,", ","")&amp;"Fruits à coque","")&amp;IF(M33="X",IF(COUNTIF($E33:$L33,"X")&gt;0,", ","")&amp;"Céleri","")&amp;IF(N33="X",IF(COUNTIF($E33:$M33,"X")&gt;0,", ","")&amp;"Moutarde","")&amp;IF(O33="X",IF(COUNTIF($E33:$N33,"X")&gt;0,", ","")&amp;"Sésame","")&amp;IF(P33="X",IF(COUNTIF($E33:$O33,"X")&gt;0,", ","")&amp;"Sulfites","")&amp;IF(Q33="X",IF(COUNTIF($E33:$P33,"X")&gt;0,", ","")&amp;"Lupin","")&amp;IF(R33="X",IF(COUNTIF($E33:$Q33,"X")&gt;0,", ","")&amp;"Mollusques","")),"")</f>
        <v/>
      </c>
      <c r="E33" s="139" t="str">
        <f>IF(33=33,IF($B33="","",AF33),"")</f>
        <v/>
      </c>
      <c r="F33" s="139" t="str">
        <f>IF(33=33,IF($B33="","",AI33),"")</f>
        <v/>
      </c>
      <c r="G33" s="139" t="str">
        <f>IF(33=33,IF($B33="","",AM33),"")</f>
        <v/>
      </c>
      <c r="H33" s="139" t="str">
        <f>IF(33=33,IF($B33="","",IF(ISNUMBER(SEARCH(" colin ",$AA33)),"X",AZ33)),"")</f>
        <v/>
      </c>
      <c r="I33" s="139" t="str">
        <f>IF(33=33,IF($B33="","",BB33),"")</f>
        <v/>
      </c>
      <c r="J33" s="139" t="str">
        <f>IF(33=33,IF($B33="","",BF33),"")</f>
        <v/>
      </c>
      <c r="K33" s="139" t="str">
        <f>IF(33=33,IF($B33="","",BM33),"")</f>
        <v/>
      </c>
      <c r="L33" s="139" t="str">
        <f>IF(33=33,IF($B33="","",BQ33),"")</f>
        <v/>
      </c>
      <c r="M33" s="139" t="str">
        <f>IF(33=33,IF($B33="","",BT33),"")</f>
        <v/>
      </c>
      <c r="N33" s="139" t="str">
        <f>IF(33=33,IF($B33="","",BW33),"")</f>
        <v/>
      </c>
      <c r="O33" s="139" t="str">
        <f>IF(33=33,IF($B33="","",BZ33),"")</f>
        <v/>
      </c>
      <c r="P33" s="139" t="str">
        <f>IF(33=33,IF($B33="","",CC33),"")</f>
        <v/>
      </c>
      <c r="Q33" s="139" t="str">
        <f>IF(33=33,IF($B33="","",CF33),"")</f>
        <v/>
      </c>
      <c r="R33" s="139" t="str">
        <f>IF(33=33,IF($B33="","",CL33),"")</f>
        <v/>
      </c>
      <c r="S33" s="140" t="str">
        <f>IF(33=33,IF($B33="","",IF(E33="?",""&amp;"Céréales contenant du gluten","")&amp;IF(F33="?",IF(COUNTIF($E33:$E33,"~?")&gt;0,", ","")&amp;"Crustacés","")&amp;IF(G33="?",IF(COUNTIF($E33:$F33,"~?")&gt;0,", ","")&amp;"Œufs","")&amp;IF(H33="?",IF(COUNTIF($E33:$G33,"~?")&gt;0,", ","")&amp;"Poissons","")&amp;IF(I33="?",IF(COUNTIF($E33:$H33,"~?")&gt;0,", ","")&amp;"Arachides","")&amp;IF(J33="?",IF(COUNTIF($E33:$I33,"~?")&gt;0,", ","")&amp;"Soja","")&amp;IF(K33="?",IF(COUNTIF($E33:$J33,"~?")&gt;0,", ","")&amp;"Lait","")&amp;IF(L33="?",IF(COUNTIF($E33:$K33,"~?")&gt;0,", ","")&amp;"Fruits à coque","")&amp;IF(M33="?",IF(COUNTIF($E33:$L33,"~?")&gt;0,", ","")&amp;"Céleri","")&amp;IF(N33="?",IF(COUNTIF($E33:$M33,"~?")&gt;0,", ","")&amp;"Moutarde","")&amp;IF(O33="?",IF(COUNTIF($E33:$N33,"~?")&gt;0,", ","")&amp;"Sésame","")&amp;IF(P33="?",IF(COUNTIF($E33:$O33,"~?")&gt;0,", ","")&amp;"Sulfites","")&amp;IF(Q33="?",IF(COUNTIF($E33:$P33,"~?")&gt;0,", ","")&amp;"Lupin","")&amp;IF(R33="?",IF(COUNTIF($E33:$Q33,"~?")&gt;0,", ","")&amp;"Mollusques","")),"")</f>
        <v/>
      </c>
      <c r="U33" s="93" t="str">
        <f>IF(33=33,IF($B33="","",$B33),"")</f>
        <v>Herbes de Provence</v>
      </c>
      <c r="V33" s="93" t="str">
        <f>IF(33=33,LOWER(CLEAN(SUBSTITUTE(SUBSTITUTE(SUBSTITUTE(SUBSTITUTE($U33,CHAR(160)," ")," "," "),CHAR(10)," "),CHAR(13)," "))),"")</f>
        <v>herbes de provence</v>
      </c>
      <c r="W33" s="93" t="str">
        <f>IF(33=33,SUBSTITUTE(SUBSTITUTE(SUBSTITUTE(SUBSTITUTE(SUBSTITUTE(SUBSTITUTE(SUBSTITUTE(SUBSTITUTE(SUBSTITUTE(SUBSTITUTE(SUBSTITUTE(SUBSTITUTE($V33,"œ","oe"),"æ","ae"),"à","a"),"á","a"),"â","a"),"ä","a"),"ã","a"),"ç","c"),"è","e"),"é","e"),"ê","e"),"ë","e"),"")</f>
        <v>herbes de provence</v>
      </c>
      <c r="X33" s="93" t="str">
        <f>IF(33=33,SUBSTITUTE(SUBSTITUTE(SUBSTITUTE(SUBSTITUTE(SUBSTITUTE(SUBSTITUTE(SUBSTITUTE(SUBSTITUTE(SUBSTITUTE(SUBSTITUTE(SUBSTITUTE(SUBSTITUTE(SUBSTITUTE(SUBSTITUTE(SUBSTITUTE(SUBSTITUTE($W33,"ì","i"),"í","i"),"î","i"),"ï","i"),"ñ","n"),"ò","o"),"ó","o"),"ô","o"),"ö","o"),"õ","o"),"ù","u"),"ú","u"),"û","u"),"ü","u"),"ý","y"),"ÿ","y"),"")</f>
        <v>herbes de provence</v>
      </c>
      <c r="Y33" s="93" t="str">
        <f>IF(33=33,SUBSTITUTE(SUBSTITUTE(SUBSTITUTE(SUBSTITUTE(SUBSTITUTE(SUBSTITUTE(SUBSTITUTE(SUBSTITUTE(SUBSTITUTE(SUBSTITUTE(SUBSTITUTE(SUBSTITUTE(SUBSTITUTE(SUBSTITUTE($X33,"’"," "),"`"," "),"–"," "),"—"," "),"-"," "),"'"," "),"/"," "),"_"," "),","," "),"."," "),"("," "),")"," "),";"," "),":"," "),"")</f>
        <v>herbes de provence</v>
      </c>
      <c r="Z33" s="93" t="str">
        <f>IF(33=33,SUBSTITUTE(SUBSTITUTE(SUBSTITUTE(SUBSTITUTE(SUBSTITUTE(SUBSTITUTE(SUBSTITUTE(SUBSTITUTE(SUBSTITUTE(SUBSTITUTE(SUBSTITUTE(SUBSTITUTE(SUBSTITUTE(SUBSTITUTE(SUBSTITUTE($Y33,"!"," "),"?"," "),"+"," "),"*"," "),"&amp;"," "),"["," "),"]"," "),"{"," "),"}"," "),"%"," "),"="," "),"\"," "),"|"," "),"&lt;"," "),"&gt;"," "),"")</f>
        <v>herbes de provence</v>
      </c>
      <c r="AA33" s="93" t="str">
        <f>IF(33=33," "&amp;TRIM(SUBSTITUTE(SUBSTITUTE(SUBSTITUTE(SUBSTITUTE(SUBSTITUTE(SUBSTITUTE($Z33,CHAR(34)," "),"  "," "),"  "," "),"  "," "),"  "," "),"  "," "))&amp;" ","")</f>
        <v xml:space="preserve"> herbes de provence </v>
      </c>
      <c r="AB33" s="93">
        <f>IF(33=33,IF($U33="","",SUMPRODUCT(--ISNUMBER(SEARCH(" "&amp;$CR$2:$CR$101&amp;" ",$AD33)))),"")</f>
        <v>0</v>
      </c>
      <c r="AC33" s="93">
        <f>IF(33=33,IF($U33="","",SUMPRODUCT(--ISNUMBER(SEARCH(" "&amp;$CR$102:$CR$151&amp;" ",$AD33)))),"")</f>
        <v>0</v>
      </c>
      <c r="AD33" s="93" t="str">
        <f t="shared" si="1"/>
        <v xml:space="preserve"> herbes de provence </v>
      </c>
      <c r="AE33" s="93">
        <f t="shared" si="2"/>
        <v>0</v>
      </c>
      <c r="AF33" s="93" t="str">
        <f>IF(33=33,IF($U33="","",IF(SUM(AB33:AC33)+SUMPRODUCT(--ISNUMBER(SEARCH(" "&amp;$CR$2418:$CR$2420&amp;" ",$AD33)))&gt;0,"X",IF(AE33&gt;0,"?",""))),"")</f>
        <v/>
      </c>
      <c r="AG33" s="93">
        <f>IF(33=33,IF($U33="","",SUMPRODUCT(--ISNUMBER(SEARCH(" "&amp;$CR$206:$CR$305&amp;" ",$AA33)))),"")</f>
        <v>0</v>
      </c>
      <c r="AH33" s="93">
        <f>IF(33=33,IF($U33="","",SUMPRODUCT(--ISNUMBER(SEARCH(" "&amp;$CR$306:$CR$340&amp;" ",$AA33)))),"")</f>
        <v>0</v>
      </c>
      <c r="AI33" s="93" t="str">
        <f>IF(33=33,IF($U33="","",IF((SUM(AG33:AH33))-(0)&gt;0,"X",IF((0)-(0)&gt;0,"?",""))),"")</f>
        <v/>
      </c>
      <c r="AJ33" s="93">
        <f>IF(33=33,IF($U33="","",SUMPRODUCT(--ISNUMBER(SEARCH(" "&amp;$CR$341:$CR$398&amp;" ",$AA33)))),"")</f>
        <v>0</v>
      </c>
      <c r="AK33" s="93">
        <f>IF(33=33,IF($U33="","",SUMPRODUCT(--ISNUMBER(SEARCH(" "&amp;$CR$399:$CR$426&amp;" ",$AL33)))+SUMPRODUCT(--ISNUMBER(SEARCH(" "&amp;$CR$2440:$CR$2453&amp;" ",$AL33)))),"")</f>
        <v>0</v>
      </c>
      <c r="AL33" s="93" t="str">
        <f>IF(33=33,IF($U33="","",SUBSTITUTE(SUBSTITUTE(SUBSTITUTE(SUBSTITUTE(SUBSTITUTE(SUBSTITUTE(SUBSTITUTE(SUBSTITUTE(SUBSTITUTE(SUBSTITUTE(SUBSTITUTE(SUBSTITUTE(SUBSTITUTE(SUBSTITUTE($AA33," "&amp;$CR$2455&amp;" "," ")," "&amp;$CR$433&amp;" "," ")," "&amp;$CR$431&amp;" "," ")," "&amp;$CR$2438&amp;" "," ")," "&amp;$CR$2439&amp;" "," ")," "&amp;$CR$428&amp;" "," ")," "&amp;$CR$432&amp;" "," ")," "&amp;$CR$434&amp;" "," ")," "&amp;$CR$429&amp;" "," ")," "&amp;$CR$427&amp;" "," ")," "&amp;$CR$1367&amp;" "," ")," "&amp;$CR$435&amp;" "," ")," "&amp;$CR$1366&amp;" "," ")," "&amp;$CR$430&amp;" "," ")),"")</f>
        <v xml:space="preserve"> herbes de provence </v>
      </c>
      <c r="AM33" s="93" t="str">
        <f>IF(33=33,IF($U33="","",IF(AJ33&gt;0,"X",IF(AK33&gt;0,"?",""))),"")</f>
        <v/>
      </c>
      <c r="AN33" s="93">
        <f>IF(33=33,IF($U33="","",SUMPRODUCT(--ISNUMBER(SEARCH(" "&amp;$CR$436:$CR$535&amp;" ",$AX33)))),"")</f>
        <v>0</v>
      </c>
      <c r="AO33" s="93">
        <f>IF(33=33,IF($U33="","",SUMPRODUCT(--ISNUMBER(SEARCH(" "&amp;$CR$536:$CR$635&amp;" ",$AX33)))),"")</f>
        <v>0</v>
      </c>
      <c r="AP33" s="93">
        <f>IF(33=33,IF($U33="","",SUMPRODUCT(--ISNUMBER(SEARCH(" "&amp;$CR$636:$CR$735&amp;" ",$AX33)))),"")</f>
        <v>0</v>
      </c>
      <c r="AQ33" s="93">
        <f>IF(33=33,IF($U33="","",SUMPRODUCT(--ISNUMBER(SEARCH(" "&amp;$CR$736:$CR$835&amp;" ",$AX33)))),"")</f>
        <v>0</v>
      </c>
      <c r="AR33" s="93">
        <f>IF(33=33,IF($U33="","",SUMPRODUCT(--ISNUMBER(SEARCH(" "&amp;$CR$836:$CR$935&amp;" ",$AX33)))),"")</f>
        <v>0</v>
      </c>
      <c r="AS33" s="93">
        <f>IF(33=33,IF($U33="","",SUMPRODUCT(--ISNUMBER(SEARCH(" "&amp;$CR$936:$CR$1035&amp;" ",$AX33)))),"")</f>
        <v>0</v>
      </c>
      <c r="AT33" s="93">
        <f>IF(33=33,IF($U33="","",SUMPRODUCT(--ISNUMBER(SEARCH(" "&amp;$CR$1036:$CR$1135&amp;" ",$AX33)))),"")</f>
        <v>0</v>
      </c>
      <c r="AU33" s="93">
        <f>IF(33=33,IF($U33="","",SUMPRODUCT(--ISNUMBER(SEARCH(" "&amp;$CR$1136:$CR$1235&amp;" ",$AX33)))),"")</f>
        <v>0</v>
      </c>
      <c r="AV33" s="93">
        <f>IF(33=33,IF($U33="","",SUMPRODUCT(--ISNUMBER(SEARCH(" "&amp;$CR$1236:$CR$1335&amp;" ",$AX33)))),"")</f>
        <v>0</v>
      </c>
      <c r="AW33" s="93">
        <f>IF(33=33,IF($U33="","",SUMPRODUCT(--ISNUMBER(SEARCH(" "&amp;$CR$1336:$CR$1363&amp;" ",$AX33)))),"")</f>
        <v>0</v>
      </c>
      <c r="AX33" s="93" t="str">
        <f>IF(33=33,IF($U33="","",SUBSTITUTE(SUBSTITUTE(SUBSTITUTE(SUBSTITUTE(SUBSTITUTE(SUBSTITUTE(SUBSTITUTE(SUBSTITUTE(SUBSTITUTE($AA33," "&amp;$CR$1365&amp;" "," ")," "&amp;$CR$1364&amp;" "," ")," "&amp;$CR$1370&amp;" "," ")," "&amp;$CR$1371&amp;" "," ")," "&amp;$CR$1367&amp;" "," ")," "&amp;$CR$1369&amp;" "," ")," "&amp;$CR$1366&amp;" "," ")," "&amp;$CR$1368&amp;" "," ")," "&amp;$CR$1372&amp;" "," ")),"")</f>
        <v xml:space="preserve"> herbes de provence </v>
      </c>
      <c r="AY33" s="93">
        <f>IF(33=33,IF($U33="","",SUMPRODUCT(--ISNUMBER(SEARCH(" "&amp;$CR$1373:$CR$1383&amp;" ",$AX33)))),"")</f>
        <v>0</v>
      </c>
      <c r="AZ33" s="93" t="str">
        <f>IF(33=33,IF($U33="","",IF(SUM(AN33:AW33)+SUMPRODUCT(--ISNUMBER(SEARCH(" "&amp;$CR$2421:$CR$2422&amp;" ",$AX33)))&gt;0,"X",IF(AY33&gt;0,"?",""))),"")</f>
        <v/>
      </c>
      <c r="BA33" s="93">
        <f>IF(33=33,IF($U33="","",SUMPRODUCT(--ISNUMBER(SEARCH(" "&amp;$CR$1384:$CR$1404&amp;" ",$AA33)))),"")</f>
        <v>0</v>
      </c>
      <c r="BB33" s="93" t="str">
        <f>IF(33=33,IF($U33="","",IF((BA33)-(0)&gt;0,"X",IF((0)-(0)&gt;0,"?",""))),"")</f>
        <v/>
      </c>
      <c r="BC33" s="93">
        <f>IF(33=33,IF($U33="","",SUMPRODUCT(--ISNUMBER(SEARCH(" "&amp;$CR$1405:$CR$1442&amp;" ",$BD33)))),"")</f>
        <v>0</v>
      </c>
      <c r="BD33" s="93" t="str">
        <f>IF(33=33,IF($U33="","",SUBSTITUTE(SUBSTITUTE($AA33," "&amp;$CR$1443&amp;" "," ")," "&amp;$CR$1444&amp;" "," ")),"")</f>
        <v xml:space="preserve"> herbes de provence </v>
      </c>
      <c r="BE33" s="93">
        <f>IF(33=33,IF($U33="","",SUMPRODUCT(--ISNUMBER(SEARCH(" "&amp;$CR$1445:$CR$1455&amp;" ",$BD33)))),"")</f>
        <v>0</v>
      </c>
      <c r="BF33" s="93" t="str">
        <f>IF(33=33,IF($U33="","",IF(BC33&gt;0,"X",IF(BE33&gt;0,"?",""))),"")</f>
        <v/>
      </c>
      <c r="BG33" s="93">
        <f>IF(33=33,IF($U33="","",SUMPRODUCT(--ISNUMBER(SEARCH(" "&amp;$CR$1456:$CR$1555&amp;" ",$BJ33)))),"")</f>
        <v>0</v>
      </c>
      <c r="BH33" s="93">
        <f>IF(33=33,IF($U33="","",SUMPRODUCT(--ISNUMBER(SEARCH(" "&amp;$CR$1556:$CR$1655&amp;" ",$BJ33)))),"")</f>
        <v>0</v>
      </c>
      <c r="BI33" s="93">
        <f>IF(33=33,IF($U33="","",SUMPRODUCT(--ISNUMBER(SEARCH(" "&amp;$CR$1656:$CR$1739&amp;" ",$BJ33)))),"")</f>
        <v>0</v>
      </c>
      <c r="BJ33" s="93" t="str">
        <f>IF(33=33,IF($U33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33,"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herbes de provence </v>
      </c>
      <c r="BK33" s="93">
        <f>IF(33=33,IF($U33="","",SUMPRODUCT(--ISNUMBER(SEARCH(" "&amp;$CR$1790:$CR$1869&amp;" ",$BL33)))+SUMPRODUCT(--ISNUMBER(SEARCH(" "&amp;$CR$2440:$CR$2453&amp;" ",$BL33)))),"")</f>
        <v>0</v>
      </c>
      <c r="BL33" s="93" t="str">
        <f>IF(33=33,IF($U33="","",SUBSTITUTE(SUBSTITUTE(SUBSTITUTE(SUBSTITUTE(SUBSTITUTE(SUBSTITUTE(SUBSTITUTE(SUBSTITUTE(SUBSTITUTE(SUBSTITUTE(SUBSTITUTE(SUBSTITUTE(SUBSTITUTE($BJ33," "&amp;$CR$1876&amp;" "," ")," "&amp;$CR$1874&amp;" "," ")," "&amp;$CR$2438&amp;" "," ")," "&amp;$CR$2439&amp;" "," ")," "&amp;$CR$1871&amp;" "," ")," "&amp;$CR$1875&amp;" "," ")," "&amp;$CR$1877&amp;" "," ")," "&amp;$CR$1872&amp;" "," ")," "&amp;$CR$1870&amp;" "," ")," "&amp;$CR$1367&amp;" "," ")," "&amp;$CR$1878&amp;" "," ")," "&amp;$CR$1366&amp;" "," ")," "&amp;$CR$1873&amp;" "," ")),"")</f>
        <v xml:space="preserve"> herbes de provence </v>
      </c>
      <c r="BM33" s="93" t="str">
        <f>IF(33=33,IF($U33="","",IF(SUM(BG33:BI33)+SUMPRODUCT(--ISNUMBER(SEARCH(" "&amp;$CR$2423:$CR$2424&amp;" ",$BJ33)))&gt;0,"X",IF(BK33&gt;0,"?",""))),"")</f>
        <v/>
      </c>
      <c r="BN33" s="93">
        <f>IF(33=33,IF($U33="","",SUMPRODUCT(--ISNUMBER(SEARCH(" "&amp;$CR$1879:$CR$1936&amp;" ",$BO33)))),"")</f>
        <v>0</v>
      </c>
      <c r="BO33" s="93" t="str">
        <f>IF(33=33,IF($U33="","",SUBSTITUTE(SUBSTITUTE(SUBSTITUTE(SUBSTITUTE(SUBSTITUTE(SUBSTITUTE(SUBSTITUTE(SUBSTITUTE(SUBSTITUTE(SUBSTITUTE(SUBSTITUTE(SUBSTITUTE(SUBSTITUTE(SUBSTITUTE(SUBSTITUTE(SUBSTITUTE(SUBSTITUTE(SUBSTITUTE(SUBSTITUTE(SUBSTITUTE(SUBSTITUTE(SUBSTITUTE(SUBSTITUTE($AA33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herbes de provence </v>
      </c>
      <c r="BP33" s="93">
        <f>IF(33=33,IF($U33="","",SUMPRODUCT(--ISNUMBER(SEARCH(" "&amp;$CR$1960:$CR$1976&amp;" ",$BO33)))),"")</f>
        <v>0</v>
      </c>
      <c r="BQ33" s="93" t="str">
        <f>IF(33=33,IF($U33="","",IF(BN33&gt;0,"X",IF(BP33&gt;0,"?",""))),"")</f>
        <v/>
      </c>
      <c r="BR33" s="93">
        <f>IF(33=33,IF($U33="","",SUMPRODUCT(--ISNUMBER(SEARCH(" "&amp;$CR$1977:$CR$1990&amp;" ",$AA33)))),"")</f>
        <v>0</v>
      </c>
      <c r="BS33" s="93">
        <f>IF(33=33,IF($U33="","",SUMPRODUCT(--ISNUMBER(SEARCH(" "&amp;$CR$1991:$CR$2005&amp;" ",$AA33)))),"")</f>
        <v>0</v>
      </c>
      <c r="BT33" s="93" t="str">
        <f>IF(33=33,IF($U33="","",IF((BR33)-(0)&gt;0,"X",IF((BS33)-(0)&gt;0,"?",""))),"")</f>
        <v/>
      </c>
      <c r="BU33" s="93">
        <f>IF(33=33,IF($U33="","",SUMPRODUCT(--ISNUMBER(SEARCH(" "&amp;$CR$2006:$CR$2023&amp;" ",$AA33)))),"")</f>
        <v>0</v>
      </c>
      <c r="BV33" s="93">
        <f>IF(33=33,IF($U33="","",SUMPRODUCT(--ISNUMBER(SEARCH(" "&amp;$CR$2024:$CR$2038&amp;" ",$AA33)))),"")</f>
        <v>0</v>
      </c>
      <c r="BW33" s="93" t="str">
        <f>IF(33=33,IF($U33="","",IF((BU33)-(0)&gt;0,"X",IF((BV33)-(0)&gt;0,"?",""))),"")</f>
        <v/>
      </c>
      <c r="BX33" s="93">
        <f>IF(33=33,IF($U33="","",SUMPRODUCT(--ISNUMBER(SEARCH(" "&amp;$CR$2039:$CR$2057&amp;" ",$AA33)))),"")</f>
        <v>0</v>
      </c>
      <c r="BY33" s="93">
        <f>IF(33=33,IF($U33="","",SUMPRODUCT(--ISNUMBER(SEARCH(" "&amp;$CR$2058:$CR$2072&amp;" ",$AA33)))),"")</f>
        <v>0</v>
      </c>
      <c r="BZ33" s="93" t="str">
        <f>IF(33=33,IF($U33="","",IF((BX33)-(0)&gt;0,"X",IF((BY33)-(0)&gt;0,"?",""))),"")</f>
        <v/>
      </c>
      <c r="CA33" s="93">
        <f>IF(33=33,IF($U33="","",SUMPRODUCT(--ISNUMBER(SEARCH(" "&amp;$CR$2073:$CR$2093&amp;" ",$AA33)))),"")</f>
        <v>0</v>
      </c>
      <c r="CB33" s="93">
        <f>IF(33=33,IF($U33="","",SUMPRODUCT(--ISNUMBER(SEARCH(" "&amp;$CR$2094:$CR$2133&amp;" ",SUBSTITUTE(SUBSTITUTE($AA33," "&amp;$CR$1367&amp;" "," ")," "&amp;$CR$1366&amp;" "," "))))+--ISNUMBER(SEARCH("poiré",$V33))),"")</f>
        <v>0</v>
      </c>
      <c r="CC33" s="93" t="str">
        <f>IF(33=33,IF($U33="","",IF(OR(CA33&gt;0,ISNUMBER(SEARCH(" vinaigre de vin ",$AA33)),ISNUMBER(SEARCH(" vinaigre au vin ",$AA33))),"X",IF(CB33&gt;0,"?",""))),"")</f>
        <v/>
      </c>
      <c r="CD33" s="93">
        <f>IF(33=33,IF($U33="","",SUMPRODUCT(--ISNUMBER(SEARCH(" "&amp;$CR$2134:$CR$2146&amp;" ",$AA33)))),"")</f>
        <v>0</v>
      </c>
      <c r="CE33" s="93">
        <f>IF(33=33,IF($U33="","",SUMPRODUCT(--ISNUMBER(SEARCH(" "&amp;$CR$2147:$CR$2152&amp;" ",$AA33)))),"")</f>
        <v>0</v>
      </c>
      <c r="CF33" s="93" t="str">
        <f>IF(33=33,IF($U33="","",IF((CD33)-(0)&gt;0,"X",IF((CE33)-(0)&gt;0,"?",""))),"")</f>
        <v/>
      </c>
      <c r="CG33" s="93">
        <f>IF(33=33,IF($U33="","",SUMPRODUCT(--ISNUMBER(SEARCH(" "&amp;$CR$2153:$CR$2252&amp;" ",$CJ33)))),"")</f>
        <v>0</v>
      </c>
      <c r="CH33" s="93">
        <f>IF(33=33,IF($U33="","",SUMPRODUCT(--ISNUMBER(SEARCH(" "&amp;$CR$2253:$CR$2352&amp;" ",$CJ33)))),"")</f>
        <v>0</v>
      </c>
      <c r="CI33" s="93">
        <f>IF(33=33,IF($U33="","",SUMPRODUCT(--ISNUMBER(SEARCH(" "&amp;$CR$2353:$CR$2395&amp;" ",$CJ33)))),"")</f>
        <v>0</v>
      </c>
      <c r="CJ33" s="93" t="str">
        <f>IF(33=33,IF($U33="","",SUBSTITUTE(SUBSTITUTE(SUBSTITUTE(SUBSTITUTE(SUBSTITUTE(SUBSTITUTE(SUBSTITUTE(SUBSTITUTE(SUBSTITUTE(SUBSTITUTE(SUBSTITUTE(SUBSTITUTE(SUBSTITUTE(SUBSTITUTE(SUBSTITUTE(SUBSTITUTE($AA33," "&amp;$CR$2401&amp;" "," ")," "&amp;$CR$2400&amp;" "," ")," "&amp;$CR$2399&amp;" "," ")," "&amp;$CR$2406&amp;" "," ")," "&amp;$CR$2398&amp;" "," ")," "&amp;$CR$2410&amp;" "," ")," "&amp;$CR$2397&amp;" "," ")," "&amp;$CR$2402&amp;" "," ")," "&amp;$CR$2405&amp;" "," ")," "&amp;$CR$2396&amp;" "," ")," "&amp;$CR$2404&amp;" "," ")," "&amp;$CR$2411&amp;" "," ")," "&amp;$CR$2408&amp;" "," ")," "&amp;$CR$2403&amp;" "," ")," "&amp;$CR$2407&amp;" "," ")," "&amp;$CR$2409&amp;" "," ")),"")</f>
        <v xml:space="preserve"> herbes de provence </v>
      </c>
      <c r="CK33" s="93">
        <f>IF(33=33,IF($U33="","",SUMPRODUCT(--ISNUMBER(SEARCH(" "&amp;$CR$2412:$CR$2416&amp;" ",$CJ33)))),"")</f>
        <v>0</v>
      </c>
      <c r="CL33" s="93" t="str">
        <f>IF(33=33,IF($U33="","",IF(SUM(CG33:CI33)&gt;0,"X",IF(CK33&gt;0,"?",""))),"")</f>
        <v/>
      </c>
      <c r="CM33" s="102"/>
      <c r="CN33" s="112" t="s">
        <v>678</v>
      </c>
      <c r="CO33" s="112" t="s">
        <v>522</v>
      </c>
      <c r="CP33" s="112" t="s">
        <v>523</v>
      </c>
      <c r="CQ33" s="112" t="s">
        <v>679</v>
      </c>
      <c r="CR33" s="112" t="s">
        <v>680</v>
      </c>
      <c r="CS33" s="112" t="s">
        <v>525</v>
      </c>
      <c r="CT33" s="112" t="s">
        <v>526</v>
      </c>
      <c r="CU33" s="112" t="s">
        <v>527</v>
      </c>
      <c r="CV33" s="113" t="s">
        <v>528</v>
      </c>
      <c r="CX33" s="36">
        <v>1</v>
      </c>
    </row>
    <row r="34" spans="1:102" ht="21" customHeight="1" x14ac:dyDescent="0.25">
      <c r="A34" s="135">
        <v>28</v>
      </c>
      <c r="B34" s="136" t="s">
        <v>74</v>
      </c>
      <c r="C34" s="137" t="str">
        <f t="shared" si="0"/>
        <v>Huile</v>
      </c>
      <c r="D34" s="138" t="str">
        <f>IF(34=34,IF($B34="","",IF(E34="X",""&amp;"Céréales contenant du gluten","")&amp;IF(F34="X",IF(COUNTIF($E34:$E34,"X")&gt;0,", ","")&amp;"Crustacés","")&amp;IF(G34="X",IF(COUNTIF($E34:$F34,"X")&gt;0,", ","")&amp;"Œufs","")&amp;IF(H34="X",IF(COUNTIF($E34:$G34,"X")&gt;0,", ","")&amp;"Poissons","")&amp;IF(I34="X",IF(COUNTIF($E34:$H34,"X")&gt;0,", ","")&amp;"Arachides","")&amp;IF(J34="X",IF(COUNTIF($E34:$I34,"X")&gt;0,", ","")&amp;"Soja","")&amp;IF(K34="X",IF(COUNTIF($E34:$J34,"X")&gt;0,", ","")&amp;"Lait","")&amp;IF(L34="X",IF(COUNTIF($E34:$K34,"X")&gt;0,", ","")&amp;"Fruits à coque","")&amp;IF(M34="X",IF(COUNTIF($E34:$L34,"X")&gt;0,", ","")&amp;"Céleri","")&amp;IF(N34="X",IF(COUNTIF($E34:$M34,"X")&gt;0,", ","")&amp;"Moutarde","")&amp;IF(O34="X",IF(COUNTIF($E34:$N34,"X")&gt;0,", ","")&amp;"Sésame","")&amp;IF(P34="X",IF(COUNTIF($E34:$O34,"X")&gt;0,", ","")&amp;"Sulfites","")&amp;IF(Q34="X",IF(COUNTIF($E34:$P34,"X")&gt;0,", ","")&amp;"Lupin","")&amp;IF(R34="X",IF(COUNTIF($E34:$Q34,"X")&gt;0,", ","")&amp;"Mollusques","")),"")</f>
        <v/>
      </c>
      <c r="E34" s="139" t="str">
        <f>IF(34=34,IF($B34="","",AF34),"")</f>
        <v/>
      </c>
      <c r="F34" s="139" t="str">
        <f>IF(34=34,IF($B34="","",AI34),"")</f>
        <v/>
      </c>
      <c r="G34" s="139" t="str">
        <f>IF(34=34,IF($B34="","",AM34),"")</f>
        <v/>
      </c>
      <c r="H34" s="139" t="str">
        <f>IF(34=34,IF($B34="","",IF(ISNUMBER(SEARCH(" colin ",$AA34)),"X",AZ34)),"")</f>
        <v/>
      </c>
      <c r="I34" s="139" t="str">
        <f>IF(34=34,IF($B34="","",BB34),"")</f>
        <v/>
      </c>
      <c r="J34" s="139" t="str">
        <f>IF(34=34,IF($B34="","",BF34),"")</f>
        <v/>
      </c>
      <c r="K34" s="139" t="str">
        <f>IF(34=34,IF($B34="","",BM34),"")</f>
        <v/>
      </c>
      <c r="L34" s="139" t="str">
        <f>IF(34=34,IF($B34="","",BQ34),"")</f>
        <v/>
      </c>
      <c r="M34" s="139" t="str">
        <f>IF(34=34,IF($B34="","",BT34),"")</f>
        <v/>
      </c>
      <c r="N34" s="139" t="str">
        <f>IF(34=34,IF($B34="","",BW34),"")</f>
        <v/>
      </c>
      <c r="O34" s="139" t="str">
        <f>IF(34=34,IF($B34="","",BZ34),"")</f>
        <v/>
      </c>
      <c r="P34" s="139" t="str">
        <f>IF(34=34,IF($B34="","",CC34),"")</f>
        <v/>
      </c>
      <c r="Q34" s="139" t="str">
        <f>IF(34=34,IF($B34="","",CF34),"")</f>
        <v/>
      </c>
      <c r="R34" s="139" t="str">
        <f>IF(34=34,IF($B34="","",CL34),"")</f>
        <v/>
      </c>
      <c r="S34" s="140" t="str">
        <f>IF(34=34,IF($B34="","",IF(E34="?",""&amp;"Céréales contenant du gluten","")&amp;IF(F34="?",IF(COUNTIF($E34:$E34,"~?")&gt;0,", ","")&amp;"Crustacés","")&amp;IF(G34="?",IF(COUNTIF($E34:$F34,"~?")&gt;0,", ","")&amp;"Œufs","")&amp;IF(H34="?",IF(COUNTIF($E34:$G34,"~?")&gt;0,", ","")&amp;"Poissons","")&amp;IF(I34="?",IF(COUNTIF($E34:$H34,"~?")&gt;0,", ","")&amp;"Arachides","")&amp;IF(J34="?",IF(COUNTIF($E34:$I34,"~?")&gt;0,", ","")&amp;"Soja","")&amp;IF(K34="?",IF(COUNTIF($E34:$J34,"~?")&gt;0,", ","")&amp;"Lait","")&amp;IF(L34="?",IF(COUNTIF($E34:$K34,"~?")&gt;0,", ","")&amp;"Fruits à coque","")&amp;IF(M34="?",IF(COUNTIF($E34:$L34,"~?")&gt;0,", ","")&amp;"Céleri","")&amp;IF(N34="?",IF(COUNTIF($E34:$M34,"~?")&gt;0,", ","")&amp;"Moutarde","")&amp;IF(O34="?",IF(COUNTIF($E34:$N34,"~?")&gt;0,", ","")&amp;"Sésame","")&amp;IF(P34="?",IF(COUNTIF($E34:$O34,"~?")&gt;0,", ","")&amp;"Sulfites","")&amp;IF(Q34="?",IF(COUNTIF($E34:$P34,"~?")&gt;0,", ","")&amp;"Lupin","")&amp;IF(R34="?",IF(COUNTIF($E34:$Q34,"~?")&gt;0,", ","")&amp;"Mollusques","")),"")</f>
        <v/>
      </c>
      <c r="U34" s="93" t="str">
        <f>IF(34=34,IF($B34="","",$B34),"")</f>
        <v>Huile</v>
      </c>
      <c r="V34" s="93" t="str">
        <f>IF(34=34,LOWER(CLEAN(SUBSTITUTE(SUBSTITUTE(SUBSTITUTE(SUBSTITUTE($U34,CHAR(160)," ")," "," "),CHAR(10)," "),CHAR(13)," "))),"")</f>
        <v>huile</v>
      </c>
      <c r="W34" s="93" t="str">
        <f>IF(34=34,SUBSTITUTE(SUBSTITUTE(SUBSTITUTE(SUBSTITUTE(SUBSTITUTE(SUBSTITUTE(SUBSTITUTE(SUBSTITUTE(SUBSTITUTE(SUBSTITUTE(SUBSTITUTE(SUBSTITUTE($V34,"œ","oe"),"æ","ae"),"à","a"),"á","a"),"â","a"),"ä","a"),"ã","a"),"ç","c"),"è","e"),"é","e"),"ê","e"),"ë","e"),"")</f>
        <v>huile</v>
      </c>
      <c r="X34" s="93" t="str">
        <f>IF(34=34,SUBSTITUTE(SUBSTITUTE(SUBSTITUTE(SUBSTITUTE(SUBSTITUTE(SUBSTITUTE(SUBSTITUTE(SUBSTITUTE(SUBSTITUTE(SUBSTITUTE(SUBSTITUTE(SUBSTITUTE(SUBSTITUTE(SUBSTITUTE(SUBSTITUTE(SUBSTITUTE($W34,"ì","i"),"í","i"),"î","i"),"ï","i"),"ñ","n"),"ò","o"),"ó","o"),"ô","o"),"ö","o"),"õ","o"),"ù","u"),"ú","u"),"û","u"),"ü","u"),"ý","y"),"ÿ","y"),"")</f>
        <v>huile</v>
      </c>
      <c r="Y34" s="93" t="str">
        <f>IF(34=34,SUBSTITUTE(SUBSTITUTE(SUBSTITUTE(SUBSTITUTE(SUBSTITUTE(SUBSTITUTE(SUBSTITUTE(SUBSTITUTE(SUBSTITUTE(SUBSTITUTE(SUBSTITUTE(SUBSTITUTE(SUBSTITUTE(SUBSTITUTE($X34,"’"," "),"`"," "),"–"," "),"—"," "),"-"," "),"'"," "),"/"," "),"_"," "),","," "),"."," "),"("," "),")"," "),";"," "),":"," "),"")</f>
        <v>huile</v>
      </c>
      <c r="Z34" s="93" t="str">
        <f>IF(34=34,SUBSTITUTE(SUBSTITUTE(SUBSTITUTE(SUBSTITUTE(SUBSTITUTE(SUBSTITUTE(SUBSTITUTE(SUBSTITUTE(SUBSTITUTE(SUBSTITUTE(SUBSTITUTE(SUBSTITUTE(SUBSTITUTE(SUBSTITUTE(SUBSTITUTE($Y34,"!"," "),"?"," "),"+"," "),"*"," "),"&amp;"," "),"["," "),"]"," "),"{"," "),"}"," "),"%"," "),"="," "),"\"," "),"|"," "),"&lt;"," "),"&gt;"," "),"")</f>
        <v>huile</v>
      </c>
      <c r="AA34" s="93" t="str">
        <f>IF(34=34," "&amp;TRIM(SUBSTITUTE(SUBSTITUTE(SUBSTITUTE(SUBSTITUTE(SUBSTITUTE(SUBSTITUTE($Z34,CHAR(34)," "),"  "," "),"  "," "),"  "," "),"  "," "),"  "," "))&amp;" ","")</f>
        <v xml:space="preserve"> huile </v>
      </c>
      <c r="AB34" s="93">
        <f>IF(34=34,IF($U34="","",SUMPRODUCT(--ISNUMBER(SEARCH(" "&amp;$CR$2:$CR$101&amp;" ",$AD34)))),"")</f>
        <v>0</v>
      </c>
      <c r="AC34" s="93">
        <f>IF(34=34,IF($U34="","",SUMPRODUCT(--ISNUMBER(SEARCH(" "&amp;$CR$102:$CR$151&amp;" ",$AD34)))),"")</f>
        <v>0</v>
      </c>
      <c r="AD34" s="93" t="str">
        <f t="shared" si="1"/>
        <v xml:space="preserve"> huile </v>
      </c>
      <c r="AE34" s="93">
        <f t="shared" si="2"/>
        <v>0</v>
      </c>
      <c r="AF34" s="93" t="str">
        <f>IF(34=34,IF($U34="","",IF(SUM(AB34:AC34)+SUMPRODUCT(--ISNUMBER(SEARCH(" "&amp;$CR$2418:$CR$2420&amp;" ",$AD34)))&gt;0,"X",IF(AE34&gt;0,"?",""))),"")</f>
        <v/>
      </c>
      <c r="AG34" s="93">
        <f>IF(34=34,IF($U34="","",SUMPRODUCT(--ISNUMBER(SEARCH(" "&amp;$CR$206:$CR$305&amp;" ",$AA34)))),"")</f>
        <v>0</v>
      </c>
      <c r="AH34" s="93">
        <f>IF(34=34,IF($U34="","",SUMPRODUCT(--ISNUMBER(SEARCH(" "&amp;$CR$306:$CR$340&amp;" ",$AA34)))),"")</f>
        <v>0</v>
      </c>
      <c r="AI34" s="93" t="str">
        <f>IF(34=34,IF($U34="","",IF((SUM(AG34:AH34))-(0)&gt;0,"X",IF((0)-(0)&gt;0,"?",""))),"")</f>
        <v/>
      </c>
      <c r="AJ34" s="93">
        <f>IF(34=34,IF($U34="","",SUMPRODUCT(--ISNUMBER(SEARCH(" "&amp;$CR$341:$CR$398&amp;" ",$AA34)))),"")</f>
        <v>0</v>
      </c>
      <c r="AK34" s="93">
        <f>IF(34=34,IF($U34="","",SUMPRODUCT(--ISNUMBER(SEARCH(" "&amp;$CR$399:$CR$426&amp;" ",$AL34)))+SUMPRODUCT(--ISNUMBER(SEARCH(" "&amp;$CR$2440:$CR$2453&amp;" ",$AL34)))),"")</f>
        <v>0</v>
      </c>
      <c r="AL34" s="93" t="str">
        <f>IF(34=34,IF($U34="","",SUBSTITUTE(SUBSTITUTE(SUBSTITUTE(SUBSTITUTE(SUBSTITUTE(SUBSTITUTE(SUBSTITUTE(SUBSTITUTE(SUBSTITUTE(SUBSTITUTE(SUBSTITUTE(SUBSTITUTE(SUBSTITUTE(SUBSTITUTE($AA34," "&amp;$CR$2455&amp;" "," ")," "&amp;$CR$433&amp;" "," ")," "&amp;$CR$431&amp;" "," ")," "&amp;$CR$2438&amp;" "," ")," "&amp;$CR$2439&amp;" "," ")," "&amp;$CR$428&amp;" "," ")," "&amp;$CR$432&amp;" "," ")," "&amp;$CR$434&amp;" "," ")," "&amp;$CR$429&amp;" "," ")," "&amp;$CR$427&amp;" "," ")," "&amp;$CR$1367&amp;" "," ")," "&amp;$CR$435&amp;" "," ")," "&amp;$CR$1366&amp;" "," ")," "&amp;$CR$430&amp;" "," ")),"")</f>
        <v xml:space="preserve"> huile </v>
      </c>
      <c r="AM34" s="93" t="str">
        <f>IF(34=34,IF($U34="","",IF(AJ34&gt;0,"X",IF(AK34&gt;0,"?",""))),"")</f>
        <v/>
      </c>
      <c r="AN34" s="93">
        <f>IF(34=34,IF($U34="","",SUMPRODUCT(--ISNUMBER(SEARCH(" "&amp;$CR$436:$CR$535&amp;" ",$AX34)))),"")</f>
        <v>0</v>
      </c>
      <c r="AO34" s="93">
        <f>IF(34=34,IF($U34="","",SUMPRODUCT(--ISNUMBER(SEARCH(" "&amp;$CR$536:$CR$635&amp;" ",$AX34)))),"")</f>
        <v>0</v>
      </c>
      <c r="AP34" s="93">
        <f>IF(34=34,IF($U34="","",SUMPRODUCT(--ISNUMBER(SEARCH(" "&amp;$CR$636:$CR$735&amp;" ",$AX34)))),"")</f>
        <v>0</v>
      </c>
      <c r="AQ34" s="93">
        <f>IF(34=34,IF($U34="","",SUMPRODUCT(--ISNUMBER(SEARCH(" "&amp;$CR$736:$CR$835&amp;" ",$AX34)))),"")</f>
        <v>0</v>
      </c>
      <c r="AR34" s="93">
        <f>IF(34=34,IF($U34="","",SUMPRODUCT(--ISNUMBER(SEARCH(" "&amp;$CR$836:$CR$935&amp;" ",$AX34)))),"")</f>
        <v>0</v>
      </c>
      <c r="AS34" s="93">
        <f>IF(34=34,IF($U34="","",SUMPRODUCT(--ISNUMBER(SEARCH(" "&amp;$CR$936:$CR$1035&amp;" ",$AX34)))),"")</f>
        <v>0</v>
      </c>
      <c r="AT34" s="93">
        <f>IF(34=34,IF($U34="","",SUMPRODUCT(--ISNUMBER(SEARCH(" "&amp;$CR$1036:$CR$1135&amp;" ",$AX34)))),"")</f>
        <v>0</v>
      </c>
      <c r="AU34" s="93">
        <f>IF(34=34,IF($U34="","",SUMPRODUCT(--ISNUMBER(SEARCH(" "&amp;$CR$1136:$CR$1235&amp;" ",$AX34)))),"")</f>
        <v>0</v>
      </c>
      <c r="AV34" s="93">
        <f>IF(34=34,IF($U34="","",SUMPRODUCT(--ISNUMBER(SEARCH(" "&amp;$CR$1236:$CR$1335&amp;" ",$AX34)))),"")</f>
        <v>0</v>
      </c>
      <c r="AW34" s="93">
        <f>IF(34=34,IF($U34="","",SUMPRODUCT(--ISNUMBER(SEARCH(" "&amp;$CR$1336:$CR$1363&amp;" ",$AX34)))),"")</f>
        <v>0</v>
      </c>
      <c r="AX34" s="93" t="str">
        <f>IF(34=34,IF($U34="","",SUBSTITUTE(SUBSTITUTE(SUBSTITUTE(SUBSTITUTE(SUBSTITUTE(SUBSTITUTE(SUBSTITUTE(SUBSTITUTE(SUBSTITUTE($AA34," "&amp;$CR$1365&amp;" "," ")," "&amp;$CR$1364&amp;" "," ")," "&amp;$CR$1370&amp;" "," ")," "&amp;$CR$1371&amp;" "," ")," "&amp;$CR$1367&amp;" "," ")," "&amp;$CR$1369&amp;" "," ")," "&amp;$CR$1366&amp;" "," ")," "&amp;$CR$1368&amp;" "," ")," "&amp;$CR$1372&amp;" "," ")),"")</f>
        <v xml:space="preserve"> huile </v>
      </c>
      <c r="AY34" s="93">
        <f>IF(34=34,IF($U34="","",SUMPRODUCT(--ISNUMBER(SEARCH(" "&amp;$CR$1373:$CR$1383&amp;" ",$AX34)))),"")</f>
        <v>0</v>
      </c>
      <c r="AZ34" s="93" t="str">
        <f>IF(34=34,IF($U34="","",IF(SUM(AN34:AW34)+SUMPRODUCT(--ISNUMBER(SEARCH(" "&amp;$CR$2421:$CR$2422&amp;" ",$AX34)))&gt;0,"X",IF(AY34&gt;0,"?",""))),"")</f>
        <v/>
      </c>
      <c r="BA34" s="93">
        <f>IF(34=34,IF($U34="","",SUMPRODUCT(--ISNUMBER(SEARCH(" "&amp;$CR$1384:$CR$1404&amp;" ",$AA34)))),"")</f>
        <v>0</v>
      </c>
      <c r="BB34" s="93" t="str">
        <f>IF(34=34,IF($U34="","",IF((BA34)-(0)&gt;0,"X",IF((0)-(0)&gt;0,"?",""))),"")</f>
        <v/>
      </c>
      <c r="BC34" s="93">
        <f>IF(34=34,IF($U34="","",SUMPRODUCT(--ISNUMBER(SEARCH(" "&amp;$CR$1405:$CR$1442&amp;" ",$BD34)))),"")</f>
        <v>0</v>
      </c>
      <c r="BD34" s="93" t="str">
        <f>IF(34=34,IF($U34="","",SUBSTITUTE(SUBSTITUTE($AA34," "&amp;$CR$1443&amp;" "," ")," "&amp;$CR$1444&amp;" "," ")),"")</f>
        <v xml:space="preserve"> huile </v>
      </c>
      <c r="BE34" s="93">
        <f>IF(34=34,IF($U34="","",SUMPRODUCT(--ISNUMBER(SEARCH(" "&amp;$CR$1445:$CR$1455&amp;" ",$BD34)))),"")</f>
        <v>0</v>
      </c>
      <c r="BF34" s="93" t="str">
        <f>IF(34=34,IF($U34="","",IF(BC34&gt;0,"X",IF(BE34&gt;0,"?",""))),"")</f>
        <v/>
      </c>
      <c r="BG34" s="93">
        <f>IF(34=34,IF($U34="","",SUMPRODUCT(--ISNUMBER(SEARCH(" "&amp;$CR$1456:$CR$1555&amp;" ",$BJ34)))),"")</f>
        <v>0</v>
      </c>
      <c r="BH34" s="93">
        <f>IF(34=34,IF($U34="","",SUMPRODUCT(--ISNUMBER(SEARCH(" "&amp;$CR$1556:$CR$1655&amp;" ",$BJ34)))),"")</f>
        <v>0</v>
      </c>
      <c r="BI34" s="93">
        <f>IF(34=34,IF($U34="","",SUMPRODUCT(--ISNUMBER(SEARCH(" "&amp;$CR$1656:$CR$1739&amp;" ",$BJ34)))),"")</f>
        <v>0</v>
      </c>
      <c r="BJ34" s="93" t="str">
        <f>IF(34=34,IF($U34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34,"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huile </v>
      </c>
      <c r="BK34" s="93">
        <f>IF(34=34,IF($U34="","",SUMPRODUCT(--ISNUMBER(SEARCH(" "&amp;$CR$1790:$CR$1869&amp;" ",$BL34)))+SUMPRODUCT(--ISNUMBER(SEARCH(" "&amp;$CR$2440:$CR$2453&amp;" ",$BL34)))),"")</f>
        <v>0</v>
      </c>
      <c r="BL34" s="93" t="str">
        <f>IF(34=34,IF($U34="","",SUBSTITUTE(SUBSTITUTE(SUBSTITUTE(SUBSTITUTE(SUBSTITUTE(SUBSTITUTE(SUBSTITUTE(SUBSTITUTE(SUBSTITUTE(SUBSTITUTE(SUBSTITUTE(SUBSTITUTE(SUBSTITUTE($BJ34," "&amp;$CR$1876&amp;" "," ")," "&amp;$CR$1874&amp;" "," ")," "&amp;$CR$2438&amp;" "," ")," "&amp;$CR$2439&amp;" "," ")," "&amp;$CR$1871&amp;" "," ")," "&amp;$CR$1875&amp;" "," ")," "&amp;$CR$1877&amp;" "," ")," "&amp;$CR$1872&amp;" "," ")," "&amp;$CR$1870&amp;" "," ")," "&amp;$CR$1367&amp;" "," ")," "&amp;$CR$1878&amp;" "," ")," "&amp;$CR$1366&amp;" "," ")," "&amp;$CR$1873&amp;" "," ")),"")</f>
        <v xml:space="preserve"> huile </v>
      </c>
      <c r="BM34" s="93" t="str">
        <f>IF(34=34,IF($U34="","",IF(SUM(BG34:BI34)+SUMPRODUCT(--ISNUMBER(SEARCH(" "&amp;$CR$2423:$CR$2424&amp;" ",$BJ34)))&gt;0,"X",IF(BK34&gt;0,"?",""))),"")</f>
        <v/>
      </c>
      <c r="BN34" s="93">
        <f>IF(34=34,IF($U34="","",SUMPRODUCT(--ISNUMBER(SEARCH(" "&amp;$CR$1879:$CR$1936&amp;" ",$BO34)))),"")</f>
        <v>0</v>
      </c>
      <c r="BO34" s="93" t="str">
        <f>IF(34=34,IF($U34="","",SUBSTITUTE(SUBSTITUTE(SUBSTITUTE(SUBSTITUTE(SUBSTITUTE(SUBSTITUTE(SUBSTITUTE(SUBSTITUTE(SUBSTITUTE(SUBSTITUTE(SUBSTITUTE(SUBSTITUTE(SUBSTITUTE(SUBSTITUTE(SUBSTITUTE(SUBSTITUTE(SUBSTITUTE(SUBSTITUTE(SUBSTITUTE(SUBSTITUTE(SUBSTITUTE(SUBSTITUTE(SUBSTITUTE($AA34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huile </v>
      </c>
      <c r="BP34" s="93">
        <f>IF(34=34,IF($U34="","",SUMPRODUCT(--ISNUMBER(SEARCH(" "&amp;$CR$1960:$CR$1976&amp;" ",$BO34)))),"")</f>
        <v>0</v>
      </c>
      <c r="BQ34" s="93" t="str">
        <f>IF(34=34,IF($U34="","",IF(BN34&gt;0,"X",IF(BP34&gt;0,"?",""))),"")</f>
        <v/>
      </c>
      <c r="BR34" s="93">
        <f>IF(34=34,IF($U34="","",SUMPRODUCT(--ISNUMBER(SEARCH(" "&amp;$CR$1977:$CR$1990&amp;" ",$AA34)))),"")</f>
        <v>0</v>
      </c>
      <c r="BS34" s="93">
        <f>IF(34=34,IF($U34="","",SUMPRODUCT(--ISNUMBER(SEARCH(" "&amp;$CR$1991:$CR$2005&amp;" ",$AA34)))),"")</f>
        <v>0</v>
      </c>
      <c r="BT34" s="93" t="str">
        <f>IF(34=34,IF($U34="","",IF((BR34)-(0)&gt;0,"X",IF((BS34)-(0)&gt;0,"?",""))),"")</f>
        <v/>
      </c>
      <c r="BU34" s="93">
        <f>IF(34=34,IF($U34="","",SUMPRODUCT(--ISNUMBER(SEARCH(" "&amp;$CR$2006:$CR$2023&amp;" ",$AA34)))),"")</f>
        <v>0</v>
      </c>
      <c r="BV34" s="93">
        <f>IF(34=34,IF($U34="","",SUMPRODUCT(--ISNUMBER(SEARCH(" "&amp;$CR$2024:$CR$2038&amp;" ",$AA34)))),"")</f>
        <v>0</v>
      </c>
      <c r="BW34" s="93" t="str">
        <f>IF(34=34,IF($U34="","",IF((BU34)-(0)&gt;0,"X",IF((BV34)-(0)&gt;0,"?",""))),"")</f>
        <v/>
      </c>
      <c r="BX34" s="93">
        <f>IF(34=34,IF($U34="","",SUMPRODUCT(--ISNUMBER(SEARCH(" "&amp;$CR$2039:$CR$2057&amp;" ",$AA34)))),"")</f>
        <v>0</v>
      </c>
      <c r="BY34" s="93">
        <f>IF(34=34,IF($U34="","",SUMPRODUCT(--ISNUMBER(SEARCH(" "&amp;$CR$2058:$CR$2072&amp;" ",$AA34)))),"")</f>
        <v>0</v>
      </c>
      <c r="BZ34" s="93" t="str">
        <f>IF(34=34,IF($U34="","",IF((BX34)-(0)&gt;0,"X",IF((BY34)-(0)&gt;0,"?",""))),"")</f>
        <v/>
      </c>
      <c r="CA34" s="93">
        <f>IF(34=34,IF($U34="","",SUMPRODUCT(--ISNUMBER(SEARCH(" "&amp;$CR$2073:$CR$2093&amp;" ",$AA34)))),"")</f>
        <v>0</v>
      </c>
      <c r="CB34" s="93">
        <f>IF(34=34,IF($U34="","",SUMPRODUCT(--ISNUMBER(SEARCH(" "&amp;$CR$2094:$CR$2133&amp;" ",SUBSTITUTE(SUBSTITUTE($AA34," "&amp;$CR$1367&amp;" "," ")," "&amp;$CR$1366&amp;" "," "))))+--ISNUMBER(SEARCH("poiré",$V34))),"")</f>
        <v>0</v>
      </c>
      <c r="CC34" s="93" t="str">
        <f>IF(34=34,IF($U34="","",IF(OR(CA34&gt;0,ISNUMBER(SEARCH(" vinaigre de vin ",$AA34)),ISNUMBER(SEARCH(" vinaigre au vin ",$AA34))),"X",IF(CB34&gt;0,"?",""))),"")</f>
        <v/>
      </c>
      <c r="CD34" s="93">
        <f>IF(34=34,IF($U34="","",SUMPRODUCT(--ISNUMBER(SEARCH(" "&amp;$CR$2134:$CR$2146&amp;" ",$AA34)))),"")</f>
        <v>0</v>
      </c>
      <c r="CE34" s="93">
        <f>IF(34=34,IF($U34="","",SUMPRODUCT(--ISNUMBER(SEARCH(" "&amp;$CR$2147:$CR$2152&amp;" ",$AA34)))),"")</f>
        <v>0</v>
      </c>
      <c r="CF34" s="93" t="str">
        <f>IF(34=34,IF($U34="","",IF((CD34)-(0)&gt;0,"X",IF((CE34)-(0)&gt;0,"?",""))),"")</f>
        <v/>
      </c>
      <c r="CG34" s="93">
        <f>IF(34=34,IF($U34="","",SUMPRODUCT(--ISNUMBER(SEARCH(" "&amp;$CR$2153:$CR$2252&amp;" ",$CJ34)))),"")</f>
        <v>0</v>
      </c>
      <c r="CH34" s="93">
        <f>IF(34=34,IF($U34="","",SUMPRODUCT(--ISNUMBER(SEARCH(" "&amp;$CR$2253:$CR$2352&amp;" ",$CJ34)))),"")</f>
        <v>0</v>
      </c>
      <c r="CI34" s="93">
        <f>IF(34=34,IF($U34="","",SUMPRODUCT(--ISNUMBER(SEARCH(" "&amp;$CR$2353:$CR$2395&amp;" ",$CJ34)))),"")</f>
        <v>0</v>
      </c>
      <c r="CJ34" s="93" t="str">
        <f>IF(34=34,IF($U34="","",SUBSTITUTE(SUBSTITUTE(SUBSTITUTE(SUBSTITUTE(SUBSTITUTE(SUBSTITUTE(SUBSTITUTE(SUBSTITUTE(SUBSTITUTE(SUBSTITUTE(SUBSTITUTE(SUBSTITUTE(SUBSTITUTE(SUBSTITUTE(SUBSTITUTE(SUBSTITUTE($AA34," "&amp;$CR$2401&amp;" "," ")," "&amp;$CR$2400&amp;" "," ")," "&amp;$CR$2399&amp;" "," ")," "&amp;$CR$2406&amp;" "," ")," "&amp;$CR$2398&amp;" "," ")," "&amp;$CR$2410&amp;" "," ")," "&amp;$CR$2397&amp;" "," ")," "&amp;$CR$2402&amp;" "," ")," "&amp;$CR$2405&amp;" "," ")," "&amp;$CR$2396&amp;" "," ")," "&amp;$CR$2404&amp;" "," ")," "&amp;$CR$2411&amp;" "," ")," "&amp;$CR$2408&amp;" "," ")," "&amp;$CR$2403&amp;" "," ")," "&amp;$CR$2407&amp;" "," ")," "&amp;$CR$2409&amp;" "," ")),"")</f>
        <v xml:space="preserve"> huile </v>
      </c>
      <c r="CK34" s="93">
        <f>IF(34=34,IF($U34="","",SUMPRODUCT(--ISNUMBER(SEARCH(" "&amp;$CR$2412:$CR$2416&amp;" ",$CJ34)))),"")</f>
        <v>0</v>
      </c>
      <c r="CL34" s="93" t="str">
        <f>IF(34=34,IF($U34="","",IF(SUM(CG34:CI34)&gt;0,"X",IF(CK34&gt;0,"?",""))),"")</f>
        <v/>
      </c>
      <c r="CM34" s="102"/>
      <c r="CN34" s="112" t="s">
        <v>681</v>
      </c>
      <c r="CO34" s="112" t="s">
        <v>522</v>
      </c>
      <c r="CP34" s="112" t="s">
        <v>523</v>
      </c>
      <c r="CQ34" s="112" t="s">
        <v>682</v>
      </c>
      <c r="CR34" s="112" t="s">
        <v>683</v>
      </c>
      <c r="CS34" s="112" t="s">
        <v>525</v>
      </c>
      <c r="CT34" s="112" t="s">
        <v>526</v>
      </c>
      <c r="CU34" s="112" t="s">
        <v>527</v>
      </c>
      <c r="CV34" s="113" t="s">
        <v>528</v>
      </c>
      <c r="CX34" s="36">
        <v>1</v>
      </c>
    </row>
    <row r="35" spans="1:102" ht="21" customHeight="1" x14ac:dyDescent="0.25">
      <c r="A35" s="135">
        <v>29</v>
      </c>
      <c r="B35" s="136" t="s">
        <v>42</v>
      </c>
      <c r="C35" s="137" t="str">
        <f t="shared" si="0"/>
        <v>Huile d’olive</v>
      </c>
      <c r="D35" s="138" t="str">
        <f>IF(35=35,IF($B35="","",IF(E35="X",""&amp;"Céréales contenant du gluten","")&amp;IF(F35="X",IF(COUNTIF($E35:$E35,"X")&gt;0,", ","")&amp;"Crustacés","")&amp;IF(G35="X",IF(COUNTIF($E35:$F35,"X")&gt;0,", ","")&amp;"Œufs","")&amp;IF(H35="X",IF(COUNTIF($E35:$G35,"X")&gt;0,", ","")&amp;"Poissons","")&amp;IF(I35="X",IF(COUNTIF($E35:$H35,"X")&gt;0,", ","")&amp;"Arachides","")&amp;IF(J35="X",IF(COUNTIF($E35:$I35,"X")&gt;0,", ","")&amp;"Soja","")&amp;IF(K35="X",IF(COUNTIF($E35:$J35,"X")&gt;0,", ","")&amp;"Lait","")&amp;IF(L35="X",IF(COUNTIF($E35:$K35,"X")&gt;0,", ","")&amp;"Fruits à coque","")&amp;IF(M35="X",IF(COUNTIF($E35:$L35,"X")&gt;0,", ","")&amp;"Céleri","")&amp;IF(N35="X",IF(COUNTIF($E35:$M35,"X")&gt;0,", ","")&amp;"Moutarde","")&amp;IF(O35="X",IF(COUNTIF($E35:$N35,"X")&gt;0,", ","")&amp;"Sésame","")&amp;IF(P35="X",IF(COUNTIF($E35:$O35,"X")&gt;0,", ","")&amp;"Sulfites","")&amp;IF(Q35="X",IF(COUNTIF($E35:$P35,"X")&gt;0,", ","")&amp;"Lupin","")&amp;IF(R35="X",IF(COUNTIF($E35:$Q35,"X")&gt;0,", ","")&amp;"Mollusques","")),"")</f>
        <v/>
      </c>
      <c r="E35" s="139" t="str">
        <f>IF(35=35,IF($B35="","",AF35),"")</f>
        <v/>
      </c>
      <c r="F35" s="139" t="str">
        <f>IF(35=35,IF($B35="","",AI35),"")</f>
        <v/>
      </c>
      <c r="G35" s="139" t="str">
        <f>IF(35=35,IF($B35="","",AM35),"")</f>
        <v/>
      </c>
      <c r="H35" s="139" t="str">
        <f>IF(35=35,IF($B35="","",IF(ISNUMBER(SEARCH(" colin ",$AA35)),"X",AZ35)),"")</f>
        <v/>
      </c>
      <c r="I35" s="139" t="str">
        <f>IF(35=35,IF($B35="","",BB35),"")</f>
        <v/>
      </c>
      <c r="J35" s="139" t="str">
        <f>IF(35=35,IF($B35="","",BF35),"")</f>
        <v/>
      </c>
      <c r="K35" s="139" t="str">
        <f>IF(35=35,IF($B35="","",BM35),"")</f>
        <v/>
      </c>
      <c r="L35" s="139" t="str">
        <f>IF(35=35,IF($B35="","",BQ35),"")</f>
        <v/>
      </c>
      <c r="M35" s="139" t="str">
        <f>IF(35=35,IF($B35="","",BT35),"")</f>
        <v/>
      </c>
      <c r="N35" s="139" t="str">
        <f>IF(35=35,IF($B35="","",BW35),"")</f>
        <v/>
      </c>
      <c r="O35" s="139" t="str">
        <f>IF(35=35,IF($B35="","",BZ35),"")</f>
        <v/>
      </c>
      <c r="P35" s="139" t="str">
        <f>IF(35=35,IF($B35="","",CC35),"")</f>
        <v/>
      </c>
      <c r="Q35" s="139" t="str">
        <f>IF(35=35,IF($B35="","",CF35),"")</f>
        <v/>
      </c>
      <c r="R35" s="139" t="str">
        <f>IF(35=35,IF($B35="","",CL35),"")</f>
        <v/>
      </c>
      <c r="S35" s="140" t="str">
        <f>IF(35=35,IF($B35="","",IF(E35="?",""&amp;"Céréales contenant du gluten","")&amp;IF(F35="?",IF(COUNTIF($E35:$E35,"~?")&gt;0,", ","")&amp;"Crustacés","")&amp;IF(G35="?",IF(COUNTIF($E35:$F35,"~?")&gt;0,", ","")&amp;"Œufs","")&amp;IF(H35="?",IF(COUNTIF($E35:$G35,"~?")&gt;0,", ","")&amp;"Poissons","")&amp;IF(I35="?",IF(COUNTIF($E35:$H35,"~?")&gt;0,", ","")&amp;"Arachides","")&amp;IF(J35="?",IF(COUNTIF($E35:$I35,"~?")&gt;0,", ","")&amp;"Soja","")&amp;IF(K35="?",IF(COUNTIF($E35:$J35,"~?")&gt;0,", ","")&amp;"Lait","")&amp;IF(L35="?",IF(COUNTIF($E35:$K35,"~?")&gt;0,", ","")&amp;"Fruits à coque","")&amp;IF(M35="?",IF(COUNTIF($E35:$L35,"~?")&gt;0,", ","")&amp;"Céleri","")&amp;IF(N35="?",IF(COUNTIF($E35:$M35,"~?")&gt;0,", ","")&amp;"Moutarde","")&amp;IF(O35="?",IF(COUNTIF($E35:$N35,"~?")&gt;0,", ","")&amp;"Sésame","")&amp;IF(P35="?",IF(COUNTIF($E35:$O35,"~?")&gt;0,", ","")&amp;"Sulfites","")&amp;IF(Q35="?",IF(COUNTIF($E35:$P35,"~?")&gt;0,", ","")&amp;"Lupin","")&amp;IF(R35="?",IF(COUNTIF($E35:$Q35,"~?")&gt;0,", ","")&amp;"Mollusques","")),"")</f>
        <v/>
      </c>
      <c r="U35" s="93" t="str">
        <f>IF(35=35,IF($B35="","",$B35),"")</f>
        <v>Huile d’olive</v>
      </c>
      <c r="V35" s="93" t="str">
        <f>IF(35=35,LOWER(CLEAN(SUBSTITUTE(SUBSTITUTE(SUBSTITUTE(SUBSTITUTE($U35,CHAR(160)," ")," "," "),CHAR(10)," "),CHAR(13)," "))),"")</f>
        <v>huile d’olive</v>
      </c>
      <c r="W35" s="93" t="str">
        <f>IF(35=35,SUBSTITUTE(SUBSTITUTE(SUBSTITUTE(SUBSTITUTE(SUBSTITUTE(SUBSTITUTE(SUBSTITUTE(SUBSTITUTE(SUBSTITUTE(SUBSTITUTE(SUBSTITUTE(SUBSTITUTE($V35,"œ","oe"),"æ","ae"),"à","a"),"á","a"),"â","a"),"ä","a"),"ã","a"),"ç","c"),"è","e"),"é","e"),"ê","e"),"ë","e"),"")</f>
        <v>huile d’olive</v>
      </c>
      <c r="X35" s="93" t="str">
        <f>IF(35=35,SUBSTITUTE(SUBSTITUTE(SUBSTITUTE(SUBSTITUTE(SUBSTITUTE(SUBSTITUTE(SUBSTITUTE(SUBSTITUTE(SUBSTITUTE(SUBSTITUTE(SUBSTITUTE(SUBSTITUTE(SUBSTITUTE(SUBSTITUTE(SUBSTITUTE(SUBSTITUTE($W35,"ì","i"),"í","i"),"î","i"),"ï","i"),"ñ","n"),"ò","o"),"ó","o"),"ô","o"),"ö","o"),"õ","o"),"ù","u"),"ú","u"),"û","u"),"ü","u"),"ý","y"),"ÿ","y"),"")</f>
        <v>huile d’olive</v>
      </c>
      <c r="Y35" s="93" t="str">
        <f>IF(35=35,SUBSTITUTE(SUBSTITUTE(SUBSTITUTE(SUBSTITUTE(SUBSTITUTE(SUBSTITUTE(SUBSTITUTE(SUBSTITUTE(SUBSTITUTE(SUBSTITUTE(SUBSTITUTE(SUBSTITUTE(SUBSTITUTE(SUBSTITUTE($X35,"’"," "),"`"," "),"–"," "),"—"," "),"-"," "),"'"," "),"/"," "),"_"," "),","," "),"."," "),"("," "),")"," "),";"," "),":"," "),"")</f>
        <v>huile d olive</v>
      </c>
      <c r="Z35" s="93" t="str">
        <f>IF(35=35,SUBSTITUTE(SUBSTITUTE(SUBSTITUTE(SUBSTITUTE(SUBSTITUTE(SUBSTITUTE(SUBSTITUTE(SUBSTITUTE(SUBSTITUTE(SUBSTITUTE(SUBSTITUTE(SUBSTITUTE(SUBSTITUTE(SUBSTITUTE(SUBSTITUTE($Y35,"!"," "),"?"," "),"+"," "),"*"," "),"&amp;"," "),"["," "),"]"," "),"{"," "),"}"," "),"%"," "),"="," "),"\"," "),"|"," "),"&lt;"," "),"&gt;"," "),"")</f>
        <v>huile d olive</v>
      </c>
      <c r="AA35" s="93" t="str">
        <f>IF(35=35," "&amp;TRIM(SUBSTITUTE(SUBSTITUTE(SUBSTITUTE(SUBSTITUTE(SUBSTITUTE(SUBSTITUTE($Z35,CHAR(34)," "),"  "," "),"  "," "),"  "," "),"  "," "),"  "," "))&amp;" ","")</f>
        <v xml:space="preserve"> huile d olive </v>
      </c>
      <c r="AB35" s="93">
        <f>IF(35=35,IF($U35="","",SUMPRODUCT(--ISNUMBER(SEARCH(" "&amp;$CR$2:$CR$101&amp;" ",$AD35)))),"")</f>
        <v>0</v>
      </c>
      <c r="AC35" s="93">
        <f>IF(35=35,IF($U35="","",SUMPRODUCT(--ISNUMBER(SEARCH(" "&amp;$CR$102:$CR$151&amp;" ",$AD35)))),"")</f>
        <v>0</v>
      </c>
      <c r="AD35" s="93" t="str">
        <f t="shared" si="1"/>
        <v xml:space="preserve"> huile d olive </v>
      </c>
      <c r="AE35" s="93">
        <f t="shared" si="2"/>
        <v>0</v>
      </c>
      <c r="AF35" s="93" t="str">
        <f>IF(35=35,IF($U35="","",IF(SUM(AB35:AC35)+SUMPRODUCT(--ISNUMBER(SEARCH(" "&amp;$CR$2418:$CR$2420&amp;" ",$AD35)))&gt;0,"X",IF(AE35&gt;0,"?",""))),"")</f>
        <v/>
      </c>
      <c r="AG35" s="93">
        <f>IF(35=35,IF($U35="","",SUMPRODUCT(--ISNUMBER(SEARCH(" "&amp;$CR$206:$CR$305&amp;" ",$AA35)))),"")</f>
        <v>0</v>
      </c>
      <c r="AH35" s="93">
        <f>IF(35=35,IF($U35="","",SUMPRODUCT(--ISNUMBER(SEARCH(" "&amp;$CR$306:$CR$340&amp;" ",$AA35)))),"")</f>
        <v>0</v>
      </c>
      <c r="AI35" s="93" t="str">
        <f>IF(35=35,IF($U35="","",IF((SUM(AG35:AH35))-(0)&gt;0,"X",IF((0)-(0)&gt;0,"?",""))),"")</f>
        <v/>
      </c>
      <c r="AJ35" s="93">
        <f>IF(35=35,IF($U35="","",SUMPRODUCT(--ISNUMBER(SEARCH(" "&amp;$CR$341:$CR$398&amp;" ",$AA35)))),"")</f>
        <v>0</v>
      </c>
      <c r="AK35" s="93">
        <f>IF(35=35,IF($U35="","",SUMPRODUCT(--ISNUMBER(SEARCH(" "&amp;$CR$399:$CR$426&amp;" ",$AL35)))+SUMPRODUCT(--ISNUMBER(SEARCH(" "&amp;$CR$2440:$CR$2453&amp;" ",$AL35)))),"")</f>
        <v>0</v>
      </c>
      <c r="AL35" s="93" t="str">
        <f>IF(35=35,IF($U35="","",SUBSTITUTE(SUBSTITUTE(SUBSTITUTE(SUBSTITUTE(SUBSTITUTE(SUBSTITUTE(SUBSTITUTE(SUBSTITUTE(SUBSTITUTE(SUBSTITUTE(SUBSTITUTE(SUBSTITUTE(SUBSTITUTE(SUBSTITUTE($AA35," "&amp;$CR$2455&amp;" "," ")," "&amp;$CR$433&amp;" "," ")," "&amp;$CR$431&amp;" "," ")," "&amp;$CR$2438&amp;" "," ")," "&amp;$CR$2439&amp;" "," ")," "&amp;$CR$428&amp;" "," ")," "&amp;$CR$432&amp;" "," ")," "&amp;$CR$434&amp;" "," ")," "&amp;$CR$429&amp;" "," ")," "&amp;$CR$427&amp;" "," ")," "&amp;$CR$1367&amp;" "," ")," "&amp;$CR$435&amp;" "," ")," "&amp;$CR$1366&amp;" "," ")," "&amp;$CR$430&amp;" "," ")),"")</f>
        <v xml:space="preserve"> huile d olive </v>
      </c>
      <c r="AM35" s="93" t="str">
        <f>IF(35=35,IF($U35="","",IF(AJ35&gt;0,"X",IF(AK35&gt;0,"?",""))),"")</f>
        <v/>
      </c>
      <c r="AN35" s="93">
        <f>IF(35=35,IF($U35="","",SUMPRODUCT(--ISNUMBER(SEARCH(" "&amp;$CR$436:$CR$535&amp;" ",$AX35)))),"")</f>
        <v>0</v>
      </c>
      <c r="AO35" s="93">
        <f>IF(35=35,IF($U35="","",SUMPRODUCT(--ISNUMBER(SEARCH(" "&amp;$CR$536:$CR$635&amp;" ",$AX35)))),"")</f>
        <v>0</v>
      </c>
      <c r="AP35" s="93">
        <f>IF(35=35,IF($U35="","",SUMPRODUCT(--ISNUMBER(SEARCH(" "&amp;$CR$636:$CR$735&amp;" ",$AX35)))),"")</f>
        <v>0</v>
      </c>
      <c r="AQ35" s="93">
        <f>IF(35=35,IF($U35="","",SUMPRODUCT(--ISNUMBER(SEARCH(" "&amp;$CR$736:$CR$835&amp;" ",$AX35)))),"")</f>
        <v>0</v>
      </c>
      <c r="AR35" s="93">
        <f>IF(35=35,IF($U35="","",SUMPRODUCT(--ISNUMBER(SEARCH(" "&amp;$CR$836:$CR$935&amp;" ",$AX35)))),"")</f>
        <v>0</v>
      </c>
      <c r="AS35" s="93">
        <f>IF(35=35,IF($U35="","",SUMPRODUCT(--ISNUMBER(SEARCH(" "&amp;$CR$936:$CR$1035&amp;" ",$AX35)))),"")</f>
        <v>0</v>
      </c>
      <c r="AT35" s="93">
        <f>IF(35=35,IF($U35="","",SUMPRODUCT(--ISNUMBER(SEARCH(" "&amp;$CR$1036:$CR$1135&amp;" ",$AX35)))),"")</f>
        <v>0</v>
      </c>
      <c r="AU35" s="93">
        <f>IF(35=35,IF($U35="","",SUMPRODUCT(--ISNUMBER(SEARCH(" "&amp;$CR$1136:$CR$1235&amp;" ",$AX35)))),"")</f>
        <v>0</v>
      </c>
      <c r="AV35" s="93">
        <f>IF(35=35,IF($U35="","",SUMPRODUCT(--ISNUMBER(SEARCH(" "&amp;$CR$1236:$CR$1335&amp;" ",$AX35)))),"")</f>
        <v>0</v>
      </c>
      <c r="AW35" s="93">
        <f>IF(35=35,IF($U35="","",SUMPRODUCT(--ISNUMBER(SEARCH(" "&amp;$CR$1336:$CR$1363&amp;" ",$AX35)))),"")</f>
        <v>0</v>
      </c>
      <c r="AX35" s="93" t="str">
        <f>IF(35=35,IF($U35="","",SUBSTITUTE(SUBSTITUTE(SUBSTITUTE(SUBSTITUTE(SUBSTITUTE(SUBSTITUTE(SUBSTITUTE(SUBSTITUTE(SUBSTITUTE($AA35," "&amp;$CR$1365&amp;" "," ")," "&amp;$CR$1364&amp;" "," ")," "&amp;$CR$1370&amp;" "," ")," "&amp;$CR$1371&amp;" "," ")," "&amp;$CR$1367&amp;" "," ")," "&amp;$CR$1369&amp;" "," ")," "&amp;$CR$1366&amp;" "," ")," "&amp;$CR$1368&amp;" "," ")," "&amp;$CR$1372&amp;" "," ")),"")</f>
        <v xml:space="preserve"> huile d olive </v>
      </c>
      <c r="AY35" s="93">
        <f>IF(35=35,IF($U35="","",SUMPRODUCT(--ISNUMBER(SEARCH(" "&amp;$CR$1373:$CR$1383&amp;" ",$AX35)))),"")</f>
        <v>0</v>
      </c>
      <c r="AZ35" s="93" t="str">
        <f>IF(35=35,IF($U35="","",IF(SUM(AN35:AW35)+SUMPRODUCT(--ISNUMBER(SEARCH(" "&amp;$CR$2421:$CR$2422&amp;" ",$AX35)))&gt;0,"X",IF(AY35&gt;0,"?",""))),"")</f>
        <v/>
      </c>
      <c r="BA35" s="93">
        <f>IF(35=35,IF($U35="","",SUMPRODUCT(--ISNUMBER(SEARCH(" "&amp;$CR$1384:$CR$1404&amp;" ",$AA35)))),"")</f>
        <v>0</v>
      </c>
      <c r="BB35" s="93" t="str">
        <f>IF(35=35,IF($U35="","",IF((BA35)-(0)&gt;0,"X",IF((0)-(0)&gt;0,"?",""))),"")</f>
        <v/>
      </c>
      <c r="BC35" s="93">
        <f>IF(35=35,IF($U35="","",SUMPRODUCT(--ISNUMBER(SEARCH(" "&amp;$CR$1405:$CR$1442&amp;" ",$BD35)))),"")</f>
        <v>0</v>
      </c>
      <c r="BD35" s="93" t="str">
        <f>IF(35=35,IF($U35="","",SUBSTITUTE(SUBSTITUTE($AA35," "&amp;$CR$1443&amp;" "," ")," "&amp;$CR$1444&amp;" "," ")),"")</f>
        <v xml:space="preserve"> huile d olive </v>
      </c>
      <c r="BE35" s="93">
        <f>IF(35=35,IF($U35="","",SUMPRODUCT(--ISNUMBER(SEARCH(" "&amp;$CR$1445:$CR$1455&amp;" ",$BD35)))),"")</f>
        <v>0</v>
      </c>
      <c r="BF35" s="93" t="str">
        <f>IF(35=35,IF($U35="","",IF(BC35&gt;0,"X",IF(BE35&gt;0,"?",""))),"")</f>
        <v/>
      </c>
      <c r="BG35" s="93">
        <f>IF(35=35,IF($U35="","",SUMPRODUCT(--ISNUMBER(SEARCH(" "&amp;$CR$1456:$CR$1555&amp;" ",$BJ35)))),"")</f>
        <v>0</v>
      </c>
      <c r="BH35" s="93">
        <f>IF(35=35,IF($U35="","",SUMPRODUCT(--ISNUMBER(SEARCH(" "&amp;$CR$1556:$CR$1655&amp;" ",$BJ35)))),"")</f>
        <v>0</v>
      </c>
      <c r="BI35" s="93">
        <f>IF(35=35,IF($U35="","",SUMPRODUCT(--ISNUMBER(SEARCH(" "&amp;$CR$1656:$CR$1739&amp;" ",$BJ35)))),"")</f>
        <v>0</v>
      </c>
      <c r="BJ35" s="93" t="str">
        <f>IF(35=35,IF($U35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35,"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huile d olive </v>
      </c>
      <c r="BK35" s="93">
        <f>IF(35=35,IF($U35="","",SUMPRODUCT(--ISNUMBER(SEARCH(" "&amp;$CR$1790:$CR$1869&amp;" ",$BL35)))+SUMPRODUCT(--ISNUMBER(SEARCH(" "&amp;$CR$2440:$CR$2453&amp;" ",$BL35)))),"")</f>
        <v>0</v>
      </c>
      <c r="BL35" s="93" t="str">
        <f>IF(35=35,IF($U35="","",SUBSTITUTE(SUBSTITUTE(SUBSTITUTE(SUBSTITUTE(SUBSTITUTE(SUBSTITUTE(SUBSTITUTE(SUBSTITUTE(SUBSTITUTE(SUBSTITUTE(SUBSTITUTE(SUBSTITUTE(SUBSTITUTE($BJ35," "&amp;$CR$1876&amp;" "," ")," "&amp;$CR$1874&amp;" "," ")," "&amp;$CR$2438&amp;" "," ")," "&amp;$CR$2439&amp;" "," ")," "&amp;$CR$1871&amp;" "," ")," "&amp;$CR$1875&amp;" "," ")," "&amp;$CR$1877&amp;" "," ")," "&amp;$CR$1872&amp;" "," ")," "&amp;$CR$1870&amp;" "," ")," "&amp;$CR$1367&amp;" "," ")," "&amp;$CR$1878&amp;" "," ")," "&amp;$CR$1366&amp;" "," ")," "&amp;$CR$1873&amp;" "," ")),"")</f>
        <v xml:space="preserve"> huile d olive </v>
      </c>
      <c r="BM35" s="93" t="str">
        <f>IF(35=35,IF($U35="","",IF(SUM(BG35:BI35)+SUMPRODUCT(--ISNUMBER(SEARCH(" "&amp;$CR$2423:$CR$2424&amp;" ",$BJ35)))&gt;0,"X",IF(BK35&gt;0,"?",""))),"")</f>
        <v/>
      </c>
      <c r="BN35" s="93">
        <f>IF(35=35,IF($U35="","",SUMPRODUCT(--ISNUMBER(SEARCH(" "&amp;$CR$1879:$CR$1936&amp;" ",$BO35)))),"")</f>
        <v>0</v>
      </c>
      <c r="BO35" s="93" t="str">
        <f>IF(35=35,IF($U35="","",SUBSTITUTE(SUBSTITUTE(SUBSTITUTE(SUBSTITUTE(SUBSTITUTE(SUBSTITUTE(SUBSTITUTE(SUBSTITUTE(SUBSTITUTE(SUBSTITUTE(SUBSTITUTE(SUBSTITUTE(SUBSTITUTE(SUBSTITUTE(SUBSTITUTE(SUBSTITUTE(SUBSTITUTE(SUBSTITUTE(SUBSTITUTE(SUBSTITUTE(SUBSTITUTE(SUBSTITUTE(SUBSTITUTE($AA35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huile d olive </v>
      </c>
      <c r="BP35" s="93">
        <f>IF(35=35,IF($U35="","",SUMPRODUCT(--ISNUMBER(SEARCH(" "&amp;$CR$1960:$CR$1976&amp;" ",$BO35)))),"")</f>
        <v>0</v>
      </c>
      <c r="BQ35" s="93" t="str">
        <f>IF(35=35,IF($U35="","",IF(BN35&gt;0,"X",IF(BP35&gt;0,"?",""))),"")</f>
        <v/>
      </c>
      <c r="BR35" s="93">
        <f>IF(35=35,IF($U35="","",SUMPRODUCT(--ISNUMBER(SEARCH(" "&amp;$CR$1977:$CR$1990&amp;" ",$AA35)))),"")</f>
        <v>0</v>
      </c>
      <c r="BS35" s="93">
        <f>IF(35=35,IF($U35="","",SUMPRODUCT(--ISNUMBER(SEARCH(" "&amp;$CR$1991:$CR$2005&amp;" ",$AA35)))),"")</f>
        <v>0</v>
      </c>
      <c r="BT35" s="93" t="str">
        <f>IF(35=35,IF($U35="","",IF((BR35)-(0)&gt;0,"X",IF((BS35)-(0)&gt;0,"?",""))),"")</f>
        <v/>
      </c>
      <c r="BU35" s="93">
        <f>IF(35=35,IF($U35="","",SUMPRODUCT(--ISNUMBER(SEARCH(" "&amp;$CR$2006:$CR$2023&amp;" ",$AA35)))),"")</f>
        <v>0</v>
      </c>
      <c r="BV35" s="93">
        <f>IF(35=35,IF($U35="","",SUMPRODUCT(--ISNUMBER(SEARCH(" "&amp;$CR$2024:$CR$2038&amp;" ",$AA35)))),"")</f>
        <v>0</v>
      </c>
      <c r="BW35" s="93" t="str">
        <f>IF(35=35,IF($U35="","",IF((BU35)-(0)&gt;0,"X",IF((BV35)-(0)&gt;0,"?",""))),"")</f>
        <v/>
      </c>
      <c r="BX35" s="93">
        <f>IF(35=35,IF($U35="","",SUMPRODUCT(--ISNUMBER(SEARCH(" "&amp;$CR$2039:$CR$2057&amp;" ",$AA35)))),"")</f>
        <v>0</v>
      </c>
      <c r="BY35" s="93">
        <f>IF(35=35,IF($U35="","",SUMPRODUCT(--ISNUMBER(SEARCH(" "&amp;$CR$2058:$CR$2072&amp;" ",$AA35)))),"")</f>
        <v>0</v>
      </c>
      <c r="BZ35" s="93" t="str">
        <f>IF(35=35,IF($U35="","",IF((BX35)-(0)&gt;0,"X",IF((BY35)-(0)&gt;0,"?",""))),"")</f>
        <v/>
      </c>
      <c r="CA35" s="93">
        <f>IF(35=35,IF($U35="","",SUMPRODUCT(--ISNUMBER(SEARCH(" "&amp;$CR$2073:$CR$2093&amp;" ",$AA35)))),"")</f>
        <v>0</v>
      </c>
      <c r="CB35" s="93">
        <f>IF(35=35,IF($U35="","",SUMPRODUCT(--ISNUMBER(SEARCH(" "&amp;$CR$2094:$CR$2133&amp;" ",SUBSTITUTE(SUBSTITUTE($AA35," "&amp;$CR$1367&amp;" "," ")," "&amp;$CR$1366&amp;" "," "))))+--ISNUMBER(SEARCH("poiré",$V35))),"")</f>
        <v>0</v>
      </c>
      <c r="CC35" s="93" t="str">
        <f>IF(35=35,IF($U35="","",IF(OR(CA35&gt;0,ISNUMBER(SEARCH(" vinaigre de vin ",$AA35)),ISNUMBER(SEARCH(" vinaigre au vin ",$AA35))),"X",IF(CB35&gt;0,"?",""))),"")</f>
        <v/>
      </c>
      <c r="CD35" s="93">
        <f>IF(35=35,IF($U35="","",SUMPRODUCT(--ISNUMBER(SEARCH(" "&amp;$CR$2134:$CR$2146&amp;" ",$AA35)))),"")</f>
        <v>0</v>
      </c>
      <c r="CE35" s="93">
        <f>IF(35=35,IF($U35="","",SUMPRODUCT(--ISNUMBER(SEARCH(" "&amp;$CR$2147:$CR$2152&amp;" ",$AA35)))),"")</f>
        <v>0</v>
      </c>
      <c r="CF35" s="93" t="str">
        <f>IF(35=35,IF($U35="","",IF((CD35)-(0)&gt;0,"X",IF((CE35)-(0)&gt;0,"?",""))),"")</f>
        <v/>
      </c>
      <c r="CG35" s="93">
        <f>IF(35=35,IF($U35="","",SUMPRODUCT(--ISNUMBER(SEARCH(" "&amp;$CR$2153:$CR$2252&amp;" ",$CJ35)))),"")</f>
        <v>0</v>
      </c>
      <c r="CH35" s="93">
        <f>IF(35=35,IF($U35="","",SUMPRODUCT(--ISNUMBER(SEARCH(" "&amp;$CR$2253:$CR$2352&amp;" ",$CJ35)))),"")</f>
        <v>0</v>
      </c>
      <c r="CI35" s="93">
        <f>IF(35=35,IF($U35="","",SUMPRODUCT(--ISNUMBER(SEARCH(" "&amp;$CR$2353:$CR$2395&amp;" ",$CJ35)))),"")</f>
        <v>0</v>
      </c>
      <c r="CJ35" s="93" t="str">
        <f>IF(35=35,IF($U35="","",SUBSTITUTE(SUBSTITUTE(SUBSTITUTE(SUBSTITUTE(SUBSTITUTE(SUBSTITUTE(SUBSTITUTE(SUBSTITUTE(SUBSTITUTE(SUBSTITUTE(SUBSTITUTE(SUBSTITUTE(SUBSTITUTE(SUBSTITUTE(SUBSTITUTE(SUBSTITUTE($AA35," "&amp;$CR$2401&amp;" "," ")," "&amp;$CR$2400&amp;" "," ")," "&amp;$CR$2399&amp;" "," ")," "&amp;$CR$2406&amp;" "," ")," "&amp;$CR$2398&amp;" "," ")," "&amp;$CR$2410&amp;" "," ")," "&amp;$CR$2397&amp;" "," ")," "&amp;$CR$2402&amp;" "," ")," "&amp;$CR$2405&amp;" "," ")," "&amp;$CR$2396&amp;" "," ")," "&amp;$CR$2404&amp;" "," ")," "&amp;$CR$2411&amp;" "," ")," "&amp;$CR$2408&amp;" "," ")," "&amp;$CR$2403&amp;" "," ")," "&amp;$CR$2407&amp;" "," ")," "&amp;$CR$2409&amp;" "," ")),"")</f>
        <v xml:space="preserve"> huile d olive </v>
      </c>
      <c r="CK35" s="93">
        <f>IF(35=35,IF($U35="","",SUMPRODUCT(--ISNUMBER(SEARCH(" "&amp;$CR$2412:$CR$2416&amp;" ",$CJ35)))),"")</f>
        <v>0</v>
      </c>
      <c r="CL35" s="93" t="str">
        <f>IF(35=35,IF($U35="","",IF(SUM(CG35:CI35)&gt;0,"X",IF(CK35&gt;0,"?",""))),"")</f>
        <v/>
      </c>
      <c r="CM35" s="102"/>
      <c r="CN35" s="112" t="s">
        <v>684</v>
      </c>
      <c r="CO35" s="112" t="s">
        <v>522</v>
      </c>
      <c r="CP35" s="112" t="s">
        <v>523</v>
      </c>
      <c r="CQ35" s="112" t="s">
        <v>685</v>
      </c>
      <c r="CR35" s="112" t="s">
        <v>685</v>
      </c>
      <c r="CS35" s="112" t="s">
        <v>525</v>
      </c>
      <c r="CT35" s="112" t="s">
        <v>526</v>
      </c>
      <c r="CU35" s="112" t="s">
        <v>527</v>
      </c>
      <c r="CV35" s="113" t="s">
        <v>528</v>
      </c>
      <c r="CX35" s="36">
        <v>1</v>
      </c>
    </row>
    <row r="36" spans="1:102" ht="21" customHeight="1" x14ac:dyDescent="0.25">
      <c r="A36" s="135">
        <v>30</v>
      </c>
      <c r="B36" s="136" t="s">
        <v>5871</v>
      </c>
      <c r="C36" s="137" t="str">
        <f t="shared" si="0"/>
        <v>Jaune d’œuf pasteurisé *</v>
      </c>
      <c r="D36" s="138" t="str">
        <f>IF(36=36,IF($B36="","",IF(E36="X",""&amp;"Céréales contenant du gluten","")&amp;IF(F36="X",IF(COUNTIF($E36:$E36,"X")&gt;0,", ","")&amp;"Crustacés","")&amp;IF(G36="X",IF(COUNTIF($E36:$F36,"X")&gt;0,", ","")&amp;"Œufs","")&amp;IF(H36="X",IF(COUNTIF($E36:$G36,"X")&gt;0,", ","")&amp;"Poissons","")&amp;IF(I36="X",IF(COUNTIF($E36:$H36,"X")&gt;0,", ","")&amp;"Arachides","")&amp;IF(J36="X",IF(COUNTIF($E36:$I36,"X")&gt;0,", ","")&amp;"Soja","")&amp;IF(K36="X",IF(COUNTIF($E36:$J36,"X")&gt;0,", ","")&amp;"Lait","")&amp;IF(L36="X",IF(COUNTIF($E36:$K36,"X")&gt;0,", ","")&amp;"Fruits à coque","")&amp;IF(M36="X",IF(COUNTIF($E36:$L36,"X")&gt;0,", ","")&amp;"Céleri","")&amp;IF(N36="X",IF(COUNTIF($E36:$M36,"X")&gt;0,", ","")&amp;"Moutarde","")&amp;IF(O36="X",IF(COUNTIF($E36:$N36,"X")&gt;0,", ","")&amp;"Sésame","")&amp;IF(P36="X",IF(COUNTIF($E36:$O36,"X")&gt;0,", ","")&amp;"Sulfites","")&amp;IF(Q36="X",IF(COUNTIF($E36:$P36,"X")&gt;0,", ","")&amp;"Lupin","")&amp;IF(R36="X",IF(COUNTIF($E36:$Q36,"X")&gt;0,", ","")&amp;"Mollusques","")),"")</f>
        <v>Œufs</v>
      </c>
      <c r="E36" s="139" t="str">
        <f>IF(36=36,IF($B36="","",AF36),"")</f>
        <v/>
      </c>
      <c r="F36" s="139" t="str">
        <f>IF(36=36,IF($B36="","",AI36),"")</f>
        <v/>
      </c>
      <c r="G36" s="139" t="str">
        <f>IF(36=36,IF($B36="","",AM36),"")</f>
        <v>X</v>
      </c>
      <c r="H36" s="139" t="str">
        <f>IF(36=36,IF($B36="","",IF(ISNUMBER(SEARCH(" colin ",$AA36)),"X",AZ36)),"")</f>
        <v/>
      </c>
      <c r="I36" s="139" t="str">
        <f>IF(36=36,IF($B36="","",BB36),"")</f>
        <v/>
      </c>
      <c r="J36" s="139" t="str">
        <f>IF(36=36,IF($B36="","",BF36),"")</f>
        <v/>
      </c>
      <c r="K36" s="139" t="str">
        <f>IF(36=36,IF($B36="","",BM36),"")</f>
        <v/>
      </c>
      <c r="L36" s="139" t="str">
        <f>IF(36=36,IF($B36="","",BQ36),"")</f>
        <v/>
      </c>
      <c r="M36" s="139" t="str">
        <f>IF(36=36,IF($B36="","",BT36),"")</f>
        <v/>
      </c>
      <c r="N36" s="139" t="str">
        <f>IF(36=36,IF($B36="","",BW36),"")</f>
        <v/>
      </c>
      <c r="O36" s="139" t="str">
        <f>IF(36=36,IF($B36="","",BZ36),"")</f>
        <v/>
      </c>
      <c r="P36" s="139" t="str">
        <f>IF(36=36,IF($B36="","",CC36),"")</f>
        <v/>
      </c>
      <c r="Q36" s="139" t="str">
        <f>IF(36=36,IF($B36="","",CF36),"")</f>
        <v/>
      </c>
      <c r="R36" s="139" t="str">
        <f>IF(36=36,IF($B36="","",CL36),"")</f>
        <v/>
      </c>
      <c r="S36" s="140" t="str">
        <f>IF(36=36,IF($B36="","",IF(E36="?",""&amp;"Céréales contenant du gluten","")&amp;IF(F36="?",IF(COUNTIF($E36:$E36,"~?")&gt;0,", ","")&amp;"Crustacés","")&amp;IF(G36="?",IF(COUNTIF($E36:$F36,"~?")&gt;0,", ","")&amp;"Œufs","")&amp;IF(H36="?",IF(COUNTIF($E36:$G36,"~?")&gt;0,", ","")&amp;"Poissons","")&amp;IF(I36="?",IF(COUNTIF($E36:$H36,"~?")&gt;0,", ","")&amp;"Arachides","")&amp;IF(J36="?",IF(COUNTIF($E36:$I36,"~?")&gt;0,", ","")&amp;"Soja","")&amp;IF(K36="?",IF(COUNTIF($E36:$J36,"~?")&gt;0,", ","")&amp;"Lait","")&amp;IF(L36="?",IF(COUNTIF($E36:$K36,"~?")&gt;0,", ","")&amp;"Fruits à coque","")&amp;IF(M36="?",IF(COUNTIF($E36:$L36,"~?")&gt;0,", ","")&amp;"Céleri","")&amp;IF(N36="?",IF(COUNTIF($E36:$M36,"~?")&gt;0,", ","")&amp;"Moutarde","")&amp;IF(O36="?",IF(COUNTIF($E36:$N36,"~?")&gt;0,", ","")&amp;"Sésame","")&amp;IF(P36="?",IF(COUNTIF($E36:$O36,"~?")&gt;0,", ","")&amp;"Sulfites","")&amp;IF(Q36="?",IF(COUNTIF($E36:$P36,"~?")&gt;0,", ","")&amp;"Lupin","")&amp;IF(R36="?",IF(COUNTIF($E36:$Q36,"~?")&gt;0,", ","")&amp;"Mollusques","")),"")</f>
        <v/>
      </c>
      <c r="U36" s="93" t="str">
        <f>IF(36=36,IF($B36="","",$B36),"")</f>
        <v>Jaune d’œuf pasteurisé</v>
      </c>
      <c r="V36" s="93" t="str">
        <f>IF(36=36,LOWER(CLEAN(SUBSTITUTE(SUBSTITUTE(SUBSTITUTE(SUBSTITUTE($U36,CHAR(160)," ")," "," "),CHAR(10)," "),CHAR(13)," "))),"")</f>
        <v>jaune d’œuf pasteurisé</v>
      </c>
      <c r="W36" s="93" t="str">
        <f>IF(36=36,SUBSTITUTE(SUBSTITUTE(SUBSTITUTE(SUBSTITUTE(SUBSTITUTE(SUBSTITUTE(SUBSTITUTE(SUBSTITUTE(SUBSTITUTE(SUBSTITUTE(SUBSTITUTE(SUBSTITUTE($V36,"œ","oe"),"æ","ae"),"à","a"),"á","a"),"â","a"),"ä","a"),"ã","a"),"ç","c"),"è","e"),"é","e"),"ê","e"),"ë","e"),"")</f>
        <v>jaune d’oeuf pasteurise</v>
      </c>
      <c r="X36" s="93" t="str">
        <f>IF(36=36,SUBSTITUTE(SUBSTITUTE(SUBSTITUTE(SUBSTITUTE(SUBSTITUTE(SUBSTITUTE(SUBSTITUTE(SUBSTITUTE(SUBSTITUTE(SUBSTITUTE(SUBSTITUTE(SUBSTITUTE(SUBSTITUTE(SUBSTITUTE(SUBSTITUTE(SUBSTITUTE($W36,"ì","i"),"í","i"),"î","i"),"ï","i"),"ñ","n"),"ò","o"),"ó","o"),"ô","o"),"ö","o"),"õ","o"),"ù","u"),"ú","u"),"û","u"),"ü","u"),"ý","y"),"ÿ","y"),"")</f>
        <v>jaune d’oeuf pasteurise</v>
      </c>
      <c r="Y36" s="93" t="str">
        <f>IF(36=36,SUBSTITUTE(SUBSTITUTE(SUBSTITUTE(SUBSTITUTE(SUBSTITUTE(SUBSTITUTE(SUBSTITUTE(SUBSTITUTE(SUBSTITUTE(SUBSTITUTE(SUBSTITUTE(SUBSTITUTE(SUBSTITUTE(SUBSTITUTE($X36,"’"," "),"`"," "),"–"," "),"—"," "),"-"," "),"'"," "),"/"," "),"_"," "),","," "),"."," "),"("," "),")"," "),";"," "),":"," "),"")</f>
        <v>jaune d oeuf pasteurise</v>
      </c>
      <c r="Z36" s="93" t="str">
        <f>IF(36=36,SUBSTITUTE(SUBSTITUTE(SUBSTITUTE(SUBSTITUTE(SUBSTITUTE(SUBSTITUTE(SUBSTITUTE(SUBSTITUTE(SUBSTITUTE(SUBSTITUTE(SUBSTITUTE(SUBSTITUTE(SUBSTITUTE(SUBSTITUTE(SUBSTITUTE($Y36,"!"," "),"?"," "),"+"," "),"*"," "),"&amp;"," "),"["," "),"]"," "),"{"," "),"}"," "),"%"," "),"="," "),"\"," "),"|"," "),"&lt;"," "),"&gt;"," "),"")</f>
        <v>jaune d oeuf pasteurise</v>
      </c>
      <c r="AA36" s="93" t="str">
        <f>IF(36=36," "&amp;TRIM(SUBSTITUTE(SUBSTITUTE(SUBSTITUTE(SUBSTITUTE(SUBSTITUTE(SUBSTITUTE($Z36,CHAR(34)," "),"  "," "),"  "," "),"  "," "),"  "," "),"  "," "))&amp;" ","")</f>
        <v xml:space="preserve"> jaune d oeuf pasteurise </v>
      </c>
      <c r="AB36" s="93">
        <f>IF(36=36,IF($U36="","",SUMPRODUCT(--ISNUMBER(SEARCH(" "&amp;$CR$2:$CR$101&amp;" ",$AD36)))),"")</f>
        <v>0</v>
      </c>
      <c r="AC36" s="93">
        <f>IF(36=36,IF($U36="","",SUMPRODUCT(--ISNUMBER(SEARCH(" "&amp;$CR$102:$CR$151&amp;" ",$AD36)))),"")</f>
        <v>0</v>
      </c>
      <c r="AD36" s="93" t="str">
        <f t="shared" si="1"/>
        <v xml:space="preserve"> jaune d oeuf pasteurise </v>
      </c>
      <c r="AE36" s="93">
        <f t="shared" si="2"/>
        <v>0</v>
      </c>
      <c r="AF36" s="93" t="str">
        <f>IF(36=36,IF($U36="","",IF(SUM(AB36:AC36)+SUMPRODUCT(--ISNUMBER(SEARCH(" "&amp;$CR$2418:$CR$2420&amp;" ",$AD36)))&gt;0,"X",IF(AE36&gt;0,"?",""))),"")</f>
        <v/>
      </c>
      <c r="AG36" s="93">
        <f>IF(36=36,IF($U36="","",SUMPRODUCT(--ISNUMBER(SEARCH(" "&amp;$CR$206:$CR$305&amp;" ",$AA36)))),"")</f>
        <v>0</v>
      </c>
      <c r="AH36" s="93">
        <f>IF(36=36,IF($U36="","",SUMPRODUCT(--ISNUMBER(SEARCH(" "&amp;$CR$306:$CR$340&amp;" ",$AA36)))),"")</f>
        <v>0</v>
      </c>
      <c r="AI36" s="93" t="str">
        <f>IF(36=36,IF($U36="","",IF((SUM(AG36:AH36))-(0)&gt;0,"X",IF((0)-(0)&gt;0,"?",""))),"")</f>
        <v/>
      </c>
      <c r="AJ36" s="93">
        <f>IF(36=36,IF($U36="","",SUMPRODUCT(--ISNUMBER(SEARCH(" "&amp;$CR$341:$CR$398&amp;" ",$AA36)))),"")</f>
        <v>2</v>
      </c>
      <c r="AK36" s="93">
        <f>IF(36=36,IF($U36="","",SUMPRODUCT(--ISNUMBER(SEARCH(" "&amp;$CR$399:$CR$426&amp;" ",$AL36)))+SUMPRODUCT(--ISNUMBER(SEARCH(" "&amp;$CR$2440:$CR$2453&amp;" ",$AL36)))),"")</f>
        <v>0</v>
      </c>
      <c r="AL36" s="93" t="str">
        <f>IF(36=36,IF($U36="","",SUBSTITUTE(SUBSTITUTE(SUBSTITUTE(SUBSTITUTE(SUBSTITUTE(SUBSTITUTE(SUBSTITUTE(SUBSTITUTE(SUBSTITUTE(SUBSTITUTE(SUBSTITUTE(SUBSTITUTE(SUBSTITUTE(SUBSTITUTE($AA36," "&amp;$CR$2455&amp;" "," ")," "&amp;$CR$433&amp;" "," ")," "&amp;$CR$431&amp;" "," ")," "&amp;$CR$2438&amp;" "," ")," "&amp;$CR$2439&amp;" "," ")," "&amp;$CR$428&amp;" "," ")," "&amp;$CR$432&amp;" "," ")," "&amp;$CR$434&amp;" "," ")," "&amp;$CR$429&amp;" "," ")," "&amp;$CR$427&amp;" "," ")," "&amp;$CR$1367&amp;" "," ")," "&amp;$CR$435&amp;" "," ")," "&amp;$CR$1366&amp;" "," ")," "&amp;$CR$430&amp;" "," ")),"")</f>
        <v xml:space="preserve"> jaune d oeuf pasteurise </v>
      </c>
      <c r="AM36" s="93" t="str">
        <f>IF(36=36,IF($U36="","",IF(AJ36&gt;0,"X",IF(AK36&gt;0,"?",""))),"")</f>
        <v>X</v>
      </c>
      <c r="AN36" s="93">
        <f>IF(36=36,IF($U36="","",SUMPRODUCT(--ISNUMBER(SEARCH(" "&amp;$CR$436:$CR$535&amp;" ",$AX36)))),"")</f>
        <v>0</v>
      </c>
      <c r="AO36" s="93">
        <f>IF(36=36,IF($U36="","",SUMPRODUCT(--ISNUMBER(SEARCH(" "&amp;$CR$536:$CR$635&amp;" ",$AX36)))),"")</f>
        <v>0</v>
      </c>
      <c r="AP36" s="93">
        <f>IF(36=36,IF($U36="","",SUMPRODUCT(--ISNUMBER(SEARCH(" "&amp;$CR$636:$CR$735&amp;" ",$AX36)))),"")</f>
        <v>0</v>
      </c>
      <c r="AQ36" s="93">
        <f>IF(36=36,IF($U36="","",SUMPRODUCT(--ISNUMBER(SEARCH(" "&amp;$CR$736:$CR$835&amp;" ",$AX36)))),"")</f>
        <v>0</v>
      </c>
      <c r="AR36" s="93">
        <f>IF(36=36,IF($U36="","",SUMPRODUCT(--ISNUMBER(SEARCH(" "&amp;$CR$836:$CR$935&amp;" ",$AX36)))),"")</f>
        <v>0</v>
      </c>
      <c r="AS36" s="93">
        <f>IF(36=36,IF($U36="","",SUMPRODUCT(--ISNUMBER(SEARCH(" "&amp;$CR$936:$CR$1035&amp;" ",$AX36)))),"")</f>
        <v>0</v>
      </c>
      <c r="AT36" s="93">
        <f>IF(36=36,IF($U36="","",SUMPRODUCT(--ISNUMBER(SEARCH(" "&amp;$CR$1036:$CR$1135&amp;" ",$AX36)))),"")</f>
        <v>0</v>
      </c>
      <c r="AU36" s="93">
        <f>IF(36=36,IF($U36="","",SUMPRODUCT(--ISNUMBER(SEARCH(" "&amp;$CR$1136:$CR$1235&amp;" ",$AX36)))),"")</f>
        <v>0</v>
      </c>
      <c r="AV36" s="93">
        <f>IF(36=36,IF($U36="","",SUMPRODUCT(--ISNUMBER(SEARCH(" "&amp;$CR$1236:$CR$1335&amp;" ",$AX36)))),"")</f>
        <v>0</v>
      </c>
      <c r="AW36" s="93">
        <f>IF(36=36,IF($U36="","",SUMPRODUCT(--ISNUMBER(SEARCH(" "&amp;$CR$1336:$CR$1363&amp;" ",$AX36)))),"")</f>
        <v>0</v>
      </c>
      <c r="AX36" s="93" t="str">
        <f>IF(36=36,IF($U36="","",SUBSTITUTE(SUBSTITUTE(SUBSTITUTE(SUBSTITUTE(SUBSTITUTE(SUBSTITUTE(SUBSTITUTE(SUBSTITUTE(SUBSTITUTE($AA36," "&amp;$CR$1365&amp;" "," ")," "&amp;$CR$1364&amp;" "," ")," "&amp;$CR$1370&amp;" "," ")," "&amp;$CR$1371&amp;" "," ")," "&amp;$CR$1367&amp;" "," ")," "&amp;$CR$1369&amp;" "," ")," "&amp;$CR$1366&amp;" "," ")," "&amp;$CR$1368&amp;" "," ")," "&amp;$CR$1372&amp;" "," ")),"")</f>
        <v xml:space="preserve"> jaune d oeuf pasteurise </v>
      </c>
      <c r="AY36" s="93">
        <f>IF(36=36,IF($U36="","",SUMPRODUCT(--ISNUMBER(SEARCH(" "&amp;$CR$1373:$CR$1383&amp;" ",$AX36)))),"")</f>
        <v>0</v>
      </c>
      <c r="AZ36" s="93" t="str">
        <f>IF(36=36,IF($U36="","",IF(SUM(AN36:AW36)+SUMPRODUCT(--ISNUMBER(SEARCH(" "&amp;$CR$2421:$CR$2422&amp;" ",$AX36)))&gt;0,"X",IF(AY36&gt;0,"?",""))),"")</f>
        <v/>
      </c>
      <c r="BA36" s="93">
        <f>IF(36=36,IF($U36="","",SUMPRODUCT(--ISNUMBER(SEARCH(" "&amp;$CR$1384:$CR$1404&amp;" ",$AA36)))),"")</f>
        <v>0</v>
      </c>
      <c r="BB36" s="93" t="str">
        <f>IF(36=36,IF($U36="","",IF((BA36)-(0)&gt;0,"X",IF((0)-(0)&gt;0,"?",""))),"")</f>
        <v/>
      </c>
      <c r="BC36" s="93">
        <f>IF(36=36,IF($U36="","",SUMPRODUCT(--ISNUMBER(SEARCH(" "&amp;$CR$1405:$CR$1442&amp;" ",$BD36)))),"")</f>
        <v>0</v>
      </c>
      <c r="BD36" s="93" t="str">
        <f>IF(36=36,IF($U36="","",SUBSTITUTE(SUBSTITUTE($AA36," "&amp;$CR$1443&amp;" "," ")," "&amp;$CR$1444&amp;" "," ")),"")</f>
        <v xml:space="preserve"> jaune d oeuf pasteurise </v>
      </c>
      <c r="BE36" s="93">
        <f>IF(36=36,IF($U36="","",SUMPRODUCT(--ISNUMBER(SEARCH(" "&amp;$CR$1445:$CR$1455&amp;" ",$BD36)))),"")</f>
        <v>0</v>
      </c>
      <c r="BF36" s="93" t="str">
        <f>IF(36=36,IF($U36="","",IF(BC36&gt;0,"X",IF(BE36&gt;0,"?",""))),"")</f>
        <v/>
      </c>
      <c r="BG36" s="93">
        <f>IF(36=36,IF($U36="","",SUMPRODUCT(--ISNUMBER(SEARCH(" "&amp;$CR$1456:$CR$1555&amp;" ",$BJ36)))),"")</f>
        <v>0</v>
      </c>
      <c r="BH36" s="93">
        <f>IF(36=36,IF($U36="","",SUMPRODUCT(--ISNUMBER(SEARCH(" "&amp;$CR$1556:$CR$1655&amp;" ",$BJ36)))),"")</f>
        <v>0</v>
      </c>
      <c r="BI36" s="93">
        <f>IF(36=36,IF($U36="","",SUMPRODUCT(--ISNUMBER(SEARCH(" "&amp;$CR$1656:$CR$1739&amp;" ",$BJ36)))),"")</f>
        <v>0</v>
      </c>
      <c r="BJ36" s="93" t="str">
        <f>IF(36=36,IF($U36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36,"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jaune d oeuf pasteurise </v>
      </c>
      <c r="BK36" s="93">
        <f>IF(36=36,IF($U36="","",SUMPRODUCT(--ISNUMBER(SEARCH(" "&amp;$CR$1790:$CR$1869&amp;" ",$BL36)))+SUMPRODUCT(--ISNUMBER(SEARCH(" "&amp;$CR$2440:$CR$2453&amp;" ",$BL36)))),"")</f>
        <v>0</v>
      </c>
      <c r="BL36" s="93" t="str">
        <f>IF(36=36,IF($U36="","",SUBSTITUTE(SUBSTITUTE(SUBSTITUTE(SUBSTITUTE(SUBSTITUTE(SUBSTITUTE(SUBSTITUTE(SUBSTITUTE(SUBSTITUTE(SUBSTITUTE(SUBSTITUTE(SUBSTITUTE(SUBSTITUTE($BJ36," "&amp;$CR$1876&amp;" "," ")," "&amp;$CR$1874&amp;" "," ")," "&amp;$CR$2438&amp;" "," ")," "&amp;$CR$2439&amp;" "," ")," "&amp;$CR$1871&amp;" "," ")," "&amp;$CR$1875&amp;" "," ")," "&amp;$CR$1877&amp;" "," ")," "&amp;$CR$1872&amp;" "," ")," "&amp;$CR$1870&amp;" "," ")," "&amp;$CR$1367&amp;" "," ")," "&amp;$CR$1878&amp;" "," ")," "&amp;$CR$1366&amp;" "," ")," "&amp;$CR$1873&amp;" "," ")),"")</f>
        <v xml:space="preserve"> jaune d oeuf pasteurise </v>
      </c>
      <c r="BM36" s="93" t="str">
        <f>IF(36=36,IF($U36="","",IF(SUM(BG36:BI36)+SUMPRODUCT(--ISNUMBER(SEARCH(" "&amp;$CR$2423:$CR$2424&amp;" ",$BJ36)))&gt;0,"X",IF(BK36&gt;0,"?",""))),"")</f>
        <v/>
      </c>
      <c r="BN36" s="93">
        <f>IF(36=36,IF($U36="","",SUMPRODUCT(--ISNUMBER(SEARCH(" "&amp;$CR$1879:$CR$1936&amp;" ",$BO36)))),"")</f>
        <v>0</v>
      </c>
      <c r="BO36" s="93" t="str">
        <f>IF(36=36,IF($U36="","",SUBSTITUTE(SUBSTITUTE(SUBSTITUTE(SUBSTITUTE(SUBSTITUTE(SUBSTITUTE(SUBSTITUTE(SUBSTITUTE(SUBSTITUTE(SUBSTITUTE(SUBSTITUTE(SUBSTITUTE(SUBSTITUTE(SUBSTITUTE(SUBSTITUTE(SUBSTITUTE(SUBSTITUTE(SUBSTITUTE(SUBSTITUTE(SUBSTITUTE(SUBSTITUTE(SUBSTITUTE(SUBSTITUTE($AA36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jaune d oeuf pasteurise </v>
      </c>
      <c r="BP36" s="93">
        <f>IF(36=36,IF($U36="","",SUMPRODUCT(--ISNUMBER(SEARCH(" "&amp;$CR$1960:$CR$1976&amp;" ",$BO36)))),"")</f>
        <v>0</v>
      </c>
      <c r="BQ36" s="93" t="str">
        <f>IF(36=36,IF($U36="","",IF(BN36&gt;0,"X",IF(BP36&gt;0,"?",""))),"")</f>
        <v/>
      </c>
      <c r="BR36" s="93">
        <f>IF(36=36,IF($U36="","",SUMPRODUCT(--ISNUMBER(SEARCH(" "&amp;$CR$1977:$CR$1990&amp;" ",$AA36)))),"")</f>
        <v>0</v>
      </c>
      <c r="BS36" s="93">
        <f>IF(36=36,IF($U36="","",SUMPRODUCT(--ISNUMBER(SEARCH(" "&amp;$CR$1991:$CR$2005&amp;" ",$AA36)))),"")</f>
        <v>0</v>
      </c>
      <c r="BT36" s="93" t="str">
        <f>IF(36=36,IF($U36="","",IF((BR36)-(0)&gt;0,"X",IF((BS36)-(0)&gt;0,"?",""))),"")</f>
        <v/>
      </c>
      <c r="BU36" s="93">
        <f>IF(36=36,IF($U36="","",SUMPRODUCT(--ISNUMBER(SEARCH(" "&amp;$CR$2006:$CR$2023&amp;" ",$AA36)))),"")</f>
        <v>0</v>
      </c>
      <c r="BV36" s="93">
        <f>IF(36=36,IF($U36="","",SUMPRODUCT(--ISNUMBER(SEARCH(" "&amp;$CR$2024:$CR$2038&amp;" ",$AA36)))),"")</f>
        <v>0</v>
      </c>
      <c r="BW36" s="93" t="str">
        <f>IF(36=36,IF($U36="","",IF((BU36)-(0)&gt;0,"X",IF((BV36)-(0)&gt;0,"?",""))),"")</f>
        <v/>
      </c>
      <c r="BX36" s="93">
        <f>IF(36=36,IF($U36="","",SUMPRODUCT(--ISNUMBER(SEARCH(" "&amp;$CR$2039:$CR$2057&amp;" ",$AA36)))),"")</f>
        <v>0</v>
      </c>
      <c r="BY36" s="93">
        <f>IF(36=36,IF($U36="","",SUMPRODUCT(--ISNUMBER(SEARCH(" "&amp;$CR$2058:$CR$2072&amp;" ",$AA36)))),"")</f>
        <v>0</v>
      </c>
      <c r="BZ36" s="93" t="str">
        <f>IF(36=36,IF($U36="","",IF((BX36)-(0)&gt;0,"X",IF((BY36)-(0)&gt;0,"?",""))),"")</f>
        <v/>
      </c>
      <c r="CA36" s="93">
        <f>IF(36=36,IF($U36="","",SUMPRODUCT(--ISNUMBER(SEARCH(" "&amp;$CR$2073:$CR$2093&amp;" ",$AA36)))),"")</f>
        <v>0</v>
      </c>
      <c r="CB36" s="93">
        <f>IF(36=36,IF($U36="","",SUMPRODUCT(--ISNUMBER(SEARCH(" "&amp;$CR$2094:$CR$2133&amp;" ",SUBSTITUTE(SUBSTITUTE($AA36," "&amp;$CR$1367&amp;" "," ")," "&amp;$CR$1366&amp;" "," "))))+--ISNUMBER(SEARCH("poiré",$V36))),"")</f>
        <v>0</v>
      </c>
      <c r="CC36" s="93" t="str">
        <f>IF(36=36,IF($U36="","",IF(OR(CA36&gt;0,ISNUMBER(SEARCH(" vinaigre de vin ",$AA36)),ISNUMBER(SEARCH(" vinaigre au vin ",$AA36))),"X",IF(CB36&gt;0,"?",""))),"")</f>
        <v/>
      </c>
      <c r="CD36" s="93">
        <f>IF(36=36,IF($U36="","",SUMPRODUCT(--ISNUMBER(SEARCH(" "&amp;$CR$2134:$CR$2146&amp;" ",$AA36)))),"")</f>
        <v>0</v>
      </c>
      <c r="CE36" s="93">
        <f>IF(36=36,IF($U36="","",SUMPRODUCT(--ISNUMBER(SEARCH(" "&amp;$CR$2147:$CR$2152&amp;" ",$AA36)))),"")</f>
        <v>0</v>
      </c>
      <c r="CF36" s="93" t="str">
        <f>IF(36=36,IF($U36="","",IF((CD36)-(0)&gt;0,"X",IF((CE36)-(0)&gt;0,"?",""))),"")</f>
        <v/>
      </c>
      <c r="CG36" s="93">
        <f>IF(36=36,IF($U36="","",SUMPRODUCT(--ISNUMBER(SEARCH(" "&amp;$CR$2153:$CR$2252&amp;" ",$CJ36)))),"")</f>
        <v>0</v>
      </c>
      <c r="CH36" s="93">
        <f>IF(36=36,IF($U36="","",SUMPRODUCT(--ISNUMBER(SEARCH(" "&amp;$CR$2253:$CR$2352&amp;" ",$CJ36)))),"")</f>
        <v>0</v>
      </c>
      <c r="CI36" s="93">
        <f>IF(36=36,IF($U36="","",SUMPRODUCT(--ISNUMBER(SEARCH(" "&amp;$CR$2353:$CR$2395&amp;" ",$CJ36)))),"")</f>
        <v>0</v>
      </c>
      <c r="CJ36" s="93" t="str">
        <f>IF(36=36,IF($U36="","",SUBSTITUTE(SUBSTITUTE(SUBSTITUTE(SUBSTITUTE(SUBSTITUTE(SUBSTITUTE(SUBSTITUTE(SUBSTITUTE(SUBSTITUTE(SUBSTITUTE(SUBSTITUTE(SUBSTITUTE(SUBSTITUTE(SUBSTITUTE(SUBSTITUTE(SUBSTITUTE($AA36," "&amp;$CR$2401&amp;" "," ")," "&amp;$CR$2400&amp;" "," ")," "&amp;$CR$2399&amp;" "," ")," "&amp;$CR$2406&amp;" "," ")," "&amp;$CR$2398&amp;" "," ")," "&amp;$CR$2410&amp;" "," ")," "&amp;$CR$2397&amp;" "," ")," "&amp;$CR$2402&amp;" "," ")," "&amp;$CR$2405&amp;" "," ")," "&amp;$CR$2396&amp;" "," ")," "&amp;$CR$2404&amp;" "," ")," "&amp;$CR$2411&amp;" "," ")," "&amp;$CR$2408&amp;" "," ")," "&amp;$CR$2403&amp;" "," ")," "&amp;$CR$2407&amp;" "," ")," "&amp;$CR$2409&amp;" "," ")),"")</f>
        <v xml:space="preserve"> jaune d oeuf pasteurise </v>
      </c>
      <c r="CK36" s="93">
        <f>IF(36=36,IF($U36="","",SUMPRODUCT(--ISNUMBER(SEARCH(" "&amp;$CR$2412:$CR$2416&amp;" ",$CJ36)))),"")</f>
        <v>0</v>
      </c>
      <c r="CL36" s="93" t="str">
        <f>IF(36=36,IF($U36="","",IF(SUM(CG36:CI36)&gt;0,"X",IF(CK36&gt;0,"?",""))),"")</f>
        <v/>
      </c>
      <c r="CM36" s="102"/>
      <c r="CN36" s="112" t="s">
        <v>686</v>
      </c>
      <c r="CO36" s="112" t="s">
        <v>522</v>
      </c>
      <c r="CP36" s="112" t="s">
        <v>523</v>
      </c>
      <c r="CQ36" s="112" t="s">
        <v>687</v>
      </c>
      <c r="CR36" s="112" t="s">
        <v>688</v>
      </c>
      <c r="CS36" s="112" t="s">
        <v>525</v>
      </c>
      <c r="CT36" s="112" t="s">
        <v>526</v>
      </c>
      <c r="CU36" s="112" t="s">
        <v>527</v>
      </c>
      <c r="CV36" s="113" t="s">
        <v>528</v>
      </c>
      <c r="CX36" s="36">
        <v>1</v>
      </c>
    </row>
    <row r="37" spans="1:102" ht="21" customHeight="1" x14ac:dyDescent="0.25">
      <c r="A37" s="135">
        <v>31</v>
      </c>
      <c r="B37" s="136" t="s">
        <v>59</v>
      </c>
      <c r="C37" s="137" t="str">
        <f t="shared" si="0"/>
        <v>Jus de citron (Pulco)</v>
      </c>
      <c r="D37" s="138" t="str">
        <f>IF(37=37,IF($B37="","",IF(E37="X",""&amp;"Céréales contenant du gluten","")&amp;IF(F37="X",IF(COUNTIF($E37:$E37,"X")&gt;0,", ","")&amp;"Crustacés","")&amp;IF(G37="X",IF(COUNTIF($E37:$F37,"X")&gt;0,", ","")&amp;"Œufs","")&amp;IF(H37="X",IF(COUNTIF($E37:$G37,"X")&gt;0,", ","")&amp;"Poissons","")&amp;IF(I37="X",IF(COUNTIF($E37:$H37,"X")&gt;0,", ","")&amp;"Arachides","")&amp;IF(J37="X",IF(COUNTIF($E37:$I37,"X")&gt;0,", ","")&amp;"Soja","")&amp;IF(K37="X",IF(COUNTIF($E37:$J37,"X")&gt;0,", ","")&amp;"Lait","")&amp;IF(L37="X",IF(COUNTIF($E37:$K37,"X")&gt;0,", ","")&amp;"Fruits à coque","")&amp;IF(M37="X",IF(COUNTIF($E37:$L37,"X")&gt;0,", ","")&amp;"Céleri","")&amp;IF(N37="X",IF(COUNTIF($E37:$M37,"X")&gt;0,", ","")&amp;"Moutarde","")&amp;IF(O37="X",IF(COUNTIF($E37:$N37,"X")&gt;0,", ","")&amp;"Sésame","")&amp;IF(P37="X",IF(COUNTIF($E37:$O37,"X")&gt;0,", ","")&amp;"Sulfites","")&amp;IF(Q37="X",IF(COUNTIF($E37:$P37,"X")&gt;0,", ","")&amp;"Lupin","")&amp;IF(R37="X",IF(COUNTIF($E37:$Q37,"X")&gt;0,", ","")&amp;"Mollusques","")),"")</f>
        <v/>
      </c>
      <c r="E37" s="139" t="str">
        <f>IF(37=37,IF($B37="","",AF37),"")</f>
        <v/>
      </c>
      <c r="F37" s="139" t="str">
        <f>IF(37=37,IF($B37="","",AI37),"")</f>
        <v/>
      </c>
      <c r="G37" s="139" t="str">
        <f>IF(37=37,IF($B37="","",AM37),"")</f>
        <v/>
      </c>
      <c r="H37" s="139" t="str">
        <f>IF(37=37,IF($B37="","",IF(ISNUMBER(SEARCH(" colin ",$AA37)),"X",AZ37)),"")</f>
        <v/>
      </c>
      <c r="I37" s="139" t="str">
        <f>IF(37=37,IF($B37="","",BB37),"")</f>
        <v/>
      </c>
      <c r="J37" s="139" t="str">
        <f>IF(37=37,IF($B37="","",BF37),"")</f>
        <v/>
      </c>
      <c r="K37" s="139" t="str">
        <f>IF(37=37,IF($B37="","",BM37),"")</f>
        <v/>
      </c>
      <c r="L37" s="139" t="str">
        <f>IF(37=37,IF($B37="","",BQ37),"")</f>
        <v/>
      </c>
      <c r="M37" s="139" t="str">
        <f>IF(37=37,IF($B37="","",BT37),"")</f>
        <v/>
      </c>
      <c r="N37" s="139" t="str">
        <f>IF(37=37,IF($B37="","",BW37),"")</f>
        <v/>
      </c>
      <c r="O37" s="139" t="str">
        <f>IF(37=37,IF($B37="","",BZ37),"")</f>
        <v/>
      </c>
      <c r="P37" s="139" t="str">
        <f>IF(37=37,IF($B37="","",CC37),"")</f>
        <v/>
      </c>
      <c r="Q37" s="139" t="str">
        <f>IF(37=37,IF($B37="","",CF37),"")</f>
        <v/>
      </c>
      <c r="R37" s="139" t="str">
        <f>IF(37=37,IF($B37="","",CL37),"")</f>
        <v/>
      </c>
      <c r="S37" s="140" t="str">
        <f>IF(37=37,IF($B37="","",IF(E37="?",""&amp;"Céréales contenant du gluten","")&amp;IF(F37="?",IF(COUNTIF($E37:$E37,"~?")&gt;0,", ","")&amp;"Crustacés","")&amp;IF(G37="?",IF(COUNTIF($E37:$F37,"~?")&gt;0,", ","")&amp;"Œufs","")&amp;IF(H37="?",IF(COUNTIF($E37:$G37,"~?")&gt;0,", ","")&amp;"Poissons","")&amp;IF(I37="?",IF(COUNTIF($E37:$H37,"~?")&gt;0,", ","")&amp;"Arachides","")&amp;IF(J37="?",IF(COUNTIF($E37:$I37,"~?")&gt;0,", ","")&amp;"Soja","")&amp;IF(K37="?",IF(COUNTIF($E37:$J37,"~?")&gt;0,", ","")&amp;"Lait","")&amp;IF(L37="?",IF(COUNTIF($E37:$K37,"~?")&gt;0,", ","")&amp;"Fruits à coque","")&amp;IF(M37="?",IF(COUNTIF($E37:$L37,"~?")&gt;0,", ","")&amp;"Céleri","")&amp;IF(N37="?",IF(COUNTIF($E37:$M37,"~?")&gt;0,", ","")&amp;"Moutarde","")&amp;IF(O37="?",IF(COUNTIF($E37:$N37,"~?")&gt;0,", ","")&amp;"Sésame","")&amp;IF(P37="?",IF(COUNTIF($E37:$O37,"~?")&gt;0,", ","")&amp;"Sulfites","")&amp;IF(Q37="?",IF(COUNTIF($E37:$P37,"~?")&gt;0,", ","")&amp;"Lupin","")&amp;IF(R37="?",IF(COUNTIF($E37:$Q37,"~?")&gt;0,", ","")&amp;"Mollusques","")),"")</f>
        <v/>
      </c>
      <c r="U37" s="93" t="str">
        <f>IF(37=37,IF($B37="","",$B37),"")</f>
        <v>Jus de citron (Pulco)</v>
      </c>
      <c r="V37" s="93" t="str">
        <f>IF(37=37,LOWER(CLEAN(SUBSTITUTE(SUBSTITUTE(SUBSTITUTE(SUBSTITUTE($U37,CHAR(160)," ")," "," "),CHAR(10)," "),CHAR(13)," "))),"")</f>
        <v>jus de citron (pulco)</v>
      </c>
      <c r="W37" s="93" t="str">
        <f>IF(37=37,SUBSTITUTE(SUBSTITUTE(SUBSTITUTE(SUBSTITUTE(SUBSTITUTE(SUBSTITUTE(SUBSTITUTE(SUBSTITUTE(SUBSTITUTE(SUBSTITUTE(SUBSTITUTE(SUBSTITUTE($V37,"œ","oe"),"æ","ae"),"à","a"),"á","a"),"â","a"),"ä","a"),"ã","a"),"ç","c"),"è","e"),"é","e"),"ê","e"),"ë","e"),"")</f>
        <v>jus de citron (pulco)</v>
      </c>
      <c r="X37" s="93" t="str">
        <f>IF(37=37,SUBSTITUTE(SUBSTITUTE(SUBSTITUTE(SUBSTITUTE(SUBSTITUTE(SUBSTITUTE(SUBSTITUTE(SUBSTITUTE(SUBSTITUTE(SUBSTITUTE(SUBSTITUTE(SUBSTITUTE(SUBSTITUTE(SUBSTITUTE(SUBSTITUTE(SUBSTITUTE($W37,"ì","i"),"í","i"),"î","i"),"ï","i"),"ñ","n"),"ò","o"),"ó","o"),"ô","o"),"ö","o"),"õ","o"),"ù","u"),"ú","u"),"û","u"),"ü","u"),"ý","y"),"ÿ","y"),"")</f>
        <v>jus de citron (pulco)</v>
      </c>
      <c r="Y37" s="93" t="str">
        <f>IF(37=37,SUBSTITUTE(SUBSTITUTE(SUBSTITUTE(SUBSTITUTE(SUBSTITUTE(SUBSTITUTE(SUBSTITUTE(SUBSTITUTE(SUBSTITUTE(SUBSTITUTE(SUBSTITUTE(SUBSTITUTE(SUBSTITUTE(SUBSTITUTE($X37,"’"," "),"`"," "),"–"," "),"—"," "),"-"," "),"'"," "),"/"," "),"_"," "),","," "),"."," "),"("," "),")"," "),";"," "),":"," "),"")</f>
        <v xml:space="preserve">jus de citron  pulco </v>
      </c>
      <c r="Z37" s="93" t="str">
        <f>IF(37=37,SUBSTITUTE(SUBSTITUTE(SUBSTITUTE(SUBSTITUTE(SUBSTITUTE(SUBSTITUTE(SUBSTITUTE(SUBSTITUTE(SUBSTITUTE(SUBSTITUTE(SUBSTITUTE(SUBSTITUTE(SUBSTITUTE(SUBSTITUTE(SUBSTITUTE($Y37,"!"," "),"?"," "),"+"," "),"*"," "),"&amp;"," "),"["," "),"]"," "),"{"," "),"}"," "),"%"," "),"="," "),"\"," "),"|"," "),"&lt;"," "),"&gt;"," "),"")</f>
        <v xml:space="preserve">jus de citron  pulco </v>
      </c>
      <c r="AA37" s="93" t="str">
        <f>IF(37=37," "&amp;TRIM(SUBSTITUTE(SUBSTITUTE(SUBSTITUTE(SUBSTITUTE(SUBSTITUTE(SUBSTITUTE($Z37,CHAR(34)," "),"  "," "),"  "," "),"  "," "),"  "," "),"  "," "))&amp;" ","")</f>
        <v xml:space="preserve"> jus de citron pulco </v>
      </c>
      <c r="AB37" s="93">
        <f>IF(37=37,IF($U37="","",SUMPRODUCT(--ISNUMBER(SEARCH(" "&amp;$CR$2:$CR$101&amp;" ",$AD37)))),"")</f>
        <v>0</v>
      </c>
      <c r="AC37" s="93">
        <f>IF(37=37,IF($U37="","",SUMPRODUCT(--ISNUMBER(SEARCH(" "&amp;$CR$102:$CR$151&amp;" ",$AD37)))),"")</f>
        <v>0</v>
      </c>
      <c r="AD37" s="93" t="str">
        <f t="shared" si="1"/>
        <v xml:space="preserve"> jus de citron pulco </v>
      </c>
      <c r="AE37" s="93">
        <f t="shared" si="2"/>
        <v>0</v>
      </c>
      <c r="AF37" s="93" t="str">
        <f>IF(37=37,IF($U37="","",IF(SUM(AB37:AC37)+SUMPRODUCT(--ISNUMBER(SEARCH(" "&amp;$CR$2418:$CR$2420&amp;" ",$AD37)))&gt;0,"X",IF(AE37&gt;0,"?",""))),"")</f>
        <v/>
      </c>
      <c r="AG37" s="93">
        <f>IF(37=37,IF($U37="","",SUMPRODUCT(--ISNUMBER(SEARCH(" "&amp;$CR$206:$CR$305&amp;" ",$AA37)))),"")</f>
        <v>0</v>
      </c>
      <c r="AH37" s="93">
        <f>IF(37=37,IF($U37="","",SUMPRODUCT(--ISNUMBER(SEARCH(" "&amp;$CR$306:$CR$340&amp;" ",$AA37)))),"")</f>
        <v>0</v>
      </c>
      <c r="AI37" s="93" t="str">
        <f>IF(37=37,IF($U37="","",IF((SUM(AG37:AH37))-(0)&gt;0,"X",IF((0)-(0)&gt;0,"?",""))),"")</f>
        <v/>
      </c>
      <c r="AJ37" s="93">
        <f>IF(37=37,IF($U37="","",SUMPRODUCT(--ISNUMBER(SEARCH(" "&amp;$CR$341:$CR$398&amp;" ",$AA37)))),"")</f>
        <v>0</v>
      </c>
      <c r="AK37" s="93">
        <f>IF(37=37,IF($U37="","",SUMPRODUCT(--ISNUMBER(SEARCH(" "&amp;$CR$399:$CR$426&amp;" ",$AL37)))+SUMPRODUCT(--ISNUMBER(SEARCH(" "&amp;$CR$2440:$CR$2453&amp;" ",$AL37)))),"")</f>
        <v>0</v>
      </c>
      <c r="AL37" s="93" t="str">
        <f>IF(37=37,IF($U37="","",SUBSTITUTE(SUBSTITUTE(SUBSTITUTE(SUBSTITUTE(SUBSTITUTE(SUBSTITUTE(SUBSTITUTE(SUBSTITUTE(SUBSTITUTE(SUBSTITUTE(SUBSTITUTE(SUBSTITUTE(SUBSTITUTE(SUBSTITUTE($AA37," "&amp;$CR$2455&amp;" "," ")," "&amp;$CR$433&amp;" "," ")," "&amp;$CR$431&amp;" "," ")," "&amp;$CR$2438&amp;" "," ")," "&amp;$CR$2439&amp;" "," ")," "&amp;$CR$428&amp;" "," ")," "&amp;$CR$432&amp;" "," ")," "&amp;$CR$434&amp;" "," ")," "&amp;$CR$429&amp;" "," ")," "&amp;$CR$427&amp;" "," ")," "&amp;$CR$1367&amp;" "," ")," "&amp;$CR$435&amp;" "," ")," "&amp;$CR$1366&amp;" "," ")," "&amp;$CR$430&amp;" "," ")),"")</f>
        <v xml:space="preserve"> jus de citron pulco </v>
      </c>
      <c r="AM37" s="93" t="str">
        <f>IF(37=37,IF($U37="","",IF(AJ37&gt;0,"X",IF(AK37&gt;0,"?",""))),"")</f>
        <v/>
      </c>
      <c r="AN37" s="93">
        <f>IF(37=37,IF($U37="","",SUMPRODUCT(--ISNUMBER(SEARCH(" "&amp;$CR$436:$CR$535&amp;" ",$AX37)))),"")</f>
        <v>0</v>
      </c>
      <c r="AO37" s="93">
        <f>IF(37=37,IF($U37="","",SUMPRODUCT(--ISNUMBER(SEARCH(" "&amp;$CR$536:$CR$635&amp;" ",$AX37)))),"")</f>
        <v>0</v>
      </c>
      <c r="AP37" s="93">
        <f>IF(37=37,IF($U37="","",SUMPRODUCT(--ISNUMBER(SEARCH(" "&amp;$CR$636:$CR$735&amp;" ",$AX37)))),"")</f>
        <v>0</v>
      </c>
      <c r="AQ37" s="93">
        <f>IF(37=37,IF($U37="","",SUMPRODUCT(--ISNUMBER(SEARCH(" "&amp;$CR$736:$CR$835&amp;" ",$AX37)))),"")</f>
        <v>0</v>
      </c>
      <c r="AR37" s="93">
        <f>IF(37=37,IF($U37="","",SUMPRODUCT(--ISNUMBER(SEARCH(" "&amp;$CR$836:$CR$935&amp;" ",$AX37)))),"")</f>
        <v>0</v>
      </c>
      <c r="AS37" s="93">
        <f>IF(37=37,IF($U37="","",SUMPRODUCT(--ISNUMBER(SEARCH(" "&amp;$CR$936:$CR$1035&amp;" ",$AX37)))),"")</f>
        <v>0</v>
      </c>
      <c r="AT37" s="93">
        <f>IF(37=37,IF($U37="","",SUMPRODUCT(--ISNUMBER(SEARCH(" "&amp;$CR$1036:$CR$1135&amp;" ",$AX37)))),"")</f>
        <v>0</v>
      </c>
      <c r="AU37" s="93">
        <f>IF(37=37,IF($U37="","",SUMPRODUCT(--ISNUMBER(SEARCH(" "&amp;$CR$1136:$CR$1235&amp;" ",$AX37)))),"")</f>
        <v>0</v>
      </c>
      <c r="AV37" s="93">
        <f>IF(37=37,IF($U37="","",SUMPRODUCT(--ISNUMBER(SEARCH(" "&amp;$CR$1236:$CR$1335&amp;" ",$AX37)))),"")</f>
        <v>0</v>
      </c>
      <c r="AW37" s="93">
        <f>IF(37=37,IF($U37="","",SUMPRODUCT(--ISNUMBER(SEARCH(" "&amp;$CR$1336:$CR$1363&amp;" ",$AX37)))),"")</f>
        <v>0</v>
      </c>
      <c r="AX37" s="93" t="str">
        <f>IF(37=37,IF($U37="","",SUBSTITUTE(SUBSTITUTE(SUBSTITUTE(SUBSTITUTE(SUBSTITUTE(SUBSTITUTE(SUBSTITUTE(SUBSTITUTE(SUBSTITUTE($AA37," "&amp;$CR$1365&amp;" "," ")," "&amp;$CR$1364&amp;" "," ")," "&amp;$CR$1370&amp;" "," ")," "&amp;$CR$1371&amp;" "," ")," "&amp;$CR$1367&amp;" "," ")," "&amp;$CR$1369&amp;" "," ")," "&amp;$CR$1366&amp;" "," ")," "&amp;$CR$1368&amp;" "," ")," "&amp;$CR$1372&amp;" "," ")),"")</f>
        <v xml:space="preserve"> jus de citron pulco </v>
      </c>
      <c r="AY37" s="93">
        <f>IF(37=37,IF($U37="","",SUMPRODUCT(--ISNUMBER(SEARCH(" "&amp;$CR$1373:$CR$1383&amp;" ",$AX37)))),"")</f>
        <v>0</v>
      </c>
      <c r="AZ37" s="93" t="str">
        <f>IF(37=37,IF($U37="","",IF(SUM(AN37:AW37)+SUMPRODUCT(--ISNUMBER(SEARCH(" "&amp;$CR$2421:$CR$2422&amp;" ",$AX37)))&gt;0,"X",IF(AY37&gt;0,"?",""))),"")</f>
        <v/>
      </c>
      <c r="BA37" s="93">
        <f>IF(37=37,IF($U37="","",SUMPRODUCT(--ISNUMBER(SEARCH(" "&amp;$CR$1384:$CR$1404&amp;" ",$AA37)))),"")</f>
        <v>0</v>
      </c>
      <c r="BB37" s="93" t="str">
        <f>IF(37=37,IF($U37="","",IF((BA37)-(0)&gt;0,"X",IF((0)-(0)&gt;0,"?",""))),"")</f>
        <v/>
      </c>
      <c r="BC37" s="93">
        <f>IF(37=37,IF($U37="","",SUMPRODUCT(--ISNUMBER(SEARCH(" "&amp;$CR$1405:$CR$1442&amp;" ",$BD37)))),"")</f>
        <v>0</v>
      </c>
      <c r="BD37" s="93" t="str">
        <f>IF(37=37,IF($U37="","",SUBSTITUTE(SUBSTITUTE($AA37," "&amp;$CR$1443&amp;" "," ")," "&amp;$CR$1444&amp;" "," ")),"")</f>
        <v xml:space="preserve"> jus de citron pulco </v>
      </c>
      <c r="BE37" s="93">
        <f>IF(37=37,IF($U37="","",SUMPRODUCT(--ISNUMBER(SEARCH(" "&amp;$CR$1445:$CR$1455&amp;" ",$BD37)))),"")</f>
        <v>0</v>
      </c>
      <c r="BF37" s="93" t="str">
        <f>IF(37=37,IF($U37="","",IF(BC37&gt;0,"X",IF(BE37&gt;0,"?",""))),"")</f>
        <v/>
      </c>
      <c r="BG37" s="93">
        <f>IF(37=37,IF($U37="","",SUMPRODUCT(--ISNUMBER(SEARCH(" "&amp;$CR$1456:$CR$1555&amp;" ",$BJ37)))),"")</f>
        <v>0</v>
      </c>
      <c r="BH37" s="93">
        <f>IF(37=37,IF($U37="","",SUMPRODUCT(--ISNUMBER(SEARCH(" "&amp;$CR$1556:$CR$1655&amp;" ",$BJ37)))),"")</f>
        <v>0</v>
      </c>
      <c r="BI37" s="93">
        <f>IF(37=37,IF($U37="","",SUMPRODUCT(--ISNUMBER(SEARCH(" "&amp;$CR$1656:$CR$1739&amp;" ",$BJ37)))),"")</f>
        <v>0</v>
      </c>
      <c r="BJ37" s="93" t="str">
        <f>IF(37=37,IF($U37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37,"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jus de citron pulco </v>
      </c>
      <c r="BK37" s="93">
        <f>IF(37=37,IF($U37="","",SUMPRODUCT(--ISNUMBER(SEARCH(" "&amp;$CR$1790:$CR$1869&amp;" ",$BL37)))+SUMPRODUCT(--ISNUMBER(SEARCH(" "&amp;$CR$2440:$CR$2453&amp;" ",$BL37)))),"")</f>
        <v>0</v>
      </c>
      <c r="BL37" s="93" t="str">
        <f>IF(37=37,IF($U37="","",SUBSTITUTE(SUBSTITUTE(SUBSTITUTE(SUBSTITUTE(SUBSTITUTE(SUBSTITUTE(SUBSTITUTE(SUBSTITUTE(SUBSTITUTE(SUBSTITUTE(SUBSTITUTE(SUBSTITUTE(SUBSTITUTE($BJ37," "&amp;$CR$1876&amp;" "," ")," "&amp;$CR$1874&amp;" "," ")," "&amp;$CR$2438&amp;" "," ")," "&amp;$CR$2439&amp;" "," ")," "&amp;$CR$1871&amp;" "," ")," "&amp;$CR$1875&amp;" "," ")," "&amp;$CR$1877&amp;" "," ")," "&amp;$CR$1872&amp;" "," ")," "&amp;$CR$1870&amp;" "," ")," "&amp;$CR$1367&amp;" "," ")," "&amp;$CR$1878&amp;" "," ")," "&amp;$CR$1366&amp;" "," ")," "&amp;$CR$1873&amp;" "," ")),"")</f>
        <v xml:space="preserve"> jus de citron pulco </v>
      </c>
      <c r="BM37" s="93" t="str">
        <f>IF(37=37,IF($U37="","",IF(SUM(BG37:BI37)+SUMPRODUCT(--ISNUMBER(SEARCH(" "&amp;$CR$2423:$CR$2424&amp;" ",$BJ37)))&gt;0,"X",IF(BK37&gt;0,"?",""))),"")</f>
        <v/>
      </c>
      <c r="BN37" s="93">
        <f>IF(37=37,IF($U37="","",SUMPRODUCT(--ISNUMBER(SEARCH(" "&amp;$CR$1879:$CR$1936&amp;" ",$BO37)))),"")</f>
        <v>0</v>
      </c>
      <c r="BO37" s="93" t="str">
        <f>IF(37=37,IF($U37="","",SUBSTITUTE(SUBSTITUTE(SUBSTITUTE(SUBSTITUTE(SUBSTITUTE(SUBSTITUTE(SUBSTITUTE(SUBSTITUTE(SUBSTITUTE(SUBSTITUTE(SUBSTITUTE(SUBSTITUTE(SUBSTITUTE(SUBSTITUTE(SUBSTITUTE(SUBSTITUTE(SUBSTITUTE(SUBSTITUTE(SUBSTITUTE(SUBSTITUTE(SUBSTITUTE(SUBSTITUTE(SUBSTITUTE($AA37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jus de citron pulco </v>
      </c>
      <c r="BP37" s="93">
        <f>IF(37=37,IF($U37="","",SUMPRODUCT(--ISNUMBER(SEARCH(" "&amp;$CR$1960:$CR$1976&amp;" ",$BO37)))),"")</f>
        <v>0</v>
      </c>
      <c r="BQ37" s="93" t="str">
        <f>IF(37=37,IF($U37="","",IF(BN37&gt;0,"X",IF(BP37&gt;0,"?",""))),"")</f>
        <v/>
      </c>
      <c r="BR37" s="93">
        <f>IF(37=37,IF($U37="","",SUMPRODUCT(--ISNUMBER(SEARCH(" "&amp;$CR$1977:$CR$1990&amp;" ",$AA37)))),"")</f>
        <v>0</v>
      </c>
      <c r="BS37" s="93">
        <f>IF(37=37,IF($U37="","",SUMPRODUCT(--ISNUMBER(SEARCH(" "&amp;$CR$1991:$CR$2005&amp;" ",$AA37)))),"")</f>
        <v>0</v>
      </c>
      <c r="BT37" s="93" t="str">
        <f>IF(37=37,IF($U37="","",IF((BR37)-(0)&gt;0,"X",IF((BS37)-(0)&gt;0,"?",""))),"")</f>
        <v/>
      </c>
      <c r="BU37" s="93">
        <f>IF(37=37,IF($U37="","",SUMPRODUCT(--ISNUMBER(SEARCH(" "&amp;$CR$2006:$CR$2023&amp;" ",$AA37)))),"")</f>
        <v>0</v>
      </c>
      <c r="BV37" s="93">
        <f>IF(37=37,IF($U37="","",SUMPRODUCT(--ISNUMBER(SEARCH(" "&amp;$CR$2024:$CR$2038&amp;" ",$AA37)))),"")</f>
        <v>0</v>
      </c>
      <c r="BW37" s="93" t="str">
        <f>IF(37=37,IF($U37="","",IF((BU37)-(0)&gt;0,"X",IF((BV37)-(0)&gt;0,"?",""))),"")</f>
        <v/>
      </c>
      <c r="BX37" s="93">
        <f>IF(37=37,IF($U37="","",SUMPRODUCT(--ISNUMBER(SEARCH(" "&amp;$CR$2039:$CR$2057&amp;" ",$AA37)))),"")</f>
        <v>0</v>
      </c>
      <c r="BY37" s="93">
        <f>IF(37=37,IF($U37="","",SUMPRODUCT(--ISNUMBER(SEARCH(" "&amp;$CR$2058:$CR$2072&amp;" ",$AA37)))),"")</f>
        <v>0</v>
      </c>
      <c r="BZ37" s="93" t="str">
        <f>IF(37=37,IF($U37="","",IF((BX37)-(0)&gt;0,"X",IF((BY37)-(0)&gt;0,"?",""))),"")</f>
        <v/>
      </c>
      <c r="CA37" s="93">
        <f>IF(37=37,IF($U37="","",SUMPRODUCT(--ISNUMBER(SEARCH(" "&amp;$CR$2073:$CR$2093&amp;" ",$AA37)))),"")</f>
        <v>0</v>
      </c>
      <c r="CB37" s="93">
        <f>IF(37=37,IF($U37="","",SUMPRODUCT(--ISNUMBER(SEARCH(" "&amp;$CR$2094:$CR$2133&amp;" ",SUBSTITUTE(SUBSTITUTE($AA37," "&amp;$CR$1367&amp;" "," ")," "&amp;$CR$1366&amp;" "," "))))+--ISNUMBER(SEARCH("poiré",$V37))),"")</f>
        <v>0</v>
      </c>
      <c r="CC37" s="93" t="str">
        <f>IF(37=37,IF($U37="","",IF(OR(CA37&gt;0,ISNUMBER(SEARCH(" vinaigre de vin ",$AA37)),ISNUMBER(SEARCH(" vinaigre au vin ",$AA37))),"X",IF(CB37&gt;0,"?",""))),"")</f>
        <v/>
      </c>
      <c r="CD37" s="93">
        <f>IF(37=37,IF($U37="","",SUMPRODUCT(--ISNUMBER(SEARCH(" "&amp;$CR$2134:$CR$2146&amp;" ",$AA37)))),"")</f>
        <v>0</v>
      </c>
      <c r="CE37" s="93">
        <f>IF(37=37,IF($U37="","",SUMPRODUCT(--ISNUMBER(SEARCH(" "&amp;$CR$2147:$CR$2152&amp;" ",$AA37)))),"")</f>
        <v>0</v>
      </c>
      <c r="CF37" s="93" t="str">
        <f>IF(37=37,IF($U37="","",IF((CD37)-(0)&gt;0,"X",IF((CE37)-(0)&gt;0,"?",""))),"")</f>
        <v/>
      </c>
      <c r="CG37" s="93">
        <f>IF(37=37,IF($U37="","",SUMPRODUCT(--ISNUMBER(SEARCH(" "&amp;$CR$2153:$CR$2252&amp;" ",$CJ37)))),"")</f>
        <v>0</v>
      </c>
      <c r="CH37" s="93">
        <f>IF(37=37,IF($U37="","",SUMPRODUCT(--ISNUMBER(SEARCH(" "&amp;$CR$2253:$CR$2352&amp;" ",$CJ37)))),"")</f>
        <v>0</v>
      </c>
      <c r="CI37" s="93">
        <f>IF(37=37,IF($U37="","",SUMPRODUCT(--ISNUMBER(SEARCH(" "&amp;$CR$2353:$CR$2395&amp;" ",$CJ37)))),"")</f>
        <v>0</v>
      </c>
      <c r="CJ37" s="93" t="str">
        <f>IF(37=37,IF($U37="","",SUBSTITUTE(SUBSTITUTE(SUBSTITUTE(SUBSTITUTE(SUBSTITUTE(SUBSTITUTE(SUBSTITUTE(SUBSTITUTE(SUBSTITUTE(SUBSTITUTE(SUBSTITUTE(SUBSTITUTE(SUBSTITUTE(SUBSTITUTE(SUBSTITUTE(SUBSTITUTE($AA37," "&amp;$CR$2401&amp;" "," ")," "&amp;$CR$2400&amp;" "," ")," "&amp;$CR$2399&amp;" "," ")," "&amp;$CR$2406&amp;" "," ")," "&amp;$CR$2398&amp;" "," ")," "&amp;$CR$2410&amp;" "," ")," "&amp;$CR$2397&amp;" "," ")," "&amp;$CR$2402&amp;" "," ")," "&amp;$CR$2405&amp;" "," ")," "&amp;$CR$2396&amp;" "," ")," "&amp;$CR$2404&amp;" "," ")," "&amp;$CR$2411&amp;" "," ")," "&amp;$CR$2408&amp;" "," ")," "&amp;$CR$2403&amp;" "," ")," "&amp;$CR$2407&amp;" "," ")," "&amp;$CR$2409&amp;" "," ")),"")</f>
        <v xml:space="preserve"> jus de citron pulco </v>
      </c>
      <c r="CK37" s="93">
        <f>IF(37=37,IF($U37="","",SUMPRODUCT(--ISNUMBER(SEARCH(" "&amp;$CR$2412:$CR$2416&amp;" ",$CJ37)))),"")</f>
        <v>0</v>
      </c>
      <c r="CL37" s="93" t="str">
        <f>IF(37=37,IF($U37="","",IF(SUM(CG37:CI37)&gt;0,"X",IF(CK37&gt;0,"?",""))),"")</f>
        <v/>
      </c>
      <c r="CM37" s="102"/>
      <c r="CN37" s="112" t="s">
        <v>689</v>
      </c>
      <c r="CO37" s="112" t="s">
        <v>522</v>
      </c>
      <c r="CP37" s="112" t="s">
        <v>523</v>
      </c>
      <c r="CQ37" s="112" t="s">
        <v>690</v>
      </c>
      <c r="CR37" s="112" t="s">
        <v>691</v>
      </c>
      <c r="CS37" s="112" t="s">
        <v>525</v>
      </c>
      <c r="CT37" s="112" t="s">
        <v>526</v>
      </c>
      <c r="CU37" s="112" t="s">
        <v>527</v>
      </c>
      <c r="CV37" s="113" t="s">
        <v>528</v>
      </c>
      <c r="CX37" s="36">
        <v>1</v>
      </c>
    </row>
    <row r="38" spans="1:102" ht="21" customHeight="1" x14ac:dyDescent="0.25">
      <c r="A38" s="135">
        <v>32</v>
      </c>
      <c r="B38" s="136" t="s">
        <v>544</v>
      </c>
      <c r="C38" s="137" t="str">
        <f t="shared" si="0"/>
        <v>Lait *</v>
      </c>
      <c r="D38" s="138" t="str">
        <f>IF(38=38,IF($B38="","",IF(E38="X",""&amp;"Céréales contenant du gluten","")&amp;IF(F38="X",IF(COUNTIF($E38:$E38,"X")&gt;0,", ","")&amp;"Crustacés","")&amp;IF(G38="X",IF(COUNTIF($E38:$F38,"X")&gt;0,", ","")&amp;"Œufs","")&amp;IF(H38="X",IF(COUNTIF($E38:$G38,"X")&gt;0,", ","")&amp;"Poissons","")&amp;IF(I38="X",IF(COUNTIF($E38:$H38,"X")&gt;0,", ","")&amp;"Arachides","")&amp;IF(J38="X",IF(COUNTIF($E38:$I38,"X")&gt;0,", ","")&amp;"Soja","")&amp;IF(K38="X",IF(COUNTIF($E38:$J38,"X")&gt;0,", ","")&amp;"Lait","")&amp;IF(L38="X",IF(COUNTIF($E38:$K38,"X")&gt;0,", ","")&amp;"Fruits à coque","")&amp;IF(M38="X",IF(COUNTIF($E38:$L38,"X")&gt;0,", ","")&amp;"Céleri","")&amp;IF(N38="X",IF(COUNTIF($E38:$M38,"X")&gt;0,", ","")&amp;"Moutarde","")&amp;IF(O38="X",IF(COUNTIF($E38:$N38,"X")&gt;0,", ","")&amp;"Sésame","")&amp;IF(P38="X",IF(COUNTIF($E38:$O38,"X")&gt;0,", ","")&amp;"Sulfites","")&amp;IF(Q38="X",IF(COUNTIF($E38:$P38,"X")&gt;0,", ","")&amp;"Lupin","")&amp;IF(R38="X",IF(COUNTIF($E38:$Q38,"X")&gt;0,", ","")&amp;"Mollusques","")),"")</f>
        <v>Lait</v>
      </c>
      <c r="E38" s="139" t="str">
        <f>IF(38=38,IF($B38="","",AF38),"")</f>
        <v/>
      </c>
      <c r="F38" s="139" t="str">
        <f>IF(38=38,IF($B38="","",AI38),"")</f>
        <v/>
      </c>
      <c r="G38" s="139" t="str">
        <f>IF(38=38,IF($B38="","",AM38),"")</f>
        <v/>
      </c>
      <c r="H38" s="139" t="str">
        <f>IF(38=38,IF($B38="","",IF(ISNUMBER(SEARCH(" colin ",$AA38)),"X",AZ38)),"")</f>
        <v/>
      </c>
      <c r="I38" s="139" t="str">
        <f>IF(38=38,IF($B38="","",BB38),"")</f>
        <v/>
      </c>
      <c r="J38" s="139" t="str">
        <f>IF(38=38,IF($B38="","",BF38),"")</f>
        <v/>
      </c>
      <c r="K38" s="139" t="str">
        <f>IF(38=38,IF($B38="","",BM38),"")</f>
        <v>X</v>
      </c>
      <c r="L38" s="139" t="str">
        <f>IF(38=38,IF($B38="","",BQ38),"")</f>
        <v/>
      </c>
      <c r="M38" s="139" t="str">
        <f>IF(38=38,IF($B38="","",BT38),"")</f>
        <v/>
      </c>
      <c r="N38" s="139" t="str">
        <f>IF(38=38,IF($B38="","",BW38),"")</f>
        <v/>
      </c>
      <c r="O38" s="139" t="str">
        <f>IF(38=38,IF($B38="","",BZ38),"")</f>
        <v/>
      </c>
      <c r="P38" s="139" t="str">
        <f>IF(38=38,IF($B38="","",CC38),"")</f>
        <v/>
      </c>
      <c r="Q38" s="139" t="str">
        <f>IF(38=38,IF($B38="","",CF38),"")</f>
        <v/>
      </c>
      <c r="R38" s="139" t="str">
        <f>IF(38=38,IF($B38="","",CL38),"")</f>
        <v/>
      </c>
      <c r="S38" s="140" t="str">
        <f>IF(38=38,IF($B38="","",IF(E38="?",""&amp;"Céréales contenant du gluten","")&amp;IF(F38="?",IF(COUNTIF($E38:$E38,"~?")&gt;0,", ","")&amp;"Crustacés","")&amp;IF(G38="?",IF(COUNTIF($E38:$F38,"~?")&gt;0,", ","")&amp;"Œufs","")&amp;IF(H38="?",IF(COUNTIF($E38:$G38,"~?")&gt;0,", ","")&amp;"Poissons","")&amp;IF(I38="?",IF(COUNTIF($E38:$H38,"~?")&gt;0,", ","")&amp;"Arachides","")&amp;IF(J38="?",IF(COUNTIF($E38:$I38,"~?")&gt;0,", ","")&amp;"Soja","")&amp;IF(K38="?",IF(COUNTIF($E38:$J38,"~?")&gt;0,", ","")&amp;"Lait","")&amp;IF(L38="?",IF(COUNTIF($E38:$K38,"~?")&gt;0,", ","")&amp;"Fruits à coque","")&amp;IF(M38="?",IF(COUNTIF($E38:$L38,"~?")&gt;0,", ","")&amp;"Céleri","")&amp;IF(N38="?",IF(COUNTIF($E38:$M38,"~?")&gt;0,", ","")&amp;"Moutarde","")&amp;IF(O38="?",IF(COUNTIF($E38:$N38,"~?")&gt;0,", ","")&amp;"Sésame","")&amp;IF(P38="?",IF(COUNTIF($E38:$O38,"~?")&gt;0,", ","")&amp;"Sulfites","")&amp;IF(Q38="?",IF(COUNTIF($E38:$P38,"~?")&gt;0,", ","")&amp;"Lupin","")&amp;IF(R38="?",IF(COUNTIF($E38:$Q38,"~?")&gt;0,", ","")&amp;"Mollusques","")),"")</f>
        <v/>
      </c>
      <c r="U38" s="93" t="str">
        <f>IF(38=38,IF($B38="","",$B38),"")</f>
        <v>Lait</v>
      </c>
      <c r="V38" s="93" t="str">
        <f>IF(38=38,LOWER(CLEAN(SUBSTITUTE(SUBSTITUTE(SUBSTITUTE(SUBSTITUTE($U38,CHAR(160)," ")," "," "),CHAR(10)," "),CHAR(13)," "))),"")</f>
        <v>lait</v>
      </c>
      <c r="W38" s="93" t="str">
        <f>IF(38=38,SUBSTITUTE(SUBSTITUTE(SUBSTITUTE(SUBSTITUTE(SUBSTITUTE(SUBSTITUTE(SUBSTITUTE(SUBSTITUTE(SUBSTITUTE(SUBSTITUTE(SUBSTITUTE(SUBSTITUTE($V38,"œ","oe"),"æ","ae"),"à","a"),"á","a"),"â","a"),"ä","a"),"ã","a"),"ç","c"),"è","e"),"é","e"),"ê","e"),"ë","e"),"")</f>
        <v>lait</v>
      </c>
      <c r="X38" s="93" t="str">
        <f>IF(38=38,SUBSTITUTE(SUBSTITUTE(SUBSTITUTE(SUBSTITUTE(SUBSTITUTE(SUBSTITUTE(SUBSTITUTE(SUBSTITUTE(SUBSTITUTE(SUBSTITUTE(SUBSTITUTE(SUBSTITUTE(SUBSTITUTE(SUBSTITUTE(SUBSTITUTE(SUBSTITUTE($W38,"ì","i"),"í","i"),"î","i"),"ï","i"),"ñ","n"),"ò","o"),"ó","o"),"ô","o"),"ö","o"),"õ","o"),"ù","u"),"ú","u"),"û","u"),"ü","u"),"ý","y"),"ÿ","y"),"")</f>
        <v>lait</v>
      </c>
      <c r="Y38" s="93" t="str">
        <f>IF(38=38,SUBSTITUTE(SUBSTITUTE(SUBSTITUTE(SUBSTITUTE(SUBSTITUTE(SUBSTITUTE(SUBSTITUTE(SUBSTITUTE(SUBSTITUTE(SUBSTITUTE(SUBSTITUTE(SUBSTITUTE(SUBSTITUTE(SUBSTITUTE($X38,"’"," "),"`"," "),"–"," "),"—"," "),"-"," "),"'"," "),"/"," "),"_"," "),","," "),"."," "),"("," "),")"," "),";"," "),":"," "),"")</f>
        <v>lait</v>
      </c>
      <c r="Z38" s="93" t="str">
        <f>IF(38=38,SUBSTITUTE(SUBSTITUTE(SUBSTITUTE(SUBSTITUTE(SUBSTITUTE(SUBSTITUTE(SUBSTITUTE(SUBSTITUTE(SUBSTITUTE(SUBSTITUTE(SUBSTITUTE(SUBSTITUTE(SUBSTITUTE(SUBSTITUTE(SUBSTITUTE($Y38,"!"," "),"?"," "),"+"," "),"*"," "),"&amp;"," "),"["," "),"]"," "),"{"," "),"}"," "),"%"," "),"="," "),"\"," "),"|"," "),"&lt;"," "),"&gt;"," "),"")</f>
        <v>lait</v>
      </c>
      <c r="AA38" s="93" t="str">
        <f>IF(38=38," "&amp;TRIM(SUBSTITUTE(SUBSTITUTE(SUBSTITUTE(SUBSTITUTE(SUBSTITUTE(SUBSTITUTE($Z38,CHAR(34)," "),"  "," "),"  "," "),"  "," "),"  "," "),"  "," "))&amp;" ","")</f>
        <v xml:space="preserve"> lait </v>
      </c>
      <c r="AB38" s="93">
        <f>IF(38=38,IF($U38="","",SUMPRODUCT(--ISNUMBER(SEARCH(" "&amp;$CR$2:$CR$101&amp;" ",$AD38)))),"")</f>
        <v>0</v>
      </c>
      <c r="AC38" s="93">
        <f>IF(38=38,IF($U38="","",SUMPRODUCT(--ISNUMBER(SEARCH(" "&amp;$CR$102:$CR$151&amp;" ",$AD38)))),"")</f>
        <v>0</v>
      </c>
      <c r="AD38" s="93" t="str">
        <f t="shared" si="1"/>
        <v xml:space="preserve"> lait </v>
      </c>
      <c r="AE38" s="93">
        <f t="shared" si="2"/>
        <v>0</v>
      </c>
      <c r="AF38" s="93" t="str">
        <f>IF(38=38,IF($U38="","",IF(SUM(AB38:AC38)+SUMPRODUCT(--ISNUMBER(SEARCH(" "&amp;$CR$2418:$CR$2420&amp;" ",$AD38)))&gt;0,"X",IF(AE38&gt;0,"?",""))),"")</f>
        <v/>
      </c>
      <c r="AG38" s="93">
        <f>IF(38=38,IF($U38="","",SUMPRODUCT(--ISNUMBER(SEARCH(" "&amp;$CR$206:$CR$305&amp;" ",$AA38)))),"")</f>
        <v>0</v>
      </c>
      <c r="AH38" s="93">
        <f>IF(38=38,IF($U38="","",SUMPRODUCT(--ISNUMBER(SEARCH(" "&amp;$CR$306:$CR$340&amp;" ",$AA38)))),"")</f>
        <v>0</v>
      </c>
      <c r="AI38" s="93" t="str">
        <f>IF(38=38,IF($U38="","",IF((SUM(AG38:AH38))-(0)&gt;0,"X",IF((0)-(0)&gt;0,"?",""))),"")</f>
        <v/>
      </c>
      <c r="AJ38" s="93">
        <f>IF(38=38,IF($U38="","",SUMPRODUCT(--ISNUMBER(SEARCH(" "&amp;$CR$341:$CR$398&amp;" ",$AA38)))),"")</f>
        <v>0</v>
      </c>
      <c r="AK38" s="93">
        <f>IF(38=38,IF($U38="","",SUMPRODUCT(--ISNUMBER(SEARCH(" "&amp;$CR$399:$CR$426&amp;" ",$AL38)))+SUMPRODUCT(--ISNUMBER(SEARCH(" "&amp;$CR$2440:$CR$2453&amp;" ",$AL38)))),"")</f>
        <v>0</v>
      </c>
      <c r="AL38" s="93" t="str">
        <f>IF(38=38,IF($U38="","",SUBSTITUTE(SUBSTITUTE(SUBSTITUTE(SUBSTITUTE(SUBSTITUTE(SUBSTITUTE(SUBSTITUTE(SUBSTITUTE(SUBSTITUTE(SUBSTITUTE(SUBSTITUTE(SUBSTITUTE(SUBSTITUTE(SUBSTITUTE($AA38," "&amp;$CR$2455&amp;" "," ")," "&amp;$CR$433&amp;" "," ")," "&amp;$CR$431&amp;" "," ")," "&amp;$CR$2438&amp;" "," ")," "&amp;$CR$2439&amp;" "," ")," "&amp;$CR$428&amp;" "," ")," "&amp;$CR$432&amp;" "," ")," "&amp;$CR$434&amp;" "," ")," "&amp;$CR$429&amp;" "," ")," "&amp;$CR$427&amp;" "," ")," "&amp;$CR$1367&amp;" "," ")," "&amp;$CR$435&amp;" "," ")," "&amp;$CR$1366&amp;" "," ")," "&amp;$CR$430&amp;" "," ")),"")</f>
        <v xml:space="preserve"> lait </v>
      </c>
      <c r="AM38" s="93" t="str">
        <f>IF(38=38,IF($U38="","",IF(AJ38&gt;0,"X",IF(AK38&gt;0,"?",""))),"")</f>
        <v/>
      </c>
      <c r="AN38" s="93">
        <f>IF(38=38,IF($U38="","",SUMPRODUCT(--ISNUMBER(SEARCH(" "&amp;$CR$436:$CR$535&amp;" ",$AX38)))),"")</f>
        <v>0</v>
      </c>
      <c r="AO38" s="93">
        <f>IF(38=38,IF($U38="","",SUMPRODUCT(--ISNUMBER(SEARCH(" "&amp;$CR$536:$CR$635&amp;" ",$AX38)))),"")</f>
        <v>0</v>
      </c>
      <c r="AP38" s="93">
        <f>IF(38=38,IF($U38="","",SUMPRODUCT(--ISNUMBER(SEARCH(" "&amp;$CR$636:$CR$735&amp;" ",$AX38)))),"")</f>
        <v>0</v>
      </c>
      <c r="AQ38" s="93">
        <f>IF(38=38,IF($U38="","",SUMPRODUCT(--ISNUMBER(SEARCH(" "&amp;$CR$736:$CR$835&amp;" ",$AX38)))),"")</f>
        <v>0</v>
      </c>
      <c r="AR38" s="93">
        <f>IF(38=38,IF($U38="","",SUMPRODUCT(--ISNUMBER(SEARCH(" "&amp;$CR$836:$CR$935&amp;" ",$AX38)))),"")</f>
        <v>0</v>
      </c>
      <c r="AS38" s="93">
        <f>IF(38=38,IF($U38="","",SUMPRODUCT(--ISNUMBER(SEARCH(" "&amp;$CR$936:$CR$1035&amp;" ",$AX38)))),"")</f>
        <v>0</v>
      </c>
      <c r="AT38" s="93">
        <f>IF(38=38,IF($U38="","",SUMPRODUCT(--ISNUMBER(SEARCH(" "&amp;$CR$1036:$CR$1135&amp;" ",$AX38)))),"")</f>
        <v>0</v>
      </c>
      <c r="AU38" s="93">
        <f>IF(38=38,IF($U38="","",SUMPRODUCT(--ISNUMBER(SEARCH(" "&amp;$CR$1136:$CR$1235&amp;" ",$AX38)))),"")</f>
        <v>0</v>
      </c>
      <c r="AV38" s="93">
        <f>IF(38=38,IF($U38="","",SUMPRODUCT(--ISNUMBER(SEARCH(" "&amp;$CR$1236:$CR$1335&amp;" ",$AX38)))),"")</f>
        <v>0</v>
      </c>
      <c r="AW38" s="93">
        <f>IF(38=38,IF($U38="","",SUMPRODUCT(--ISNUMBER(SEARCH(" "&amp;$CR$1336:$CR$1363&amp;" ",$AX38)))),"")</f>
        <v>0</v>
      </c>
      <c r="AX38" s="93" t="str">
        <f>IF(38=38,IF($U38="","",SUBSTITUTE(SUBSTITUTE(SUBSTITUTE(SUBSTITUTE(SUBSTITUTE(SUBSTITUTE(SUBSTITUTE(SUBSTITUTE(SUBSTITUTE($AA38," "&amp;$CR$1365&amp;" "," ")," "&amp;$CR$1364&amp;" "," ")," "&amp;$CR$1370&amp;" "," ")," "&amp;$CR$1371&amp;" "," ")," "&amp;$CR$1367&amp;" "," ")," "&amp;$CR$1369&amp;" "," ")," "&amp;$CR$1366&amp;" "," ")," "&amp;$CR$1368&amp;" "," ")," "&amp;$CR$1372&amp;" "," ")),"")</f>
        <v xml:space="preserve"> lait </v>
      </c>
      <c r="AY38" s="93">
        <f>IF(38=38,IF($U38="","",SUMPRODUCT(--ISNUMBER(SEARCH(" "&amp;$CR$1373:$CR$1383&amp;" ",$AX38)))),"")</f>
        <v>0</v>
      </c>
      <c r="AZ38" s="93" t="str">
        <f>IF(38=38,IF($U38="","",IF(SUM(AN38:AW38)+SUMPRODUCT(--ISNUMBER(SEARCH(" "&amp;$CR$2421:$CR$2422&amp;" ",$AX38)))&gt;0,"X",IF(AY38&gt;0,"?",""))),"")</f>
        <v/>
      </c>
      <c r="BA38" s="93">
        <f>IF(38=38,IF($U38="","",SUMPRODUCT(--ISNUMBER(SEARCH(" "&amp;$CR$1384:$CR$1404&amp;" ",$AA38)))),"")</f>
        <v>0</v>
      </c>
      <c r="BB38" s="93" t="str">
        <f>IF(38=38,IF($U38="","",IF((BA38)-(0)&gt;0,"X",IF((0)-(0)&gt;0,"?",""))),"")</f>
        <v/>
      </c>
      <c r="BC38" s="93">
        <f>IF(38=38,IF($U38="","",SUMPRODUCT(--ISNUMBER(SEARCH(" "&amp;$CR$1405:$CR$1442&amp;" ",$BD38)))),"")</f>
        <v>0</v>
      </c>
      <c r="BD38" s="93" t="str">
        <f>IF(38=38,IF($U38="","",SUBSTITUTE(SUBSTITUTE($AA38," "&amp;$CR$1443&amp;" "," ")," "&amp;$CR$1444&amp;" "," ")),"")</f>
        <v xml:space="preserve"> lait </v>
      </c>
      <c r="BE38" s="93">
        <f>IF(38=38,IF($U38="","",SUMPRODUCT(--ISNUMBER(SEARCH(" "&amp;$CR$1445:$CR$1455&amp;" ",$BD38)))),"")</f>
        <v>0</v>
      </c>
      <c r="BF38" s="93" t="str">
        <f>IF(38=38,IF($U38="","",IF(BC38&gt;0,"X",IF(BE38&gt;0,"?",""))),"")</f>
        <v/>
      </c>
      <c r="BG38" s="93">
        <f>IF(38=38,IF($U38="","",SUMPRODUCT(--ISNUMBER(SEARCH(" "&amp;$CR$1456:$CR$1555&amp;" ",$BJ38)))),"")</f>
        <v>0</v>
      </c>
      <c r="BH38" s="93">
        <f>IF(38=38,IF($U38="","",SUMPRODUCT(--ISNUMBER(SEARCH(" "&amp;$CR$1556:$CR$1655&amp;" ",$BJ38)))),"")</f>
        <v>1</v>
      </c>
      <c r="BI38" s="93">
        <f>IF(38=38,IF($U38="","",SUMPRODUCT(--ISNUMBER(SEARCH(" "&amp;$CR$1656:$CR$1739&amp;" ",$BJ38)))),"")</f>
        <v>0</v>
      </c>
      <c r="BJ38" s="93" t="str">
        <f>IF(38=38,IF($U38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38,"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lait </v>
      </c>
      <c r="BK38" s="93">
        <f>IF(38=38,IF($U38="","",SUMPRODUCT(--ISNUMBER(SEARCH(" "&amp;$CR$1790:$CR$1869&amp;" ",$BL38)))+SUMPRODUCT(--ISNUMBER(SEARCH(" "&amp;$CR$2440:$CR$2453&amp;" ",$BL38)))),"")</f>
        <v>0</v>
      </c>
      <c r="BL38" s="93" t="str">
        <f>IF(38=38,IF($U38="","",SUBSTITUTE(SUBSTITUTE(SUBSTITUTE(SUBSTITUTE(SUBSTITUTE(SUBSTITUTE(SUBSTITUTE(SUBSTITUTE(SUBSTITUTE(SUBSTITUTE(SUBSTITUTE(SUBSTITUTE(SUBSTITUTE($BJ38," "&amp;$CR$1876&amp;" "," ")," "&amp;$CR$1874&amp;" "," ")," "&amp;$CR$2438&amp;" "," ")," "&amp;$CR$2439&amp;" "," ")," "&amp;$CR$1871&amp;" "," ")," "&amp;$CR$1875&amp;" "," ")," "&amp;$CR$1877&amp;" "," ")," "&amp;$CR$1872&amp;" "," ")," "&amp;$CR$1870&amp;" "," ")," "&amp;$CR$1367&amp;" "," ")," "&amp;$CR$1878&amp;" "," ")," "&amp;$CR$1366&amp;" "," ")," "&amp;$CR$1873&amp;" "," ")),"")</f>
        <v xml:space="preserve"> lait </v>
      </c>
      <c r="BM38" s="93" t="str">
        <f>IF(38=38,IF($U38="","",IF(SUM(BG38:BI38)+SUMPRODUCT(--ISNUMBER(SEARCH(" "&amp;$CR$2423:$CR$2424&amp;" ",$BJ38)))&gt;0,"X",IF(BK38&gt;0,"?",""))),"")</f>
        <v>X</v>
      </c>
      <c r="BN38" s="93">
        <f>IF(38=38,IF($U38="","",SUMPRODUCT(--ISNUMBER(SEARCH(" "&amp;$CR$1879:$CR$1936&amp;" ",$BO38)))),"")</f>
        <v>0</v>
      </c>
      <c r="BO38" s="93" t="str">
        <f>IF(38=38,IF($U38="","",SUBSTITUTE(SUBSTITUTE(SUBSTITUTE(SUBSTITUTE(SUBSTITUTE(SUBSTITUTE(SUBSTITUTE(SUBSTITUTE(SUBSTITUTE(SUBSTITUTE(SUBSTITUTE(SUBSTITUTE(SUBSTITUTE(SUBSTITUTE(SUBSTITUTE(SUBSTITUTE(SUBSTITUTE(SUBSTITUTE(SUBSTITUTE(SUBSTITUTE(SUBSTITUTE(SUBSTITUTE(SUBSTITUTE($AA38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lait </v>
      </c>
      <c r="BP38" s="93">
        <f>IF(38=38,IF($U38="","",SUMPRODUCT(--ISNUMBER(SEARCH(" "&amp;$CR$1960:$CR$1976&amp;" ",$BO38)))),"")</f>
        <v>0</v>
      </c>
      <c r="BQ38" s="93" t="str">
        <f>IF(38=38,IF($U38="","",IF(BN38&gt;0,"X",IF(BP38&gt;0,"?",""))),"")</f>
        <v/>
      </c>
      <c r="BR38" s="93">
        <f>IF(38=38,IF($U38="","",SUMPRODUCT(--ISNUMBER(SEARCH(" "&amp;$CR$1977:$CR$1990&amp;" ",$AA38)))),"")</f>
        <v>0</v>
      </c>
      <c r="BS38" s="93">
        <f>IF(38=38,IF($U38="","",SUMPRODUCT(--ISNUMBER(SEARCH(" "&amp;$CR$1991:$CR$2005&amp;" ",$AA38)))),"")</f>
        <v>0</v>
      </c>
      <c r="BT38" s="93" t="str">
        <f>IF(38=38,IF($U38="","",IF((BR38)-(0)&gt;0,"X",IF((BS38)-(0)&gt;0,"?",""))),"")</f>
        <v/>
      </c>
      <c r="BU38" s="93">
        <f>IF(38=38,IF($U38="","",SUMPRODUCT(--ISNUMBER(SEARCH(" "&amp;$CR$2006:$CR$2023&amp;" ",$AA38)))),"")</f>
        <v>0</v>
      </c>
      <c r="BV38" s="93">
        <f>IF(38=38,IF($U38="","",SUMPRODUCT(--ISNUMBER(SEARCH(" "&amp;$CR$2024:$CR$2038&amp;" ",$AA38)))),"")</f>
        <v>0</v>
      </c>
      <c r="BW38" s="93" t="str">
        <f>IF(38=38,IF($U38="","",IF((BU38)-(0)&gt;0,"X",IF((BV38)-(0)&gt;0,"?",""))),"")</f>
        <v/>
      </c>
      <c r="BX38" s="93">
        <f>IF(38=38,IF($U38="","",SUMPRODUCT(--ISNUMBER(SEARCH(" "&amp;$CR$2039:$CR$2057&amp;" ",$AA38)))),"")</f>
        <v>0</v>
      </c>
      <c r="BY38" s="93">
        <f>IF(38=38,IF($U38="","",SUMPRODUCT(--ISNUMBER(SEARCH(" "&amp;$CR$2058:$CR$2072&amp;" ",$AA38)))),"")</f>
        <v>0</v>
      </c>
      <c r="BZ38" s="93" t="str">
        <f>IF(38=38,IF($U38="","",IF((BX38)-(0)&gt;0,"X",IF((BY38)-(0)&gt;0,"?",""))),"")</f>
        <v/>
      </c>
      <c r="CA38" s="93">
        <f>IF(38=38,IF($U38="","",SUMPRODUCT(--ISNUMBER(SEARCH(" "&amp;$CR$2073:$CR$2093&amp;" ",$AA38)))),"")</f>
        <v>0</v>
      </c>
      <c r="CB38" s="93">
        <f>IF(38=38,IF($U38="","",SUMPRODUCT(--ISNUMBER(SEARCH(" "&amp;$CR$2094:$CR$2133&amp;" ",SUBSTITUTE(SUBSTITUTE($AA38," "&amp;$CR$1367&amp;" "," ")," "&amp;$CR$1366&amp;" "," "))))+--ISNUMBER(SEARCH("poiré",$V38))),"")</f>
        <v>0</v>
      </c>
      <c r="CC38" s="93" t="str">
        <f>IF(38=38,IF($U38="","",IF(OR(CA38&gt;0,ISNUMBER(SEARCH(" vinaigre de vin ",$AA38)),ISNUMBER(SEARCH(" vinaigre au vin ",$AA38))),"X",IF(CB38&gt;0,"?",""))),"")</f>
        <v/>
      </c>
      <c r="CD38" s="93">
        <f>IF(38=38,IF($U38="","",SUMPRODUCT(--ISNUMBER(SEARCH(" "&amp;$CR$2134:$CR$2146&amp;" ",$AA38)))),"")</f>
        <v>0</v>
      </c>
      <c r="CE38" s="93">
        <f>IF(38=38,IF($U38="","",SUMPRODUCT(--ISNUMBER(SEARCH(" "&amp;$CR$2147:$CR$2152&amp;" ",$AA38)))),"")</f>
        <v>0</v>
      </c>
      <c r="CF38" s="93" t="str">
        <f>IF(38=38,IF($U38="","",IF((CD38)-(0)&gt;0,"X",IF((CE38)-(0)&gt;0,"?",""))),"")</f>
        <v/>
      </c>
      <c r="CG38" s="93">
        <f>IF(38=38,IF($U38="","",SUMPRODUCT(--ISNUMBER(SEARCH(" "&amp;$CR$2153:$CR$2252&amp;" ",$CJ38)))),"")</f>
        <v>0</v>
      </c>
      <c r="CH38" s="93">
        <f>IF(38=38,IF($U38="","",SUMPRODUCT(--ISNUMBER(SEARCH(" "&amp;$CR$2253:$CR$2352&amp;" ",$CJ38)))),"")</f>
        <v>0</v>
      </c>
      <c r="CI38" s="93">
        <f>IF(38=38,IF($U38="","",SUMPRODUCT(--ISNUMBER(SEARCH(" "&amp;$CR$2353:$CR$2395&amp;" ",$CJ38)))),"")</f>
        <v>0</v>
      </c>
      <c r="CJ38" s="93" t="str">
        <f>IF(38=38,IF($U38="","",SUBSTITUTE(SUBSTITUTE(SUBSTITUTE(SUBSTITUTE(SUBSTITUTE(SUBSTITUTE(SUBSTITUTE(SUBSTITUTE(SUBSTITUTE(SUBSTITUTE(SUBSTITUTE(SUBSTITUTE(SUBSTITUTE(SUBSTITUTE(SUBSTITUTE(SUBSTITUTE($AA38," "&amp;$CR$2401&amp;" "," ")," "&amp;$CR$2400&amp;" "," ")," "&amp;$CR$2399&amp;" "," ")," "&amp;$CR$2406&amp;" "," ")," "&amp;$CR$2398&amp;" "," ")," "&amp;$CR$2410&amp;" "," ")," "&amp;$CR$2397&amp;" "," ")," "&amp;$CR$2402&amp;" "," ")," "&amp;$CR$2405&amp;" "," ")," "&amp;$CR$2396&amp;" "," ")," "&amp;$CR$2404&amp;" "," ")," "&amp;$CR$2411&amp;" "," ")," "&amp;$CR$2408&amp;" "," ")," "&amp;$CR$2403&amp;" "," ")," "&amp;$CR$2407&amp;" "," ")," "&amp;$CR$2409&amp;" "," ")),"")</f>
        <v xml:space="preserve"> lait </v>
      </c>
      <c r="CK38" s="93">
        <f>IF(38=38,IF($U38="","",SUMPRODUCT(--ISNUMBER(SEARCH(" "&amp;$CR$2412:$CR$2416&amp;" ",$CJ38)))),"")</f>
        <v>0</v>
      </c>
      <c r="CL38" s="93" t="str">
        <f>IF(38=38,IF($U38="","",IF(SUM(CG38:CI38)&gt;0,"X",IF(CK38&gt;0,"?",""))),"")</f>
        <v/>
      </c>
      <c r="CM38" s="102"/>
      <c r="CN38" s="112" t="s">
        <v>692</v>
      </c>
      <c r="CO38" s="112" t="s">
        <v>522</v>
      </c>
      <c r="CP38" s="112" t="s">
        <v>523</v>
      </c>
      <c r="CQ38" s="112" t="s">
        <v>693</v>
      </c>
      <c r="CR38" s="112" t="s">
        <v>693</v>
      </c>
      <c r="CS38" s="112" t="s">
        <v>525</v>
      </c>
      <c r="CT38" s="112" t="s">
        <v>526</v>
      </c>
      <c r="CU38" s="112" t="s">
        <v>527</v>
      </c>
      <c r="CV38" s="113" t="s">
        <v>528</v>
      </c>
      <c r="CX38" s="36">
        <v>1</v>
      </c>
    </row>
    <row r="39" spans="1:102" ht="21" customHeight="1" x14ac:dyDescent="0.25">
      <c r="A39" s="135">
        <v>33</v>
      </c>
      <c r="B39" s="136" t="s">
        <v>5872</v>
      </c>
      <c r="C39" s="137" t="str">
        <f t="shared" si="0"/>
        <v>Laurier ou bois d’Inde</v>
      </c>
      <c r="D39" s="138" t="str">
        <f>IF(39=39,IF($B39="","",IF(E39="X",""&amp;"Céréales contenant du gluten","")&amp;IF(F39="X",IF(COUNTIF($E39:$E39,"X")&gt;0,", ","")&amp;"Crustacés","")&amp;IF(G39="X",IF(COUNTIF($E39:$F39,"X")&gt;0,", ","")&amp;"Œufs","")&amp;IF(H39="X",IF(COUNTIF($E39:$G39,"X")&gt;0,", ","")&amp;"Poissons","")&amp;IF(I39="X",IF(COUNTIF($E39:$H39,"X")&gt;0,", ","")&amp;"Arachides","")&amp;IF(J39="X",IF(COUNTIF($E39:$I39,"X")&gt;0,", ","")&amp;"Soja","")&amp;IF(K39="X",IF(COUNTIF($E39:$J39,"X")&gt;0,", ","")&amp;"Lait","")&amp;IF(L39="X",IF(COUNTIF($E39:$K39,"X")&gt;0,", ","")&amp;"Fruits à coque","")&amp;IF(M39="X",IF(COUNTIF($E39:$L39,"X")&gt;0,", ","")&amp;"Céleri","")&amp;IF(N39="X",IF(COUNTIF($E39:$M39,"X")&gt;0,", ","")&amp;"Moutarde","")&amp;IF(O39="X",IF(COUNTIF($E39:$N39,"X")&gt;0,", ","")&amp;"Sésame","")&amp;IF(P39="X",IF(COUNTIF($E39:$O39,"X")&gt;0,", ","")&amp;"Sulfites","")&amp;IF(Q39="X",IF(COUNTIF($E39:$P39,"X")&gt;0,", ","")&amp;"Lupin","")&amp;IF(R39="X",IF(COUNTIF($E39:$Q39,"X")&gt;0,", ","")&amp;"Mollusques","")),"")</f>
        <v/>
      </c>
      <c r="E39" s="139" t="str">
        <f>IF(39=39,IF($B39="","",AF39),"")</f>
        <v/>
      </c>
      <c r="F39" s="139" t="str">
        <f>IF(39=39,IF($B39="","",AI39),"")</f>
        <v/>
      </c>
      <c r="G39" s="139" t="str">
        <f>IF(39=39,IF($B39="","",AM39),"")</f>
        <v/>
      </c>
      <c r="H39" s="139" t="str">
        <f>IF(39=39,IF($B39="","",IF(ISNUMBER(SEARCH(" colin ",$AA39)),"X",AZ39)),"")</f>
        <v/>
      </c>
      <c r="I39" s="139" t="str">
        <f>IF(39=39,IF($B39="","",BB39),"")</f>
        <v/>
      </c>
      <c r="J39" s="139" t="str">
        <f>IF(39=39,IF($B39="","",BF39),"")</f>
        <v/>
      </c>
      <c r="K39" s="139" t="str">
        <f>IF(39=39,IF($B39="","",BM39),"")</f>
        <v/>
      </c>
      <c r="L39" s="139" t="str">
        <f>IF(39=39,IF($B39="","",BQ39),"")</f>
        <v/>
      </c>
      <c r="M39" s="139" t="str">
        <f>IF(39=39,IF($B39="","",BT39),"")</f>
        <v/>
      </c>
      <c r="N39" s="139" t="str">
        <f>IF(39=39,IF($B39="","",BW39),"")</f>
        <v/>
      </c>
      <c r="O39" s="139" t="str">
        <f>IF(39=39,IF($B39="","",BZ39),"")</f>
        <v/>
      </c>
      <c r="P39" s="139" t="str">
        <f>IF(39=39,IF($B39="","",CC39),"")</f>
        <v/>
      </c>
      <c r="Q39" s="139" t="str">
        <f>IF(39=39,IF($B39="","",CF39),"")</f>
        <v/>
      </c>
      <c r="R39" s="139" t="str">
        <f>IF(39=39,IF($B39="","",CL39),"")</f>
        <v/>
      </c>
      <c r="S39" s="140" t="str">
        <f>IF(39=39,IF($B39="","",IF(E39="?",""&amp;"Céréales contenant du gluten","")&amp;IF(F39="?",IF(COUNTIF($E39:$E39,"~?")&gt;0,", ","")&amp;"Crustacés","")&amp;IF(G39="?",IF(COUNTIF($E39:$F39,"~?")&gt;0,", ","")&amp;"Œufs","")&amp;IF(H39="?",IF(COUNTIF($E39:$G39,"~?")&gt;0,", ","")&amp;"Poissons","")&amp;IF(I39="?",IF(COUNTIF($E39:$H39,"~?")&gt;0,", ","")&amp;"Arachides","")&amp;IF(J39="?",IF(COUNTIF($E39:$I39,"~?")&gt;0,", ","")&amp;"Soja","")&amp;IF(K39="?",IF(COUNTIF($E39:$J39,"~?")&gt;0,", ","")&amp;"Lait","")&amp;IF(L39="?",IF(COUNTIF($E39:$K39,"~?")&gt;0,", ","")&amp;"Fruits à coque","")&amp;IF(M39="?",IF(COUNTIF($E39:$L39,"~?")&gt;0,", ","")&amp;"Céleri","")&amp;IF(N39="?",IF(COUNTIF($E39:$M39,"~?")&gt;0,", ","")&amp;"Moutarde","")&amp;IF(O39="?",IF(COUNTIF($E39:$N39,"~?")&gt;0,", ","")&amp;"Sésame","")&amp;IF(P39="?",IF(COUNTIF($E39:$O39,"~?")&gt;0,", ","")&amp;"Sulfites","")&amp;IF(Q39="?",IF(COUNTIF($E39:$P39,"~?")&gt;0,", ","")&amp;"Lupin","")&amp;IF(R39="?",IF(COUNTIF($E39:$Q39,"~?")&gt;0,", ","")&amp;"Mollusques","")),"")</f>
        <v/>
      </c>
      <c r="U39" s="93" t="str">
        <f>IF(39=39,IF($B39="","",$B39),"")</f>
        <v>Laurier ou bois d’Inde</v>
      </c>
      <c r="V39" s="93" t="str">
        <f>IF(39=39,LOWER(CLEAN(SUBSTITUTE(SUBSTITUTE(SUBSTITUTE(SUBSTITUTE($U39,CHAR(160)," ")," "," "),CHAR(10)," "),CHAR(13)," "))),"")</f>
        <v>laurier ou bois d’inde</v>
      </c>
      <c r="W39" s="93" t="str">
        <f>IF(39=39,SUBSTITUTE(SUBSTITUTE(SUBSTITUTE(SUBSTITUTE(SUBSTITUTE(SUBSTITUTE(SUBSTITUTE(SUBSTITUTE(SUBSTITUTE(SUBSTITUTE(SUBSTITUTE(SUBSTITUTE($V39,"œ","oe"),"æ","ae"),"à","a"),"á","a"),"â","a"),"ä","a"),"ã","a"),"ç","c"),"è","e"),"é","e"),"ê","e"),"ë","e"),"")</f>
        <v>laurier ou bois d’inde</v>
      </c>
      <c r="X39" s="93" t="str">
        <f>IF(39=39,SUBSTITUTE(SUBSTITUTE(SUBSTITUTE(SUBSTITUTE(SUBSTITUTE(SUBSTITUTE(SUBSTITUTE(SUBSTITUTE(SUBSTITUTE(SUBSTITUTE(SUBSTITUTE(SUBSTITUTE(SUBSTITUTE(SUBSTITUTE(SUBSTITUTE(SUBSTITUTE($W39,"ì","i"),"í","i"),"î","i"),"ï","i"),"ñ","n"),"ò","o"),"ó","o"),"ô","o"),"ö","o"),"õ","o"),"ù","u"),"ú","u"),"û","u"),"ü","u"),"ý","y"),"ÿ","y"),"")</f>
        <v>laurier ou bois d’inde</v>
      </c>
      <c r="Y39" s="93" t="str">
        <f>IF(39=39,SUBSTITUTE(SUBSTITUTE(SUBSTITUTE(SUBSTITUTE(SUBSTITUTE(SUBSTITUTE(SUBSTITUTE(SUBSTITUTE(SUBSTITUTE(SUBSTITUTE(SUBSTITUTE(SUBSTITUTE(SUBSTITUTE(SUBSTITUTE($X39,"’"," "),"`"," "),"–"," "),"—"," "),"-"," "),"'"," "),"/"," "),"_"," "),","," "),"."," "),"("," "),")"," "),";"," "),":"," "),"")</f>
        <v>laurier ou bois d inde</v>
      </c>
      <c r="Z39" s="93" t="str">
        <f>IF(39=39,SUBSTITUTE(SUBSTITUTE(SUBSTITUTE(SUBSTITUTE(SUBSTITUTE(SUBSTITUTE(SUBSTITUTE(SUBSTITUTE(SUBSTITUTE(SUBSTITUTE(SUBSTITUTE(SUBSTITUTE(SUBSTITUTE(SUBSTITUTE(SUBSTITUTE($Y39,"!"," "),"?"," "),"+"," "),"*"," "),"&amp;"," "),"["," "),"]"," "),"{"," "),"}"," "),"%"," "),"="," "),"\"," "),"|"," "),"&lt;"," "),"&gt;"," "),"")</f>
        <v>laurier ou bois d inde</v>
      </c>
      <c r="AA39" s="93" t="str">
        <f>IF(39=39," "&amp;TRIM(SUBSTITUTE(SUBSTITUTE(SUBSTITUTE(SUBSTITUTE(SUBSTITUTE(SUBSTITUTE($Z39,CHAR(34)," "),"  "," "),"  "," "),"  "," "),"  "," "),"  "," "))&amp;" ","")</f>
        <v xml:space="preserve"> laurier ou bois d inde </v>
      </c>
      <c r="AB39" s="93">
        <f>IF(39=39,IF($U39="","",SUMPRODUCT(--ISNUMBER(SEARCH(" "&amp;$CR$2:$CR$101&amp;" ",$AD39)))),"")</f>
        <v>0</v>
      </c>
      <c r="AC39" s="93">
        <f>IF(39=39,IF($U39="","",SUMPRODUCT(--ISNUMBER(SEARCH(" "&amp;$CR$102:$CR$151&amp;" ",$AD39)))),"")</f>
        <v>0</v>
      </c>
      <c r="AD39" s="93" t="str">
        <f t="shared" si="1"/>
        <v xml:space="preserve"> laurier ou bois d inde </v>
      </c>
      <c r="AE39" s="93">
        <f t="shared" si="2"/>
        <v>0</v>
      </c>
      <c r="AF39" s="93" t="str">
        <f>IF(39=39,IF($U39="","",IF(SUM(AB39:AC39)+SUMPRODUCT(--ISNUMBER(SEARCH(" "&amp;$CR$2418:$CR$2420&amp;" ",$AD39)))&gt;0,"X",IF(AE39&gt;0,"?",""))),"")</f>
        <v/>
      </c>
      <c r="AG39" s="93">
        <f>IF(39=39,IF($U39="","",SUMPRODUCT(--ISNUMBER(SEARCH(" "&amp;$CR$206:$CR$305&amp;" ",$AA39)))),"")</f>
        <v>0</v>
      </c>
      <c r="AH39" s="93">
        <f>IF(39=39,IF($U39="","",SUMPRODUCT(--ISNUMBER(SEARCH(" "&amp;$CR$306:$CR$340&amp;" ",$AA39)))),"")</f>
        <v>0</v>
      </c>
      <c r="AI39" s="93" t="str">
        <f>IF(39=39,IF($U39="","",IF((SUM(AG39:AH39))-(0)&gt;0,"X",IF((0)-(0)&gt;0,"?",""))),"")</f>
        <v/>
      </c>
      <c r="AJ39" s="93">
        <f>IF(39=39,IF($U39="","",SUMPRODUCT(--ISNUMBER(SEARCH(" "&amp;$CR$341:$CR$398&amp;" ",$AA39)))),"")</f>
        <v>0</v>
      </c>
      <c r="AK39" s="93">
        <f>IF(39=39,IF($U39="","",SUMPRODUCT(--ISNUMBER(SEARCH(" "&amp;$CR$399:$CR$426&amp;" ",$AL39)))+SUMPRODUCT(--ISNUMBER(SEARCH(" "&amp;$CR$2440:$CR$2453&amp;" ",$AL39)))),"")</f>
        <v>0</v>
      </c>
      <c r="AL39" s="93" t="str">
        <f>IF(39=39,IF($U39="","",SUBSTITUTE(SUBSTITUTE(SUBSTITUTE(SUBSTITUTE(SUBSTITUTE(SUBSTITUTE(SUBSTITUTE(SUBSTITUTE(SUBSTITUTE(SUBSTITUTE(SUBSTITUTE(SUBSTITUTE(SUBSTITUTE(SUBSTITUTE($AA39," "&amp;$CR$2455&amp;" "," ")," "&amp;$CR$433&amp;" "," ")," "&amp;$CR$431&amp;" "," ")," "&amp;$CR$2438&amp;" "," ")," "&amp;$CR$2439&amp;" "," ")," "&amp;$CR$428&amp;" "," ")," "&amp;$CR$432&amp;" "," ")," "&amp;$CR$434&amp;" "," ")," "&amp;$CR$429&amp;" "," ")," "&amp;$CR$427&amp;" "," ")," "&amp;$CR$1367&amp;" "," ")," "&amp;$CR$435&amp;" "," ")," "&amp;$CR$1366&amp;" "," ")," "&amp;$CR$430&amp;" "," ")),"")</f>
        <v xml:space="preserve"> laurier ou bois d inde </v>
      </c>
      <c r="AM39" s="93" t="str">
        <f>IF(39=39,IF($U39="","",IF(AJ39&gt;0,"X",IF(AK39&gt;0,"?",""))),"")</f>
        <v/>
      </c>
      <c r="AN39" s="93">
        <f>IF(39=39,IF($U39="","",SUMPRODUCT(--ISNUMBER(SEARCH(" "&amp;$CR$436:$CR$535&amp;" ",$AX39)))),"")</f>
        <v>0</v>
      </c>
      <c r="AO39" s="93">
        <f>IF(39=39,IF($U39="","",SUMPRODUCT(--ISNUMBER(SEARCH(" "&amp;$CR$536:$CR$635&amp;" ",$AX39)))),"")</f>
        <v>0</v>
      </c>
      <c r="AP39" s="93">
        <f>IF(39=39,IF($U39="","",SUMPRODUCT(--ISNUMBER(SEARCH(" "&amp;$CR$636:$CR$735&amp;" ",$AX39)))),"")</f>
        <v>0</v>
      </c>
      <c r="AQ39" s="93">
        <f>IF(39=39,IF($U39="","",SUMPRODUCT(--ISNUMBER(SEARCH(" "&amp;$CR$736:$CR$835&amp;" ",$AX39)))),"")</f>
        <v>0</v>
      </c>
      <c r="AR39" s="93">
        <f>IF(39=39,IF($U39="","",SUMPRODUCT(--ISNUMBER(SEARCH(" "&amp;$CR$836:$CR$935&amp;" ",$AX39)))),"")</f>
        <v>0</v>
      </c>
      <c r="AS39" s="93">
        <f>IF(39=39,IF($U39="","",SUMPRODUCT(--ISNUMBER(SEARCH(" "&amp;$CR$936:$CR$1035&amp;" ",$AX39)))),"")</f>
        <v>0</v>
      </c>
      <c r="AT39" s="93">
        <f>IF(39=39,IF($U39="","",SUMPRODUCT(--ISNUMBER(SEARCH(" "&amp;$CR$1036:$CR$1135&amp;" ",$AX39)))),"")</f>
        <v>0</v>
      </c>
      <c r="AU39" s="93">
        <f>IF(39=39,IF($U39="","",SUMPRODUCT(--ISNUMBER(SEARCH(" "&amp;$CR$1136:$CR$1235&amp;" ",$AX39)))),"")</f>
        <v>0</v>
      </c>
      <c r="AV39" s="93">
        <f>IF(39=39,IF($U39="","",SUMPRODUCT(--ISNUMBER(SEARCH(" "&amp;$CR$1236:$CR$1335&amp;" ",$AX39)))),"")</f>
        <v>0</v>
      </c>
      <c r="AW39" s="93">
        <f>IF(39=39,IF($U39="","",SUMPRODUCT(--ISNUMBER(SEARCH(" "&amp;$CR$1336:$CR$1363&amp;" ",$AX39)))),"")</f>
        <v>0</v>
      </c>
      <c r="AX39" s="93" t="str">
        <f>IF(39=39,IF($U39="","",SUBSTITUTE(SUBSTITUTE(SUBSTITUTE(SUBSTITUTE(SUBSTITUTE(SUBSTITUTE(SUBSTITUTE(SUBSTITUTE(SUBSTITUTE($AA39," "&amp;$CR$1365&amp;" "," ")," "&amp;$CR$1364&amp;" "," ")," "&amp;$CR$1370&amp;" "," ")," "&amp;$CR$1371&amp;" "," ")," "&amp;$CR$1367&amp;" "," ")," "&amp;$CR$1369&amp;" "," ")," "&amp;$CR$1366&amp;" "," ")," "&amp;$CR$1368&amp;" "," ")," "&amp;$CR$1372&amp;" "," ")),"")</f>
        <v xml:space="preserve"> laurier ou bois d inde </v>
      </c>
      <c r="AY39" s="93">
        <f>IF(39=39,IF($U39="","",SUMPRODUCT(--ISNUMBER(SEARCH(" "&amp;$CR$1373:$CR$1383&amp;" ",$AX39)))),"")</f>
        <v>0</v>
      </c>
      <c r="AZ39" s="93" t="str">
        <f>IF(39=39,IF($U39="","",IF(SUM(AN39:AW39)+SUMPRODUCT(--ISNUMBER(SEARCH(" "&amp;$CR$2421:$CR$2422&amp;" ",$AX39)))&gt;0,"X",IF(AY39&gt;0,"?",""))),"")</f>
        <v/>
      </c>
      <c r="BA39" s="93">
        <f>IF(39=39,IF($U39="","",SUMPRODUCT(--ISNUMBER(SEARCH(" "&amp;$CR$1384:$CR$1404&amp;" ",$AA39)))),"")</f>
        <v>0</v>
      </c>
      <c r="BB39" s="93" t="str">
        <f>IF(39=39,IF($U39="","",IF((BA39)-(0)&gt;0,"X",IF((0)-(0)&gt;0,"?",""))),"")</f>
        <v/>
      </c>
      <c r="BC39" s="93">
        <f>IF(39=39,IF($U39="","",SUMPRODUCT(--ISNUMBER(SEARCH(" "&amp;$CR$1405:$CR$1442&amp;" ",$BD39)))),"")</f>
        <v>0</v>
      </c>
      <c r="BD39" s="93" t="str">
        <f>IF(39=39,IF($U39="","",SUBSTITUTE(SUBSTITUTE($AA39," "&amp;$CR$1443&amp;" "," ")," "&amp;$CR$1444&amp;" "," ")),"")</f>
        <v xml:space="preserve"> laurier ou bois d inde </v>
      </c>
      <c r="BE39" s="93">
        <f>IF(39=39,IF($U39="","",SUMPRODUCT(--ISNUMBER(SEARCH(" "&amp;$CR$1445:$CR$1455&amp;" ",$BD39)))),"")</f>
        <v>0</v>
      </c>
      <c r="BF39" s="93" t="str">
        <f>IF(39=39,IF($U39="","",IF(BC39&gt;0,"X",IF(BE39&gt;0,"?",""))),"")</f>
        <v/>
      </c>
      <c r="BG39" s="93">
        <f>IF(39=39,IF($U39="","",SUMPRODUCT(--ISNUMBER(SEARCH(" "&amp;$CR$1456:$CR$1555&amp;" ",$BJ39)))),"")</f>
        <v>0</v>
      </c>
      <c r="BH39" s="93">
        <f>IF(39=39,IF($U39="","",SUMPRODUCT(--ISNUMBER(SEARCH(" "&amp;$CR$1556:$CR$1655&amp;" ",$BJ39)))),"")</f>
        <v>0</v>
      </c>
      <c r="BI39" s="93">
        <f>IF(39=39,IF($U39="","",SUMPRODUCT(--ISNUMBER(SEARCH(" "&amp;$CR$1656:$CR$1739&amp;" ",$BJ39)))),"")</f>
        <v>0</v>
      </c>
      <c r="BJ39" s="93" t="str">
        <f>IF(39=39,IF($U39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39,"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laurier ou bois d inde </v>
      </c>
      <c r="BK39" s="93">
        <f>IF(39=39,IF($U39="","",SUMPRODUCT(--ISNUMBER(SEARCH(" "&amp;$CR$1790:$CR$1869&amp;" ",$BL39)))+SUMPRODUCT(--ISNUMBER(SEARCH(" "&amp;$CR$2440:$CR$2453&amp;" ",$BL39)))),"")</f>
        <v>0</v>
      </c>
      <c r="BL39" s="93" t="str">
        <f>IF(39=39,IF($U39="","",SUBSTITUTE(SUBSTITUTE(SUBSTITUTE(SUBSTITUTE(SUBSTITUTE(SUBSTITUTE(SUBSTITUTE(SUBSTITUTE(SUBSTITUTE(SUBSTITUTE(SUBSTITUTE(SUBSTITUTE(SUBSTITUTE($BJ39," "&amp;$CR$1876&amp;" "," ")," "&amp;$CR$1874&amp;" "," ")," "&amp;$CR$2438&amp;" "," ")," "&amp;$CR$2439&amp;" "," ")," "&amp;$CR$1871&amp;" "," ")," "&amp;$CR$1875&amp;" "," ")," "&amp;$CR$1877&amp;" "," ")," "&amp;$CR$1872&amp;" "," ")," "&amp;$CR$1870&amp;" "," ")," "&amp;$CR$1367&amp;" "," ")," "&amp;$CR$1878&amp;" "," ")," "&amp;$CR$1366&amp;" "," ")," "&amp;$CR$1873&amp;" "," ")),"")</f>
        <v xml:space="preserve"> laurier ou bois d inde </v>
      </c>
      <c r="BM39" s="93" t="str">
        <f>IF(39=39,IF($U39="","",IF(SUM(BG39:BI39)+SUMPRODUCT(--ISNUMBER(SEARCH(" "&amp;$CR$2423:$CR$2424&amp;" ",$BJ39)))&gt;0,"X",IF(BK39&gt;0,"?",""))),"")</f>
        <v/>
      </c>
      <c r="BN39" s="93">
        <f>IF(39=39,IF($U39="","",SUMPRODUCT(--ISNUMBER(SEARCH(" "&amp;$CR$1879:$CR$1936&amp;" ",$BO39)))),"")</f>
        <v>0</v>
      </c>
      <c r="BO39" s="93" t="str">
        <f>IF(39=39,IF($U39="","",SUBSTITUTE(SUBSTITUTE(SUBSTITUTE(SUBSTITUTE(SUBSTITUTE(SUBSTITUTE(SUBSTITUTE(SUBSTITUTE(SUBSTITUTE(SUBSTITUTE(SUBSTITUTE(SUBSTITUTE(SUBSTITUTE(SUBSTITUTE(SUBSTITUTE(SUBSTITUTE(SUBSTITUTE(SUBSTITUTE(SUBSTITUTE(SUBSTITUTE(SUBSTITUTE(SUBSTITUTE(SUBSTITUTE($AA39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laurier ou bois d inde </v>
      </c>
      <c r="BP39" s="93">
        <f>IF(39=39,IF($U39="","",SUMPRODUCT(--ISNUMBER(SEARCH(" "&amp;$CR$1960:$CR$1976&amp;" ",$BO39)))),"")</f>
        <v>0</v>
      </c>
      <c r="BQ39" s="93" t="str">
        <f>IF(39=39,IF($U39="","",IF(BN39&gt;0,"X",IF(BP39&gt;0,"?",""))),"")</f>
        <v/>
      </c>
      <c r="BR39" s="93">
        <f>IF(39=39,IF($U39="","",SUMPRODUCT(--ISNUMBER(SEARCH(" "&amp;$CR$1977:$CR$1990&amp;" ",$AA39)))),"")</f>
        <v>0</v>
      </c>
      <c r="BS39" s="93">
        <f>IF(39=39,IF($U39="","",SUMPRODUCT(--ISNUMBER(SEARCH(" "&amp;$CR$1991:$CR$2005&amp;" ",$AA39)))),"")</f>
        <v>0</v>
      </c>
      <c r="BT39" s="93" t="str">
        <f>IF(39=39,IF($U39="","",IF((BR39)-(0)&gt;0,"X",IF((BS39)-(0)&gt;0,"?",""))),"")</f>
        <v/>
      </c>
      <c r="BU39" s="93">
        <f>IF(39=39,IF($U39="","",SUMPRODUCT(--ISNUMBER(SEARCH(" "&amp;$CR$2006:$CR$2023&amp;" ",$AA39)))),"")</f>
        <v>0</v>
      </c>
      <c r="BV39" s="93">
        <f>IF(39=39,IF($U39="","",SUMPRODUCT(--ISNUMBER(SEARCH(" "&amp;$CR$2024:$CR$2038&amp;" ",$AA39)))),"")</f>
        <v>0</v>
      </c>
      <c r="BW39" s="93" t="str">
        <f>IF(39=39,IF($U39="","",IF((BU39)-(0)&gt;0,"X",IF((BV39)-(0)&gt;0,"?",""))),"")</f>
        <v/>
      </c>
      <c r="BX39" s="93">
        <f>IF(39=39,IF($U39="","",SUMPRODUCT(--ISNUMBER(SEARCH(" "&amp;$CR$2039:$CR$2057&amp;" ",$AA39)))),"")</f>
        <v>0</v>
      </c>
      <c r="BY39" s="93">
        <f>IF(39=39,IF($U39="","",SUMPRODUCT(--ISNUMBER(SEARCH(" "&amp;$CR$2058:$CR$2072&amp;" ",$AA39)))),"")</f>
        <v>0</v>
      </c>
      <c r="BZ39" s="93" t="str">
        <f>IF(39=39,IF($U39="","",IF((BX39)-(0)&gt;0,"X",IF((BY39)-(0)&gt;0,"?",""))),"")</f>
        <v/>
      </c>
      <c r="CA39" s="93">
        <f>IF(39=39,IF($U39="","",SUMPRODUCT(--ISNUMBER(SEARCH(" "&amp;$CR$2073:$CR$2093&amp;" ",$AA39)))),"")</f>
        <v>0</v>
      </c>
      <c r="CB39" s="93">
        <f>IF(39=39,IF($U39="","",SUMPRODUCT(--ISNUMBER(SEARCH(" "&amp;$CR$2094:$CR$2133&amp;" ",SUBSTITUTE(SUBSTITUTE($AA39," "&amp;$CR$1367&amp;" "," ")," "&amp;$CR$1366&amp;" "," "))))+--ISNUMBER(SEARCH("poiré",$V39))),"")</f>
        <v>0</v>
      </c>
      <c r="CC39" s="93" t="str">
        <f>IF(39=39,IF($U39="","",IF(OR(CA39&gt;0,ISNUMBER(SEARCH(" vinaigre de vin ",$AA39)),ISNUMBER(SEARCH(" vinaigre au vin ",$AA39))),"X",IF(CB39&gt;0,"?",""))),"")</f>
        <v/>
      </c>
      <c r="CD39" s="93">
        <f>IF(39=39,IF($U39="","",SUMPRODUCT(--ISNUMBER(SEARCH(" "&amp;$CR$2134:$CR$2146&amp;" ",$AA39)))),"")</f>
        <v>0</v>
      </c>
      <c r="CE39" s="93">
        <f>IF(39=39,IF($U39="","",SUMPRODUCT(--ISNUMBER(SEARCH(" "&amp;$CR$2147:$CR$2152&amp;" ",$AA39)))),"")</f>
        <v>0</v>
      </c>
      <c r="CF39" s="93" t="str">
        <f>IF(39=39,IF($U39="","",IF((CD39)-(0)&gt;0,"X",IF((CE39)-(0)&gt;0,"?",""))),"")</f>
        <v/>
      </c>
      <c r="CG39" s="93">
        <f>IF(39=39,IF($U39="","",SUMPRODUCT(--ISNUMBER(SEARCH(" "&amp;$CR$2153:$CR$2252&amp;" ",$CJ39)))),"")</f>
        <v>0</v>
      </c>
      <c r="CH39" s="93">
        <f>IF(39=39,IF($U39="","",SUMPRODUCT(--ISNUMBER(SEARCH(" "&amp;$CR$2253:$CR$2352&amp;" ",$CJ39)))),"")</f>
        <v>0</v>
      </c>
      <c r="CI39" s="93">
        <f>IF(39=39,IF($U39="","",SUMPRODUCT(--ISNUMBER(SEARCH(" "&amp;$CR$2353:$CR$2395&amp;" ",$CJ39)))),"")</f>
        <v>0</v>
      </c>
      <c r="CJ39" s="93" t="str">
        <f>IF(39=39,IF($U39="","",SUBSTITUTE(SUBSTITUTE(SUBSTITUTE(SUBSTITUTE(SUBSTITUTE(SUBSTITUTE(SUBSTITUTE(SUBSTITUTE(SUBSTITUTE(SUBSTITUTE(SUBSTITUTE(SUBSTITUTE(SUBSTITUTE(SUBSTITUTE(SUBSTITUTE(SUBSTITUTE($AA39," "&amp;$CR$2401&amp;" "," ")," "&amp;$CR$2400&amp;" "," ")," "&amp;$CR$2399&amp;" "," ")," "&amp;$CR$2406&amp;" "," ")," "&amp;$CR$2398&amp;" "," ")," "&amp;$CR$2410&amp;" "," ")," "&amp;$CR$2397&amp;" "," ")," "&amp;$CR$2402&amp;" "," ")," "&amp;$CR$2405&amp;" "," ")," "&amp;$CR$2396&amp;" "," ")," "&amp;$CR$2404&amp;" "," ")," "&amp;$CR$2411&amp;" "," ")," "&amp;$CR$2408&amp;" "," ")," "&amp;$CR$2403&amp;" "," ")," "&amp;$CR$2407&amp;" "," ")," "&amp;$CR$2409&amp;" "," ")),"")</f>
        <v xml:space="preserve"> laurier ou bois d inde </v>
      </c>
      <c r="CK39" s="93">
        <f>IF(39=39,IF($U39="","",SUMPRODUCT(--ISNUMBER(SEARCH(" "&amp;$CR$2412:$CR$2416&amp;" ",$CJ39)))),"")</f>
        <v>0</v>
      </c>
      <c r="CL39" s="93" t="str">
        <f>IF(39=39,IF($U39="","",IF(SUM(CG39:CI39)&gt;0,"X",IF(CK39&gt;0,"?",""))),"")</f>
        <v/>
      </c>
      <c r="CM39" s="102"/>
      <c r="CN39" s="112" t="s">
        <v>694</v>
      </c>
      <c r="CO39" s="112" t="s">
        <v>522</v>
      </c>
      <c r="CP39" s="112" t="s">
        <v>523</v>
      </c>
      <c r="CQ39" s="112" t="s">
        <v>695</v>
      </c>
      <c r="CR39" s="112" t="s">
        <v>696</v>
      </c>
      <c r="CS39" s="112" t="s">
        <v>525</v>
      </c>
      <c r="CT39" s="112" t="s">
        <v>526</v>
      </c>
      <c r="CU39" s="112" t="s">
        <v>527</v>
      </c>
      <c r="CV39" s="113" t="s">
        <v>528</v>
      </c>
      <c r="CX39" s="36">
        <v>1</v>
      </c>
    </row>
    <row r="40" spans="1:102" ht="21" customHeight="1" x14ac:dyDescent="0.25">
      <c r="A40" s="135">
        <v>34</v>
      </c>
      <c r="B40" s="136" t="s">
        <v>972</v>
      </c>
      <c r="C40" s="137" t="str">
        <f t="shared" si="0"/>
        <v>Margarine ?</v>
      </c>
      <c r="D40" s="138" t="str">
        <f>IF(40=40,IF($B40="","",IF(E40="X",""&amp;"Céréales contenant du gluten","")&amp;IF(F40="X",IF(COUNTIF($E40:$E40,"X")&gt;0,", ","")&amp;"Crustacés","")&amp;IF(G40="X",IF(COUNTIF($E40:$F40,"X")&gt;0,", ","")&amp;"Œufs","")&amp;IF(H40="X",IF(COUNTIF($E40:$G40,"X")&gt;0,", ","")&amp;"Poissons","")&amp;IF(I40="X",IF(COUNTIF($E40:$H40,"X")&gt;0,", ","")&amp;"Arachides","")&amp;IF(J40="X",IF(COUNTIF($E40:$I40,"X")&gt;0,", ","")&amp;"Soja","")&amp;IF(K40="X",IF(COUNTIF($E40:$J40,"X")&gt;0,", ","")&amp;"Lait","")&amp;IF(L40="X",IF(COUNTIF($E40:$K40,"X")&gt;0,", ","")&amp;"Fruits à coque","")&amp;IF(M40="X",IF(COUNTIF($E40:$L40,"X")&gt;0,", ","")&amp;"Céleri","")&amp;IF(N40="X",IF(COUNTIF($E40:$M40,"X")&gt;0,", ","")&amp;"Moutarde","")&amp;IF(O40="X",IF(COUNTIF($E40:$N40,"X")&gt;0,", ","")&amp;"Sésame","")&amp;IF(P40="X",IF(COUNTIF($E40:$O40,"X")&gt;0,", ","")&amp;"Sulfites","")&amp;IF(Q40="X",IF(COUNTIF($E40:$P40,"X")&gt;0,", ","")&amp;"Lupin","")&amp;IF(R40="X",IF(COUNTIF($E40:$Q40,"X")&gt;0,", ","")&amp;"Mollusques","")),"")</f>
        <v/>
      </c>
      <c r="E40" s="139" t="str">
        <f>IF(40=40,IF($B40="","",AF40),"")</f>
        <v/>
      </c>
      <c r="F40" s="139" t="str">
        <f>IF(40=40,IF($B40="","",AI40),"")</f>
        <v/>
      </c>
      <c r="G40" s="139" t="str">
        <f>IF(40=40,IF($B40="","",AM40),"")</f>
        <v/>
      </c>
      <c r="H40" s="139" t="str">
        <f>IF(40=40,IF($B40="","",IF(ISNUMBER(SEARCH(" colin ",$AA40)),"X",AZ40)),"")</f>
        <v/>
      </c>
      <c r="I40" s="139" t="str">
        <f>IF(40=40,IF($B40="","",BB40),"")</f>
        <v/>
      </c>
      <c r="J40" s="139" t="str">
        <f>IF(40=40,IF($B40="","",BF40),"")</f>
        <v>?</v>
      </c>
      <c r="K40" s="139" t="str">
        <f>IF(40=40,IF($B40="","",BM40),"")</f>
        <v>?</v>
      </c>
      <c r="L40" s="139" t="str">
        <f>IF(40=40,IF($B40="","",BQ40),"")</f>
        <v/>
      </c>
      <c r="M40" s="139" t="str">
        <f>IF(40=40,IF($B40="","",BT40),"")</f>
        <v/>
      </c>
      <c r="N40" s="139" t="str">
        <f>IF(40=40,IF($B40="","",BW40),"")</f>
        <v/>
      </c>
      <c r="O40" s="139" t="str">
        <f>IF(40=40,IF($B40="","",BZ40),"")</f>
        <v/>
      </c>
      <c r="P40" s="139" t="str">
        <f>IF(40=40,IF($B40="","",CC40),"")</f>
        <v/>
      </c>
      <c r="Q40" s="139" t="str">
        <f>IF(40=40,IF($B40="","",CF40),"")</f>
        <v/>
      </c>
      <c r="R40" s="139" t="str">
        <f>IF(40=40,IF($B40="","",CL40),"")</f>
        <v/>
      </c>
      <c r="S40" s="140" t="str">
        <f>IF(40=40,IF($B40="","",IF(E40="?",""&amp;"Céréales contenant du gluten","")&amp;IF(F40="?",IF(COUNTIF($E40:$E40,"~?")&gt;0,", ","")&amp;"Crustacés","")&amp;IF(G40="?",IF(COUNTIF($E40:$F40,"~?")&gt;0,", ","")&amp;"Œufs","")&amp;IF(H40="?",IF(COUNTIF($E40:$G40,"~?")&gt;0,", ","")&amp;"Poissons","")&amp;IF(I40="?",IF(COUNTIF($E40:$H40,"~?")&gt;0,", ","")&amp;"Arachides","")&amp;IF(J40="?",IF(COUNTIF($E40:$I40,"~?")&gt;0,", ","")&amp;"Soja","")&amp;IF(K40="?",IF(COUNTIF($E40:$J40,"~?")&gt;0,", ","")&amp;"Lait","")&amp;IF(L40="?",IF(COUNTIF($E40:$K40,"~?")&gt;0,", ","")&amp;"Fruits à coque","")&amp;IF(M40="?",IF(COUNTIF($E40:$L40,"~?")&gt;0,", ","")&amp;"Céleri","")&amp;IF(N40="?",IF(COUNTIF($E40:$M40,"~?")&gt;0,", ","")&amp;"Moutarde","")&amp;IF(O40="?",IF(COUNTIF($E40:$N40,"~?")&gt;0,", ","")&amp;"Sésame","")&amp;IF(P40="?",IF(COUNTIF($E40:$O40,"~?")&gt;0,", ","")&amp;"Sulfites","")&amp;IF(Q40="?",IF(COUNTIF($E40:$P40,"~?")&gt;0,", ","")&amp;"Lupin","")&amp;IF(R40="?",IF(COUNTIF($E40:$Q40,"~?")&gt;0,", ","")&amp;"Mollusques","")),"")</f>
        <v>Soja, Lait</v>
      </c>
      <c r="U40" s="93" t="str">
        <f>IF(40=40,IF($B40="","",$B40),"")</f>
        <v>Margarine</v>
      </c>
      <c r="V40" s="93" t="str">
        <f>IF(40=40,LOWER(CLEAN(SUBSTITUTE(SUBSTITUTE(SUBSTITUTE(SUBSTITUTE($U40,CHAR(160)," ")," "," "),CHAR(10)," "),CHAR(13)," "))),"")</f>
        <v>margarine</v>
      </c>
      <c r="W40" s="93" t="str">
        <f>IF(40=40,SUBSTITUTE(SUBSTITUTE(SUBSTITUTE(SUBSTITUTE(SUBSTITUTE(SUBSTITUTE(SUBSTITUTE(SUBSTITUTE(SUBSTITUTE(SUBSTITUTE(SUBSTITUTE(SUBSTITUTE($V40,"œ","oe"),"æ","ae"),"à","a"),"á","a"),"â","a"),"ä","a"),"ã","a"),"ç","c"),"è","e"),"é","e"),"ê","e"),"ë","e"),"")</f>
        <v>margarine</v>
      </c>
      <c r="X40" s="93" t="str">
        <f>IF(40=40,SUBSTITUTE(SUBSTITUTE(SUBSTITUTE(SUBSTITUTE(SUBSTITUTE(SUBSTITUTE(SUBSTITUTE(SUBSTITUTE(SUBSTITUTE(SUBSTITUTE(SUBSTITUTE(SUBSTITUTE(SUBSTITUTE(SUBSTITUTE(SUBSTITUTE(SUBSTITUTE($W40,"ì","i"),"í","i"),"î","i"),"ï","i"),"ñ","n"),"ò","o"),"ó","o"),"ô","o"),"ö","o"),"õ","o"),"ù","u"),"ú","u"),"û","u"),"ü","u"),"ý","y"),"ÿ","y"),"")</f>
        <v>margarine</v>
      </c>
      <c r="Y40" s="93" t="str">
        <f>IF(40=40,SUBSTITUTE(SUBSTITUTE(SUBSTITUTE(SUBSTITUTE(SUBSTITUTE(SUBSTITUTE(SUBSTITUTE(SUBSTITUTE(SUBSTITUTE(SUBSTITUTE(SUBSTITUTE(SUBSTITUTE(SUBSTITUTE(SUBSTITUTE($X40,"’"," "),"`"," "),"–"," "),"—"," "),"-"," "),"'"," "),"/"," "),"_"," "),","," "),"."," "),"("," "),")"," "),";"," "),":"," "),"")</f>
        <v>margarine</v>
      </c>
      <c r="Z40" s="93" t="str">
        <f>IF(40=40,SUBSTITUTE(SUBSTITUTE(SUBSTITUTE(SUBSTITUTE(SUBSTITUTE(SUBSTITUTE(SUBSTITUTE(SUBSTITUTE(SUBSTITUTE(SUBSTITUTE(SUBSTITUTE(SUBSTITUTE(SUBSTITUTE(SUBSTITUTE(SUBSTITUTE($Y40,"!"," "),"?"," "),"+"," "),"*"," "),"&amp;"," "),"["," "),"]"," "),"{"," "),"}"," "),"%"," "),"="," "),"\"," "),"|"," "),"&lt;"," "),"&gt;"," "),"")</f>
        <v>margarine</v>
      </c>
      <c r="AA40" s="93" t="str">
        <f>IF(40=40," "&amp;TRIM(SUBSTITUTE(SUBSTITUTE(SUBSTITUTE(SUBSTITUTE(SUBSTITUTE(SUBSTITUTE($Z40,CHAR(34)," "),"  "," "),"  "," "),"  "," "),"  "," "),"  "," "))&amp;" ","")</f>
        <v xml:space="preserve"> margarine </v>
      </c>
      <c r="AB40" s="93">
        <f>IF(40=40,IF($U40="","",SUMPRODUCT(--ISNUMBER(SEARCH(" "&amp;$CR$2:$CR$101&amp;" ",$AD40)))),"")</f>
        <v>0</v>
      </c>
      <c r="AC40" s="93">
        <f>IF(40=40,IF($U40="","",SUMPRODUCT(--ISNUMBER(SEARCH(" "&amp;$CR$102:$CR$151&amp;" ",$AD40)))),"")</f>
        <v>0</v>
      </c>
      <c r="AD40" s="93" t="str">
        <f t="shared" si="1"/>
        <v xml:space="preserve"> margarine </v>
      </c>
      <c r="AE40" s="93">
        <f t="shared" si="2"/>
        <v>0</v>
      </c>
      <c r="AF40" s="93" t="str">
        <f>IF(40=40,IF($U40="","",IF(SUM(AB40:AC40)+SUMPRODUCT(--ISNUMBER(SEARCH(" "&amp;$CR$2418:$CR$2420&amp;" ",$AD40)))&gt;0,"X",IF(AE40&gt;0,"?",""))),"")</f>
        <v/>
      </c>
      <c r="AG40" s="93">
        <f>IF(40=40,IF($U40="","",SUMPRODUCT(--ISNUMBER(SEARCH(" "&amp;$CR$206:$CR$305&amp;" ",$AA40)))),"")</f>
        <v>0</v>
      </c>
      <c r="AH40" s="93">
        <f>IF(40=40,IF($U40="","",SUMPRODUCT(--ISNUMBER(SEARCH(" "&amp;$CR$306:$CR$340&amp;" ",$AA40)))),"")</f>
        <v>0</v>
      </c>
      <c r="AI40" s="93" t="str">
        <f>IF(40=40,IF($U40="","",IF((SUM(AG40:AH40))-(0)&gt;0,"X",IF((0)-(0)&gt;0,"?",""))),"")</f>
        <v/>
      </c>
      <c r="AJ40" s="93">
        <f>IF(40=40,IF($U40="","",SUMPRODUCT(--ISNUMBER(SEARCH(" "&amp;$CR$341:$CR$398&amp;" ",$AA40)))),"")</f>
        <v>0</v>
      </c>
      <c r="AK40" s="93">
        <f>IF(40=40,IF($U40="","",SUMPRODUCT(--ISNUMBER(SEARCH(" "&amp;$CR$399:$CR$426&amp;" ",$AL40)))+SUMPRODUCT(--ISNUMBER(SEARCH(" "&amp;$CR$2440:$CR$2453&amp;" ",$AL40)))),"")</f>
        <v>0</v>
      </c>
      <c r="AL40" s="93" t="str">
        <f>IF(40=40,IF($U40="","",SUBSTITUTE(SUBSTITUTE(SUBSTITUTE(SUBSTITUTE(SUBSTITUTE(SUBSTITUTE(SUBSTITUTE(SUBSTITUTE(SUBSTITUTE(SUBSTITUTE(SUBSTITUTE(SUBSTITUTE(SUBSTITUTE(SUBSTITUTE($AA40," "&amp;$CR$2455&amp;" "," ")," "&amp;$CR$433&amp;" "," ")," "&amp;$CR$431&amp;" "," ")," "&amp;$CR$2438&amp;" "," ")," "&amp;$CR$2439&amp;" "," ")," "&amp;$CR$428&amp;" "," ")," "&amp;$CR$432&amp;" "," ")," "&amp;$CR$434&amp;" "," ")," "&amp;$CR$429&amp;" "," ")," "&amp;$CR$427&amp;" "," ")," "&amp;$CR$1367&amp;" "," ")," "&amp;$CR$435&amp;" "," ")," "&amp;$CR$1366&amp;" "," ")," "&amp;$CR$430&amp;" "," ")),"")</f>
        <v xml:space="preserve"> margarine </v>
      </c>
      <c r="AM40" s="93" t="str">
        <f>IF(40=40,IF($U40="","",IF(AJ40&gt;0,"X",IF(AK40&gt;0,"?",""))),"")</f>
        <v/>
      </c>
      <c r="AN40" s="93">
        <f>IF(40=40,IF($U40="","",SUMPRODUCT(--ISNUMBER(SEARCH(" "&amp;$CR$436:$CR$535&amp;" ",$AX40)))),"")</f>
        <v>0</v>
      </c>
      <c r="AO40" s="93">
        <f>IF(40=40,IF($U40="","",SUMPRODUCT(--ISNUMBER(SEARCH(" "&amp;$CR$536:$CR$635&amp;" ",$AX40)))),"")</f>
        <v>0</v>
      </c>
      <c r="AP40" s="93">
        <f>IF(40=40,IF($U40="","",SUMPRODUCT(--ISNUMBER(SEARCH(" "&amp;$CR$636:$CR$735&amp;" ",$AX40)))),"")</f>
        <v>0</v>
      </c>
      <c r="AQ40" s="93">
        <f>IF(40=40,IF($U40="","",SUMPRODUCT(--ISNUMBER(SEARCH(" "&amp;$CR$736:$CR$835&amp;" ",$AX40)))),"")</f>
        <v>0</v>
      </c>
      <c r="AR40" s="93">
        <f>IF(40=40,IF($U40="","",SUMPRODUCT(--ISNUMBER(SEARCH(" "&amp;$CR$836:$CR$935&amp;" ",$AX40)))),"")</f>
        <v>0</v>
      </c>
      <c r="AS40" s="93">
        <f>IF(40=40,IF($U40="","",SUMPRODUCT(--ISNUMBER(SEARCH(" "&amp;$CR$936:$CR$1035&amp;" ",$AX40)))),"")</f>
        <v>0</v>
      </c>
      <c r="AT40" s="93">
        <f>IF(40=40,IF($U40="","",SUMPRODUCT(--ISNUMBER(SEARCH(" "&amp;$CR$1036:$CR$1135&amp;" ",$AX40)))),"")</f>
        <v>0</v>
      </c>
      <c r="AU40" s="93">
        <f>IF(40=40,IF($U40="","",SUMPRODUCT(--ISNUMBER(SEARCH(" "&amp;$CR$1136:$CR$1235&amp;" ",$AX40)))),"")</f>
        <v>0</v>
      </c>
      <c r="AV40" s="93">
        <f>IF(40=40,IF($U40="","",SUMPRODUCT(--ISNUMBER(SEARCH(" "&amp;$CR$1236:$CR$1335&amp;" ",$AX40)))),"")</f>
        <v>0</v>
      </c>
      <c r="AW40" s="93">
        <f>IF(40=40,IF($U40="","",SUMPRODUCT(--ISNUMBER(SEARCH(" "&amp;$CR$1336:$CR$1363&amp;" ",$AX40)))),"")</f>
        <v>0</v>
      </c>
      <c r="AX40" s="93" t="str">
        <f>IF(40=40,IF($U40="","",SUBSTITUTE(SUBSTITUTE(SUBSTITUTE(SUBSTITUTE(SUBSTITUTE(SUBSTITUTE(SUBSTITUTE(SUBSTITUTE(SUBSTITUTE($AA40," "&amp;$CR$1365&amp;" "," ")," "&amp;$CR$1364&amp;" "," ")," "&amp;$CR$1370&amp;" "," ")," "&amp;$CR$1371&amp;" "," ")," "&amp;$CR$1367&amp;" "," ")," "&amp;$CR$1369&amp;" "," ")," "&amp;$CR$1366&amp;" "," ")," "&amp;$CR$1368&amp;" "," ")," "&amp;$CR$1372&amp;" "," ")),"")</f>
        <v xml:space="preserve"> margarine </v>
      </c>
      <c r="AY40" s="93">
        <f>IF(40=40,IF($U40="","",SUMPRODUCT(--ISNUMBER(SEARCH(" "&amp;$CR$1373:$CR$1383&amp;" ",$AX40)))),"")</f>
        <v>0</v>
      </c>
      <c r="AZ40" s="93" t="str">
        <f>IF(40=40,IF($U40="","",IF(SUM(AN40:AW40)+SUMPRODUCT(--ISNUMBER(SEARCH(" "&amp;$CR$2421:$CR$2422&amp;" ",$AX40)))&gt;0,"X",IF(AY40&gt;0,"?",""))),"")</f>
        <v/>
      </c>
      <c r="BA40" s="93">
        <f>IF(40=40,IF($U40="","",SUMPRODUCT(--ISNUMBER(SEARCH(" "&amp;$CR$1384:$CR$1404&amp;" ",$AA40)))),"")</f>
        <v>0</v>
      </c>
      <c r="BB40" s="93" t="str">
        <f>IF(40=40,IF($U40="","",IF((BA40)-(0)&gt;0,"X",IF((0)-(0)&gt;0,"?",""))),"")</f>
        <v/>
      </c>
      <c r="BC40" s="93">
        <f>IF(40=40,IF($U40="","",SUMPRODUCT(--ISNUMBER(SEARCH(" "&amp;$CR$1405:$CR$1442&amp;" ",$BD40)))),"")</f>
        <v>0</v>
      </c>
      <c r="BD40" s="93" t="str">
        <f>IF(40=40,IF($U40="","",SUBSTITUTE(SUBSTITUTE($AA40," "&amp;$CR$1443&amp;" "," ")," "&amp;$CR$1444&amp;" "," ")),"")</f>
        <v xml:space="preserve"> margarine </v>
      </c>
      <c r="BE40" s="93">
        <f>IF(40=40,IF($U40="","",SUMPRODUCT(--ISNUMBER(SEARCH(" "&amp;$CR$1445:$CR$1455&amp;" ",$BD40)))),"")</f>
        <v>1</v>
      </c>
      <c r="BF40" s="93" t="str">
        <f>IF(40=40,IF($U40="","",IF(BC40&gt;0,"X",IF(BE40&gt;0,"?",""))),"")</f>
        <v>?</v>
      </c>
      <c r="BG40" s="93">
        <f>IF(40=40,IF($U40="","",SUMPRODUCT(--ISNUMBER(SEARCH(" "&amp;$CR$1456:$CR$1555&amp;" ",$BJ40)))),"")</f>
        <v>0</v>
      </c>
      <c r="BH40" s="93">
        <f>IF(40=40,IF($U40="","",SUMPRODUCT(--ISNUMBER(SEARCH(" "&amp;$CR$1556:$CR$1655&amp;" ",$BJ40)))),"")</f>
        <v>0</v>
      </c>
      <c r="BI40" s="93">
        <f>IF(40=40,IF($U40="","",SUMPRODUCT(--ISNUMBER(SEARCH(" "&amp;$CR$1656:$CR$1739&amp;" ",$BJ40)))),"")</f>
        <v>0</v>
      </c>
      <c r="BJ40" s="93" t="str">
        <f>IF(40=40,IF($U40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40,"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margarine </v>
      </c>
      <c r="BK40" s="93">
        <f>IF(40=40,IF($U40="","",SUMPRODUCT(--ISNUMBER(SEARCH(" "&amp;$CR$1790:$CR$1869&amp;" ",$BL40)))+SUMPRODUCT(--ISNUMBER(SEARCH(" "&amp;$CR$2440:$CR$2453&amp;" ",$BL40)))),"")</f>
        <v>1</v>
      </c>
      <c r="BL40" s="93" t="str">
        <f>IF(40=40,IF($U40="","",SUBSTITUTE(SUBSTITUTE(SUBSTITUTE(SUBSTITUTE(SUBSTITUTE(SUBSTITUTE(SUBSTITUTE(SUBSTITUTE(SUBSTITUTE(SUBSTITUTE(SUBSTITUTE(SUBSTITUTE(SUBSTITUTE($BJ40," "&amp;$CR$1876&amp;" "," ")," "&amp;$CR$1874&amp;" "," ")," "&amp;$CR$2438&amp;" "," ")," "&amp;$CR$2439&amp;" "," ")," "&amp;$CR$1871&amp;" "," ")," "&amp;$CR$1875&amp;" "," ")," "&amp;$CR$1877&amp;" "," ")," "&amp;$CR$1872&amp;" "," ")," "&amp;$CR$1870&amp;" "," ")," "&amp;$CR$1367&amp;" "," ")," "&amp;$CR$1878&amp;" "," ")," "&amp;$CR$1366&amp;" "," ")," "&amp;$CR$1873&amp;" "," ")),"")</f>
        <v xml:space="preserve"> margarine </v>
      </c>
      <c r="BM40" s="93" t="str">
        <f>IF(40=40,IF($U40="","",IF(SUM(BG40:BI40)+SUMPRODUCT(--ISNUMBER(SEARCH(" "&amp;$CR$2423:$CR$2424&amp;" ",$BJ40)))&gt;0,"X",IF(BK40&gt;0,"?",""))),"")</f>
        <v>?</v>
      </c>
      <c r="BN40" s="93">
        <f>IF(40=40,IF($U40="","",SUMPRODUCT(--ISNUMBER(SEARCH(" "&amp;$CR$1879:$CR$1936&amp;" ",$BO40)))),"")</f>
        <v>0</v>
      </c>
      <c r="BO40" s="93" t="str">
        <f>IF(40=40,IF($U40="","",SUBSTITUTE(SUBSTITUTE(SUBSTITUTE(SUBSTITUTE(SUBSTITUTE(SUBSTITUTE(SUBSTITUTE(SUBSTITUTE(SUBSTITUTE(SUBSTITUTE(SUBSTITUTE(SUBSTITUTE(SUBSTITUTE(SUBSTITUTE(SUBSTITUTE(SUBSTITUTE(SUBSTITUTE(SUBSTITUTE(SUBSTITUTE(SUBSTITUTE(SUBSTITUTE(SUBSTITUTE(SUBSTITUTE($AA40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margarine </v>
      </c>
      <c r="BP40" s="93">
        <f>IF(40=40,IF($U40="","",SUMPRODUCT(--ISNUMBER(SEARCH(" "&amp;$CR$1960:$CR$1976&amp;" ",$BO40)))),"")</f>
        <v>0</v>
      </c>
      <c r="BQ40" s="93" t="str">
        <f>IF(40=40,IF($U40="","",IF(BN40&gt;0,"X",IF(BP40&gt;0,"?",""))),"")</f>
        <v/>
      </c>
      <c r="BR40" s="93">
        <f>IF(40=40,IF($U40="","",SUMPRODUCT(--ISNUMBER(SEARCH(" "&amp;$CR$1977:$CR$1990&amp;" ",$AA40)))),"")</f>
        <v>0</v>
      </c>
      <c r="BS40" s="93">
        <f>IF(40=40,IF($U40="","",SUMPRODUCT(--ISNUMBER(SEARCH(" "&amp;$CR$1991:$CR$2005&amp;" ",$AA40)))),"")</f>
        <v>0</v>
      </c>
      <c r="BT40" s="93" t="str">
        <f>IF(40=40,IF($U40="","",IF((BR40)-(0)&gt;0,"X",IF((BS40)-(0)&gt;0,"?",""))),"")</f>
        <v/>
      </c>
      <c r="BU40" s="93">
        <f>IF(40=40,IF($U40="","",SUMPRODUCT(--ISNUMBER(SEARCH(" "&amp;$CR$2006:$CR$2023&amp;" ",$AA40)))),"")</f>
        <v>0</v>
      </c>
      <c r="BV40" s="93">
        <f>IF(40=40,IF($U40="","",SUMPRODUCT(--ISNUMBER(SEARCH(" "&amp;$CR$2024:$CR$2038&amp;" ",$AA40)))),"")</f>
        <v>0</v>
      </c>
      <c r="BW40" s="93" t="str">
        <f>IF(40=40,IF($U40="","",IF((BU40)-(0)&gt;0,"X",IF((BV40)-(0)&gt;0,"?",""))),"")</f>
        <v/>
      </c>
      <c r="BX40" s="93">
        <f>IF(40=40,IF($U40="","",SUMPRODUCT(--ISNUMBER(SEARCH(" "&amp;$CR$2039:$CR$2057&amp;" ",$AA40)))),"")</f>
        <v>0</v>
      </c>
      <c r="BY40" s="93">
        <f>IF(40=40,IF($U40="","",SUMPRODUCT(--ISNUMBER(SEARCH(" "&amp;$CR$2058:$CR$2072&amp;" ",$AA40)))),"")</f>
        <v>0</v>
      </c>
      <c r="BZ40" s="93" t="str">
        <f>IF(40=40,IF($U40="","",IF((BX40)-(0)&gt;0,"X",IF((BY40)-(0)&gt;0,"?",""))),"")</f>
        <v/>
      </c>
      <c r="CA40" s="93">
        <f>IF(40=40,IF($U40="","",SUMPRODUCT(--ISNUMBER(SEARCH(" "&amp;$CR$2073:$CR$2093&amp;" ",$AA40)))),"")</f>
        <v>0</v>
      </c>
      <c r="CB40" s="93">
        <f>IF(40=40,IF($U40="","",SUMPRODUCT(--ISNUMBER(SEARCH(" "&amp;$CR$2094:$CR$2133&amp;" ",SUBSTITUTE(SUBSTITUTE($AA40," "&amp;$CR$1367&amp;" "," ")," "&amp;$CR$1366&amp;" "," "))))+--ISNUMBER(SEARCH("poiré",$V40))),"")</f>
        <v>0</v>
      </c>
      <c r="CC40" s="93" t="str">
        <f>IF(40=40,IF($U40="","",IF(OR(CA40&gt;0,ISNUMBER(SEARCH(" vinaigre de vin ",$AA40)),ISNUMBER(SEARCH(" vinaigre au vin ",$AA40))),"X",IF(CB40&gt;0,"?",""))),"")</f>
        <v/>
      </c>
      <c r="CD40" s="93">
        <f>IF(40=40,IF($U40="","",SUMPRODUCT(--ISNUMBER(SEARCH(" "&amp;$CR$2134:$CR$2146&amp;" ",$AA40)))),"")</f>
        <v>0</v>
      </c>
      <c r="CE40" s="93">
        <f>IF(40=40,IF($U40="","",SUMPRODUCT(--ISNUMBER(SEARCH(" "&amp;$CR$2147:$CR$2152&amp;" ",$AA40)))),"")</f>
        <v>0</v>
      </c>
      <c r="CF40" s="93" t="str">
        <f>IF(40=40,IF($U40="","",IF((CD40)-(0)&gt;0,"X",IF((CE40)-(0)&gt;0,"?",""))),"")</f>
        <v/>
      </c>
      <c r="CG40" s="93">
        <f>IF(40=40,IF($U40="","",SUMPRODUCT(--ISNUMBER(SEARCH(" "&amp;$CR$2153:$CR$2252&amp;" ",$CJ40)))),"")</f>
        <v>0</v>
      </c>
      <c r="CH40" s="93">
        <f>IF(40=40,IF($U40="","",SUMPRODUCT(--ISNUMBER(SEARCH(" "&amp;$CR$2253:$CR$2352&amp;" ",$CJ40)))),"")</f>
        <v>0</v>
      </c>
      <c r="CI40" s="93">
        <f>IF(40=40,IF($U40="","",SUMPRODUCT(--ISNUMBER(SEARCH(" "&amp;$CR$2353:$CR$2395&amp;" ",$CJ40)))),"")</f>
        <v>0</v>
      </c>
      <c r="CJ40" s="93" t="str">
        <f>IF(40=40,IF($U40="","",SUBSTITUTE(SUBSTITUTE(SUBSTITUTE(SUBSTITUTE(SUBSTITUTE(SUBSTITUTE(SUBSTITUTE(SUBSTITUTE(SUBSTITUTE(SUBSTITUTE(SUBSTITUTE(SUBSTITUTE(SUBSTITUTE(SUBSTITUTE(SUBSTITUTE(SUBSTITUTE($AA40," "&amp;$CR$2401&amp;" "," ")," "&amp;$CR$2400&amp;" "," ")," "&amp;$CR$2399&amp;" "," ")," "&amp;$CR$2406&amp;" "," ")," "&amp;$CR$2398&amp;" "," ")," "&amp;$CR$2410&amp;" "," ")," "&amp;$CR$2397&amp;" "," ")," "&amp;$CR$2402&amp;" "," ")," "&amp;$CR$2405&amp;" "," ")," "&amp;$CR$2396&amp;" "," ")," "&amp;$CR$2404&amp;" "," ")," "&amp;$CR$2411&amp;" "," ")," "&amp;$CR$2408&amp;" "," ")," "&amp;$CR$2403&amp;" "," ")," "&amp;$CR$2407&amp;" "," ")," "&amp;$CR$2409&amp;" "," ")),"")</f>
        <v xml:space="preserve"> margarine </v>
      </c>
      <c r="CK40" s="93">
        <f>IF(40=40,IF($U40="","",SUMPRODUCT(--ISNUMBER(SEARCH(" "&amp;$CR$2412:$CR$2416&amp;" ",$CJ40)))),"")</f>
        <v>0</v>
      </c>
      <c r="CL40" s="93" t="str">
        <f>IF(40=40,IF($U40="","",IF(SUM(CG40:CI40)&gt;0,"X",IF(CK40&gt;0,"?",""))),"")</f>
        <v/>
      </c>
      <c r="CM40" s="102"/>
      <c r="CN40" s="112" t="s">
        <v>697</v>
      </c>
      <c r="CO40" s="112" t="s">
        <v>522</v>
      </c>
      <c r="CP40" s="112" t="s">
        <v>523</v>
      </c>
      <c r="CQ40" s="112" t="s">
        <v>698</v>
      </c>
      <c r="CR40" s="112" t="s">
        <v>699</v>
      </c>
      <c r="CS40" s="112" t="s">
        <v>525</v>
      </c>
      <c r="CT40" s="112" t="s">
        <v>526</v>
      </c>
      <c r="CU40" s="112" t="s">
        <v>527</v>
      </c>
      <c r="CV40" s="113" t="s">
        <v>528</v>
      </c>
      <c r="CX40" s="36">
        <v>1</v>
      </c>
    </row>
    <row r="41" spans="1:102" ht="21" customHeight="1" x14ac:dyDescent="0.25">
      <c r="A41" s="135">
        <v>35</v>
      </c>
      <c r="B41" s="136" t="s">
        <v>5873</v>
      </c>
      <c r="C41" s="137" t="str">
        <f t="shared" si="0"/>
        <v>Morue (filets dessalés) *</v>
      </c>
      <c r="D41" s="138" t="str">
        <f>IF(41=41,IF($B41="","",IF(E41="X",""&amp;"Céréales contenant du gluten","")&amp;IF(F41="X",IF(COUNTIF($E41:$E41,"X")&gt;0,", ","")&amp;"Crustacés","")&amp;IF(G41="X",IF(COUNTIF($E41:$F41,"X")&gt;0,", ","")&amp;"Œufs","")&amp;IF(H41="X",IF(COUNTIF($E41:$G41,"X")&gt;0,", ","")&amp;"Poissons","")&amp;IF(I41="X",IF(COUNTIF($E41:$H41,"X")&gt;0,", ","")&amp;"Arachides","")&amp;IF(J41="X",IF(COUNTIF($E41:$I41,"X")&gt;0,", ","")&amp;"Soja","")&amp;IF(K41="X",IF(COUNTIF($E41:$J41,"X")&gt;0,", ","")&amp;"Lait","")&amp;IF(L41="X",IF(COUNTIF($E41:$K41,"X")&gt;0,", ","")&amp;"Fruits à coque","")&amp;IF(M41="X",IF(COUNTIF($E41:$L41,"X")&gt;0,", ","")&amp;"Céleri","")&amp;IF(N41="X",IF(COUNTIF($E41:$M41,"X")&gt;0,", ","")&amp;"Moutarde","")&amp;IF(O41="X",IF(COUNTIF($E41:$N41,"X")&gt;0,", ","")&amp;"Sésame","")&amp;IF(P41="X",IF(COUNTIF($E41:$O41,"X")&gt;0,", ","")&amp;"Sulfites","")&amp;IF(Q41="X",IF(COUNTIF($E41:$P41,"X")&gt;0,", ","")&amp;"Lupin","")&amp;IF(R41="X",IF(COUNTIF($E41:$Q41,"X")&gt;0,", ","")&amp;"Mollusques","")),"")</f>
        <v>Poissons</v>
      </c>
      <c r="E41" s="139" t="str">
        <f>IF(41=41,IF($B41="","",AF41),"")</f>
        <v/>
      </c>
      <c r="F41" s="139" t="str">
        <f>IF(41=41,IF($B41="","",AI41),"")</f>
        <v/>
      </c>
      <c r="G41" s="139" t="str">
        <f>IF(41=41,IF($B41="","",AM41),"")</f>
        <v/>
      </c>
      <c r="H41" s="139" t="str">
        <f>IF(41=41,IF($B41="","",IF(ISNUMBER(SEARCH(" colin ",$AA41)),"X",AZ41)),"")</f>
        <v>X</v>
      </c>
      <c r="I41" s="139" t="str">
        <f>IF(41=41,IF($B41="","",BB41),"")</f>
        <v/>
      </c>
      <c r="J41" s="139" t="str">
        <f>IF(41=41,IF($B41="","",BF41),"")</f>
        <v/>
      </c>
      <c r="K41" s="139" t="str">
        <f>IF(41=41,IF($B41="","",BM41),"")</f>
        <v/>
      </c>
      <c r="L41" s="139" t="str">
        <f>IF(41=41,IF($B41="","",BQ41),"")</f>
        <v/>
      </c>
      <c r="M41" s="139" t="str">
        <f>IF(41=41,IF($B41="","",BT41),"")</f>
        <v/>
      </c>
      <c r="N41" s="139" t="str">
        <f>IF(41=41,IF($B41="","",BW41),"")</f>
        <v/>
      </c>
      <c r="O41" s="139" t="str">
        <f>IF(41=41,IF($B41="","",BZ41),"")</f>
        <v/>
      </c>
      <c r="P41" s="139" t="str">
        <f>IF(41=41,IF($B41="","",CC41),"")</f>
        <v/>
      </c>
      <c r="Q41" s="139" t="str">
        <f>IF(41=41,IF($B41="","",CF41),"")</f>
        <v/>
      </c>
      <c r="R41" s="139" t="str">
        <f>IF(41=41,IF($B41="","",CL41),"")</f>
        <v/>
      </c>
      <c r="S41" s="140" t="str">
        <f>IF(41=41,IF($B41="","",IF(E41="?",""&amp;"Céréales contenant du gluten","")&amp;IF(F41="?",IF(COUNTIF($E41:$E41,"~?")&gt;0,", ","")&amp;"Crustacés","")&amp;IF(G41="?",IF(COUNTIF($E41:$F41,"~?")&gt;0,", ","")&amp;"Œufs","")&amp;IF(H41="?",IF(COUNTIF($E41:$G41,"~?")&gt;0,", ","")&amp;"Poissons","")&amp;IF(I41="?",IF(COUNTIF($E41:$H41,"~?")&gt;0,", ","")&amp;"Arachides","")&amp;IF(J41="?",IF(COUNTIF($E41:$I41,"~?")&gt;0,", ","")&amp;"Soja","")&amp;IF(K41="?",IF(COUNTIF($E41:$J41,"~?")&gt;0,", ","")&amp;"Lait","")&amp;IF(L41="?",IF(COUNTIF($E41:$K41,"~?")&gt;0,", ","")&amp;"Fruits à coque","")&amp;IF(M41="?",IF(COUNTIF($E41:$L41,"~?")&gt;0,", ","")&amp;"Céleri","")&amp;IF(N41="?",IF(COUNTIF($E41:$M41,"~?")&gt;0,", ","")&amp;"Moutarde","")&amp;IF(O41="?",IF(COUNTIF($E41:$N41,"~?")&gt;0,", ","")&amp;"Sésame","")&amp;IF(P41="?",IF(COUNTIF($E41:$O41,"~?")&gt;0,", ","")&amp;"Sulfites","")&amp;IF(Q41="?",IF(COUNTIF($E41:$P41,"~?")&gt;0,", ","")&amp;"Lupin","")&amp;IF(R41="?",IF(COUNTIF($E41:$Q41,"~?")&gt;0,", ","")&amp;"Mollusques","")),"")</f>
        <v/>
      </c>
      <c r="U41" s="93" t="str">
        <f>IF(41=41,IF($B41="","",$B41),"")</f>
        <v>Morue (filets dessalés)</v>
      </c>
      <c r="V41" s="93" t="str">
        <f>IF(41=41,LOWER(CLEAN(SUBSTITUTE(SUBSTITUTE(SUBSTITUTE(SUBSTITUTE($U41,CHAR(160)," ")," "," "),CHAR(10)," "),CHAR(13)," "))),"")</f>
        <v>morue (filets dessalés)</v>
      </c>
      <c r="W41" s="93" t="str">
        <f>IF(41=41,SUBSTITUTE(SUBSTITUTE(SUBSTITUTE(SUBSTITUTE(SUBSTITUTE(SUBSTITUTE(SUBSTITUTE(SUBSTITUTE(SUBSTITUTE(SUBSTITUTE(SUBSTITUTE(SUBSTITUTE($V41,"œ","oe"),"æ","ae"),"à","a"),"á","a"),"â","a"),"ä","a"),"ã","a"),"ç","c"),"è","e"),"é","e"),"ê","e"),"ë","e"),"")</f>
        <v>morue (filets dessales)</v>
      </c>
      <c r="X41" s="93" t="str">
        <f>IF(41=41,SUBSTITUTE(SUBSTITUTE(SUBSTITUTE(SUBSTITUTE(SUBSTITUTE(SUBSTITUTE(SUBSTITUTE(SUBSTITUTE(SUBSTITUTE(SUBSTITUTE(SUBSTITUTE(SUBSTITUTE(SUBSTITUTE(SUBSTITUTE(SUBSTITUTE(SUBSTITUTE($W41,"ì","i"),"í","i"),"î","i"),"ï","i"),"ñ","n"),"ò","o"),"ó","o"),"ô","o"),"ö","o"),"õ","o"),"ù","u"),"ú","u"),"û","u"),"ü","u"),"ý","y"),"ÿ","y"),"")</f>
        <v>morue (filets dessales)</v>
      </c>
      <c r="Y41" s="93" t="str">
        <f>IF(41=41,SUBSTITUTE(SUBSTITUTE(SUBSTITUTE(SUBSTITUTE(SUBSTITUTE(SUBSTITUTE(SUBSTITUTE(SUBSTITUTE(SUBSTITUTE(SUBSTITUTE(SUBSTITUTE(SUBSTITUTE(SUBSTITUTE(SUBSTITUTE($X41,"’"," "),"`"," "),"–"," "),"—"," "),"-"," "),"'"," "),"/"," "),"_"," "),","," "),"."," "),"("," "),")"," "),";"," "),":"," "),"")</f>
        <v xml:space="preserve">morue  filets dessales </v>
      </c>
      <c r="Z41" s="93" t="str">
        <f>IF(41=41,SUBSTITUTE(SUBSTITUTE(SUBSTITUTE(SUBSTITUTE(SUBSTITUTE(SUBSTITUTE(SUBSTITUTE(SUBSTITUTE(SUBSTITUTE(SUBSTITUTE(SUBSTITUTE(SUBSTITUTE(SUBSTITUTE(SUBSTITUTE(SUBSTITUTE($Y41,"!"," "),"?"," "),"+"," "),"*"," "),"&amp;"," "),"["," "),"]"," "),"{"," "),"}"," "),"%"," "),"="," "),"\"," "),"|"," "),"&lt;"," "),"&gt;"," "),"")</f>
        <v xml:space="preserve">morue  filets dessales </v>
      </c>
      <c r="AA41" s="93" t="str">
        <f>IF(41=41," "&amp;TRIM(SUBSTITUTE(SUBSTITUTE(SUBSTITUTE(SUBSTITUTE(SUBSTITUTE(SUBSTITUTE($Z41,CHAR(34)," "),"  "," "),"  "," "),"  "," "),"  "," "),"  "," "))&amp;" ","")</f>
        <v xml:space="preserve"> morue filets dessales </v>
      </c>
      <c r="AB41" s="93">
        <f>IF(41=41,IF($U41="","",SUMPRODUCT(--ISNUMBER(SEARCH(" "&amp;$CR$2:$CR$101&amp;" ",$AD41)))),"")</f>
        <v>0</v>
      </c>
      <c r="AC41" s="93">
        <f>IF(41=41,IF($U41="","",SUMPRODUCT(--ISNUMBER(SEARCH(" "&amp;$CR$102:$CR$151&amp;" ",$AD41)))),"")</f>
        <v>0</v>
      </c>
      <c r="AD41" s="93" t="str">
        <f t="shared" si="1"/>
        <v xml:space="preserve"> morue filets dessales </v>
      </c>
      <c r="AE41" s="93">
        <f t="shared" si="2"/>
        <v>0</v>
      </c>
      <c r="AF41" s="93" t="str">
        <f>IF(41=41,IF($U41="","",IF(SUM(AB41:AC41)+SUMPRODUCT(--ISNUMBER(SEARCH(" "&amp;$CR$2418:$CR$2420&amp;" ",$AD41)))&gt;0,"X",IF(AE41&gt;0,"?",""))),"")</f>
        <v/>
      </c>
      <c r="AG41" s="93">
        <f>IF(41=41,IF($U41="","",SUMPRODUCT(--ISNUMBER(SEARCH(" "&amp;$CR$206:$CR$305&amp;" ",$AA41)))),"")</f>
        <v>0</v>
      </c>
      <c r="AH41" s="93">
        <f>IF(41=41,IF($U41="","",SUMPRODUCT(--ISNUMBER(SEARCH(" "&amp;$CR$306:$CR$340&amp;" ",$AA41)))),"")</f>
        <v>0</v>
      </c>
      <c r="AI41" s="93" t="str">
        <f>IF(41=41,IF($U41="","",IF((SUM(AG41:AH41))-(0)&gt;0,"X",IF((0)-(0)&gt;0,"?",""))),"")</f>
        <v/>
      </c>
      <c r="AJ41" s="93">
        <f>IF(41=41,IF($U41="","",SUMPRODUCT(--ISNUMBER(SEARCH(" "&amp;$CR$341:$CR$398&amp;" ",$AA41)))),"")</f>
        <v>0</v>
      </c>
      <c r="AK41" s="93">
        <f>IF(41=41,IF($U41="","",SUMPRODUCT(--ISNUMBER(SEARCH(" "&amp;$CR$399:$CR$426&amp;" ",$AL41)))+SUMPRODUCT(--ISNUMBER(SEARCH(" "&amp;$CR$2440:$CR$2453&amp;" ",$AL41)))),"")</f>
        <v>0</v>
      </c>
      <c r="AL41" s="93" t="str">
        <f>IF(41=41,IF($U41="","",SUBSTITUTE(SUBSTITUTE(SUBSTITUTE(SUBSTITUTE(SUBSTITUTE(SUBSTITUTE(SUBSTITUTE(SUBSTITUTE(SUBSTITUTE(SUBSTITUTE(SUBSTITUTE(SUBSTITUTE(SUBSTITUTE(SUBSTITUTE($AA41," "&amp;$CR$2455&amp;" "," ")," "&amp;$CR$433&amp;" "," ")," "&amp;$CR$431&amp;" "," ")," "&amp;$CR$2438&amp;" "," ")," "&amp;$CR$2439&amp;" "," ")," "&amp;$CR$428&amp;" "," ")," "&amp;$CR$432&amp;" "," ")," "&amp;$CR$434&amp;" "," ")," "&amp;$CR$429&amp;" "," ")," "&amp;$CR$427&amp;" "," ")," "&amp;$CR$1367&amp;" "," ")," "&amp;$CR$435&amp;" "," ")," "&amp;$CR$1366&amp;" "," ")," "&amp;$CR$430&amp;" "," ")),"")</f>
        <v xml:space="preserve"> morue filets dessales </v>
      </c>
      <c r="AM41" s="93" t="str">
        <f>IF(41=41,IF($U41="","",IF(AJ41&gt;0,"X",IF(AK41&gt;0,"?",""))),"")</f>
        <v/>
      </c>
      <c r="AN41" s="93">
        <f>IF(41=41,IF($U41="","",SUMPRODUCT(--ISNUMBER(SEARCH(" "&amp;$CR$436:$CR$535&amp;" ",$AX41)))),"")</f>
        <v>0</v>
      </c>
      <c r="AO41" s="93">
        <f>IF(41=41,IF($U41="","",SUMPRODUCT(--ISNUMBER(SEARCH(" "&amp;$CR$536:$CR$635&amp;" ",$AX41)))),"")</f>
        <v>0</v>
      </c>
      <c r="AP41" s="93">
        <f>IF(41=41,IF($U41="","",SUMPRODUCT(--ISNUMBER(SEARCH(" "&amp;$CR$636:$CR$735&amp;" ",$AX41)))),"")</f>
        <v>0</v>
      </c>
      <c r="AQ41" s="93">
        <f>IF(41=41,IF($U41="","",SUMPRODUCT(--ISNUMBER(SEARCH(" "&amp;$CR$736:$CR$835&amp;" ",$AX41)))),"")</f>
        <v>0</v>
      </c>
      <c r="AR41" s="93">
        <f>IF(41=41,IF($U41="","",SUMPRODUCT(--ISNUMBER(SEARCH(" "&amp;$CR$836:$CR$935&amp;" ",$AX41)))),"")</f>
        <v>0</v>
      </c>
      <c r="AS41" s="93">
        <f>IF(41=41,IF($U41="","",SUMPRODUCT(--ISNUMBER(SEARCH(" "&amp;$CR$936:$CR$1035&amp;" ",$AX41)))),"")</f>
        <v>1</v>
      </c>
      <c r="AT41" s="93">
        <f>IF(41=41,IF($U41="","",SUMPRODUCT(--ISNUMBER(SEARCH(" "&amp;$CR$1036:$CR$1135&amp;" ",$AX41)))),"")</f>
        <v>0</v>
      </c>
      <c r="AU41" s="93">
        <f>IF(41=41,IF($U41="","",SUMPRODUCT(--ISNUMBER(SEARCH(" "&amp;$CR$1136:$CR$1235&amp;" ",$AX41)))),"")</f>
        <v>0</v>
      </c>
      <c r="AV41" s="93">
        <f>IF(41=41,IF($U41="","",SUMPRODUCT(--ISNUMBER(SEARCH(" "&amp;$CR$1236:$CR$1335&amp;" ",$AX41)))),"")</f>
        <v>0</v>
      </c>
      <c r="AW41" s="93">
        <f>IF(41=41,IF($U41="","",SUMPRODUCT(--ISNUMBER(SEARCH(" "&amp;$CR$1336:$CR$1363&amp;" ",$AX41)))),"")</f>
        <v>0</v>
      </c>
      <c r="AX41" s="93" t="str">
        <f>IF(41=41,IF($U41="","",SUBSTITUTE(SUBSTITUTE(SUBSTITUTE(SUBSTITUTE(SUBSTITUTE(SUBSTITUTE(SUBSTITUTE(SUBSTITUTE(SUBSTITUTE($AA41," "&amp;$CR$1365&amp;" "," ")," "&amp;$CR$1364&amp;" "," ")," "&amp;$CR$1370&amp;" "," ")," "&amp;$CR$1371&amp;" "," ")," "&amp;$CR$1367&amp;" "," ")," "&amp;$CR$1369&amp;" "," ")," "&amp;$CR$1366&amp;" "," ")," "&amp;$CR$1368&amp;" "," ")," "&amp;$CR$1372&amp;" "," ")),"")</f>
        <v xml:space="preserve"> morue filets dessales </v>
      </c>
      <c r="AY41" s="93">
        <f>IF(41=41,IF($U41="","",SUMPRODUCT(--ISNUMBER(SEARCH(" "&amp;$CR$1373:$CR$1383&amp;" ",$AX41)))),"")</f>
        <v>0</v>
      </c>
      <c r="AZ41" s="93" t="str">
        <f>IF(41=41,IF($U41="","",IF(SUM(AN41:AW41)+SUMPRODUCT(--ISNUMBER(SEARCH(" "&amp;$CR$2421:$CR$2422&amp;" ",$AX41)))&gt;0,"X",IF(AY41&gt;0,"?",""))),"")</f>
        <v>X</v>
      </c>
      <c r="BA41" s="93">
        <f>IF(41=41,IF($U41="","",SUMPRODUCT(--ISNUMBER(SEARCH(" "&amp;$CR$1384:$CR$1404&amp;" ",$AA41)))),"")</f>
        <v>0</v>
      </c>
      <c r="BB41" s="93" t="str">
        <f>IF(41=41,IF($U41="","",IF((BA41)-(0)&gt;0,"X",IF((0)-(0)&gt;0,"?",""))),"")</f>
        <v/>
      </c>
      <c r="BC41" s="93">
        <f>IF(41=41,IF($U41="","",SUMPRODUCT(--ISNUMBER(SEARCH(" "&amp;$CR$1405:$CR$1442&amp;" ",$BD41)))),"")</f>
        <v>0</v>
      </c>
      <c r="BD41" s="93" t="str">
        <f>IF(41=41,IF($U41="","",SUBSTITUTE(SUBSTITUTE($AA41," "&amp;$CR$1443&amp;" "," ")," "&amp;$CR$1444&amp;" "," ")),"")</f>
        <v xml:space="preserve"> morue filets dessales </v>
      </c>
      <c r="BE41" s="93">
        <f>IF(41=41,IF($U41="","",SUMPRODUCT(--ISNUMBER(SEARCH(" "&amp;$CR$1445:$CR$1455&amp;" ",$BD41)))),"")</f>
        <v>0</v>
      </c>
      <c r="BF41" s="93" t="str">
        <f>IF(41=41,IF($U41="","",IF(BC41&gt;0,"X",IF(BE41&gt;0,"?",""))),"")</f>
        <v/>
      </c>
      <c r="BG41" s="93">
        <f>IF(41=41,IF($U41="","",SUMPRODUCT(--ISNUMBER(SEARCH(" "&amp;$CR$1456:$CR$1555&amp;" ",$BJ41)))),"")</f>
        <v>0</v>
      </c>
      <c r="BH41" s="93">
        <f>IF(41=41,IF($U41="","",SUMPRODUCT(--ISNUMBER(SEARCH(" "&amp;$CR$1556:$CR$1655&amp;" ",$BJ41)))),"")</f>
        <v>0</v>
      </c>
      <c r="BI41" s="93">
        <f>IF(41=41,IF($U41="","",SUMPRODUCT(--ISNUMBER(SEARCH(" "&amp;$CR$1656:$CR$1739&amp;" ",$BJ41)))),"")</f>
        <v>0</v>
      </c>
      <c r="BJ41" s="93" t="str">
        <f>IF(41=41,IF($U41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41,"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morue filets dessales </v>
      </c>
      <c r="BK41" s="93">
        <f>IF(41=41,IF($U41="","",SUMPRODUCT(--ISNUMBER(SEARCH(" "&amp;$CR$1790:$CR$1869&amp;" ",$BL41)))+SUMPRODUCT(--ISNUMBER(SEARCH(" "&amp;$CR$2440:$CR$2453&amp;" ",$BL41)))),"")</f>
        <v>0</v>
      </c>
      <c r="BL41" s="93" t="str">
        <f>IF(41=41,IF($U41="","",SUBSTITUTE(SUBSTITUTE(SUBSTITUTE(SUBSTITUTE(SUBSTITUTE(SUBSTITUTE(SUBSTITUTE(SUBSTITUTE(SUBSTITUTE(SUBSTITUTE(SUBSTITUTE(SUBSTITUTE(SUBSTITUTE($BJ41," "&amp;$CR$1876&amp;" "," ")," "&amp;$CR$1874&amp;" "," ")," "&amp;$CR$2438&amp;" "," ")," "&amp;$CR$2439&amp;" "," ")," "&amp;$CR$1871&amp;" "," ")," "&amp;$CR$1875&amp;" "," ")," "&amp;$CR$1877&amp;" "," ")," "&amp;$CR$1872&amp;" "," ")," "&amp;$CR$1870&amp;" "," ")," "&amp;$CR$1367&amp;" "," ")," "&amp;$CR$1878&amp;" "," ")," "&amp;$CR$1366&amp;" "," ")," "&amp;$CR$1873&amp;" "," ")),"")</f>
        <v xml:space="preserve"> morue filets dessales </v>
      </c>
      <c r="BM41" s="93" t="str">
        <f>IF(41=41,IF($U41="","",IF(SUM(BG41:BI41)+SUMPRODUCT(--ISNUMBER(SEARCH(" "&amp;$CR$2423:$CR$2424&amp;" ",$BJ41)))&gt;0,"X",IF(BK41&gt;0,"?",""))),"")</f>
        <v/>
      </c>
      <c r="BN41" s="93">
        <f>IF(41=41,IF($U41="","",SUMPRODUCT(--ISNUMBER(SEARCH(" "&amp;$CR$1879:$CR$1936&amp;" ",$BO41)))),"")</f>
        <v>0</v>
      </c>
      <c r="BO41" s="93" t="str">
        <f>IF(41=41,IF($U41="","",SUBSTITUTE(SUBSTITUTE(SUBSTITUTE(SUBSTITUTE(SUBSTITUTE(SUBSTITUTE(SUBSTITUTE(SUBSTITUTE(SUBSTITUTE(SUBSTITUTE(SUBSTITUTE(SUBSTITUTE(SUBSTITUTE(SUBSTITUTE(SUBSTITUTE(SUBSTITUTE(SUBSTITUTE(SUBSTITUTE(SUBSTITUTE(SUBSTITUTE(SUBSTITUTE(SUBSTITUTE(SUBSTITUTE($AA41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morue filets dessales </v>
      </c>
      <c r="BP41" s="93">
        <f>IF(41=41,IF($U41="","",SUMPRODUCT(--ISNUMBER(SEARCH(" "&amp;$CR$1960:$CR$1976&amp;" ",$BO41)))),"")</f>
        <v>0</v>
      </c>
      <c r="BQ41" s="93" t="str">
        <f>IF(41=41,IF($U41="","",IF(BN41&gt;0,"X",IF(BP41&gt;0,"?",""))),"")</f>
        <v/>
      </c>
      <c r="BR41" s="93">
        <f>IF(41=41,IF($U41="","",SUMPRODUCT(--ISNUMBER(SEARCH(" "&amp;$CR$1977:$CR$1990&amp;" ",$AA41)))),"")</f>
        <v>0</v>
      </c>
      <c r="BS41" s="93">
        <f>IF(41=41,IF($U41="","",SUMPRODUCT(--ISNUMBER(SEARCH(" "&amp;$CR$1991:$CR$2005&amp;" ",$AA41)))),"")</f>
        <v>0</v>
      </c>
      <c r="BT41" s="93" t="str">
        <f>IF(41=41,IF($U41="","",IF((BR41)-(0)&gt;0,"X",IF((BS41)-(0)&gt;0,"?",""))),"")</f>
        <v/>
      </c>
      <c r="BU41" s="93">
        <f>IF(41=41,IF($U41="","",SUMPRODUCT(--ISNUMBER(SEARCH(" "&amp;$CR$2006:$CR$2023&amp;" ",$AA41)))),"")</f>
        <v>0</v>
      </c>
      <c r="BV41" s="93">
        <f>IF(41=41,IF($U41="","",SUMPRODUCT(--ISNUMBER(SEARCH(" "&amp;$CR$2024:$CR$2038&amp;" ",$AA41)))),"")</f>
        <v>0</v>
      </c>
      <c r="BW41" s="93" t="str">
        <f>IF(41=41,IF($U41="","",IF((BU41)-(0)&gt;0,"X",IF((BV41)-(0)&gt;0,"?",""))),"")</f>
        <v/>
      </c>
      <c r="BX41" s="93">
        <f>IF(41=41,IF($U41="","",SUMPRODUCT(--ISNUMBER(SEARCH(" "&amp;$CR$2039:$CR$2057&amp;" ",$AA41)))),"")</f>
        <v>0</v>
      </c>
      <c r="BY41" s="93">
        <f>IF(41=41,IF($U41="","",SUMPRODUCT(--ISNUMBER(SEARCH(" "&amp;$CR$2058:$CR$2072&amp;" ",$AA41)))),"")</f>
        <v>0</v>
      </c>
      <c r="BZ41" s="93" t="str">
        <f>IF(41=41,IF($U41="","",IF((BX41)-(0)&gt;0,"X",IF((BY41)-(0)&gt;0,"?",""))),"")</f>
        <v/>
      </c>
      <c r="CA41" s="93">
        <f>IF(41=41,IF($U41="","",SUMPRODUCT(--ISNUMBER(SEARCH(" "&amp;$CR$2073:$CR$2093&amp;" ",$AA41)))),"")</f>
        <v>0</v>
      </c>
      <c r="CB41" s="93">
        <f>IF(41=41,IF($U41="","",SUMPRODUCT(--ISNUMBER(SEARCH(" "&amp;$CR$2094:$CR$2133&amp;" ",SUBSTITUTE(SUBSTITUTE($AA41," "&amp;$CR$1367&amp;" "," ")," "&amp;$CR$1366&amp;" "," "))))+--ISNUMBER(SEARCH("poiré",$V41))),"")</f>
        <v>0</v>
      </c>
      <c r="CC41" s="93" t="str">
        <f>IF(41=41,IF($U41="","",IF(OR(CA41&gt;0,ISNUMBER(SEARCH(" vinaigre de vin ",$AA41)),ISNUMBER(SEARCH(" vinaigre au vin ",$AA41))),"X",IF(CB41&gt;0,"?",""))),"")</f>
        <v/>
      </c>
      <c r="CD41" s="93">
        <f>IF(41=41,IF($U41="","",SUMPRODUCT(--ISNUMBER(SEARCH(" "&amp;$CR$2134:$CR$2146&amp;" ",$AA41)))),"")</f>
        <v>0</v>
      </c>
      <c r="CE41" s="93">
        <f>IF(41=41,IF($U41="","",SUMPRODUCT(--ISNUMBER(SEARCH(" "&amp;$CR$2147:$CR$2152&amp;" ",$AA41)))),"")</f>
        <v>0</v>
      </c>
      <c r="CF41" s="93" t="str">
        <f>IF(41=41,IF($U41="","",IF((CD41)-(0)&gt;0,"X",IF((CE41)-(0)&gt;0,"?",""))),"")</f>
        <v/>
      </c>
      <c r="CG41" s="93">
        <f>IF(41=41,IF($U41="","",SUMPRODUCT(--ISNUMBER(SEARCH(" "&amp;$CR$2153:$CR$2252&amp;" ",$CJ41)))),"")</f>
        <v>0</v>
      </c>
      <c r="CH41" s="93">
        <f>IF(41=41,IF($U41="","",SUMPRODUCT(--ISNUMBER(SEARCH(" "&amp;$CR$2253:$CR$2352&amp;" ",$CJ41)))),"")</f>
        <v>0</v>
      </c>
      <c r="CI41" s="93">
        <f>IF(41=41,IF($U41="","",SUMPRODUCT(--ISNUMBER(SEARCH(" "&amp;$CR$2353:$CR$2395&amp;" ",$CJ41)))),"")</f>
        <v>0</v>
      </c>
      <c r="CJ41" s="93" t="str">
        <f>IF(41=41,IF($U41="","",SUBSTITUTE(SUBSTITUTE(SUBSTITUTE(SUBSTITUTE(SUBSTITUTE(SUBSTITUTE(SUBSTITUTE(SUBSTITUTE(SUBSTITUTE(SUBSTITUTE(SUBSTITUTE(SUBSTITUTE(SUBSTITUTE(SUBSTITUTE(SUBSTITUTE(SUBSTITUTE($AA41," "&amp;$CR$2401&amp;" "," ")," "&amp;$CR$2400&amp;" "," ")," "&amp;$CR$2399&amp;" "," ")," "&amp;$CR$2406&amp;" "," ")," "&amp;$CR$2398&amp;" "," ")," "&amp;$CR$2410&amp;" "," ")," "&amp;$CR$2397&amp;" "," ")," "&amp;$CR$2402&amp;" "," ")," "&amp;$CR$2405&amp;" "," ")," "&amp;$CR$2396&amp;" "," ")," "&amp;$CR$2404&amp;" "," ")," "&amp;$CR$2411&amp;" "," ")," "&amp;$CR$2408&amp;" "," ")," "&amp;$CR$2403&amp;" "," ")," "&amp;$CR$2407&amp;" "," ")," "&amp;$CR$2409&amp;" "," ")),"")</f>
        <v xml:space="preserve"> morue filets dessales </v>
      </c>
      <c r="CK41" s="93">
        <f>IF(41=41,IF($U41="","",SUMPRODUCT(--ISNUMBER(SEARCH(" "&amp;$CR$2412:$CR$2416&amp;" ",$CJ41)))),"")</f>
        <v>0</v>
      </c>
      <c r="CL41" s="93" t="str">
        <f>IF(41=41,IF($U41="","",IF(SUM(CG41:CI41)&gt;0,"X",IF(CK41&gt;0,"?",""))),"")</f>
        <v/>
      </c>
      <c r="CM41" s="102"/>
      <c r="CN41" s="112" t="s">
        <v>700</v>
      </c>
      <c r="CO41" s="112" t="s">
        <v>522</v>
      </c>
      <c r="CP41" s="112" t="s">
        <v>523</v>
      </c>
      <c r="CQ41" s="112" t="s">
        <v>701</v>
      </c>
      <c r="CR41" s="112" t="s">
        <v>701</v>
      </c>
      <c r="CS41" s="112" t="s">
        <v>525</v>
      </c>
      <c r="CT41" s="112" t="s">
        <v>526</v>
      </c>
      <c r="CU41" s="112" t="s">
        <v>527</v>
      </c>
      <c r="CV41" s="113" t="s">
        <v>528</v>
      </c>
      <c r="CX41" s="36">
        <v>1</v>
      </c>
    </row>
    <row r="42" spans="1:102" ht="21" customHeight="1" x14ac:dyDescent="0.25">
      <c r="A42" s="135">
        <v>36</v>
      </c>
      <c r="B42" s="136" t="s">
        <v>5874</v>
      </c>
      <c r="C42" s="137" t="str">
        <f t="shared" si="0"/>
        <v>Moules «pleine eau» *</v>
      </c>
      <c r="D42" s="138" t="str">
        <f>IF(42=42,IF($B42="","",IF(E42="X",""&amp;"Céréales contenant du gluten","")&amp;IF(F42="X",IF(COUNTIF($E42:$E42,"X")&gt;0,", ","")&amp;"Crustacés","")&amp;IF(G42="X",IF(COUNTIF($E42:$F42,"X")&gt;0,", ","")&amp;"Œufs","")&amp;IF(H42="X",IF(COUNTIF($E42:$G42,"X")&gt;0,", ","")&amp;"Poissons","")&amp;IF(I42="X",IF(COUNTIF($E42:$H42,"X")&gt;0,", ","")&amp;"Arachides","")&amp;IF(J42="X",IF(COUNTIF($E42:$I42,"X")&gt;0,", ","")&amp;"Soja","")&amp;IF(K42="X",IF(COUNTIF($E42:$J42,"X")&gt;0,", ","")&amp;"Lait","")&amp;IF(L42="X",IF(COUNTIF($E42:$K42,"X")&gt;0,", ","")&amp;"Fruits à coque","")&amp;IF(M42="X",IF(COUNTIF($E42:$L42,"X")&gt;0,", ","")&amp;"Céleri","")&amp;IF(N42="X",IF(COUNTIF($E42:$M42,"X")&gt;0,", ","")&amp;"Moutarde","")&amp;IF(O42="X",IF(COUNTIF($E42:$N42,"X")&gt;0,", ","")&amp;"Sésame","")&amp;IF(P42="X",IF(COUNTIF($E42:$O42,"X")&gt;0,", ","")&amp;"Sulfites","")&amp;IF(Q42="X",IF(COUNTIF($E42:$P42,"X")&gt;0,", ","")&amp;"Lupin","")&amp;IF(R42="X",IF(COUNTIF($E42:$Q42,"X")&gt;0,", ","")&amp;"Mollusques","")),"")</f>
        <v>Mollusques</v>
      </c>
      <c r="E42" s="139" t="str">
        <f>IF(42=42,IF($B42="","",AF42),"")</f>
        <v/>
      </c>
      <c r="F42" s="139" t="str">
        <f>IF(42=42,IF($B42="","",AI42),"")</f>
        <v/>
      </c>
      <c r="G42" s="139" t="str">
        <f>IF(42=42,IF($B42="","",AM42),"")</f>
        <v/>
      </c>
      <c r="H42" s="139" t="str">
        <f>IF(42=42,IF($B42="","",IF(ISNUMBER(SEARCH(" colin ",$AA42)),"X",AZ42)),"")</f>
        <v/>
      </c>
      <c r="I42" s="139" t="str">
        <f>IF(42=42,IF($B42="","",BB42),"")</f>
        <v/>
      </c>
      <c r="J42" s="139" t="str">
        <f>IF(42=42,IF($B42="","",BF42),"")</f>
        <v/>
      </c>
      <c r="K42" s="139" t="str">
        <f>IF(42=42,IF($B42="","",BM42),"")</f>
        <v/>
      </c>
      <c r="L42" s="139" t="str">
        <f>IF(42=42,IF($B42="","",BQ42),"")</f>
        <v/>
      </c>
      <c r="M42" s="139" t="str">
        <f>IF(42=42,IF($B42="","",BT42),"")</f>
        <v/>
      </c>
      <c r="N42" s="139" t="str">
        <f>IF(42=42,IF($B42="","",BW42),"")</f>
        <v/>
      </c>
      <c r="O42" s="139" t="str">
        <f>IF(42=42,IF($B42="","",BZ42),"")</f>
        <v/>
      </c>
      <c r="P42" s="139" t="str">
        <f>IF(42=42,IF($B42="","",CC42),"")</f>
        <v/>
      </c>
      <c r="Q42" s="139" t="str">
        <f>IF(42=42,IF($B42="","",CF42),"")</f>
        <v/>
      </c>
      <c r="R42" s="139" t="str">
        <f>IF(42=42,IF($B42="","",CL42),"")</f>
        <v>X</v>
      </c>
      <c r="S42" s="140" t="str">
        <f>IF(42=42,IF($B42="","",IF(E42="?",""&amp;"Céréales contenant du gluten","")&amp;IF(F42="?",IF(COUNTIF($E42:$E42,"~?")&gt;0,", ","")&amp;"Crustacés","")&amp;IF(G42="?",IF(COUNTIF($E42:$F42,"~?")&gt;0,", ","")&amp;"Œufs","")&amp;IF(H42="?",IF(COUNTIF($E42:$G42,"~?")&gt;0,", ","")&amp;"Poissons","")&amp;IF(I42="?",IF(COUNTIF($E42:$H42,"~?")&gt;0,", ","")&amp;"Arachides","")&amp;IF(J42="?",IF(COUNTIF($E42:$I42,"~?")&gt;0,", ","")&amp;"Soja","")&amp;IF(K42="?",IF(COUNTIF($E42:$J42,"~?")&gt;0,", ","")&amp;"Lait","")&amp;IF(L42="?",IF(COUNTIF($E42:$K42,"~?")&gt;0,", ","")&amp;"Fruits à coque","")&amp;IF(M42="?",IF(COUNTIF($E42:$L42,"~?")&gt;0,", ","")&amp;"Céleri","")&amp;IF(N42="?",IF(COUNTIF($E42:$M42,"~?")&gt;0,", ","")&amp;"Moutarde","")&amp;IF(O42="?",IF(COUNTIF($E42:$N42,"~?")&gt;0,", ","")&amp;"Sésame","")&amp;IF(P42="?",IF(COUNTIF($E42:$O42,"~?")&gt;0,", ","")&amp;"Sulfites","")&amp;IF(Q42="?",IF(COUNTIF($E42:$P42,"~?")&gt;0,", ","")&amp;"Lupin","")&amp;IF(R42="?",IF(COUNTIF($E42:$Q42,"~?")&gt;0,", ","")&amp;"Mollusques","")),"")</f>
        <v/>
      </c>
      <c r="U42" s="93" t="str">
        <f>IF(42=42,IF($B42="","",$B42),"")</f>
        <v>Moules «pleine eau»</v>
      </c>
      <c r="V42" s="93" t="str">
        <f>IF(42=42,LOWER(CLEAN(SUBSTITUTE(SUBSTITUTE(SUBSTITUTE(SUBSTITUTE($U42,CHAR(160)," ")," "," "),CHAR(10)," "),CHAR(13)," "))),"")</f>
        <v>moules «pleine eau»</v>
      </c>
      <c r="W42" s="93" t="str">
        <f>IF(42=42,SUBSTITUTE(SUBSTITUTE(SUBSTITUTE(SUBSTITUTE(SUBSTITUTE(SUBSTITUTE(SUBSTITUTE(SUBSTITUTE(SUBSTITUTE(SUBSTITUTE(SUBSTITUTE(SUBSTITUTE($V42,"œ","oe"),"æ","ae"),"à","a"),"á","a"),"â","a"),"ä","a"),"ã","a"),"ç","c"),"è","e"),"é","e"),"ê","e"),"ë","e"),"")</f>
        <v>moules «pleine eau»</v>
      </c>
      <c r="X42" s="93" t="str">
        <f>IF(42=42,SUBSTITUTE(SUBSTITUTE(SUBSTITUTE(SUBSTITUTE(SUBSTITUTE(SUBSTITUTE(SUBSTITUTE(SUBSTITUTE(SUBSTITUTE(SUBSTITUTE(SUBSTITUTE(SUBSTITUTE(SUBSTITUTE(SUBSTITUTE(SUBSTITUTE(SUBSTITUTE($W42,"ì","i"),"í","i"),"î","i"),"ï","i"),"ñ","n"),"ò","o"),"ó","o"),"ô","o"),"ö","o"),"õ","o"),"ù","u"),"ú","u"),"û","u"),"ü","u"),"ý","y"),"ÿ","y"),"")</f>
        <v>moules «pleine eau»</v>
      </c>
      <c r="Y42" s="93" t="str">
        <f>IF(42=42,SUBSTITUTE(SUBSTITUTE(SUBSTITUTE(SUBSTITUTE(SUBSTITUTE(SUBSTITUTE(SUBSTITUTE(SUBSTITUTE(SUBSTITUTE(SUBSTITUTE(SUBSTITUTE(SUBSTITUTE(SUBSTITUTE(SUBSTITUTE($X42,"’"," "),"`"," "),"–"," "),"—"," "),"-"," "),"'"," "),"/"," "),"_"," "),","," "),"."," "),"("," "),")"," "),";"," "),":"," "),"")</f>
        <v>moules «pleine eau»</v>
      </c>
      <c r="Z42" s="93" t="str">
        <f>IF(42=42,SUBSTITUTE(SUBSTITUTE(SUBSTITUTE(SUBSTITUTE(SUBSTITUTE(SUBSTITUTE(SUBSTITUTE(SUBSTITUTE(SUBSTITUTE(SUBSTITUTE(SUBSTITUTE(SUBSTITUTE(SUBSTITUTE(SUBSTITUTE(SUBSTITUTE($Y42,"!"," "),"?"," "),"+"," "),"*"," "),"&amp;"," "),"["," "),"]"," "),"{"," "),"}"," "),"%"," "),"="," "),"\"," "),"|"," "),"&lt;"," "),"&gt;"," "),"")</f>
        <v>moules «pleine eau»</v>
      </c>
      <c r="AA42" s="93" t="str">
        <f>IF(42=42," "&amp;TRIM(SUBSTITUTE(SUBSTITUTE(SUBSTITUTE(SUBSTITUTE(SUBSTITUTE(SUBSTITUTE($Z42,CHAR(34)," "),"  "," "),"  "," "),"  "," "),"  "," "),"  "," "))&amp;" ","")</f>
        <v xml:space="preserve"> moules «pleine eau» </v>
      </c>
      <c r="AB42" s="93">
        <f>IF(42=42,IF($U42="","",SUMPRODUCT(--ISNUMBER(SEARCH(" "&amp;$CR$2:$CR$101&amp;" ",$AD42)))),"")</f>
        <v>0</v>
      </c>
      <c r="AC42" s="93">
        <f>IF(42=42,IF($U42="","",SUMPRODUCT(--ISNUMBER(SEARCH(" "&amp;$CR$102:$CR$151&amp;" ",$AD42)))),"")</f>
        <v>0</v>
      </c>
      <c r="AD42" s="93" t="str">
        <f t="shared" si="1"/>
        <v xml:space="preserve"> moules «pleine eau» </v>
      </c>
      <c r="AE42" s="93">
        <f t="shared" si="2"/>
        <v>0</v>
      </c>
      <c r="AF42" s="93" t="str">
        <f>IF(42=42,IF($U42="","",IF(SUM(AB42:AC42)+SUMPRODUCT(--ISNUMBER(SEARCH(" "&amp;$CR$2418:$CR$2420&amp;" ",$AD42)))&gt;0,"X",IF(AE42&gt;0,"?",""))),"")</f>
        <v/>
      </c>
      <c r="AG42" s="93">
        <f>IF(42=42,IF($U42="","",SUMPRODUCT(--ISNUMBER(SEARCH(" "&amp;$CR$206:$CR$305&amp;" ",$AA42)))),"")</f>
        <v>0</v>
      </c>
      <c r="AH42" s="93">
        <f>IF(42=42,IF($U42="","",SUMPRODUCT(--ISNUMBER(SEARCH(" "&amp;$CR$306:$CR$340&amp;" ",$AA42)))),"")</f>
        <v>0</v>
      </c>
      <c r="AI42" s="93" t="str">
        <f>IF(42=42,IF($U42="","",IF((SUM(AG42:AH42))-(0)&gt;0,"X",IF((0)-(0)&gt;0,"?",""))),"")</f>
        <v/>
      </c>
      <c r="AJ42" s="93">
        <f>IF(42=42,IF($U42="","",SUMPRODUCT(--ISNUMBER(SEARCH(" "&amp;$CR$341:$CR$398&amp;" ",$AA42)))),"")</f>
        <v>0</v>
      </c>
      <c r="AK42" s="93">
        <f>IF(42=42,IF($U42="","",SUMPRODUCT(--ISNUMBER(SEARCH(" "&amp;$CR$399:$CR$426&amp;" ",$AL42)))+SUMPRODUCT(--ISNUMBER(SEARCH(" "&amp;$CR$2440:$CR$2453&amp;" ",$AL42)))),"")</f>
        <v>0</v>
      </c>
      <c r="AL42" s="93" t="str">
        <f>IF(42=42,IF($U42="","",SUBSTITUTE(SUBSTITUTE(SUBSTITUTE(SUBSTITUTE(SUBSTITUTE(SUBSTITUTE(SUBSTITUTE(SUBSTITUTE(SUBSTITUTE(SUBSTITUTE(SUBSTITUTE(SUBSTITUTE(SUBSTITUTE(SUBSTITUTE($AA42," "&amp;$CR$2455&amp;" "," ")," "&amp;$CR$433&amp;" "," ")," "&amp;$CR$431&amp;" "," ")," "&amp;$CR$2438&amp;" "," ")," "&amp;$CR$2439&amp;" "," ")," "&amp;$CR$428&amp;" "," ")," "&amp;$CR$432&amp;" "," ")," "&amp;$CR$434&amp;" "," ")," "&amp;$CR$429&amp;" "," ")," "&amp;$CR$427&amp;" "," ")," "&amp;$CR$1367&amp;" "," ")," "&amp;$CR$435&amp;" "," ")," "&amp;$CR$1366&amp;" "," ")," "&amp;$CR$430&amp;" "," ")),"")</f>
        <v xml:space="preserve"> moules «pleine eau» </v>
      </c>
      <c r="AM42" s="93" t="str">
        <f>IF(42=42,IF($U42="","",IF(AJ42&gt;0,"X",IF(AK42&gt;0,"?",""))),"")</f>
        <v/>
      </c>
      <c r="AN42" s="93">
        <f>IF(42=42,IF($U42="","",SUMPRODUCT(--ISNUMBER(SEARCH(" "&amp;$CR$436:$CR$535&amp;" ",$AX42)))),"")</f>
        <v>0</v>
      </c>
      <c r="AO42" s="93">
        <f>IF(42=42,IF($U42="","",SUMPRODUCT(--ISNUMBER(SEARCH(" "&amp;$CR$536:$CR$635&amp;" ",$AX42)))),"")</f>
        <v>0</v>
      </c>
      <c r="AP42" s="93">
        <f>IF(42=42,IF($U42="","",SUMPRODUCT(--ISNUMBER(SEARCH(" "&amp;$CR$636:$CR$735&amp;" ",$AX42)))),"")</f>
        <v>0</v>
      </c>
      <c r="AQ42" s="93">
        <f>IF(42=42,IF($U42="","",SUMPRODUCT(--ISNUMBER(SEARCH(" "&amp;$CR$736:$CR$835&amp;" ",$AX42)))),"")</f>
        <v>0</v>
      </c>
      <c r="AR42" s="93">
        <f>IF(42=42,IF($U42="","",SUMPRODUCT(--ISNUMBER(SEARCH(" "&amp;$CR$836:$CR$935&amp;" ",$AX42)))),"")</f>
        <v>0</v>
      </c>
      <c r="AS42" s="93">
        <f>IF(42=42,IF($U42="","",SUMPRODUCT(--ISNUMBER(SEARCH(" "&amp;$CR$936:$CR$1035&amp;" ",$AX42)))),"")</f>
        <v>0</v>
      </c>
      <c r="AT42" s="93">
        <f>IF(42=42,IF($U42="","",SUMPRODUCT(--ISNUMBER(SEARCH(" "&amp;$CR$1036:$CR$1135&amp;" ",$AX42)))),"")</f>
        <v>0</v>
      </c>
      <c r="AU42" s="93">
        <f>IF(42=42,IF($U42="","",SUMPRODUCT(--ISNUMBER(SEARCH(" "&amp;$CR$1136:$CR$1235&amp;" ",$AX42)))),"")</f>
        <v>0</v>
      </c>
      <c r="AV42" s="93">
        <f>IF(42=42,IF($U42="","",SUMPRODUCT(--ISNUMBER(SEARCH(" "&amp;$CR$1236:$CR$1335&amp;" ",$AX42)))),"")</f>
        <v>0</v>
      </c>
      <c r="AW42" s="93">
        <f>IF(42=42,IF($U42="","",SUMPRODUCT(--ISNUMBER(SEARCH(" "&amp;$CR$1336:$CR$1363&amp;" ",$AX42)))),"")</f>
        <v>0</v>
      </c>
      <c r="AX42" s="93" t="str">
        <f>IF(42=42,IF($U42="","",SUBSTITUTE(SUBSTITUTE(SUBSTITUTE(SUBSTITUTE(SUBSTITUTE(SUBSTITUTE(SUBSTITUTE(SUBSTITUTE(SUBSTITUTE($AA42," "&amp;$CR$1365&amp;" "," ")," "&amp;$CR$1364&amp;" "," ")," "&amp;$CR$1370&amp;" "," ")," "&amp;$CR$1371&amp;" "," ")," "&amp;$CR$1367&amp;" "," ")," "&amp;$CR$1369&amp;" "," ")," "&amp;$CR$1366&amp;" "," ")," "&amp;$CR$1368&amp;" "," ")," "&amp;$CR$1372&amp;" "," ")),"")</f>
        <v xml:space="preserve"> moules «pleine eau» </v>
      </c>
      <c r="AY42" s="93">
        <f>IF(42=42,IF($U42="","",SUMPRODUCT(--ISNUMBER(SEARCH(" "&amp;$CR$1373:$CR$1383&amp;" ",$AX42)))),"")</f>
        <v>0</v>
      </c>
      <c r="AZ42" s="93" t="str">
        <f>IF(42=42,IF($U42="","",IF(SUM(AN42:AW42)+SUMPRODUCT(--ISNUMBER(SEARCH(" "&amp;$CR$2421:$CR$2422&amp;" ",$AX42)))&gt;0,"X",IF(AY42&gt;0,"?",""))),"")</f>
        <v/>
      </c>
      <c r="BA42" s="93">
        <f>IF(42=42,IF($U42="","",SUMPRODUCT(--ISNUMBER(SEARCH(" "&amp;$CR$1384:$CR$1404&amp;" ",$AA42)))),"")</f>
        <v>0</v>
      </c>
      <c r="BB42" s="93" t="str">
        <f>IF(42=42,IF($U42="","",IF((BA42)-(0)&gt;0,"X",IF((0)-(0)&gt;0,"?",""))),"")</f>
        <v/>
      </c>
      <c r="BC42" s="93">
        <f>IF(42=42,IF($U42="","",SUMPRODUCT(--ISNUMBER(SEARCH(" "&amp;$CR$1405:$CR$1442&amp;" ",$BD42)))),"")</f>
        <v>0</v>
      </c>
      <c r="BD42" s="93" t="str">
        <f>IF(42=42,IF($U42="","",SUBSTITUTE(SUBSTITUTE($AA42," "&amp;$CR$1443&amp;" "," ")," "&amp;$CR$1444&amp;" "," ")),"")</f>
        <v xml:space="preserve"> moules «pleine eau» </v>
      </c>
      <c r="BE42" s="93">
        <f>IF(42=42,IF($U42="","",SUMPRODUCT(--ISNUMBER(SEARCH(" "&amp;$CR$1445:$CR$1455&amp;" ",$BD42)))),"")</f>
        <v>0</v>
      </c>
      <c r="BF42" s="93" t="str">
        <f>IF(42=42,IF($U42="","",IF(BC42&gt;0,"X",IF(BE42&gt;0,"?",""))),"")</f>
        <v/>
      </c>
      <c r="BG42" s="93">
        <f>IF(42=42,IF($U42="","",SUMPRODUCT(--ISNUMBER(SEARCH(" "&amp;$CR$1456:$CR$1555&amp;" ",$BJ42)))),"")</f>
        <v>0</v>
      </c>
      <c r="BH42" s="93">
        <f>IF(42=42,IF($U42="","",SUMPRODUCT(--ISNUMBER(SEARCH(" "&amp;$CR$1556:$CR$1655&amp;" ",$BJ42)))),"")</f>
        <v>0</v>
      </c>
      <c r="BI42" s="93">
        <f>IF(42=42,IF($U42="","",SUMPRODUCT(--ISNUMBER(SEARCH(" "&amp;$CR$1656:$CR$1739&amp;" ",$BJ42)))),"")</f>
        <v>0</v>
      </c>
      <c r="BJ42" s="93" t="str">
        <f>IF(42=42,IF($U42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42,"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moules «pleine eau» </v>
      </c>
      <c r="BK42" s="93">
        <f>IF(42=42,IF($U42="","",SUMPRODUCT(--ISNUMBER(SEARCH(" "&amp;$CR$1790:$CR$1869&amp;" ",$BL42)))+SUMPRODUCT(--ISNUMBER(SEARCH(" "&amp;$CR$2440:$CR$2453&amp;" ",$BL42)))),"")</f>
        <v>0</v>
      </c>
      <c r="BL42" s="93" t="str">
        <f>IF(42=42,IF($U42="","",SUBSTITUTE(SUBSTITUTE(SUBSTITUTE(SUBSTITUTE(SUBSTITUTE(SUBSTITUTE(SUBSTITUTE(SUBSTITUTE(SUBSTITUTE(SUBSTITUTE(SUBSTITUTE(SUBSTITUTE(SUBSTITUTE($BJ42," "&amp;$CR$1876&amp;" "," ")," "&amp;$CR$1874&amp;" "," ")," "&amp;$CR$2438&amp;" "," ")," "&amp;$CR$2439&amp;" "," ")," "&amp;$CR$1871&amp;" "," ")," "&amp;$CR$1875&amp;" "," ")," "&amp;$CR$1877&amp;" "," ")," "&amp;$CR$1872&amp;" "," ")," "&amp;$CR$1870&amp;" "," ")," "&amp;$CR$1367&amp;" "," ")," "&amp;$CR$1878&amp;" "," ")," "&amp;$CR$1366&amp;" "," ")," "&amp;$CR$1873&amp;" "," ")),"")</f>
        <v xml:space="preserve"> moules «pleine eau» </v>
      </c>
      <c r="BM42" s="93" t="str">
        <f>IF(42=42,IF($U42="","",IF(SUM(BG42:BI42)+SUMPRODUCT(--ISNUMBER(SEARCH(" "&amp;$CR$2423:$CR$2424&amp;" ",$BJ42)))&gt;0,"X",IF(BK42&gt;0,"?",""))),"")</f>
        <v/>
      </c>
      <c r="BN42" s="93">
        <f>IF(42=42,IF($U42="","",SUMPRODUCT(--ISNUMBER(SEARCH(" "&amp;$CR$1879:$CR$1936&amp;" ",$BO42)))),"")</f>
        <v>0</v>
      </c>
      <c r="BO42" s="93" t="str">
        <f>IF(42=42,IF($U42="","",SUBSTITUTE(SUBSTITUTE(SUBSTITUTE(SUBSTITUTE(SUBSTITUTE(SUBSTITUTE(SUBSTITUTE(SUBSTITUTE(SUBSTITUTE(SUBSTITUTE(SUBSTITUTE(SUBSTITUTE(SUBSTITUTE(SUBSTITUTE(SUBSTITUTE(SUBSTITUTE(SUBSTITUTE(SUBSTITUTE(SUBSTITUTE(SUBSTITUTE(SUBSTITUTE(SUBSTITUTE(SUBSTITUTE($AA42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moules «pleine eau» </v>
      </c>
      <c r="BP42" s="93">
        <f>IF(42=42,IF($U42="","",SUMPRODUCT(--ISNUMBER(SEARCH(" "&amp;$CR$1960:$CR$1976&amp;" ",$BO42)))),"")</f>
        <v>0</v>
      </c>
      <c r="BQ42" s="93" t="str">
        <f>IF(42=42,IF($U42="","",IF(BN42&gt;0,"X",IF(BP42&gt;0,"?",""))),"")</f>
        <v/>
      </c>
      <c r="BR42" s="93">
        <f>IF(42=42,IF($U42="","",SUMPRODUCT(--ISNUMBER(SEARCH(" "&amp;$CR$1977:$CR$1990&amp;" ",$AA42)))),"")</f>
        <v>0</v>
      </c>
      <c r="BS42" s="93">
        <f>IF(42=42,IF($U42="","",SUMPRODUCT(--ISNUMBER(SEARCH(" "&amp;$CR$1991:$CR$2005&amp;" ",$AA42)))),"")</f>
        <v>0</v>
      </c>
      <c r="BT42" s="93" t="str">
        <f>IF(42=42,IF($U42="","",IF((BR42)-(0)&gt;0,"X",IF((BS42)-(0)&gt;0,"?",""))),"")</f>
        <v/>
      </c>
      <c r="BU42" s="93">
        <f>IF(42=42,IF($U42="","",SUMPRODUCT(--ISNUMBER(SEARCH(" "&amp;$CR$2006:$CR$2023&amp;" ",$AA42)))),"")</f>
        <v>0</v>
      </c>
      <c r="BV42" s="93">
        <f>IF(42=42,IF($U42="","",SUMPRODUCT(--ISNUMBER(SEARCH(" "&amp;$CR$2024:$CR$2038&amp;" ",$AA42)))),"")</f>
        <v>0</v>
      </c>
      <c r="BW42" s="93" t="str">
        <f>IF(42=42,IF($U42="","",IF((BU42)-(0)&gt;0,"X",IF((BV42)-(0)&gt;0,"?",""))),"")</f>
        <v/>
      </c>
      <c r="BX42" s="93">
        <f>IF(42=42,IF($U42="","",SUMPRODUCT(--ISNUMBER(SEARCH(" "&amp;$CR$2039:$CR$2057&amp;" ",$AA42)))),"")</f>
        <v>0</v>
      </c>
      <c r="BY42" s="93">
        <f>IF(42=42,IF($U42="","",SUMPRODUCT(--ISNUMBER(SEARCH(" "&amp;$CR$2058:$CR$2072&amp;" ",$AA42)))),"")</f>
        <v>0</v>
      </c>
      <c r="BZ42" s="93" t="str">
        <f>IF(42=42,IF($U42="","",IF((BX42)-(0)&gt;0,"X",IF((BY42)-(0)&gt;0,"?",""))),"")</f>
        <v/>
      </c>
      <c r="CA42" s="93">
        <f>IF(42=42,IF($U42="","",SUMPRODUCT(--ISNUMBER(SEARCH(" "&amp;$CR$2073:$CR$2093&amp;" ",$AA42)))),"")</f>
        <v>0</v>
      </c>
      <c r="CB42" s="93">
        <f>IF(42=42,IF($U42="","",SUMPRODUCT(--ISNUMBER(SEARCH(" "&amp;$CR$2094:$CR$2133&amp;" ",SUBSTITUTE(SUBSTITUTE($AA42," "&amp;$CR$1367&amp;" "," ")," "&amp;$CR$1366&amp;" "," "))))+--ISNUMBER(SEARCH("poiré",$V42))),"")</f>
        <v>0</v>
      </c>
      <c r="CC42" s="93" t="str">
        <f>IF(42=42,IF($U42="","",IF(OR(CA42&gt;0,ISNUMBER(SEARCH(" vinaigre de vin ",$AA42)),ISNUMBER(SEARCH(" vinaigre au vin ",$AA42))),"X",IF(CB42&gt;0,"?",""))),"")</f>
        <v/>
      </c>
      <c r="CD42" s="93">
        <f>IF(42=42,IF($U42="","",SUMPRODUCT(--ISNUMBER(SEARCH(" "&amp;$CR$2134:$CR$2146&amp;" ",$AA42)))),"")</f>
        <v>0</v>
      </c>
      <c r="CE42" s="93">
        <f>IF(42=42,IF($U42="","",SUMPRODUCT(--ISNUMBER(SEARCH(" "&amp;$CR$2147:$CR$2152&amp;" ",$AA42)))),"")</f>
        <v>0</v>
      </c>
      <c r="CF42" s="93" t="str">
        <f>IF(42=42,IF($U42="","",IF((CD42)-(0)&gt;0,"X",IF((CE42)-(0)&gt;0,"?",""))),"")</f>
        <v/>
      </c>
      <c r="CG42" s="93">
        <f>IF(42=42,IF($U42="","",SUMPRODUCT(--ISNUMBER(SEARCH(" "&amp;$CR$2153:$CR$2252&amp;" ",$CJ42)))),"")</f>
        <v>0</v>
      </c>
      <c r="CH42" s="93">
        <f>IF(42=42,IF($U42="","",SUMPRODUCT(--ISNUMBER(SEARCH(" "&amp;$CR$2253:$CR$2352&amp;" ",$CJ42)))),"")</f>
        <v>1</v>
      </c>
      <c r="CI42" s="93">
        <f>IF(42=42,IF($U42="","",SUMPRODUCT(--ISNUMBER(SEARCH(" "&amp;$CR$2353:$CR$2395&amp;" ",$CJ42)))),"")</f>
        <v>0</v>
      </c>
      <c r="CJ42" s="93" t="str">
        <f>IF(42=42,IF($U42="","",SUBSTITUTE(SUBSTITUTE(SUBSTITUTE(SUBSTITUTE(SUBSTITUTE(SUBSTITUTE(SUBSTITUTE(SUBSTITUTE(SUBSTITUTE(SUBSTITUTE(SUBSTITUTE(SUBSTITUTE(SUBSTITUTE(SUBSTITUTE(SUBSTITUTE(SUBSTITUTE($AA42," "&amp;$CR$2401&amp;" "," ")," "&amp;$CR$2400&amp;" "," ")," "&amp;$CR$2399&amp;" "," ")," "&amp;$CR$2406&amp;" "," ")," "&amp;$CR$2398&amp;" "," ")," "&amp;$CR$2410&amp;" "," ")," "&amp;$CR$2397&amp;" "," ")," "&amp;$CR$2402&amp;" "," ")," "&amp;$CR$2405&amp;" "," ")," "&amp;$CR$2396&amp;" "," ")," "&amp;$CR$2404&amp;" "," ")," "&amp;$CR$2411&amp;" "," ")," "&amp;$CR$2408&amp;" "," ")," "&amp;$CR$2403&amp;" "," ")," "&amp;$CR$2407&amp;" "," ")," "&amp;$CR$2409&amp;" "," ")),"")</f>
        <v xml:space="preserve"> moules «pleine eau» </v>
      </c>
      <c r="CK42" s="93">
        <f>IF(42=42,IF($U42="","",SUMPRODUCT(--ISNUMBER(SEARCH(" "&amp;$CR$2412:$CR$2416&amp;" ",$CJ42)))),"")</f>
        <v>0</v>
      </c>
      <c r="CL42" s="93" t="str">
        <f>IF(42=42,IF($U42="","",IF(SUM(CG42:CI42)&gt;0,"X",IF(CK42&gt;0,"?",""))),"")</f>
        <v>X</v>
      </c>
      <c r="CM42" s="102"/>
      <c r="CN42" s="112" t="s">
        <v>702</v>
      </c>
      <c r="CO42" s="112" t="s">
        <v>522</v>
      </c>
      <c r="CP42" s="112" t="s">
        <v>523</v>
      </c>
      <c r="CQ42" s="112" t="s">
        <v>703</v>
      </c>
      <c r="CR42" s="112" t="s">
        <v>704</v>
      </c>
      <c r="CS42" s="112" t="s">
        <v>525</v>
      </c>
      <c r="CT42" s="112" t="s">
        <v>526</v>
      </c>
      <c r="CU42" s="112" t="s">
        <v>527</v>
      </c>
      <c r="CV42" s="113" t="s">
        <v>528</v>
      </c>
      <c r="CX42" s="36">
        <v>1</v>
      </c>
    </row>
    <row r="43" spans="1:102" ht="21" customHeight="1" x14ac:dyDescent="0.25">
      <c r="A43" s="135">
        <v>37</v>
      </c>
      <c r="B43" s="136" t="s">
        <v>167</v>
      </c>
      <c r="C43" s="137" t="str">
        <f t="shared" si="0"/>
        <v>Muscade</v>
      </c>
      <c r="D43" s="138" t="str">
        <f>IF(43=43,IF($B43="","",IF(E43="X",""&amp;"Céréales contenant du gluten","")&amp;IF(F43="X",IF(COUNTIF($E43:$E43,"X")&gt;0,", ","")&amp;"Crustacés","")&amp;IF(G43="X",IF(COUNTIF($E43:$F43,"X")&gt;0,", ","")&amp;"Œufs","")&amp;IF(H43="X",IF(COUNTIF($E43:$G43,"X")&gt;0,", ","")&amp;"Poissons","")&amp;IF(I43="X",IF(COUNTIF($E43:$H43,"X")&gt;0,", ","")&amp;"Arachides","")&amp;IF(J43="X",IF(COUNTIF($E43:$I43,"X")&gt;0,", ","")&amp;"Soja","")&amp;IF(K43="X",IF(COUNTIF($E43:$J43,"X")&gt;0,", ","")&amp;"Lait","")&amp;IF(L43="X",IF(COUNTIF($E43:$K43,"X")&gt;0,", ","")&amp;"Fruits à coque","")&amp;IF(M43="X",IF(COUNTIF($E43:$L43,"X")&gt;0,", ","")&amp;"Céleri","")&amp;IF(N43="X",IF(COUNTIF($E43:$M43,"X")&gt;0,", ","")&amp;"Moutarde","")&amp;IF(O43="X",IF(COUNTIF($E43:$N43,"X")&gt;0,", ","")&amp;"Sésame","")&amp;IF(P43="X",IF(COUNTIF($E43:$O43,"X")&gt;0,", ","")&amp;"Sulfites","")&amp;IF(Q43="X",IF(COUNTIF($E43:$P43,"X")&gt;0,", ","")&amp;"Lupin","")&amp;IF(R43="X",IF(COUNTIF($E43:$Q43,"X")&gt;0,", ","")&amp;"Mollusques","")),"")</f>
        <v/>
      </c>
      <c r="E43" s="139" t="str">
        <f>IF(43=43,IF($B43="","",AF43),"")</f>
        <v/>
      </c>
      <c r="F43" s="139" t="str">
        <f>IF(43=43,IF($B43="","",AI43),"")</f>
        <v/>
      </c>
      <c r="G43" s="139" t="str">
        <f>IF(43=43,IF($B43="","",AM43),"")</f>
        <v/>
      </c>
      <c r="H43" s="139" t="str">
        <f>IF(43=43,IF($B43="","",IF(ISNUMBER(SEARCH(" colin ",$AA43)),"X",AZ43)),"")</f>
        <v/>
      </c>
      <c r="I43" s="139" t="str">
        <f>IF(43=43,IF($B43="","",BB43),"")</f>
        <v/>
      </c>
      <c r="J43" s="139" t="str">
        <f>IF(43=43,IF($B43="","",BF43),"")</f>
        <v/>
      </c>
      <c r="K43" s="139" t="str">
        <f>IF(43=43,IF($B43="","",BM43),"")</f>
        <v/>
      </c>
      <c r="L43" s="139" t="str">
        <f>IF(43=43,IF($B43="","",BQ43),"")</f>
        <v/>
      </c>
      <c r="M43" s="139" t="str">
        <f>IF(43=43,IF($B43="","",BT43),"")</f>
        <v/>
      </c>
      <c r="N43" s="139" t="str">
        <f>IF(43=43,IF($B43="","",BW43),"")</f>
        <v/>
      </c>
      <c r="O43" s="139" t="str">
        <f>IF(43=43,IF($B43="","",BZ43),"")</f>
        <v/>
      </c>
      <c r="P43" s="139" t="str">
        <f>IF(43=43,IF($B43="","",CC43),"")</f>
        <v/>
      </c>
      <c r="Q43" s="139" t="str">
        <f>IF(43=43,IF($B43="","",CF43),"")</f>
        <v/>
      </c>
      <c r="R43" s="139" t="str">
        <f>IF(43=43,IF($B43="","",CL43),"")</f>
        <v/>
      </c>
      <c r="S43" s="140" t="str">
        <f>IF(43=43,IF($B43="","",IF(E43="?",""&amp;"Céréales contenant du gluten","")&amp;IF(F43="?",IF(COUNTIF($E43:$E43,"~?")&gt;0,", ","")&amp;"Crustacés","")&amp;IF(G43="?",IF(COUNTIF($E43:$F43,"~?")&gt;0,", ","")&amp;"Œufs","")&amp;IF(H43="?",IF(COUNTIF($E43:$G43,"~?")&gt;0,", ","")&amp;"Poissons","")&amp;IF(I43="?",IF(COUNTIF($E43:$H43,"~?")&gt;0,", ","")&amp;"Arachides","")&amp;IF(J43="?",IF(COUNTIF($E43:$I43,"~?")&gt;0,", ","")&amp;"Soja","")&amp;IF(K43="?",IF(COUNTIF($E43:$J43,"~?")&gt;0,", ","")&amp;"Lait","")&amp;IF(L43="?",IF(COUNTIF($E43:$K43,"~?")&gt;0,", ","")&amp;"Fruits à coque","")&amp;IF(M43="?",IF(COUNTIF($E43:$L43,"~?")&gt;0,", ","")&amp;"Céleri","")&amp;IF(N43="?",IF(COUNTIF($E43:$M43,"~?")&gt;0,", ","")&amp;"Moutarde","")&amp;IF(O43="?",IF(COUNTIF($E43:$N43,"~?")&gt;0,", ","")&amp;"Sésame","")&amp;IF(P43="?",IF(COUNTIF($E43:$O43,"~?")&gt;0,", ","")&amp;"Sulfites","")&amp;IF(Q43="?",IF(COUNTIF($E43:$P43,"~?")&gt;0,", ","")&amp;"Lupin","")&amp;IF(R43="?",IF(COUNTIF($E43:$Q43,"~?")&gt;0,", ","")&amp;"Mollusques","")),"")</f>
        <v/>
      </c>
      <c r="U43" s="93" t="str">
        <f>IF(43=43,IF($B43="","",$B43),"")</f>
        <v>Muscade</v>
      </c>
      <c r="V43" s="93" t="str">
        <f>IF(43=43,LOWER(CLEAN(SUBSTITUTE(SUBSTITUTE(SUBSTITUTE(SUBSTITUTE($U43,CHAR(160)," ")," "," "),CHAR(10)," "),CHAR(13)," "))),"")</f>
        <v>muscade</v>
      </c>
      <c r="W43" s="93" t="str">
        <f>IF(43=43,SUBSTITUTE(SUBSTITUTE(SUBSTITUTE(SUBSTITUTE(SUBSTITUTE(SUBSTITUTE(SUBSTITUTE(SUBSTITUTE(SUBSTITUTE(SUBSTITUTE(SUBSTITUTE(SUBSTITUTE($V43,"œ","oe"),"æ","ae"),"à","a"),"á","a"),"â","a"),"ä","a"),"ã","a"),"ç","c"),"è","e"),"é","e"),"ê","e"),"ë","e"),"")</f>
        <v>muscade</v>
      </c>
      <c r="X43" s="93" t="str">
        <f>IF(43=43,SUBSTITUTE(SUBSTITUTE(SUBSTITUTE(SUBSTITUTE(SUBSTITUTE(SUBSTITUTE(SUBSTITUTE(SUBSTITUTE(SUBSTITUTE(SUBSTITUTE(SUBSTITUTE(SUBSTITUTE(SUBSTITUTE(SUBSTITUTE(SUBSTITUTE(SUBSTITUTE($W43,"ì","i"),"í","i"),"î","i"),"ï","i"),"ñ","n"),"ò","o"),"ó","o"),"ô","o"),"ö","o"),"õ","o"),"ù","u"),"ú","u"),"û","u"),"ü","u"),"ý","y"),"ÿ","y"),"")</f>
        <v>muscade</v>
      </c>
      <c r="Y43" s="93" t="str">
        <f>IF(43=43,SUBSTITUTE(SUBSTITUTE(SUBSTITUTE(SUBSTITUTE(SUBSTITUTE(SUBSTITUTE(SUBSTITUTE(SUBSTITUTE(SUBSTITUTE(SUBSTITUTE(SUBSTITUTE(SUBSTITUTE(SUBSTITUTE(SUBSTITUTE($X43,"’"," "),"`"," "),"–"," "),"—"," "),"-"," "),"'"," "),"/"," "),"_"," "),","," "),"."," "),"("," "),")"," "),";"," "),":"," "),"")</f>
        <v>muscade</v>
      </c>
      <c r="Z43" s="93" t="str">
        <f>IF(43=43,SUBSTITUTE(SUBSTITUTE(SUBSTITUTE(SUBSTITUTE(SUBSTITUTE(SUBSTITUTE(SUBSTITUTE(SUBSTITUTE(SUBSTITUTE(SUBSTITUTE(SUBSTITUTE(SUBSTITUTE(SUBSTITUTE(SUBSTITUTE(SUBSTITUTE($Y43,"!"," "),"?"," "),"+"," "),"*"," "),"&amp;"," "),"["," "),"]"," "),"{"," "),"}"," "),"%"," "),"="," "),"\"," "),"|"," "),"&lt;"," "),"&gt;"," "),"")</f>
        <v>muscade</v>
      </c>
      <c r="AA43" s="93" t="str">
        <f>IF(43=43," "&amp;TRIM(SUBSTITUTE(SUBSTITUTE(SUBSTITUTE(SUBSTITUTE(SUBSTITUTE(SUBSTITUTE($Z43,CHAR(34)," "),"  "," "),"  "," "),"  "," "),"  "," "),"  "," "))&amp;" ","")</f>
        <v xml:space="preserve"> muscade </v>
      </c>
      <c r="AB43" s="93">
        <f>IF(43=43,IF($U43="","",SUMPRODUCT(--ISNUMBER(SEARCH(" "&amp;$CR$2:$CR$101&amp;" ",$AD43)))),"")</f>
        <v>0</v>
      </c>
      <c r="AC43" s="93">
        <f>IF(43=43,IF($U43="","",SUMPRODUCT(--ISNUMBER(SEARCH(" "&amp;$CR$102:$CR$151&amp;" ",$AD43)))),"")</f>
        <v>0</v>
      </c>
      <c r="AD43" s="93" t="str">
        <f t="shared" si="1"/>
        <v xml:space="preserve"> muscade </v>
      </c>
      <c r="AE43" s="93">
        <f t="shared" si="2"/>
        <v>0</v>
      </c>
      <c r="AF43" s="93" t="str">
        <f>IF(43=43,IF($U43="","",IF(SUM(AB43:AC43)+SUMPRODUCT(--ISNUMBER(SEARCH(" "&amp;$CR$2418:$CR$2420&amp;" ",$AD43)))&gt;0,"X",IF(AE43&gt;0,"?",""))),"")</f>
        <v/>
      </c>
      <c r="AG43" s="93">
        <f>IF(43=43,IF($U43="","",SUMPRODUCT(--ISNUMBER(SEARCH(" "&amp;$CR$206:$CR$305&amp;" ",$AA43)))),"")</f>
        <v>0</v>
      </c>
      <c r="AH43" s="93">
        <f>IF(43=43,IF($U43="","",SUMPRODUCT(--ISNUMBER(SEARCH(" "&amp;$CR$306:$CR$340&amp;" ",$AA43)))),"")</f>
        <v>0</v>
      </c>
      <c r="AI43" s="93" t="str">
        <f>IF(43=43,IF($U43="","",IF((SUM(AG43:AH43))-(0)&gt;0,"X",IF((0)-(0)&gt;0,"?",""))),"")</f>
        <v/>
      </c>
      <c r="AJ43" s="93">
        <f>IF(43=43,IF($U43="","",SUMPRODUCT(--ISNUMBER(SEARCH(" "&amp;$CR$341:$CR$398&amp;" ",$AA43)))),"")</f>
        <v>0</v>
      </c>
      <c r="AK43" s="93">
        <f>IF(43=43,IF($U43="","",SUMPRODUCT(--ISNUMBER(SEARCH(" "&amp;$CR$399:$CR$426&amp;" ",$AL43)))+SUMPRODUCT(--ISNUMBER(SEARCH(" "&amp;$CR$2440:$CR$2453&amp;" ",$AL43)))),"")</f>
        <v>0</v>
      </c>
      <c r="AL43" s="93" t="str">
        <f>IF(43=43,IF($U43="","",SUBSTITUTE(SUBSTITUTE(SUBSTITUTE(SUBSTITUTE(SUBSTITUTE(SUBSTITUTE(SUBSTITUTE(SUBSTITUTE(SUBSTITUTE(SUBSTITUTE(SUBSTITUTE(SUBSTITUTE(SUBSTITUTE(SUBSTITUTE($AA43," "&amp;$CR$2455&amp;" "," ")," "&amp;$CR$433&amp;" "," ")," "&amp;$CR$431&amp;" "," ")," "&amp;$CR$2438&amp;" "," ")," "&amp;$CR$2439&amp;" "," ")," "&amp;$CR$428&amp;" "," ")," "&amp;$CR$432&amp;" "," ")," "&amp;$CR$434&amp;" "," ")," "&amp;$CR$429&amp;" "," ")," "&amp;$CR$427&amp;" "," ")," "&amp;$CR$1367&amp;" "," ")," "&amp;$CR$435&amp;" "," ")," "&amp;$CR$1366&amp;" "," ")," "&amp;$CR$430&amp;" "," ")),"")</f>
        <v xml:space="preserve"> muscade </v>
      </c>
      <c r="AM43" s="93" t="str">
        <f>IF(43=43,IF($U43="","",IF(AJ43&gt;0,"X",IF(AK43&gt;0,"?",""))),"")</f>
        <v/>
      </c>
      <c r="AN43" s="93">
        <f>IF(43=43,IF($U43="","",SUMPRODUCT(--ISNUMBER(SEARCH(" "&amp;$CR$436:$CR$535&amp;" ",$AX43)))),"")</f>
        <v>0</v>
      </c>
      <c r="AO43" s="93">
        <f>IF(43=43,IF($U43="","",SUMPRODUCT(--ISNUMBER(SEARCH(" "&amp;$CR$536:$CR$635&amp;" ",$AX43)))),"")</f>
        <v>0</v>
      </c>
      <c r="AP43" s="93">
        <f>IF(43=43,IF($U43="","",SUMPRODUCT(--ISNUMBER(SEARCH(" "&amp;$CR$636:$CR$735&amp;" ",$AX43)))),"")</f>
        <v>0</v>
      </c>
      <c r="AQ43" s="93">
        <f>IF(43=43,IF($U43="","",SUMPRODUCT(--ISNUMBER(SEARCH(" "&amp;$CR$736:$CR$835&amp;" ",$AX43)))),"")</f>
        <v>0</v>
      </c>
      <c r="AR43" s="93">
        <f>IF(43=43,IF($U43="","",SUMPRODUCT(--ISNUMBER(SEARCH(" "&amp;$CR$836:$CR$935&amp;" ",$AX43)))),"")</f>
        <v>0</v>
      </c>
      <c r="AS43" s="93">
        <f>IF(43=43,IF($U43="","",SUMPRODUCT(--ISNUMBER(SEARCH(" "&amp;$CR$936:$CR$1035&amp;" ",$AX43)))),"")</f>
        <v>0</v>
      </c>
      <c r="AT43" s="93">
        <f>IF(43=43,IF($U43="","",SUMPRODUCT(--ISNUMBER(SEARCH(" "&amp;$CR$1036:$CR$1135&amp;" ",$AX43)))),"")</f>
        <v>0</v>
      </c>
      <c r="AU43" s="93">
        <f>IF(43=43,IF($U43="","",SUMPRODUCT(--ISNUMBER(SEARCH(" "&amp;$CR$1136:$CR$1235&amp;" ",$AX43)))),"")</f>
        <v>0</v>
      </c>
      <c r="AV43" s="93">
        <f>IF(43=43,IF($U43="","",SUMPRODUCT(--ISNUMBER(SEARCH(" "&amp;$CR$1236:$CR$1335&amp;" ",$AX43)))),"")</f>
        <v>0</v>
      </c>
      <c r="AW43" s="93">
        <f>IF(43=43,IF($U43="","",SUMPRODUCT(--ISNUMBER(SEARCH(" "&amp;$CR$1336:$CR$1363&amp;" ",$AX43)))),"")</f>
        <v>0</v>
      </c>
      <c r="AX43" s="93" t="str">
        <f>IF(43=43,IF($U43="","",SUBSTITUTE(SUBSTITUTE(SUBSTITUTE(SUBSTITUTE(SUBSTITUTE(SUBSTITUTE(SUBSTITUTE(SUBSTITUTE(SUBSTITUTE($AA43," "&amp;$CR$1365&amp;" "," ")," "&amp;$CR$1364&amp;" "," ")," "&amp;$CR$1370&amp;" "," ")," "&amp;$CR$1371&amp;" "," ")," "&amp;$CR$1367&amp;" "," ")," "&amp;$CR$1369&amp;" "," ")," "&amp;$CR$1366&amp;" "," ")," "&amp;$CR$1368&amp;" "," ")," "&amp;$CR$1372&amp;" "," ")),"")</f>
        <v xml:space="preserve"> muscade </v>
      </c>
      <c r="AY43" s="93">
        <f>IF(43=43,IF($U43="","",SUMPRODUCT(--ISNUMBER(SEARCH(" "&amp;$CR$1373:$CR$1383&amp;" ",$AX43)))),"")</f>
        <v>0</v>
      </c>
      <c r="AZ43" s="93" t="str">
        <f>IF(43=43,IF($U43="","",IF(SUM(AN43:AW43)+SUMPRODUCT(--ISNUMBER(SEARCH(" "&amp;$CR$2421:$CR$2422&amp;" ",$AX43)))&gt;0,"X",IF(AY43&gt;0,"?",""))),"")</f>
        <v/>
      </c>
      <c r="BA43" s="93">
        <f>IF(43=43,IF($U43="","",SUMPRODUCT(--ISNUMBER(SEARCH(" "&amp;$CR$1384:$CR$1404&amp;" ",$AA43)))),"")</f>
        <v>0</v>
      </c>
      <c r="BB43" s="93" t="str">
        <f>IF(43=43,IF($U43="","",IF((BA43)-(0)&gt;0,"X",IF((0)-(0)&gt;0,"?",""))),"")</f>
        <v/>
      </c>
      <c r="BC43" s="93">
        <f>IF(43=43,IF($U43="","",SUMPRODUCT(--ISNUMBER(SEARCH(" "&amp;$CR$1405:$CR$1442&amp;" ",$BD43)))),"")</f>
        <v>0</v>
      </c>
      <c r="BD43" s="93" t="str">
        <f>IF(43=43,IF($U43="","",SUBSTITUTE(SUBSTITUTE($AA43," "&amp;$CR$1443&amp;" "," ")," "&amp;$CR$1444&amp;" "," ")),"")</f>
        <v xml:space="preserve"> muscade </v>
      </c>
      <c r="BE43" s="93">
        <f>IF(43=43,IF($U43="","",SUMPRODUCT(--ISNUMBER(SEARCH(" "&amp;$CR$1445:$CR$1455&amp;" ",$BD43)))),"")</f>
        <v>0</v>
      </c>
      <c r="BF43" s="93" t="str">
        <f>IF(43=43,IF($U43="","",IF(BC43&gt;0,"X",IF(BE43&gt;0,"?",""))),"")</f>
        <v/>
      </c>
      <c r="BG43" s="93">
        <f>IF(43=43,IF($U43="","",SUMPRODUCT(--ISNUMBER(SEARCH(" "&amp;$CR$1456:$CR$1555&amp;" ",$BJ43)))),"")</f>
        <v>0</v>
      </c>
      <c r="BH43" s="93">
        <f>IF(43=43,IF($U43="","",SUMPRODUCT(--ISNUMBER(SEARCH(" "&amp;$CR$1556:$CR$1655&amp;" ",$BJ43)))),"")</f>
        <v>0</v>
      </c>
      <c r="BI43" s="93">
        <f>IF(43=43,IF($U43="","",SUMPRODUCT(--ISNUMBER(SEARCH(" "&amp;$CR$1656:$CR$1739&amp;" ",$BJ43)))),"")</f>
        <v>0</v>
      </c>
      <c r="BJ43" s="93" t="str">
        <f>IF(43=43,IF($U43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43,"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muscade </v>
      </c>
      <c r="BK43" s="93">
        <f>IF(43=43,IF($U43="","",SUMPRODUCT(--ISNUMBER(SEARCH(" "&amp;$CR$1790:$CR$1869&amp;" ",$BL43)))+SUMPRODUCT(--ISNUMBER(SEARCH(" "&amp;$CR$2440:$CR$2453&amp;" ",$BL43)))),"")</f>
        <v>0</v>
      </c>
      <c r="BL43" s="93" t="str">
        <f>IF(43=43,IF($U43="","",SUBSTITUTE(SUBSTITUTE(SUBSTITUTE(SUBSTITUTE(SUBSTITUTE(SUBSTITUTE(SUBSTITUTE(SUBSTITUTE(SUBSTITUTE(SUBSTITUTE(SUBSTITUTE(SUBSTITUTE(SUBSTITUTE($BJ43," "&amp;$CR$1876&amp;" "," ")," "&amp;$CR$1874&amp;" "," ")," "&amp;$CR$2438&amp;" "," ")," "&amp;$CR$2439&amp;" "," ")," "&amp;$CR$1871&amp;" "," ")," "&amp;$CR$1875&amp;" "," ")," "&amp;$CR$1877&amp;" "," ")," "&amp;$CR$1872&amp;" "," ")," "&amp;$CR$1870&amp;" "," ")," "&amp;$CR$1367&amp;" "," ")," "&amp;$CR$1878&amp;" "," ")," "&amp;$CR$1366&amp;" "," ")," "&amp;$CR$1873&amp;" "," ")),"")</f>
        <v xml:space="preserve"> muscade </v>
      </c>
      <c r="BM43" s="93" t="str">
        <f>IF(43=43,IF($U43="","",IF(SUM(BG43:BI43)+SUMPRODUCT(--ISNUMBER(SEARCH(" "&amp;$CR$2423:$CR$2424&amp;" ",$BJ43)))&gt;0,"X",IF(BK43&gt;0,"?",""))),"")</f>
        <v/>
      </c>
      <c r="BN43" s="93">
        <f>IF(43=43,IF($U43="","",SUMPRODUCT(--ISNUMBER(SEARCH(" "&amp;$CR$1879:$CR$1936&amp;" ",$BO43)))),"")</f>
        <v>0</v>
      </c>
      <c r="BO43" s="93" t="str">
        <f>IF(43=43,IF($U43="","",SUBSTITUTE(SUBSTITUTE(SUBSTITUTE(SUBSTITUTE(SUBSTITUTE(SUBSTITUTE(SUBSTITUTE(SUBSTITUTE(SUBSTITUTE(SUBSTITUTE(SUBSTITUTE(SUBSTITUTE(SUBSTITUTE(SUBSTITUTE(SUBSTITUTE(SUBSTITUTE(SUBSTITUTE(SUBSTITUTE(SUBSTITUTE(SUBSTITUTE(SUBSTITUTE(SUBSTITUTE(SUBSTITUTE($AA43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v>
      </c>
      <c r="BP43" s="93">
        <f>IF(43=43,IF($U43="","",SUMPRODUCT(--ISNUMBER(SEARCH(" "&amp;$CR$1960:$CR$1976&amp;" ",$BO43)))),"")</f>
        <v>0</v>
      </c>
      <c r="BQ43" s="93" t="str">
        <f>IF(43=43,IF($U43="","",IF(BN43&gt;0,"X",IF(BP43&gt;0,"?",""))),"")</f>
        <v/>
      </c>
      <c r="BR43" s="93">
        <f>IF(43=43,IF($U43="","",SUMPRODUCT(--ISNUMBER(SEARCH(" "&amp;$CR$1977:$CR$1990&amp;" ",$AA43)))),"")</f>
        <v>0</v>
      </c>
      <c r="BS43" s="93">
        <f>IF(43=43,IF($U43="","",SUMPRODUCT(--ISNUMBER(SEARCH(" "&amp;$CR$1991:$CR$2005&amp;" ",$AA43)))),"")</f>
        <v>0</v>
      </c>
      <c r="BT43" s="93" t="str">
        <f>IF(43=43,IF($U43="","",IF((BR43)-(0)&gt;0,"X",IF((BS43)-(0)&gt;0,"?",""))),"")</f>
        <v/>
      </c>
      <c r="BU43" s="93">
        <f>IF(43=43,IF($U43="","",SUMPRODUCT(--ISNUMBER(SEARCH(" "&amp;$CR$2006:$CR$2023&amp;" ",$AA43)))),"")</f>
        <v>0</v>
      </c>
      <c r="BV43" s="93">
        <f>IF(43=43,IF($U43="","",SUMPRODUCT(--ISNUMBER(SEARCH(" "&amp;$CR$2024:$CR$2038&amp;" ",$AA43)))),"")</f>
        <v>0</v>
      </c>
      <c r="BW43" s="93" t="str">
        <f>IF(43=43,IF($U43="","",IF((BU43)-(0)&gt;0,"X",IF((BV43)-(0)&gt;0,"?",""))),"")</f>
        <v/>
      </c>
      <c r="BX43" s="93">
        <f>IF(43=43,IF($U43="","",SUMPRODUCT(--ISNUMBER(SEARCH(" "&amp;$CR$2039:$CR$2057&amp;" ",$AA43)))),"")</f>
        <v>0</v>
      </c>
      <c r="BY43" s="93">
        <f>IF(43=43,IF($U43="","",SUMPRODUCT(--ISNUMBER(SEARCH(" "&amp;$CR$2058:$CR$2072&amp;" ",$AA43)))),"")</f>
        <v>0</v>
      </c>
      <c r="BZ43" s="93" t="str">
        <f>IF(43=43,IF($U43="","",IF((BX43)-(0)&gt;0,"X",IF((BY43)-(0)&gt;0,"?",""))),"")</f>
        <v/>
      </c>
      <c r="CA43" s="93">
        <f>IF(43=43,IF($U43="","",SUMPRODUCT(--ISNUMBER(SEARCH(" "&amp;$CR$2073:$CR$2093&amp;" ",$AA43)))),"")</f>
        <v>0</v>
      </c>
      <c r="CB43" s="93">
        <f>IF(43=43,IF($U43="","",SUMPRODUCT(--ISNUMBER(SEARCH(" "&amp;$CR$2094:$CR$2133&amp;" ",SUBSTITUTE(SUBSTITUTE($AA43," "&amp;$CR$1367&amp;" "," ")," "&amp;$CR$1366&amp;" "," "))))+--ISNUMBER(SEARCH("poiré",$V43))),"")</f>
        <v>0</v>
      </c>
      <c r="CC43" s="93" t="str">
        <f>IF(43=43,IF($U43="","",IF(OR(CA43&gt;0,ISNUMBER(SEARCH(" vinaigre de vin ",$AA43)),ISNUMBER(SEARCH(" vinaigre au vin ",$AA43))),"X",IF(CB43&gt;0,"?",""))),"")</f>
        <v/>
      </c>
      <c r="CD43" s="93">
        <f>IF(43=43,IF($U43="","",SUMPRODUCT(--ISNUMBER(SEARCH(" "&amp;$CR$2134:$CR$2146&amp;" ",$AA43)))),"")</f>
        <v>0</v>
      </c>
      <c r="CE43" s="93">
        <f>IF(43=43,IF($U43="","",SUMPRODUCT(--ISNUMBER(SEARCH(" "&amp;$CR$2147:$CR$2152&amp;" ",$AA43)))),"")</f>
        <v>0</v>
      </c>
      <c r="CF43" s="93" t="str">
        <f>IF(43=43,IF($U43="","",IF((CD43)-(0)&gt;0,"X",IF((CE43)-(0)&gt;0,"?",""))),"")</f>
        <v/>
      </c>
      <c r="CG43" s="93">
        <f>IF(43=43,IF($U43="","",SUMPRODUCT(--ISNUMBER(SEARCH(" "&amp;$CR$2153:$CR$2252&amp;" ",$CJ43)))),"")</f>
        <v>0</v>
      </c>
      <c r="CH43" s="93">
        <f>IF(43=43,IF($U43="","",SUMPRODUCT(--ISNUMBER(SEARCH(" "&amp;$CR$2253:$CR$2352&amp;" ",$CJ43)))),"")</f>
        <v>0</v>
      </c>
      <c r="CI43" s="93">
        <f>IF(43=43,IF($U43="","",SUMPRODUCT(--ISNUMBER(SEARCH(" "&amp;$CR$2353:$CR$2395&amp;" ",$CJ43)))),"")</f>
        <v>0</v>
      </c>
      <c r="CJ43" s="93" t="str">
        <f>IF(43=43,IF($U43="","",SUBSTITUTE(SUBSTITUTE(SUBSTITUTE(SUBSTITUTE(SUBSTITUTE(SUBSTITUTE(SUBSTITUTE(SUBSTITUTE(SUBSTITUTE(SUBSTITUTE(SUBSTITUTE(SUBSTITUTE(SUBSTITUTE(SUBSTITUTE(SUBSTITUTE(SUBSTITUTE($AA43," "&amp;$CR$2401&amp;" "," ")," "&amp;$CR$2400&amp;" "," ")," "&amp;$CR$2399&amp;" "," ")," "&amp;$CR$2406&amp;" "," ")," "&amp;$CR$2398&amp;" "," ")," "&amp;$CR$2410&amp;" "," ")," "&amp;$CR$2397&amp;" "," ")," "&amp;$CR$2402&amp;" "," ")," "&amp;$CR$2405&amp;" "," ")," "&amp;$CR$2396&amp;" "," ")," "&amp;$CR$2404&amp;" "," ")," "&amp;$CR$2411&amp;" "," ")," "&amp;$CR$2408&amp;" "," ")," "&amp;$CR$2403&amp;" "," ")," "&amp;$CR$2407&amp;" "," ")," "&amp;$CR$2409&amp;" "," ")),"")</f>
        <v xml:space="preserve"> muscade </v>
      </c>
      <c r="CK43" s="93">
        <f>IF(43=43,IF($U43="","",SUMPRODUCT(--ISNUMBER(SEARCH(" "&amp;$CR$2412:$CR$2416&amp;" ",$CJ43)))),"")</f>
        <v>0</v>
      </c>
      <c r="CL43" s="93" t="str">
        <f>IF(43=43,IF($U43="","",IF(SUM(CG43:CI43)&gt;0,"X",IF(CK43&gt;0,"?",""))),"")</f>
        <v/>
      </c>
      <c r="CM43" s="102"/>
      <c r="CN43" s="112" t="s">
        <v>705</v>
      </c>
      <c r="CO43" s="112" t="s">
        <v>522</v>
      </c>
      <c r="CP43" s="112" t="s">
        <v>523</v>
      </c>
      <c r="CQ43" s="112" t="s">
        <v>706</v>
      </c>
      <c r="CR43" s="112" t="s">
        <v>706</v>
      </c>
      <c r="CS43" s="112" t="s">
        <v>525</v>
      </c>
      <c r="CT43" s="112" t="s">
        <v>526</v>
      </c>
      <c r="CU43" s="112" t="s">
        <v>527</v>
      </c>
      <c r="CV43" s="113" t="s">
        <v>528</v>
      </c>
      <c r="CX43" s="36">
        <v>1</v>
      </c>
    </row>
    <row r="44" spans="1:102" ht="21" customHeight="1" x14ac:dyDescent="0.25">
      <c r="A44" s="135">
        <v>38</v>
      </c>
      <c r="B44" s="136" t="s">
        <v>540</v>
      </c>
      <c r="C44" s="137" t="str">
        <f t="shared" si="0"/>
        <v>Œufs *</v>
      </c>
      <c r="D44" s="138" t="str">
        <f>IF(44=44,IF($B44="","",IF(E44="X",""&amp;"Céréales contenant du gluten","")&amp;IF(F44="X",IF(COUNTIF($E44:$E44,"X")&gt;0,", ","")&amp;"Crustacés","")&amp;IF(G44="X",IF(COUNTIF($E44:$F44,"X")&gt;0,", ","")&amp;"Œufs","")&amp;IF(H44="X",IF(COUNTIF($E44:$G44,"X")&gt;0,", ","")&amp;"Poissons","")&amp;IF(I44="X",IF(COUNTIF($E44:$H44,"X")&gt;0,", ","")&amp;"Arachides","")&amp;IF(J44="X",IF(COUNTIF($E44:$I44,"X")&gt;0,", ","")&amp;"Soja","")&amp;IF(K44="X",IF(COUNTIF($E44:$J44,"X")&gt;0,", ","")&amp;"Lait","")&amp;IF(L44="X",IF(COUNTIF($E44:$K44,"X")&gt;0,", ","")&amp;"Fruits à coque","")&amp;IF(M44="X",IF(COUNTIF($E44:$L44,"X")&gt;0,", ","")&amp;"Céleri","")&amp;IF(N44="X",IF(COUNTIF($E44:$M44,"X")&gt;0,", ","")&amp;"Moutarde","")&amp;IF(O44="X",IF(COUNTIF($E44:$N44,"X")&gt;0,", ","")&amp;"Sésame","")&amp;IF(P44="X",IF(COUNTIF($E44:$O44,"X")&gt;0,", ","")&amp;"Sulfites","")&amp;IF(Q44="X",IF(COUNTIF($E44:$P44,"X")&gt;0,", ","")&amp;"Lupin","")&amp;IF(R44="X",IF(COUNTIF($E44:$Q44,"X")&gt;0,", ","")&amp;"Mollusques","")),"")</f>
        <v>Œufs</v>
      </c>
      <c r="E44" s="139" t="str">
        <f>IF(44=44,IF($B44="","",AF44),"")</f>
        <v/>
      </c>
      <c r="F44" s="139" t="str">
        <f>IF(44=44,IF($B44="","",AI44),"")</f>
        <v/>
      </c>
      <c r="G44" s="139" t="str">
        <f>IF(44=44,IF($B44="","",AM44),"")</f>
        <v>X</v>
      </c>
      <c r="H44" s="139" t="str">
        <f>IF(44=44,IF($B44="","",IF(ISNUMBER(SEARCH(" colin ",$AA44)),"X",AZ44)),"")</f>
        <v/>
      </c>
      <c r="I44" s="139" t="str">
        <f>IF(44=44,IF($B44="","",BB44),"")</f>
        <v/>
      </c>
      <c r="J44" s="139" t="str">
        <f>IF(44=44,IF($B44="","",BF44),"")</f>
        <v/>
      </c>
      <c r="K44" s="139" t="str">
        <f>IF(44=44,IF($B44="","",BM44),"")</f>
        <v/>
      </c>
      <c r="L44" s="139" t="str">
        <f>IF(44=44,IF($B44="","",BQ44),"")</f>
        <v/>
      </c>
      <c r="M44" s="139" t="str">
        <f>IF(44=44,IF($B44="","",BT44),"")</f>
        <v/>
      </c>
      <c r="N44" s="139" t="str">
        <f>IF(44=44,IF($B44="","",BW44),"")</f>
        <v/>
      </c>
      <c r="O44" s="139" t="str">
        <f>IF(44=44,IF($B44="","",BZ44),"")</f>
        <v/>
      </c>
      <c r="P44" s="139" t="str">
        <f>IF(44=44,IF($B44="","",CC44),"")</f>
        <v/>
      </c>
      <c r="Q44" s="139" t="str">
        <f>IF(44=44,IF($B44="","",CF44),"")</f>
        <v/>
      </c>
      <c r="R44" s="139" t="str">
        <f>IF(44=44,IF($B44="","",CL44),"")</f>
        <v/>
      </c>
      <c r="S44" s="140" t="str">
        <f>IF(44=44,IF($B44="","",IF(E44="?",""&amp;"Céréales contenant du gluten","")&amp;IF(F44="?",IF(COUNTIF($E44:$E44,"~?")&gt;0,", ","")&amp;"Crustacés","")&amp;IF(G44="?",IF(COUNTIF($E44:$F44,"~?")&gt;0,", ","")&amp;"Œufs","")&amp;IF(H44="?",IF(COUNTIF($E44:$G44,"~?")&gt;0,", ","")&amp;"Poissons","")&amp;IF(I44="?",IF(COUNTIF($E44:$H44,"~?")&gt;0,", ","")&amp;"Arachides","")&amp;IF(J44="?",IF(COUNTIF($E44:$I44,"~?")&gt;0,", ","")&amp;"Soja","")&amp;IF(K44="?",IF(COUNTIF($E44:$J44,"~?")&gt;0,", ","")&amp;"Lait","")&amp;IF(L44="?",IF(COUNTIF($E44:$K44,"~?")&gt;0,", ","")&amp;"Fruits à coque","")&amp;IF(M44="?",IF(COUNTIF($E44:$L44,"~?")&gt;0,", ","")&amp;"Céleri","")&amp;IF(N44="?",IF(COUNTIF($E44:$M44,"~?")&gt;0,", ","")&amp;"Moutarde","")&amp;IF(O44="?",IF(COUNTIF($E44:$N44,"~?")&gt;0,", ","")&amp;"Sésame","")&amp;IF(P44="?",IF(COUNTIF($E44:$O44,"~?")&gt;0,", ","")&amp;"Sulfites","")&amp;IF(Q44="?",IF(COUNTIF($E44:$P44,"~?")&gt;0,", ","")&amp;"Lupin","")&amp;IF(R44="?",IF(COUNTIF($E44:$Q44,"~?")&gt;0,", ","")&amp;"Mollusques","")),"")</f>
        <v/>
      </c>
      <c r="U44" s="93" t="str">
        <f>IF(44=44,IF($B44="","",$B44),"")</f>
        <v>Œufs</v>
      </c>
      <c r="V44" s="93" t="str">
        <f>IF(44=44,LOWER(CLEAN(SUBSTITUTE(SUBSTITUTE(SUBSTITUTE(SUBSTITUTE($U44,CHAR(160)," ")," "," "),CHAR(10)," "),CHAR(13)," "))),"")</f>
        <v>œufs</v>
      </c>
      <c r="W44" s="93" t="str">
        <f>IF(44=44,SUBSTITUTE(SUBSTITUTE(SUBSTITUTE(SUBSTITUTE(SUBSTITUTE(SUBSTITUTE(SUBSTITUTE(SUBSTITUTE(SUBSTITUTE(SUBSTITUTE(SUBSTITUTE(SUBSTITUTE($V44,"œ","oe"),"æ","ae"),"à","a"),"á","a"),"â","a"),"ä","a"),"ã","a"),"ç","c"),"è","e"),"é","e"),"ê","e"),"ë","e"),"")</f>
        <v>oeufs</v>
      </c>
      <c r="X44" s="93" t="str">
        <f>IF(44=44,SUBSTITUTE(SUBSTITUTE(SUBSTITUTE(SUBSTITUTE(SUBSTITUTE(SUBSTITUTE(SUBSTITUTE(SUBSTITUTE(SUBSTITUTE(SUBSTITUTE(SUBSTITUTE(SUBSTITUTE(SUBSTITUTE(SUBSTITUTE(SUBSTITUTE(SUBSTITUTE($W44,"ì","i"),"í","i"),"î","i"),"ï","i"),"ñ","n"),"ò","o"),"ó","o"),"ô","o"),"ö","o"),"õ","o"),"ù","u"),"ú","u"),"û","u"),"ü","u"),"ý","y"),"ÿ","y"),"")</f>
        <v>oeufs</v>
      </c>
      <c r="Y44" s="93" t="str">
        <f>IF(44=44,SUBSTITUTE(SUBSTITUTE(SUBSTITUTE(SUBSTITUTE(SUBSTITUTE(SUBSTITUTE(SUBSTITUTE(SUBSTITUTE(SUBSTITUTE(SUBSTITUTE(SUBSTITUTE(SUBSTITUTE(SUBSTITUTE(SUBSTITUTE($X44,"’"," "),"`"," "),"–"," "),"—"," "),"-"," "),"'"," "),"/"," "),"_"," "),","," "),"."," "),"("," "),")"," "),";"," "),":"," "),"")</f>
        <v>oeufs</v>
      </c>
      <c r="Z44" s="93" t="str">
        <f>IF(44=44,SUBSTITUTE(SUBSTITUTE(SUBSTITUTE(SUBSTITUTE(SUBSTITUTE(SUBSTITUTE(SUBSTITUTE(SUBSTITUTE(SUBSTITUTE(SUBSTITUTE(SUBSTITUTE(SUBSTITUTE(SUBSTITUTE(SUBSTITUTE(SUBSTITUTE($Y44,"!"," "),"?"," "),"+"," "),"*"," "),"&amp;"," "),"["," "),"]"," "),"{"," "),"}"," "),"%"," "),"="," "),"\"," "),"|"," "),"&lt;"," "),"&gt;"," "),"")</f>
        <v>oeufs</v>
      </c>
      <c r="AA44" s="93" t="str">
        <f>IF(44=44," "&amp;TRIM(SUBSTITUTE(SUBSTITUTE(SUBSTITUTE(SUBSTITUTE(SUBSTITUTE(SUBSTITUTE($Z44,CHAR(34)," "),"  "," "),"  "," "),"  "," "),"  "," "),"  "," "))&amp;" ","")</f>
        <v xml:space="preserve"> oeufs </v>
      </c>
      <c r="AB44" s="93">
        <f>IF(44=44,IF($U44="","",SUMPRODUCT(--ISNUMBER(SEARCH(" "&amp;$CR$2:$CR$101&amp;" ",$AD44)))),"")</f>
        <v>0</v>
      </c>
      <c r="AC44" s="93">
        <f>IF(44=44,IF($U44="","",SUMPRODUCT(--ISNUMBER(SEARCH(" "&amp;$CR$102:$CR$151&amp;" ",$AD44)))),"")</f>
        <v>0</v>
      </c>
      <c r="AD44" s="93" t="str">
        <f t="shared" si="1"/>
        <v xml:space="preserve"> oeufs </v>
      </c>
      <c r="AE44" s="93">
        <f t="shared" si="2"/>
        <v>0</v>
      </c>
      <c r="AF44" s="93" t="str">
        <f>IF(44=44,IF($U44="","",IF(SUM(AB44:AC44)+SUMPRODUCT(--ISNUMBER(SEARCH(" "&amp;$CR$2418:$CR$2420&amp;" ",$AD44)))&gt;0,"X",IF(AE44&gt;0,"?",""))),"")</f>
        <v/>
      </c>
      <c r="AG44" s="93">
        <f>IF(44=44,IF($U44="","",SUMPRODUCT(--ISNUMBER(SEARCH(" "&amp;$CR$206:$CR$305&amp;" ",$AA44)))),"")</f>
        <v>0</v>
      </c>
      <c r="AH44" s="93">
        <f>IF(44=44,IF($U44="","",SUMPRODUCT(--ISNUMBER(SEARCH(" "&amp;$CR$306:$CR$340&amp;" ",$AA44)))),"")</f>
        <v>0</v>
      </c>
      <c r="AI44" s="93" t="str">
        <f>IF(44=44,IF($U44="","",IF((SUM(AG44:AH44))-(0)&gt;0,"X",IF((0)-(0)&gt;0,"?",""))),"")</f>
        <v/>
      </c>
      <c r="AJ44" s="93">
        <f>IF(44=44,IF($U44="","",SUMPRODUCT(--ISNUMBER(SEARCH(" "&amp;$CR$341:$CR$398&amp;" ",$AA44)))),"")</f>
        <v>1</v>
      </c>
      <c r="AK44" s="93">
        <f>IF(44=44,IF($U44="","",SUMPRODUCT(--ISNUMBER(SEARCH(" "&amp;$CR$399:$CR$426&amp;" ",$AL44)))+SUMPRODUCT(--ISNUMBER(SEARCH(" "&amp;$CR$2440:$CR$2453&amp;" ",$AL44)))),"")</f>
        <v>0</v>
      </c>
      <c r="AL44" s="93" t="str">
        <f>IF(44=44,IF($U44="","",SUBSTITUTE(SUBSTITUTE(SUBSTITUTE(SUBSTITUTE(SUBSTITUTE(SUBSTITUTE(SUBSTITUTE(SUBSTITUTE(SUBSTITUTE(SUBSTITUTE(SUBSTITUTE(SUBSTITUTE(SUBSTITUTE(SUBSTITUTE($AA44," "&amp;$CR$2455&amp;" "," ")," "&amp;$CR$433&amp;" "," ")," "&amp;$CR$431&amp;" "," ")," "&amp;$CR$2438&amp;" "," ")," "&amp;$CR$2439&amp;" "," ")," "&amp;$CR$428&amp;" "," ")," "&amp;$CR$432&amp;" "," ")," "&amp;$CR$434&amp;" "," ")," "&amp;$CR$429&amp;" "," ")," "&amp;$CR$427&amp;" "," ")," "&amp;$CR$1367&amp;" "," ")," "&amp;$CR$435&amp;" "," ")," "&amp;$CR$1366&amp;" "," ")," "&amp;$CR$430&amp;" "," ")),"")</f>
        <v xml:space="preserve"> oeufs </v>
      </c>
      <c r="AM44" s="93" t="str">
        <f>IF(44=44,IF($U44="","",IF(AJ44&gt;0,"X",IF(AK44&gt;0,"?",""))),"")</f>
        <v>X</v>
      </c>
      <c r="AN44" s="93">
        <f>IF(44=44,IF($U44="","",SUMPRODUCT(--ISNUMBER(SEARCH(" "&amp;$CR$436:$CR$535&amp;" ",$AX44)))),"")</f>
        <v>0</v>
      </c>
      <c r="AO44" s="93">
        <f>IF(44=44,IF($U44="","",SUMPRODUCT(--ISNUMBER(SEARCH(" "&amp;$CR$536:$CR$635&amp;" ",$AX44)))),"")</f>
        <v>0</v>
      </c>
      <c r="AP44" s="93">
        <f>IF(44=44,IF($U44="","",SUMPRODUCT(--ISNUMBER(SEARCH(" "&amp;$CR$636:$CR$735&amp;" ",$AX44)))),"")</f>
        <v>0</v>
      </c>
      <c r="AQ44" s="93">
        <f>IF(44=44,IF($U44="","",SUMPRODUCT(--ISNUMBER(SEARCH(" "&amp;$CR$736:$CR$835&amp;" ",$AX44)))),"")</f>
        <v>0</v>
      </c>
      <c r="AR44" s="93">
        <f>IF(44=44,IF($U44="","",SUMPRODUCT(--ISNUMBER(SEARCH(" "&amp;$CR$836:$CR$935&amp;" ",$AX44)))),"")</f>
        <v>0</v>
      </c>
      <c r="AS44" s="93">
        <f>IF(44=44,IF($U44="","",SUMPRODUCT(--ISNUMBER(SEARCH(" "&amp;$CR$936:$CR$1035&amp;" ",$AX44)))),"")</f>
        <v>0</v>
      </c>
      <c r="AT44" s="93">
        <f>IF(44=44,IF($U44="","",SUMPRODUCT(--ISNUMBER(SEARCH(" "&amp;$CR$1036:$CR$1135&amp;" ",$AX44)))),"")</f>
        <v>0</v>
      </c>
      <c r="AU44" s="93">
        <f>IF(44=44,IF($U44="","",SUMPRODUCT(--ISNUMBER(SEARCH(" "&amp;$CR$1136:$CR$1235&amp;" ",$AX44)))),"")</f>
        <v>0</v>
      </c>
      <c r="AV44" s="93">
        <f>IF(44=44,IF($U44="","",SUMPRODUCT(--ISNUMBER(SEARCH(" "&amp;$CR$1236:$CR$1335&amp;" ",$AX44)))),"")</f>
        <v>0</v>
      </c>
      <c r="AW44" s="93">
        <f>IF(44=44,IF($U44="","",SUMPRODUCT(--ISNUMBER(SEARCH(" "&amp;$CR$1336:$CR$1363&amp;" ",$AX44)))),"")</f>
        <v>0</v>
      </c>
      <c r="AX44" s="93" t="str">
        <f>IF(44=44,IF($U44="","",SUBSTITUTE(SUBSTITUTE(SUBSTITUTE(SUBSTITUTE(SUBSTITUTE(SUBSTITUTE(SUBSTITUTE(SUBSTITUTE(SUBSTITUTE($AA44," "&amp;$CR$1365&amp;" "," ")," "&amp;$CR$1364&amp;" "," ")," "&amp;$CR$1370&amp;" "," ")," "&amp;$CR$1371&amp;" "," ")," "&amp;$CR$1367&amp;" "," ")," "&amp;$CR$1369&amp;" "," ")," "&amp;$CR$1366&amp;" "," ")," "&amp;$CR$1368&amp;" "," ")," "&amp;$CR$1372&amp;" "," ")),"")</f>
        <v xml:space="preserve"> oeufs </v>
      </c>
      <c r="AY44" s="93">
        <f>IF(44=44,IF($U44="","",SUMPRODUCT(--ISNUMBER(SEARCH(" "&amp;$CR$1373:$CR$1383&amp;" ",$AX44)))),"")</f>
        <v>0</v>
      </c>
      <c r="AZ44" s="93" t="str">
        <f>IF(44=44,IF($U44="","",IF(SUM(AN44:AW44)+SUMPRODUCT(--ISNUMBER(SEARCH(" "&amp;$CR$2421:$CR$2422&amp;" ",$AX44)))&gt;0,"X",IF(AY44&gt;0,"?",""))),"")</f>
        <v/>
      </c>
      <c r="BA44" s="93">
        <f>IF(44=44,IF($U44="","",SUMPRODUCT(--ISNUMBER(SEARCH(" "&amp;$CR$1384:$CR$1404&amp;" ",$AA44)))),"")</f>
        <v>0</v>
      </c>
      <c r="BB44" s="93" t="str">
        <f>IF(44=44,IF($U44="","",IF((BA44)-(0)&gt;0,"X",IF((0)-(0)&gt;0,"?",""))),"")</f>
        <v/>
      </c>
      <c r="BC44" s="93">
        <f>IF(44=44,IF($U44="","",SUMPRODUCT(--ISNUMBER(SEARCH(" "&amp;$CR$1405:$CR$1442&amp;" ",$BD44)))),"")</f>
        <v>0</v>
      </c>
      <c r="BD44" s="93" t="str">
        <f>IF(44=44,IF($U44="","",SUBSTITUTE(SUBSTITUTE($AA44," "&amp;$CR$1443&amp;" "," ")," "&amp;$CR$1444&amp;" "," ")),"")</f>
        <v xml:space="preserve"> oeufs </v>
      </c>
      <c r="BE44" s="93">
        <f>IF(44=44,IF($U44="","",SUMPRODUCT(--ISNUMBER(SEARCH(" "&amp;$CR$1445:$CR$1455&amp;" ",$BD44)))),"")</f>
        <v>0</v>
      </c>
      <c r="BF44" s="93" t="str">
        <f>IF(44=44,IF($U44="","",IF(BC44&gt;0,"X",IF(BE44&gt;0,"?",""))),"")</f>
        <v/>
      </c>
      <c r="BG44" s="93">
        <f>IF(44=44,IF($U44="","",SUMPRODUCT(--ISNUMBER(SEARCH(" "&amp;$CR$1456:$CR$1555&amp;" ",$BJ44)))),"")</f>
        <v>0</v>
      </c>
      <c r="BH44" s="93">
        <f>IF(44=44,IF($U44="","",SUMPRODUCT(--ISNUMBER(SEARCH(" "&amp;$CR$1556:$CR$1655&amp;" ",$BJ44)))),"")</f>
        <v>0</v>
      </c>
      <c r="BI44" s="93">
        <f>IF(44=44,IF($U44="","",SUMPRODUCT(--ISNUMBER(SEARCH(" "&amp;$CR$1656:$CR$1739&amp;" ",$BJ44)))),"")</f>
        <v>0</v>
      </c>
      <c r="BJ44" s="93" t="str">
        <f>IF(44=44,IF($U44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44,"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oeufs </v>
      </c>
      <c r="BK44" s="93">
        <f>IF(44=44,IF($U44="","",SUMPRODUCT(--ISNUMBER(SEARCH(" "&amp;$CR$1790:$CR$1869&amp;" ",$BL44)))+SUMPRODUCT(--ISNUMBER(SEARCH(" "&amp;$CR$2440:$CR$2453&amp;" ",$BL44)))),"")</f>
        <v>0</v>
      </c>
      <c r="BL44" s="93" t="str">
        <f>IF(44=44,IF($U44="","",SUBSTITUTE(SUBSTITUTE(SUBSTITUTE(SUBSTITUTE(SUBSTITUTE(SUBSTITUTE(SUBSTITUTE(SUBSTITUTE(SUBSTITUTE(SUBSTITUTE(SUBSTITUTE(SUBSTITUTE(SUBSTITUTE($BJ44," "&amp;$CR$1876&amp;" "," ")," "&amp;$CR$1874&amp;" "," ")," "&amp;$CR$2438&amp;" "," ")," "&amp;$CR$2439&amp;" "," ")," "&amp;$CR$1871&amp;" "," ")," "&amp;$CR$1875&amp;" "," ")," "&amp;$CR$1877&amp;" "," ")," "&amp;$CR$1872&amp;" "," ")," "&amp;$CR$1870&amp;" "," ")," "&amp;$CR$1367&amp;" "," ")," "&amp;$CR$1878&amp;" "," ")," "&amp;$CR$1366&amp;" "," ")," "&amp;$CR$1873&amp;" "," ")),"")</f>
        <v xml:space="preserve"> oeufs </v>
      </c>
      <c r="BM44" s="93" t="str">
        <f>IF(44=44,IF($U44="","",IF(SUM(BG44:BI44)+SUMPRODUCT(--ISNUMBER(SEARCH(" "&amp;$CR$2423:$CR$2424&amp;" ",$BJ44)))&gt;0,"X",IF(BK44&gt;0,"?",""))),"")</f>
        <v/>
      </c>
      <c r="BN44" s="93">
        <f>IF(44=44,IF($U44="","",SUMPRODUCT(--ISNUMBER(SEARCH(" "&amp;$CR$1879:$CR$1936&amp;" ",$BO44)))),"")</f>
        <v>0</v>
      </c>
      <c r="BO44" s="93" t="str">
        <f>IF(44=44,IF($U44="","",SUBSTITUTE(SUBSTITUTE(SUBSTITUTE(SUBSTITUTE(SUBSTITUTE(SUBSTITUTE(SUBSTITUTE(SUBSTITUTE(SUBSTITUTE(SUBSTITUTE(SUBSTITUTE(SUBSTITUTE(SUBSTITUTE(SUBSTITUTE(SUBSTITUTE(SUBSTITUTE(SUBSTITUTE(SUBSTITUTE(SUBSTITUTE(SUBSTITUTE(SUBSTITUTE(SUBSTITUTE(SUBSTITUTE($AA44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oeufs </v>
      </c>
      <c r="BP44" s="93">
        <f>IF(44=44,IF($U44="","",SUMPRODUCT(--ISNUMBER(SEARCH(" "&amp;$CR$1960:$CR$1976&amp;" ",$BO44)))),"")</f>
        <v>0</v>
      </c>
      <c r="BQ44" s="93" t="str">
        <f>IF(44=44,IF($U44="","",IF(BN44&gt;0,"X",IF(BP44&gt;0,"?",""))),"")</f>
        <v/>
      </c>
      <c r="BR44" s="93">
        <f>IF(44=44,IF($U44="","",SUMPRODUCT(--ISNUMBER(SEARCH(" "&amp;$CR$1977:$CR$1990&amp;" ",$AA44)))),"")</f>
        <v>0</v>
      </c>
      <c r="BS44" s="93">
        <f>IF(44=44,IF($U44="","",SUMPRODUCT(--ISNUMBER(SEARCH(" "&amp;$CR$1991:$CR$2005&amp;" ",$AA44)))),"")</f>
        <v>0</v>
      </c>
      <c r="BT44" s="93" t="str">
        <f>IF(44=44,IF($U44="","",IF((BR44)-(0)&gt;0,"X",IF((BS44)-(0)&gt;0,"?",""))),"")</f>
        <v/>
      </c>
      <c r="BU44" s="93">
        <f>IF(44=44,IF($U44="","",SUMPRODUCT(--ISNUMBER(SEARCH(" "&amp;$CR$2006:$CR$2023&amp;" ",$AA44)))),"")</f>
        <v>0</v>
      </c>
      <c r="BV44" s="93">
        <f>IF(44=44,IF($U44="","",SUMPRODUCT(--ISNUMBER(SEARCH(" "&amp;$CR$2024:$CR$2038&amp;" ",$AA44)))),"")</f>
        <v>0</v>
      </c>
      <c r="BW44" s="93" t="str">
        <f>IF(44=44,IF($U44="","",IF((BU44)-(0)&gt;0,"X",IF((BV44)-(0)&gt;0,"?",""))),"")</f>
        <v/>
      </c>
      <c r="BX44" s="93">
        <f>IF(44=44,IF($U44="","",SUMPRODUCT(--ISNUMBER(SEARCH(" "&amp;$CR$2039:$CR$2057&amp;" ",$AA44)))),"")</f>
        <v>0</v>
      </c>
      <c r="BY44" s="93">
        <f>IF(44=44,IF($U44="","",SUMPRODUCT(--ISNUMBER(SEARCH(" "&amp;$CR$2058:$CR$2072&amp;" ",$AA44)))),"")</f>
        <v>0</v>
      </c>
      <c r="BZ44" s="93" t="str">
        <f>IF(44=44,IF($U44="","",IF((BX44)-(0)&gt;0,"X",IF((BY44)-(0)&gt;0,"?",""))),"")</f>
        <v/>
      </c>
      <c r="CA44" s="93">
        <f>IF(44=44,IF($U44="","",SUMPRODUCT(--ISNUMBER(SEARCH(" "&amp;$CR$2073:$CR$2093&amp;" ",$AA44)))),"")</f>
        <v>0</v>
      </c>
      <c r="CB44" s="93">
        <f>IF(44=44,IF($U44="","",SUMPRODUCT(--ISNUMBER(SEARCH(" "&amp;$CR$2094:$CR$2133&amp;" ",SUBSTITUTE(SUBSTITUTE($AA44," "&amp;$CR$1367&amp;" "," ")," "&amp;$CR$1366&amp;" "," "))))+--ISNUMBER(SEARCH("poiré",$V44))),"")</f>
        <v>0</v>
      </c>
      <c r="CC44" s="93" t="str">
        <f>IF(44=44,IF($U44="","",IF(OR(CA44&gt;0,ISNUMBER(SEARCH(" vinaigre de vin ",$AA44)),ISNUMBER(SEARCH(" vinaigre au vin ",$AA44))),"X",IF(CB44&gt;0,"?",""))),"")</f>
        <v/>
      </c>
      <c r="CD44" s="93">
        <f>IF(44=44,IF($U44="","",SUMPRODUCT(--ISNUMBER(SEARCH(" "&amp;$CR$2134:$CR$2146&amp;" ",$AA44)))),"")</f>
        <v>0</v>
      </c>
      <c r="CE44" s="93">
        <f>IF(44=44,IF($U44="","",SUMPRODUCT(--ISNUMBER(SEARCH(" "&amp;$CR$2147:$CR$2152&amp;" ",$AA44)))),"")</f>
        <v>0</v>
      </c>
      <c r="CF44" s="93" t="str">
        <f>IF(44=44,IF($U44="","",IF((CD44)-(0)&gt;0,"X",IF((CE44)-(0)&gt;0,"?",""))),"")</f>
        <v/>
      </c>
      <c r="CG44" s="93">
        <f>IF(44=44,IF($U44="","",SUMPRODUCT(--ISNUMBER(SEARCH(" "&amp;$CR$2153:$CR$2252&amp;" ",$CJ44)))),"")</f>
        <v>0</v>
      </c>
      <c r="CH44" s="93">
        <f>IF(44=44,IF($U44="","",SUMPRODUCT(--ISNUMBER(SEARCH(" "&amp;$CR$2253:$CR$2352&amp;" ",$CJ44)))),"")</f>
        <v>0</v>
      </c>
      <c r="CI44" s="93">
        <f>IF(44=44,IF($U44="","",SUMPRODUCT(--ISNUMBER(SEARCH(" "&amp;$CR$2353:$CR$2395&amp;" ",$CJ44)))),"")</f>
        <v>0</v>
      </c>
      <c r="CJ44" s="93" t="str">
        <f>IF(44=44,IF($U44="","",SUBSTITUTE(SUBSTITUTE(SUBSTITUTE(SUBSTITUTE(SUBSTITUTE(SUBSTITUTE(SUBSTITUTE(SUBSTITUTE(SUBSTITUTE(SUBSTITUTE(SUBSTITUTE(SUBSTITUTE(SUBSTITUTE(SUBSTITUTE(SUBSTITUTE(SUBSTITUTE($AA44," "&amp;$CR$2401&amp;" "," ")," "&amp;$CR$2400&amp;" "," ")," "&amp;$CR$2399&amp;" "," ")," "&amp;$CR$2406&amp;" "," ")," "&amp;$CR$2398&amp;" "," ")," "&amp;$CR$2410&amp;" "," ")," "&amp;$CR$2397&amp;" "," ")," "&amp;$CR$2402&amp;" "," ")," "&amp;$CR$2405&amp;" "," ")," "&amp;$CR$2396&amp;" "," ")," "&amp;$CR$2404&amp;" "," ")," "&amp;$CR$2411&amp;" "," ")," "&amp;$CR$2408&amp;" "," ")," "&amp;$CR$2403&amp;" "," ")," "&amp;$CR$2407&amp;" "," ")," "&amp;$CR$2409&amp;" "," ")),"")</f>
        <v xml:space="preserve"> oeufs </v>
      </c>
      <c r="CK44" s="93">
        <f>IF(44=44,IF($U44="","",SUMPRODUCT(--ISNUMBER(SEARCH(" "&amp;$CR$2412:$CR$2416&amp;" ",$CJ44)))),"")</f>
        <v>0</v>
      </c>
      <c r="CL44" s="93" t="str">
        <f>IF(44=44,IF($U44="","",IF(SUM(CG44:CI44)&gt;0,"X",IF(CK44&gt;0,"?",""))),"")</f>
        <v/>
      </c>
      <c r="CM44" s="102"/>
      <c r="CN44" s="112" t="s">
        <v>707</v>
      </c>
      <c r="CO44" s="112" t="s">
        <v>522</v>
      </c>
      <c r="CP44" s="112" t="s">
        <v>523</v>
      </c>
      <c r="CQ44" s="112" t="s">
        <v>5875</v>
      </c>
      <c r="CR44" s="112" t="s">
        <v>5876</v>
      </c>
      <c r="CS44" s="112" t="s">
        <v>525</v>
      </c>
      <c r="CT44" s="112" t="s">
        <v>5877</v>
      </c>
      <c r="CU44" s="112" t="s">
        <v>527</v>
      </c>
      <c r="CV44" s="113" t="s">
        <v>528</v>
      </c>
      <c r="CX44" s="36">
        <v>1</v>
      </c>
    </row>
    <row r="45" spans="1:102" ht="21" customHeight="1" x14ac:dyDescent="0.25">
      <c r="A45" s="135">
        <v>39</v>
      </c>
      <c r="B45" s="136" t="s">
        <v>139</v>
      </c>
      <c r="C45" s="137" t="str">
        <f t="shared" si="0"/>
        <v>Oignons émincés surgelés</v>
      </c>
      <c r="D45" s="138" t="str">
        <f>IF(45=45,IF($B45="","",IF(E45="X",""&amp;"Céréales contenant du gluten","")&amp;IF(F45="X",IF(COUNTIF($E45:$E45,"X")&gt;0,", ","")&amp;"Crustacés","")&amp;IF(G45="X",IF(COUNTIF($E45:$F45,"X")&gt;0,", ","")&amp;"Œufs","")&amp;IF(H45="X",IF(COUNTIF($E45:$G45,"X")&gt;0,", ","")&amp;"Poissons","")&amp;IF(I45="X",IF(COUNTIF($E45:$H45,"X")&gt;0,", ","")&amp;"Arachides","")&amp;IF(J45="X",IF(COUNTIF($E45:$I45,"X")&gt;0,", ","")&amp;"Soja","")&amp;IF(K45="X",IF(COUNTIF($E45:$J45,"X")&gt;0,", ","")&amp;"Lait","")&amp;IF(L45="X",IF(COUNTIF($E45:$K45,"X")&gt;0,", ","")&amp;"Fruits à coque","")&amp;IF(M45="X",IF(COUNTIF($E45:$L45,"X")&gt;0,", ","")&amp;"Céleri","")&amp;IF(N45="X",IF(COUNTIF($E45:$M45,"X")&gt;0,", ","")&amp;"Moutarde","")&amp;IF(O45="X",IF(COUNTIF($E45:$N45,"X")&gt;0,", ","")&amp;"Sésame","")&amp;IF(P45="X",IF(COUNTIF($E45:$O45,"X")&gt;0,", ","")&amp;"Sulfites","")&amp;IF(Q45="X",IF(COUNTIF($E45:$P45,"X")&gt;0,", ","")&amp;"Lupin","")&amp;IF(R45="X",IF(COUNTIF($E45:$Q45,"X")&gt;0,", ","")&amp;"Mollusques","")),"")</f>
        <v/>
      </c>
      <c r="E45" s="139" t="str">
        <f>IF(45=45,IF($B45="","",AF45),"")</f>
        <v/>
      </c>
      <c r="F45" s="139" t="str">
        <f>IF(45=45,IF($B45="","",AI45),"")</f>
        <v/>
      </c>
      <c r="G45" s="139" t="str">
        <f>IF(45=45,IF($B45="","",AM45),"")</f>
        <v/>
      </c>
      <c r="H45" s="139" t="str">
        <f>IF(45=45,IF($B45="","",IF(ISNUMBER(SEARCH(" colin ",$AA45)),"X",AZ45)),"")</f>
        <v/>
      </c>
      <c r="I45" s="139" t="str">
        <f>IF(45=45,IF($B45="","",BB45),"")</f>
        <v/>
      </c>
      <c r="J45" s="139" t="str">
        <f>IF(45=45,IF($B45="","",BF45),"")</f>
        <v/>
      </c>
      <c r="K45" s="139" t="str">
        <f>IF(45=45,IF($B45="","",BM45),"")</f>
        <v/>
      </c>
      <c r="L45" s="139" t="str">
        <f>IF(45=45,IF($B45="","",BQ45),"")</f>
        <v/>
      </c>
      <c r="M45" s="139" t="str">
        <f>IF(45=45,IF($B45="","",BT45),"")</f>
        <v/>
      </c>
      <c r="N45" s="139" t="str">
        <f>IF(45=45,IF($B45="","",BW45),"")</f>
        <v/>
      </c>
      <c r="O45" s="139" t="str">
        <f>IF(45=45,IF($B45="","",BZ45),"")</f>
        <v/>
      </c>
      <c r="P45" s="139" t="str">
        <f>IF(45=45,IF($B45="","",CC45),"")</f>
        <v/>
      </c>
      <c r="Q45" s="139" t="str">
        <f>IF(45=45,IF($B45="","",CF45),"")</f>
        <v/>
      </c>
      <c r="R45" s="139" t="str">
        <f>IF(45=45,IF($B45="","",CL45),"")</f>
        <v/>
      </c>
      <c r="S45" s="140" t="str">
        <f>IF(45=45,IF($B45="","",IF(E45="?",""&amp;"Céréales contenant du gluten","")&amp;IF(F45="?",IF(COUNTIF($E45:$E45,"~?")&gt;0,", ","")&amp;"Crustacés","")&amp;IF(G45="?",IF(COUNTIF($E45:$F45,"~?")&gt;0,", ","")&amp;"Œufs","")&amp;IF(H45="?",IF(COUNTIF($E45:$G45,"~?")&gt;0,", ","")&amp;"Poissons","")&amp;IF(I45="?",IF(COUNTIF($E45:$H45,"~?")&gt;0,", ","")&amp;"Arachides","")&amp;IF(J45="?",IF(COUNTIF($E45:$I45,"~?")&gt;0,", ","")&amp;"Soja","")&amp;IF(K45="?",IF(COUNTIF($E45:$J45,"~?")&gt;0,", ","")&amp;"Lait","")&amp;IF(L45="?",IF(COUNTIF($E45:$K45,"~?")&gt;0,", ","")&amp;"Fruits à coque","")&amp;IF(M45="?",IF(COUNTIF($E45:$L45,"~?")&gt;0,", ","")&amp;"Céleri","")&amp;IF(N45="?",IF(COUNTIF($E45:$M45,"~?")&gt;0,", ","")&amp;"Moutarde","")&amp;IF(O45="?",IF(COUNTIF($E45:$N45,"~?")&gt;0,", ","")&amp;"Sésame","")&amp;IF(P45="?",IF(COUNTIF($E45:$O45,"~?")&gt;0,", ","")&amp;"Sulfites","")&amp;IF(Q45="?",IF(COUNTIF($E45:$P45,"~?")&gt;0,", ","")&amp;"Lupin","")&amp;IF(R45="?",IF(COUNTIF($E45:$Q45,"~?")&gt;0,", ","")&amp;"Mollusques","")),"")</f>
        <v/>
      </c>
      <c r="U45" s="93" t="str">
        <f>IF(45=45,IF($B45="","",$B45),"")</f>
        <v>Oignons émincés surgelés</v>
      </c>
      <c r="V45" s="93" t="str">
        <f>IF(45=45,LOWER(CLEAN(SUBSTITUTE(SUBSTITUTE(SUBSTITUTE(SUBSTITUTE($U45,CHAR(160)," ")," "," "),CHAR(10)," "),CHAR(13)," "))),"")</f>
        <v>oignons émincés surgelés</v>
      </c>
      <c r="W45" s="93" t="str">
        <f>IF(45=45,SUBSTITUTE(SUBSTITUTE(SUBSTITUTE(SUBSTITUTE(SUBSTITUTE(SUBSTITUTE(SUBSTITUTE(SUBSTITUTE(SUBSTITUTE(SUBSTITUTE(SUBSTITUTE(SUBSTITUTE($V45,"œ","oe"),"æ","ae"),"à","a"),"á","a"),"â","a"),"ä","a"),"ã","a"),"ç","c"),"è","e"),"é","e"),"ê","e"),"ë","e"),"")</f>
        <v>oignons eminces surgeles</v>
      </c>
      <c r="X45" s="93" t="str">
        <f>IF(45=45,SUBSTITUTE(SUBSTITUTE(SUBSTITUTE(SUBSTITUTE(SUBSTITUTE(SUBSTITUTE(SUBSTITUTE(SUBSTITUTE(SUBSTITUTE(SUBSTITUTE(SUBSTITUTE(SUBSTITUTE(SUBSTITUTE(SUBSTITUTE(SUBSTITUTE(SUBSTITUTE($W45,"ì","i"),"í","i"),"î","i"),"ï","i"),"ñ","n"),"ò","o"),"ó","o"),"ô","o"),"ö","o"),"õ","o"),"ù","u"),"ú","u"),"û","u"),"ü","u"),"ý","y"),"ÿ","y"),"")</f>
        <v>oignons eminces surgeles</v>
      </c>
      <c r="Y45" s="93" t="str">
        <f>IF(45=45,SUBSTITUTE(SUBSTITUTE(SUBSTITUTE(SUBSTITUTE(SUBSTITUTE(SUBSTITUTE(SUBSTITUTE(SUBSTITUTE(SUBSTITUTE(SUBSTITUTE(SUBSTITUTE(SUBSTITUTE(SUBSTITUTE(SUBSTITUTE($X45,"’"," "),"`"," "),"–"," "),"—"," "),"-"," "),"'"," "),"/"," "),"_"," "),","," "),"."," "),"("," "),")"," "),";"," "),":"," "),"")</f>
        <v>oignons eminces surgeles</v>
      </c>
      <c r="Z45" s="93" t="str">
        <f>IF(45=45,SUBSTITUTE(SUBSTITUTE(SUBSTITUTE(SUBSTITUTE(SUBSTITUTE(SUBSTITUTE(SUBSTITUTE(SUBSTITUTE(SUBSTITUTE(SUBSTITUTE(SUBSTITUTE(SUBSTITUTE(SUBSTITUTE(SUBSTITUTE(SUBSTITUTE($Y45,"!"," "),"?"," "),"+"," "),"*"," "),"&amp;"," "),"["," "),"]"," "),"{"," "),"}"," "),"%"," "),"="," "),"\"," "),"|"," "),"&lt;"," "),"&gt;"," "),"")</f>
        <v>oignons eminces surgeles</v>
      </c>
      <c r="AA45" s="93" t="str">
        <f>IF(45=45," "&amp;TRIM(SUBSTITUTE(SUBSTITUTE(SUBSTITUTE(SUBSTITUTE(SUBSTITUTE(SUBSTITUTE($Z45,CHAR(34)," "),"  "," "),"  "," "),"  "," "),"  "," "),"  "," "))&amp;" ","")</f>
        <v xml:space="preserve"> oignons eminces surgeles </v>
      </c>
      <c r="AB45" s="93">
        <f>IF(45=45,IF($U45="","",SUMPRODUCT(--ISNUMBER(SEARCH(" "&amp;$CR$2:$CR$101&amp;" ",$AD45)))),"")</f>
        <v>0</v>
      </c>
      <c r="AC45" s="93">
        <f>IF(45=45,IF($U45="","",SUMPRODUCT(--ISNUMBER(SEARCH(" "&amp;$CR$102:$CR$151&amp;" ",$AD45)))),"")</f>
        <v>0</v>
      </c>
      <c r="AD45" s="93" t="str">
        <f t="shared" si="1"/>
        <v xml:space="preserve"> oignons eminces surgeles </v>
      </c>
      <c r="AE45" s="93">
        <f t="shared" si="2"/>
        <v>0</v>
      </c>
      <c r="AF45" s="93" t="str">
        <f>IF(45=45,IF($U45="","",IF(SUM(AB45:AC45)+SUMPRODUCT(--ISNUMBER(SEARCH(" "&amp;$CR$2418:$CR$2420&amp;" ",$AD45)))&gt;0,"X",IF(AE45&gt;0,"?",""))),"")</f>
        <v/>
      </c>
      <c r="AG45" s="93">
        <f>IF(45=45,IF($U45="","",SUMPRODUCT(--ISNUMBER(SEARCH(" "&amp;$CR$206:$CR$305&amp;" ",$AA45)))),"")</f>
        <v>0</v>
      </c>
      <c r="AH45" s="93">
        <f>IF(45=45,IF($U45="","",SUMPRODUCT(--ISNUMBER(SEARCH(" "&amp;$CR$306:$CR$340&amp;" ",$AA45)))),"")</f>
        <v>0</v>
      </c>
      <c r="AI45" s="93" t="str">
        <f>IF(45=45,IF($U45="","",IF((SUM(AG45:AH45))-(0)&gt;0,"X",IF((0)-(0)&gt;0,"?",""))),"")</f>
        <v/>
      </c>
      <c r="AJ45" s="93">
        <f>IF(45=45,IF($U45="","",SUMPRODUCT(--ISNUMBER(SEARCH(" "&amp;$CR$341:$CR$398&amp;" ",$AA45)))),"")</f>
        <v>0</v>
      </c>
      <c r="AK45" s="93">
        <f>IF(45=45,IF($U45="","",SUMPRODUCT(--ISNUMBER(SEARCH(" "&amp;$CR$399:$CR$426&amp;" ",$AL45)))+SUMPRODUCT(--ISNUMBER(SEARCH(" "&amp;$CR$2440:$CR$2453&amp;" ",$AL45)))),"")</f>
        <v>0</v>
      </c>
      <c r="AL45" s="93" t="str">
        <f>IF(45=45,IF($U45="","",SUBSTITUTE(SUBSTITUTE(SUBSTITUTE(SUBSTITUTE(SUBSTITUTE(SUBSTITUTE(SUBSTITUTE(SUBSTITUTE(SUBSTITUTE(SUBSTITUTE(SUBSTITUTE(SUBSTITUTE(SUBSTITUTE(SUBSTITUTE($AA45," "&amp;$CR$2455&amp;" "," ")," "&amp;$CR$433&amp;" "," ")," "&amp;$CR$431&amp;" "," ")," "&amp;$CR$2438&amp;" "," ")," "&amp;$CR$2439&amp;" "," ")," "&amp;$CR$428&amp;" "," ")," "&amp;$CR$432&amp;" "," ")," "&amp;$CR$434&amp;" "," ")," "&amp;$CR$429&amp;" "," ")," "&amp;$CR$427&amp;" "," ")," "&amp;$CR$1367&amp;" "," ")," "&amp;$CR$435&amp;" "," ")," "&amp;$CR$1366&amp;" "," ")," "&amp;$CR$430&amp;" "," ")),"")</f>
        <v xml:space="preserve"> oignons eminces surgeles </v>
      </c>
      <c r="AM45" s="93" t="str">
        <f>IF(45=45,IF($U45="","",IF(AJ45&gt;0,"X",IF(AK45&gt;0,"?",""))),"")</f>
        <v/>
      </c>
      <c r="AN45" s="93">
        <f>IF(45=45,IF($U45="","",SUMPRODUCT(--ISNUMBER(SEARCH(" "&amp;$CR$436:$CR$535&amp;" ",$AX45)))),"")</f>
        <v>0</v>
      </c>
      <c r="AO45" s="93">
        <f>IF(45=45,IF($U45="","",SUMPRODUCT(--ISNUMBER(SEARCH(" "&amp;$CR$536:$CR$635&amp;" ",$AX45)))),"")</f>
        <v>0</v>
      </c>
      <c r="AP45" s="93">
        <f>IF(45=45,IF($U45="","",SUMPRODUCT(--ISNUMBER(SEARCH(" "&amp;$CR$636:$CR$735&amp;" ",$AX45)))),"")</f>
        <v>0</v>
      </c>
      <c r="AQ45" s="93">
        <f>IF(45=45,IF($U45="","",SUMPRODUCT(--ISNUMBER(SEARCH(" "&amp;$CR$736:$CR$835&amp;" ",$AX45)))),"")</f>
        <v>0</v>
      </c>
      <c r="AR45" s="93">
        <f>IF(45=45,IF($U45="","",SUMPRODUCT(--ISNUMBER(SEARCH(" "&amp;$CR$836:$CR$935&amp;" ",$AX45)))),"")</f>
        <v>0</v>
      </c>
      <c r="AS45" s="93">
        <f>IF(45=45,IF($U45="","",SUMPRODUCT(--ISNUMBER(SEARCH(" "&amp;$CR$936:$CR$1035&amp;" ",$AX45)))),"")</f>
        <v>0</v>
      </c>
      <c r="AT45" s="93">
        <f>IF(45=45,IF($U45="","",SUMPRODUCT(--ISNUMBER(SEARCH(" "&amp;$CR$1036:$CR$1135&amp;" ",$AX45)))),"")</f>
        <v>0</v>
      </c>
      <c r="AU45" s="93">
        <f>IF(45=45,IF($U45="","",SUMPRODUCT(--ISNUMBER(SEARCH(" "&amp;$CR$1136:$CR$1235&amp;" ",$AX45)))),"")</f>
        <v>0</v>
      </c>
      <c r="AV45" s="93">
        <f>IF(45=45,IF($U45="","",SUMPRODUCT(--ISNUMBER(SEARCH(" "&amp;$CR$1236:$CR$1335&amp;" ",$AX45)))),"")</f>
        <v>0</v>
      </c>
      <c r="AW45" s="93">
        <f>IF(45=45,IF($U45="","",SUMPRODUCT(--ISNUMBER(SEARCH(" "&amp;$CR$1336:$CR$1363&amp;" ",$AX45)))),"")</f>
        <v>0</v>
      </c>
      <c r="AX45" s="93" t="str">
        <f>IF(45=45,IF($U45="","",SUBSTITUTE(SUBSTITUTE(SUBSTITUTE(SUBSTITUTE(SUBSTITUTE(SUBSTITUTE(SUBSTITUTE(SUBSTITUTE(SUBSTITUTE($AA45," "&amp;$CR$1365&amp;" "," ")," "&amp;$CR$1364&amp;" "," ")," "&amp;$CR$1370&amp;" "," ")," "&amp;$CR$1371&amp;" "," ")," "&amp;$CR$1367&amp;" "," ")," "&amp;$CR$1369&amp;" "," ")," "&amp;$CR$1366&amp;" "," ")," "&amp;$CR$1368&amp;" "," ")," "&amp;$CR$1372&amp;" "," ")),"")</f>
        <v xml:space="preserve"> oignons eminces surgeles </v>
      </c>
      <c r="AY45" s="93">
        <f>IF(45=45,IF($U45="","",SUMPRODUCT(--ISNUMBER(SEARCH(" "&amp;$CR$1373:$CR$1383&amp;" ",$AX45)))),"")</f>
        <v>0</v>
      </c>
      <c r="AZ45" s="93" t="str">
        <f>IF(45=45,IF($U45="","",IF(SUM(AN45:AW45)+SUMPRODUCT(--ISNUMBER(SEARCH(" "&amp;$CR$2421:$CR$2422&amp;" ",$AX45)))&gt;0,"X",IF(AY45&gt;0,"?",""))),"")</f>
        <v/>
      </c>
      <c r="BA45" s="93">
        <f>IF(45=45,IF($U45="","",SUMPRODUCT(--ISNUMBER(SEARCH(" "&amp;$CR$1384:$CR$1404&amp;" ",$AA45)))),"")</f>
        <v>0</v>
      </c>
      <c r="BB45" s="93" t="str">
        <f>IF(45=45,IF($U45="","",IF((BA45)-(0)&gt;0,"X",IF((0)-(0)&gt;0,"?",""))),"")</f>
        <v/>
      </c>
      <c r="BC45" s="93">
        <f>IF(45=45,IF($U45="","",SUMPRODUCT(--ISNUMBER(SEARCH(" "&amp;$CR$1405:$CR$1442&amp;" ",$BD45)))),"")</f>
        <v>0</v>
      </c>
      <c r="BD45" s="93" t="str">
        <f>IF(45=45,IF($U45="","",SUBSTITUTE(SUBSTITUTE($AA45," "&amp;$CR$1443&amp;" "," ")," "&amp;$CR$1444&amp;" "," ")),"")</f>
        <v xml:space="preserve"> oignons eminces surgeles </v>
      </c>
      <c r="BE45" s="93">
        <f>IF(45=45,IF($U45="","",SUMPRODUCT(--ISNUMBER(SEARCH(" "&amp;$CR$1445:$CR$1455&amp;" ",$BD45)))),"")</f>
        <v>0</v>
      </c>
      <c r="BF45" s="93" t="str">
        <f>IF(45=45,IF($U45="","",IF(BC45&gt;0,"X",IF(BE45&gt;0,"?",""))),"")</f>
        <v/>
      </c>
      <c r="BG45" s="93">
        <f>IF(45=45,IF($U45="","",SUMPRODUCT(--ISNUMBER(SEARCH(" "&amp;$CR$1456:$CR$1555&amp;" ",$BJ45)))),"")</f>
        <v>0</v>
      </c>
      <c r="BH45" s="93">
        <f>IF(45=45,IF($U45="","",SUMPRODUCT(--ISNUMBER(SEARCH(" "&amp;$CR$1556:$CR$1655&amp;" ",$BJ45)))),"")</f>
        <v>0</v>
      </c>
      <c r="BI45" s="93">
        <f>IF(45=45,IF($U45="","",SUMPRODUCT(--ISNUMBER(SEARCH(" "&amp;$CR$1656:$CR$1739&amp;" ",$BJ45)))),"")</f>
        <v>0</v>
      </c>
      <c r="BJ45" s="93" t="str">
        <f>IF(45=45,IF($U45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45,"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oignons eminces surgeles </v>
      </c>
      <c r="BK45" s="93">
        <f>IF(45=45,IF($U45="","",SUMPRODUCT(--ISNUMBER(SEARCH(" "&amp;$CR$1790:$CR$1869&amp;" ",$BL45)))+SUMPRODUCT(--ISNUMBER(SEARCH(" "&amp;$CR$2440:$CR$2453&amp;" ",$BL45)))),"")</f>
        <v>0</v>
      </c>
      <c r="BL45" s="93" t="str">
        <f>IF(45=45,IF($U45="","",SUBSTITUTE(SUBSTITUTE(SUBSTITUTE(SUBSTITUTE(SUBSTITUTE(SUBSTITUTE(SUBSTITUTE(SUBSTITUTE(SUBSTITUTE(SUBSTITUTE(SUBSTITUTE(SUBSTITUTE(SUBSTITUTE($BJ45," "&amp;$CR$1876&amp;" "," ")," "&amp;$CR$1874&amp;" "," ")," "&amp;$CR$2438&amp;" "," ")," "&amp;$CR$2439&amp;" "," ")," "&amp;$CR$1871&amp;" "," ")," "&amp;$CR$1875&amp;" "," ")," "&amp;$CR$1877&amp;" "," ")," "&amp;$CR$1872&amp;" "," ")," "&amp;$CR$1870&amp;" "," ")," "&amp;$CR$1367&amp;" "," ")," "&amp;$CR$1878&amp;" "," ")," "&amp;$CR$1366&amp;" "," ")," "&amp;$CR$1873&amp;" "," ")),"")</f>
        <v xml:space="preserve"> oignons eminces surgeles </v>
      </c>
      <c r="BM45" s="93" t="str">
        <f>IF(45=45,IF($U45="","",IF(SUM(BG45:BI45)+SUMPRODUCT(--ISNUMBER(SEARCH(" "&amp;$CR$2423:$CR$2424&amp;" ",$BJ45)))&gt;0,"X",IF(BK45&gt;0,"?",""))),"")</f>
        <v/>
      </c>
      <c r="BN45" s="93">
        <f>IF(45=45,IF($U45="","",SUMPRODUCT(--ISNUMBER(SEARCH(" "&amp;$CR$1879:$CR$1936&amp;" ",$BO45)))),"")</f>
        <v>0</v>
      </c>
      <c r="BO45" s="93" t="str">
        <f>IF(45=45,IF($U45="","",SUBSTITUTE(SUBSTITUTE(SUBSTITUTE(SUBSTITUTE(SUBSTITUTE(SUBSTITUTE(SUBSTITUTE(SUBSTITUTE(SUBSTITUTE(SUBSTITUTE(SUBSTITUTE(SUBSTITUTE(SUBSTITUTE(SUBSTITUTE(SUBSTITUTE(SUBSTITUTE(SUBSTITUTE(SUBSTITUTE(SUBSTITUTE(SUBSTITUTE(SUBSTITUTE(SUBSTITUTE(SUBSTITUTE($AA45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oignons eminces surgeles </v>
      </c>
      <c r="BP45" s="93">
        <f>IF(45=45,IF($U45="","",SUMPRODUCT(--ISNUMBER(SEARCH(" "&amp;$CR$1960:$CR$1976&amp;" ",$BO45)))),"")</f>
        <v>0</v>
      </c>
      <c r="BQ45" s="93" t="str">
        <f>IF(45=45,IF($U45="","",IF(BN45&gt;0,"X",IF(BP45&gt;0,"?",""))),"")</f>
        <v/>
      </c>
      <c r="BR45" s="93">
        <f>IF(45=45,IF($U45="","",SUMPRODUCT(--ISNUMBER(SEARCH(" "&amp;$CR$1977:$CR$1990&amp;" ",$AA45)))),"")</f>
        <v>0</v>
      </c>
      <c r="BS45" s="93">
        <f>IF(45=45,IF($U45="","",SUMPRODUCT(--ISNUMBER(SEARCH(" "&amp;$CR$1991:$CR$2005&amp;" ",$AA45)))),"")</f>
        <v>0</v>
      </c>
      <c r="BT45" s="93" t="str">
        <f>IF(45=45,IF($U45="","",IF((BR45)-(0)&gt;0,"X",IF((BS45)-(0)&gt;0,"?",""))),"")</f>
        <v/>
      </c>
      <c r="BU45" s="93">
        <f>IF(45=45,IF($U45="","",SUMPRODUCT(--ISNUMBER(SEARCH(" "&amp;$CR$2006:$CR$2023&amp;" ",$AA45)))),"")</f>
        <v>0</v>
      </c>
      <c r="BV45" s="93">
        <f>IF(45=45,IF($U45="","",SUMPRODUCT(--ISNUMBER(SEARCH(" "&amp;$CR$2024:$CR$2038&amp;" ",$AA45)))),"")</f>
        <v>0</v>
      </c>
      <c r="BW45" s="93" t="str">
        <f>IF(45=45,IF($U45="","",IF((BU45)-(0)&gt;0,"X",IF((BV45)-(0)&gt;0,"?",""))),"")</f>
        <v/>
      </c>
      <c r="BX45" s="93">
        <f>IF(45=45,IF($U45="","",SUMPRODUCT(--ISNUMBER(SEARCH(" "&amp;$CR$2039:$CR$2057&amp;" ",$AA45)))),"")</f>
        <v>0</v>
      </c>
      <c r="BY45" s="93">
        <f>IF(45=45,IF($U45="","",SUMPRODUCT(--ISNUMBER(SEARCH(" "&amp;$CR$2058:$CR$2072&amp;" ",$AA45)))),"")</f>
        <v>0</v>
      </c>
      <c r="BZ45" s="93" t="str">
        <f>IF(45=45,IF($U45="","",IF((BX45)-(0)&gt;0,"X",IF((BY45)-(0)&gt;0,"?",""))),"")</f>
        <v/>
      </c>
      <c r="CA45" s="93">
        <f>IF(45=45,IF($U45="","",SUMPRODUCT(--ISNUMBER(SEARCH(" "&amp;$CR$2073:$CR$2093&amp;" ",$AA45)))),"")</f>
        <v>0</v>
      </c>
      <c r="CB45" s="93">
        <f>IF(45=45,IF($U45="","",SUMPRODUCT(--ISNUMBER(SEARCH(" "&amp;$CR$2094:$CR$2133&amp;" ",SUBSTITUTE(SUBSTITUTE($AA45," "&amp;$CR$1367&amp;" "," ")," "&amp;$CR$1366&amp;" "," "))))+--ISNUMBER(SEARCH("poiré",$V45))),"")</f>
        <v>0</v>
      </c>
      <c r="CC45" s="93" t="str">
        <f>IF(45=45,IF($U45="","",IF(OR(CA45&gt;0,ISNUMBER(SEARCH(" vinaigre de vin ",$AA45)),ISNUMBER(SEARCH(" vinaigre au vin ",$AA45))),"X",IF(CB45&gt;0,"?",""))),"")</f>
        <v/>
      </c>
      <c r="CD45" s="93">
        <f>IF(45=45,IF($U45="","",SUMPRODUCT(--ISNUMBER(SEARCH(" "&amp;$CR$2134:$CR$2146&amp;" ",$AA45)))),"")</f>
        <v>0</v>
      </c>
      <c r="CE45" s="93">
        <f>IF(45=45,IF($U45="","",SUMPRODUCT(--ISNUMBER(SEARCH(" "&amp;$CR$2147:$CR$2152&amp;" ",$AA45)))),"")</f>
        <v>0</v>
      </c>
      <c r="CF45" s="93" t="str">
        <f>IF(45=45,IF($U45="","",IF((CD45)-(0)&gt;0,"X",IF((CE45)-(0)&gt;0,"?",""))),"")</f>
        <v/>
      </c>
      <c r="CG45" s="93">
        <f>IF(45=45,IF($U45="","",SUMPRODUCT(--ISNUMBER(SEARCH(" "&amp;$CR$2153:$CR$2252&amp;" ",$CJ45)))),"")</f>
        <v>0</v>
      </c>
      <c r="CH45" s="93">
        <f>IF(45=45,IF($U45="","",SUMPRODUCT(--ISNUMBER(SEARCH(" "&amp;$CR$2253:$CR$2352&amp;" ",$CJ45)))),"")</f>
        <v>0</v>
      </c>
      <c r="CI45" s="93">
        <f>IF(45=45,IF($U45="","",SUMPRODUCT(--ISNUMBER(SEARCH(" "&amp;$CR$2353:$CR$2395&amp;" ",$CJ45)))),"")</f>
        <v>0</v>
      </c>
      <c r="CJ45" s="93" t="str">
        <f>IF(45=45,IF($U45="","",SUBSTITUTE(SUBSTITUTE(SUBSTITUTE(SUBSTITUTE(SUBSTITUTE(SUBSTITUTE(SUBSTITUTE(SUBSTITUTE(SUBSTITUTE(SUBSTITUTE(SUBSTITUTE(SUBSTITUTE(SUBSTITUTE(SUBSTITUTE(SUBSTITUTE(SUBSTITUTE($AA45," "&amp;$CR$2401&amp;" "," ")," "&amp;$CR$2400&amp;" "," ")," "&amp;$CR$2399&amp;" "," ")," "&amp;$CR$2406&amp;" "," ")," "&amp;$CR$2398&amp;" "," ")," "&amp;$CR$2410&amp;" "," ")," "&amp;$CR$2397&amp;" "," ")," "&amp;$CR$2402&amp;" "," ")," "&amp;$CR$2405&amp;" "," ")," "&amp;$CR$2396&amp;" "," ")," "&amp;$CR$2404&amp;" "," ")," "&amp;$CR$2411&amp;" "," ")," "&amp;$CR$2408&amp;" "," ")," "&amp;$CR$2403&amp;" "," ")," "&amp;$CR$2407&amp;" "," ")," "&amp;$CR$2409&amp;" "," ")),"")</f>
        <v xml:space="preserve"> oignons eminces surgeles </v>
      </c>
      <c r="CK45" s="93">
        <f>IF(45=45,IF($U45="","",SUMPRODUCT(--ISNUMBER(SEARCH(" "&amp;$CR$2412:$CR$2416&amp;" ",$CJ45)))),"")</f>
        <v>0</v>
      </c>
      <c r="CL45" s="93" t="str">
        <f>IF(45=45,IF($U45="","",IF(SUM(CG45:CI45)&gt;0,"X",IF(CK45&gt;0,"?",""))),"")</f>
        <v/>
      </c>
      <c r="CM45" s="102"/>
      <c r="CN45" s="112" t="s">
        <v>709</v>
      </c>
      <c r="CO45" s="112" t="s">
        <v>522</v>
      </c>
      <c r="CP45" s="112" t="s">
        <v>523</v>
      </c>
      <c r="CQ45" s="112" t="s">
        <v>710</v>
      </c>
      <c r="CR45" s="112" t="s">
        <v>710</v>
      </c>
      <c r="CS45" s="112" t="s">
        <v>525</v>
      </c>
      <c r="CT45" s="112" t="s">
        <v>526</v>
      </c>
      <c r="CU45" s="112" t="s">
        <v>527</v>
      </c>
      <c r="CV45" s="113" t="s">
        <v>528</v>
      </c>
      <c r="CX45" s="36">
        <v>1</v>
      </c>
    </row>
    <row r="46" spans="1:102" ht="21" customHeight="1" x14ac:dyDescent="0.25">
      <c r="A46" s="135">
        <v>40</v>
      </c>
      <c r="B46" s="136" t="s">
        <v>45</v>
      </c>
      <c r="C46" s="137" t="str">
        <f t="shared" si="0"/>
        <v>Persil plat</v>
      </c>
      <c r="D46" s="138" t="str">
        <f>IF(46=46,IF($B46="","",IF(E46="X",""&amp;"Céréales contenant du gluten","")&amp;IF(F46="X",IF(COUNTIF($E46:$E46,"X")&gt;0,", ","")&amp;"Crustacés","")&amp;IF(G46="X",IF(COUNTIF($E46:$F46,"X")&gt;0,", ","")&amp;"Œufs","")&amp;IF(H46="X",IF(COUNTIF($E46:$G46,"X")&gt;0,", ","")&amp;"Poissons","")&amp;IF(I46="X",IF(COUNTIF($E46:$H46,"X")&gt;0,", ","")&amp;"Arachides","")&amp;IF(J46="X",IF(COUNTIF($E46:$I46,"X")&gt;0,", ","")&amp;"Soja","")&amp;IF(K46="X",IF(COUNTIF($E46:$J46,"X")&gt;0,", ","")&amp;"Lait","")&amp;IF(L46="X",IF(COUNTIF($E46:$K46,"X")&gt;0,", ","")&amp;"Fruits à coque","")&amp;IF(M46="X",IF(COUNTIF($E46:$L46,"X")&gt;0,", ","")&amp;"Céleri","")&amp;IF(N46="X",IF(COUNTIF($E46:$M46,"X")&gt;0,", ","")&amp;"Moutarde","")&amp;IF(O46="X",IF(COUNTIF($E46:$N46,"X")&gt;0,", ","")&amp;"Sésame","")&amp;IF(P46="X",IF(COUNTIF($E46:$O46,"X")&gt;0,", ","")&amp;"Sulfites","")&amp;IF(Q46="X",IF(COUNTIF($E46:$P46,"X")&gt;0,", ","")&amp;"Lupin","")&amp;IF(R46="X",IF(COUNTIF($E46:$Q46,"X")&gt;0,", ","")&amp;"Mollusques","")),"")</f>
        <v/>
      </c>
      <c r="E46" s="139" t="str">
        <f>IF(46=46,IF($B46="","",AF46),"")</f>
        <v/>
      </c>
      <c r="F46" s="139" t="str">
        <f>IF(46=46,IF($B46="","",AI46),"")</f>
        <v/>
      </c>
      <c r="G46" s="139" t="str">
        <f>IF(46=46,IF($B46="","",AM46),"")</f>
        <v/>
      </c>
      <c r="H46" s="139" t="str">
        <f>IF(46=46,IF($B46="","",IF(ISNUMBER(SEARCH(" colin ",$AA46)),"X",AZ46)),"")</f>
        <v/>
      </c>
      <c r="I46" s="139" t="str">
        <f>IF(46=46,IF($B46="","",BB46),"")</f>
        <v/>
      </c>
      <c r="J46" s="139" t="str">
        <f>IF(46=46,IF($B46="","",BF46),"")</f>
        <v/>
      </c>
      <c r="K46" s="139" t="str">
        <f>IF(46=46,IF($B46="","",BM46),"")</f>
        <v/>
      </c>
      <c r="L46" s="139" t="str">
        <f>IF(46=46,IF($B46="","",BQ46),"")</f>
        <v/>
      </c>
      <c r="M46" s="139" t="str">
        <f>IF(46=46,IF($B46="","",BT46),"")</f>
        <v/>
      </c>
      <c r="N46" s="139" t="str">
        <f>IF(46=46,IF($B46="","",BW46),"")</f>
        <v/>
      </c>
      <c r="O46" s="139" t="str">
        <f>IF(46=46,IF($B46="","",BZ46),"")</f>
        <v/>
      </c>
      <c r="P46" s="139" t="str">
        <f>IF(46=46,IF($B46="","",CC46),"")</f>
        <v/>
      </c>
      <c r="Q46" s="139" t="str">
        <f>IF(46=46,IF($B46="","",CF46),"")</f>
        <v/>
      </c>
      <c r="R46" s="139" t="str">
        <f>IF(46=46,IF($B46="","",CL46),"")</f>
        <v/>
      </c>
      <c r="S46" s="140" t="str">
        <f>IF(46=46,IF($B46="","",IF(E46="?",""&amp;"Céréales contenant du gluten","")&amp;IF(F46="?",IF(COUNTIF($E46:$E46,"~?")&gt;0,", ","")&amp;"Crustacés","")&amp;IF(G46="?",IF(COUNTIF($E46:$F46,"~?")&gt;0,", ","")&amp;"Œufs","")&amp;IF(H46="?",IF(COUNTIF($E46:$G46,"~?")&gt;0,", ","")&amp;"Poissons","")&amp;IF(I46="?",IF(COUNTIF($E46:$H46,"~?")&gt;0,", ","")&amp;"Arachides","")&amp;IF(J46="?",IF(COUNTIF($E46:$I46,"~?")&gt;0,", ","")&amp;"Soja","")&amp;IF(K46="?",IF(COUNTIF($E46:$J46,"~?")&gt;0,", ","")&amp;"Lait","")&amp;IF(L46="?",IF(COUNTIF($E46:$K46,"~?")&gt;0,", ","")&amp;"Fruits à coque","")&amp;IF(M46="?",IF(COUNTIF($E46:$L46,"~?")&gt;0,", ","")&amp;"Céleri","")&amp;IF(N46="?",IF(COUNTIF($E46:$M46,"~?")&gt;0,", ","")&amp;"Moutarde","")&amp;IF(O46="?",IF(COUNTIF($E46:$N46,"~?")&gt;0,", ","")&amp;"Sésame","")&amp;IF(P46="?",IF(COUNTIF($E46:$O46,"~?")&gt;0,", ","")&amp;"Sulfites","")&amp;IF(Q46="?",IF(COUNTIF($E46:$P46,"~?")&gt;0,", ","")&amp;"Lupin","")&amp;IF(R46="?",IF(COUNTIF($E46:$Q46,"~?")&gt;0,", ","")&amp;"Mollusques","")),"")</f>
        <v/>
      </c>
      <c r="U46" s="93" t="str">
        <f>IF(46=46,IF($B46="","",$B46),"")</f>
        <v>Persil plat</v>
      </c>
      <c r="V46" s="93" t="str">
        <f>IF(46=46,LOWER(CLEAN(SUBSTITUTE(SUBSTITUTE(SUBSTITUTE(SUBSTITUTE($U46,CHAR(160)," ")," "," "),CHAR(10)," "),CHAR(13)," "))),"")</f>
        <v>persil plat</v>
      </c>
      <c r="W46" s="93" t="str">
        <f>IF(46=46,SUBSTITUTE(SUBSTITUTE(SUBSTITUTE(SUBSTITUTE(SUBSTITUTE(SUBSTITUTE(SUBSTITUTE(SUBSTITUTE(SUBSTITUTE(SUBSTITUTE(SUBSTITUTE(SUBSTITUTE($V46,"œ","oe"),"æ","ae"),"à","a"),"á","a"),"â","a"),"ä","a"),"ã","a"),"ç","c"),"è","e"),"é","e"),"ê","e"),"ë","e"),"")</f>
        <v>persil plat</v>
      </c>
      <c r="X46" s="93" t="str">
        <f>IF(46=46,SUBSTITUTE(SUBSTITUTE(SUBSTITUTE(SUBSTITUTE(SUBSTITUTE(SUBSTITUTE(SUBSTITUTE(SUBSTITUTE(SUBSTITUTE(SUBSTITUTE(SUBSTITUTE(SUBSTITUTE(SUBSTITUTE(SUBSTITUTE(SUBSTITUTE(SUBSTITUTE($W46,"ì","i"),"í","i"),"î","i"),"ï","i"),"ñ","n"),"ò","o"),"ó","o"),"ô","o"),"ö","o"),"õ","o"),"ù","u"),"ú","u"),"û","u"),"ü","u"),"ý","y"),"ÿ","y"),"")</f>
        <v>persil plat</v>
      </c>
      <c r="Y46" s="93" t="str">
        <f>IF(46=46,SUBSTITUTE(SUBSTITUTE(SUBSTITUTE(SUBSTITUTE(SUBSTITUTE(SUBSTITUTE(SUBSTITUTE(SUBSTITUTE(SUBSTITUTE(SUBSTITUTE(SUBSTITUTE(SUBSTITUTE(SUBSTITUTE(SUBSTITUTE($X46,"’"," "),"`"," "),"–"," "),"—"," "),"-"," "),"'"," "),"/"," "),"_"," "),","," "),"."," "),"("," "),")"," "),";"," "),":"," "),"")</f>
        <v>persil plat</v>
      </c>
      <c r="Z46" s="93" t="str">
        <f>IF(46=46,SUBSTITUTE(SUBSTITUTE(SUBSTITUTE(SUBSTITUTE(SUBSTITUTE(SUBSTITUTE(SUBSTITUTE(SUBSTITUTE(SUBSTITUTE(SUBSTITUTE(SUBSTITUTE(SUBSTITUTE(SUBSTITUTE(SUBSTITUTE(SUBSTITUTE($Y46,"!"," "),"?"," "),"+"," "),"*"," "),"&amp;"," "),"["," "),"]"," "),"{"," "),"}"," "),"%"," "),"="," "),"\"," "),"|"," "),"&lt;"," "),"&gt;"," "),"")</f>
        <v>persil plat</v>
      </c>
      <c r="AA46" s="93" t="str">
        <f>IF(46=46," "&amp;TRIM(SUBSTITUTE(SUBSTITUTE(SUBSTITUTE(SUBSTITUTE(SUBSTITUTE(SUBSTITUTE($Z46,CHAR(34)," "),"  "," "),"  "," "),"  "," "),"  "," "),"  "," "))&amp;" ","")</f>
        <v xml:space="preserve"> persil plat </v>
      </c>
      <c r="AB46" s="93">
        <f>IF(46=46,IF($U46="","",SUMPRODUCT(--ISNUMBER(SEARCH(" "&amp;$CR$2:$CR$101&amp;" ",$AD46)))),"")</f>
        <v>0</v>
      </c>
      <c r="AC46" s="93">
        <f>IF(46=46,IF($U46="","",SUMPRODUCT(--ISNUMBER(SEARCH(" "&amp;$CR$102:$CR$151&amp;" ",$AD46)))),"")</f>
        <v>0</v>
      </c>
      <c r="AD46" s="93" t="str">
        <f t="shared" si="1"/>
        <v xml:space="preserve"> persil plat </v>
      </c>
      <c r="AE46" s="93">
        <f t="shared" si="2"/>
        <v>0</v>
      </c>
      <c r="AF46" s="93" t="str">
        <f>IF(46=46,IF($U46="","",IF(SUM(AB46:AC46)+SUMPRODUCT(--ISNUMBER(SEARCH(" "&amp;$CR$2418:$CR$2420&amp;" ",$AD46)))&gt;0,"X",IF(AE46&gt;0,"?",""))),"")</f>
        <v/>
      </c>
      <c r="AG46" s="93">
        <f>IF(46=46,IF($U46="","",SUMPRODUCT(--ISNUMBER(SEARCH(" "&amp;$CR$206:$CR$305&amp;" ",$AA46)))),"")</f>
        <v>0</v>
      </c>
      <c r="AH46" s="93">
        <f>IF(46=46,IF($U46="","",SUMPRODUCT(--ISNUMBER(SEARCH(" "&amp;$CR$306:$CR$340&amp;" ",$AA46)))),"")</f>
        <v>0</v>
      </c>
      <c r="AI46" s="93" t="str">
        <f>IF(46=46,IF($U46="","",IF((SUM(AG46:AH46))-(0)&gt;0,"X",IF((0)-(0)&gt;0,"?",""))),"")</f>
        <v/>
      </c>
      <c r="AJ46" s="93">
        <f>IF(46=46,IF($U46="","",SUMPRODUCT(--ISNUMBER(SEARCH(" "&amp;$CR$341:$CR$398&amp;" ",$AA46)))),"")</f>
        <v>0</v>
      </c>
      <c r="AK46" s="93">
        <f>IF(46=46,IF($U46="","",SUMPRODUCT(--ISNUMBER(SEARCH(" "&amp;$CR$399:$CR$426&amp;" ",$AL46)))+SUMPRODUCT(--ISNUMBER(SEARCH(" "&amp;$CR$2440:$CR$2453&amp;" ",$AL46)))),"")</f>
        <v>0</v>
      </c>
      <c r="AL46" s="93" t="str">
        <f>IF(46=46,IF($U46="","",SUBSTITUTE(SUBSTITUTE(SUBSTITUTE(SUBSTITUTE(SUBSTITUTE(SUBSTITUTE(SUBSTITUTE(SUBSTITUTE(SUBSTITUTE(SUBSTITUTE(SUBSTITUTE(SUBSTITUTE(SUBSTITUTE(SUBSTITUTE($AA46," "&amp;$CR$2455&amp;" "," ")," "&amp;$CR$433&amp;" "," ")," "&amp;$CR$431&amp;" "," ")," "&amp;$CR$2438&amp;" "," ")," "&amp;$CR$2439&amp;" "," ")," "&amp;$CR$428&amp;" "," ")," "&amp;$CR$432&amp;" "," ")," "&amp;$CR$434&amp;" "," ")," "&amp;$CR$429&amp;" "," ")," "&amp;$CR$427&amp;" "," ")," "&amp;$CR$1367&amp;" "," ")," "&amp;$CR$435&amp;" "," ")," "&amp;$CR$1366&amp;" "," ")," "&amp;$CR$430&amp;" "," ")),"")</f>
        <v xml:space="preserve"> persil plat </v>
      </c>
      <c r="AM46" s="93" t="str">
        <f>IF(46=46,IF($U46="","",IF(AJ46&gt;0,"X",IF(AK46&gt;0,"?",""))),"")</f>
        <v/>
      </c>
      <c r="AN46" s="93">
        <f>IF(46=46,IF($U46="","",SUMPRODUCT(--ISNUMBER(SEARCH(" "&amp;$CR$436:$CR$535&amp;" ",$AX46)))),"")</f>
        <v>0</v>
      </c>
      <c r="AO46" s="93">
        <f>IF(46=46,IF($U46="","",SUMPRODUCT(--ISNUMBER(SEARCH(" "&amp;$CR$536:$CR$635&amp;" ",$AX46)))),"")</f>
        <v>0</v>
      </c>
      <c r="AP46" s="93">
        <f>IF(46=46,IF($U46="","",SUMPRODUCT(--ISNUMBER(SEARCH(" "&amp;$CR$636:$CR$735&amp;" ",$AX46)))),"")</f>
        <v>0</v>
      </c>
      <c r="AQ46" s="93">
        <f>IF(46=46,IF($U46="","",SUMPRODUCT(--ISNUMBER(SEARCH(" "&amp;$CR$736:$CR$835&amp;" ",$AX46)))),"")</f>
        <v>0</v>
      </c>
      <c r="AR46" s="93">
        <f>IF(46=46,IF($U46="","",SUMPRODUCT(--ISNUMBER(SEARCH(" "&amp;$CR$836:$CR$935&amp;" ",$AX46)))),"")</f>
        <v>0</v>
      </c>
      <c r="AS46" s="93">
        <f>IF(46=46,IF($U46="","",SUMPRODUCT(--ISNUMBER(SEARCH(" "&amp;$CR$936:$CR$1035&amp;" ",$AX46)))),"")</f>
        <v>0</v>
      </c>
      <c r="AT46" s="93">
        <f>IF(46=46,IF($U46="","",SUMPRODUCT(--ISNUMBER(SEARCH(" "&amp;$CR$1036:$CR$1135&amp;" ",$AX46)))),"")</f>
        <v>0</v>
      </c>
      <c r="AU46" s="93">
        <f>IF(46=46,IF($U46="","",SUMPRODUCT(--ISNUMBER(SEARCH(" "&amp;$CR$1136:$CR$1235&amp;" ",$AX46)))),"")</f>
        <v>0</v>
      </c>
      <c r="AV46" s="93">
        <f>IF(46=46,IF($U46="","",SUMPRODUCT(--ISNUMBER(SEARCH(" "&amp;$CR$1236:$CR$1335&amp;" ",$AX46)))),"")</f>
        <v>0</v>
      </c>
      <c r="AW46" s="93">
        <f>IF(46=46,IF($U46="","",SUMPRODUCT(--ISNUMBER(SEARCH(" "&amp;$CR$1336:$CR$1363&amp;" ",$AX46)))),"")</f>
        <v>0</v>
      </c>
      <c r="AX46" s="93" t="str">
        <f>IF(46=46,IF($U46="","",SUBSTITUTE(SUBSTITUTE(SUBSTITUTE(SUBSTITUTE(SUBSTITUTE(SUBSTITUTE(SUBSTITUTE(SUBSTITUTE(SUBSTITUTE($AA46," "&amp;$CR$1365&amp;" "," ")," "&amp;$CR$1364&amp;" "," ")," "&amp;$CR$1370&amp;" "," ")," "&amp;$CR$1371&amp;" "," ")," "&amp;$CR$1367&amp;" "," ")," "&amp;$CR$1369&amp;" "," ")," "&amp;$CR$1366&amp;" "," ")," "&amp;$CR$1368&amp;" "," ")," "&amp;$CR$1372&amp;" "," ")),"")</f>
        <v xml:space="preserve"> persil plat </v>
      </c>
      <c r="AY46" s="93">
        <f>IF(46=46,IF($U46="","",SUMPRODUCT(--ISNUMBER(SEARCH(" "&amp;$CR$1373:$CR$1383&amp;" ",$AX46)))),"")</f>
        <v>0</v>
      </c>
      <c r="AZ46" s="93" t="str">
        <f>IF(46=46,IF($U46="","",IF(SUM(AN46:AW46)+SUMPRODUCT(--ISNUMBER(SEARCH(" "&amp;$CR$2421:$CR$2422&amp;" ",$AX46)))&gt;0,"X",IF(AY46&gt;0,"?",""))),"")</f>
        <v/>
      </c>
      <c r="BA46" s="93">
        <f>IF(46=46,IF($U46="","",SUMPRODUCT(--ISNUMBER(SEARCH(" "&amp;$CR$1384:$CR$1404&amp;" ",$AA46)))),"")</f>
        <v>0</v>
      </c>
      <c r="BB46" s="93" t="str">
        <f>IF(46=46,IF($U46="","",IF((BA46)-(0)&gt;0,"X",IF((0)-(0)&gt;0,"?",""))),"")</f>
        <v/>
      </c>
      <c r="BC46" s="93">
        <f>IF(46=46,IF($U46="","",SUMPRODUCT(--ISNUMBER(SEARCH(" "&amp;$CR$1405:$CR$1442&amp;" ",$BD46)))),"")</f>
        <v>0</v>
      </c>
      <c r="BD46" s="93" t="str">
        <f>IF(46=46,IF($U46="","",SUBSTITUTE(SUBSTITUTE($AA46," "&amp;$CR$1443&amp;" "," ")," "&amp;$CR$1444&amp;" "," ")),"")</f>
        <v xml:space="preserve"> persil plat </v>
      </c>
      <c r="BE46" s="93">
        <f>IF(46=46,IF($U46="","",SUMPRODUCT(--ISNUMBER(SEARCH(" "&amp;$CR$1445:$CR$1455&amp;" ",$BD46)))),"")</f>
        <v>0</v>
      </c>
      <c r="BF46" s="93" t="str">
        <f>IF(46=46,IF($U46="","",IF(BC46&gt;0,"X",IF(BE46&gt;0,"?",""))),"")</f>
        <v/>
      </c>
      <c r="BG46" s="93">
        <f>IF(46=46,IF($U46="","",SUMPRODUCT(--ISNUMBER(SEARCH(" "&amp;$CR$1456:$CR$1555&amp;" ",$BJ46)))),"")</f>
        <v>0</v>
      </c>
      <c r="BH46" s="93">
        <f>IF(46=46,IF($U46="","",SUMPRODUCT(--ISNUMBER(SEARCH(" "&amp;$CR$1556:$CR$1655&amp;" ",$BJ46)))),"")</f>
        <v>0</v>
      </c>
      <c r="BI46" s="93">
        <f>IF(46=46,IF($U46="","",SUMPRODUCT(--ISNUMBER(SEARCH(" "&amp;$CR$1656:$CR$1739&amp;" ",$BJ46)))),"")</f>
        <v>0</v>
      </c>
      <c r="BJ46" s="93" t="str">
        <f>IF(46=46,IF($U46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46,"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persil plat </v>
      </c>
      <c r="BK46" s="93">
        <f>IF(46=46,IF($U46="","",SUMPRODUCT(--ISNUMBER(SEARCH(" "&amp;$CR$1790:$CR$1869&amp;" ",$BL46)))+SUMPRODUCT(--ISNUMBER(SEARCH(" "&amp;$CR$2440:$CR$2453&amp;" ",$BL46)))),"")</f>
        <v>0</v>
      </c>
      <c r="BL46" s="93" t="str">
        <f>IF(46=46,IF($U46="","",SUBSTITUTE(SUBSTITUTE(SUBSTITUTE(SUBSTITUTE(SUBSTITUTE(SUBSTITUTE(SUBSTITUTE(SUBSTITUTE(SUBSTITUTE(SUBSTITUTE(SUBSTITUTE(SUBSTITUTE(SUBSTITUTE($BJ46," "&amp;$CR$1876&amp;" "," ")," "&amp;$CR$1874&amp;" "," ")," "&amp;$CR$2438&amp;" "," ")," "&amp;$CR$2439&amp;" "," ")," "&amp;$CR$1871&amp;" "," ")," "&amp;$CR$1875&amp;" "," ")," "&amp;$CR$1877&amp;" "," ")," "&amp;$CR$1872&amp;" "," ")," "&amp;$CR$1870&amp;" "," ")," "&amp;$CR$1367&amp;" "," ")," "&amp;$CR$1878&amp;" "," ")," "&amp;$CR$1366&amp;" "," ")," "&amp;$CR$1873&amp;" "," ")),"")</f>
        <v xml:space="preserve"> persil plat </v>
      </c>
      <c r="BM46" s="93" t="str">
        <f>IF(46=46,IF($U46="","",IF(SUM(BG46:BI46)+SUMPRODUCT(--ISNUMBER(SEARCH(" "&amp;$CR$2423:$CR$2424&amp;" ",$BJ46)))&gt;0,"X",IF(BK46&gt;0,"?",""))),"")</f>
        <v/>
      </c>
      <c r="BN46" s="93">
        <f>IF(46=46,IF($U46="","",SUMPRODUCT(--ISNUMBER(SEARCH(" "&amp;$CR$1879:$CR$1936&amp;" ",$BO46)))),"")</f>
        <v>0</v>
      </c>
      <c r="BO46" s="93" t="str">
        <f>IF(46=46,IF($U46="","",SUBSTITUTE(SUBSTITUTE(SUBSTITUTE(SUBSTITUTE(SUBSTITUTE(SUBSTITUTE(SUBSTITUTE(SUBSTITUTE(SUBSTITUTE(SUBSTITUTE(SUBSTITUTE(SUBSTITUTE(SUBSTITUTE(SUBSTITUTE(SUBSTITUTE(SUBSTITUTE(SUBSTITUTE(SUBSTITUTE(SUBSTITUTE(SUBSTITUTE(SUBSTITUTE(SUBSTITUTE(SUBSTITUTE($AA46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persil plat </v>
      </c>
      <c r="BP46" s="93">
        <f>IF(46=46,IF($U46="","",SUMPRODUCT(--ISNUMBER(SEARCH(" "&amp;$CR$1960:$CR$1976&amp;" ",$BO46)))),"")</f>
        <v>0</v>
      </c>
      <c r="BQ46" s="93" t="str">
        <f>IF(46=46,IF($U46="","",IF(BN46&gt;0,"X",IF(BP46&gt;0,"?",""))),"")</f>
        <v/>
      </c>
      <c r="BR46" s="93">
        <f>IF(46=46,IF($U46="","",SUMPRODUCT(--ISNUMBER(SEARCH(" "&amp;$CR$1977:$CR$1990&amp;" ",$AA46)))),"")</f>
        <v>0</v>
      </c>
      <c r="BS46" s="93">
        <f>IF(46=46,IF($U46="","",SUMPRODUCT(--ISNUMBER(SEARCH(" "&amp;$CR$1991:$CR$2005&amp;" ",$AA46)))),"")</f>
        <v>0</v>
      </c>
      <c r="BT46" s="93" t="str">
        <f>IF(46=46,IF($U46="","",IF((BR46)-(0)&gt;0,"X",IF((BS46)-(0)&gt;0,"?",""))),"")</f>
        <v/>
      </c>
      <c r="BU46" s="93">
        <f>IF(46=46,IF($U46="","",SUMPRODUCT(--ISNUMBER(SEARCH(" "&amp;$CR$2006:$CR$2023&amp;" ",$AA46)))),"")</f>
        <v>0</v>
      </c>
      <c r="BV46" s="93">
        <f>IF(46=46,IF($U46="","",SUMPRODUCT(--ISNUMBER(SEARCH(" "&amp;$CR$2024:$CR$2038&amp;" ",$AA46)))),"")</f>
        <v>0</v>
      </c>
      <c r="BW46" s="93" t="str">
        <f>IF(46=46,IF($U46="","",IF((BU46)-(0)&gt;0,"X",IF((BV46)-(0)&gt;0,"?",""))),"")</f>
        <v/>
      </c>
      <c r="BX46" s="93">
        <f>IF(46=46,IF($U46="","",SUMPRODUCT(--ISNUMBER(SEARCH(" "&amp;$CR$2039:$CR$2057&amp;" ",$AA46)))),"")</f>
        <v>0</v>
      </c>
      <c r="BY46" s="93">
        <f>IF(46=46,IF($U46="","",SUMPRODUCT(--ISNUMBER(SEARCH(" "&amp;$CR$2058:$CR$2072&amp;" ",$AA46)))),"")</f>
        <v>0</v>
      </c>
      <c r="BZ46" s="93" t="str">
        <f>IF(46=46,IF($U46="","",IF((BX46)-(0)&gt;0,"X",IF((BY46)-(0)&gt;0,"?",""))),"")</f>
        <v/>
      </c>
      <c r="CA46" s="93">
        <f>IF(46=46,IF($U46="","",SUMPRODUCT(--ISNUMBER(SEARCH(" "&amp;$CR$2073:$CR$2093&amp;" ",$AA46)))),"")</f>
        <v>0</v>
      </c>
      <c r="CB46" s="93">
        <f>IF(46=46,IF($U46="","",SUMPRODUCT(--ISNUMBER(SEARCH(" "&amp;$CR$2094:$CR$2133&amp;" ",SUBSTITUTE(SUBSTITUTE($AA46," "&amp;$CR$1367&amp;" "," ")," "&amp;$CR$1366&amp;" "," "))))+--ISNUMBER(SEARCH("poiré",$V46))),"")</f>
        <v>0</v>
      </c>
      <c r="CC46" s="93" t="str">
        <f>IF(46=46,IF($U46="","",IF(OR(CA46&gt;0,ISNUMBER(SEARCH(" vinaigre de vin ",$AA46)),ISNUMBER(SEARCH(" vinaigre au vin ",$AA46))),"X",IF(CB46&gt;0,"?",""))),"")</f>
        <v/>
      </c>
      <c r="CD46" s="93">
        <f>IF(46=46,IF($U46="","",SUMPRODUCT(--ISNUMBER(SEARCH(" "&amp;$CR$2134:$CR$2146&amp;" ",$AA46)))),"")</f>
        <v>0</v>
      </c>
      <c r="CE46" s="93">
        <f>IF(46=46,IF($U46="","",SUMPRODUCT(--ISNUMBER(SEARCH(" "&amp;$CR$2147:$CR$2152&amp;" ",$AA46)))),"")</f>
        <v>0</v>
      </c>
      <c r="CF46" s="93" t="str">
        <f>IF(46=46,IF($U46="","",IF((CD46)-(0)&gt;0,"X",IF((CE46)-(0)&gt;0,"?",""))),"")</f>
        <v/>
      </c>
      <c r="CG46" s="93">
        <f>IF(46=46,IF($U46="","",SUMPRODUCT(--ISNUMBER(SEARCH(" "&amp;$CR$2153:$CR$2252&amp;" ",$CJ46)))),"")</f>
        <v>0</v>
      </c>
      <c r="CH46" s="93">
        <f>IF(46=46,IF($U46="","",SUMPRODUCT(--ISNUMBER(SEARCH(" "&amp;$CR$2253:$CR$2352&amp;" ",$CJ46)))),"")</f>
        <v>0</v>
      </c>
      <c r="CI46" s="93">
        <f>IF(46=46,IF($U46="","",SUMPRODUCT(--ISNUMBER(SEARCH(" "&amp;$CR$2353:$CR$2395&amp;" ",$CJ46)))),"")</f>
        <v>0</v>
      </c>
      <c r="CJ46" s="93" t="str">
        <f>IF(46=46,IF($U46="","",SUBSTITUTE(SUBSTITUTE(SUBSTITUTE(SUBSTITUTE(SUBSTITUTE(SUBSTITUTE(SUBSTITUTE(SUBSTITUTE(SUBSTITUTE(SUBSTITUTE(SUBSTITUTE(SUBSTITUTE(SUBSTITUTE(SUBSTITUTE(SUBSTITUTE(SUBSTITUTE($AA46," "&amp;$CR$2401&amp;" "," ")," "&amp;$CR$2400&amp;" "," ")," "&amp;$CR$2399&amp;" "," ")," "&amp;$CR$2406&amp;" "," ")," "&amp;$CR$2398&amp;" "," ")," "&amp;$CR$2410&amp;" "," ")," "&amp;$CR$2397&amp;" "," ")," "&amp;$CR$2402&amp;" "," ")," "&amp;$CR$2405&amp;" "," ")," "&amp;$CR$2396&amp;" "," ")," "&amp;$CR$2404&amp;" "," ")," "&amp;$CR$2411&amp;" "," ")," "&amp;$CR$2408&amp;" "," ")," "&amp;$CR$2403&amp;" "," ")," "&amp;$CR$2407&amp;" "," ")," "&amp;$CR$2409&amp;" "," ")),"")</f>
        <v xml:space="preserve"> persil plat </v>
      </c>
      <c r="CK46" s="93">
        <f>IF(46=46,IF($U46="","",SUMPRODUCT(--ISNUMBER(SEARCH(" "&amp;$CR$2412:$CR$2416&amp;" ",$CJ46)))),"")</f>
        <v>0</v>
      </c>
      <c r="CL46" s="93" t="str">
        <f>IF(46=46,IF($U46="","",IF(SUM(CG46:CI46)&gt;0,"X",IF(CK46&gt;0,"?",""))),"")</f>
        <v/>
      </c>
      <c r="CM46" s="102"/>
      <c r="CN46" s="112" t="s">
        <v>711</v>
      </c>
      <c r="CO46" s="112" t="s">
        <v>522</v>
      </c>
      <c r="CP46" s="112" t="s">
        <v>523</v>
      </c>
      <c r="CQ46" s="112" t="s">
        <v>712</v>
      </c>
      <c r="CR46" s="112" t="s">
        <v>712</v>
      </c>
      <c r="CS46" s="112" t="s">
        <v>525</v>
      </c>
      <c r="CT46" s="112" t="s">
        <v>526</v>
      </c>
      <c r="CU46" s="112" t="s">
        <v>527</v>
      </c>
      <c r="CV46" s="113" t="s">
        <v>528</v>
      </c>
      <c r="CX46" s="36">
        <v>1</v>
      </c>
    </row>
    <row r="47" spans="1:102" ht="21" customHeight="1" x14ac:dyDescent="0.25">
      <c r="A47" s="135">
        <v>41</v>
      </c>
      <c r="B47" s="136" t="s">
        <v>258</v>
      </c>
      <c r="C47" s="137" t="str">
        <f t="shared" si="0"/>
        <v>Petits pois surgelés</v>
      </c>
      <c r="D47" s="138" t="str">
        <f>IF(47=47,IF($B47="","",IF(E47="X",""&amp;"Céréales contenant du gluten","")&amp;IF(F47="X",IF(COUNTIF($E47:$E47,"X")&gt;0,", ","")&amp;"Crustacés","")&amp;IF(G47="X",IF(COUNTIF($E47:$F47,"X")&gt;0,", ","")&amp;"Œufs","")&amp;IF(H47="X",IF(COUNTIF($E47:$G47,"X")&gt;0,", ","")&amp;"Poissons","")&amp;IF(I47="X",IF(COUNTIF($E47:$H47,"X")&gt;0,", ","")&amp;"Arachides","")&amp;IF(J47="X",IF(COUNTIF($E47:$I47,"X")&gt;0,", ","")&amp;"Soja","")&amp;IF(K47="X",IF(COUNTIF($E47:$J47,"X")&gt;0,", ","")&amp;"Lait","")&amp;IF(L47="X",IF(COUNTIF($E47:$K47,"X")&gt;0,", ","")&amp;"Fruits à coque","")&amp;IF(M47="X",IF(COUNTIF($E47:$L47,"X")&gt;0,", ","")&amp;"Céleri","")&amp;IF(N47="X",IF(COUNTIF($E47:$M47,"X")&gt;0,", ","")&amp;"Moutarde","")&amp;IF(O47="X",IF(COUNTIF($E47:$N47,"X")&gt;0,", ","")&amp;"Sésame","")&amp;IF(P47="X",IF(COUNTIF($E47:$O47,"X")&gt;0,", ","")&amp;"Sulfites","")&amp;IF(Q47="X",IF(COUNTIF($E47:$P47,"X")&gt;0,", ","")&amp;"Lupin","")&amp;IF(R47="X",IF(COUNTIF($E47:$Q47,"X")&gt;0,", ","")&amp;"Mollusques","")),"")</f>
        <v/>
      </c>
      <c r="E47" s="139" t="str">
        <f>IF(47=47,IF($B47="","",AF47),"")</f>
        <v/>
      </c>
      <c r="F47" s="139" t="str">
        <f>IF(47=47,IF($B47="","",AI47),"")</f>
        <v/>
      </c>
      <c r="G47" s="139" t="str">
        <f>IF(47=47,IF($B47="","",AM47),"")</f>
        <v/>
      </c>
      <c r="H47" s="139" t="str">
        <f>IF(47=47,IF($B47="","",IF(ISNUMBER(SEARCH(" colin ",$AA47)),"X",AZ47)),"")</f>
        <v/>
      </c>
      <c r="I47" s="139" t="str">
        <f>IF(47=47,IF($B47="","",BB47),"")</f>
        <v/>
      </c>
      <c r="J47" s="139" t="str">
        <f>IF(47=47,IF($B47="","",BF47),"")</f>
        <v/>
      </c>
      <c r="K47" s="139" t="str">
        <f>IF(47=47,IF($B47="","",BM47),"")</f>
        <v/>
      </c>
      <c r="L47" s="139" t="str">
        <f>IF(47=47,IF($B47="","",BQ47),"")</f>
        <v/>
      </c>
      <c r="M47" s="139" t="str">
        <f>IF(47=47,IF($B47="","",BT47),"")</f>
        <v/>
      </c>
      <c r="N47" s="139" t="str">
        <f>IF(47=47,IF($B47="","",BW47),"")</f>
        <v/>
      </c>
      <c r="O47" s="139" t="str">
        <f>IF(47=47,IF($B47="","",BZ47),"")</f>
        <v/>
      </c>
      <c r="P47" s="139" t="str">
        <f>IF(47=47,IF($B47="","",CC47),"")</f>
        <v/>
      </c>
      <c r="Q47" s="139" t="str">
        <f>IF(47=47,IF($B47="","",CF47),"")</f>
        <v/>
      </c>
      <c r="R47" s="139" t="str">
        <f>IF(47=47,IF($B47="","",CL47),"")</f>
        <v/>
      </c>
      <c r="S47" s="140" t="str">
        <f>IF(47=47,IF($B47="","",IF(E47="?",""&amp;"Céréales contenant du gluten","")&amp;IF(F47="?",IF(COUNTIF($E47:$E47,"~?")&gt;0,", ","")&amp;"Crustacés","")&amp;IF(G47="?",IF(COUNTIF($E47:$F47,"~?")&gt;0,", ","")&amp;"Œufs","")&amp;IF(H47="?",IF(COUNTIF($E47:$G47,"~?")&gt;0,", ","")&amp;"Poissons","")&amp;IF(I47="?",IF(COUNTIF($E47:$H47,"~?")&gt;0,", ","")&amp;"Arachides","")&amp;IF(J47="?",IF(COUNTIF($E47:$I47,"~?")&gt;0,", ","")&amp;"Soja","")&amp;IF(K47="?",IF(COUNTIF($E47:$J47,"~?")&gt;0,", ","")&amp;"Lait","")&amp;IF(L47="?",IF(COUNTIF($E47:$K47,"~?")&gt;0,", ","")&amp;"Fruits à coque","")&amp;IF(M47="?",IF(COUNTIF($E47:$L47,"~?")&gt;0,", ","")&amp;"Céleri","")&amp;IF(N47="?",IF(COUNTIF($E47:$M47,"~?")&gt;0,", ","")&amp;"Moutarde","")&amp;IF(O47="?",IF(COUNTIF($E47:$N47,"~?")&gt;0,", ","")&amp;"Sésame","")&amp;IF(P47="?",IF(COUNTIF($E47:$O47,"~?")&gt;0,", ","")&amp;"Sulfites","")&amp;IF(Q47="?",IF(COUNTIF($E47:$P47,"~?")&gt;0,", ","")&amp;"Lupin","")&amp;IF(R47="?",IF(COUNTIF($E47:$Q47,"~?")&gt;0,", ","")&amp;"Mollusques","")),"")</f>
        <v/>
      </c>
      <c r="U47" s="93" t="str">
        <f>IF(47=47,IF($B47="","",$B47),"")</f>
        <v>Petits pois surgelés</v>
      </c>
      <c r="V47" s="93" t="str">
        <f>IF(47=47,LOWER(CLEAN(SUBSTITUTE(SUBSTITUTE(SUBSTITUTE(SUBSTITUTE($U47,CHAR(160)," ")," "," "),CHAR(10)," "),CHAR(13)," "))),"")</f>
        <v>petits pois surgelés</v>
      </c>
      <c r="W47" s="93" t="str">
        <f>IF(47=47,SUBSTITUTE(SUBSTITUTE(SUBSTITUTE(SUBSTITUTE(SUBSTITUTE(SUBSTITUTE(SUBSTITUTE(SUBSTITUTE(SUBSTITUTE(SUBSTITUTE(SUBSTITUTE(SUBSTITUTE($V47,"œ","oe"),"æ","ae"),"à","a"),"á","a"),"â","a"),"ä","a"),"ã","a"),"ç","c"),"è","e"),"é","e"),"ê","e"),"ë","e"),"")</f>
        <v>petits pois surgeles</v>
      </c>
      <c r="X47" s="93" t="str">
        <f>IF(47=47,SUBSTITUTE(SUBSTITUTE(SUBSTITUTE(SUBSTITUTE(SUBSTITUTE(SUBSTITUTE(SUBSTITUTE(SUBSTITUTE(SUBSTITUTE(SUBSTITUTE(SUBSTITUTE(SUBSTITUTE(SUBSTITUTE(SUBSTITUTE(SUBSTITUTE(SUBSTITUTE($W47,"ì","i"),"í","i"),"î","i"),"ï","i"),"ñ","n"),"ò","o"),"ó","o"),"ô","o"),"ö","o"),"õ","o"),"ù","u"),"ú","u"),"û","u"),"ü","u"),"ý","y"),"ÿ","y"),"")</f>
        <v>petits pois surgeles</v>
      </c>
      <c r="Y47" s="93" t="str">
        <f>IF(47=47,SUBSTITUTE(SUBSTITUTE(SUBSTITUTE(SUBSTITUTE(SUBSTITUTE(SUBSTITUTE(SUBSTITUTE(SUBSTITUTE(SUBSTITUTE(SUBSTITUTE(SUBSTITUTE(SUBSTITUTE(SUBSTITUTE(SUBSTITUTE($X47,"’"," "),"`"," "),"–"," "),"—"," "),"-"," "),"'"," "),"/"," "),"_"," "),","," "),"."," "),"("," "),")"," "),";"," "),":"," "),"")</f>
        <v>petits pois surgeles</v>
      </c>
      <c r="Z47" s="93" t="str">
        <f>IF(47=47,SUBSTITUTE(SUBSTITUTE(SUBSTITUTE(SUBSTITUTE(SUBSTITUTE(SUBSTITUTE(SUBSTITUTE(SUBSTITUTE(SUBSTITUTE(SUBSTITUTE(SUBSTITUTE(SUBSTITUTE(SUBSTITUTE(SUBSTITUTE(SUBSTITUTE($Y47,"!"," "),"?"," "),"+"," "),"*"," "),"&amp;"," "),"["," "),"]"," "),"{"," "),"}"," "),"%"," "),"="," "),"\"," "),"|"," "),"&lt;"," "),"&gt;"," "),"")</f>
        <v>petits pois surgeles</v>
      </c>
      <c r="AA47" s="93" t="str">
        <f>IF(47=47," "&amp;TRIM(SUBSTITUTE(SUBSTITUTE(SUBSTITUTE(SUBSTITUTE(SUBSTITUTE(SUBSTITUTE($Z47,CHAR(34)," "),"  "," "),"  "," "),"  "," "),"  "," "),"  "," "))&amp;" ","")</f>
        <v xml:space="preserve"> petits pois surgeles </v>
      </c>
      <c r="AB47" s="93">
        <f>IF(47=47,IF($U47="","",SUMPRODUCT(--ISNUMBER(SEARCH(" "&amp;$CR$2:$CR$101&amp;" ",$AD47)))),"")</f>
        <v>0</v>
      </c>
      <c r="AC47" s="93">
        <f>IF(47=47,IF($U47="","",SUMPRODUCT(--ISNUMBER(SEARCH(" "&amp;$CR$102:$CR$151&amp;" ",$AD47)))),"")</f>
        <v>0</v>
      </c>
      <c r="AD47" s="93" t="str">
        <f t="shared" si="1"/>
        <v xml:space="preserve"> petits pois surgeles </v>
      </c>
      <c r="AE47" s="93">
        <f t="shared" si="2"/>
        <v>0</v>
      </c>
      <c r="AF47" s="93" t="str">
        <f>IF(47=47,IF($U47="","",IF(SUM(AB47:AC47)+SUMPRODUCT(--ISNUMBER(SEARCH(" "&amp;$CR$2418:$CR$2420&amp;" ",$AD47)))&gt;0,"X",IF(AE47&gt;0,"?",""))),"")</f>
        <v/>
      </c>
      <c r="AG47" s="93">
        <f>IF(47=47,IF($U47="","",SUMPRODUCT(--ISNUMBER(SEARCH(" "&amp;$CR$206:$CR$305&amp;" ",$AA47)))),"")</f>
        <v>0</v>
      </c>
      <c r="AH47" s="93">
        <f>IF(47=47,IF($U47="","",SUMPRODUCT(--ISNUMBER(SEARCH(" "&amp;$CR$306:$CR$340&amp;" ",$AA47)))),"")</f>
        <v>0</v>
      </c>
      <c r="AI47" s="93" t="str">
        <f>IF(47=47,IF($U47="","",IF((SUM(AG47:AH47))-(0)&gt;0,"X",IF((0)-(0)&gt;0,"?",""))),"")</f>
        <v/>
      </c>
      <c r="AJ47" s="93">
        <f>IF(47=47,IF($U47="","",SUMPRODUCT(--ISNUMBER(SEARCH(" "&amp;$CR$341:$CR$398&amp;" ",$AA47)))),"")</f>
        <v>0</v>
      </c>
      <c r="AK47" s="93">
        <f>IF(47=47,IF($U47="","",SUMPRODUCT(--ISNUMBER(SEARCH(" "&amp;$CR$399:$CR$426&amp;" ",$AL47)))+SUMPRODUCT(--ISNUMBER(SEARCH(" "&amp;$CR$2440:$CR$2453&amp;" ",$AL47)))),"")</f>
        <v>0</v>
      </c>
      <c r="AL47" s="93" t="str">
        <f>IF(47=47,IF($U47="","",SUBSTITUTE(SUBSTITUTE(SUBSTITUTE(SUBSTITUTE(SUBSTITUTE(SUBSTITUTE(SUBSTITUTE(SUBSTITUTE(SUBSTITUTE(SUBSTITUTE(SUBSTITUTE(SUBSTITUTE(SUBSTITUTE(SUBSTITUTE($AA47," "&amp;$CR$2455&amp;" "," ")," "&amp;$CR$433&amp;" "," ")," "&amp;$CR$431&amp;" "," ")," "&amp;$CR$2438&amp;" "," ")," "&amp;$CR$2439&amp;" "," ")," "&amp;$CR$428&amp;" "," ")," "&amp;$CR$432&amp;" "," ")," "&amp;$CR$434&amp;" "," ")," "&amp;$CR$429&amp;" "," ")," "&amp;$CR$427&amp;" "," ")," "&amp;$CR$1367&amp;" "," ")," "&amp;$CR$435&amp;" "," ")," "&amp;$CR$1366&amp;" "," ")," "&amp;$CR$430&amp;" "," ")),"")</f>
        <v xml:space="preserve"> petits pois surgeles </v>
      </c>
      <c r="AM47" s="93" t="str">
        <f>IF(47=47,IF($U47="","",IF(AJ47&gt;0,"X",IF(AK47&gt;0,"?",""))),"")</f>
        <v/>
      </c>
      <c r="AN47" s="93">
        <f>IF(47=47,IF($U47="","",SUMPRODUCT(--ISNUMBER(SEARCH(" "&amp;$CR$436:$CR$535&amp;" ",$AX47)))),"")</f>
        <v>0</v>
      </c>
      <c r="AO47" s="93">
        <f>IF(47=47,IF($U47="","",SUMPRODUCT(--ISNUMBER(SEARCH(" "&amp;$CR$536:$CR$635&amp;" ",$AX47)))),"")</f>
        <v>0</v>
      </c>
      <c r="AP47" s="93">
        <f>IF(47=47,IF($U47="","",SUMPRODUCT(--ISNUMBER(SEARCH(" "&amp;$CR$636:$CR$735&amp;" ",$AX47)))),"")</f>
        <v>0</v>
      </c>
      <c r="AQ47" s="93">
        <f>IF(47=47,IF($U47="","",SUMPRODUCT(--ISNUMBER(SEARCH(" "&amp;$CR$736:$CR$835&amp;" ",$AX47)))),"")</f>
        <v>0</v>
      </c>
      <c r="AR47" s="93">
        <f>IF(47=47,IF($U47="","",SUMPRODUCT(--ISNUMBER(SEARCH(" "&amp;$CR$836:$CR$935&amp;" ",$AX47)))),"")</f>
        <v>0</v>
      </c>
      <c r="AS47" s="93">
        <f>IF(47=47,IF($U47="","",SUMPRODUCT(--ISNUMBER(SEARCH(" "&amp;$CR$936:$CR$1035&amp;" ",$AX47)))),"")</f>
        <v>0</v>
      </c>
      <c r="AT47" s="93">
        <f>IF(47=47,IF($U47="","",SUMPRODUCT(--ISNUMBER(SEARCH(" "&amp;$CR$1036:$CR$1135&amp;" ",$AX47)))),"")</f>
        <v>0</v>
      </c>
      <c r="AU47" s="93">
        <f>IF(47=47,IF($U47="","",SUMPRODUCT(--ISNUMBER(SEARCH(" "&amp;$CR$1136:$CR$1235&amp;" ",$AX47)))),"")</f>
        <v>0</v>
      </c>
      <c r="AV47" s="93">
        <f>IF(47=47,IF($U47="","",SUMPRODUCT(--ISNUMBER(SEARCH(" "&amp;$CR$1236:$CR$1335&amp;" ",$AX47)))),"")</f>
        <v>0</v>
      </c>
      <c r="AW47" s="93">
        <f>IF(47=47,IF($U47="","",SUMPRODUCT(--ISNUMBER(SEARCH(" "&amp;$CR$1336:$CR$1363&amp;" ",$AX47)))),"")</f>
        <v>0</v>
      </c>
      <c r="AX47" s="93" t="str">
        <f>IF(47=47,IF($U47="","",SUBSTITUTE(SUBSTITUTE(SUBSTITUTE(SUBSTITUTE(SUBSTITUTE(SUBSTITUTE(SUBSTITUTE(SUBSTITUTE(SUBSTITUTE($AA47," "&amp;$CR$1365&amp;" "," ")," "&amp;$CR$1364&amp;" "," ")," "&amp;$CR$1370&amp;" "," ")," "&amp;$CR$1371&amp;" "," ")," "&amp;$CR$1367&amp;" "," ")," "&amp;$CR$1369&amp;" "," ")," "&amp;$CR$1366&amp;" "," ")," "&amp;$CR$1368&amp;" "," ")," "&amp;$CR$1372&amp;" "," ")),"")</f>
        <v xml:space="preserve"> petits pois surgeles </v>
      </c>
      <c r="AY47" s="93">
        <f>IF(47=47,IF($U47="","",SUMPRODUCT(--ISNUMBER(SEARCH(" "&amp;$CR$1373:$CR$1383&amp;" ",$AX47)))),"")</f>
        <v>0</v>
      </c>
      <c r="AZ47" s="93" t="str">
        <f>IF(47=47,IF($U47="","",IF(SUM(AN47:AW47)+SUMPRODUCT(--ISNUMBER(SEARCH(" "&amp;$CR$2421:$CR$2422&amp;" ",$AX47)))&gt;0,"X",IF(AY47&gt;0,"?",""))),"")</f>
        <v/>
      </c>
      <c r="BA47" s="93">
        <f>IF(47=47,IF($U47="","",SUMPRODUCT(--ISNUMBER(SEARCH(" "&amp;$CR$1384:$CR$1404&amp;" ",$AA47)))),"")</f>
        <v>0</v>
      </c>
      <c r="BB47" s="93" t="str">
        <f>IF(47=47,IF($U47="","",IF((BA47)-(0)&gt;0,"X",IF((0)-(0)&gt;0,"?",""))),"")</f>
        <v/>
      </c>
      <c r="BC47" s="93">
        <f>IF(47=47,IF($U47="","",SUMPRODUCT(--ISNUMBER(SEARCH(" "&amp;$CR$1405:$CR$1442&amp;" ",$BD47)))),"")</f>
        <v>0</v>
      </c>
      <c r="BD47" s="93" t="str">
        <f>IF(47=47,IF($U47="","",SUBSTITUTE(SUBSTITUTE($AA47," "&amp;$CR$1443&amp;" "," ")," "&amp;$CR$1444&amp;" "," ")),"")</f>
        <v xml:space="preserve"> petits pois surgeles </v>
      </c>
      <c r="BE47" s="93">
        <f>IF(47=47,IF($U47="","",SUMPRODUCT(--ISNUMBER(SEARCH(" "&amp;$CR$1445:$CR$1455&amp;" ",$BD47)))),"")</f>
        <v>0</v>
      </c>
      <c r="BF47" s="93" t="str">
        <f>IF(47=47,IF($U47="","",IF(BC47&gt;0,"X",IF(BE47&gt;0,"?",""))),"")</f>
        <v/>
      </c>
      <c r="BG47" s="93">
        <f>IF(47=47,IF($U47="","",SUMPRODUCT(--ISNUMBER(SEARCH(" "&amp;$CR$1456:$CR$1555&amp;" ",$BJ47)))),"")</f>
        <v>0</v>
      </c>
      <c r="BH47" s="93">
        <f>IF(47=47,IF($U47="","",SUMPRODUCT(--ISNUMBER(SEARCH(" "&amp;$CR$1556:$CR$1655&amp;" ",$BJ47)))),"")</f>
        <v>0</v>
      </c>
      <c r="BI47" s="93">
        <f>IF(47=47,IF($U47="","",SUMPRODUCT(--ISNUMBER(SEARCH(" "&amp;$CR$1656:$CR$1739&amp;" ",$BJ47)))),"")</f>
        <v>0</v>
      </c>
      <c r="BJ47" s="93" t="str">
        <f>IF(47=47,IF($U47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47,"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petits pois surgeles </v>
      </c>
      <c r="BK47" s="93">
        <f>IF(47=47,IF($U47="","",SUMPRODUCT(--ISNUMBER(SEARCH(" "&amp;$CR$1790:$CR$1869&amp;" ",$BL47)))+SUMPRODUCT(--ISNUMBER(SEARCH(" "&amp;$CR$2440:$CR$2453&amp;" ",$BL47)))),"")</f>
        <v>0</v>
      </c>
      <c r="BL47" s="93" t="str">
        <f>IF(47=47,IF($U47="","",SUBSTITUTE(SUBSTITUTE(SUBSTITUTE(SUBSTITUTE(SUBSTITUTE(SUBSTITUTE(SUBSTITUTE(SUBSTITUTE(SUBSTITUTE(SUBSTITUTE(SUBSTITUTE(SUBSTITUTE(SUBSTITUTE($BJ47," "&amp;$CR$1876&amp;" "," ")," "&amp;$CR$1874&amp;" "," ")," "&amp;$CR$2438&amp;" "," ")," "&amp;$CR$2439&amp;" "," ")," "&amp;$CR$1871&amp;" "," ")," "&amp;$CR$1875&amp;" "," ")," "&amp;$CR$1877&amp;" "," ")," "&amp;$CR$1872&amp;" "," ")," "&amp;$CR$1870&amp;" "," ")," "&amp;$CR$1367&amp;" "," ")," "&amp;$CR$1878&amp;" "," ")," "&amp;$CR$1366&amp;" "," ")," "&amp;$CR$1873&amp;" "," ")),"")</f>
        <v xml:space="preserve"> petits pois surgeles </v>
      </c>
      <c r="BM47" s="93" t="str">
        <f>IF(47=47,IF($U47="","",IF(SUM(BG47:BI47)+SUMPRODUCT(--ISNUMBER(SEARCH(" "&amp;$CR$2423:$CR$2424&amp;" ",$BJ47)))&gt;0,"X",IF(BK47&gt;0,"?",""))),"")</f>
        <v/>
      </c>
      <c r="BN47" s="93">
        <f>IF(47=47,IF($U47="","",SUMPRODUCT(--ISNUMBER(SEARCH(" "&amp;$CR$1879:$CR$1936&amp;" ",$BO47)))),"")</f>
        <v>0</v>
      </c>
      <c r="BO47" s="93" t="str">
        <f>IF(47=47,IF($U47="","",SUBSTITUTE(SUBSTITUTE(SUBSTITUTE(SUBSTITUTE(SUBSTITUTE(SUBSTITUTE(SUBSTITUTE(SUBSTITUTE(SUBSTITUTE(SUBSTITUTE(SUBSTITUTE(SUBSTITUTE(SUBSTITUTE(SUBSTITUTE(SUBSTITUTE(SUBSTITUTE(SUBSTITUTE(SUBSTITUTE(SUBSTITUTE(SUBSTITUTE(SUBSTITUTE(SUBSTITUTE(SUBSTITUTE($AA47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petits pois surgeles </v>
      </c>
      <c r="BP47" s="93">
        <f>IF(47=47,IF($U47="","",SUMPRODUCT(--ISNUMBER(SEARCH(" "&amp;$CR$1960:$CR$1976&amp;" ",$BO47)))),"")</f>
        <v>0</v>
      </c>
      <c r="BQ47" s="93" t="str">
        <f>IF(47=47,IF($U47="","",IF(BN47&gt;0,"X",IF(BP47&gt;0,"?",""))),"")</f>
        <v/>
      </c>
      <c r="BR47" s="93">
        <f>IF(47=47,IF($U47="","",SUMPRODUCT(--ISNUMBER(SEARCH(" "&amp;$CR$1977:$CR$1990&amp;" ",$AA47)))),"")</f>
        <v>0</v>
      </c>
      <c r="BS47" s="93">
        <f>IF(47=47,IF($U47="","",SUMPRODUCT(--ISNUMBER(SEARCH(" "&amp;$CR$1991:$CR$2005&amp;" ",$AA47)))),"")</f>
        <v>0</v>
      </c>
      <c r="BT47" s="93" t="str">
        <f>IF(47=47,IF($U47="","",IF((BR47)-(0)&gt;0,"X",IF((BS47)-(0)&gt;0,"?",""))),"")</f>
        <v/>
      </c>
      <c r="BU47" s="93">
        <f>IF(47=47,IF($U47="","",SUMPRODUCT(--ISNUMBER(SEARCH(" "&amp;$CR$2006:$CR$2023&amp;" ",$AA47)))),"")</f>
        <v>0</v>
      </c>
      <c r="BV47" s="93">
        <f>IF(47=47,IF($U47="","",SUMPRODUCT(--ISNUMBER(SEARCH(" "&amp;$CR$2024:$CR$2038&amp;" ",$AA47)))),"")</f>
        <v>0</v>
      </c>
      <c r="BW47" s="93" t="str">
        <f>IF(47=47,IF($U47="","",IF((BU47)-(0)&gt;0,"X",IF((BV47)-(0)&gt;0,"?",""))),"")</f>
        <v/>
      </c>
      <c r="BX47" s="93">
        <f>IF(47=47,IF($U47="","",SUMPRODUCT(--ISNUMBER(SEARCH(" "&amp;$CR$2039:$CR$2057&amp;" ",$AA47)))),"")</f>
        <v>0</v>
      </c>
      <c r="BY47" s="93">
        <f>IF(47=47,IF($U47="","",SUMPRODUCT(--ISNUMBER(SEARCH(" "&amp;$CR$2058:$CR$2072&amp;" ",$AA47)))),"")</f>
        <v>0</v>
      </c>
      <c r="BZ47" s="93" t="str">
        <f>IF(47=47,IF($U47="","",IF((BX47)-(0)&gt;0,"X",IF((BY47)-(0)&gt;0,"?",""))),"")</f>
        <v/>
      </c>
      <c r="CA47" s="93">
        <f>IF(47=47,IF($U47="","",SUMPRODUCT(--ISNUMBER(SEARCH(" "&amp;$CR$2073:$CR$2093&amp;" ",$AA47)))),"")</f>
        <v>0</v>
      </c>
      <c r="CB47" s="93">
        <f>IF(47=47,IF($U47="","",SUMPRODUCT(--ISNUMBER(SEARCH(" "&amp;$CR$2094:$CR$2133&amp;" ",SUBSTITUTE(SUBSTITUTE($AA47," "&amp;$CR$1367&amp;" "," ")," "&amp;$CR$1366&amp;" "," "))))+--ISNUMBER(SEARCH("poiré",$V47))),"")</f>
        <v>0</v>
      </c>
      <c r="CC47" s="93" t="str">
        <f>IF(47=47,IF($U47="","",IF(OR(CA47&gt;0,ISNUMBER(SEARCH(" vinaigre de vin ",$AA47)),ISNUMBER(SEARCH(" vinaigre au vin ",$AA47))),"X",IF(CB47&gt;0,"?",""))),"")</f>
        <v/>
      </c>
      <c r="CD47" s="93">
        <f>IF(47=47,IF($U47="","",SUMPRODUCT(--ISNUMBER(SEARCH(" "&amp;$CR$2134:$CR$2146&amp;" ",$AA47)))),"")</f>
        <v>0</v>
      </c>
      <c r="CE47" s="93">
        <f>IF(47=47,IF($U47="","",SUMPRODUCT(--ISNUMBER(SEARCH(" "&amp;$CR$2147:$CR$2152&amp;" ",$AA47)))),"")</f>
        <v>0</v>
      </c>
      <c r="CF47" s="93" t="str">
        <f>IF(47=47,IF($U47="","",IF((CD47)-(0)&gt;0,"X",IF((CE47)-(0)&gt;0,"?",""))),"")</f>
        <v/>
      </c>
      <c r="CG47" s="93">
        <f>IF(47=47,IF($U47="","",SUMPRODUCT(--ISNUMBER(SEARCH(" "&amp;$CR$2153:$CR$2252&amp;" ",$CJ47)))),"")</f>
        <v>0</v>
      </c>
      <c r="CH47" s="93">
        <f>IF(47=47,IF($U47="","",SUMPRODUCT(--ISNUMBER(SEARCH(" "&amp;$CR$2253:$CR$2352&amp;" ",$CJ47)))),"")</f>
        <v>0</v>
      </c>
      <c r="CI47" s="93">
        <f>IF(47=47,IF($U47="","",SUMPRODUCT(--ISNUMBER(SEARCH(" "&amp;$CR$2353:$CR$2395&amp;" ",$CJ47)))),"")</f>
        <v>0</v>
      </c>
      <c r="CJ47" s="93" t="str">
        <f>IF(47=47,IF($U47="","",SUBSTITUTE(SUBSTITUTE(SUBSTITUTE(SUBSTITUTE(SUBSTITUTE(SUBSTITUTE(SUBSTITUTE(SUBSTITUTE(SUBSTITUTE(SUBSTITUTE(SUBSTITUTE(SUBSTITUTE(SUBSTITUTE(SUBSTITUTE(SUBSTITUTE(SUBSTITUTE($AA47," "&amp;$CR$2401&amp;" "," ")," "&amp;$CR$2400&amp;" "," ")," "&amp;$CR$2399&amp;" "," ")," "&amp;$CR$2406&amp;" "," ")," "&amp;$CR$2398&amp;" "," ")," "&amp;$CR$2410&amp;" "," ")," "&amp;$CR$2397&amp;" "," ")," "&amp;$CR$2402&amp;" "," ")," "&amp;$CR$2405&amp;" "," ")," "&amp;$CR$2396&amp;" "," ")," "&amp;$CR$2404&amp;" "," ")," "&amp;$CR$2411&amp;" "," ")," "&amp;$CR$2408&amp;" "," ")," "&amp;$CR$2403&amp;" "," ")," "&amp;$CR$2407&amp;" "," ")," "&amp;$CR$2409&amp;" "," ")),"")</f>
        <v xml:space="preserve"> petits pois surgeles </v>
      </c>
      <c r="CK47" s="93">
        <f>IF(47=47,IF($U47="","",SUMPRODUCT(--ISNUMBER(SEARCH(" "&amp;$CR$2412:$CR$2416&amp;" ",$CJ47)))),"")</f>
        <v>0</v>
      </c>
      <c r="CL47" s="93" t="str">
        <f>IF(47=47,IF($U47="","",IF(SUM(CG47:CI47)&gt;0,"X",IF(CK47&gt;0,"?",""))),"")</f>
        <v/>
      </c>
      <c r="CM47" s="102"/>
      <c r="CN47" s="112" t="s">
        <v>713</v>
      </c>
      <c r="CO47" s="112" t="s">
        <v>522</v>
      </c>
      <c r="CP47" s="112" t="s">
        <v>523</v>
      </c>
      <c r="CQ47" s="112" t="s">
        <v>714</v>
      </c>
      <c r="CR47" s="112" t="s">
        <v>715</v>
      </c>
      <c r="CS47" s="112" t="s">
        <v>525</v>
      </c>
      <c r="CT47" s="112" t="s">
        <v>526</v>
      </c>
      <c r="CU47" s="112" t="s">
        <v>527</v>
      </c>
      <c r="CV47" s="113" t="s">
        <v>528</v>
      </c>
      <c r="CX47" s="36">
        <v>1</v>
      </c>
    </row>
    <row r="48" spans="1:102" ht="21" customHeight="1" x14ac:dyDescent="0.25">
      <c r="A48" s="135">
        <v>42</v>
      </c>
      <c r="B48" s="136" t="s">
        <v>5878</v>
      </c>
      <c r="C48" s="137" t="str">
        <f t="shared" si="0"/>
        <v>Piment (man jack)</v>
      </c>
      <c r="D48" s="138" t="str">
        <f>IF(48=48,IF($B48="","",IF(E48="X",""&amp;"Céréales contenant du gluten","")&amp;IF(F48="X",IF(COUNTIF($E48:$E48,"X")&gt;0,", ","")&amp;"Crustacés","")&amp;IF(G48="X",IF(COUNTIF($E48:$F48,"X")&gt;0,", ","")&amp;"Œufs","")&amp;IF(H48="X",IF(COUNTIF($E48:$G48,"X")&gt;0,", ","")&amp;"Poissons","")&amp;IF(I48="X",IF(COUNTIF($E48:$H48,"X")&gt;0,", ","")&amp;"Arachides","")&amp;IF(J48="X",IF(COUNTIF($E48:$I48,"X")&gt;0,", ","")&amp;"Soja","")&amp;IF(K48="X",IF(COUNTIF($E48:$J48,"X")&gt;0,", ","")&amp;"Lait","")&amp;IF(L48="X",IF(COUNTIF($E48:$K48,"X")&gt;0,", ","")&amp;"Fruits à coque","")&amp;IF(M48="X",IF(COUNTIF($E48:$L48,"X")&gt;0,", ","")&amp;"Céleri","")&amp;IF(N48="X",IF(COUNTIF($E48:$M48,"X")&gt;0,", ","")&amp;"Moutarde","")&amp;IF(O48="X",IF(COUNTIF($E48:$N48,"X")&gt;0,", ","")&amp;"Sésame","")&amp;IF(P48="X",IF(COUNTIF($E48:$O48,"X")&gt;0,", ","")&amp;"Sulfites","")&amp;IF(Q48="X",IF(COUNTIF($E48:$P48,"X")&gt;0,", ","")&amp;"Lupin","")&amp;IF(R48="X",IF(COUNTIF($E48:$Q48,"X")&gt;0,", ","")&amp;"Mollusques","")),"")</f>
        <v/>
      </c>
      <c r="E48" s="139" t="str">
        <f>IF(48=48,IF($B48="","",AF48),"")</f>
        <v/>
      </c>
      <c r="F48" s="139" t="str">
        <f>IF(48=48,IF($B48="","",AI48),"")</f>
        <v/>
      </c>
      <c r="G48" s="139" t="str">
        <f>IF(48=48,IF($B48="","",AM48),"")</f>
        <v/>
      </c>
      <c r="H48" s="139" t="str">
        <f>IF(48=48,IF($B48="","",IF(ISNUMBER(SEARCH(" colin ",$AA48)),"X",AZ48)),"")</f>
        <v/>
      </c>
      <c r="I48" s="139" t="str">
        <f>IF(48=48,IF($B48="","",BB48),"")</f>
        <v/>
      </c>
      <c r="J48" s="139" t="str">
        <f>IF(48=48,IF($B48="","",BF48),"")</f>
        <v/>
      </c>
      <c r="K48" s="139" t="str">
        <f>IF(48=48,IF($B48="","",BM48),"")</f>
        <v/>
      </c>
      <c r="L48" s="139" t="str">
        <f>IF(48=48,IF($B48="","",BQ48),"")</f>
        <v/>
      </c>
      <c r="M48" s="139" t="str">
        <f>IF(48=48,IF($B48="","",BT48),"")</f>
        <v/>
      </c>
      <c r="N48" s="139" t="str">
        <f>IF(48=48,IF($B48="","",BW48),"")</f>
        <v/>
      </c>
      <c r="O48" s="139" t="str">
        <f>IF(48=48,IF($B48="","",BZ48),"")</f>
        <v/>
      </c>
      <c r="P48" s="139" t="str">
        <f>IF(48=48,IF($B48="","",CC48),"")</f>
        <v/>
      </c>
      <c r="Q48" s="139" t="str">
        <f>IF(48=48,IF($B48="","",CF48),"")</f>
        <v/>
      </c>
      <c r="R48" s="139" t="str">
        <f>IF(48=48,IF($B48="","",CL48),"")</f>
        <v/>
      </c>
      <c r="S48" s="140" t="str">
        <f>IF(48=48,IF($B48="","",IF(E48="?",""&amp;"Céréales contenant du gluten","")&amp;IF(F48="?",IF(COUNTIF($E48:$E48,"~?")&gt;0,", ","")&amp;"Crustacés","")&amp;IF(G48="?",IF(COUNTIF($E48:$F48,"~?")&gt;0,", ","")&amp;"Œufs","")&amp;IF(H48="?",IF(COUNTIF($E48:$G48,"~?")&gt;0,", ","")&amp;"Poissons","")&amp;IF(I48="?",IF(COUNTIF($E48:$H48,"~?")&gt;0,", ","")&amp;"Arachides","")&amp;IF(J48="?",IF(COUNTIF($E48:$I48,"~?")&gt;0,", ","")&amp;"Soja","")&amp;IF(K48="?",IF(COUNTIF($E48:$J48,"~?")&gt;0,", ","")&amp;"Lait","")&amp;IF(L48="?",IF(COUNTIF($E48:$K48,"~?")&gt;0,", ","")&amp;"Fruits à coque","")&amp;IF(M48="?",IF(COUNTIF($E48:$L48,"~?")&gt;0,", ","")&amp;"Céleri","")&amp;IF(N48="?",IF(COUNTIF($E48:$M48,"~?")&gt;0,", ","")&amp;"Moutarde","")&amp;IF(O48="?",IF(COUNTIF($E48:$N48,"~?")&gt;0,", ","")&amp;"Sésame","")&amp;IF(P48="?",IF(COUNTIF($E48:$O48,"~?")&gt;0,", ","")&amp;"Sulfites","")&amp;IF(Q48="?",IF(COUNTIF($E48:$P48,"~?")&gt;0,", ","")&amp;"Lupin","")&amp;IF(R48="?",IF(COUNTIF($E48:$Q48,"~?")&gt;0,", ","")&amp;"Mollusques","")),"")</f>
        <v/>
      </c>
      <c r="U48" s="93" t="str">
        <f>IF(48=48,IF($B48="","",$B48),"")</f>
        <v>Piment (man jack)</v>
      </c>
      <c r="V48" s="93" t="str">
        <f>IF(48=48,LOWER(CLEAN(SUBSTITUTE(SUBSTITUTE(SUBSTITUTE(SUBSTITUTE($U48,CHAR(160)," ")," "," "),CHAR(10)," "),CHAR(13)," "))),"")</f>
        <v>piment (man jack)</v>
      </c>
      <c r="W48" s="93" t="str">
        <f>IF(48=48,SUBSTITUTE(SUBSTITUTE(SUBSTITUTE(SUBSTITUTE(SUBSTITUTE(SUBSTITUTE(SUBSTITUTE(SUBSTITUTE(SUBSTITUTE(SUBSTITUTE(SUBSTITUTE(SUBSTITUTE($V48,"œ","oe"),"æ","ae"),"à","a"),"á","a"),"â","a"),"ä","a"),"ã","a"),"ç","c"),"è","e"),"é","e"),"ê","e"),"ë","e"),"")</f>
        <v>piment (man jack)</v>
      </c>
      <c r="X48" s="93" t="str">
        <f>IF(48=48,SUBSTITUTE(SUBSTITUTE(SUBSTITUTE(SUBSTITUTE(SUBSTITUTE(SUBSTITUTE(SUBSTITUTE(SUBSTITUTE(SUBSTITUTE(SUBSTITUTE(SUBSTITUTE(SUBSTITUTE(SUBSTITUTE(SUBSTITUTE(SUBSTITUTE(SUBSTITUTE($W48,"ì","i"),"í","i"),"î","i"),"ï","i"),"ñ","n"),"ò","o"),"ó","o"),"ô","o"),"ö","o"),"õ","o"),"ù","u"),"ú","u"),"û","u"),"ü","u"),"ý","y"),"ÿ","y"),"")</f>
        <v>piment (man jack)</v>
      </c>
      <c r="Y48" s="93" t="str">
        <f>IF(48=48,SUBSTITUTE(SUBSTITUTE(SUBSTITUTE(SUBSTITUTE(SUBSTITUTE(SUBSTITUTE(SUBSTITUTE(SUBSTITUTE(SUBSTITUTE(SUBSTITUTE(SUBSTITUTE(SUBSTITUTE(SUBSTITUTE(SUBSTITUTE($X48,"’"," "),"`"," "),"–"," "),"—"," "),"-"," "),"'"," "),"/"," "),"_"," "),","," "),"."," "),"("," "),")"," "),";"," "),":"," "),"")</f>
        <v xml:space="preserve">piment  man jack </v>
      </c>
      <c r="Z48" s="93" t="str">
        <f>IF(48=48,SUBSTITUTE(SUBSTITUTE(SUBSTITUTE(SUBSTITUTE(SUBSTITUTE(SUBSTITUTE(SUBSTITUTE(SUBSTITUTE(SUBSTITUTE(SUBSTITUTE(SUBSTITUTE(SUBSTITUTE(SUBSTITUTE(SUBSTITUTE(SUBSTITUTE($Y48,"!"," "),"?"," "),"+"," "),"*"," "),"&amp;"," "),"["," "),"]"," "),"{"," "),"}"," "),"%"," "),"="," "),"\"," "),"|"," "),"&lt;"," "),"&gt;"," "),"")</f>
        <v xml:space="preserve">piment  man jack </v>
      </c>
      <c r="AA48" s="93" t="str">
        <f>IF(48=48," "&amp;TRIM(SUBSTITUTE(SUBSTITUTE(SUBSTITUTE(SUBSTITUTE(SUBSTITUTE(SUBSTITUTE($Z48,CHAR(34)," "),"  "," "),"  "," "),"  "," "),"  "," "),"  "," "))&amp;" ","")</f>
        <v xml:space="preserve"> piment man jack </v>
      </c>
      <c r="AB48" s="93">
        <f>IF(48=48,IF($U48="","",SUMPRODUCT(--ISNUMBER(SEARCH(" "&amp;$CR$2:$CR$101&amp;" ",$AD48)))),"")</f>
        <v>0</v>
      </c>
      <c r="AC48" s="93">
        <f>IF(48=48,IF($U48="","",SUMPRODUCT(--ISNUMBER(SEARCH(" "&amp;$CR$102:$CR$151&amp;" ",$AD48)))),"")</f>
        <v>0</v>
      </c>
      <c r="AD48" s="93" t="str">
        <f t="shared" si="1"/>
        <v xml:space="preserve"> piment man jack </v>
      </c>
      <c r="AE48" s="93">
        <f t="shared" si="2"/>
        <v>0</v>
      </c>
      <c r="AF48" s="93" t="str">
        <f>IF(48=48,IF($U48="","",IF(SUM(AB48:AC48)+SUMPRODUCT(--ISNUMBER(SEARCH(" "&amp;$CR$2418:$CR$2420&amp;" ",$AD48)))&gt;0,"X",IF(AE48&gt;0,"?",""))),"")</f>
        <v/>
      </c>
      <c r="AG48" s="93">
        <f>IF(48=48,IF($U48="","",SUMPRODUCT(--ISNUMBER(SEARCH(" "&amp;$CR$206:$CR$305&amp;" ",$AA48)))),"")</f>
        <v>0</v>
      </c>
      <c r="AH48" s="93">
        <f>IF(48=48,IF($U48="","",SUMPRODUCT(--ISNUMBER(SEARCH(" "&amp;$CR$306:$CR$340&amp;" ",$AA48)))),"")</f>
        <v>0</v>
      </c>
      <c r="AI48" s="93" t="str">
        <f>IF(48=48,IF($U48="","",IF((SUM(AG48:AH48))-(0)&gt;0,"X",IF((0)-(0)&gt;0,"?",""))),"")</f>
        <v/>
      </c>
      <c r="AJ48" s="93">
        <f>IF(48=48,IF($U48="","",SUMPRODUCT(--ISNUMBER(SEARCH(" "&amp;$CR$341:$CR$398&amp;" ",$AA48)))),"")</f>
        <v>0</v>
      </c>
      <c r="AK48" s="93">
        <f>IF(48=48,IF($U48="","",SUMPRODUCT(--ISNUMBER(SEARCH(" "&amp;$CR$399:$CR$426&amp;" ",$AL48)))+SUMPRODUCT(--ISNUMBER(SEARCH(" "&amp;$CR$2440:$CR$2453&amp;" ",$AL48)))),"")</f>
        <v>0</v>
      </c>
      <c r="AL48" s="93" t="str">
        <f>IF(48=48,IF($U48="","",SUBSTITUTE(SUBSTITUTE(SUBSTITUTE(SUBSTITUTE(SUBSTITUTE(SUBSTITUTE(SUBSTITUTE(SUBSTITUTE(SUBSTITUTE(SUBSTITUTE(SUBSTITUTE(SUBSTITUTE(SUBSTITUTE(SUBSTITUTE($AA48," "&amp;$CR$2455&amp;" "," ")," "&amp;$CR$433&amp;" "," ")," "&amp;$CR$431&amp;" "," ")," "&amp;$CR$2438&amp;" "," ")," "&amp;$CR$2439&amp;" "," ")," "&amp;$CR$428&amp;" "," ")," "&amp;$CR$432&amp;" "," ")," "&amp;$CR$434&amp;" "," ")," "&amp;$CR$429&amp;" "," ")," "&amp;$CR$427&amp;" "," ")," "&amp;$CR$1367&amp;" "," ")," "&amp;$CR$435&amp;" "," ")," "&amp;$CR$1366&amp;" "," ")," "&amp;$CR$430&amp;" "," ")),"")</f>
        <v xml:space="preserve"> piment man jack </v>
      </c>
      <c r="AM48" s="93" t="str">
        <f>IF(48=48,IF($U48="","",IF(AJ48&gt;0,"X",IF(AK48&gt;0,"?",""))),"")</f>
        <v/>
      </c>
      <c r="AN48" s="93">
        <f>IF(48=48,IF($U48="","",SUMPRODUCT(--ISNUMBER(SEARCH(" "&amp;$CR$436:$CR$535&amp;" ",$AX48)))),"")</f>
        <v>0</v>
      </c>
      <c r="AO48" s="93">
        <f>IF(48=48,IF($U48="","",SUMPRODUCT(--ISNUMBER(SEARCH(" "&amp;$CR$536:$CR$635&amp;" ",$AX48)))),"")</f>
        <v>0</v>
      </c>
      <c r="AP48" s="93">
        <f>IF(48=48,IF($U48="","",SUMPRODUCT(--ISNUMBER(SEARCH(" "&amp;$CR$636:$CR$735&amp;" ",$AX48)))),"")</f>
        <v>0</v>
      </c>
      <c r="AQ48" s="93">
        <f>IF(48=48,IF($U48="","",SUMPRODUCT(--ISNUMBER(SEARCH(" "&amp;$CR$736:$CR$835&amp;" ",$AX48)))),"")</f>
        <v>0</v>
      </c>
      <c r="AR48" s="93">
        <f>IF(48=48,IF($U48="","",SUMPRODUCT(--ISNUMBER(SEARCH(" "&amp;$CR$836:$CR$935&amp;" ",$AX48)))),"")</f>
        <v>0</v>
      </c>
      <c r="AS48" s="93">
        <f>IF(48=48,IF($U48="","",SUMPRODUCT(--ISNUMBER(SEARCH(" "&amp;$CR$936:$CR$1035&amp;" ",$AX48)))),"")</f>
        <v>0</v>
      </c>
      <c r="AT48" s="93">
        <f>IF(48=48,IF($U48="","",SUMPRODUCT(--ISNUMBER(SEARCH(" "&amp;$CR$1036:$CR$1135&amp;" ",$AX48)))),"")</f>
        <v>0</v>
      </c>
      <c r="AU48" s="93">
        <f>IF(48=48,IF($U48="","",SUMPRODUCT(--ISNUMBER(SEARCH(" "&amp;$CR$1136:$CR$1235&amp;" ",$AX48)))),"")</f>
        <v>0</v>
      </c>
      <c r="AV48" s="93">
        <f>IF(48=48,IF($U48="","",SUMPRODUCT(--ISNUMBER(SEARCH(" "&amp;$CR$1236:$CR$1335&amp;" ",$AX48)))),"")</f>
        <v>0</v>
      </c>
      <c r="AW48" s="93">
        <f>IF(48=48,IF($U48="","",SUMPRODUCT(--ISNUMBER(SEARCH(" "&amp;$CR$1336:$CR$1363&amp;" ",$AX48)))),"")</f>
        <v>0</v>
      </c>
      <c r="AX48" s="93" t="str">
        <f>IF(48=48,IF($U48="","",SUBSTITUTE(SUBSTITUTE(SUBSTITUTE(SUBSTITUTE(SUBSTITUTE(SUBSTITUTE(SUBSTITUTE(SUBSTITUTE(SUBSTITUTE($AA48," "&amp;$CR$1365&amp;" "," ")," "&amp;$CR$1364&amp;" "," ")," "&amp;$CR$1370&amp;" "," ")," "&amp;$CR$1371&amp;" "," ")," "&amp;$CR$1367&amp;" "," ")," "&amp;$CR$1369&amp;" "," ")," "&amp;$CR$1366&amp;" "," ")," "&amp;$CR$1368&amp;" "," ")," "&amp;$CR$1372&amp;" "," ")),"")</f>
        <v xml:space="preserve"> piment man jack </v>
      </c>
      <c r="AY48" s="93">
        <f>IF(48=48,IF($U48="","",SUMPRODUCT(--ISNUMBER(SEARCH(" "&amp;$CR$1373:$CR$1383&amp;" ",$AX48)))),"")</f>
        <v>0</v>
      </c>
      <c r="AZ48" s="93" t="str">
        <f>IF(48=48,IF($U48="","",IF(SUM(AN48:AW48)+SUMPRODUCT(--ISNUMBER(SEARCH(" "&amp;$CR$2421:$CR$2422&amp;" ",$AX48)))&gt;0,"X",IF(AY48&gt;0,"?",""))),"")</f>
        <v/>
      </c>
      <c r="BA48" s="93">
        <f>IF(48=48,IF($U48="","",SUMPRODUCT(--ISNUMBER(SEARCH(" "&amp;$CR$1384:$CR$1404&amp;" ",$AA48)))),"")</f>
        <v>0</v>
      </c>
      <c r="BB48" s="93" t="str">
        <f>IF(48=48,IF($U48="","",IF((BA48)-(0)&gt;0,"X",IF((0)-(0)&gt;0,"?",""))),"")</f>
        <v/>
      </c>
      <c r="BC48" s="93">
        <f>IF(48=48,IF($U48="","",SUMPRODUCT(--ISNUMBER(SEARCH(" "&amp;$CR$1405:$CR$1442&amp;" ",$BD48)))),"")</f>
        <v>0</v>
      </c>
      <c r="BD48" s="93" t="str">
        <f>IF(48=48,IF($U48="","",SUBSTITUTE(SUBSTITUTE($AA48," "&amp;$CR$1443&amp;" "," ")," "&amp;$CR$1444&amp;" "," ")),"")</f>
        <v xml:space="preserve"> piment man jack </v>
      </c>
      <c r="BE48" s="93">
        <f>IF(48=48,IF($U48="","",SUMPRODUCT(--ISNUMBER(SEARCH(" "&amp;$CR$1445:$CR$1455&amp;" ",$BD48)))),"")</f>
        <v>0</v>
      </c>
      <c r="BF48" s="93" t="str">
        <f>IF(48=48,IF($U48="","",IF(BC48&gt;0,"X",IF(BE48&gt;0,"?",""))),"")</f>
        <v/>
      </c>
      <c r="BG48" s="93">
        <f>IF(48=48,IF($U48="","",SUMPRODUCT(--ISNUMBER(SEARCH(" "&amp;$CR$1456:$CR$1555&amp;" ",$BJ48)))),"")</f>
        <v>0</v>
      </c>
      <c r="BH48" s="93">
        <f>IF(48=48,IF($U48="","",SUMPRODUCT(--ISNUMBER(SEARCH(" "&amp;$CR$1556:$CR$1655&amp;" ",$BJ48)))),"")</f>
        <v>0</v>
      </c>
      <c r="BI48" s="93">
        <f>IF(48=48,IF($U48="","",SUMPRODUCT(--ISNUMBER(SEARCH(" "&amp;$CR$1656:$CR$1739&amp;" ",$BJ48)))),"")</f>
        <v>0</v>
      </c>
      <c r="BJ48" s="93" t="str">
        <f>IF(48=48,IF($U48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48,"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piment man jack </v>
      </c>
      <c r="BK48" s="93">
        <f>IF(48=48,IF($U48="","",SUMPRODUCT(--ISNUMBER(SEARCH(" "&amp;$CR$1790:$CR$1869&amp;" ",$BL48)))+SUMPRODUCT(--ISNUMBER(SEARCH(" "&amp;$CR$2440:$CR$2453&amp;" ",$BL48)))),"")</f>
        <v>0</v>
      </c>
      <c r="BL48" s="93" t="str">
        <f>IF(48=48,IF($U48="","",SUBSTITUTE(SUBSTITUTE(SUBSTITUTE(SUBSTITUTE(SUBSTITUTE(SUBSTITUTE(SUBSTITUTE(SUBSTITUTE(SUBSTITUTE(SUBSTITUTE(SUBSTITUTE(SUBSTITUTE(SUBSTITUTE($BJ48," "&amp;$CR$1876&amp;" "," ")," "&amp;$CR$1874&amp;" "," ")," "&amp;$CR$2438&amp;" "," ")," "&amp;$CR$2439&amp;" "," ")," "&amp;$CR$1871&amp;" "," ")," "&amp;$CR$1875&amp;" "," ")," "&amp;$CR$1877&amp;" "," ")," "&amp;$CR$1872&amp;" "," ")," "&amp;$CR$1870&amp;" "," ")," "&amp;$CR$1367&amp;" "," ")," "&amp;$CR$1878&amp;" "," ")," "&amp;$CR$1366&amp;" "," ")," "&amp;$CR$1873&amp;" "," ")),"")</f>
        <v xml:space="preserve"> piment man jack </v>
      </c>
      <c r="BM48" s="93" t="str">
        <f>IF(48=48,IF($U48="","",IF(SUM(BG48:BI48)+SUMPRODUCT(--ISNUMBER(SEARCH(" "&amp;$CR$2423:$CR$2424&amp;" ",$BJ48)))&gt;0,"X",IF(BK48&gt;0,"?",""))),"")</f>
        <v/>
      </c>
      <c r="BN48" s="93">
        <f>IF(48=48,IF($U48="","",SUMPRODUCT(--ISNUMBER(SEARCH(" "&amp;$CR$1879:$CR$1936&amp;" ",$BO48)))),"")</f>
        <v>0</v>
      </c>
      <c r="BO48" s="93" t="str">
        <f>IF(48=48,IF($U48="","",SUBSTITUTE(SUBSTITUTE(SUBSTITUTE(SUBSTITUTE(SUBSTITUTE(SUBSTITUTE(SUBSTITUTE(SUBSTITUTE(SUBSTITUTE(SUBSTITUTE(SUBSTITUTE(SUBSTITUTE(SUBSTITUTE(SUBSTITUTE(SUBSTITUTE(SUBSTITUTE(SUBSTITUTE(SUBSTITUTE(SUBSTITUTE(SUBSTITUTE(SUBSTITUTE(SUBSTITUTE(SUBSTITUTE($AA48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piment man jack </v>
      </c>
      <c r="BP48" s="93">
        <f>IF(48=48,IF($U48="","",SUMPRODUCT(--ISNUMBER(SEARCH(" "&amp;$CR$1960:$CR$1976&amp;" ",$BO48)))),"")</f>
        <v>0</v>
      </c>
      <c r="BQ48" s="93" t="str">
        <f>IF(48=48,IF($U48="","",IF(BN48&gt;0,"X",IF(BP48&gt;0,"?",""))),"")</f>
        <v/>
      </c>
      <c r="BR48" s="93">
        <f>IF(48=48,IF($U48="","",SUMPRODUCT(--ISNUMBER(SEARCH(" "&amp;$CR$1977:$CR$1990&amp;" ",$AA48)))),"")</f>
        <v>0</v>
      </c>
      <c r="BS48" s="93">
        <f>IF(48=48,IF($U48="","",SUMPRODUCT(--ISNUMBER(SEARCH(" "&amp;$CR$1991:$CR$2005&amp;" ",$AA48)))),"")</f>
        <v>0</v>
      </c>
      <c r="BT48" s="93" t="str">
        <f>IF(48=48,IF($U48="","",IF((BR48)-(0)&gt;0,"X",IF((BS48)-(0)&gt;0,"?",""))),"")</f>
        <v/>
      </c>
      <c r="BU48" s="93">
        <f>IF(48=48,IF($U48="","",SUMPRODUCT(--ISNUMBER(SEARCH(" "&amp;$CR$2006:$CR$2023&amp;" ",$AA48)))),"")</f>
        <v>0</v>
      </c>
      <c r="BV48" s="93">
        <f>IF(48=48,IF($U48="","",SUMPRODUCT(--ISNUMBER(SEARCH(" "&amp;$CR$2024:$CR$2038&amp;" ",$AA48)))),"")</f>
        <v>0</v>
      </c>
      <c r="BW48" s="93" t="str">
        <f>IF(48=48,IF($U48="","",IF((BU48)-(0)&gt;0,"X",IF((BV48)-(0)&gt;0,"?",""))),"")</f>
        <v/>
      </c>
      <c r="BX48" s="93">
        <f>IF(48=48,IF($U48="","",SUMPRODUCT(--ISNUMBER(SEARCH(" "&amp;$CR$2039:$CR$2057&amp;" ",$AA48)))),"")</f>
        <v>0</v>
      </c>
      <c r="BY48" s="93">
        <f>IF(48=48,IF($U48="","",SUMPRODUCT(--ISNUMBER(SEARCH(" "&amp;$CR$2058:$CR$2072&amp;" ",$AA48)))),"")</f>
        <v>0</v>
      </c>
      <c r="BZ48" s="93" t="str">
        <f>IF(48=48,IF($U48="","",IF((BX48)-(0)&gt;0,"X",IF((BY48)-(0)&gt;0,"?",""))),"")</f>
        <v/>
      </c>
      <c r="CA48" s="93">
        <f>IF(48=48,IF($U48="","",SUMPRODUCT(--ISNUMBER(SEARCH(" "&amp;$CR$2073:$CR$2093&amp;" ",$AA48)))),"")</f>
        <v>0</v>
      </c>
      <c r="CB48" s="93">
        <f>IF(48=48,IF($U48="","",SUMPRODUCT(--ISNUMBER(SEARCH(" "&amp;$CR$2094:$CR$2133&amp;" ",SUBSTITUTE(SUBSTITUTE($AA48," "&amp;$CR$1367&amp;" "," ")," "&amp;$CR$1366&amp;" "," "))))+--ISNUMBER(SEARCH("poiré",$V48))),"")</f>
        <v>0</v>
      </c>
      <c r="CC48" s="93" t="str">
        <f>IF(48=48,IF($U48="","",IF(OR(CA48&gt;0,ISNUMBER(SEARCH(" vinaigre de vin ",$AA48)),ISNUMBER(SEARCH(" vinaigre au vin ",$AA48))),"X",IF(CB48&gt;0,"?",""))),"")</f>
        <v/>
      </c>
      <c r="CD48" s="93">
        <f>IF(48=48,IF($U48="","",SUMPRODUCT(--ISNUMBER(SEARCH(" "&amp;$CR$2134:$CR$2146&amp;" ",$AA48)))),"")</f>
        <v>0</v>
      </c>
      <c r="CE48" s="93">
        <f>IF(48=48,IF($U48="","",SUMPRODUCT(--ISNUMBER(SEARCH(" "&amp;$CR$2147:$CR$2152&amp;" ",$AA48)))),"")</f>
        <v>0</v>
      </c>
      <c r="CF48" s="93" t="str">
        <f>IF(48=48,IF($U48="","",IF((CD48)-(0)&gt;0,"X",IF((CE48)-(0)&gt;0,"?",""))),"")</f>
        <v/>
      </c>
      <c r="CG48" s="93">
        <f>IF(48=48,IF($U48="","",SUMPRODUCT(--ISNUMBER(SEARCH(" "&amp;$CR$2153:$CR$2252&amp;" ",$CJ48)))),"")</f>
        <v>0</v>
      </c>
      <c r="CH48" s="93">
        <f>IF(48=48,IF($U48="","",SUMPRODUCT(--ISNUMBER(SEARCH(" "&amp;$CR$2253:$CR$2352&amp;" ",$CJ48)))),"")</f>
        <v>0</v>
      </c>
      <c r="CI48" s="93">
        <f>IF(48=48,IF($U48="","",SUMPRODUCT(--ISNUMBER(SEARCH(" "&amp;$CR$2353:$CR$2395&amp;" ",$CJ48)))),"")</f>
        <v>0</v>
      </c>
      <c r="CJ48" s="93" t="str">
        <f>IF(48=48,IF($U48="","",SUBSTITUTE(SUBSTITUTE(SUBSTITUTE(SUBSTITUTE(SUBSTITUTE(SUBSTITUTE(SUBSTITUTE(SUBSTITUTE(SUBSTITUTE(SUBSTITUTE(SUBSTITUTE(SUBSTITUTE(SUBSTITUTE(SUBSTITUTE(SUBSTITUTE(SUBSTITUTE($AA48," "&amp;$CR$2401&amp;" "," ")," "&amp;$CR$2400&amp;" "," ")," "&amp;$CR$2399&amp;" "," ")," "&amp;$CR$2406&amp;" "," ")," "&amp;$CR$2398&amp;" "," ")," "&amp;$CR$2410&amp;" "," ")," "&amp;$CR$2397&amp;" "," ")," "&amp;$CR$2402&amp;" "," ")," "&amp;$CR$2405&amp;" "," ")," "&amp;$CR$2396&amp;" "," ")," "&amp;$CR$2404&amp;" "," ")," "&amp;$CR$2411&amp;" "," ")," "&amp;$CR$2408&amp;" "," ")," "&amp;$CR$2403&amp;" "," ")," "&amp;$CR$2407&amp;" "," ")," "&amp;$CR$2409&amp;" "," ")),"")</f>
        <v xml:space="preserve"> piment man jack </v>
      </c>
      <c r="CK48" s="93">
        <f>IF(48=48,IF($U48="","",SUMPRODUCT(--ISNUMBER(SEARCH(" "&amp;$CR$2412:$CR$2416&amp;" ",$CJ48)))),"")</f>
        <v>0</v>
      </c>
      <c r="CL48" s="93" t="str">
        <f>IF(48=48,IF($U48="","",IF(SUM(CG48:CI48)&gt;0,"X",IF(CK48&gt;0,"?",""))),"")</f>
        <v/>
      </c>
      <c r="CM48" s="102"/>
      <c r="CN48" s="112" t="s">
        <v>716</v>
      </c>
      <c r="CO48" s="112" t="s">
        <v>522</v>
      </c>
      <c r="CP48" s="112" t="s">
        <v>523</v>
      </c>
      <c r="CQ48" s="112" t="s">
        <v>717</v>
      </c>
      <c r="CR48" s="112" t="s">
        <v>717</v>
      </c>
      <c r="CS48" s="112" t="s">
        <v>525</v>
      </c>
      <c r="CT48" s="112" t="s">
        <v>526</v>
      </c>
      <c r="CU48" s="112" t="s">
        <v>527</v>
      </c>
      <c r="CV48" s="113" t="s">
        <v>528</v>
      </c>
      <c r="CX48" s="36">
        <v>1</v>
      </c>
    </row>
    <row r="49" spans="1:102" ht="21" customHeight="1" x14ac:dyDescent="0.25">
      <c r="A49" s="135">
        <v>43</v>
      </c>
      <c r="B49" s="136" t="s">
        <v>68</v>
      </c>
      <c r="C49" s="137" t="str">
        <f t="shared" si="0"/>
        <v>Poivre blanc moulu</v>
      </c>
      <c r="D49" s="138" t="str">
        <f>IF(49=49,IF($B49="","",IF(E49="X",""&amp;"Céréales contenant du gluten","")&amp;IF(F49="X",IF(COUNTIF($E49:$E49,"X")&gt;0,", ","")&amp;"Crustacés","")&amp;IF(G49="X",IF(COUNTIF($E49:$F49,"X")&gt;0,", ","")&amp;"Œufs","")&amp;IF(H49="X",IF(COUNTIF($E49:$G49,"X")&gt;0,", ","")&amp;"Poissons","")&amp;IF(I49="X",IF(COUNTIF($E49:$H49,"X")&gt;0,", ","")&amp;"Arachides","")&amp;IF(J49="X",IF(COUNTIF($E49:$I49,"X")&gt;0,", ","")&amp;"Soja","")&amp;IF(K49="X",IF(COUNTIF($E49:$J49,"X")&gt;0,", ","")&amp;"Lait","")&amp;IF(L49="X",IF(COUNTIF($E49:$K49,"X")&gt;0,", ","")&amp;"Fruits à coque","")&amp;IF(M49="X",IF(COUNTIF($E49:$L49,"X")&gt;0,", ","")&amp;"Céleri","")&amp;IF(N49="X",IF(COUNTIF($E49:$M49,"X")&gt;0,", ","")&amp;"Moutarde","")&amp;IF(O49="X",IF(COUNTIF($E49:$N49,"X")&gt;0,", ","")&amp;"Sésame","")&amp;IF(P49="X",IF(COUNTIF($E49:$O49,"X")&gt;0,", ","")&amp;"Sulfites","")&amp;IF(Q49="X",IF(COUNTIF($E49:$P49,"X")&gt;0,", ","")&amp;"Lupin","")&amp;IF(R49="X",IF(COUNTIF($E49:$Q49,"X")&gt;0,", ","")&amp;"Mollusques","")),"")</f>
        <v/>
      </c>
      <c r="E49" s="139" t="str">
        <f>IF(49=49,IF($B49="","",AF49),"")</f>
        <v/>
      </c>
      <c r="F49" s="139" t="str">
        <f>IF(49=49,IF($B49="","",AI49),"")</f>
        <v/>
      </c>
      <c r="G49" s="139" t="str">
        <f>IF(49=49,IF($B49="","",AM49),"")</f>
        <v/>
      </c>
      <c r="H49" s="139" t="str">
        <f>IF(49=49,IF($B49="","",IF(ISNUMBER(SEARCH(" colin ",$AA49)),"X",AZ49)),"")</f>
        <v/>
      </c>
      <c r="I49" s="139" t="str">
        <f>IF(49=49,IF($B49="","",BB49),"")</f>
        <v/>
      </c>
      <c r="J49" s="139" t="str">
        <f>IF(49=49,IF($B49="","",BF49),"")</f>
        <v/>
      </c>
      <c r="K49" s="139" t="str">
        <f>IF(49=49,IF($B49="","",BM49),"")</f>
        <v/>
      </c>
      <c r="L49" s="139" t="str">
        <f>IF(49=49,IF($B49="","",BQ49),"")</f>
        <v/>
      </c>
      <c r="M49" s="139" t="str">
        <f>IF(49=49,IF($B49="","",BT49),"")</f>
        <v/>
      </c>
      <c r="N49" s="139" t="str">
        <f>IF(49=49,IF($B49="","",BW49),"")</f>
        <v/>
      </c>
      <c r="O49" s="139" t="str">
        <f>IF(49=49,IF($B49="","",BZ49),"")</f>
        <v/>
      </c>
      <c r="P49" s="139" t="str">
        <f>IF(49=49,IF($B49="","",CC49),"")</f>
        <v/>
      </c>
      <c r="Q49" s="139" t="str">
        <f>IF(49=49,IF($B49="","",CF49),"")</f>
        <v/>
      </c>
      <c r="R49" s="139" t="str">
        <f>IF(49=49,IF($B49="","",CL49),"")</f>
        <v/>
      </c>
      <c r="S49" s="140" t="str">
        <f>IF(49=49,IF($B49="","",IF(E49="?",""&amp;"Céréales contenant du gluten","")&amp;IF(F49="?",IF(COUNTIF($E49:$E49,"~?")&gt;0,", ","")&amp;"Crustacés","")&amp;IF(G49="?",IF(COUNTIF($E49:$F49,"~?")&gt;0,", ","")&amp;"Œufs","")&amp;IF(H49="?",IF(COUNTIF($E49:$G49,"~?")&gt;0,", ","")&amp;"Poissons","")&amp;IF(I49="?",IF(COUNTIF($E49:$H49,"~?")&gt;0,", ","")&amp;"Arachides","")&amp;IF(J49="?",IF(COUNTIF($E49:$I49,"~?")&gt;0,", ","")&amp;"Soja","")&amp;IF(K49="?",IF(COUNTIF($E49:$J49,"~?")&gt;0,", ","")&amp;"Lait","")&amp;IF(L49="?",IF(COUNTIF($E49:$K49,"~?")&gt;0,", ","")&amp;"Fruits à coque","")&amp;IF(M49="?",IF(COUNTIF($E49:$L49,"~?")&gt;0,", ","")&amp;"Céleri","")&amp;IF(N49="?",IF(COUNTIF($E49:$M49,"~?")&gt;0,", ","")&amp;"Moutarde","")&amp;IF(O49="?",IF(COUNTIF($E49:$N49,"~?")&gt;0,", ","")&amp;"Sésame","")&amp;IF(P49="?",IF(COUNTIF($E49:$O49,"~?")&gt;0,", ","")&amp;"Sulfites","")&amp;IF(Q49="?",IF(COUNTIF($E49:$P49,"~?")&gt;0,", ","")&amp;"Lupin","")&amp;IF(R49="?",IF(COUNTIF($E49:$Q49,"~?")&gt;0,", ","")&amp;"Mollusques","")),"")</f>
        <v/>
      </c>
      <c r="U49" s="93" t="str">
        <f>IF(49=49,IF($B49="","",$B49),"")</f>
        <v>Poivre blanc moulu</v>
      </c>
      <c r="V49" s="93" t="str">
        <f>IF(49=49,LOWER(CLEAN(SUBSTITUTE(SUBSTITUTE(SUBSTITUTE(SUBSTITUTE($U49,CHAR(160)," ")," "," "),CHAR(10)," "),CHAR(13)," "))),"")</f>
        <v>poivre blanc moulu</v>
      </c>
      <c r="W49" s="93" t="str">
        <f>IF(49=49,SUBSTITUTE(SUBSTITUTE(SUBSTITUTE(SUBSTITUTE(SUBSTITUTE(SUBSTITUTE(SUBSTITUTE(SUBSTITUTE(SUBSTITUTE(SUBSTITUTE(SUBSTITUTE(SUBSTITUTE($V49,"œ","oe"),"æ","ae"),"à","a"),"á","a"),"â","a"),"ä","a"),"ã","a"),"ç","c"),"è","e"),"é","e"),"ê","e"),"ë","e"),"")</f>
        <v>poivre blanc moulu</v>
      </c>
      <c r="X49" s="93" t="str">
        <f>IF(49=49,SUBSTITUTE(SUBSTITUTE(SUBSTITUTE(SUBSTITUTE(SUBSTITUTE(SUBSTITUTE(SUBSTITUTE(SUBSTITUTE(SUBSTITUTE(SUBSTITUTE(SUBSTITUTE(SUBSTITUTE(SUBSTITUTE(SUBSTITUTE(SUBSTITUTE(SUBSTITUTE($W49,"ì","i"),"í","i"),"î","i"),"ï","i"),"ñ","n"),"ò","o"),"ó","o"),"ô","o"),"ö","o"),"õ","o"),"ù","u"),"ú","u"),"û","u"),"ü","u"),"ý","y"),"ÿ","y"),"")</f>
        <v>poivre blanc moulu</v>
      </c>
      <c r="Y49" s="93" t="str">
        <f>IF(49=49,SUBSTITUTE(SUBSTITUTE(SUBSTITUTE(SUBSTITUTE(SUBSTITUTE(SUBSTITUTE(SUBSTITUTE(SUBSTITUTE(SUBSTITUTE(SUBSTITUTE(SUBSTITUTE(SUBSTITUTE(SUBSTITUTE(SUBSTITUTE($X49,"’"," "),"`"," "),"–"," "),"—"," "),"-"," "),"'"," "),"/"," "),"_"," "),","," "),"."," "),"("," "),")"," "),";"," "),":"," "),"")</f>
        <v>poivre blanc moulu</v>
      </c>
      <c r="Z49" s="93" t="str">
        <f>IF(49=49,SUBSTITUTE(SUBSTITUTE(SUBSTITUTE(SUBSTITUTE(SUBSTITUTE(SUBSTITUTE(SUBSTITUTE(SUBSTITUTE(SUBSTITUTE(SUBSTITUTE(SUBSTITUTE(SUBSTITUTE(SUBSTITUTE(SUBSTITUTE(SUBSTITUTE($Y49,"!"," "),"?"," "),"+"," "),"*"," "),"&amp;"," "),"["," "),"]"," "),"{"," "),"}"," "),"%"," "),"="," "),"\"," "),"|"," "),"&lt;"," "),"&gt;"," "),"")</f>
        <v>poivre blanc moulu</v>
      </c>
      <c r="AA49" s="93" t="str">
        <f>IF(49=49," "&amp;TRIM(SUBSTITUTE(SUBSTITUTE(SUBSTITUTE(SUBSTITUTE(SUBSTITUTE(SUBSTITUTE($Z49,CHAR(34)," "),"  "," "),"  "," "),"  "," "),"  "," "),"  "," "))&amp;" ","")</f>
        <v xml:space="preserve"> poivre blanc moulu </v>
      </c>
      <c r="AB49" s="93">
        <f>IF(49=49,IF($U49="","",SUMPRODUCT(--ISNUMBER(SEARCH(" "&amp;$CR$2:$CR$101&amp;" ",$AD49)))),"")</f>
        <v>0</v>
      </c>
      <c r="AC49" s="93">
        <f>IF(49=49,IF($U49="","",SUMPRODUCT(--ISNUMBER(SEARCH(" "&amp;$CR$102:$CR$151&amp;" ",$AD49)))),"")</f>
        <v>0</v>
      </c>
      <c r="AD49" s="93" t="str">
        <f t="shared" si="1"/>
        <v xml:space="preserve"> poivre blanc moulu </v>
      </c>
      <c r="AE49" s="93">
        <f t="shared" si="2"/>
        <v>0</v>
      </c>
      <c r="AF49" s="93" t="str">
        <f>IF(49=49,IF($U49="","",IF(SUM(AB49:AC49)+SUMPRODUCT(--ISNUMBER(SEARCH(" "&amp;$CR$2418:$CR$2420&amp;" ",$AD49)))&gt;0,"X",IF(AE49&gt;0,"?",""))),"")</f>
        <v/>
      </c>
      <c r="AG49" s="93">
        <f>IF(49=49,IF($U49="","",SUMPRODUCT(--ISNUMBER(SEARCH(" "&amp;$CR$206:$CR$305&amp;" ",$AA49)))),"")</f>
        <v>0</v>
      </c>
      <c r="AH49" s="93">
        <f>IF(49=49,IF($U49="","",SUMPRODUCT(--ISNUMBER(SEARCH(" "&amp;$CR$306:$CR$340&amp;" ",$AA49)))),"")</f>
        <v>0</v>
      </c>
      <c r="AI49" s="93" t="str">
        <f>IF(49=49,IF($U49="","",IF((SUM(AG49:AH49))-(0)&gt;0,"X",IF((0)-(0)&gt;0,"?",""))),"")</f>
        <v/>
      </c>
      <c r="AJ49" s="93">
        <f>IF(49=49,IF($U49="","",SUMPRODUCT(--ISNUMBER(SEARCH(" "&amp;$CR$341:$CR$398&amp;" ",$AA49)))),"")</f>
        <v>0</v>
      </c>
      <c r="AK49" s="93">
        <f>IF(49=49,IF($U49="","",SUMPRODUCT(--ISNUMBER(SEARCH(" "&amp;$CR$399:$CR$426&amp;" ",$AL49)))+SUMPRODUCT(--ISNUMBER(SEARCH(" "&amp;$CR$2440:$CR$2453&amp;" ",$AL49)))),"")</f>
        <v>0</v>
      </c>
      <c r="AL49" s="93" t="str">
        <f>IF(49=49,IF($U49="","",SUBSTITUTE(SUBSTITUTE(SUBSTITUTE(SUBSTITUTE(SUBSTITUTE(SUBSTITUTE(SUBSTITUTE(SUBSTITUTE(SUBSTITUTE(SUBSTITUTE(SUBSTITUTE(SUBSTITUTE(SUBSTITUTE(SUBSTITUTE($AA49," "&amp;$CR$2455&amp;" "," ")," "&amp;$CR$433&amp;" "," ")," "&amp;$CR$431&amp;" "," ")," "&amp;$CR$2438&amp;" "," ")," "&amp;$CR$2439&amp;" "," ")," "&amp;$CR$428&amp;" "," ")," "&amp;$CR$432&amp;" "," ")," "&amp;$CR$434&amp;" "," ")," "&amp;$CR$429&amp;" "," ")," "&amp;$CR$427&amp;" "," ")," "&amp;$CR$1367&amp;" "," ")," "&amp;$CR$435&amp;" "," ")," "&amp;$CR$1366&amp;" "," ")," "&amp;$CR$430&amp;" "," ")),"")</f>
        <v xml:space="preserve"> poivre blanc moulu </v>
      </c>
      <c r="AM49" s="93" t="str">
        <f>IF(49=49,IF($U49="","",IF(AJ49&gt;0,"X",IF(AK49&gt;0,"?",""))),"")</f>
        <v/>
      </c>
      <c r="AN49" s="93">
        <f>IF(49=49,IF($U49="","",SUMPRODUCT(--ISNUMBER(SEARCH(" "&amp;$CR$436:$CR$535&amp;" ",$AX49)))),"")</f>
        <v>0</v>
      </c>
      <c r="AO49" s="93">
        <f>IF(49=49,IF($U49="","",SUMPRODUCT(--ISNUMBER(SEARCH(" "&amp;$CR$536:$CR$635&amp;" ",$AX49)))),"")</f>
        <v>0</v>
      </c>
      <c r="AP49" s="93">
        <f>IF(49=49,IF($U49="","",SUMPRODUCT(--ISNUMBER(SEARCH(" "&amp;$CR$636:$CR$735&amp;" ",$AX49)))),"")</f>
        <v>0</v>
      </c>
      <c r="AQ49" s="93">
        <f>IF(49=49,IF($U49="","",SUMPRODUCT(--ISNUMBER(SEARCH(" "&amp;$CR$736:$CR$835&amp;" ",$AX49)))),"")</f>
        <v>0</v>
      </c>
      <c r="AR49" s="93">
        <f>IF(49=49,IF($U49="","",SUMPRODUCT(--ISNUMBER(SEARCH(" "&amp;$CR$836:$CR$935&amp;" ",$AX49)))),"")</f>
        <v>0</v>
      </c>
      <c r="AS49" s="93">
        <f>IF(49=49,IF($U49="","",SUMPRODUCT(--ISNUMBER(SEARCH(" "&amp;$CR$936:$CR$1035&amp;" ",$AX49)))),"")</f>
        <v>0</v>
      </c>
      <c r="AT49" s="93">
        <f>IF(49=49,IF($U49="","",SUMPRODUCT(--ISNUMBER(SEARCH(" "&amp;$CR$1036:$CR$1135&amp;" ",$AX49)))),"")</f>
        <v>0</v>
      </c>
      <c r="AU49" s="93">
        <f>IF(49=49,IF($U49="","",SUMPRODUCT(--ISNUMBER(SEARCH(" "&amp;$CR$1136:$CR$1235&amp;" ",$AX49)))),"")</f>
        <v>0</v>
      </c>
      <c r="AV49" s="93">
        <f>IF(49=49,IF($U49="","",SUMPRODUCT(--ISNUMBER(SEARCH(" "&amp;$CR$1236:$CR$1335&amp;" ",$AX49)))),"")</f>
        <v>0</v>
      </c>
      <c r="AW49" s="93">
        <f>IF(49=49,IF($U49="","",SUMPRODUCT(--ISNUMBER(SEARCH(" "&amp;$CR$1336:$CR$1363&amp;" ",$AX49)))),"")</f>
        <v>0</v>
      </c>
      <c r="AX49" s="93" t="str">
        <f>IF(49=49,IF($U49="","",SUBSTITUTE(SUBSTITUTE(SUBSTITUTE(SUBSTITUTE(SUBSTITUTE(SUBSTITUTE(SUBSTITUTE(SUBSTITUTE(SUBSTITUTE($AA49," "&amp;$CR$1365&amp;" "," ")," "&amp;$CR$1364&amp;" "," ")," "&amp;$CR$1370&amp;" "," ")," "&amp;$CR$1371&amp;" "," ")," "&amp;$CR$1367&amp;" "," ")," "&amp;$CR$1369&amp;" "," ")," "&amp;$CR$1366&amp;" "," ")," "&amp;$CR$1368&amp;" "," ")," "&amp;$CR$1372&amp;" "," ")),"")</f>
        <v xml:space="preserve"> poivre blanc moulu </v>
      </c>
      <c r="AY49" s="93">
        <f>IF(49=49,IF($U49="","",SUMPRODUCT(--ISNUMBER(SEARCH(" "&amp;$CR$1373:$CR$1383&amp;" ",$AX49)))),"")</f>
        <v>0</v>
      </c>
      <c r="AZ49" s="93" t="str">
        <f>IF(49=49,IF($U49="","",IF(SUM(AN49:AW49)+SUMPRODUCT(--ISNUMBER(SEARCH(" "&amp;$CR$2421:$CR$2422&amp;" ",$AX49)))&gt;0,"X",IF(AY49&gt;0,"?",""))),"")</f>
        <v/>
      </c>
      <c r="BA49" s="93">
        <f>IF(49=49,IF($U49="","",SUMPRODUCT(--ISNUMBER(SEARCH(" "&amp;$CR$1384:$CR$1404&amp;" ",$AA49)))),"")</f>
        <v>0</v>
      </c>
      <c r="BB49" s="93" t="str">
        <f>IF(49=49,IF($U49="","",IF((BA49)-(0)&gt;0,"X",IF((0)-(0)&gt;0,"?",""))),"")</f>
        <v/>
      </c>
      <c r="BC49" s="93">
        <f>IF(49=49,IF($U49="","",SUMPRODUCT(--ISNUMBER(SEARCH(" "&amp;$CR$1405:$CR$1442&amp;" ",$BD49)))),"")</f>
        <v>0</v>
      </c>
      <c r="BD49" s="93" t="str">
        <f>IF(49=49,IF($U49="","",SUBSTITUTE(SUBSTITUTE($AA49," "&amp;$CR$1443&amp;" "," ")," "&amp;$CR$1444&amp;" "," ")),"")</f>
        <v xml:space="preserve"> poivre blanc moulu </v>
      </c>
      <c r="BE49" s="93">
        <f>IF(49=49,IF($U49="","",SUMPRODUCT(--ISNUMBER(SEARCH(" "&amp;$CR$1445:$CR$1455&amp;" ",$BD49)))),"")</f>
        <v>0</v>
      </c>
      <c r="BF49" s="93" t="str">
        <f>IF(49=49,IF($U49="","",IF(BC49&gt;0,"X",IF(BE49&gt;0,"?",""))),"")</f>
        <v/>
      </c>
      <c r="BG49" s="93">
        <f>IF(49=49,IF($U49="","",SUMPRODUCT(--ISNUMBER(SEARCH(" "&amp;$CR$1456:$CR$1555&amp;" ",$BJ49)))),"")</f>
        <v>0</v>
      </c>
      <c r="BH49" s="93">
        <f>IF(49=49,IF($U49="","",SUMPRODUCT(--ISNUMBER(SEARCH(" "&amp;$CR$1556:$CR$1655&amp;" ",$BJ49)))),"")</f>
        <v>0</v>
      </c>
      <c r="BI49" s="93">
        <f>IF(49=49,IF($U49="","",SUMPRODUCT(--ISNUMBER(SEARCH(" "&amp;$CR$1656:$CR$1739&amp;" ",$BJ49)))),"")</f>
        <v>0</v>
      </c>
      <c r="BJ49" s="93" t="str">
        <f>IF(49=49,IF($U49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49,"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poivre blanc moulu </v>
      </c>
      <c r="BK49" s="93">
        <f>IF(49=49,IF($U49="","",SUMPRODUCT(--ISNUMBER(SEARCH(" "&amp;$CR$1790:$CR$1869&amp;" ",$BL49)))+SUMPRODUCT(--ISNUMBER(SEARCH(" "&amp;$CR$2440:$CR$2453&amp;" ",$BL49)))),"")</f>
        <v>0</v>
      </c>
      <c r="BL49" s="93" t="str">
        <f>IF(49=49,IF($U49="","",SUBSTITUTE(SUBSTITUTE(SUBSTITUTE(SUBSTITUTE(SUBSTITUTE(SUBSTITUTE(SUBSTITUTE(SUBSTITUTE(SUBSTITUTE(SUBSTITUTE(SUBSTITUTE(SUBSTITUTE(SUBSTITUTE($BJ49," "&amp;$CR$1876&amp;" "," ")," "&amp;$CR$1874&amp;" "," ")," "&amp;$CR$2438&amp;" "," ")," "&amp;$CR$2439&amp;" "," ")," "&amp;$CR$1871&amp;" "," ")," "&amp;$CR$1875&amp;" "," ")," "&amp;$CR$1877&amp;" "," ")," "&amp;$CR$1872&amp;" "," ")," "&amp;$CR$1870&amp;" "," ")," "&amp;$CR$1367&amp;" "," ")," "&amp;$CR$1878&amp;" "," ")," "&amp;$CR$1366&amp;" "," ")," "&amp;$CR$1873&amp;" "," ")),"")</f>
        <v xml:space="preserve"> poivre blanc moulu </v>
      </c>
      <c r="BM49" s="93" t="str">
        <f>IF(49=49,IF($U49="","",IF(SUM(BG49:BI49)+SUMPRODUCT(--ISNUMBER(SEARCH(" "&amp;$CR$2423:$CR$2424&amp;" ",$BJ49)))&gt;0,"X",IF(BK49&gt;0,"?",""))),"")</f>
        <v/>
      </c>
      <c r="BN49" s="93">
        <f>IF(49=49,IF($U49="","",SUMPRODUCT(--ISNUMBER(SEARCH(" "&amp;$CR$1879:$CR$1936&amp;" ",$BO49)))),"")</f>
        <v>0</v>
      </c>
      <c r="BO49" s="93" t="str">
        <f>IF(49=49,IF($U49="","",SUBSTITUTE(SUBSTITUTE(SUBSTITUTE(SUBSTITUTE(SUBSTITUTE(SUBSTITUTE(SUBSTITUTE(SUBSTITUTE(SUBSTITUTE(SUBSTITUTE(SUBSTITUTE(SUBSTITUTE(SUBSTITUTE(SUBSTITUTE(SUBSTITUTE(SUBSTITUTE(SUBSTITUTE(SUBSTITUTE(SUBSTITUTE(SUBSTITUTE(SUBSTITUTE(SUBSTITUTE(SUBSTITUTE($AA49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poivre blanc moulu </v>
      </c>
      <c r="BP49" s="93">
        <f>IF(49=49,IF($U49="","",SUMPRODUCT(--ISNUMBER(SEARCH(" "&amp;$CR$1960:$CR$1976&amp;" ",$BO49)))),"")</f>
        <v>0</v>
      </c>
      <c r="BQ49" s="93" t="str">
        <f>IF(49=49,IF($U49="","",IF(BN49&gt;0,"X",IF(BP49&gt;0,"?",""))),"")</f>
        <v/>
      </c>
      <c r="BR49" s="93">
        <f>IF(49=49,IF($U49="","",SUMPRODUCT(--ISNUMBER(SEARCH(" "&amp;$CR$1977:$CR$1990&amp;" ",$AA49)))),"")</f>
        <v>0</v>
      </c>
      <c r="BS49" s="93">
        <f>IF(49=49,IF($U49="","",SUMPRODUCT(--ISNUMBER(SEARCH(" "&amp;$CR$1991:$CR$2005&amp;" ",$AA49)))),"")</f>
        <v>0</v>
      </c>
      <c r="BT49" s="93" t="str">
        <f>IF(49=49,IF($U49="","",IF((BR49)-(0)&gt;0,"X",IF((BS49)-(0)&gt;0,"?",""))),"")</f>
        <v/>
      </c>
      <c r="BU49" s="93">
        <f>IF(49=49,IF($U49="","",SUMPRODUCT(--ISNUMBER(SEARCH(" "&amp;$CR$2006:$CR$2023&amp;" ",$AA49)))),"")</f>
        <v>0</v>
      </c>
      <c r="BV49" s="93">
        <f>IF(49=49,IF($U49="","",SUMPRODUCT(--ISNUMBER(SEARCH(" "&amp;$CR$2024:$CR$2038&amp;" ",$AA49)))),"")</f>
        <v>0</v>
      </c>
      <c r="BW49" s="93" t="str">
        <f>IF(49=49,IF($U49="","",IF((BU49)-(0)&gt;0,"X",IF((BV49)-(0)&gt;0,"?",""))),"")</f>
        <v/>
      </c>
      <c r="BX49" s="93">
        <f>IF(49=49,IF($U49="","",SUMPRODUCT(--ISNUMBER(SEARCH(" "&amp;$CR$2039:$CR$2057&amp;" ",$AA49)))),"")</f>
        <v>0</v>
      </c>
      <c r="BY49" s="93">
        <f>IF(49=49,IF($U49="","",SUMPRODUCT(--ISNUMBER(SEARCH(" "&amp;$CR$2058:$CR$2072&amp;" ",$AA49)))),"")</f>
        <v>0</v>
      </c>
      <c r="BZ49" s="93" t="str">
        <f>IF(49=49,IF($U49="","",IF((BX49)-(0)&gt;0,"X",IF((BY49)-(0)&gt;0,"?",""))),"")</f>
        <v/>
      </c>
      <c r="CA49" s="93">
        <f>IF(49=49,IF($U49="","",SUMPRODUCT(--ISNUMBER(SEARCH(" "&amp;$CR$2073:$CR$2093&amp;" ",$AA49)))),"")</f>
        <v>0</v>
      </c>
      <c r="CB49" s="93">
        <f>IF(49=49,IF($U49="","",SUMPRODUCT(--ISNUMBER(SEARCH(" "&amp;$CR$2094:$CR$2133&amp;" ",SUBSTITUTE(SUBSTITUTE($AA49," "&amp;$CR$1367&amp;" "," ")," "&amp;$CR$1366&amp;" "," "))))+--ISNUMBER(SEARCH("poiré",$V49))),"")</f>
        <v>0</v>
      </c>
      <c r="CC49" s="93" t="str">
        <f>IF(49=49,IF($U49="","",IF(OR(CA49&gt;0,ISNUMBER(SEARCH(" vinaigre de vin ",$AA49)),ISNUMBER(SEARCH(" vinaigre au vin ",$AA49))),"X",IF(CB49&gt;0,"?",""))),"")</f>
        <v/>
      </c>
      <c r="CD49" s="93">
        <f>IF(49=49,IF($U49="","",SUMPRODUCT(--ISNUMBER(SEARCH(" "&amp;$CR$2134:$CR$2146&amp;" ",$AA49)))),"")</f>
        <v>0</v>
      </c>
      <c r="CE49" s="93">
        <f>IF(49=49,IF($U49="","",SUMPRODUCT(--ISNUMBER(SEARCH(" "&amp;$CR$2147:$CR$2152&amp;" ",$AA49)))),"")</f>
        <v>0</v>
      </c>
      <c r="CF49" s="93" t="str">
        <f>IF(49=49,IF($U49="","",IF((CD49)-(0)&gt;0,"X",IF((CE49)-(0)&gt;0,"?",""))),"")</f>
        <v/>
      </c>
      <c r="CG49" s="93">
        <f>IF(49=49,IF($U49="","",SUMPRODUCT(--ISNUMBER(SEARCH(" "&amp;$CR$2153:$CR$2252&amp;" ",$CJ49)))),"")</f>
        <v>0</v>
      </c>
      <c r="CH49" s="93">
        <f>IF(49=49,IF($U49="","",SUMPRODUCT(--ISNUMBER(SEARCH(" "&amp;$CR$2253:$CR$2352&amp;" ",$CJ49)))),"")</f>
        <v>0</v>
      </c>
      <c r="CI49" s="93">
        <f>IF(49=49,IF($U49="","",SUMPRODUCT(--ISNUMBER(SEARCH(" "&amp;$CR$2353:$CR$2395&amp;" ",$CJ49)))),"")</f>
        <v>0</v>
      </c>
      <c r="CJ49" s="93" t="str">
        <f>IF(49=49,IF($U49="","",SUBSTITUTE(SUBSTITUTE(SUBSTITUTE(SUBSTITUTE(SUBSTITUTE(SUBSTITUTE(SUBSTITUTE(SUBSTITUTE(SUBSTITUTE(SUBSTITUTE(SUBSTITUTE(SUBSTITUTE(SUBSTITUTE(SUBSTITUTE(SUBSTITUTE(SUBSTITUTE($AA49," "&amp;$CR$2401&amp;" "," ")," "&amp;$CR$2400&amp;" "," ")," "&amp;$CR$2399&amp;" "," ")," "&amp;$CR$2406&amp;" "," ")," "&amp;$CR$2398&amp;" "," ")," "&amp;$CR$2410&amp;" "," ")," "&amp;$CR$2397&amp;" "," ")," "&amp;$CR$2402&amp;" "," ")," "&amp;$CR$2405&amp;" "," ")," "&amp;$CR$2396&amp;" "," ")," "&amp;$CR$2404&amp;" "," ")," "&amp;$CR$2411&amp;" "," ")," "&amp;$CR$2408&amp;" "," ")," "&amp;$CR$2403&amp;" "," ")," "&amp;$CR$2407&amp;" "," ")," "&amp;$CR$2409&amp;" "," ")),"")</f>
        <v xml:space="preserve"> poivre blanc moulu </v>
      </c>
      <c r="CK49" s="93">
        <f>IF(49=49,IF($U49="","",SUMPRODUCT(--ISNUMBER(SEARCH(" "&amp;$CR$2412:$CR$2416&amp;" ",$CJ49)))),"")</f>
        <v>0</v>
      </c>
      <c r="CL49" s="93" t="str">
        <f>IF(49=49,IF($U49="","",IF(SUM(CG49:CI49)&gt;0,"X",IF(CK49&gt;0,"?",""))),"")</f>
        <v/>
      </c>
      <c r="CM49" s="102"/>
      <c r="CN49" s="112" t="s">
        <v>718</v>
      </c>
      <c r="CO49" s="112" t="s">
        <v>522</v>
      </c>
      <c r="CP49" s="112" t="s">
        <v>523</v>
      </c>
      <c r="CQ49" s="112" t="s">
        <v>719</v>
      </c>
      <c r="CR49" s="112" t="s">
        <v>720</v>
      </c>
      <c r="CS49" s="112" t="s">
        <v>525</v>
      </c>
      <c r="CT49" s="112" t="s">
        <v>526</v>
      </c>
      <c r="CU49" s="112" t="s">
        <v>527</v>
      </c>
      <c r="CV49" s="113" t="s">
        <v>528</v>
      </c>
      <c r="CX49" s="36">
        <v>1</v>
      </c>
    </row>
    <row r="50" spans="1:102" ht="21" customHeight="1" x14ac:dyDescent="0.25">
      <c r="A50" s="135">
        <v>44</v>
      </c>
      <c r="B50" s="136" t="s">
        <v>61</v>
      </c>
      <c r="C50" s="137" t="str">
        <f t="shared" si="0"/>
        <v>Poivre de Cayenne</v>
      </c>
      <c r="D50" s="138" t="str">
        <f>IF(50=50,IF($B50="","",IF(E50="X",""&amp;"Céréales contenant du gluten","")&amp;IF(F50="X",IF(COUNTIF($E50:$E50,"X")&gt;0,", ","")&amp;"Crustacés","")&amp;IF(G50="X",IF(COUNTIF($E50:$F50,"X")&gt;0,", ","")&amp;"Œufs","")&amp;IF(H50="X",IF(COUNTIF($E50:$G50,"X")&gt;0,", ","")&amp;"Poissons","")&amp;IF(I50="X",IF(COUNTIF($E50:$H50,"X")&gt;0,", ","")&amp;"Arachides","")&amp;IF(J50="X",IF(COUNTIF($E50:$I50,"X")&gt;0,", ","")&amp;"Soja","")&amp;IF(K50="X",IF(COUNTIF($E50:$J50,"X")&gt;0,", ","")&amp;"Lait","")&amp;IF(L50="X",IF(COUNTIF($E50:$K50,"X")&gt;0,", ","")&amp;"Fruits à coque","")&amp;IF(M50="X",IF(COUNTIF($E50:$L50,"X")&gt;0,", ","")&amp;"Céleri","")&amp;IF(N50="X",IF(COUNTIF($E50:$M50,"X")&gt;0,", ","")&amp;"Moutarde","")&amp;IF(O50="X",IF(COUNTIF($E50:$N50,"X")&gt;0,", ","")&amp;"Sésame","")&amp;IF(P50="X",IF(COUNTIF($E50:$O50,"X")&gt;0,", ","")&amp;"Sulfites","")&amp;IF(Q50="X",IF(COUNTIF($E50:$P50,"X")&gt;0,", ","")&amp;"Lupin","")&amp;IF(R50="X",IF(COUNTIF($E50:$Q50,"X")&gt;0,", ","")&amp;"Mollusques","")),"")</f>
        <v/>
      </c>
      <c r="E50" s="139" t="str">
        <f>IF(50=50,IF($B50="","",AF50),"")</f>
        <v/>
      </c>
      <c r="F50" s="139" t="str">
        <f>IF(50=50,IF($B50="","",AI50),"")</f>
        <v/>
      </c>
      <c r="G50" s="139" t="str">
        <f>IF(50=50,IF($B50="","",AM50),"")</f>
        <v/>
      </c>
      <c r="H50" s="139" t="str">
        <f>IF(50=50,IF($B50="","",IF(ISNUMBER(SEARCH(" colin ",$AA50)),"X",AZ50)),"")</f>
        <v/>
      </c>
      <c r="I50" s="139" t="str">
        <f>IF(50=50,IF($B50="","",BB50),"")</f>
        <v/>
      </c>
      <c r="J50" s="139" t="str">
        <f>IF(50=50,IF($B50="","",BF50),"")</f>
        <v/>
      </c>
      <c r="K50" s="139" t="str">
        <f>IF(50=50,IF($B50="","",BM50),"")</f>
        <v/>
      </c>
      <c r="L50" s="139" t="str">
        <f>IF(50=50,IF($B50="","",BQ50),"")</f>
        <v/>
      </c>
      <c r="M50" s="139" t="str">
        <f>IF(50=50,IF($B50="","",BT50),"")</f>
        <v/>
      </c>
      <c r="N50" s="139" t="str">
        <f>IF(50=50,IF($B50="","",BW50),"")</f>
        <v/>
      </c>
      <c r="O50" s="139" t="str">
        <f>IF(50=50,IF($B50="","",BZ50),"")</f>
        <v/>
      </c>
      <c r="P50" s="139" t="str">
        <f>IF(50=50,IF($B50="","",CC50),"")</f>
        <v/>
      </c>
      <c r="Q50" s="139" t="str">
        <f>IF(50=50,IF($B50="","",CF50),"")</f>
        <v/>
      </c>
      <c r="R50" s="139" t="str">
        <f>IF(50=50,IF($B50="","",CL50),"")</f>
        <v/>
      </c>
      <c r="S50" s="140" t="str">
        <f>IF(50=50,IF($B50="","",IF(E50="?",""&amp;"Céréales contenant du gluten","")&amp;IF(F50="?",IF(COUNTIF($E50:$E50,"~?")&gt;0,", ","")&amp;"Crustacés","")&amp;IF(G50="?",IF(COUNTIF($E50:$F50,"~?")&gt;0,", ","")&amp;"Œufs","")&amp;IF(H50="?",IF(COUNTIF($E50:$G50,"~?")&gt;0,", ","")&amp;"Poissons","")&amp;IF(I50="?",IF(COUNTIF($E50:$H50,"~?")&gt;0,", ","")&amp;"Arachides","")&amp;IF(J50="?",IF(COUNTIF($E50:$I50,"~?")&gt;0,", ","")&amp;"Soja","")&amp;IF(K50="?",IF(COUNTIF($E50:$J50,"~?")&gt;0,", ","")&amp;"Lait","")&amp;IF(L50="?",IF(COUNTIF($E50:$K50,"~?")&gt;0,", ","")&amp;"Fruits à coque","")&amp;IF(M50="?",IF(COUNTIF($E50:$L50,"~?")&gt;0,", ","")&amp;"Céleri","")&amp;IF(N50="?",IF(COUNTIF($E50:$M50,"~?")&gt;0,", ","")&amp;"Moutarde","")&amp;IF(O50="?",IF(COUNTIF($E50:$N50,"~?")&gt;0,", ","")&amp;"Sésame","")&amp;IF(P50="?",IF(COUNTIF($E50:$O50,"~?")&gt;0,", ","")&amp;"Sulfites","")&amp;IF(Q50="?",IF(COUNTIF($E50:$P50,"~?")&gt;0,", ","")&amp;"Lupin","")&amp;IF(R50="?",IF(COUNTIF($E50:$Q50,"~?")&gt;0,", ","")&amp;"Mollusques","")),"")</f>
        <v/>
      </c>
      <c r="U50" s="93" t="str">
        <f>IF(50=50,IF($B50="","",$B50),"")</f>
        <v>Poivre de Cayenne</v>
      </c>
      <c r="V50" s="93" t="str">
        <f>IF(50=50,LOWER(CLEAN(SUBSTITUTE(SUBSTITUTE(SUBSTITUTE(SUBSTITUTE($U50,CHAR(160)," ")," "," "),CHAR(10)," "),CHAR(13)," "))),"")</f>
        <v>poivre de cayenne</v>
      </c>
      <c r="W50" s="93" t="str">
        <f>IF(50=50,SUBSTITUTE(SUBSTITUTE(SUBSTITUTE(SUBSTITUTE(SUBSTITUTE(SUBSTITUTE(SUBSTITUTE(SUBSTITUTE(SUBSTITUTE(SUBSTITUTE(SUBSTITUTE(SUBSTITUTE($V50,"œ","oe"),"æ","ae"),"à","a"),"á","a"),"â","a"),"ä","a"),"ã","a"),"ç","c"),"è","e"),"é","e"),"ê","e"),"ë","e"),"")</f>
        <v>poivre de cayenne</v>
      </c>
      <c r="X50" s="93" t="str">
        <f>IF(50=50,SUBSTITUTE(SUBSTITUTE(SUBSTITUTE(SUBSTITUTE(SUBSTITUTE(SUBSTITUTE(SUBSTITUTE(SUBSTITUTE(SUBSTITUTE(SUBSTITUTE(SUBSTITUTE(SUBSTITUTE(SUBSTITUTE(SUBSTITUTE(SUBSTITUTE(SUBSTITUTE($W50,"ì","i"),"í","i"),"î","i"),"ï","i"),"ñ","n"),"ò","o"),"ó","o"),"ô","o"),"ö","o"),"õ","o"),"ù","u"),"ú","u"),"û","u"),"ü","u"),"ý","y"),"ÿ","y"),"")</f>
        <v>poivre de cayenne</v>
      </c>
      <c r="Y50" s="93" t="str">
        <f>IF(50=50,SUBSTITUTE(SUBSTITUTE(SUBSTITUTE(SUBSTITUTE(SUBSTITUTE(SUBSTITUTE(SUBSTITUTE(SUBSTITUTE(SUBSTITUTE(SUBSTITUTE(SUBSTITUTE(SUBSTITUTE(SUBSTITUTE(SUBSTITUTE($X50,"’"," "),"`"," "),"–"," "),"—"," "),"-"," "),"'"," "),"/"," "),"_"," "),","," "),"."," "),"("," "),")"," "),";"," "),":"," "),"")</f>
        <v>poivre de cayenne</v>
      </c>
      <c r="Z50" s="93" t="str">
        <f>IF(50=50,SUBSTITUTE(SUBSTITUTE(SUBSTITUTE(SUBSTITUTE(SUBSTITUTE(SUBSTITUTE(SUBSTITUTE(SUBSTITUTE(SUBSTITUTE(SUBSTITUTE(SUBSTITUTE(SUBSTITUTE(SUBSTITUTE(SUBSTITUTE(SUBSTITUTE($Y50,"!"," "),"?"," "),"+"," "),"*"," "),"&amp;"," "),"["," "),"]"," "),"{"," "),"}"," "),"%"," "),"="," "),"\"," "),"|"," "),"&lt;"," "),"&gt;"," "),"")</f>
        <v>poivre de cayenne</v>
      </c>
      <c r="AA50" s="93" t="str">
        <f>IF(50=50," "&amp;TRIM(SUBSTITUTE(SUBSTITUTE(SUBSTITUTE(SUBSTITUTE(SUBSTITUTE(SUBSTITUTE($Z50,CHAR(34)," "),"  "," "),"  "," "),"  "," "),"  "," "),"  "," "))&amp;" ","")</f>
        <v xml:space="preserve"> poivre de cayenne </v>
      </c>
      <c r="AB50" s="93">
        <f>IF(50=50,IF($U50="","",SUMPRODUCT(--ISNUMBER(SEARCH(" "&amp;$CR$2:$CR$101&amp;" ",$AD50)))),"")</f>
        <v>0</v>
      </c>
      <c r="AC50" s="93">
        <f>IF(50=50,IF($U50="","",SUMPRODUCT(--ISNUMBER(SEARCH(" "&amp;$CR$102:$CR$151&amp;" ",$AD50)))),"")</f>
        <v>0</v>
      </c>
      <c r="AD50" s="93" t="str">
        <f t="shared" si="1"/>
        <v xml:space="preserve"> poivre de cayenne </v>
      </c>
      <c r="AE50" s="93">
        <f t="shared" si="2"/>
        <v>0</v>
      </c>
      <c r="AF50" s="93" t="str">
        <f>IF(50=50,IF($U50="","",IF(SUM(AB50:AC50)+SUMPRODUCT(--ISNUMBER(SEARCH(" "&amp;$CR$2418:$CR$2420&amp;" ",$AD50)))&gt;0,"X",IF(AE50&gt;0,"?",""))),"")</f>
        <v/>
      </c>
      <c r="AG50" s="93">
        <f>IF(50=50,IF($U50="","",SUMPRODUCT(--ISNUMBER(SEARCH(" "&amp;$CR$206:$CR$305&amp;" ",$AA50)))),"")</f>
        <v>0</v>
      </c>
      <c r="AH50" s="93">
        <f>IF(50=50,IF($U50="","",SUMPRODUCT(--ISNUMBER(SEARCH(" "&amp;$CR$306:$CR$340&amp;" ",$AA50)))),"")</f>
        <v>0</v>
      </c>
      <c r="AI50" s="93" t="str">
        <f>IF(50=50,IF($U50="","",IF((SUM(AG50:AH50))-(0)&gt;0,"X",IF((0)-(0)&gt;0,"?",""))),"")</f>
        <v/>
      </c>
      <c r="AJ50" s="93">
        <f>IF(50=50,IF($U50="","",SUMPRODUCT(--ISNUMBER(SEARCH(" "&amp;$CR$341:$CR$398&amp;" ",$AA50)))),"")</f>
        <v>0</v>
      </c>
      <c r="AK50" s="93">
        <f>IF(50=50,IF($U50="","",SUMPRODUCT(--ISNUMBER(SEARCH(" "&amp;$CR$399:$CR$426&amp;" ",$AL50)))+SUMPRODUCT(--ISNUMBER(SEARCH(" "&amp;$CR$2440:$CR$2453&amp;" ",$AL50)))),"")</f>
        <v>0</v>
      </c>
      <c r="AL50" s="93" t="str">
        <f>IF(50=50,IF($U50="","",SUBSTITUTE(SUBSTITUTE(SUBSTITUTE(SUBSTITUTE(SUBSTITUTE(SUBSTITUTE(SUBSTITUTE(SUBSTITUTE(SUBSTITUTE(SUBSTITUTE(SUBSTITUTE(SUBSTITUTE(SUBSTITUTE(SUBSTITUTE($AA50," "&amp;$CR$2455&amp;" "," ")," "&amp;$CR$433&amp;" "," ")," "&amp;$CR$431&amp;" "," ")," "&amp;$CR$2438&amp;" "," ")," "&amp;$CR$2439&amp;" "," ")," "&amp;$CR$428&amp;" "," ")," "&amp;$CR$432&amp;" "," ")," "&amp;$CR$434&amp;" "," ")," "&amp;$CR$429&amp;" "," ")," "&amp;$CR$427&amp;" "," ")," "&amp;$CR$1367&amp;" "," ")," "&amp;$CR$435&amp;" "," ")," "&amp;$CR$1366&amp;" "," ")," "&amp;$CR$430&amp;" "," ")),"")</f>
        <v xml:space="preserve"> poivre de cayenne </v>
      </c>
      <c r="AM50" s="93" t="str">
        <f>IF(50=50,IF($U50="","",IF(AJ50&gt;0,"X",IF(AK50&gt;0,"?",""))),"")</f>
        <v/>
      </c>
      <c r="AN50" s="93">
        <f>IF(50=50,IF($U50="","",SUMPRODUCT(--ISNUMBER(SEARCH(" "&amp;$CR$436:$CR$535&amp;" ",$AX50)))),"")</f>
        <v>0</v>
      </c>
      <c r="AO50" s="93">
        <f>IF(50=50,IF($U50="","",SUMPRODUCT(--ISNUMBER(SEARCH(" "&amp;$CR$536:$CR$635&amp;" ",$AX50)))),"")</f>
        <v>0</v>
      </c>
      <c r="AP50" s="93">
        <f>IF(50=50,IF($U50="","",SUMPRODUCT(--ISNUMBER(SEARCH(" "&amp;$CR$636:$CR$735&amp;" ",$AX50)))),"")</f>
        <v>0</v>
      </c>
      <c r="AQ50" s="93">
        <f>IF(50=50,IF($U50="","",SUMPRODUCT(--ISNUMBER(SEARCH(" "&amp;$CR$736:$CR$835&amp;" ",$AX50)))),"")</f>
        <v>0</v>
      </c>
      <c r="AR50" s="93">
        <f>IF(50=50,IF($U50="","",SUMPRODUCT(--ISNUMBER(SEARCH(" "&amp;$CR$836:$CR$935&amp;" ",$AX50)))),"")</f>
        <v>0</v>
      </c>
      <c r="AS50" s="93">
        <f>IF(50=50,IF($U50="","",SUMPRODUCT(--ISNUMBER(SEARCH(" "&amp;$CR$936:$CR$1035&amp;" ",$AX50)))),"")</f>
        <v>0</v>
      </c>
      <c r="AT50" s="93">
        <f>IF(50=50,IF($U50="","",SUMPRODUCT(--ISNUMBER(SEARCH(" "&amp;$CR$1036:$CR$1135&amp;" ",$AX50)))),"")</f>
        <v>0</v>
      </c>
      <c r="AU50" s="93">
        <f>IF(50=50,IF($U50="","",SUMPRODUCT(--ISNUMBER(SEARCH(" "&amp;$CR$1136:$CR$1235&amp;" ",$AX50)))),"")</f>
        <v>0</v>
      </c>
      <c r="AV50" s="93">
        <f>IF(50=50,IF($U50="","",SUMPRODUCT(--ISNUMBER(SEARCH(" "&amp;$CR$1236:$CR$1335&amp;" ",$AX50)))),"")</f>
        <v>0</v>
      </c>
      <c r="AW50" s="93">
        <f>IF(50=50,IF($U50="","",SUMPRODUCT(--ISNUMBER(SEARCH(" "&amp;$CR$1336:$CR$1363&amp;" ",$AX50)))),"")</f>
        <v>0</v>
      </c>
      <c r="AX50" s="93" t="str">
        <f>IF(50=50,IF($U50="","",SUBSTITUTE(SUBSTITUTE(SUBSTITUTE(SUBSTITUTE(SUBSTITUTE(SUBSTITUTE(SUBSTITUTE(SUBSTITUTE(SUBSTITUTE($AA50," "&amp;$CR$1365&amp;" "," ")," "&amp;$CR$1364&amp;" "," ")," "&amp;$CR$1370&amp;" "," ")," "&amp;$CR$1371&amp;" "," ")," "&amp;$CR$1367&amp;" "," ")," "&amp;$CR$1369&amp;" "," ")," "&amp;$CR$1366&amp;" "," ")," "&amp;$CR$1368&amp;" "," ")," "&amp;$CR$1372&amp;" "," ")),"")</f>
        <v xml:space="preserve"> poivre de cayenne </v>
      </c>
      <c r="AY50" s="93">
        <f>IF(50=50,IF($U50="","",SUMPRODUCT(--ISNUMBER(SEARCH(" "&amp;$CR$1373:$CR$1383&amp;" ",$AX50)))),"")</f>
        <v>0</v>
      </c>
      <c r="AZ50" s="93" t="str">
        <f>IF(50=50,IF($U50="","",IF(SUM(AN50:AW50)+SUMPRODUCT(--ISNUMBER(SEARCH(" "&amp;$CR$2421:$CR$2422&amp;" ",$AX50)))&gt;0,"X",IF(AY50&gt;0,"?",""))),"")</f>
        <v/>
      </c>
      <c r="BA50" s="93">
        <f>IF(50=50,IF($U50="","",SUMPRODUCT(--ISNUMBER(SEARCH(" "&amp;$CR$1384:$CR$1404&amp;" ",$AA50)))),"")</f>
        <v>0</v>
      </c>
      <c r="BB50" s="93" t="str">
        <f>IF(50=50,IF($U50="","",IF((BA50)-(0)&gt;0,"X",IF((0)-(0)&gt;0,"?",""))),"")</f>
        <v/>
      </c>
      <c r="BC50" s="93">
        <f>IF(50=50,IF($U50="","",SUMPRODUCT(--ISNUMBER(SEARCH(" "&amp;$CR$1405:$CR$1442&amp;" ",$BD50)))),"")</f>
        <v>0</v>
      </c>
      <c r="BD50" s="93" t="str">
        <f>IF(50=50,IF($U50="","",SUBSTITUTE(SUBSTITUTE($AA50," "&amp;$CR$1443&amp;" "," ")," "&amp;$CR$1444&amp;" "," ")),"")</f>
        <v xml:space="preserve"> poivre de cayenne </v>
      </c>
      <c r="BE50" s="93">
        <f>IF(50=50,IF($U50="","",SUMPRODUCT(--ISNUMBER(SEARCH(" "&amp;$CR$1445:$CR$1455&amp;" ",$BD50)))),"")</f>
        <v>0</v>
      </c>
      <c r="BF50" s="93" t="str">
        <f>IF(50=50,IF($U50="","",IF(BC50&gt;0,"X",IF(BE50&gt;0,"?",""))),"")</f>
        <v/>
      </c>
      <c r="BG50" s="93">
        <f>IF(50=50,IF($U50="","",SUMPRODUCT(--ISNUMBER(SEARCH(" "&amp;$CR$1456:$CR$1555&amp;" ",$BJ50)))),"")</f>
        <v>0</v>
      </c>
      <c r="BH50" s="93">
        <f>IF(50=50,IF($U50="","",SUMPRODUCT(--ISNUMBER(SEARCH(" "&amp;$CR$1556:$CR$1655&amp;" ",$BJ50)))),"")</f>
        <v>0</v>
      </c>
      <c r="BI50" s="93">
        <f>IF(50=50,IF($U50="","",SUMPRODUCT(--ISNUMBER(SEARCH(" "&amp;$CR$1656:$CR$1739&amp;" ",$BJ50)))),"")</f>
        <v>0</v>
      </c>
      <c r="BJ50" s="93" t="str">
        <f>IF(50=50,IF($U50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50,"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poivre de cayenne </v>
      </c>
      <c r="BK50" s="93">
        <f>IF(50=50,IF($U50="","",SUMPRODUCT(--ISNUMBER(SEARCH(" "&amp;$CR$1790:$CR$1869&amp;" ",$BL50)))+SUMPRODUCT(--ISNUMBER(SEARCH(" "&amp;$CR$2440:$CR$2453&amp;" ",$BL50)))),"")</f>
        <v>0</v>
      </c>
      <c r="BL50" s="93" t="str">
        <f>IF(50=50,IF($U50="","",SUBSTITUTE(SUBSTITUTE(SUBSTITUTE(SUBSTITUTE(SUBSTITUTE(SUBSTITUTE(SUBSTITUTE(SUBSTITUTE(SUBSTITUTE(SUBSTITUTE(SUBSTITUTE(SUBSTITUTE(SUBSTITUTE($BJ50," "&amp;$CR$1876&amp;" "," ")," "&amp;$CR$1874&amp;" "," ")," "&amp;$CR$2438&amp;" "," ")," "&amp;$CR$2439&amp;" "," ")," "&amp;$CR$1871&amp;" "," ")," "&amp;$CR$1875&amp;" "," ")," "&amp;$CR$1877&amp;" "," ")," "&amp;$CR$1872&amp;" "," ")," "&amp;$CR$1870&amp;" "," ")," "&amp;$CR$1367&amp;" "," ")," "&amp;$CR$1878&amp;" "," ")," "&amp;$CR$1366&amp;" "," ")," "&amp;$CR$1873&amp;" "," ")),"")</f>
        <v xml:space="preserve"> poivre de cayenne </v>
      </c>
      <c r="BM50" s="93" t="str">
        <f>IF(50=50,IF($U50="","",IF(SUM(BG50:BI50)+SUMPRODUCT(--ISNUMBER(SEARCH(" "&amp;$CR$2423:$CR$2424&amp;" ",$BJ50)))&gt;0,"X",IF(BK50&gt;0,"?",""))),"")</f>
        <v/>
      </c>
      <c r="BN50" s="93">
        <f>IF(50=50,IF($U50="","",SUMPRODUCT(--ISNUMBER(SEARCH(" "&amp;$CR$1879:$CR$1936&amp;" ",$BO50)))),"")</f>
        <v>0</v>
      </c>
      <c r="BO50" s="93" t="str">
        <f>IF(50=50,IF($U50="","",SUBSTITUTE(SUBSTITUTE(SUBSTITUTE(SUBSTITUTE(SUBSTITUTE(SUBSTITUTE(SUBSTITUTE(SUBSTITUTE(SUBSTITUTE(SUBSTITUTE(SUBSTITUTE(SUBSTITUTE(SUBSTITUTE(SUBSTITUTE(SUBSTITUTE(SUBSTITUTE(SUBSTITUTE(SUBSTITUTE(SUBSTITUTE(SUBSTITUTE(SUBSTITUTE(SUBSTITUTE(SUBSTITUTE($AA50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poivre de cayenne </v>
      </c>
      <c r="BP50" s="93">
        <f>IF(50=50,IF($U50="","",SUMPRODUCT(--ISNUMBER(SEARCH(" "&amp;$CR$1960:$CR$1976&amp;" ",$BO50)))),"")</f>
        <v>0</v>
      </c>
      <c r="BQ50" s="93" t="str">
        <f>IF(50=50,IF($U50="","",IF(BN50&gt;0,"X",IF(BP50&gt;0,"?",""))),"")</f>
        <v/>
      </c>
      <c r="BR50" s="93">
        <f>IF(50=50,IF($U50="","",SUMPRODUCT(--ISNUMBER(SEARCH(" "&amp;$CR$1977:$CR$1990&amp;" ",$AA50)))),"")</f>
        <v>0</v>
      </c>
      <c r="BS50" s="93">
        <f>IF(50=50,IF($U50="","",SUMPRODUCT(--ISNUMBER(SEARCH(" "&amp;$CR$1991:$CR$2005&amp;" ",$AA50)))),"")</f>
        <v>0</v>
      </c>
      <c r="BT50" s="93" t="str">
        <f>IF(50=50,IF($U50="","",IF((BR50)-(0)&gt;0,"X",IF((BS50)-(0)&gt;0,"?",""))),"")</f>
        <v/>
      </c>
      <c r="BU50" s="93">
        <f>IF(50=50,IF($U50="","",SUMPRODUCT(--ISNUMBER(SEARCH(" "&amp;$CR$2006:$CR$2023&amp;" ",$AA50)))),"")</f>
        <v>0</v>
      </c>
      <c r="BV50" s="93">
        <f>IF(50=50,IF($U50="","",SUMPRODUCT(--ISNUMBER(SEARCH(" "&amp;$CR$2024:$CR$2038&amp;" ",$AA50)))),"")</f>
        <v>0</v>
      </c>
      <c r="BW50" s="93" t="str">
        <f>IF(50=50,IF($U50="","",IF((BU50)-(0)&gt;0,"X",IF((BV50)-(0)&gt;0,"?",""))),"")</f>
        <v/>
      </c>
      <c r="BX50" s="93">
        <f>IF(50=50,IF($U50="","",SUMPRODUCT(--ISNUMBER(SEARCH(" "&amp;$CR$2039:$CR$2057&amp;" ",$AA50)))),"")</f>
        <v>0</v>
      </c>
      <c r="BY50" s="93">
        <f>IF(50=50,IF($U50="","",SUMPRODUCT(--ISNUMBER(SEARCH(" "&amp;$CR$2058:$CR$2072&amp;" ",$AA50)))),"")</f>
        <v>0</v>
      </c>
      <c r="BZ50" s="93" t="str">
        <f>IF(50=50,IF($U50="","",IF((BX50)-(0)&gt;0,"X",IF((BY50)-(0)&gt;0,"?",""))),"")</f>
        <v/>
      </c>
      <c r="CA50" s="93">
        <f>IF(50=50,IF($U50="","",SUMPRODUCT(--ISNUMBER(SEARCH(" "&amp;$CR$2073:$CR$2093&amp;" ",$AA50)))),"")</f>
        <v>0</v>
      </c>
      <c r="CB50" s="93">
        <f>IF(50=50,IF($U50="","",SUMPRODUCT(--ISNUMBER(SEARCH(" "&amp;$CR$2094:$CR$2133&amp;" ",SUBSTITUTE(SUBSTITUTE($AA50," "&amp;$CR$1367&amp;" "," ")," "&amp;$CR$1366&amp;" "," "))))+--ISNUMBER(SEARCH("poiré",$V50))),"")</f>
        <v>0</v>
      </c>
      <c r="CC50" s="93" t="str">
        <f>IF(50=50,IF($U50="","",IF(OR(CA50&gt;0,ISNUMBER(SEARCH(" vinaigre de vin ",$AA50)),ISNUMBER(SEARCH(" vinaigre au vin ",$AA50))),"X",IF(CB50&gt;0,"?",""))),"")</f>
        <v/>
      </c>
      <c r="CD50" s="93">
        <f>IF(50=50,IF($U50="","",SUMPRODUCT(--ISNUMBER(SEARCH(" "&amp;$CR$2134:$CR$2146&amp;" ",$AA50)))),"")</f>
        <v>0</v>
      </c>
      <c r="CE50" s="93">
        <f>IF(50=50,IF($U50="","",SUMPRODUCT(--ISNUMBER(SEARCH(" "&amp;$CR$2147:$CR$2152&amp;" ",$AA50)))),"")</f>
        <v>0</v>
      </c>
      <c r="CF50" s="93" t="str">
        <f>IF(50=50,IF($U50="","",IF((CD50)-(0)&gt;0,"X",IF((CE50)-(0)&gt;0,"?",""))),"")</f>
        <v/>
      </c>
      <c r="CG50" s="93">
        <f>IF(50=50,IF($U50="","",SUMPRODUCT(--ISNUMBER(SEARCH(" "&amp;$CR$2153:$CR$2252&amp;" ",$CJ50)))),"")</f>
        <v>0</v>
      </c>
      <c r="CH50" s="93">
        <f>IF(50=50,IF($U50="","",SUMPRODUCT(--ISNUMBER(SEARCH(" "&amp;$CR$2253:$CR$2352&amp;" ",$CJ50)))),"")</f>
        <v>0</v>
      </c>
      <c r="CI50" s="93">
        <f>IF(50=50,IF($U50="","",SUMPRODUCT(--ISNUMBER(SEARCH(" "&amp;$CR$2353:$CR$2395&amp;" ",$CJ50)))),"")</f>
        <v>0</v>
      </c>
      <c r="CJ50" s="93" t="str">
        <f>IF(50=50,IF($U50="","",SUBSTITUTE(SUBSTITUTE(SUBSTITUTE(SUBSTITUTE(SUBSTITUTE(SUBSTITUTE(SUBSTITUTE(SUBSTITUTE(SUBSTITUTE(SUBSTITUTE(SUBSTITUTE(SUBSTITUTE(SUBSTITUTE(SUBSTITUTE(SUBSTITUTE(SUBSTITUTE($AA50," "&amp;$CR$2401&amp;" "," ")," "&amp;$CR$2400&amp;" "," ")," "&amp;$CR$2399&amp;" "," ")," "&amp;$CR$2406&amp;" "," ")," "&amp;$CR$2398&amp;" "," ")," "&amp;$CR$2410&amp;" "," ")," "&amp;$CR$2397&amp;" "," ")," "&amp;$CR$2402&amp;" "," ")," "&amp;$CR$2405&amp;" "," ")," "&amp;$CR$2396&amp;" "," ")," "&amp;$CR$2404&amp;" "," ")," "&amp;$CR$2411&amp;" "," ")," "&amp;$CR$2408&amp;" "," ")," "&amp;$CR$2403&amp;" "," ")," "&amp;$CR$2407&amp;" "," ")," "&amp;$CR$2409&amp;" "," ")),"")</f>
        <v xml:space="preserve"> poivre de cayenne </v>
      </c>
      <c r="CK50" s="93">
        <f>IF(50=50,IF($U50="","",SUMPRODUCT(--ISNUMBER(SEARCH(" "&amp;$CR$2412:$CR$2416&amp;" ",$CJ50)))),"")</f>
        <v>0</v>
      </c>
      <c r="CL50" s="93" t="str">
        <f>IF(50=50,IF($U50="","",IF(SUM(CG50:CI50)&gt;0,"X",IF(CK50&gt;0,"?",""))),"")</f>
        <v/>
      </c>
      <c r="CM50" s="102"/>
      <c r="CN50" s="112" t="s">
        <v>721</v>
      </c>
      <c r="CO50" s="112" t="s">
        <v>522</v>
      </c>
      <c r="CP50" s="112" t="s">
        <v>523</v>
      </c>
      <c r="CQ50" s="112" t="s">
        <v>722</v>
      </c>
      <c r="CR50" s="112" t="s">
        <v>722</v>
      </c>
      <c r="CS50" s="112" t="s">
        <v>525</v>
      </c>
      <c r="CT50" s="112" t="s">
        <v>526</v>
      </c>
      <c r="CU50" s="112" t="s">
        <v>527</v>
      </c>
      <c r="CV50" s="113" t="s">
        <v>528</v>
      </c>
      <c r="CX50" s="36">
        <v>1</v>
      </c>
    </row>
    <row r="51" spans="1:102" ht="21" customHeight="1" x14ac:dyDescent="0.25">
      <c r="A51" s="135">
        <v>45</v>
      </c>
      <c r="B51" s="136" t="s">
        <v>5879</v>
      </c>
      <c r="C51" s="137" t="str">
        <f t="shared" si="0"/>
        <v>Poivrons en lanières surgelés</v>
      </c>
      <c r="D51" s="138" t="str">
        <f>IF(51=51,IF($B51="","",IF(E51="X",""&amp;"Céréales contenant du gluten","")&amp;IF(F51="X",IF(COUNTIF($E51:$E51,"X")&gt;0,", ","")&amp;"Crustacés","")&amp;IF(G51="X",IF(COUNTIF($E51:$F51,"X")&gt;0,", ","")&amp;"Œufs","")&amp;IF(H51="X",IF(COUNTIF($E51:$G51,"X")&gt;0,", ","")&amp;"Poissons","")&amp;IF(I51="X",IF(COUNTIF($E51:$H51,"X")&gt;0,", ","")&amp;"Arachides","")&amp;IF(J51="X",IF(COUNTIF($E51:$I51,"X")&gt;0,", ","")&amp;"Soja","")&amp;IF(K51="X",IF(COUNTIF($E51:$J51,"X")&gt;0,", ","")&amp;"Lait","")&amp;IF(L51="X",IF(COUNTIF($E51:$K51,"X")&gt;0,", ","")&amp;"Fruits à coque","")&amp;IF(M51="X",IF(COUNTIF($E51:$L51,"X")&gt;0,", ","")&amp;"Céleri","")&amp;IF(N51="X",IF(COUNTIF($E51:$M51,"X")&gt;0,", ","")&amp;"Moutarde","")&amp;IF(O51="X",IF(COUNTIF($E51:$N51,"X")&gt;0,", ","")&amp;"Sésame","")&amp;IF(P51="X",IF(COUNTIF($E51:$O51,"X")&gt;0,", ","")&amp;"Sulfites","")&amp;IF(Q51="X",IF(COUNTIF($E51:$P51,"X")&gt;0,", ","")&amp;"Lupin","")&amp;IF(R51="X",IF(COUNTIF($E51:$Q51,"X")&gt;0,", ","")&amp;"Mollusques","")),"")</f>
        <v/>
      </c>
      <c r="E51" s="139" t="str">
        <f>IF(51=51,IF($B51="","",AF51),"")</f>
        <v/>
      </c>
      <c r="F51" s="139" t="str">
        <f>IF(51=51,IF($B51="","",AI51),"")</f>
        <v/>
      </c>
      <c r="G51" s="139" t="str">
        <f>IF(51=51,IF($B51="","",AM51),"")</f>
        <v/>
      </c>
      <c r="H51" s="139" t="str">
        <f>IF(51=51,IF($B51="","",IF(ISNUMBER(SEARCH(" colin ",$AA51)),"X",AZ51)),"")</f>
        <v/>
      </c>
      <c r="I51" s="139" t="str">
        <f>IF(51=51,IF($B51="","",BB51),"")</f>
        <v/>
      </c>
      <c r="J51" s="139" t="str">
        <f>IF(51=51,IF($B51="","",BF51),"")</f>
        <v/>
      </c>
      <c r="K51" s="139" t="str">
        <f>IF(51=51,IF($B51="","",BM51),"")</f>
        <v/>
      </c>
      <c r="L51" s="139" t="str">
        <f>IF(51=51,IF($B51="","",BQ51),"")</f>
        <v/>
      </c>
      <c r="M51" s="139" t="str">
        <f>IF(51=51,IF($B51="","",BT51),"")</f>
        <v/>
      </c>
      <c r="N51" s="139" t="str">
        <f>IF(51=51,IF($B51="","",BW51),"")</f>
        <v/>
      </c>
      <c r="O51" s="139" t="str">
        <f>IF(51=51,IF($B51="","",BZ51),"")</f>
        <v/>
      </c>
      <c r="P51" s="139" t="str">
        <f>IF(51=51,IF($B51="","",CC51),"")</f>
        <v/>
      </c>
      <c r="Q51" s="139" t="str">
        <f>IF(51=51,IF($B51="","",CF51),"")</f>
        <v/>
      </c>
      <c r="R51" s="139" t="str">
        <f>IF(51=51,IF($B51="","",CL51),"")</f>
        <v/>
      </c>
      <c r="S51" s="140" t="str">
        <f>IF(51=51,IF($B51="","",IF(E51="?",""&amp;"Céréales contenant du gluten","")&amp;IF(F51="?",IF(COUNTIF($E51:$E51,"~?")&gt;0,", ","")&amp;"Crustacés","")&amp;IF(G51="?",IF(COUNTIF($E51:$F51,"~?")&gt;0,", ","")&amp;"Œufs","")&amp;IF(H51="?",IF(COUNTIF($E51:$G51,"~?")&gt;0,", ","")&amp;"Poissons","")&amp;IF(I51="?",IF(COUNTIF($E51:$H51,"~?")&gt;0,", ","")&amp;"Arachides","")&amp;IF(J51="?",IF(COUNTIF($E51:$I51,"~?")&gt;0,", ","")&amp;"Soja","")&amp;IF(K51="?",IF(COUNTIF($E51:$J51,"~?")&gt;0,", ","")&amp;"Lait","")&amp;IF(L51="?",IF(COUNTIF($E51:$K51,"~?")&gt;0,", ","")&amp;"Fruits à coque","")&amp;IF(M51="?",IF(COUNTIF($E51:$L51,"~?")&gt;0,", ","")&amp;"Céleri","")&amp;IF(N51="?",IF(COUNTIF($E51:$M51,"~?")&gt;0,", ","")&amp;"Moutarde","")&amp;IF(O51="?",IF(COUNTIF($E51:$N51,"~?")&gt;0,", ","")&amp;"Sésame","")&amp;IF(P51="?",IF(COUNTIF($E51:$O51,"~?")&gt;0,", ","")&amp;"Sulfites","")&amp;IF(Q51="?",IF(COUNTIF($E51:$P51,"~?")&gt;0,", ","")&amp;"Lupin","")&amp;IF(R51="?",IF(COUNTIF($E51:$Q51,"~?")&gt;0,", ","")&amp;"Mollusques","")),"")</f>
        <v/>
      </c>
      <c r="U51" s="93" t="str">
        <f>IF(51=51,IF($B51="","",$B51),"")</f>
        <v>Poivrons en lanières surgelés</v>
      </c>
      <c r="V51" s="93" t="str">
        <f>IF(51=51,LOWER(CLEAN(SUBSTITUTE(SUBSTITUTE(SUBSTITUTE(SUBSTITUTE($U51,CHAR(160)," ")," "," "),CHAR(10)," "),CHAR(13)," "))),"")</f>
        <v>poivrons en lanières surgelés</v>
      </c>
      <c r="W51" s="93" t="str">
        <f>IF(51=51,SUBSTITUTE(SUBSTITUTE(SUBSTITUTE(SUBSTITUTE(SUBSTITUTE(SUBSTITUTE(SUBSTITUTE(SUBSTITUTE(SUBSTITUTE(SUBSTITUTE(SUBSTITUTE(SUBSTITUTE($V51,"œ","oe"),"æ","ae"),"à","a"),"á","a"),"â","a"),"ä","a"),"ã","a"),"ç","c"),"è","e"),"é","e"),"ê","e"),"ë","e"),"")</f>
        <v>poivrons en lanieres surgeles</v>
      </c>
      <c r="X51" s="93" t="str">
        <f>IF(51=51,SUBSTITUTE(SUBSTITUTE(SUBSTITUTE(SUBSTITUTE(SUBSTITUTE(SUBSTITUTE(SUBSTITUTE(SUBSTITUTE(SUBSTITUTE(SUBSTITUTE(SUBSTITUTE(SUBSTITUTE(SUBSTITUTE(SUBSTITUTE(SUBSTITUTE(SUBSTITUTE($W51,"ì","i"),"í","i"),"î","i"),"ï","i"),"ñ","n"),"ò","o"),"ó","o"),"ô","o"),"ö","o"),"õ","o"),"ù","u"),"ú","u"),"û","u"),"ü","u"),"ý","y"),"ÿ","y"),"")</f>
        <v>poivrons en lanieres surgeles</v>
      </c>
      <c r="Y51" s="93" t="str">
        <f>IF(51=51,SUBSTITUTE(SUBSTITUTE(SUBSTITUTE(SUBSTITUTE(SUBSTITUTE(SUBSTITUTE(SUBSTITUTE(SUBSTITUTE(SUBSTITUTE(SUBSTITUTE(SUBSTITUTE(SUBSTITUTE(SUBSTITUTE(SUBSTITUTE($X51,"’"," "),"`"," "),"–"," "),"—"," "),"-"," "),"'"," "),"/"," "),"_"," "),","," "),"."," "),"("," "),")"," "),";"," "),":"," "),"")</f>
        <v>poivrons en lanieres surgeles</v>
      </c>
      <c r="Z51" s="93" t="str">
        <f>IF(51=51,SUBSTITUTE(SUBSTITUTE(SUBSTITUTE(SUBSTITUTE(SUBSTITUTE(SUBSTITUTE(SUBSTITUTE(SUBSTITUTE(SUBSTITUTE(SUBSTITUTE(SUBSTITUTE(SUBSTITUTE(SUBSTITUTE(SUBSTITUTE(SUBSTITUTE($Y51,"!"," "),"?"," "),"+"," "),"*"," "),"&amp;"," "),"["," "),"]"," "),"{"," "),"}"," "),"%"," "),"="," "),"\"," "),"|"," "),"&lt;"," "),"&gt;"," "),"")</f>
        <v>poivrons en lanieres surgeles</v>
      </c>
      <c r="AA51" s="93" t="str">
        <f>IF(51=51," "&amp;TRIM(SUBSTITUTE(SUBSTITUTE(SUBSTITUTE(SUBSTITUTE(SUBSTITUTE(SUBSTITUTE($Z51,CHAR(34)," "),"  "," "),"  "," "),"  "," "),"  "," "),"  "," "))&amp;" ","")</f>
        <v xml:space="preserve"> poivrons en lanieres surgeles </v>
      </c>
      <c r="AB51" s="93">
        <f>IF(51=51,IF($U51="","",SUMPRODUCT(--ISNUMBER(SEARCH(" "&amp;$CR$2:$CR$101&amp;" ",$AD51)))),"")</f>
        <v>0</v>
      </c>
      <c r="AC51" s="93">
        <f>IF(51=51,IF($U51="","",SUMPRODUCT(--ISNUMBER(SEARCH(" "&amp;$CR$102:$CR$151&amp;" ",$AD51)))),"")</f>
        <v>0</v>
      </c>
      <c r="AD51" s="93" t="str">
        <f t="shared" si="1"/>
        <v xml:space="preserve"> poivrons en lanieres surgeles </v>
      </c>
      <c r="AE51" s="93">
        <f t="shared" si="2"/>
        <v>0</v>
      </c>
      <c r="AF51" s="93" t="str">
        <f>IF(51=51,IF($U51="","",IF(SUM(AB51:AC51)+SUMPRODUCT(--ISNUMBER(SEARCH(" "&amp;$CR$2418:$CR$2420&amp;" ",$AD51)))&gt;0,"X",IF(AE51&gt;0,"?",""))),"")</f>
        <v/>
      </c>
      <c r="AG51" s="93">
        <f>IF(51=51,IF($U51="","",SUMPRODUCT(--ISNUMBER(SEARCH(" "&amp;$CR$206:$CR$305&amp;" ",$AA51)))),"")</f>
        <v>0</v>
      </c>
      <c r="AH51" s="93">
        <f>IF(51=51,IF($U51="","",SUMPRODUCT(--ISNUMBER(SEARCH(" "&amp;$CR$306:$CR$340&amp;" ",$AA51)))),"")</f>
        <v>0</v>
      </c>
      <c r="AI51" s="93" t="str">
        <f>IF(51=51,IF($U51="","",IF((SUM(AG51:AH51))-(0)&gt;0,"X",IF((0)-(0)&gt;0,"?",""))),"")</f>
        <v/>
      </c>
      <c r="AJ51" s="93">
        <f>IF(51=51,IF($U51="","",SUMPRODUCT(--ISNUMBER(SEARCH(" "&amp;$CR$341:$CR$398&amp;" ",$AA51)))),"")</f>
        <v>0</v>
      </c>
      <c r="AK51" s="93">
        <f>IF(51=51,IF($U51="","",SUMPRODUCT(--ISNUMBER(SEARCH(" "&amp;$CR$399:$CR$426&amp;" ",$AL51)))+SUMPRODUCT(--ISNUMBER(SEARCH(" "&amp;$CR$2440:$CR$2453&amp;" ",$AL51)))),"")</f>
        <v>0</v>
      </c>
      <c r="AL51" s="93" t="str">
        <f>IF(51=51,IF($U51="","",SUBSTITUTE(SUBSTITUTE(SUBSTITUTE(SUBSTITUTE(SUBSTITUTE(SUBSTITUTE(SUBSTITUTE(SUBSTITUTE(SUBSTITUTE(SUBSTITUTE(SUBSTITUTE(SUBSTITUTE(SUBSTITUTE(SUBSTITUTE($AA51," "&amp;$CR$2455&amp;" "," ")," "&amp;$CR$433&amp;" "," ")," "&amp;$CR$431&amp;" "," ")," "&amp;$CR$2438&amp;" "," ")," "&amp;$CR$2439&amp;" "," ")," "&amp;$CR$428&amp;" "," ")," "&amp;$CR$432&amp;" "," ")," "&amp;$CR$434&amp;" "," ")," "&amp;$CR$429&amp;" "," ")," "&amp;$CR$427&amp;" "," ")," "&amp;$CR$1367&amp;" "," ")," "&amp;$CR$435&amp;" "," ")," "&amp;$CR$1366&amp;" "," ")," "&amp;$CR$430&amp;" "," ")),"")</f>
        <v xml:space="preserve"> poivrons en lanieres surgeles </v>
      </c>
      <c r="AM51" s="93" t="str">
        <f>IF(51=51,IF($U51="","",IF(AJ51&gt;0,"X",IF(AK51&gt;0,"?",""))),"")</f>
        <v/>
      </c>
      <c r="AN51" s="93">
        <f>IF(51=51,IF($U51="","",SUMPRODUCT(--ISNUMBER(SEARCH(" "&amp;$CR$436:$CR$535&amp;" ",$AX51)))),"")</f>
        <v>0</v>
      </c>
      <c r="AO51" s="93">
        <f>IF(51=51,IF($U51="","",SUMPRODUCT(--ISNUMBER(SEARCH(" "&amp;$CR$536:$CR$635&amp;" ",$AX51)))),"")</f>
        <v>0</v>
      </c>
      <c r="AP51" s="93">
        <f>IF(51=51,IF($U51="","",SUMPRODUCT(--ISNUMBER(SEARCH(" "&amp;$CR$636:$CR$735&amp;" ",$AX51)))),"")</f>
        <v>0</v>
      </c>
      <c r="AQ51" s="93">
        <f>IF(51=51,IF($U51="","",SUMPRODUCT(--ISNUMBER(SEARCH(" "&amp;$CR$736:$CR$835&amp;" ",$AX51)))),"")</f>
        <v>0</v>
      </c>
      <c r="AR51" s="93">
        <f>IF(51=51,IF($U51="","",SUMPRODUCT(--ISNUMBER(SEARCH(" "&amp;$CR$836:$CR$935&amp;" ",$AX51)))),"")</f>
        <v>0</v>
      </c>
      <c r="AS51" s="93">
        <f>IF(51=51,IF($U51="","",SUMPRODUCT(--ISNUMBER(SEARCH(" "&amp;$CR$936:$CR$1035&amp;" ",$AX51)))),"")</f>
        <v>0</v>
      </c>
      <c r="AT51" s="93">
        <f>IF(51=51,IF($U51="","",SUMPRODUCT(--ISNUMBER(SEARCH(" "&amp;$CR$1036:$CR$1135&amp;" ",$AX51)))),"")</f>
        <v>0</v>
      </c>
      <c r="AU51" s="93">
        <f>IF(51=51,IF($U51="","",SUMPRODUCT(--ISNUMBER(SEARCH(" "&amp;$CR$1136:$CR$1235&amp;" ",$AX51)))),"")</f>
        <v>0</v>
      </c>
      <c r="AV51" s="93">
        <f>IF(51=51,IF($U51="","",SUMPRODUCT(--ISNUMBER(SEARCH(" "&amp;$CR$1236:$CR$1335&amp;" ",$AX51)))),"")</f>
        <v>0</v>
      </c>
      <c r="AW51" s="93">
        <f>IF(51=51,IF($U51="","",SUMPRODUCT(--ISNUMBER(SEARCH(" "&amp;$CR$1336:$CR$1363&amp;" ",$AX51)))),"")</f>
        <v>0</v>
      </c>
      <c r="AX51" s="93" t="str">
        <f>IF(51=51,IF($U51="","",SUBSTITUTE(SUBSTITUTE(SUBSTITUTE(SUBSTITUTE(SUBSTITUTE(SUBSTITUTE(SUBSTITUTE(SUBSTITUTE(SUBSTITUTE($AA51," "&amp;$CR$1365&amp;" "," ")," "&amp;$CR$1364&amp;" "," ")," "&amp;$CR$1370&amp;" "," ")," "&amp;$CR$1371&amp;" "," ")," "&amp;$CR$1367&amp;" "," ")," "&amp;$CR$1369&amp;" "," ")," "&amp;$CR$1366&amp;" "," ")," "&amp;$CR$1368&amp;" "," ")," "&amp;$CR$1372&amp;" "," ")),"")</f>
        <v xml:space="preserve"> poivrons en lanieres surgeles </v>
      </c>
      <c r="AY51" s="93">
        <f>IF(51=51,IF($U51="","",SUMPRODUCT(--ISNUMBER(SEARCH(" "&amp;$CR$1373:$CR$1383&amp;" ",$AX51)))),"")</f>
        <v>0</v>
      </c>
      <c r="AZ51" s="93" t="str">
        <f>IF(51=51,IF($U51="","",IF(SUM(AN51:AW51)+SUMPRODUCT(--ISNUMBER(SEARCH(" "&amp;$CR$2421:$CR$2422&amp;" ",$AX51)))&gt;0,"X",IF(AY51&gt;0,"?",""))),"")</f>
        <v/>
      </c>
      <c r="BA51" s="93">
        <f>IF(51=51,IF($U51="","",SUMPRODUCT(--ISNUMBER(SEARCH(" "&amp;$CR$1384:$CR$1404&amp;" ",$AA51)))),"")</f>
        <v>0</v>
      </c>
      <c r="BB51" s="93" t="str">
        <f>IF(51=51,IF($U51="","",IF((BA51)-(0)&gt;0,"X",IF((0)-(0)&gt;0,"?",""))),"")</f>
        <v/>
      </c>
      <c r="BC51" s="93">
        <f>IF(51=51,IF($U51="","",SUMPRODUCT(--ISNUMBER(SEARCH(" "&amp;$CR$1405:$CR$1442&amp;" ",$BD51)))),"")</f>
        <v>0</v>
      </c>
      <c r="BD51" s="93" t="str">
        <f>IF(51=51,IF($U51="","",SUBSTITUTE(SUBSTITUTE($AA51," "&amp;$CR$1443&amp;" "," ")," "&amp;$CR$1444&amp;" "," ")),"")</f>
        <v xml:space="preserve"> poivrons en lanieres surgeles </v>
      </c>
      <c r="BE51" s="93">
        <f>IF(51=51,IF($U51="","",SUMPRODUCT(--ISNUMBER(SEARCH(" "&amp;$CR$1445:$CR$1455&amp;" ",$BD51)))),"")</f>
        <v>0</v>
      </c>
      <c r="BF51" s="93" t="str">
        <f>IF(51=51,IF($U51="","",IF(BC51&gt;0,"X",IF(BE51&gt;0,"?",""))),"")</f>
        <v/>
      </c>
      <c r="BG51" s="93">
        <f>IF(51=51,IF($U51="","",SUMPRODUCT(--ISNUMBER(SEARCH(" "&amp;$CR$1456:$CR$1555&amp;" ",$BJ51)))),"")</f>
        <v>0</v>
      </c>
      <c r="BH51" s="93">
        <f>IF(51=51,IF($U51="","",SUMPRODUCT(--ISNUMBER(SEARCH(" "&amp;$CR$1556:$CR$1655&amp;" ",$BJ51)))),"")</f>
        <v>0</v>
      </c>
      <c r="BI51" s="93">
        <f>IF(51=51,IF($U51="","",SUMPRODUCT(--ISNUMBER(SEARCH(" "&amp;$CR$1656:$CR$1739&amp;" ",$BJ51)))),"")</f>
        <v>0</v>
      </c>
      <c r="BJ51" s="93" t="str">
        <f>IF(51=51,IF($U51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51,"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poivrons en lanieres surgeles </v>
      </c>
      <c r="BK51" s="93">
        <f>IF(51=51,IF($U51="","",SUMPRODUCT(--ISNUMBER(SEARCH(" "&amp;$CR$1790:$CR$1869&amp;" ",$BL51)))+SUMPRODUCT(--ISNUMBER(SEARCH(" "&amp;$CR$2440:$CR$2453&amp;" ",$BL51)))),"")</f>
        <v>0</v>
      </c>
      <c r="BL51" s="93" t="str">
        <f>IF(51=51,IF($U51="","",SUBSTITUTE(SUBSTITUTE(SUBSTITUTE(SUBSTITUTE(SUBSTITUTE(SUBSTITUTE(SUBSTITUTE(SUBSTITUTE(SUBSTITUTE(SUBSTITUTE(SUBSTITUTE(SUBSTITUTE(SUBSTITUTE($BJ51," "&amp;$CR$1876&amp;" "," ")," "&amp;$CR$1874&amp;" "," ")," "&amp;$CR$2438&amp;" "," ")," "&amp;$CR$2439&amp;" "," ")," "&amp;$CR$1871&amp;" "," ")," "&amp;$CR$1875&amp;" "," ")," "&amp;$CR$1877&amp;" "," ")," "&amp;$CR$1872&amp;" "," ")," "&amp;$CR$1870&amp;" "," ")," "&amp;$CR$1367&amp;" "," ")," "&amp;$CR$1878&amp;" "," ")," "&amp;$CR$1366&amp;" "," ")," "&amp;$CR$1873&amp;" "," ")),"")</f>
        <v xml:space="preserve"> poivrons en lanieres surgeles </v>
      </c>
      <c r="BM51" s="93" t="str">
        <f>IF(51=51,IF($U51="","",IF(SUM(BG51:BI51)+SUMPRODUCT(--ISNUMBER(SEARCH(" "&amp;$CR$2423:$CR$2424&amp;" ",$BJ51)))&gt;0,"X",IF(BK51&gt;0,"?",""))),"")</f>
        <v/>
      </c>
      <c r="BN51" s="93">
        <f>IF(51=51,IF($U51="","",SUMPRODUCT(--ISNUMBER(SEARCH(" "&amp;$CR$1879:$CR$1936&amp;" ",$BO51)))),"")</f>
        <v>0</v>
      </c>
      <c r="BO51" s="93" t="str">
        <f>IF(51=51,IF($U51="","",SUBSTITUTE(SUBSTITUTE(SUBSTITUTE(SUBSTITUTE(SUBSTITUTE(SUBSTITUTE(SUBSTITUTE(SUBSTITUTE(SUBSTITUTE(SUBSTITUTE(SUBSTITUTE(SUBSTITUTE(SUBSTITUTE(SUBSTITUTE(SUBSTITUTE(SUBSTITUTE(SUBSTITUTE(SUBSTITUTE(SUBSTITUTE(SUBSTITUTE(SUBSTITUTE(SUBSTITUTE(SUBSTITUTE($AA51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poivrons en lanieres surgeles </v>
      </c>
      <c r="BP51" s="93">
        <f>IF(51=51,IF($U51="","",SUMPRODUCT(--ISNUMBER(SEARCH(" "&amp;$CR$1960:$CR$1976&amp;" ",$BO51)))),"")</f>
        <v>0</v>
      </c>
      <c r="BQ51" s="93" t="str">
        <f>IF(51=51,IF($U51="","",IF(BN51&gt;0,"X",IF(BP51&gt;0,"?",""))),"")</f>
        <v/>
      </c>
      <c r="BR51" s="93">
        <f>IF(51=51,IF($U51="","",SUMPRODUCT(--ISNUMBER(SEARCH(" "&amp;$CR$1977:$CR$1990&amp;" ",$AA51)))),"")</f>
        <v>0</v>
      </c>
      <c r="BS51" s="93">
        <f>IF(51=51,IF($U51="","",SUMPRODUCT(--ISNUMBER(SEARCH(" "&amp;$CR$1991:$CR$2005&amp;" ",$AA51)))),"")</f>
        <v>0</v>
      </c>
      <c r="BT51" s="93" t="str">
        <f>IF(51=51,IF($U51="","",IF((BR51)-(0)&gt;0,"X",IF((BS51)-(0)&gt;0,"?",""))),"")</f>
        <v/>
      </c>
      <c r="BU51" s="93">
        <f>IF(51=51,IF($U51="","",SUMPRODUCT(--ISNUMBER(SEARCH(" "&amp;$CR$2006:$CR$2023&amp;" ",$AA51)))),"")</f>
        <v>0</v>
      </c>
      <c r="BV51" s="93">
        <f>IF(51=51,IF($U51="","",SUMPRODUCT(--ISNUMBER(SEARCH(" "&amp;$CR$2024:$CR$2038&amp;" ",$AA51)))),"")</f>
        <v>0</v>
      </c>
      <c r="BW51" s="93" t="str">
        <f>IF(51=51,IF($U51="","",IF((BU51)-(0)&gt;0,"X",IF((BV51)-(0)&gt;0,"?",""))),"")</f>
        <v/>
      </c>
      <c r="BX51" s="93">
        <f>IF(51=51,IF($U51="","",SUMPRODUCT(--ISNUMBER(SEARCH(" "&amp;$CR$2039:$CR$2057&amp;" ",$AA51)))),"")</f>
        <v>0</v>
      </c>
      <c r="BY51" s="93">
        <f>IF(51=51,IF($U51="","",SUMPRODUCT(--ISNUMBER(SEARCH(" "&amp;$CR$2058:$CR$2072&amp;" ",$AA51)))),"")</f>
        <v>0</v>
      </c>
      <c r="BZ51" s="93" t="str">
        <f>IF(51=51,IF($U51="","",IF((BX51)-(0)&gt;0,"X",IF((BY51)-(0)&gt;0,"?",""))),"")</f>
        <v/>
      </c>
      <c r="CA51" s="93">
        <f>IF(51=51,IF($U51="","",SUMPRODUCT(--ISNUMBER(SEARCH(" "&amp;$CR$2073:$CR$2093&amp;" ",$AA51)))),"")</f>
        <v>0</v>
      </c>
      <c r="CB51" s="93">
        <f>IF(51=51,IF($U51="","",SUMPRODUCT(--ISNUMBER(SEARCH(" "&amp;$CR$2094:$CR$2133&amp;" ",SUBSTITUTE(SUBSTITUTE($AA51," "&amp;$CR$1367&amp;" "," ")," "&amp;$CR$1366&amp;" "," "))))+--ISNUMBER(SEARCH("poiré",$V51))),"")</f>
        <v>0</v>
      </c>
      <c r="CC51" s="93" t="str">
        <f>IF(51=51,IF($U51="","",IF(OR(CA51&gt;0,ISNUMBER(SEARCH(" vinaigre de vin ",$AA51)),ISNUMBER(SEARCH(" vinaigre au vin ",$AA51))),"X",IF(CB51&gt;0,"?",""))),"")</f>
        <v/>
      </c>
      <c r="CD51" s="93">
        <f>IF(51=51,IF($U51="","",SUMPRODUCT(--ISNUMBER(SEARCH(" "&amp;$CR$2134:$CR$2146&amp;" ",$AA51)))),"")</f>
        <v>0</v>
      </c>
      <c r="CE51" s="93">
        <f>IF(51=51,IF($U51="","",SUMPRODUCT(--ISNUMBER(SEARCH(" "&amp;$CR$2147:$CR$2152&amp;" ",$AA51)))),"")</f>
        <v>0</v>
      </c>
      <c r="CF51" s="93" t="str">
        <f>IF(51=51,IF($U51="","",IF((CD51)-(0)&gt;0,"X",IF((CE51)-(0)&gt;0,"?",""))),"")</f>
        <v/>
      </c>
      <c r="CG51" s="93">
        <f>IF(51=51,IF($U51="","",SUMPRODUCT(--ISNUMBER(SEARCH(" "&amp;$CR$2153:$CR$2252&amp;" ",$CJ51)))),"")</f>
        <v>0</v>
      </c>
      <c r="CH51" s="93">
        <f>IF(51=51,IF($U51="","",SUMPRODUCT(--ISNUMBER(SEARCH(" "&amp;$CR$2253:$CR$2352&amp;" ",$CJ51)))),"")</f>
        <v>0</v>
      </c>
      <c r="CI51" s="93">
        <f>IF(51=51,IF($U51="","",SUMPRODUCT(--ISNUMBER(SEARCH(" "&amp;$CR$2353:$CR$2395&amp;" ",$CJ51)))),"")</f>
        <v>0</v>
      </c>
      <c r="CJ51" s="93" t="str">
        <f>IF(51=51,IF($U51="","",SUBSTITUTE(SUBSTITUTE(SUBSTITUTE(SUBSTITUTE(SUBSTITUTE(SUBSTITUTE(SUBSTITUTE(SUBSTITUTE(SUBSTITUTE(SUBSTITUTE(SUBSTITUTE(SUBSTITUTE(SUBSTITUTE(SUBSTITUTE(SUBSTITUTE(SUBSTITUTE($AA51," "&amp;$CR$2401&amp;" "," ")," "&amp;$CR$2400&amp;" "," ")," "&amp;$CR$2399&amp;" "," ")," "&amp;$CR$2406&amp;" "," ")," "&amp;$CR$2398&amp;" "," ")," "&amp;$CR$2410&amp;" "," ")," "&amp;$CR$2397&amp;" "," ")," "&amp;$CR$2402&amp;" "," ")," "&amp;$CR$2405&amp;" "," ")," "&amp;$CR$2396&amp;" "," ")," "&amp;$CR$2404&amp;" "," ")," "&amp;$CR$2411&amp;" "," ")," "&amp;$CR$2408&amp;" "," ")," "&amp;$CR$2403&amp;" "," ")," "&amp;$CR$2407&amp;" "," ")," "&amp;$CR$2409&amp;" "," ")),"")</f>
        <v xml:space="preserve"> poivrons en lanieres surgeles </v>
      </c>
      <c r="CK51" s="93">
        <f>IF(51=51,IF($U51="","",SUMPRODUCT(--ISNUMBER(SEARCH(" "&amp;$CR$2412:$CR$2416&amp;" ",$CJ51)))),"")</f>
        <v>0</v>
      </c>
      <c r="CL51" s="93" t="str">
        <f>IF(51=51,IF($U51="","",IF(SUM(CG51:CI51)&gt;0,"X",IF(CK51&gt;0,"?",""))),"")</f>
        <v/>
      </c>
      <c r="CM51" s="102"/>
      <c r="CN51" s="112" t="s">
        <v>723</v>
      </c>
      <c r="CO51" s="112" t="s">
        <v>522</v>
      </c>
      <c r="CP51" s="112" t="s">
        <v>523</v>
      </c>
      <c r="CQ51" s="112" t="s">
        <v>724</v>
      </c>
      <c r="CR51" s="112" t="s">
        <v>725</v>
      </c>
      <c r="CS51" s="112" t="s">
        <v>525</v>
      </c>
      <c r="CT51" s="112" t="s">
        <v>526</v>
      </c>
      <c r="CU51" s="112" t="s">
        <v>527</v>
      </c>
      <c r="CV51" s="113" t="s">
        <v>528</v>
      </c>
      <c r="CX51" s="36">
        <v>1</v>
      </c>
    </row>
    <row r="52" spans="1:102" ht="21" customHeight="1" x14ac:dyDescent="0.25">
      <c r="A52" s="135">
        <v>46</v>
      </c>
      <c r="B52" s="136" t="s">
        <v>5880</v>
      </c>
      <c r="C52" s="137" t="str">
        <f t="shared" si="0"/>
        <v>Pommes de terre BF 15</v>
      </c>
      <c r="D52" s="138" t="str">
        <f>IF(52=52,IF($B52="","",IF(E52="X",""&amp;"Céréales contenant du gluten","")&amp;IF(F52="X",IF(COUNTIF($E52:$E52,"X")&gt;0,", ","")&amp;"Crustacés","")&amp;IF(G52="X",IF(COUNTIF($E52:$F52,"X")&gt;0,", ","")&amp;"Œufs","")&amp;IF(H52="X",IF(COUNTIF($E52:$G52,"X")&gt;0,", ","")&amp;"Poissons","")&amp;IF(I52="X",IF(COUNTIF($E52:$H52,"X")&gt;0,", ","")&amp;"Arachides","")&amp;IF(J52="X",IF(COUNTIF($E52:$I52,"X")&gt;0,", ","")&amp;"Soja","")&amp;IF(K52="X",IF(COUNTIF($E52:$J52,"X")&gt;0,", ","")&amp;"Lait","")&amp;IF(L52="X",IF(COUNTIF($E52:$K52,"X")&gt;0,", ","")&amp;"Fruits à coque","")&amp;IF(M52="X",IF(COUNTIF($E52:$L52,"X")&gt;0,", ","")&amp;"Céleri","")&amp;IF(N52="X",IF(COUNTIF($E52:$M52,"X")&gt;0,", ","")&amp;"Moutarde","")&amp;IF(O52="X",IF(COUNTIF($E52:$N52,"X")&gt;0,", ","")&amp;"Sésame","")&amp;IF(P52="X",IF(COUNTIF($E52:$O52,"X")&gt;0,", ","")&amp;"Sulfites","")&amp;IF(Q52="X",IF(COUNTIF($E52:$P52,"X")&gt;0,", ","")&amp;"Lupin","")&amp;IF(R52="X",IF(COUNTIF($E52:$Q52,"X")&gt;0,", ","")&amp;"Mollusques","")),"")</f>
        <v/>
      </c>
      <c r="E52" s="139" t="str">
        <f>IF(52=52,IF($B52="","",AF52),"")</f>
        <v/>
      </c>
      <c r="F52" s="139" t="str">
        <f>IF(52=52,IF($B52="","",AI52),"")</f>
        <v/>
      </c>
      <c r="G52" s="139" t="str">
        <f>IF(52=52,IF($B52="","",AM52),"")</f>
        <v/>
      </c>
      <c r="H52" s="139" t="str">
        <f>IF(52=52,IF($B52="","",IF(ISNUMBER(SEARCH(" colin ",$AA52)),"X",AZ52)),"")</f>
        <v/>
      </c>
      <c r="I52" s="139" t="str">
        <f>IF(52=52,IF($B52="","",BB52),"")</f>
        <v/>
      </c>
      <c r="J52" s="139" t="str">
        <f>IF(52=52,IF($B52="","",BF52),"")</f>
        <v/>
      </c>
      <c r="K52" s="139" t="str">
        <f>IF(52=52,IF($B52="","",BM52),"")</f>
        <v/>
      </c>
      <c r="L52" s="139" t="str">
        <f>IF(52=52,IF($B52="","",BQ52),"")</f>
        <v/>
      </c>
      <c r="M52" s="139" t="str">
        <f>IF(52=52,IF($B52="","",BT52),"")</f>
        <v/>
      </c>
      <c r="N52" s="139" t="str">
        <f>IF(52=52,IF($B52="","",BW52),"")</f>
        <v/>
      </c>
      <c r="O52" s="139" t="str">
        <f>IF(52=52,IF($B52="","",BZ52),"")</f>
        <v/>
      </c>
      <c r="P52" s="139" t="str">
        <f>IF(52=52,IF($B52="","",CC52),"")</f>
        <v/>
      </c>
      <c r="Q52" s="139" t="str">
        <f>IF(52=52,IF($B52="","",CF52),"")</f>
        <v/>
      </c>
      <c r="R52" s="139" t="str">
        <f>IF(52=52,IF($B52="","",CL52),"")</f>
        <v/>
      </c>
      <c r="S52" s="140" t="str">
        <f>IF(52=52,IF($B52="","",IF(E52="?",""&amp;"Céréales contenant du gluten","")&amp;IF(F52="?",IF(COUNTIF($E52:$E52,"~?")&gt;0,", ","")&amp;"Crustacés","")&amp;IF(G52="?",IF(COUNTIF($E52:$F52,"~?")&gt;0,", ","")&amp;"Œufs","")&amp;IF(H52="?",IF(COUNTIF($E52:$G52,"~?")&gt;0,", ","")&amp;"Poissons","")&amp;IF(I52="?",IF(COUNTIF($E52:$H52,"~?")&gt;0,", ","")&amp;"Arachides","")&amp;IF(J52="?",IF(COUNTIF($E52:$I52,"~?")&gt;0,", ","")&amp;"Soja","")&amp;IF(K52="?",IF(COUNTIF($E52:$J52,"~?")&gt;0,", ","")&amp;"Lait","")&amp;IF(L52="?",IF(COUNTIF($E52:$K52,"~?")&gt;0,", ","")&amp;"Fruits à coque","")&amp;IF(M52="?",IF(COUNTIF($E52:$L52,"~?")&gt;0,", ","")&amp;"Céleri","")&amp;IF(N52="?",IF(COUNTIF($E52:$M52,"~?")&gt;0,", ","")&amp;"Moutarde","")&amp;IF(O52="?",IF(COUNTIF($E52:$N52,"~?")&gt;0,", ","")&amp;"Sésame","")&amp;IF(P52="?",IF(COUNTIF($E52:$O52,"~?")&gt;0,", ","")&amp;"Sulfites","")&amp;IF(Q52="?",IF(COUNTIF($E52:$P52,"~?")&gt;0,", ","")&amp;"Lupin","")&amp;IF(R52="?",IF(COUNTIF($E52:$Q52,"~?")&gt;0,", ","")&amp;"Mollusques","")),"")</f>
        <v/>
      </c>
      <c r="U52" s="93" t="str">
        <f>IF(52=52,IF($B52="","",$B52),"")</f>
        <v>Pommes de terre BF 15</v>
      </c>
      <c r="V52" s="93" t="str">
        <f>IF(52=52,LOWER(CLEAN(SUBSTITUTE(SUBSTITUTE(SUBSTITUTE(SUBSTITUTE($U52,CHAR(160)," ")," "," "),CHAR(10)," "),CHAR(13)," "))),"")</f>
        <v>pommes de terre bf 15</v>
      </c>
      <c r="W52" s="93" t="str">
        <f>IF(52=52,SUBSTITUTE(SUBSTITUTE(SUBSTITUTE(SUBSTITUTE(SUBSTITUTE(SUBSTITUTE(SUBSTITUTE(SUBSTITUTE(SUBSTITUTE(SUBSTITUTE(SUBSTITUTE(SUBSTITUTE($V52,"œ","oe"),"æ","ae"),"à","a"),"á","a"),"â","a"),"ä","a"),"ã","a"),"ç","c"),"è","e"),"é","e"),"ê","e"),"ë","e"),"")</f>
        <v>pommes de terre bf 15</v>
      </c>
      <c r="X52" s="93" t="str">
        <f>IF(52=52,SUBSTITUTE(SUBSTITUTE(SUBSTITUTE(SUBSTITUTE(SUBSTITUTE(SUBSTITUTE(SUBSTITUTE(SUBSTITUTE(SUBSTITUTE(SUBSTITUTE(SUBSTITUTE(SUBSTITUTE(SUBSTITUTE(SUBSTITUTE(SUBSTITUTE(SUBSTITUTE($W52,"ì","i"),"í","i"),"î","i"),"ï","i"),"ñ","n"),"ò","o"),"ó","o"),"ô","o"),"ö","o"),"õ","o"),"ù","u"),"ú","u"),"û","u"),"ü","u"),"ý","y"),"ÿ","y"),"")</f>
        <v>pommes de terre bf 15</v>
      </c>
      <c r="Y52" s="93" t="str">
        <f>IF(52=52,SUBSTITUTE(SUBSTITUTE(SUBSTITUTE(SUBSTITUTE(SUBSTITUTE(SUBSTITUTE(SUBSTITUTE(SUBSTITUTE(SUBSTITUTE(SUBSTITUTE(SUBSTITUTE(SUBSTITUTE(SUBSTITUTE(SUBSTITUTE($X52,"’"," "),"`"," "),"–"," "),"—"," "),"-"," "),"'"," "),"/"," "),"_"," "),","," "),"."," "),"("," "),")"," "),";"," "),":"," "),"")</f>
        <v>pommes de terre bf 15</v>
      </c>
      <c r="Z52" s="93" t="str">
        <f>IF(52=52,SUBSTITUTE(SUBSTITUTE(SUBSTITUTE(SUBSTITUTE(SUBSTITUTE(SUBSTITUTE(SUBSTITUTE(SUBSTITUTE(SUBSTITUTE(SUBSTITUTE(SUBSTITUTE(SUBSTITUTE(SUBSTITUTE(SUBSTITUTE(SUBSTITUTE($Y52,"!"," "),"?"," "),"+"," "),"*"," "),"&amp;"," "),"["," "),"]"," "),"{"," "),"}"," "),"%"," "),"="," "),"\"," "),"|"," "),"&lt;"," "),"&gt;"," "),"")</f>
        <v>pommes de terre bf 15</v>
      </c>
      <c r="AA52" s="93" t="str">
        <f>IF(52=52," "&amp;TRIM(SUBSTITUTE(SUBSTITUTE(SUBSTITUTE(SUBSTITUTE(SUBSTITUTE(SUBSTITUTE($Z52,CHAR(34)," "),"  "," "),"  "," "),"  "," "),"  "," "),"  "," "))&amp;" ","")</f>
        <v xml:space="preserve"> pommes de terre bf 15 </v>
      </c>
      <c r="AB52" s="93">
        <f>IF(52=52,IF($U52="","",SUMPRODUCT(--ISNUMBER(SEARCH(" "&amp;$CR$2:$CR$101&amp;" ",$AD52)))),"")</f>
        <v>0</v>
      </c>
      <c r="AC52" s="93">
        <f>IF(52=52,IF($U52="","",SUMPRODUCT(--ISNUMBER(SEARCH(" "&amp;$CR$102:$CR$151&amp;" ",$AD52)))),"")</f>
        <v>0</v>
      </c>
      <c r="AD52" s="93" t="str">
        <f t="shared" si="1"/>
        <v xml:space="preserve"> pommes de terre bf 15 </v>
      </c>
      <c r="AE52" s="93">
        <f t="shared" si="2"/>
        <v>0</v>
      </c>
      <c r="AF52" s="93" t="str">
        <f>IF(52=52,IF($U52="","",IF(SUM(AB52:AC52)+SUMPRODUCT(--ISNUMBER(SEARCH(" "&amp;$CR$2418:$CR$2420&amp;" ",$AD52)))&gt;0,"X",IF(AE52&gt;0,"?",""))),"")</f>
        <v/>
      </c>
      <c r="AG52" s="93">
        <f>IF(52=52,IF($U52="","",SUMPRODUCT(--ISNUMBER(SEARCH(" "&amp;$CR$206:$CR$305&amp;" ",$AA52)))),"")</f>
        <v>0</v>
      </c>
      <c r="AH52" s="93">
        <f>IF(52=52,IF($U52="","",SUMPRODUCT(--ISNUMBER(SEARCH(" "&amp;$CR$306:$CR$340&amp;" ",$AA52)))),"")</f>
        <v>0</v>
      </c>
      <c r="AI52" s="93" t="str">
        <f>IF(52=52,IF($U52="","",IF((SUM(AG52:AH52))-(0)&gt;0,"X",IF((0)-(0)&gt;0,"?",""))),"")</f>
        <v/>
      </c>
      <c r="AJ52" s="93">
        <f>IF(52=52,IF($U52="","",SUMPRODUCT(--ISNUMBER(SEARCH(" "&amp;$CR$341:$CR$398&amp;" ",$AA52)))),"")</f>
        <v>0</v>
      </c>
      <c r="AK52" s="93">
        <f>IF(52=52,IF($U52="","",SUMPRODUCT(--ISNUMBER(SEARCH(" "&amp;$CR$399:$CR$426&amp;" ",$AL52)))+SUMPRODUCT(--ISNUMBER(SEARCH(" "&amp;$CR$2440:$CR$2453&amp;" ",$AL52)))),"")</f>
        <v>0</v>
      </c>
      <c r="AL52" s="93" t="str">
        <f>IF(52=52,IF($U52="","",SUBSTITUTE(SUBSTITUTE(SUBSTITUTE(SUBSTITUTE(SUBSTITUTE(SUBSTITUTE(SUBSTITUTE(SUBSTITUTE(SUBSTITUTE(SUBSTITUTE(SUBSTITUTE(SUBSTITUTE(SUBSTITUTE(SUBSTITUTE($AA52," "&amp;$CR$2455&amp;" "," ")," "&amp;$CR$433&amp;" "," ")," "&amp;$CR$431&amp;" "," ")," "&amp;$CR$2438&amp;" "," ")," "&amp;$CR$2439&amp;" "," ")," "&amp;$CR$428&amp;" "," ")," "&amp;$CR$432&amp;" "," ")," "&amp;$CR$434&amp;" "," ")," "&amp;$CR$429&amp;" "," ")," "&amp;$CR$427&amp;" "," ")," "&amp;$CR$1367&amp;" "," ")," "&amp;$CR$435&amp;" "," ")," "&amp;$CR$1366&amp;" "," ")," "&amp;$CR$430&amp;" "," ")),"")</f>
        <v xml:space="preserve"> pommes de terre bf 15 </v>
      </c>
      <c r="AM52" s="93" t="str">
        <f>IF(52=52,IF($U52="","",IF(AJ52&gt;0,"X",IF(AK52&gt;0,"?",""))),"")</f>
        <v/>
      </c>
      <c r="AN52" s="93">
        <f>IF(52=52,IF($U52="","",SUMPRODUCT(--ISNUMBER(SEARCH(" "&amp;$CR$436:$CR$535&amp;" ",$AX52)))),"")</f>
        <v>0</v>
      </c>
      <c r="AO52" s="93">
        <f>IF(52=52,IF($U52="","",SUMPRODUCT(--ISNUMBER(SEARCH(" "&amp;$CR$536:$CR$635&amp;" ",$AX52)))),"")</f>
        <v>0</v>
      </c>
      <c r="AP52" s="93">
        <f>IF(52=52,IF($U52="","",SUMPRODUCT(--ISNUMBER(SEARCH(" "&amp;$CR$636:$CR$735&amp;" ",$AX52)))),"")</f>
        <v>0</v>
      </c>
      <c r="AQ52" s="93">
        <f>IF(52=52,IF($U52="","",SUMPRODUCT(--ISNUMBER(SEARCH(" "&amp;$CR$736:$CR$835&amp;" ",$AX52)))),"")</f>
        <v>0</v>
      </c>
      <c r="AR52" s="93">
        <f>IF(52=52,IF($U52="","",SUMPRODUCT(--ISNUMBER(SEARCH(" "&amp;$CR$836:$CR$935&amp;" ",$AX52)))),"")</f>
        <v>0</v>
      </c>
      <c r="AS52" s="93">
        <f>IF(52=52,IF($U52="","",SUMPRODUCT(--ISNUMBER(SEARCH(" "&amp;$CR$936:$CR$1035&amp;" ",$AX52)))),"")</f>
        <v>0</v>
      </c>
      <c r="AT52" s="93">
        <f>IF(52=52,IF($U52="","",SUMPRODUCT(--ISNUMBER(SEARCH(" "&amp;$CR$1036:$CR$1135&amp;" ",$AX52)))),"")</f>
        <v>0</v>
      </c>
      <c r="AU52" s="93">
        <f>IF(52=52,IF($U52="","",SUMPRODUCT(--ISNUMBER(SEARCH(" "&amp;$CR$1136:$CR$1235&amp;" ",$AX52)))),"")</f>
        <v>0</v>
      </c>
      <c r="AV52" s="93">
        <f>IF(52=52,IF($U52="","",SUMPRODUCT(--ISNUMBER(SEARCH(" "&amp;$CR$1236:$CR$1335&amp;" ",$AX52)))),"")</f>
        <v>0</v>
      </c>
      <c r="AW52" s="93">
        <f>IF(52=52,IF($U52="","",SUMPRODUCT(--ISNUMBER(SEARCH(" "&amp;$CR$1336:$CR$1363&amp;" ",$AX52)))),"")</f>
        <v>0</v>
      </c>
      <c r="AX52" s="93" t="str">
        <f>IF(52=52,IF($U52="","",SUBSTITUTE(SUBSTITUTE(SUBSTITUTE(SUBSTITUTE(SUBSTITUTE(SUBSTITUTE(SUBSTITUTE(SUBSTITUTE(SUBSTITUTE($AA52," "&amp;$CR$1365&amp;" "," ")," "&amp;$CR$1364&amp;" "," ")," "&amp;$CR$1370&amp;" "," ")," "&amp;$CR$1371&amp;" "," ")," "&amp;$CR$1367&amp;" "," ")," "&amp;$CR$1369&amp;" "," ")," "&amp;$CR$1366&amp;" "," ")," "&amp;$CR$1368&amp;" "," ")," "&amp;$CR$1372&amp;" "," ")),"")</f>
        <v xml:space="preserve"> pommes de terre bf 15 </v>
      </c>
      <c r="AY52" s="93">
        <f>IF(52=52,IF($U52="","",SUMPRODUCT(--ISNUMBER(SEARCH(" "&amp;$CR$1373:$CR$1383&amp;" ",$AX52)))),"")</f>
        <v>0</v>
      </c>
      <c r="AZ52" s="93" t="str">
        <f>IF(52=52,IF($U52="","",IF(SUM(AN52:AW52)+SUMPRODUCT(--ISNUMBER(SEARCH(" "&amp;$CR$2421:$CR$2422&amp;" ",$AX52)))&gt;0,"X",IF(AY52&gt;0,"?",""))),"")</f>
        <v/>
      </c>
      <c r="BA52" s="93">
        <f>IF(52=52,IF($U52="","",SUMPRODUCT(--ISNUMBER(SEARCH(" "&amp;$CR$1384:$CR$1404&amp;" ",$AA52)))),"")</f>
        <v>0</v>
      </c>
      <c r="BB52" s="93" t="str">
        <f>IF(52=52,IF($U52="","",IF((BA52)-(0)&gt;0,"X",IF((0)-(0)&gt;0,"?",""))),"")</f>
        <v/>
      </c>
      <c r="BC52" s="93">
        <f>IF(52=52,IF($U52="","",SUMPRODUCT(--ISNUMBER(SEARCH(" "&amp;$CR$1405:$CR$1442&amp;" ",$BD52)))),"")</f>
        <v>0</v>
      </c>
      <c r="BD52" s="93" t="str">
        <f>IF(52=52,IF($U52="","",SUBSTITUTE(SUBSTITUTE($AA52," "&amp;$CR$1443&amp;" "," ")," "&amp;$CR$1444&amp;" "," ")),"")</f>
        <v xml:space="preserve"> pommes de terre bf 15 </v>
      </c>
      <c r="BE52" s="93">
        <f>IF(52=52,IF($U52="","",SUMPRODUCT(--ISNUMBER(SEARCH(" "&amp;$CR$1445:$CR$1455&amp;" ",$BD52)))),"")</f>
        <v>0</v>
      </c>
      <c r="BF52" s="93" t="str">
        <f>IF(52=52,IF($U52="","",IF(BC52&gt;0,"X",IF(BE52&gt;0,"?",""))),"")</f>
        <v/>
      </c>
      <c r="BG52" s="93">
        <f>IF(52=52,IF($U52="","",SUMPRODUCT(--ISNUMBER(SEARCH(" "&amp;$CR$1456:$CR$1555&amp;" ",$BJ52)))),"")</f>
        <v>0</v>
      </c>
      <c r="BH52" s="93">
        <f>IF(52=52,IF($U52="","",SUMPRODUCT(--ISNUMBER(SEARCH(" "&amp;$CR$1556:$CR$1655&amp;" ",$BJ52)))),"")</f>
        <v>0</v>
      </c>
      <c r="BI52" s="93">
        <f>IF(52=52,IF($U52="","",SUMPRODUCT(--ISNUMBER(SEARCH(" "&amp;$CR$1656:$CR$1739&amp;" ",$BJ52)))),"")</f>
        <v>0</v>
      </c>
      <c r="BJ52" s="93" t="str">
        <f>IF(52=52,IF($U52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52,"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pommes de terre bf 15 </v>
      </c>
      <c r="BK52" s="93">
        <f>IF(52=52,IF($U52="","",SUMPRODUCT(--ISNUMBER(SEARCH(" "&amp;$CR$1790:$CR$1869&amp;" ",$BL52)))+SUMPRODUCT(--ISNUMBER(SEARCH(" "&amp;$CR$2440:$CR$2453&amp;" ",$BL52)))),"")</f>
        <v>0</v>
      </c>
      <c r="BL52" s="93" t="str">
        <f>IF(52=52,IF($U52="","",SUBSTITUTE(SUBSTITUTE(SUBSTITUTE(SUBSTITUTE(SUBSTITUTE(SUBSTITUTE(SUBSTITUTE(SUBSTITUTE(SUBSTITUTE(SUBSTITUTE(SUBSTITUTE(SUBSTITUTE(SUBSTITUTE($BJ52," "&amp;$CR$1876&amp;" "," ")," "&amp;$CR$1874&amp;" "," ")," "&amp;$CR$2438&amp;" "," ")," "&amp;$CR$2439&amp;" "," ")," "&amp;$CR$1871&amp;" "," ")," "&amp;$CR$1875&amp;" "," ")," "&amp;$CR$1877&amp;" "," ")," "&amp;$CR$1872&amp;" "," ")," "&amp;$CR$1870&amp;" "," ")," "&amp;$CR$1367&amp;" "," ")," "&amp;$CR$1878&amp;" "," ")," "&amp;$CR$1366&amp;" "," ")," "&amp;$CR$1873&amp;" "," ")),"")</f>
        <v xml:space="preserve"> pommes de terre bf 15 </v>
      </c>
      <c r="BM52" s="93" t="str">
        <f>IF(52=52,IF($U52="","",IF(SUM(BG52:BI52)+SUMPRODUCT(--ISNUMBER(SEARCH(" "&amp;$CR$2423:$CR$2424&amp;" ",$BJ52)))&gt;0,"X",IF(BK52&gt;0,"?",""))),"")</f>
        <v/>
      </c>
      <c r="BN52" s="93">
        <f>IF(52=52,IF($U52="","",SUMPRODUCT(--ISNUMBER(SEARCH(" "&amp;$CR$1879:$CR$1936&amp;" ",$BO52)))),"")</f>
        <v>0</v>
      </c>
      <c r="BO52" s="93" t="str">
        <f>IF(52=52,IF($U52="","",SUBSTITUTE(SUBSTITUTE(SUBSTITUTE(SUBSTITUTE(SUBSTITUTE(SUBSTITUTE(SUBSTITUTE(SUBSTITUTE(SUBSTITUTE(SUBSTITUTE(SUBSTITUTE(SUBSTITUTE(SUBSTITUTE(SUBSTITUTE(SUBSTITUTE(SUBSTITUTE(SUBSTITUTE(SUBSTITUTE(SUBSTITUTE(SUBSTITUTE(SUBSTITUTE(SUBSTITUTE(SUBSTITUTE($AA52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pommes de terre bf 15 </v>
      </c>
      <c r="BP52" s="93">
        <f>IF(52=52,IF($U52="","",SUMPRODUCT(--ISNUMBER(SEARCH(" "&amp;$CR$1960:$CR$1976&amp;" ",$BO52)))),"")</f>
        <v>0</v>
      </c>
      <c r="BQ52" s="93" t="str">
        <f>IF(52=52,IF($U52="","",IF(BN52&gt;0,"X",IF(BP52&gt;0,"?",""))),"")</f>
        <v/>
      </c>
      <c r="BR52" s="93">
        <f>IF(52=52,IF($U52="","",SUMPRODUCT(--ISNUMBER(SEARCH(" "&amp;$CR$1977:$CR$1990&amp;" ",$AA52)))),"")</f>
        <v>0</v>
      </c>
      <c r="BS52" s="93">
        <f>IF(52=52,IF($U52="","",SUMPRODUCT(--ISNUMBER(SEARCH(" "&amp;$CR$1991:$CR$2005&amp;" ",$AA52)))),"")</f>
        <v>0</v>
      </c>
      <c r="BT52" s="93" t="str">
        <f>IF(52=52,IF($U52="","",IF((BR52)-(0)&gt;0,"X",IF((BS52)-(0)&gt;0,"?",""))),"")</f>
        <v/>
      </c>
      <c r="BU52" s="93">
        <f>IF(52=52,IF($U52="","",SUMPRODUCT(--ISNUMBER(SEARCH(" "&amp;$CR$2006:$CR$2023&amp;" ",$AA52)))),"")</f>
        <v>0</v>
      </c>
      <c r="BV52" s="93">
        <f>IF(52=52,IF($U52="","",SUMPRODUCT(--ISNUMBER(SEARCH(" "&amp;$CR$2024:$CR$2038&amp;" ",$AA52)))),"")</f>
        <v>0</v>
      </c>
      <c r="BW52" s="93" t="str">
        <f>IF(52=52,IF($U52="","",IF((BU52)-(0)&gt;0,"X",IF((BV52)-(0)&gt;0,"?",""))),"")</f>
        <v/>
      </c>
      <c r="BX52" s="93">
        <f>IF(52=52,IF($U52="","",SUMPRODUCT(--ISNUMBER(SEARCH(" "&amp;$CR$2039:$CR$2057&amp;" ",$AA52)))),"")</f>
        <v>0</v>
      </c>
      <c r="BY52" s="93">
        <f>IF(52=52,IF($U52="","",SUMPRODUCT(--ISNUMBER(SEARCH(" "&amp;$CR$2058:$CR$2072&amp;" ",$AA52)))),"")</f>
        <v>0</v>
      </c>
      <c r="BZ52" s="93" t="str">
        <f>IF(52=52,IF($U52="","",IF((BX52)-(0)&gt;0,"X",IF((BY52)-(0)&gt;0,"?",""))),"")</f>
        <v/>
      </c>
      <c r="CA52" s="93">
        <f>IF(52=52,IF($U52="","",SUMPRODUCT(--ISNUMBER(SEARCH(" "&amp;$CR$2073:$CR$2093&amp;" ",$AA52)))),"")</f>
        <v>0</v>
      </c>
      <c r="CB52" s="93">
        <f>IF(52=52,IF($U52="","",SUMPRODUCT(--ISNUMBER(SEARCH(" "&amp;$CR$2094:$CR$2133&amp;" ",SUBSTITUTE(SUBSTITUTE($AA52," "&amp;$CR$1367&amp;" "," ")," "&amp;$CR$1366&amp;" "," "))))+--ISNUMBER(SEARCH("poiré",$V52))),"")</f>
        <v>0</v>
      </c>
      <c r="CC52" s="93" t="str">
        <f>IF(52=52,IF($U52="","",IF(OR(CA52&gt;0,ISNUMBER(SEARCH(" vinaigre de vin ",$AA52)),ISNUMBER(SEARCH(" vinaigre au vin ",$AA52))),"X",IF(CB52&gt;0,"?",""))),"")</f>
        <v/>
      </c>
      <c r="CD52" s="93">
        <f>IF(52=52,IF($U52="","",SUMPRODUCT(--ISNUMBER(SEARCH(" "&amp;$CR$2134:$CR$2146&amp;" ",$AA52)))),"")</f>
        <v>0</v>
      </c>
      <c r="CE52" s="93">
        <f>IF(52=52,IF($U52="","",SUMPRODUCT(--ISNUMBER(SEARCH(" "&amp;$CR$2147:$CR$2152&amp;" ",$AA52)))),"")</f>
        <v>0</v>
      </c>
      <c r="CF52" s="93" t="str">
        <f>IF(52=52,IF($U52="","",IF((CD52)-(0)&gt;0,"X",IF((CE52)-(0)&gt;0,"?",""))),"")</f>
        <v/>
      </c>
      <c r="CG52" s="93">
        <f>IF(52=52,IF($U52="","",SUMPRODUCT(--ISNUMBER(SEARCH(" "&amp;$CR$2153:$CR$2252&amp;" ",$CJ52)))),"")</f>
        <v>0</v>
      </c>
      <c r="CH52" s="93">
        <f>IF(52=52,IF($U52="","",SUMPRODUCT(--ISNUMBER(SEARCH(" "&amp;$CR$2253:$CR$2352&amp;" ",$CJ52)))),"")</f>
        <v>0</v>
      </c>
      <c r="CI52" s="93">
        <f>IF(52=52,IF($U52="","",SUMPRODUCT(--ISNUMBER(SEARCH(" "&amp;$CR$2353:$CR$2395&amp;" ",$CJ52)))),"")</f>
        <v>0</v>
      </c>
      <c r="CJ52" s="93" t="str">
        <f>IF(52=52,IF($U52="","",SUBSTITUTE(SUBSTITUTE(SUBSTITUTE(SUBSTITUTE(SUBSTITUTE(SUBSTITUTE(SUBSTITUTE(SUBSTITUTE(SUBSTITUTE(SUBSTITUTE(SUBSTITUTE(SUBSTITUTE(SUBSTITUTE(SUBSTITUTE(SUBSTITUTE(SUBSTITUTE($AA52," "&amp;$CR$2401&amp;" "," ")," "&amp;$CR$2400&amp;" "," ")," "&amp;$CR$2399&amp;" "," ")," "&amp;$CR$2406&amp;" "," ")," "&amp;$CR$2398&amp;" "," ")," "&amp;$CR$2410&amp;" "," ")," "&amp;$CR$2397&amp;" "," ")," "&amp;$CR$2402&amp;" "," ")," "&amp;$CR$2405&amp;" "," ")," "&amp;$CR$2396&amp;" "," ")," "&amp;$CR$2404&amp;" "," ")," "&amp;$CR$2411&amp;" "," ")," "&amp;$CR$2408&amp;" "," ")," "&amp;$CR$2403&amp;" "," ")," "&amp;$CR$2407&amp;" "," ")," "&amp;$CR$2409&amp;" "," ")),"")</f>
        <v xml:space="preserve"> pommes de terre bf 15 </v>
      </c>
      <c r="CK52" s="93">
        <f>IF(52=52,IF($U52="","",SUMPRODUCT(--ISNUMBER(SEARCH(" "&amp;$CR$2412:$CR$2416&amp;" ",$CJ52)))),"")</f>
        <v>0</v>
      </c>
      <c r="CL52" s="93" t="str">
        <f>IF(52=52,IF($U52="","",IF(SUM(CG52:CI52)&gt;0,"X",IF(CK52&gt;0,"?",""))),"")</f>
        <v/>
      </c>
      <c r="CM52" s="102"/>
      <c r="CN52" s="112" t="s">
        <v>726</v>
      </c>
      <c r="CO52" s="112" t="s">
        <v>522</v>
      </c>
      <c r="CP52" s="112" t="s">
        <v>523</v>
      </c>
      <c r="CQ52" s="112" t="s">
        <v>727</v>
      </c>
      <c r="CR52" s="112" t="s">
        <v>727</v>
      </c>
      <c r="CS52" s="112" t="s">
        <v>525</v>
      </c>
      <c r="CT52" s="112" t="s">
        <v>526</v>
      </c>
      <c r="CU52" s="112" t="s">
        <v>527</v>
      </c>
      <c r="CV52" s="113" t="s">
        <v>528</v>
      </c>
      <c r="CX52" s="36">
        <v>1</v>
      </c>
    </row>
    <row r="53" spans="1:102" ht="21" customHeight="1" x14ac:dyDescent="0.25">
      <c r="A53" s="135">
        <v>47</v>
      </c>
      <c r="B53" s="136" t="s">
        <v>5881</v>
      </c>
      <c r="C53" s="137" t="str">
        <f t="shared" si="0"/>
        <v>Pommes de terre sautées en rondelles précuites surgelées</v>
      </c>
      <c r="D53" s="138" t="str">
        <f>IF(53=53,IF($B53="","",IF(E53="X",""&amp;"Céréales contenant du gluten","")&amp;IF(F53="X",IF(COUNTIF($E53:$E53,"X")&gt;0,", ","")&amp;"Crustacés","")&amp;IF(G53="X",IF(COUNTIF($E53:$F53,"X")&gt;0,", ","")&amp;"Œufs","")&amp;IF(H53="X",IF(COUNTIF($E53:$G53,"X")&gt;0,", ","")&amp;"Poissons","")&amp;IF(I53="X",IF(COUNTIF($E53:$H53,"X")&gt;0,", ","")&amp;"Arachides","")&amp;IF(J53="X",IF(COUNTIF($E53:$I53,"X")&gt;0,", ","")&amp;"Soja","")&amp;IF(K53="X",IF(COUNTIF($E53:$J53,"X")&gt;0,", ","")&amp;"Lait","")&amp;IF(L53="X",IF(COUNTIF($E53:$K53,"X")&gt;0,", ","")&amp;"Fruits à coque","")&amp;IF(M53="X",IF(COUNTIF($E53:$L53,"X")&gt;0,", ","")&amp;"Céleri","")&amp;IF(N53="X",IF(COUNTIF($E53:$M53,"X")&gt;0,", ","")&amp;"Moutarde","")&amp;IF(O53="X",IF(COUNTIF($E53:$N53,"X")&gt;0,", ","")&amp;"Sésame","")&amp;IF(P53="X",IF(COUNTIF($E53:$O53,"X")&gt;0,", ","")&amp;"Sulfites","")&amp;IF(Q53="X",IF(COUNTIF($E53:$P53,"X")&gt;0,", ","")&amp;"Lupin","")&amp;IF(R53="X",IF(COUNTIF($E53:$Q53,"X")&gt;0,", ","")&amp;"Mollusques","")),"")</f>
        <v/>
      </c>
      <c r="E53" s="139" t="str">
        <f>IF(53=53,IF($B53="","",AF53),"")</f>
        <v/>
      </c>
      <c r="F53" s="139" t="str">
        <f>IF(53=53,IF($B53="","",AI53),"")</f>
        <v/>
      </c>
      <c r="G53" s="139" t="str">
        <f>IF(53=53,IF($B53="","",AM53),"")</f>
        <v/>
      </c>
      <c r="H53" s="139" t="str">
        <f>IF(53=53,IF($B53="","",IF(ISNUMBER(SEARCH(" colin ",$AA53)),"X",AZ53)),"")</f>
        <v/>
      </c>
      <c r="I53" s="139" t="str">
        <f>IF(53=53,IF($B53="","",BB53),"")</f>
        <v/>
      </c>
      <c r="J53" s="139" t="str">
        <f>IF(53=53,IF($B53="","",BF53),"")</f>
        <v/>
      </c>
      <c r="K53" s="139" t="str">
        <f>IF(53=53,IF($B53="","",BM53),"")</f>
        <v/>
      </c>
      <c r="L53" s="139" t="str">
        <f>IF(53=53,IF($B53="","",BQ53),"")</f>
        <v/>
      </c>
      <c r="M53" s="139" t="str">
        <f>IF(53=53,IF($B53="","",BT53),"")</f>
        <v/>
      </c>
      <c r="N53" s="139" t="str">
        <f>IF(53=53,IF($B53="","",BW53),"")</f>
        <v/>
      </c>
      <c r="O53" s="139" t="str">
        <f>IF(53=53,IF($B53="","",BZ53),"")</f>
        <v/>
      </c>
      <c r="P53" s="139" t="str">
        <f>IF(53=53,IF($B53="","",CC53),"")</f>
        <v/>
      </c>
      <c r="Q53" s="139" t="str">
        <f>IF(53=53,IF($B53="","",CF53),"")</f>
        <v/>
      </c>
      <c r="R53" s="139" t="str">
        <f>IF(53=53,IF($B53="","",CL53),"")</f>
        <v/>
      </c>
      <c r="S53" s="140" t="str">
        <f>IF(53=53,IF($B53="","",IF(E53="?",""&amp;"Céréales contenant du gluten","")&amp;IF(F53="?",IF(COUNTIF($E53:$E53,"~?")&gt;0,", ","")&amp;"Crustacés","")&amp;IF(G53="?",IF(COUNTIF($E53:$F53,"~?")&gt;0,", ","")&amp;"Œufs","")&amp;IF(H53="?",IF(COUNTIF($E53:$G53,"~?")&gt;0,", ","")&amp;"Poissons","")&amp;IF(I53="?",IF(COUNTIF($E53:$H53,"~?")&gt;0,", ","")&amp;"Arachides","")&amp;IF(J53="?",IF(COUNTIF($E53:$I53,"~?")&gt;0,", ","")&amp;"Soja","")&amp;IF(K53="?",IF(COUNTIF($E53:$J53,"~?")&gt;0,", ","")&amp;"Lait","")&amp;IF(L53="?",IF(COUNTIF($E53:$K53,"~?")&gt;0,", ","")&amp;"Fruits à coque","")&amp;IF(M53="?",IF(COUNTIF($E53:$L53,"~?")&gt;0,", ","")&amp;"Céleri","")&amp;IF(N53="?",IF(COUNTIF($E53:$M53,"~?")&gt;0,", ","")&amp;"Moutarde","")&amp;IF(O53="?",IF(COUNTIF($E53:$N53,"~?")&gt;0,", ","")&amp;"Sésame","")&amp;IF(P53="?",IF(COUNTIF($E53:$O53,"~?")&gt;0,", ","")&amp;"Sulfites","")&amp;IF(Q53="?",IF(COUNTIF($E53:$P53,"~?")&gt;0,", ","")&amp;"Lupin","")&amp;IF(R53="?",IF(COUNTIF($E53:$Q53,"~?")&gt;0,", ","")&amp;"Mollusques","")),"")</f>
        <v/>
      </c>
      <c r="U53" s="93" t="str">
        <f>IF(53=53,IF($B53="","",$B53),"")</f>
        <v>Pommes de terre sautées en rondelles précuites surgelées</v>
      </c>
      <c r="V53" s="93" t="str">
        <f>IF(53=53,LOWER(CLEAN(SUBSTITUTE(SUBSTITUTE(SUBSTITUTE(SUBSTITUTE($U53,CHAR(160)," ")," "," "),CHAR(10)," "),CHAR(13)," "))),"")</f>
        <v>pommes de terre sautées en rondelles précuites surgelées</v>
      </c>
      <c r="W53" s="93" t="str">
        <f>IF(53=53,SUBSTITUTE(SUBSTITUTE(SUBSTITUTE(SUBSTITUTE(SUBSTITUTE(SUBSTITUTE(SUBSTITUTE(SUBSTITUTE(SUBSTITUTE(SUBSTITUTE(SUBSTITUTE(SUBSTITUTE($V53,"œ","oe"),"æ","ae"),"à","a"),"á","a"),"â","a"),"ä","a"),"ã","a"),"ç","c"),"è","e"),"é","e"),"ê","e"),"ë","e"),"")</f>
        <v>pommes de terre sautees en rondelles precuites surgelees</v>
      </c>
      <c r="X53" s="93" t="str">
        <f>IF(53=53,SUBSTITUTE(SUBSTITUTE(SUBSTITUTE(SUBSTITUTE(SUBSTITUTE(SUBSTITUTE(SUBSTITUTE(SUBSTITUTE(SUBSTITUTE(SUBSTITUTE(SUBSTITUTE(SUBSTITUTE(SUBSTITUTE(SUBSTITUTE(SUBSTITUTE(SUBSTITUTE($W53,"ì","i"),"í","i"),"î","i"),"ï","i"),"ñ","n"),"ò","o"),"ó","o"),"ô","o"),"ö","o"),"õ","o"),"ù","u"),"ú","u"),"û","u"),"ü","u"),"ý","y"),"ÿ","y"),"")</f>
        <v>pommes de terre sautees en rondelles precuites surgelees</v>
      </c>
      <c r="Y53" s="93" t="str">
        <f>IF(53=53,SUBSTITUTE(SUBSTITUTE(SUBSTITUTE(SUBSTITUTE(SUBSTITUTE(SUBSTITUTE(SUBSTITUTE(SUBSTITUTE(SUBSTITUTE(SUBSTITUTE(SUBSTITUTE(SUBSTITUTE(SUBSTITUTE(SUBSTITUTE($X53,"’"," "),"`"," "),"–"," "),"—"," "),"-"," "),"'"," "),"/"," "),"_"," "),","," "),"."," "),"("," "),")"," "),";"," "),":"," "),"")</f>
        <v>pommes de terre sautees en rondelles precuites surgelees</v>
      </c>
      <c r="Z53" s="93" t="str">
        <f>IF(53=53,SUBSTITUTE(SUBSTITUTE(SUBSTITUTE(SUBSTITUTE(SUBSTITUTE(SUBSTITUTE(SUBSTITUTE(SUBSTITUTE(SUBSTITUTE(SUBSTITUTE(SUBSTITUTE(SUBSTITUTE(SUBSTITUTE(SUBSTITUTE(SUBSTITUTE($Y53,"!"," "),"?"," "),"+"," "),"*"," "),"&amp;"," "),"["," "),"]"," "),"{"," "),"}"," "),"%"," "),"="," "),"\"," "),"|"," "),"&lt;"," "),"&gt;"," "),"")</f>
        <v>pommes de terre sautees en rondelles precuites surgelees</v>
      </c>
      <c r="AA53" s="93" t="str">
        <f>IF(53=53," "&amp;TRIM(SUBSTITUTE(SUBSTITUTE(SUBSTITUTE(SUBSTITUTE(SUBSTITUTE(SUBSTITUTE($Z53,CHAR(34)," "),"  "," "),"  "," "),"  "," "),"  "," "),"  "," "))&amp;" ","")</f>
        <v xml:space="preserve"> pommes de terre sautees en rondelles precuites surgelees </v>
      </c>
      <c r="AB53" s="93">
        <f>IF(53=53,IF($U53="","",SUMPRODUCT(--ISNUMBER(SEARCH(" "&amp;$CR$2:$CR$101&amp;" ",$AD53)))),"")</f>
        <v>0</v>
      </c>
      <c r="AC53" s="93">
        <f>IF(53=53,IF($U53="","",SUMPRODUCT(--ISNUMBER(SEARCH(" "&amp;$CR$102:$CR$151&amp;" ",$AD53)))),"")</f>
        <v>0</v>
      </c>
      <c r="AD53" s="93" t="str">
        <f t="shared" si="1"/>
        <v xml:space="preserve"> pommes de terre sautees en rondelles precuites surgelees </v>
      </c>
      <c r="AE53" s="93">
        <f t="shared" si="2"/>
        <v>0</v>
      </c>
      <c r="AF53" s="93" t="str">
        <f>IF(53=53,IF($U53="","",IF(SUM(AB53:AC53)+SUMPRODUCT(--ISNUMBER(SEARCH(" "&amp;$CR$2418:$CR$2420&amp;" ",$AD53)))&gt;0,"X",IF(AE53&gt;0,"?",""))),"")</f>
        <v/>
      </c>
      <c r="AG53" s="93">
        <f>IF(53=53,IF($U53="","",SUMPRODUCT(--ISNUMBER(SEARCH(" "&amp;$CR$206:$CR$305&amp;" ",$AA53)))),"")</f>
        <v>0</v>
      </c>
      <c r="AH53" s="93">
        <f>IF(53=53,IF($U53="","",SUMPRODUCT(--ISNUMBER(SEARCH(" "&amp;$CR$306:$CR$340&amp;" ",$AA53)))),"")</f>
        <v>0</v>
      </c>
      <c r="AI53" s="93" t="str">
        <f>IF(53=53,IF($U53="","",IF((SUM(AG53:AH53))-(0)&gt;0,"X",IF((0)-(0)&gt;0,"?",""))),"")</f>
        <v/>
      </c>
      <c r="AJ53" s="93">
        <f>IF(53=53,IF($U53="","",SUMPRODUCT(--ISNUMBER(SEARCH(" "&amp;$CR$341:$CR$398&amp;" ",$AA53)))),"")</f>
        <v>0</v>
      </c>
      <c r="AK53" s="93">
        <f>IF(53=53,IF($U53="","",SUMPRODUCT(--ISNUMBER(SEARCH(" "&amp;$CR$399:$CR$426&amp;" ",$AL53)))+SUMPRODUCT(--ISNUMBER(SEARCH(" "&amp;$CR$2440:$CR$2453&amp;" ",$AL53)))),"")</f>
        <v>0</v>
      </c>
      <c r="AL53" s="93" t="str">
        <f>IF(53=53,IF($U53="","",SUBSTITUTE(SUBSTITUTE(SUBSTITUTE(SUBSTITUTE(SUBSTITUTE(SUBSTITUTE(SUBSTITUTE(SUBSTITUTE(SUBSTITUTE(SUBSTITUTE(SUBSTITUTE(SUBSTITUTE(SUBSTITUTE(SUBSTITUTE($AA53," "&amp;$CR$2455&amp;" "," ")," "&amp;$CR$433&amp;" "," ")," "&amp;$CR$431&amp;" "," ")," "&amp;$CR$2438&amp;" "," ")," "&amp;$CR$2439&amp;" "," ")," "&amp;$CR$428&amp;" "," ")," "&amp;$CR$432&amp;" "," ")," "&amp;$CR$434&amp;" "," ")," "&amp;$CR$429&amp;" "," ")," "&amp;$CR$427&amp;" "," ")," "&amp;$CR$1367&amp;" "," ")," "&amp;$CR$435&amp;" "," ")," "&amp;$CR$1366&amp;" "," ")," "&amp;$CR$430&amp;" "," ")),"")</f>
        <v xml:space="preserve"> pommes de terre sautees en rondelles precuites surgelees </v>
      </c>
      <c r="AM53" s="93" t="str">
        <f>IF(53=53,IF($U53="","",IF(AJ53&gt;0,"X",IF(AK53&gt;0,"?",""))),"")</f>
        <v/>
      </c>
      <c r="AN53" s="93">
        <f>IF(53=53,IF($U53="","",SUMPRODUCT(--ISNUMBER(SEARCH(" "&amp;$CR$436:$CR$535&amp;" ",$AX53)))),"")</f>
        <v>0</v>
      </c>
      <c r="AO53" s="93">
        <f>IF(53=53,IF($U53="","",SUMPRODUCT(--ISNUMBER(SEARCH(" "&amp;$CR$536:$CR$635&amp;" ",$AX53)))),"")</f>
        <v>0</v>
      </c>
      <c r="AP53" s="93">
        <f>IF(53=53,IF($U53="","",SUMPRODUCT(--ISNUMBER(SEARCH(" "&amp;$CR$636:$CR$735&amp;" ",$AX53)))),"")</f>
        <v>0</v>
      </c>
      <c r="AQ53" s="93">
        <f>IF(53=53,IF($U53="","",SUMPRODUCT(--ISNUMBER(SEARCH(" "&amp;$CR$736:$CR$835&amp;" ",$AX53)))),"")</f>
        <v>0</v>
      </c>
      <c r="AR53" s="93">
        <f>IF(53=53,IF($U53="","",SUMPRODUCT(--ISNUMBER(SEARCH(" "&amp;$CR$836:$CR$935&amp;" ",$AX53)))),"")</f>
        <v>0</v>
      </c>
      <c r="AS53" s="93">
        <f>IF(53=53,IF($U53="","",SUMPRODUCT(--ISNUMBER(SEARCH(" "&amp;$CR$936:$CR$1035&amp;" ",$AX53)))),"")</f>
        <v>0</v>
      </c>
      <c r="AT53" s="93">
        <f>IF(53=53,IF($U53="","",SUMPRODUCT(--ISNUMBER(SEARCH(" "&amp;$CR$1036:$CR$1135&amp;" ",$AX53)))),"")</f>
        <v>0</v>
      </c>
      <c r="AU53" s="93">
        <f>IF(53=53,IF($U53="","",SUMPRODUCT(--ISNUMBER(SEARCH(" "&amp;$CR$1136:$CR$1235&amp;" ",$AX53)))),"")</f>
        <v>0</v>
      </c>
      <c r="AV53" s="93">
        <f>IF(53=53,IF($U53="","",SUMPRODUCT(--ISNUMBER(SEARCH(" "&amp;$CR$1236:$CR$1335&amp;" ",$AX53)))),"")</f>
        <v>0</v>
      </c>
      <c r="AW53" s="93">
        <f>IF(53=53,IF($U53="","",SUMPRODUCT(--ISNUMBER(SEARCH(" "&amp;$CR$1336:$CR$1363&amp;" ",$AX53)))),"")</f>
        <v>0</v>
      </c>
      <c r="AX53" s="93" t="str">
        <f>IF(53=53,IF($U53="","",SUBSTITUTE(SUBSTITUTE(SUBSTITUTE(SUBSTITUTE(SUBSTITUTE(SUBSTITUTE(SUBSTITUTE(SUBSTITUTE(SUBSTITUTE($AA53," "&amp;$CR$1365&amp;" "," ")," "&amp;$CR$1364&amp;" "," ")," "&amp;$CR$1370&amp;" "," ")," "&amp;$CR$1371&amp;" "," ")," "&amp;$CR$1367&amp;" "," ")," "&amp;$CR$1369&amp;" "," ")," "&amp;$CR$1366&amp;" "," ")," "&amp;$CR$1368&amp;" "," ")," "&amp;$CR$1372&amp;" "," ")),"")</f>
        <v xml:space="preserve"> pommes de terre sautees en rondelles precuites surgelees </v>
      </c>
      <c r="AY53" s="93">
        <f>IF(53=53,IF($U53="","",SUMPRODUCT(--ISNUMBER(SEARCH(" "&amp;$CR$1373:$CR$1383&amp;" ",$AX53)))),"")</f>
        <v>0</v>
      </c>
      <c r="AZ53" s="93" t="str">
        <f>IF(53=53,IF($U53="","",IF(SUM(AN53:AW53)+SUMPRODUCT(--ISNUMBER(SEARCH(" "&amp;$CR$2421:$CR$2422&amp;" ",$AX53)))&gt;0,"X",IF(AY53&gt;0,"?",""))),"")</f>
        <v/>
      </c>
      <c r="BA53" s="93">
        <f>IF(53=53,IF($U53="","",SUMPRODUCT(--ISNUMBER(SEARCH(" "&amp;$CR$1384:$CR$1404&amp;" ",$AA53)))),"")</f>
        <v>0</v>
      </c>
      <c r="BB53" s="93" t="str">
        <f>IF(53=53,IF($U53="","",IF((BA53)-(0)&gt;0,"X",IF((0)-(0)&gt;0,"?",""))),"")</f>
        <v/>
      </c>
      <c r="BC53" s="93">
        <f>IF(53=53,IF($U53="","",SUMPRODUCT(--ISNUMBER(SEARCH(" "&amp;$CR$1405:$CR$1442&amp;" ",$BD53)))),"")</f>
        <v>0</v>
      </c>
      <c r="BD53" s="93" t="str">
        <f>IF(53=53,IF($U53="","",SUBSTITUTE(SUBSTITUTE($AA53," "&amp;$CR$1443&amp;" "," ")," "&amp;$CR$1444&amp;" "," ")),"")</f>
        <v xml:space="preserve"> pommes de terre sautees en rondelles precuites surgelees </v>
      </c>
      <c r="BE53" s="93">
        <f>IF(53=53,IF($U53="","",SUMPRODUCT(--ISNUMBER(SEARCH(" "&amp;$CR$1445:$CR$1455&amp;" ",$BD53)))),"")</f>
        <v>0</v>
      </c>
      <c r="BF53" s="93" t="str">
        <f>IF(53=53,IF($U53="","",IF(BC53&gt;0,"X",IF(BE53&gt;0,"?",""))),"")</f>
        <v/>
      </c>
      <c r="BG53" s="93">
        <f>IF(53=53,IF($U53="","",SUMPRODUCT(--ISNUMBER(SEARCH(" "&amp;$CR$1456:$CR$1555&amp;" ",$BJ53)))),"")</f>
        <v>0</v>
      </c>
      <c r="BH53" s="93">
        <f>IF(53=53,IF($U53="","",SUMPRODUCT(--ISNUMBER(SEARCH(" "&amp;$CR$1556:$CR$1655&amp;" ",$BJ53)))),"")</f>
        <v>0</v>
      </c>
      <c r="BI53" s="93">
        <f>IF(53=53,IF($U53="","",SUMPRODUCT(--ISNUMBER(SEARCH(" "&amp;$CR$1656:$CR$1739&amp;" ",$BJ53)))),"")</f>
        <v>0</v>
      </c>
      <c r="BJ53" s="93" t="str">
        <f>IF(53=53,IF($U53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53,"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pommes de terre sautees en rondelles precuites surgelees </v>
      </c>
      <c r="BK53" s="93">
        <f>IF(53=53,IF($U53="","",SUMPRODUCT(--ISNUMBER(SEARCH(" "&amp;$CR$1790:$CR$1869&amp;" ",$BL53)))+SUMPRODUCT(--ISNUMBER(SEARCH(" "&amp;$CR$2440:$CR$2453&amp;" ",$BL53)))),"")</f>
        <v>0</v>
      </c>
      <c r="BL53" s="93" t="str">
        <f>IF(53=53,IF($U53="","",SUBSTITUTE(SUBSTITUTE(SUBSTITUTE(SUBSTITUTE(SUBSTITUTE(SUBSTITUTE(SUBSTITUTE(SUBSTITUTE(SUBSTITUTE(SUBSTITUTE(SUBSTITUTE(SUBSTITUTE(SUBSTITUTE($BJ53," "&amp;$CR$1876&amp;" "," ")," "&amp;$CR$1874&amp;" "," ")," "&amp;$CR$2438&amp;" "," ")," "&amp;$CR$2439&amp;" "," ")," "&amp;$CR$1871&amp;" "," ")," "&amp;$CR$1875&amp;" "," ")," "&amp;$CR$1877&amp;" "," ")," "&amp;$CR$1872&amp;" "," ")," "&amp;$CR$1870&amp;" "," ")," "&amp;$CR$1367&amp;" "," ")," "&amp;$CR$1878&amp;" "," ")," "&amp;$CR$1366&amp;" "," ")," "&amp;$CR$1873&amp;" "," ")),"")</f>
        <v xml:space="preserve"> pommes de terre sautees en rondelles precuites surgelees </v>
      </c>
      <c r="BM53" s="93" t="str">
        <f>IF(53=53,IF($U53="","",IF(SUM(BG53:BI53)+SUMPRODUCT(--ISNUMBER(SEARCH(" "&amp;$CR$2423:$CR$2424&amp;" ",$BJ53)))&gt;0,"X",IF(BK53&gt;0,"?",""))),"")</f>
        <v/>
      </c>
      <c r="BN53" s="93">
        <f>IF(53=53,IF($U53="","",SUMPRODUCT(--ISNUMBER(SEARCH(" "&amp;$CR$1879:$CR$1936&amp;" ",$BO53)))),"")</f>
        <v>0</v>
      </c>
      <c r="BO53" s="93" t="str">
        <f>IF(53=53,IF($U53="","",SUBSTITUTE(SUBSTITUTE(SUBSTITUTE(SUBSTITUTE(SUBSTITUTE(SUBSTITUTE(SUBSTITUTE(SUBSTITUTE(SUBSTITUTE(SUBSTITUTE(SUBSTITUTE(SUBSTITUTE(SUBSTITUTE(SUBSTITUTE(SUBSTITUTE(SUBSTITUTE(SUBSTITUTE(SUBSTITUTE(SUBSTITUTE(SUBSTITUTE(SUBSTITUTE(SUBSTITUTE(SUBSTITUTE($AA53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pommes de terre sautees en rondelles precuites surgelees </v>
      </c>
      <c r="BP53" s="93">
        <f>IF(53=53,IF($U53="","",SUMPRODUCT(--ISNUMBER(SEARCH(" "&amp;$CR$1960:$CR$1976&amp;" ",$BO53)))),"")</f>
        <v>0</v>
      </c>
      <c r="BQ53" s="93" t="str">
        <f>IF(53=53,IF($U53="","",IF(BN53&gt;0,"X",IF(BP53&gt;0,"?",""))),"")</f>
        <v/>
      </c>
      <c r="BR53" s="93">
        <f>IF(53=53,IF($U53="","",SUMPRODUCT(--ISNUMBER(SEARCH(" "&amp;$CR$1977:$CR$1990&amp;" ",$AA53)))),"")</f>
        <v>0</v>
      </c>
      <c r="BS53" s="93">
        <f>IF(53=53,IF($U53="","",SUMPRODUCT(--ISNUMBER(SEARCH(" "&amp;$CR$1991:$CR$2005&amp;" ",$AA53)))),"")</f>
        <v>0</v>
      </c>
      <c r="BT53" s="93" t="str">
        <f>IF(53=53,IF($U53="","",IF((BR53)-(0)&gt;0,"X",IF((BS53)-(0)&gt;0,"?",""))),"")</f>
        <v/>
      </c>
      <c r="BU53" s="93">
        <f>IF(53=53,IF($U53="","",SUMPRODUCT(--ISNUMBER(SEARCH(" "&amp;$CR$2006:$CR$2023&amp;" ",$AA53)))),"")</f>
        <v>0</v>
      </c>
      <c r="BV53" s="93">
        <f>IF(53=53,IF($U53="","",SUMPRODUCT(--ISNUMBER(SEARCH(" "&amp;$CR$2024:$CR$2038&amp;" ",$AA53)))),"")</f>
        <v>0</v>
      </c>
      <c r="BW53" s="93" t="str">
        <f>IF(53=53,IF($U53="","",IF((BU53)-(0)&gt;0,"X",IF((BV53)-(0)&gt;0,"?",""))),"")</f>
        <v/>
      </c>
      <c r="BX53" s="93">
        <f>IF(53=53,IF($U53="","",SUMPRODUCT(--ISNUMBER(SEARCH(" "&amp;$CR$2039:$CR$2057&amp;" ",$AA53)))),"")</f>
        <v>0</v>
      </c>
      <c r="BY53" s="93">
        <f>IF(53=53,IF($U53="","",SUMPRODUCT(--ISNUMBER(SEARCH(" "&amp;$CR$2058:$CR$2072&amp;" ",$AA53)))),"")</f>
        <v>0</v>
      </c>
      <c r="BZ53" s="93" t="str">
        <f>IF(53=53,IF($U53="","",IF((BX53)-(0)&gt;0,"X",IF((BY53)-(0)&gt;0,"?",""))),"")</f>
        <v/>
      </c>
      <c r="CA53" s="93">
        <f>IF(53=53,IF($U53="","",SUMPRODUCT(--ISNUMBER(SEARCH(" "&amp;$CR$2073:$CR$2093&amp;" ",$AA53)))),"")</f>
        <v>0</v>
      </c>
      <c r="CB53" s="93">
        <f>IF(53=53,IF($U53="","",SUMPRODUCT(--ISNUMBER(SEARCH(" "&amp;$CR$2094:$CR$2133&amp;" ",SUBSTITUTE(SUBSTITUTE($AA53," "&amp;$CR$1367&amp;" "," ")," "&amp;$CR$1366&amp;" "," "))))+--ISNUMBER(SEARCH("poiré",$V53))),"")</f>
        <v>0</v>
      </c>
      <c r="CC53" s="93" t="str">
        <f>IF(53=53,IF($U53="","",IF(OR(CA53&gt;0,ISNUMBER(SEARCH(" vinaigre de vin ",$AA53)),ISNUMBER(SEARCH(" vinaigre au vin ",$AA53))),"X",IF(CB53&gt;0,"?",""))),"")</f>
        <v/>
      </c>
      <c r="CD53" s="93">
        <f>IF(53=53,IF($U53="","",SUMPRODUCT(--ISNUMBER(SEARCH(" "&amp;$CR$2134:$CR$2146&amp;" ",$AA53)))),"")</f>
        <v>0</v>
      </c>
      <c r="CE53" s="93">
        <f>IF(53=53,IF($U53="","",SUMPRODUCT(--ISNUMBER(SEARCH(" "&amp;$CR$2147:$CR$2152&amp;" ",$AA53)))),"")</f>
        <v>0</v>
      </c>
      <c r="CF53" s="93" t="str">
        <f>IF(53=53,IF($U53="","",IF((CD53)-(0)&gt;0,"X",IF((CE53)-(0)&gt;0,"?",""))),"")</f>
        <v/>
      </c>
      <c r="CG53" s="93">
        <f>IF(53=53,IF($U53="","",SUMPRODUCT(--ISNUMBER(SEARCH(" "&amp;$CR$2153:$CR$2252&amp;" ",$CJ53)))),"")</f>
        <v>0</v>
      </c>
      <c r="CH53" s="93">
        <f>IF(53=53,IF($U53="","",SUMPRODUCT(--ISNUMBER(SEARCH(" "&amp;$CR$2253:$CR$2352&amp;" ",$CJ53)))),"")</f>
        <v>0</v>
      </c>
      <c r="CI53" s="93">
        <f>IF(53=53,IF($U53="","",SUMPRODUCT(--ISNUMBER(SEARCH(" "&amp;$CR$2353:$CR$2395&amp;" ",$CJ53)))),"")</f>
        <v>0</v>
      </c>
      <c r="CJ53" s="93" t="str">
        <f>IF(53=53,IF($U53="","",SUBSTITUTE(SUBSTITUTE(SUBSTITUTE(SUBSTITUTE(SUBSTITUTE(SUBSTITUTE(SUBSTITUTE(SUBSTITUTE(SUBSTITUTE(SUBSTITUTE(SUBSTITUTE(SUBSTITUTE(SUBSTITUTE(SUBSTITUTE(SUBSTITUTE(SUBSTITUTE($AA53," "&amp;$CR$2401&amp;" "," ")," "&amp;$CR$2400&amp;" "," ")," "&amp;$CR$2399&amp;" "," ")," "&amp;$CR$2406&amp;" "," ")," "&amp;$CR$2398&amp;" "," ")," "&amp;$CR$2410&amp;" "," ")," "&amp;$CR$2397&amp;" "," ")," "&amp;$CR$2402&amp;" "," ")," "&amp;$CR$2405&amp;" "," ")," "&amp;$CR$2396&amp;" "," ")," "&amp;$CR$2404&amp;" "," ")," "&amp;$CR$2411&amp;" "," ")," "&amp;$CR$2408&amp;" "," ")," "&amp;$CR$2403&amp;" "," ")," "&amp;$CR$2407&amp;" "," ")," "&amp;$CR$2409&amp;" "," ")),"")</f>
        <v xml:space="preserve"> pommes de terre sautees en rondelles precuites surgelees </v>
      </c>
      <c r="CK53" s="93">
        <f>IF(53=53,IF($U53="","",SUMPRODUCT(--ISNUMBER(SEARCH(" "&amp;$CR$2412:$CR$2416&amp;" ",$CJ53)))),"")</f>
        <v>0</v>
      </c>
      <c r="CL53" s="93" t="str">
        <f>IF(53=53,IF($U53="","",IF(SUM(CG53:CI53)&gt;0,"X",IF(CK53&gt;0,"?",""))),"")</f>
        <v/>
      </c>
      <c r="CM53" s="102"/>
      <c r="CN53" s="112" t="s">
        <v>728</v>
      </c>
      <c r="CO53" s="112" t="s">
        <v>522</v>
      </c>
      <c r="CP53" s="112" t="s">
        <v>523</v>
      </c>
      <c r="CQ53" s="112" t="s">
        <v>729</v>
      </c>
      <c r="CR53" s="112" t="s">
        <v>729</v>
      </c>
      <c r="CS53" s="112" t="s">
        <v>525</v>
      </c>
      <c r="CT53" s="112" t="s">
        <v>526</v>
      </c>
      <c r="CU53" s="112" t="s">
        <v>527</v>
      </c>
      <c r="CV53" s="113" t="s">
        <v>528</v>
      </c>
      <c r="CX53" s="36">
        <v>1</v>
      </c>
    </row>
    <row r="54" spans="1:102" ht="21" customHeight="1" x14ac:dyDescent="0.25">
      <c r="A54" s="135">
        <v>48</v>
      </c>
      <c r="B54" s="136" t="s">
        <v>5882</v>
      </c>
      <c r="C54" s="137" t="str">
        <f t="shared" si="0"/>
        <v>Purée de pomme de terre ?</v>
      </c>
      <c r="D54" s="138" t="str">
        <f>IF(54=54,IF($B54="","",IF(E54="X",""&amp;"Céréales contenant du gluten","")&amp;IF(F54="X",IF(COUNTIF($E54:$E54,"X")&gt;0,", ","")&amp;"Crustacés","")&amp;IF(G54="X",IF(COUNTIF($E54:$F54,"X")&gt;0,", ","")&amp;"Œufs","")&amp;IF(H54="X",IF(COUNTIF($E54:$G54,"X")&gt;0,", ","")&amp;"Poissons","")&amp;IF(I54="X",IF(COUNTIF($E54:$H54,"X")&gt;0,", ","")&amp;"Arachides","")&amp;IF(J54="X",IF(COUNTIF($E54:$I54,"X")&gt;0,", ","")&amp;"Soja","")&amp;IF(K54="X",IF(COUNTIF($E54:$J54,"X")&gt;0,", ","")&amp;"Lait","")&amp;IF(L54="X",IF(COUNTIF($E54:$K54,"X")&gt;0,", ","")&amp;"Fruits à coque","")&amp;IF(M54="X",IF(COUNTIF($E54:$L54,"X")&gt;0,", ","")&amp;"Céleri","")&amp;IF(N54="X",IF(COUNTIF($E54:$M54,"X")&gt;0,", ","")&amp;"Moutarde","")&amp;IF(O54="X",IF(COUNTIF($E54:$N54,"X")&gt;0,", ","")&amp;"Sésame","")&amp;IF(P54="X",IF(COUNTIF($E54:$O54,"X")&gt;0,", ","")&amp;"Sulfites","")&amp;IF(Q54="X",IF(COUNTIF($E54:$P54,"X")&gt;0,", ","")&amp;"Lupin","")&amp;IF(R54="X",IF(COUNTIF($E54:$Q54,"X")&gt;0,", ","")&amp;"Mollusques","")),"")</f>
        <v/>
      </c>
      <c r="E54" s="139" t="str">
        <f>IF(54=54,IF($B54="","",AF54),"")</f>
        <v/>
      </c>
      <c r="F54" s="139" t="str">
        <f>IF(54=54,IF($B54="","",AI54),"")</f>
        <v/>
      </c>
      <c r="G54" s="139" t="str">
        <f>IF(54=54,IF($B54="","",AM54),"")</f>
        <v/>
      </c>
      <c r="H54" s="139" t="str">
        <f>IF(54=54,IF($B54="","",IF(ISNUMBER(SEARCH(" colin ",$AA54)),"X",AZ54)),"")</f>
        <v/>
      </c>
      <c r="I54" s="139" t="str">
        <f>IF(54=54,IF($B54="","",BB54),"")</f>
        <v/>
      </c>
      <c r="J54" s="139" t="str">
        <f>IF(54=54,IF($B54="","",BF54),"")</f>
        <v/>
      </c>
      <c r="K54" s="139" t="str">
        <f>IF(54=54,IF($B54="","",BM54),"")</f>
        <v>?</v>
      </c>
      <c r="L54" s="139" t="str">
        <f>IF(54=54,IF($B54="","",BQ54),"")</f>
        <v/>
      </c>
      <c r="M54" s="139" t="str">
        <f>IF(54=54,IF($B54="","",BT54),"")</f>
        <v/>
      </c>
      <c r="N54" s="139" t="str">
        <f>IF(54=54,IF($B54="","",BW54),"")</f>
        <v/>
      </c>
      <c r="O54" s="139" t="str">
        <f>IF(54=54,IF($B54="","",BZ54),"")</f>
        <v/>
      </c>
      <c r="P54" s="139" t="str">
        <f>IF(54=54,IF($B54="","",CC54),"")</f>
        <v/>
      </c>
      <c r="Q54" s="139" t="str">
        <f>IF(54=54,IF($B54="","",CF54),"")</f>
        <v/>
      </c>
      <c r="R54" s="139" t="str">
        <f>IF(54=54,IF($B54="","",CL54),"")</f>
        <v/>
      </c>
      <c r="S54" s="140" t="str">
        <f>IF(54=54,IF($B54="","",IF(E54="?",""&amp;"Céréales contenant du gluten","")&amp;IF(F54="?",IF(COUNTIF($E54:$E54,"~?")&gt;0,", ","")&amp;"Crustacés","")&amp;IF(G54="?",IF(COUNTIF($E54:$F54,"~?")&gt;0,", ","")&amp;"Œufs","")&amp;IF(H54="?",IF(COUNTIF($E54:$G54,"~?")&gt;0,", ","")&amp;"Poissons","")&amp;IF(I54="?",IF(COUNTIF($E54:$H54,"~?")&gt;0,", ","")&amp;"Arachides","")&amp;IF(J54="?",IF(COUNTIF($E54:$I54,"~?")&gt;0,", ","")&amp;"Soja","")&amp;IF(K54="?",IF(COUNTIF($E54:$J54,"~?")&gt;0,", ","")&amp;"Lait","")&amp;IF(L54="?",IF(COUNTIF($E54:$K54,"~?")&gt;0,", ","")&amp;"Fruits à coque","")&amp;IF(M54="?",IF(COUNTIF($E54:$L54,"~?")&gt;0,", ","")&amp;"Céleri","")&amp;IF(N54="?",IF(COUNTIF($E54:$M54,"~?")&gt;0,", ","")&amp;"Moutarde","")&amp;IF(O54="?",IF(COUNTIF($E54:$N54,"~?")&gt;0,", ","")&amp;"Sésame","")&amp;IF(P54="?",IF(COUNTIF($E54:$O54,"~?")&gt;0,", ","")&amp;"Sulfites","")&amp;IF(Q54="?",IF(COUNTIF($E54:$P54,"~?")&gt;0,", ","")&amp;"Lupin","")&amp;IF(R54="?",IF(COUNTIF($E54:$Q54,"~?")&gt;0,", ","")&amp;"Mollusques","")),"")</f>
        <v>Lait</v>
      </c>
      <c r="U54" s="93" t="str">
        <f>IF(54=54,IF($B54="","",$B54),"")</f>
        <v>Purée de pomme de terre</v>
      </c>
      <c r="V54" s="93" t="str">
        <f>IF(54=54,LOWER(CLEAN(SUBSTITUTE(SUBSTITUTE(SUBSTITUTE(SUBSTITUTE($U54,CHAR(160)," ")," "," "),CHAR(10)," "),CHAR(13)," "))),"")</f>
        <v>purée de pomme de terre</v>
      </c>
      <c r="W54" s="93" t="str">
        <f>IF(54=54,SUBSTITUTE(SUBSTITUTE(SUBSTITUTE(SUBSTITUTE(SUBSTITUTE(SUBSTITUTE(SUBSTITUTE(SUBSTITUTE(SUBSTITUTE(SUBSTITUTE(SUBSTITUTE(SUBSTITUTE($V54,"œ","oe"),"æ","ae"),"à","a"),"á","a"),"â","a"),"ä","a"),"ã","a"),"ç","c"),"è","e"),"é","e"),"ê","e"),"ë","e"),"")</f>
        <v>puree de pomme de terre</v>
      </c>
      <c r="X54" s="93" t="str">
        <f>IF(54=54,SUBSTITUTE(SUBSTITUTE(SUBSTITUTE(SUBSTITUTE(SUBSTITUTE(SUBSTITUTE(SUBSTITUTE(SUBSTITUTE(SUBSTITUTE(SUBSTITUTE(SUBSTITUTE(SUBSTITUTE(SUBSTITUTE(SUBSTITUTE(SUBSTITUTE(SUBSTITUTE($W54,"ì","i"),"í","i"),"î","i"),"ï","i"),"ñ","n"),"ò","o"),"ó","o"),"ô","o"),"ö","o"),"õ","o"),"ù","u"),"ú","u"),"û","u"),"ü","u"),"ý","y"),"ÿ","y"),"")</f>
        <v>puree de pomme de terre</v>
      </c>
      <c r="Y54" s="93" t="str">
        <f>IF(54=54,SUBSTITUTE(SUBSTITUTE(SUBSTITUTE(SUBSTITUTE(SUBSTITUTE(SUBSTITUTE(SUBSTITUTE(SUBSTITUTE(SUBSTITUTE(SUBSTITUTE(SUBSTITUTE(SUBSTITUTE(SUBSTITUTE(SUBSTITUTE($X54,"’"," "),"`"," "),"–"," "),"—"," "),"-"," "),"'"," "),"/"," "),"_"," "),","," "),"."," "),"("," "),")"," "),";"," "),":"," "),"")</f>
        <v>puree de pomme de terre</v>
      </c>
      <c r="Z54" s="93" t="str">
        <f>IF(54=54,SUBSTITUTE(SUBSTITUTE(SUBSTITUTE(SUBSTITUTE(SUBSTITUTE(SUBSTITUTE(SUBSTITUTE(SUBSTITUTE(SUBSTITUTE(SUBSTITUTE(SUBSTITUTE(SUBSTITUTE(SUBSTITUTE(SUBSTITUTE(SUBSTITUTE($Y54,"!"," "),"?"," "),"+"," "),"*"," "),"&amp;"," "),"["," "),"]"," "),"{"," "),"}"," "),"%"," "),"="," "),"\"," "),"|"," "),"&lt;"," "),"&gt;"," "),"")</f>
        <v>puree de pomme de terre</v>
      </c>
      <c r="AA54" s="93" t="str">
        <f>IF(54=54," "&amp;TRIM(SUBSTITUTE(SUBSTITUTE(SUBSTITUTE(SUBSTITUTE(SUBSTITUTE(SUBSTITUTE($Z54,CHAR(34)," "),"  "," "),"  "," "),"  "," "),"  "," "),"  "," "))&amp;" ","")</f>
        <v xml:space="preserve"> puree de pomme de terre </v>
      </c>
      <c r="AB54" s="93">
        <f>IF(54=54,IF($U54="","",SUMPRODUCT(--ISNUMBER(SEARCH(" "&amp;$CR$2:$CR$101&amp;" ",$AD54)))),"")</f>
        <v>0</v>
      </c>
      <c r="AC54" s="93">
        <f>IF(54=54,IF($U54="","",SUMPRODUCT(--ISNUMBER(SEARCH(" "&amp;$CR$102:$CR$151&amp;" ",$AD54)))),"")</f>
        <v>0</v>
      </c>
      <c r="AD54" s="93" t="str">
        <f t="shared" si="1"/>
        <v xml:space="preserve"> puree de pomme de terre </v>
      </c>
      <c r="AE54" s="93">
        <f t="shared" si="2"/>
        <v>0</v>
      </c>
      <c r="AF54" s="93" t="str">
        <f>IF(54=54,IF($U54="","",IF(SUM(AB54:AC54)+SUMPRODUCT(--ISNUMBER(SEARCH(" "&amp;$CR$2418:$CR$2420&amp;" ",$AD54)))&gt;0,"X",IF(AE54&gt;0,"?",""))),"")</f>
        <v/>
      </c>
      <c r="AG54" s="93">
        <f>IF(54=54,IF($U54="","",SUMPRODUCT(--ISNUMBER(SEARCH(" "&amp;$CR$206:$CR$305&amp;" ",$AA54)))),"")</f>
        <v>0</v>
      </c>
      <c r="AH54" s="93">
        <f>IF(54=54,IF($U54="","",SUMPRODUCT(--ISNUMBER(SEARCH(" "&amp;$CR$306:$CR$340&amp;" ",$AA54)))),"")</f>
        <v>0</v>
      </c>
      <c r="AI54" s="93" t="str">
        <f>IF(54=54,IF($U54="","",IF((SUM(AG54:AH54))-(0)&gt;0,"X",IF((0)-(0)&gt;0,"?",""))),"")</f>
        <v/>
      </c>
      <c r="AJ54" s="93">
        <f>IF(54=54,IF($U54="","",SUMPRODUCT(--ISNUMBER(SEARCH(" "&amp;$CR$341:$CR$398&amp;" ",$AA54)))),"")</f>
        <v>0</v>
      </c>
      <c r="AK54" s="93">
        <f>IF(54=54,IF($U54="","",SUMPRODUCT(--ISNUMBER(SEARCH(" "&amp;$CR$399:$CR$426&amp;" ",$AL54)))+SUMPRODUCT(--ISNUMBER(SEARCH(" "&amp;$CR$2440:$CR$2453&amp;" ",$AL54)))),"")</f>
        <v>0</v>
      </c>
      <c r="AL54" s="93" t="str">
        <f>IF(54=54,IF($U54="","",SUBSTITUTE(SUBSTITUTE(SUBSTITUTE(SUBSTITUTE(SUBSTITUTE(SUBSTITUTE(SUBSTITUTE(SUBSTITUTE(SUBSTITUTE(SUBSTITUTE(SUBSTITUTE(SUBSTITUTE(SUBSTITUTE(SUBSTITUTE($AA54," "&amp;$CR$2455&amp;" "," ")," "&amp;$CR$433&amp;" "," ")," "&amp;$CR$431&amp;" "," ")," "&amp;$CR$2438&amp;" "," ")," "&amp;$CR$2439&amp;" "," ")," "&amp;$CR$428&amp;" "," ")," "&amp;$CR$432&amp;" "," ")," "&amp;$CR$434&amp;" "," ")," "&amp;$CR$429&amp;" "," ")," "&amp;$CR$427&amp;" "," ")," "&amp;$CR$1367&amp;" "," ")," "&amp;$CR$435&amp;" "," ")," "&amp;$CR$1366&amp;" "," ")," "&amp;$CR$430&amp;" "," ")),"")</f>
        <v xml:space="preserve"> puree de pomme de terre </v>
      </c>
      <c r="AM54" s="93" t="str">
        <f>IF(54=54,IF($U54="","",IF(AJ54&gt;0,"X",IF(AK54&gt;0,"?",""))),"")</f>
        <v/>
      </c>
      <c r="AN54" s="93">
        <f>IF(54=54,IF($U54="","",SUMPRODUCT(--ISNUMBER(SEARCH(" "&amp;$CR$436:$CR$535&amp;" ",$AX54)))),"")</f>
        <v>0</v>
      </c>
      <c r="AO54" s="93">
        <f>IF(54=54,IF($U54="","",SUMPRODUCT(--ISNUMBER(SEARCH(" "&amp;$CR$536:$CR$635&amp;" ",$AX54)))),"")</f>
        <v>0</v>
      </c>
      <c r="AP54" s="93">
        <f>IF(54=54,IF($U54="","",SUMPRODUCT(--ISNUMBER(SEARCH(" "&amp;$CR$636:$CR$735&amp;" ",$AX54)))),"")</f>
        <v>0</v>
      </c>
      <c r="AQ54" s="93">
        <f>IF(54=54,IF($U54="","",SUMPRODUCT(--ISNUMBER(SEARCH(" "&amp;$CR$736:$CR$835&amp;" ",$AX54)))),"")</f>
        <v>0</v>
      </c>
      <c r="AR54" s="93">
        <f>IF(54=54,IF($U54="","",SUMPRODUCT(--ISNUMBER(SEARCH(" "&amp;$CR$836:$CR$935&amp;" ",$AX54)))),"")</f>
        <v>0</v>
      </c>
      <c r="AS54" s="93">
        <f>IF(54=54,IF($U54="","",SUMPRODUCT(--ISNUMBER(SEARCH(" "&amp;$CR$936:$CR$1035&amp;" ",$AX54)))),"")</f>
        <v>0</v>
      </c>
      <c r="AT54" s="93">
        <f>IF(54=54,IF($U54="","",SUMPRODUCT(--ISNUMBER(SEARCH(" "&amp;$CR$1036:$CR$1135&amp;" ",$AX54)))),"")</f>
        <v>0</v>
      </c>
      <c r="AU54" s="93">
        <f>IF(54=54,IF($U54="","",SUMPRODUCT(--ISNUMBER(SEARCH(" "&amp;$CR$1136:$CR$1235&amp;" ",$AX54)))),"")</f>
        <v>0</v>
      </c>
      <c r="AV54" s="93">
        <f>IF(54=54,IF($U54="","",SUMPRODUCT(--ISNUMBER(SEARCH(" "&amp;$CR$1236:$CR$1335&amp;" ",$AX54)))),"")</f>
        <v>0</v>
      </c>
      <c r="AW54" s="93">
        <f>IF(54=54,IF($U54="","",SUMPRODUCT(--ISNUMBER(SEARCH(" "&amp;$CR$1336:$CR$1363&amp;" ",$AX54)))),"")</f>
        <v>0</v>
      </c>
      <c r="AX54" s="93" t="str">
        <f>IF(54=54,IF($U54="","",SUBSTITUTE(SUBSTITUTE(SUBSTITUTE(SUBSTITUTE(SUBSTITUTE(SUBSTITUTE(SUBSTITUTE(SUBSTITUTE(SUBSTITUTE($AA54," "&amp;$CR$1365&amp;" "," ")," "&amp;$CR$1364&amp;" "," ")," "&amp;$CR$1370&amp;" "," ")," "&amp;$CR$1371&amp;" "," ")," "&amp;$CR$1367&amp;" "," ")," "&amp;$CR$1369&amp;" "," ")," "&amp;$CR$1366&amp;" "," ")," "&amp;$CR$1368&amp;" "," ")," "&amp;$CR$1372&amp;" "," ")),"")</f>
        <v xml:space="preserve"> puree de pomme de terre </v>
      </c>
      <c r="AY54" s="93">
        <f>IF(54=54,IF($U54="","",SUMPRODUCT(--ISNUMBER(SEARCH(" "&amp;$CR$1373:$CR$1383&amp;" ",$AX54)))),"")</f>
        <v>0</v>
      </c>
      <c r="AZ54" s="93" t="str">
        <f>IF(54=54,IF($U54="","",IF(SUM(AN54:AW54)+SUMPRODUCT(--ISNUMBER(SEARCH(" "&amp;$CR$2421:$CR$2422&amp;" ",$AX54)))&gt;0,"X",IF(AY54&gt;0,"?",""))),"")</f>
        <v/>
      </c>
      <c r="BA54" s="93">
        <f>IF(54=54,IF($U54="","",SUMPRODUCT(--ISNUMBER(SEARCH(" "&amp;$CR$1384:$CR$1404&amp;" ",$AA54)))),"")</f>
        <v>0</v>
      </c>
      <c r="BB54" s="93" t="str">
        <f>IF(54=54,IF($U54="","",IF((BA54)-(0)&gt;0,"X",IF((0)-(0)&gt;0,"?",""))),"")</f>
        <v/>
      </c>
      <c r="BC54" s="93">
        <f>IF(54=54,IF($U54="","",SUMPRODUCT(--ISNUMBER(SEARCH(" "&amp;$CR$1405:$CR$1442&amp;" ",$BD54)))),"")</f>
        <v>0</v>
      </c>
      <c r="BD54" s="93" t="str">
        <f>IF(54=54,IF($U54="","",SUBSTITUTE(SUBSTITUTE($AA54," "&amp;$CR$1443&amp;" "," ")," "&amp;$CR$1444&amp;" "," ")),"")</f>
        <v xml:space="preserve"> puree de pomme de terre </v>
      </c>
      <c r="BE54" s="93">
        <f>IF(54=54,IF($U54="","",SUMPRODUCT(--ISNUMBER(SEARCH(" "&amp;$CR$1445:$CR$1455&amp;" ",$BD54)))),"")</f>
        <v>0</v>
      </c>
      <c r="BF54" s="93" t="str">
        <f>IF(54=54,IF($U54="","",IF(BC54&gt;0,"X",IF(BE54&gt;0,"?",""))),"")</f>
        <v/>
      </c>
      <c r="BG54" s="93">
        <f>IF(54=54,IF($U54="","",SUMPRODUCT(--ISNUMBER(SEARCH(" "&amp;$CR$1456:$CR$1555&amp;" ",$BJ54)))),"")</f>
        <v>0</v>
      </c>
      <c r="BH54" s="93">
        <f>IF(54=54,IF($U54="","",SUMPRODUCT(--ISNUMBER(SEARCH(" "&amp;$CR$1556:$CR$1655&amp;" ",$BJ54)))),"")</f>
        <v>0</v>
      </c>
      <c r="BI54" s="93">
        <f>IF(54=54,IF($U54="","",SUMPRODUCT(--ISNUMBER(SEARCH(" "&amp;$CR$1656:$CR$1739&amp;" ",$BJ54)))),"")</f>
        <v>0</v>
      </c>
      <c r="BJ54" s="93" t="str">
        <f>IF(54=54,IF($U54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54,"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puree de pomme de terre </v>
      </c>
      <c r="BK54" s="93">
        <f>IF(54=54,IF($U54="","",SUMPRODUCT(--ISNUMBER(SEARCH(" "&amp;$CR$1790:$CR$1869&amp;" ",$BL54)))+SUMPRODUCT(--ISNUMBER(SEARCH(" "&amp;$CR$2440:$CR$2453&amp;" ",$BL54)))),"")</f>
        <v>1</v>
      </c>
      <c r="BL54" s="93" t="str">
        <f>IF(54=54,IF($U54="","",SUBSTITUTE(SUBSTITUTE(SUBSTITUTE(SUBSTITUTE(SUBSTITUTE(SUBSTITUTE(SUBSTITUTE(SUBSTITUTE(SUBSTITUTE(SUBSTITUTE(SUBSTITUTE(SUBSTITUTE(SUBSTITUTE($BJ54," "&amp;$CR$1876&amp;" "," ")," "&amp;$CR$1874&amp;" "," ")," "&amp;$CR$2438&amp;" "," ")," "&amp;$CR$2439&amp;" "," ")," "&amp;$CR$1871&amp;" "," ")," "&amp;$CR$1875&amp;" "," ")," "&amp;$CR$1877&amp;" "," ")," "&amp;$CR$1872&amp;" "," ")," "&amp;$CR$1870&amp;" "," ")," "&amp;$CR$1367&amp;" "," ")," "&amp;$CR$1878&amp;" "," ")," "&amp;$CR$1366&amp;" "," ")," "&amp;$CR$1873&amp;" "," ")),"")</f>
        <v xml:space="preserve"> puree de pomme de terre </v>
      </c>
      <c r="BM54" s="93" t="str">
        <f>IF(54=54,IF($U54="","",IF(SUM(BG54:BI54)+SUMPRODUCT(--ISNUMBER(SEARCH(" "&amp;$CR$2423:$CR$2424&amp;" ",$BJ54)))&gt;0,"X",IF(BK54&gt;0,"?",""))),"")</f>
        <v>?</v>
      </c>
      <c r="BN54" s="93">
        <f>IF(54=54,IF($U54="","",SUMPRODUCT(--ISNUMBER(SEARCH(" "&amp;$CR$1879:$CR$1936&amp;" ",$BO54)))),"")</f>
        <v>0</v>
      </c>
      <c r="BO54" s="93" t="str">
        <f>IF(54=54,IF($U54="","",SUBSTITUTE(SUBSTITUTE(SUBSTITUTE(SUBSTITUTE(SUBSTITUTE(SUBSTITUTE(SUBSTITUTE(SUBSTITUTE(SUBSTITUTE(SUBSTITUTE(SUBSTITUTE(SUBSTITUTE(SUBSTITUTE(SUBSTITUTE(SUBSTITUTE(SUBSTITUTE(SUBSTITUTE(SUBSTITUTE(SUBSTITUTE(SUBSTITUTE(SUBSTITUTE(SUBSTITUTE(SUBSTITUTE($AA54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puree de pomme de terre </v>
      </c>
      <c r="BP54" s="93">
        <f>IF(54=54,IF($U54="","",SUMPRODUCT(--ISNUMBER(SEARCH(" "&amp;$CR$1960:$CR$1976&amp;" ",$BO54)))),"")</f>
        <v>0</v>
      </c>
      <c r="BQ54" s="93" t="str">
        <f>IF(54=54,IF($U54="","",IF(BN54&gt;0,"X",IF(BP54&gt;0,"?",""))),"")</f>
        <v/>
      </c>
      <c r="BR54" s="93">
        <f>IF(54=54,IF($U54="","",SUMPRODUCT(--ISNUMBER(SEARCH(" "&amp;$CR$1977:$CR$1990&amp;" ",$AA54)))),"")</f>
        <v>0</v>
      </c>
      <c r="BS54" s="93">
        <f>IF(54=54,IF($U54="","",SUMPRODUCT(--ISNUMBER(SEARCH(" "&amp;$CR$1991:$CR$2005&amp;" ",$AA54)))),"")</f>
        <v>0</v>
      </c>
      <c r="BT54" s="93" t="str">
        <f>IF(54=54,IF($U54="","",IF((BR54)-(0)&gt;0,"X",IF((BS54)-(0)&gt;0,"?",""))),"")</f>
        <v/>
      </c>
      <c r="BU54" s="93">
        <f>IF(54=54,IF($U54="","",SUMPRODUCT(--ISNUMBER(SEARCH(" "&amp;$CR$2006:$CR$2023&amp;" ",$AA54)))),"")</f>
        <v>0</v>
      </c>
      <c r="BV54" s="93">
        <f>IF(54=54,IF($U54="","",SUMPRODUCT(--ISNUMBER(SEARCH(" "&amp;$CR$2024:$CR$2038&amp;" ",$AA54)))),"")</f>
        <v>0</v>
      </c>
      <c r="BW54" s="93" t="str">
        <f>IF(54=54,IF($U54="","",IF((BU54)-(0)&gt;0,"X",IF((BV54)-(0)&gt;0,"?",""))),"")</f>
        <v/>
      </c>
      <c r="BX54" s="93">
        <f>IF(54=54,IF($U54="","",SUMPRODUCT(--ISNUMBER(SEARCH(" "&amp;$CR$2039:$CR$2057&amp;" ",$AA54)))),"")</f>
        <v>0</v>
      </c>
      <c r="BY54" s="93">
        <f>IF(54=54,IF($U54="","",SUMPRODUCT(--ISNUMBER(SEARCH(" "&amp;$CR$2058:$CR$2072&amp;" ",$AA54)))),"")</f>
        <v>0</v>
      </c>
      <c r="BZ54" s="93" t="str">
        <f>IF(54=54,IF($U54="","",IF((BX54)-(0)&gt;0,"X",IF((BY54)-(0)&gt;0,"?",""))),"")</f>
        <v/>
      </c>
      <c r="CA54" s="93">
        <f>IF(54=54,IF($U54="","",SUMPRODUCT(--ISNUMBER(SEARCH(" "&amp;$CR$2073:$CR$2093&amp;" ",$AA54)))),"")</f>
        <v>0</v>
      </c>
      <c r="CB54" s="93">
        <f>IF(54=54,IF($U54="","",SUMPRODUCT(--ISNUMBER(SEARCH(" "&amp;$CR$2094:$CR$2133&amp;" ",SUBSTITUTE(SUBSTITUTE($AA54," "&amp;$CR$1367&amp;" "," ")," "&amp;$CR$1366&amp;" "," "))))+--ISNUMBER(SEARCH("poiré",$V54))),"")</f>
        <v>0</v>
      </c>
      <c r="CC54" s="93" t="str">
        <f>IF(54=54,IF($U54="","",IF(OR(CA54&gt;0,ISNUMBER(SEARCH(" vinaigre de vin ",$AA54)),ISNUMBER(SEARCH(" vinaigre au vin ",$AA54))),"X",IF(CB54&gt;0,"?",""))),"")</f>
        <v/>
      </c>
      <c r="CD54" s="93">
        <f>IF(54=54,IF($U54="","",SUMPRODUCT(--ISNUMBER(SEARCH(" "&amp;$CR$2134:$CR$2146&amp;" ",$AA54)))),"")</f>
        <v>0</v>
      </c>
      <c r="CE54" s="93">
        <f>IF(54=54,IF($U54="","",SUMPRODUCT(--ISNUMBER(SEARCH(" "&amp;$CR$2147:$CR$2152&amp;" ",$AA54)))),"")</f>
        <v>0</v>
      </c>
      <c r="CF54" s="93" t="str">
        <f>IF(54=54,IF($U54="","",IF((CD54)-(0)&gt;0,"X",IF((CE54)-(0)&gt;0,"?",""))),"")</f>
        <v/>
      </c>
      <c r="CG54" s="93">
        <f>IF(54=54,IF($U54="","",SUMPRODUCT(--ISNUMBER(SEARCH(" "&amp;$CR$2153:$CR$2252&amp;" ",$CJ54)))),"")</f>
        <v>0</v>
      </c>
      <c r="CH54" s="93">
        <f>IF(54=54,IF($U54="","",SUMPRODUCT(--ISNUMBER(SEARCH(" "&amp;$CR$2253:$CR$2352&amp;" ",$CJ54)))),"")</f>
        <v>0</v>
      </c>
      <c r="CI54" s="93">
        <f>IF(54=54,IF($U54="","",SUMPRODUCT(--ISNUMBER(SEARCH(" "&amp;$CR$2353:$CR$2395&amp;" ",$CJ54)))),"")</f>
        <v>0</v>
      </c>
      <c r="CJ54" s="93" t="str">
        <f>IF(54=54,IF($U54="","",SUBSTITUTE(SUBSTITUTE(SUBSTITUTE(SUBSTITUTE(SUBSTITUTE(SUBSTITUTE(SUBSTITUTE(SUBSTITUTE(SUBSTITUTE(SUBSTITUTE(SUBSTITUTE(SUBSTITUTE(SUBSTITUTE(SUBSTITUTE(SUBSTITUTE(SUBSTITUTE($AA54," "&amp;$CR$2401&amp;" "," ")," "&amp;$CR$2400&amp;" "," ")," "&amp;$CR$2399&amp;" "," ")," "&amp;$CR$2406&amp;" "," ")," "&amp;$CR$2398&amp;" "," ")," "&amp;$CR$2410&amp;" "," ")," "&amp;$CR$2397&amp;" "," ")," "&amp;$CR$2402&amp;" "," ")," "&amp;$CR$2405&amp;" "," ")," "&amp;$CR$2396&amp;" "," ")," "&amp;$CR$2404&amp;" "," ")," "&amp;$CR$2411&amp;" "," ")," "&amp;$CR$2408&amp;" "," ")," "&amp;$CR$2403&amp;" "," ")," "&amp;$CR$2407&amp;" "," ")," "&amp;$CR$2409&amp;" "," ")),"")</f>
        <v xml:space="preserve"> puree de pomme de terre </v>
      </c>
      <c r="CK54" s="93">
        <f>IF(54=54,IF($U54="","",SUMPRODUCT(--ISNUMBER(SEARCH(" "&amp;$CR$2412:$CR$2416&amp;" ",$CJ54)))),"")</f>
        <v>0</v>
      </c>
      <c r="CL54" s="93" t="str">
        <f>IF(54=54,IF($U54="","",IF(SUM(CG54:CI54)&gt;0,"X",IF(CK54&gt;0,"?",""))),"")</f>
        <v/>
      </c>
      <c r="CM54" s="102"/>
      <c r="CN54" s="112" t="s">
        <v>730</v>
      </c>
      <c r="CO54" s="112" t="s">
        <v>522</v>
      </c>
      <c r="CP54" s="112" t="s">
        <v>523</v>
      </c>
      <c r="CQ54" s="112" t="s">
        <v>731</v>
      </c>
      <c r="CR54" s="112" t="s">
        <v>731</v>
      </c>
      <c r="CS54" s="112" t="s">
        <v>525</v>
      </c>
      <c r="CT54" s="112" t="s">
        <v>526</v>
      </c>
      <c r="CU54" s="112" t="s">
        <v>527</v>
      </c>
      <c r="CV54" s="113" t="s">
        <v>528</v>
      </c>
      <c r="CX54" s="36">
        <v>1</v>
      </c>
    </row>
    <row r="55" spans="1:102" ht="21" customHeight="1" x14ac:dyDescent="0.25">
      <c r="A55" s="135">
        <v>49</v>
      </c>
      <c r="B55" s="136" t="s">
        <v>5883</v>
      </c>
      <c r="C55" s="137" t="str">
        <f t="shared" si="0"/>
        <v>Spigol, rizdor, etc</v>
      </c>
      <c r="D55" s="138" t="str">
        <f>IF(55=55,IF($B55="","",IF(E55="X",""&amp;"Céréales contenant du gluten","")&amp;IF(F55="X",IF(COUNTIF($E55:$E55,"X")&gt;0,", ","")&amp;"Crustacés","")&amp;IF(G55="X",IF(COUNTIF($E55:$F55,"X")&gt;0,", ","")&amp;"Œufs","")&amp;IF(H55="X",IF(COUNTIF($E55:$G55,"X")&gt;0,", ","")&amp;"Poissons","")&amp;IF(I55="X",IF(COUNTIF($E55:$H55,"X")&gt;0,", ","")&amp;"Arachides","")&amp;IF(J55="X",IF(COUNTIF($E55:$I55,"X")&gt;0,", ","")&amp;"Soja","")&amp;IF(K55="X",IF(COUNTIF($E55:$J55,"X")&gt;0,", ","")&amp;"Lait","")&amp;IF(L55="X",IF(COUNTIF($E55:$K55,"X")&gt;0,", ","")&amp;"Fruits à coque","")&amp;IF(M55="X",IF(COUNTIF($E55:$L55,"X")&gt;0,", ","")&amp;"Céleri","")&amp;IF(N55="X",IF(COUNTIF($E55:$M55,"X")&gt;0,", ","")&amp;"Moutarde","")&amp;IF(O55="X",IF(COUNTIF($E55:$N55,"X")&gt;0,", ","")&amp;"Sésame","")&amp;IF(P55="X",IF(COUNTIF($E55:$O55,"X")&gt;0,", ","")&amp;"Sulfites","")&amp;IF(Q55="X",IF(COUNTIF($E55:$P55,"X")&gt;0,", ","")&amp;"Lupin","")&amp;IF(R55="X",IF(COUNTIF($E55:$Q55,"X")&gt;0,", ","")&amp;"Mollusques","")),"")</f>
        <v/>
      </c>
      <c r="E55" s="139" t="str">
        <f>IF(55=55,IF($B55="","",AF55),"")</f>
        <v/>
      </c>
      <c r="F55" s="139" t="str">
        <f>IF(55=55,IF($B55="","",AI55),"")</f>
        <v/>
      </c>
      <c r="G55" s="139" t="str">
        <f>IF(55=55,IF($B55="","",AM55),"")</f>
        <v/>
      </c>
      <c r="H55" s="139" t="str">
        <f>IF(55=55,IF($B55="","",IF(ISNUMBER(SEARCH(" colin ",$AA55)),"X",AZ55)),"")</f>
        <v/>
      </c>
      <c r="I55" s="139" t="str">
        <f>IF(55=55,IF($B55="","",BB55),"")</f>
        <v/>
      </c>
      <c r="J55" s="139" t="str">
        <f>IF(55=55,IF($B55="","",BF55),"")</f>
        <v/>
      </c>
      <c r="K55" s="139" t="str">
        <f>IF(55=55,IF($B55="","",BM55),"")</f>
        <v/>
      </c>
      <c r="L55" s="139" t="str">
        <f>IF(55=55,IF($B55="","",BQ55),"")</f>
        <v/>
      </c>
      <c r="M55" s="139" t="str">
        <f>IF(55=55,IF($B55="","",BT55),"")</f>
        <v/>
      </c>
      <c r="N55" s="139" t="str">
        <f>IF(55=55,IF($B55="","",BW55),"")</f>
        <v/>
      </c>
      <c r="O55" s="139" t="str">
        <f>IF(55=55,IF($B55="","",BZ55),"")</f>
        <v/>
      </c>
      <c r="P55" s="139" t="str">
        <f>IF(55=55,IF($B55="","",CC55),"")</f>
        <v/>
      </c>
      <c r="Q55" s="139" t="str">
        <f>IF(55=55,IF($B55="","",CF55),"")</f>
        <v/>
      </c>
      <c r="R55" s="139" t="str">
        <f>IF(55=55,IF($B55="","",CL55),"")</f>
        <v/>
      </c>
      <c r="S55" s="140" t="str">
        <f>IF(55=55,IF($B55="","",IF(E55="?",""&amp;"Céréales contenant du gluten","")&amp;IF(F55="?",IF(COUNTIF($E55:$E55,"~?")&gt;0,", ","")&amp;"Crustacés","")&amp;IF(G55="?",IF(COUNTIF($E55:$F55,"~?")&gt;0,", ","")&amp;"Œufs","")&amp;IF(H55="?",IF(COUNTIF($E55:$G55,"~?")&gt;0,", ","")&amp;"Poissons","")&amp;IF(I55="?",IF(COUNTIF($E55:$H55,"~?")&gt;0,", ","")&amp;"Arachides","")&amp;IF(J55="?",IF(COUNTIF($E55:$I55,"~?")&gt;0,", ","")&amp;"Soja","")&amp;IF(K55="?",IF(COUNTIF($E55:$J55,"~?")&gt;0,", ","")&amp;"Lait","")&amp;IF(L55="?",IF(COUNTIF($E55:$K55,"~?")&gt;0,", ","")&amp;"Fruits à coque","")&amp;IF(M55="?",IF(COUNTIF($E55:$L55,"~?")&gt;0,", ","")&amp;"Céleri","")&amp;IF(N55="?",IF(COUNTIF($E55:$M55,"~?")&gt;0,", ","")&amp;"Moutarde","")&amp;IF(O55="?",IF(COUNTIF($E55:$N55,"~?")&gt;0,", ","")&amp;"Sésame","")&amp;IF(P55="?",IF(COUNTIF($E55:$O55,"~?")&gt;0,", ","")&amp;"Sulfites","")&amp;IF(Q55="?",IF(COUNTIF($E55:$P55,"~?")&gt;0,", ","")&amp;"Lupin","")&amp;IF(R55="?",IF(COUNTIF($E55:$Q55,"~?")&gt;0,", ","")&amp;"Mollusques","")),"")</f>
        <v/>
      </c>
      <c r="U55" s="93" t="str">
        <f>IF(55=55,IF($B55="","",$B55),"")</f>
        <v>Spigol, rizdor, etc</v>
      </c>
      <c r="V55" s="93" t="str">
        <f>IF(55=55,LOWER(CLEAN(SUBSTITUTE(SUBSTITUTE(SUBSTITUTE(SUBSTITUTE($U55,CHAR(160)," ")," "," "),CHAR(10)," "),CHAR(13)," "))),"")</f>
        <v>spigol, rizdor, etc</v>
      </c>
      <c r="W55" s="93" t="str">
        <f>IF(55=55,SUBSTITUTE(SUBSTITUTE(SUBSTITUTE(SUBSTITUTE(SUBSTITUTE(SUBSTITUTE(SUBSTITUTE(SUBSTITUTE(SUBSTITUTE(SUBSTITUTE(SUBSTITUTE(SUBSTITUTE($V55,"œ","oe"),"æ","ae"),"à","a"),"á","a"),"â","a"),"ä","a"),"ã","a"),"ç","c"),"è","e"),"é","e"),"ê","e"),"ë","e"),"")</f>
        <v>spigol, rizdor, etc</v>
      </c>
      <c r="X55" s="93" t="str">
        <f>IF(55=55,SUBSTITUTE(SUBSTITUTE(SUBSTITUTE(SUBSTITUTE(SUBSTITUTE(SUBSTITUTE(SUBSTITUTE(SUBSTITUTE(SUBSTITUTE(SUBSTITUTE(SUBSTITUTE(SUBSTITUTE(SUBSTITUTE(SUBSTITUTE(SUBSTITUTE(SUBSTITUTE($W55,"ì","i"),"í","i"),"î","i"),"ï","i"),"ñ","n"),"ò","o"),"ó","o"),"ô","o"),"ö","o"),"õ","o"),"ù","u"),"ú","u"),"û","u"),"ü","u"),"ý","y"),"ÿ","y"),"")</f>
        <v>spigol, rizdor, etc</v>
      </c>
      <c r="Y55" s="93" t="str">
        <f>IF(55=55,SUBSTITUTE(SUBSTITUTE(SUBSTITUTE(SUBSTITUTE(SUBSTITUTE(SUBSTITUTE(SUBSTITUTE(SUBSTITUTE(SUBSTITUTE(SUBSTITUTE(SUBSTITUTE(SUBSTITUTE(SUBSTITUTE(SUBSTITUTE($X55,"’"," "),"`"," "),"–"," "),"—"," "),"-"," "),"'"," "),"/"," "),"_"," "),","," "),"."," "),"("," "),")"," "),";"," "),":"," "),"")</f>
        <v>spigol  rizdor  etc</v>
      </c>
      <c r="Z55" s="93" t="str">
        <f>IF(55=55,SUBSTITUTE(SUBSTITUTE(SUBSTITUTE(SUBSTITUTE(SUBSTITUTE(SUBSTITUTE(SUBSTITUTE(SUBSTITUTE(SUBSTITUTE(SUBSTITUTE(SUBSTITUTE(SUBSTITUTE(SUBSTITUTE(SUBSTITUTE(SUBSTITUTE($Y55,"!"," "),"?"," "),"+"," "),"*"," "),"&amp;"," "),"["," "),"]"," "),"{"," "),"}"," "),"%"," "),"="," "),"\"," "),"|"," "),"&lt;"," "),"&gt;"," "),"")</f>
        <v>spigol  rizdor  etc</v>
      </c>
      <c r="AA55" s="93" t="str">
        <f>IF(55=55," "&amp;TRIM(SUBSTITUTE(SUBSTITUTE(SUBSTITUTE(SUBSTITUTE(SUBSTITUTE(SUBSTITUTE($Z55,CHAR(34)," "),"  "," "),"  "," "),"  "," "),"  "," "),"  "," "))&amp;" ","")</f>
        <v xml:space="preserve"> spigol rizdor etc </v>
      </c>
      <c r="AB55" s="93">
        <f>IF(55=55,IF($U55="","",SUMPRODUCT(--ISNUMBER(SEARCH(" "&amp;$CR$2:$CR$101&amp;" ",$AD55)))),"")</f>
        <v>0</v>
      </c>
      <c r="AC55" s="93">
        <f>IF(55=55,IF($U55="","",SUMPRODUCT(--ISNUMBER(SEARCH(" "&amp;$CR$102:$CR$151&amp;" ",$AD55)))),"")</f>
        <v>0</v>
      </c>
      <c r="AD55" s="93" t="str">
        <f t="shared" si="1"/>
        <v xml:space="preserve"> spigol rizdor etc </v>
      </c>
      <c r="AE55" s="93">
        <f t="shared" si="2"/>
        <v>0</v>
      </c>
      <c r="AF55" s="93" t="str">
        <f>IF(55=55,IF($U55="","",IF(SUM(AB55:AC55)+SUMPRODUCT(--ISNUMBER(SEARCH(" "&amp;$CR$2418:$CR$2420&amp;" ",$AD55)))&gt;0,"X",IF(AE55&gt;0,"?",""))),"")</f>
        <v/>
      </c>
      <c r="AG55" s="93">
        <f>IF(55=55,IF($U55="","",SUMPRODUCT(--ISNUMBER(SEARCH(" "&amp;$CR$206:$CR$305&amp;" ",$AA55)))),"")</f>
        <v>0</v>
      </c>
      <c r="AH55" s="93">
        <f>IF(55=55,IF($U55="","",SUMPRODUCT(--ISNUMBER(SEARCH(" "&amp;$CR$306:$CR$340&amp;" ",$AA55)))),"")</f>
        <v>0</v>
      </c>
      <c r="AI55" s="93" t="str">
        <f>IF(55=55,IF($U55="","",IF((SUM(AG55:AH55))-(0)&gt;0,"X",IF((0)-(0)&gt;0,"?",""))),"")</f>
        <v/>
      </c>
      <c r="AJ55" s="93">
        <f>IF(55=55,IF($U55="","",SUMPRODUCT(--ISNUMBER(SEARCH(" "&amp;$CR$341:$CR$398&amp;" ",$AA55)))),"")</f>
        <v>0</v>
      </c>
      <c r="AK55" s="93">
        <f>IF(55=55,IF($U55="","",SUMPRODUCT(--ISNUMBER(SEARCH(" "&amp;$CR$399:$CR$426&amp;" ",$AL55)))+SUMPRODUCT(--ISNUMBER(SEARCH(" "&amp;$CR$2440:$CR$2453&amp;" ",$AL55)))),"")</f>
        <v>0</v>
      </c>
      <c r="AL55" s="93" t="str">
        <f>IF(55=55,IF($U55="","",SUBSTITUTE(SUBSTITUTE(SUBSTITUTE(SUBSTITUTE(SUBSTITUTE(SUBSTITUTE(SUBSTITUTE(SUBSTITUTE(SUBSTITUTE(SUBSTITUTE(SUBSTITUTE(SUBSTITUTE(SUBSTITUTE(SUBSTITUTE($AA55," "&amp;$CR$2455&amp;" "," ")," "&amp;$CR$433&amp;" "," ")," "&amp;$CR$431&amp;" "," ")," "&amp;$CR$2438&amp;" "," ")," "&amp;$CR$2439&amp;" "," ")," "&amp;$CR$428&amp;" "," ")," "&amp;$CR$432&amp;" "," ")," "&amp;$CR$434&amp;" "," ")," "&amp;$CR$429&amp;" "," ")," "&amp;$CR$427&amp;" "," ")," "&amp;$CR$1367&amp;" "," ")," "&amp;$CR$435&amp;" "," ")," "&amp;$CR$1366&amp;" "," ")," "&amp;$CR$430&amp;" "," ")),"")</f>
        <v xml:space="preserve"> spigol rizdor etc </v>
      </c>
      <c r="AM55" s="93" t="str">
        <f>IF(55=55,IF($U55="","",IF(AJ55&gt;0,"X",IF(AK55&gt;0,"?",""))),"")</f>
        <v/>
      </c>
      <c r="AN55" s="93">
        <f>IF(55=55,IF($U55="","",SUMPRODUCT(--ISNUMBER(SEARCH(" "&amp;$CR$436:$CR$535&amp;" ",$AX55)))),"")</f>
        <v>0</v>
      </c>
      <c r="AO55" s="93">
        <f>IF(55=55,IF($U55="","",SUMPRODUCT(--ISNUMBER(SEARCH(" "&amp;$CR$536:$CR$635&amp;" ",$AX55)))),"")</f>
        <v>0</v>
      </c>
      <c r="AP55" s="93">
        <f>IF(55=55,IF($U55="","",SUMPRODUCT(--ISNUMBER(SEARCH(" "&amp;$CR$636:$CR$735&amp;" ",$AX55)))),"")</f>
        <v>0</v>
      </c>
      <c r="AQ55" s="93">
        <f>IF(55=55,IF($U55="","",SUMPRODUCT(--ISNUMBER(SEARCH(" "&amp;$CR$736:$CR$835&amp;" ",$AX55)))),"")</f>
        <v>0</v>
      </c>
      <c r="AR55" s="93">
        <f>IF(55=55,IF($U55="","",SUMPRODUCT(--ISNUMBER(SEARCH(" "&amp;$CR$836:$CR$935&amp;" ",$AX55)))),"")</f>
        <v>0</v>
      </c>
      <c r="AS55" s="93">
        <f>IF(55=55,IF($U55="","",SUMPRODUCT(--ISNUMBER(SEARCH(" "&amp;$CR$936:$CR$1035&amp;" ",$AX55)))),"")</f>
        <v>0</v>
      </c>
      <c r="AT55" s="93">
        <f>IF(55=55,IF($U55="","",SUMPRODUCT(--ISNUMBER(SEARCH(" "&amp;$CR$1036:$CR$1135&amp;" ",$AX55)))),"")</f>
        <v>0</v>
      </c>
      <c r="AU55" s="93">
        <f>IF(55=55,IF($U55="","",SUMPRODUCT(--ISNUMBER(SEARCH(" "&amp;$CR$1136:$CR$1235&amp;" ",$AX55)))),"")</f>
        <v>0</v>
      </c>
      <c r="AV55" s="93">
        <f>IF(55=55,IF($U55="","",SUMPRODUCT(--ISNUMBER(SEARCH(" "&amp;$CR$1236:$CR$1335&amp;" ",$AX55)))),"")</f>
        <v>0</v>
      </c>
      <c r="AW55" s="93">
        <f>IF(55=55,IF($U55="","",SUMPRODUCT(--ISNUMBER(SEARCH(" "&amp;$CR$1336:$CR$1363&amp;" ",$AX55)))),"")</f>
        <v>0</v>
      </c>
      <c r="AX55" s="93" t="str">
        <f>IF(55=55,IF($U55="","",SUBSTITUTE(SUBSTITUTE(SUBSTITUTE(SUBSTITUTE(SUBSTITUTE(SUBSTITUTE(SUBSTITUTE(SUBSTITUTE(SUBSTITUTE($AA55," "&amp;$CR$1365&amp;" "," ")," "&amp;$CR$1364&amp;" "," ")," "&amp;$CR$1370&amp;" "," ")," "&amp;$CR$1371&amp;" "," ")," "&amp;$CR$1367&amp;" "," ")," "&amp;$CR$1369&amp;" "," ")," "&amp;$CR$1366&amp;" "," ")," "&amp;$CR$1368&amp;" "," ")," "&amp;$CR$1372&amp;" "," ")),"")</f>
        <v xml:space="preserve"> spigol rizdor etc </v>
      </c>
      <c r="AY55" s="93">
        <f>IF(55=55,IF($U55="","",SUMPRODUCT(--ISNUMBER(SEARCH(" "&amp;$CR$1373:$CR$1383&amp;" ",$AX55)))),"")</f>
        <v>0</v>
      </c>
      <c r="AZ55" s="93" t="str">
        <f>IF(55=55,IF($U55="","",IF(SUM(AN55:AW55)+SUMPRODUCT(--ISNUMBER(SEARCH(" "&amp;$CR$2421:$CR$2422&amp;" ",$AX55)))&gt;0,"X",IF(AY55&gt;0,"?",""))),"")</f>
        <v/>
      </c>
      <c r="BA55" s="93">
        <f>IF(55=55,IF($U55="","",SUMPRODUCT(--ISNUMBER(SEARCH(" "&amp;$CR$1384:$CR$1404&amp;" ",$AA55)))),"")</f>
        <v>0</v>
      </c>
      <c r="BB55" s="93" t="str">
        <f>IF(55=55,IF($U55="","",IF((BA55)-(0)&gt;0,"X",IF((0)-(0)&gt;0,"?",""))),"")</f>
        <v/>
      </c>
      <c r="BC55" s="93">
        <f>IF(55=55,IF($U55="","",SUMPRODUCT(--ISNUMBER(SEARCH(" "&amp;$CR$1405:$CR$1442&amp;" ",$BD55)))),"")</f>
        <v>0</v>
      </c>
      <c r="BD55" s="93" t="str">
        <f>IF(55=55,IF($U55="","",SUBSTITUTE(SUBSTITUTE($AA55," "&amp;$CR$1443&amp;" "," ")," "&amp;$CR$1444&amp;" "," ")),"")</f>
        <v xml:space="preserve"> spigol rizdor etc </v>
      </c>
      <c r="BE55" s="93">
        <f>IF(55=55,IF($U55="","",SUMPRODUCT(--ISNUMBER(SEARCH(" "&amp;$CR$1445:$CR$1455&amp;" ",$BD55)))),"")</f>
        <v>0</v>
      </c>
      <c r="BF55" s="93" t="str">
        <f>IF(55=55,IF($U55="","",IF(BC55&gt;0,"X",IF(BE55&gt;0,"?",""))),"")</f>
        <v/>
      </c>
      <c r="BG55" s="93">
        <f>IF(55=55,IF($U55="","",SUMPRODUCT(--ISNUMBER(SEARCH(" "&amp;$CR$1456:$CR$1555&amp;" ",$BJ55)))),"")</f>
        <v>0</v>
      </c>
      <c r="BH55" s="93">
        <f>IF(55=55,IF($U55="","",SUMPRODUCT(--ISNUMBER(SEARCH(" "&amp;$CR$1556:$CR$1655&amp;" ",$BJ55)))),"")</f>
        <v>0</v>
      </c>
      <c r="BI55" s="93">
        <f>IF(55=55,IF($U55="","",SUMPRODUCT(--ISNUMBER(SEARCH(" "&amp;$CR$1656:$CR$1739&amp;" ",$BJ55)))),"")</f>
        <v>0</v>
      </c>
      <c r="BJ55" s="93" t="str">
        <f>IF(55=55,IF($U55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55,"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spigol rizdor etc </v>
      </c>
      <c r="BK55" s="93">
        <f>IF(55=55,IF($U55="","",SUMPRODUCT(--ISNUMBER(SEARCH(" "&amp;$CR$1790:$CR$1869&amp;" ",$BL55)))+SUMPRODUCT(--ISNUMBER(SEARCH(" "&amp;$CR$2440:$CR$2453&amp;" ",$BL55)))),"")</f>
        <v>0</v>
      </c>
      <c r="BL55" s="93" t="str">
        <f>IF(55=55,IF($U55="","",SUBSTITUTE(SUBSTITUTE(SUBSTITUTE(SUBSTITUTE(SUBSTITUTE(SUBSTITUTE(SUBSTITUTE(SUBSTITUTE(SUBSTITUTE(SUBSTITUTE(SUBSTITUTE(SUBSTITUTE(SUBSTITUTE($BJ55," "&amp;$CR$1876&amp;" "," ")," "&amp;$CR$1874&amp;" "," ")," "&amp;$CR$2438&amp;" "," ")," "&amp;$CR$2439&amp;" "," ")," "&amp;$CR$1871&amp;" "," ")," "&amp;$CR$1875&amp;" "," ")," "&amp;$CR$1877&amp;" "," ")," "&amp;$CR$1872&amp;" "," ")," "&amp;$CR$1870&amp;" "," ")," "&amp;$CR$1367&amp;" "," ")," "&amp;$CR$1878&amp;" "," ")," "&amp;$CR$1366&amp;" "," ")," "&amp;$CR$1873&amp;" "," ")),"")</f>
        <v xml:space="preserve"> spigol rizdor etc </v>
      </c>
      <c r="BM55" s="93" t="str">
        <f>IF(55=55,IF($U55="","",IF(SUM(BG55:BI55)+SUMPRODUCT(--ISNUMBER(SEARCH(" "&amp;$CR$2423:$CR$2424&amp;" ",$BJ55)))&gt;0,"X",IF(BK55&gt;0,"?",""))),"")</f>
        <v/>
      </c>
      <c r="BN55" s="93">
        <f>IF(55=55,IF($U55="","",SUMPRODUCT(--ISNUMBER(SEARCH(" "&amp;$CR$1879:$CR$1936&amp;" ",$BO55)))),"")</f>
        <v>0</v>
      </c>
      <c r="BO55" s="93" t="str">
        <f>IF(55=55,IF($U55="","",SUBSTITUTE(SUBSTITUTE(SUBSTITUTE(SUBSTITUTE(SUBSTITUTE(SUBSTITUTE(SUBSTITUTE(SUBSTITUTE(SUBSTITUTE(SUBSTITUTE(SUBSTITUTE(SUBSTITUTE(SUBSTITUTE(SUBSTITUTE(SUBSTITUTE(SUBSTITUTE(SUBSTITUTE(SUBSTITUTE(SUBSTITUTE(SUBSTITUTE(SUBSTITUTE(SUBSTITUTE(SUBSTITUTE($AA55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spigol rizdor etc </v>
      </c>
      <c r="BP55" s="93">
        <f>IF(55=55,IF($U55="","",SUMPRODUCT(--ISNUMBER(SEARCH(" "&amp;$CR$1960:$CR$1976&amp;" ",$BO55)))),"")</f>
        <v>0</v>
      </c>
      <c r="BQ55" s="93" t="str">
        <f>IF(55=55,IF($U55="","",IF(BN55&gt;0,"X",IF(BP55&gt;0,"?",""))),"")</f>
        <v/>
      </c>
      <c r="BR55" s="93">
        <f>IF(55=55,IF($U55="","",SUMPRODUCT(--ISNUMBER(SEARCH(" "&amp;$CR$1977:$CR$1990&amp;" ",$AA55)))),"")</f>
        <v>0</v>
      </c>
      <c r="BS55" s="93">
        <f>IF(55=55,IF($U55="","",SUMPRODUCT(--ISNUMBER(SEARCH(" "&amp;$CR$1991:$CR$2005&amp;" ",$AA55)))),"")</f>
        <v>0</v>
      </c>
      <c r="BT55" s="93" t="str">
        <f>IF(55=55,IF($U55="","",IF((BR55)-(0)&gt;0,"X",IF((BS55)-(0)&gt;0,"?",""))),"")</f>
        <v/>
      </c>
      <c r="BU55" s="93">
        <f>IF(55=55,IF($U55="","",SUMPRODUCT(--ISNUMBER(SEARCH(" "&amp;$CR$2006:$CR$2023&amp;" ",$AA55)))),"")</f>
        <v>0</v>
      </c>
      <c r="BV55" s="93">
        <f>IF(55=55,IF($U55="","",SUMPRODUCT(--ISNUMBER(SEARCH(" "&amp;$CR$2024:$CR$2038&amp;" ",$AA55)))),"")</f>
        <v>0</v>
      </c>
      <c r="BW55" s="93" t="str">
        <f>IF(55=55,IF($U55="","",IF((BU55)-(0)&gt;0,"X",IF((BV55)-(0)&gt;0,"?",""))),"")</f>
        <v/>
      </c>
      <c r="BX55" s="93">
        <f>IF(55=55,IF($U55="","",SUMPRODUCT(--ISNUMBER(SEARCH(" "&amp;$CR$2039:$CR$2057&amp;" ",$AA55)))),"")</f>
        <v>0</v>
      </c>
      <c r="BY55" s="93">
        <f>IF(55=55,IF($U55="","",SUMPRODUCT(--ISNUMBER(SEARCH(" "&amp;$CR$2058:$CR$2072&amp;" ",$AA55)))),"")</f>
        <v>0</v>
      </c>
      <c r="BZ55" s="93" t="str">
        <f>IF(55=55,IF($U55="","",IF((BX55)-(0)&gt;0,"X",IF((BY55)-(0)&gt;0,"?",""))),"")</f>
        <v/>
      </c>
      <c r="CA55" s="93">
        <f>IF(55=55,IF($U55="","",SUMPRODUCT(--ISNUMBER(SEARCH(" "&amp;$CR$2073:$CR$2093&amp;" ",$AA55)))),"")</f>
        <v>0</v>
      </c>
      <c r="CB55" s="93">
        <f>IF(55=55,IF($U55="","",SUMPRODUCT(--ISNUMBER(SEARCH(" "&amp;$CR$2094:$CR$2133&amp;" ",SUBSTITUTE(SUBSTITUTE($AA55," "&amp;$CR$1367&amp;" "," ")," "&amp;$CR$1366&amp;" "," "))))+--ISNUMBER(SEARCH("poiré",$V55))),"")</f>
        <v>0</v>
      </c>
      <c r="CC55" s="93" t="str">
        <f>IF(55=55,IF($U55="","",IF(OR(CA55&gt;0,ISNUMBER(SEARCH(" vinaigre de vin ",$AA55)),ISNUMBER(SEARCH(" vinaigre au vin ",$AA55))),"X",IF(CB55&gt;0,"?",""))),"")</f>
        <v/>
      </c>
      <c r="CD55" s="93">
        <f>IF(55=55,IF($U55="","",SUMPRODUCT(--ISNUMBER(SEARCH(" "&amp;$CR$2134:$CR$2146&amp;" ",$AA55)))),"")</f>
        <v>0</v>
      </c>
      <c r="CE55" s="93">
        <f>IF(55=55,IF($U55="","",SUMPRODUCT(--ISNUMBER(SEARCH(" "&amp;$CR$2147:$CR$2152&amp;" ",$AA55)))),"")</f>
        <v>0</v>
      </c>
      <c r="CF55" s="93" t="str">
        <f>IF(55=55,IF($U55="","",IF((CD55)-(0)&gt;0,"X",IF((CE55)-(0)&gt;0,"?",""))),"")</f>
        <v/>
      </c>
      <c r="CG55" s="93">
        <f>IF(55=55,IF($U55="","",SUMPRODUCT(--ISNUMBER(SEARCH(" "&amp;$CR$2153:$CR$2252&amp;" ",$CJ55)))),"")</f>
        <v>0</v>
      </c>
      <c r="CH55" s="93">
        <f>IF(55=55,IF($U55="","",SUMPRODUCT(--ISNUMBER(SEARCH(" "&amp;$CR$2253:$CR$2352&amp;" ",$CJ55)))),"")</f>
        <v>0</v>
      </c>
      <c r="CI55" s="93">
        <f>IF(55=55,IF($U55="","",SUMPRODUCT(--ISNUMBER(SEARCH(" "&amp;$CR$2353:$CR$2395&amp;" ",$CJ55)))),"")</f>
        <v>0</v>
      </c>
      <c r="CJ55" s="93" t="str">
        <f>IF(55=55,IF($U55="","",SUBSTITUTE(SUBSTITUTE(SUBSTITUTE(SUBSTITUTE(SUBSTITUTE(SUBSTITUTE(SUBSTITUTE(SUBSTITUTE(SUBSTITUTE(SUBSTITUTE(SUBSTITUTE(SUBSTITUTE(SUBSTITUTE(SUBSTITUTE(SUBSTITUTE(SUBSTITUTE($AA55," "&amp;$CR$2401&amp;" "," ")," "&amp;$CR$2400&amp;" "," ")," "&amp;$CR$2399&amp;" "," ")," "&amp;$CR$2406&amp;" "," ")," "&amp;$CR$2398&amp;" "," ")," "&amp;$CR$2410&amp;" "," ")," "&amp;$CR$2397&amp;" "," ")," "&amp;$CR$2402&amp;" "," ")," "&amp;$CR$2405&amp;" "," ")," "&amp;$CR$2396&amp;" "," ")," "&amp;$CR$2404&amp;" "," ")," "&amp;$CR$2411&amp;" "," ")," "&amp;$CR$2408&amp;" "," ")," "&amp;$CR$2403&amp;" "," ")," "&amp;$CR$2407&amp;" "," ")," "&amp;$CR$2409&amp;" "," ")),"")</f>
        <v xml:space="preserve"> spigol rizdor etc </v>
      </c>
      <c r="CK55" s="93">
        <f>IF(55=55,IF($U55="","",SUMPRODUCT(--ISNUMBER(SEARCH(" "&amp;$CR$2412:$CR$2416&amp;" ",$CJ55)))),"")</f>
        <v>0</v>
      </c>
      <c r="CL55" s="93" t="str">
        <f>IF(55=55,IF($U55="","",IF(SUM(CG55:CI55)&gt;0,"X",IF(CK55&gt;0,"?",""))),"")</f>
        <v/>
      </c>
      <c r="CM55" s="102"/>
      <c r="CN55" s="112" t="s">
        <v>732</v>
      </c>
      <c r="CO55" s="112" t="s">
        <v>522</v>
      </c>
      <c r="CP55" s="112" t="s">
        <v>523</v>
      </c>
      <c r="CQ55" s="112" t="s">
        <v>733</v>
      </c>
      <c r="CR55" s="112" t="s">
        <v>733</v>
      </c>
      <c r="CS55" s="112" t="s">
        <v>525</v>
      </c>
      <c r="CT55" s="112" t="s">
        <v>526</v>
      </c>
      <c r="CU55" s="112" t="s">
        <v>527</v>
      </c>
      <c r="CV55" s="113" t="s">
        <v>528</v>
      </c>
      <c r="CX55" s="36">
        <v>1</v>
      </c>
    </row>
    <row r="56" spans="1:102" ht="21" customHeight="1" x14ac:dyDescent="0.25">
      <c r="A56" s="135">
        <v>50</v>
      </c>
      <c r="B56" s="136" t="s">
        <v>5884</v>
      </c>
      <c r="C56" s="137" t="str">
        <f t="shared" si="0"/>
        <v>Tomates fraîches ou en cubes surgelés</v>
      </c>
      <c r="D56" s="138" t="str">
        <f>IF(56=56,IF($B56="","",IF(E56="X",""&amp;"Céréales contenant du gluten","")&amp;IF(F56="X",IF(COUNTIF($E56:$E56,"X")&gt;0,", ","")&amp;"Crustacés","")&amp;IF(G56="X",IF(COUNTIF($E56:$F56,"X")&gt;0,", ","")&amp;"Œufs","")&amp;IF(H56="X",IF(COUNTIF($E56:$G56,"X")&gt;0,", ","")&amp;"Poissons","")&amp;IF(I56="X",IF(COUNTIF($E56:$H56,"X")&gt;0,", ","")&amp;"Arachides","")&amp;IF(J56="X",IF(COUNTIF($E56:$I56,"X")&gt;0,", ","")&amp;"Soja","")&amp;IF(K56="X",IF(COUNTIF($E56:$J56,"X")&gt;0,", ","")&amp;"Lait","")&amp;IF(L56="X",IF(COUNTIF($E56:$K56,"X")&gt;0,", ","")&amp;"Fruits à coque","")&amp;IF(M56="X",IF(COUNTIF($E56:$L56,"X")&gt;0,", ","")&amp;"Céleri","")&amp;IF(N56="X",IF(COUNTIF($E56:$M56,"X")&gt;0,", ","")&amp;"Moutarde","")&amp;IF(O56="X",IF(COUNTIF($E56:$N56,"X")&gt;0,", ","")&amp;"Sésame","")&amp;IF(P56="X",IF(COUNTIF($E56:$O56,"X")&gt;0,", ","")&amp;"Sulfites","")&amp;IF(Q56="X",IF(COUNTIF($E56:$P56,"X")&gt;0,", ","")&amp;"Lupin","")&amp;IF(R56="X",IF(COUNTIF($E56:$Q56,"X")&gt;0,", ","")&amp;"Mollusques","")),"")</f>
        <v/>
      </c>
      <c r="E56" s="139" t="str">
        <f>IF(56=56,IF($B56="","",AF56),"")</f>
        <v/>
      </c>
      <c r="F56" s="139" t="str">
        <f>IF(56=56,IF($B56="","",AI56),"")</f>
        <v/>
      </c>
      <c r="G56" s="139" t="str">
        <f>IF(56=56,IF($B56="","",AM56),"")</f>
        <v/>
      </c>
      <c r="H56" s="139" t="str">
        <f>IF(56=56,IF($B56="","",IF(ISNUMBER(SEARCH(" colin ",$AA56)),"X",AZ56)),"")</f>
        <v/>
      </c>
      <c r="I56" s="139" t="str">
        <f>IF(56=56,IF($B56="","",BB56),"")</f>
        <v/>
      </c>
      <c r="J56" s="139" t="str">
        <f>IF(56=56,IF($B56="","",BF56),"")</f>
        <v/>
      </c>
      <c r="K56" s="139" t="str">
        <f>IF(56=56,IF($B56="","",BM56),"")</f>
        <v/>
      </c>
      <c r="L56" s="139" t="str">
        <f>IF(56=56,IF($B56="","",BQ56),"")</f>
        <v/>
      </c>
      <c r="M56" s="139" t="str">
        <f>IF(56=56,IF($B56="","",BT56),"")</f>
        <v/>
      </c>
      <c r="N56" s="139" t="str">
        <f>IF(56=56,IF($B56="","",BW56),"")</f>
        <v/>
      </c>
      <c r="O56" s="139" t="str">
        <f>IF(56=56,IF($B56="","",BZ56),"")</f>
        <v/>
      </c>
      <c r="P56" s="139" t="str">
        <f>IF(56=56,IF($B56="","",CC56),"")</f>
        <v/>
      </c>
      <c r="Q56" s="139" t="str">
        <f>IF(56=56,IF($B56="","",CF56),"")</f>
        <v/>
      </c>
      <c r="R56" s="139" t="str">
        <f>IF(56=56,IF($B56="","",CL56),"")</f>
        <v/>
      </c>
      <c r="S56" s="140" t="str">
        <f>IF(56=56,IF($B56="","",IF(E56="?",""&amp;"Céréales contenant du gluten","")&amp;IF(F56="?",IF(COUNTIF($E56:$E56,"~?")&gt;0,", ","")&amp;"Crustacés","")&amp;IF(G56="?",IF(COUNTIF($E56:$F56,"~?")&gt;0,", ","")&amp;"Œufs","")&amp;IF(H56="?",IF(COUNTIF($E56:$G56,"~?")&gt;0,", ","")&amp;"Poissons","")&amp;IF(I56="?",IF(COUNTIF($E56:$H56,"~?")&gt;0,", ","")&amp;"Arachides","")&amp;IF(J56="?",IF(COUNTIF($E56:$I56,"~?")&gt;0,", ","")&amp;"Soja","")&amp;IF(K56="?",IF(COUNTIF($E56:$J56,"~?")&gt;0,", ","")&amp;"Lait","")&amp;IF(L56="?",IF(COUNTIF($E56:$K56,"~?")&gt;0,", ","")&amp;"Fruits à coque","")&amp;IF(M56="?",IF(COUNTIF($E56:$L56,"~?")&gt;0,", ","")&amp;"Céleri","")&amp;IF(N56="?",IF(COUNTIF($E56:$M56,"~?")&gt;0,", ","")&amp;"Moutarde","")&amp;IF(O56="?",IF(COUNTIF($E56:$N56,"~?")&gt;0,", ","")&amp;"Sésame","")&amp;IF(P56="?",IF(COUNTIF($E56:$O56,"~?")&gt;0,", ","")&amp;"Sulfites","")&amp;IF(Q56="?",IF(COUNTIF($E56:$P56,"~?")&gt;0,", ","")&amp;"Lupin","")&amp;IF(R56="?",IF(COUNTIF($E56:$Q56,"~?")&gt;0,", ","")&amp;"Mollusques","")),"")</f>
        <v/>
      </c>
      <c r="U56" s="93" t="str">
        <f>IF(56=56,IF($B56="","",$B56),"")</f>
        <v>Tomates fraîches ou en cubes surgelés</v>
      </c>
      <c r="V56" s="93" t="str">
        <f>IF(56=56,LOWER(CLEAN(SUBSTITUTE(SUBSTITUTE(SUBSTITUTE(SUBSTITUTE($U56,CHAR(160)," ")," "," "),CHAR(10)," "),CHAR(13)," "))),"")</f>
        <v>tomates fraîches ou en cubes surgelés</v>
      </c>
      <c r="W56" s="93" t="str">
        <f>IF(56=56,SUBSTITUTE(SUBSTITUTE(SUBSTITUTE(SUBSTITUTE(SUBSTITUTE(SUBSTITUTE(SUBSTITUTE(SUBSTITUTE(SUBSTITUTE(SUBSTITUTE(SUBSTITUTE(SUBSTITUTE($V56,"œ","oe"),"æ","ae"),"à","a"),"á","a"),"â","a"),"ä","a"),"ã","a"),"ç","c"),"è","e"),"é","e"),"ê","e"),"ë","e"),"")</f>
        <v>tomates fraîches ou en cubes surgeles</v>
      </c>
      <c r="X56" s="93" t="str">
        <f>IF(56=56,SUBSTITUTE(SUBSTITUTE(SUBSTITUTE(SUBSTITUTE(SUBSTITUTE(SUBSTITUTE(SUBSTITUTE(SUBSTITUTE(SUBSTITUTE(SUBSTITUTE(SUBSTITUTE(SUBSTITUTE(SUBSTITUTE(SUBSTITUTE(SUBSTITUTE(SUBSTITUTE($W56,"ì","i"),"í","i"),"î","i"),"ï","i"),"ñ","n"),"ò","o"),"ó","o"),"ô","o"),"ö","o"),"õ","o"),"ù","u"),"ú","u"),"û","u"),"ü","u"),"ý","y"),"ÿ","y"),"")</f>
        <v>tomates fraiches ou en cubes surgeles</v>
      </c>
      <c r="Y56" s="93" t="str">
        <f>IF(56=56,SUBSTITUTE(SUBSTITUTE(SUBSTITUTE(SUBSTITUTE(SUBSTITUTE(SUBSTITUTE(SUBSTITUTE(SUBSTITUTE(SUBSTITUTE(SUBSTITUTE(SUBSTITUTE(SUBSTITUTE(SUBSTITUTE(SUBSTITUTE($X56,"’"," "),"`"," "),"–"," "),"—"," "),"-"," "),"'"," "),"/"," "),"_"," "),","," "),"."," "),"("," "),")"," "),";"," "),":"," "),"")</f>
        <v>tomates fraiches ou en cubes surgeles</v>
      </c>
      <c r="Z56" s="93" t="str">
        <f>IF(56=56,SUBSTITUTE(SUBSTITUTE(SUBSTITUTE(SUBSTITUTE(SUBSTITUTE(SUBSTITUTE(SUBSTITUTE(SUBSTITUTE(SUBSTITUTE(SUBSTITUTE(SUBSTITUTE(SUBSTITUTE(SUBSTITUTE(SUBSTITUTE(SUBSTITUTE($Y56,"!"," "),"?"," "),"+"," "),"*"," "),"&amp;"," "),"["," "),"]"," "),"{"," "),"}"," "),"%"," "),"="," "),"\"," "),"|"," "),"&lt;"," "),"&gt;"," "),"")</f>
        <v>tomates fraiches ou en cubes surgeles</v>
      </c>
      <c r="AA56" s="93" t="str">
        <f>IF(56=56," "&amp;TRIM(SUBSTITUTE(SUBSTITUTE(SUBSTITUTE(SUBSTITUTE(SUBSTITUTE(SUBSTITUTE($Z56,CHAR(34)," "),"  "," "),"  "," "),"  "," "),"  "," "),"  "," "))&amp;" ","")</f>
        <v xml:space="preserve"> tomates fraiches ou en cubes surgeles </v>
      </c>
      <c r="AB56" s="93">
        <f>IF(56=56,IF($U56="","",SUMPRODUCT(--ISNUMBER(SEARCH(" "&amp;$CR$2:$CR$101&amp;" ",$AD56)))),"")</f>
        <v>0</v>
      </c>
      <c r="AC56" s="93">
        <f>IF(56=56,IF($U56="","",SUMPRODUCT(--ISNUMBER(SEARCH(" "&amp;$CR$102:$CR$151&amp;" ",$AD56)))),"")</f>
        <v>0</v>
      </c>
      <c r="AD56" s="93" t="str">
        <f t="shared" si="1"/>
        <v xml:space="preserve"> tomates fraiches ou en cubes surgeles </v>
      </c>
      <c r="AE56" s="93">
        <f t="shared" si="2"/>
        <v>0</v>
      </c>
      <c r="AF56" s="93" t="str">
        <f>IF(56=56,IF($U56="","",IF(SUM(AB56:AC56)+SUMPRODUCT(--ISNUMBER(SEARCH(" "&amp;$CR$2418:$CR$2420&amp;" ",$AD56)))&gt;0,"X",IF(AE56&gt;0,"?",""))),"")</f>
        <v/>
      </c>
      <c r="AG56" s="93">
        <f>IF(56=56,IF($U56="","",SUMPRODUCT(--ISNUMBER(SEARCH(" "&amp;$CR$206:$CR$305&amp;" ",$AA56)))),"")</f>
        <v>0</v>
      </c>
      <c r="AH56" s="93">
        <f>IF(56=56,IF($U56="","",SUMPRODUCT(--ISNUMBER(SEARCH(" "&amp;$CR$306:$CR$340&amp;" ",$AA56)))),"")</f>
        <v>0</v>
      </c>
      <c r="AI56" s="93" t="str">
        <f>IF(56=56,IF($U56="","",IF((SUM(AG56:AH56))-(0)&gt;0,"X",IF((0)-(0)&gt;0,"?",""))),"")</f>
        <v/>
      </c>
      <c r="AJ56" s="93">
        <f>IF(56=56,IF($U56="","",SUMPRODUCT(--ISNUMBER(SEARCH(" "&amp;$CR$341:$CR$398&amp;" ",$AA56)))),"")</f>
        <v>0</v>
      </c>
      <c r="AK56" s="93">
        <f>IF(56=56,IF($U56="","",SUMPRODUCT(--ISNUMBER(SEARCH(" "&amp;$CR$399:$CR$426&amp;" ",$AL56)))+SUMPRODUCT(--ISNUMBER(SEARCH(" "&amp;$CR$2440:$CR$2453&amp;" ",$AL56)))),"")</f>
        <v>0</v>
      </c>
      <c r="AL56" s="93" t="str">
        <f>IF(56=56,IF($U56="","",SUBSTITUTE(SUBSTITUTE(SUBSTITUTE(SUBSTITUTE(SUBSTITUTE(SUBSTITUTE(SUBSTITUTE(SUBSTITUTE(SUBSTITUTE(SUBSTITUTE(SUBSTITUTE(SUBSTITUTE(SUBSTITUTE(SUBSTITUTE($AA56," "&amp;$CR$2455&amp;" "," ")," "&amp;$CR$433&amp;" "," ")," "&amp;$CR$431&amp;" "," ")," "&amp;$CR$2438&amp;" "," ")," "&amp;$CR$2439&amp;" "," ")," "&amp;$CR$428&amp;" "," ")," "&amp;$CR$432&amp;" "," ")," "&amp;$CR$434&amp;" "," ")," "&amp;$CR$429&amp;" "," ")," "&amp;$CR$427&amp;" "," ")," "&amp;$CR$1367&amp;" "," ")," "&amp;$CR$435&amp;" "," ")," "&amp;$CR$1366&amp;" "," ")," "&amp;$CR$430&amp;" "," ")),"")</f>
        <v xml:space="preserve"> tomates fraiches ou en cubes surgeles </v>
      </c>
      <c r="AM56" s="93" t="str">
        <f>IF(56=56,IF($U56="","",IF(AJ56&gt;0,"X",IF(AK56&gt;0,"?",""))),"")</f>
        <v/>
      </c>
      <c r="AN56" s="93">
        <f>IF(56=56,IF($U56="","",SUMPRODUCT(--ISNUMBER(SEARCH(" "&amp;$CR$436:$CR$535&amp;" ",$AX56)))),"")</f>
        <v>0</v>
      </c>
      <c r="AO56" s="93">
        <f>IF(56=56,IF($U56="","",SUMPRODUCT(--ISNUMBER(SEARCH(" "&amp;$CR$536:$CR$635&amp;" ",$AX56)))),"")</f>
        <v>0</v>
      </c>
      <c r="AP56" s="93">
        <f>IF(56=56,IF($U56="","",SUMPRODUCT(--ISNUMBER(SEARCH(" "&amp;$CR$636:$CR$735&amp;" ",$AX56)))),"")</f>
        <v>0</v>
      </c>
      <c r="AQ56" s="93">
        <f>IF(56=56,IF($U56="","",SUMPRODUCT(--ISNUMBER(SEARCH(" "&amp;$CR$736:$CR$835&amp;" ",$AX56)))),"")</f>
        <v>0</v>
      </c>
      <c r="AR56" s="93">
        <f>IF(56=56,IF($U56="","",SUMPRODUCT(--ISNUMBER(SEARCH(" "&amp;$CR$836:$CR$935&amp;" ",$AX56)))),"")</f>
        <v>0</v>
      </c>
      <c r="AS56" s="93">
        <f>IF(56=56,IF($U56="","",SUMPRODUCT(--ISNUMBER(SEARCH(" "&amp;$CR$936:$CR$1035&amp;" ",$AX56)))),"")</f>
        <v>0</v>
      </c>
      <c r="AT56" s="93">
        <f>IF(56=56,IF($U56="","",SUMPRODUCT(--ISNUMBER(SEARCH(" "&amp;$CR$1036:$CR$1135&amp;" ",$AX56)))),"")</f>
        <v>0</v>
      </c>
      <c r="AU56" s="93">
        <f>IF(56=56,IF($U56="","",SUMPRODUCT(--ISNUMBER(SEARCH(" "&amp;$CR$1136:$CR$1235&amp;" ",$AX56)))),"")</f>
        <v>0</v>
      </c>
      <c r="AV56" s="93">
        <f>IF(56=56,IF($U56="","",SUMPRODUCT(--ISNUMBER(SEARCH(" "&amp;$CR$1236:$CR$1335&amp;" ",$AX56)))),"")</f>
        <v>0</v>
      </c>
      <c r="AW56" s="93">
        <f>IF(56=56,IF($U56="","",SUMPRODUCT(--ISNUMBER(SEARCH(" "&amp;$CR$1336:$CR$1363&amp;" ",$AX56)))),"")</f>
        <v>0</v>
      </c>
      <c r="AX56" s="93" t="str">
        <f>IF(56=56,IF($U56="","",SUBSTITUTE(SUBSTITUTE(SUBSTITUTE(SUBSTITUTE(SUBSTITUTE(SUBSTITUTE(SUBSTITUTE(SUBSTITUTE(SUBSTITUTE($AA56," "&amp;$CR$1365&amp;" "," ")," "&amp;$CR$1364&amp;" "," ")," "&amp;$CR$1370&amp;" "," ")," "&amp;$CR$1371&amp;" "," ")," "&amp;$CR$1367&amp;" "," ")," "&amp;$CR$1369&amp;" "," ")," "&amp;$CR$1366&amp;" "," ")," "&amp;$CR$1368&amp;" "," ")," "&amp;$CR$1372&amp;" "," ")),"")</f>
        <v xml:space="preserve"> tomates fraiches ou en cubes surgeles </v>
      </c>
      <c r="AY56" s="93">
        <f>IF(56=56,IF($U56="","",SUMPRODUCT(--ISNUMBER(SEARCH(" "&amp;$CR$1373:$CR$1383&amp;" ",$AX56)))),"")</f>
        <v>0</v>
      </c>
      <c r="AZ56" s="93" t="str">
        <f>IF(56=56,IF($U56="","",IF(SUM(AN56:AW56)+SUMPRODUCT(--ISNUMBER(SEARCH(" "&amp;$CR$2421:$CR$2422&amp;" ",$AX56)))&gt;0,"X",IF(AY56&gt;0,"?",""))),"")</f>
        <v/>
      </c>
      <c r="BA56" s="93">
        <f>IF(56=56,IF($U56="","",SUMPRODUCT(--ISNUMBER(SEARCH(" "&amp;$CR$1384:$CR$1404&amp;" ",$AA56)))),"")</f>
        <v>0</v>
      </c>
      <c r="BB56" s="93" t="str">
        <f>IF(56=56,IF($U56="","",IF((BA56)-(0)&gt;0,"X",IF((0)-(0)&gt;0,"?",""))),"")</f>
        <v/>
      </c>
      <c r="BC56" s="93">
        <f>IF(56=56,IF($U56="","",SUMPRODUCT(--ISNUMBER(SEARCH(" "&amp;$CR$1405:$CR$1442&amp;" ",$BD56)))),"")</f>
        <v>0</v>
      </c>
      <c r="BD56" s="93" t="str">
        <f>IF(56=56,IF($U56="","",SUBSTITUTE(SUBSTITUTE($AA56," "&amp;$CR$1443&amp;" "," ")," "&amp;$CR$1444&amp;" "," ")),"")</f>
        <v xml:space="preserve"> tomates fraiches ou en cubes surgeles </v>
      </c>
      <c r="BE56" s="93">
        <f>IF(56=56,IF($U56="","",SUMPRODUCT(--ISNUMBER(SEARCH(" "&amp;$CR$1445:$CR$1455&amp;" ",$BD56)))),"")</f>
        <v>0</v>
      </c>
      <c r="BF56" s="93" t="str">
        <f>IF(56=56,IF($U56="","",IF(BC56&gt;0,"X",IF(BE56&gt;0,"?",""))),"")</f>
        <v/>
      </c>
      <c r="BG56" s="93">
        <f>IF(56=56,IF($U56="","",SUMPRODUCT(--ISNUMBER(SEARCH(" "&amp;$CR$1456:$CR$1555&amp;" ",$BJ56)))),"")</f>
        <v>0</v>
      </c>
      <c r="BH56" s="93">
        <f>IF(56=56,IF($U56="","",SUMPRODUCT(--ISNUMBER(SEARCH(" "&amp;$CR$1556:$CR$1655&amp;" ",$BJ56)))),"")</f>
        <v>0</v>
      </c>
      <c r="BI56" s="93">
        <f>IF(56=56,IF($U56="","",SUMPRODUCT(--ISNUMBER(SEARCH(" "&amp;$CR$1656:$CR$1739&amp;" ",$BJ56)))),"")</f>
        <v>0</v>
      </c>
      <c r="BJ56" s="93" t="str">
        <f>IF(56=56,IF($U56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56,"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tomates fraiches ou en cubes surgeles </v>
      </c>
      <c r="BK56" s="93">
        <f>IF(56=56,IF($U56="","",SUMPRODUCT(--ISNUMBER(SEARCH(" "&amp;$CR$1790:$CR$1869&amp;" ",$BL56)))+SUMPRODUCT(--ISNUMBER(SEARCH(" "&amp;$CR$2440:$CR$2453&amp;" ",$BL56)))),"")</f>
        <v>0</v>
      </c>
      <c r="BL56" s="93" t="str">
        <f>IF(56=56,IF($U56="","",SUBSTITUTE(SUBSTITUTE(SUBSTITUTE(SUBSTITUTE(SUBSTITUTE(SUBSTITUTE(SUBSTITUTE(SUBSTITUTE(SUBSTITUTE(SUBSTITUTE(SUBSTITUTE(SUBSTITUTE(SUBSTITUTE($BJ56," "&amp;$CR$1876&amp;" "," ")," "&amp;$CR$1874&amp;" "," ")," "&amp;$CR$2438&amp;" "," ")," "&amp;$CR$2439&amp;" "," ")," "&amp;$CR$1871&amp;" "," ")," "&amp;$CR$1875&amp;" "," ")," "&amp;$CR$1877&amp;" "," ")," "&amp;$CR$1872&amp;" "," ")," "&amp;$CR$1870&amp;" "," ")," "&amp;$CR$1367&amp;" "," ")," "&amp;$CR$1878&amp;" "," ")," "&amp;$CR$1366&amp;" "," ")," "&amp;$CR$1873&amp;" "," ")),"")</f>
        <v xml:space="preserve"> tomates fraiches ou en cubes surgeles </v>
      </c>
      <c r="BM56" s="93" t="str">
        <f>IF(56=56,IF($U56="","",IF(SUM(BG56:BI56)+SUMPRODUCT(--ISNUMBER(SEARCH(" "&amp;$CR$2423:$CR$2424&amp;" ",$BJ56)))&gt;0,"X",IF(BK56&gt;0,"?",""))),"")</f>
        <v/>
      </c>
      <c r="BN56" s="93">
        <f>IF(56=56,IF($U56="","",SUMPRODUCT(--ISNUMBER(SEARCH(" "&amp;$CR$1879:$CR$1936&amp;" ",$BO56)))),"")</f>
        <v>0</v>
      </c>
      <c r="BO56" s="93" t="str">
        <f>IF(56=56,IF($U56="","",SUBSTITUTE(SUBSTITUTE(SUBSTITUTE(SUBSTITUTE(SUBSTITUTE(SUBSTITUTE(SUBSTITUTE(SUBSTITUTE(SUBSTITUTE(SUBSTITUTE(SUBSTITUTE(SUBSTITUTE(SUBSTITUTE(SUBSTITUTE(SUBSTITUTE(SUBSTITUTE(SUBSTITUTE(SUBSTITUTE(SUBSTITUTE(SUBSTITUTE(SUBSTITUTE(SUBSTITUTE(SUBSTITUTE($AA56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tomates fraiches ou en cubes surgeles </v>
      </c>
      <c r="BP56" s="93">
        <f>IF(56=56,IF($U56="","",SUMPRODUCT(--ISNUMBER(SEARCH(" "&amp;$CR$1960:$CR$1976&amp;" ",$BO56)))),"")</f>
        <v>0</v>
      </c>
      <c r="BQ56" s="93" t="str">
        <f>IF(56=56,IF($U56="","",IF(BN56&gt;0,"X",IF(BP56&gt;0,"?",""))),"")</f>
        <v/>
      </c>
      <c r="BR56" s="93">
        <f>IF(56=56,IF($U56="","",SUMPRODUCT(--ISNUMBER(SEARCH(" "&amp;$CR$1977:$CR$1990&amp;" ",$AA56)))),"")</f>
        <v>0</v>
      </c>
      <c r="BS56" s="93">
        <f>IF(56=56,IF($U56="","",SUMPRODUCT(--ISNUMBER(SEARCH(" "&amp;$CR$1991:$CR$2005&amp;" ",$AA56)))),"")</f>
        <v>0</v>
      </c>
      <c r="BT56" s="93" t="str">
        <f>IF(56=56,IF($U56="","",IF((BR56)-(0)&gt;0,"X",IF((BS56)-(0)&gt;0,"?",""))),"")</f>
        <v/>
      </c>
      <c r="BU56" s="93">
        <f>IF(56=56,IF($U56="","",SUMPRODUCT(--ISNUMBER(SEARCH(" "&amp;$CR$2006:$CR$2023&amp;" ",$AA56)))),"")</f>
        <v>0</v>
      </c>
      <c r="BV56" s="93">
        <f>IF(56=56,IF($U56="","",SUMPRODUCT(--ISNUMBER(SEARCH(" "&amp;$CR$2024:$CR$2038&amp;" ",$AA56)))),"")</f>
        <v>0</v>
      </c>
      <c r="BW56" s="93" t="str">
        <f>IF(56=56,IF($U56="","",IF((BU56)-(0)&gt;0,"X",IF((BV56)-(0)&gt;0,"?",""))),"")</f>
        <v/>
      </c>
      <c r="BX56" s="93">
        <f>IF(56=56,IF($U56="","",SUMPRODUCT(--ISNUMBER(SEARCH(" "&amp;$CR$2039:$CR$2057&amp;" ",$AA56)))),"")</f>
        <v>0</v>
      </c>
      <c r="BY56" s="93">
        <f>IF(56=56,IF($U56="","",SUMPRODUCT(--ISNUMBER(SEARCH(" "&amp;$CR$2058:$CR$2072&amp;" ",$AA56)))),"")</f>
        <v>0</v>
      </c>
      <c r="BZ56" s="93" t="str">
        <f>IF(56=56,IF($U56="","",IF((BX56)-(0)&gt;0,"X",IF((BY56)-(0)&gt;0,"?",""))),"")</f>
        <v/>
      </c>
      <c r="CA56" s="93">
        <f>IF(56=56,IF($U56="","",SUMPRODUCT(--ISNUMBER(SEARCH(" "&amp;$CR$2073:$CR$2093&amp;" ",$AA56)))),"")</f>
        <v>0</v>
      </c>
      <c r="CB56" s="93">
        <f>IF(56=56,IF($U56="","",SUMPRODUCT(--ISNUMBER(SEARCH(" "&amp;$CR$2094:$CR$2133&amp;" ",SUBSTITUTE(SUBSTITUTE($AA56," "&amp;$CR$1367&amp;" "," ")," "&amp;$CR$1366&amp;" "," "))))+--ISNUMBER(SEARCH("poiré",$V56))),"")</f>
        <v>0</v>
      </c>
      <c r="CC56" s="93" t="str">
        <f>IF(56=56,IF($U56="","",IF(OR(CA56&gt;0,ISNUMBER(SEARCH(" vinaigre de vin ",$AA56)),ISNUMBER(SEARCH(" vinaigre au vin ",$AA56))),"X",IF(CB56&gt;0,"?",""))),"")</f>
        <v/>
      </c>
      <c r="CD56" s="93">
        <f>IF(56=56,IF($U56="","",SUMPRODUCT(--ISNUMBER(SEARCH(" "&amp;$CR$2134:$CR$2146&amp;" ",$AA56)))),"")</f>
        <v>0</v>
      </c>
      <c r="CE56" s="93">
        <f>IF(56=56,IF($U56="","",SUMPRODUCT(--ISNUMBER(SEARCH(" "&amp;$CR$2147:$CR$2152&amp;" ",$AA56)))),"")</f>
        <v>0</v>
      </c>
      <c r="CF56" s="93" t="str">
        <f>IF(56=56,IF($U56="","",IF((CD56)-(0)&gt;0,"X",IF((CE56)-(0)&gt;0,"?",""))),"")</f>
        <v/>
      </c>
      <c r="CG56" s="93">
        <f>IF(56=56,IF($U56="","",SUMPRODUCT(--ISNUMBER(SEARCH(" "&amp;$CR$2153:$CR$2252&amp;" ",$CJ56)))),"")</f>
        <v>0</v>
      </c>
      <c r="CH56" s="93">
        <f>IF(56=56,IF($U56="","",SUMPRODUCT(--ISNUMBER(SEARCH(" "&amp;$CR$2253:$CR$2352&amp;" ",$CJ56)))),"")</f>
        <v>0</v>
      </c>
      <c r="CI56" s="93">
        <f>IF(56=56,IF($U56="","",SUMPRODUCT(--ISNUMBER(SEARCH(" "&amp;$CR$2353:$CR$2395&amp;" ",$CJ56)))),"")</f>
        <v>0</v>
      </c>
      <c r="CJ56" s="93" t="str">
        <f>IF(56=56,IF($U56="","",SUBSTITUTE(SUBSTITUTE(SUBSTITUTE(SUBSTITUTE(SUBSTITUTE(SUBSTITUTE(SUBSTITUTE(SUBSTITUTE(SUBSTITUTE(SUBSTITUTE(SUBSTITUTE(SUBSTITUTE(SUBSTITUTE(SUBSTITUTE(SUBSTITUTE(SUBSTITUTE($AA56," "&amp;$CR$2401&amp;" "," ")," "&amp;$CR$2400&amp;" "," ")," "&amp;$CR$2399&amp;" "," ")," "&amp;$CR$2406&amp;" "," ")," "&amp;$CR$2398&amp;" "," ")," "&amp;$CR$2410&amp;" "," ")," "&amp;$CR$2397&amp;" "," ")," "&amp;$CR$2402&amp;" "," ")," "&amp;$CR$2405&amp;" "," ")," "&amp;$CR$2396&amp;" "," ")," "&amp;$CR$2404&amp;" "," ")," "&amp;$CR$2411&amp;" "," ")," "&amp;$CR$2408&amp;" "," ")," "&amp;$CR$2403&amp;" "," ")," "&amp;$CR$2407&amp;" "," ")," "&amp;$CR$2409&amp;" "," ")),"")</f>
        <v xml:space="preserve"> tomates fraiches ou en cubes surgeles </v>
      </c>
      <c r="CK56" s="93">
        <f>IF(56=56,IF($U56="","",SUMPRODUCT(--ISNUMBER(SEARCH(" "&amp;$CR$2412:$CR$2416&amp;" ",$CJ56)))),"")</f>
        <v>0</v>
      </c>
      <c r="CL56" s="93" t="str">
        <f>IF(56=56,IF($U56="","",IF(SUM(CG56:CI56)&gt;0,"X",IF(CK56&gt;0,"?",""))),"")</f>
        <v/>
      </c>
      <c r="CM56" s="102"/>
      <c r="CN56" s="112" t="s">
        <v>734</v>
      </c>
      <c r="CO56" s="112" t="s">
        <v>522</v>
      </c>
      <c r="CP56" s="112" t="s">
        <v>523</v>
      </c>
      <c r="CQ56" s="112" t="s">
        <v>735</v>
      </c>
      <c r="CR56" s="112" t="s">
        <v>735</v>
      </c>
      <c r="CS56" s="112" t="s">
        <v>525</v>
      </c>
      <c r="CT56" s="112" t="s">
        <v>526</v>
      </c>
      <c r="CU56" s="112" t="s">
        <v>527</v>
      </c>
      <c r="CV56" s="113" t="s">
        <v>528</v>
      </c>
      <c r="CX56" s="36">
        <v>1</v>
      </c>
    </row>
    <row r="57" spans="1:102" ht="21" customHeight="1" x14ac:dyDescent="0.25">
      <c r="A57" s="135">
        <v>51</v>
      </c>
      <c r="B57" s="136" t="s">
        <v>5885</v>
      </c>
      <c r="C57" s="137" t="str">
        <f t="shared" si="0"/>
        <v>Vin blanc ?</v>
      </c>
      <c r="D57" s="138" t="str">
        <f>IF(57=57,IF($B57="","",IF(E57="X",""&amp;"Céréales contenant du gluten","")&amp;IF(F57="X",IF(COUNTIF($E57:$E57,"X")&gt;0,", ","")&amp;"Crustacés","")&amp;IF(G57="X",IF(COUNTIF($E57:$F57,"X")&gt;0,", ","")&amp;"Œufs","")&amp;IF(H57="X",IF(COUNTIF($E57:$G57,"X")&gt;0,", ","")&amp;"Poissons","")&amp;IF(I57="X",IF(COUNTIF($E57:$H57,"X")&gt;0,", ","")&amp;"Arachides","")&amp;IF(J57="X",IF(COUNTIF($E57:$I57,"X")&gt;0,", ","")&amp;"Soja","")&amp;IF(K57="X",IF(COUNTIF($E57:$J57,"X")&gt;0,", ","")&amp;"Lait","")&amp;IF(L57="X",IF(COUNTIF($E57:$K57,"X")&gt;0,", ","")&amp;"Fruits à coque","")&amp;IF(M57="X",IF(COUNTIF($E57:$L57,"X")&gt;0,", ","")&amp;"Céleri","")&amp;IF(N57="X",IF(COUNTIF($E57:$M57,"X")&gt;0,", ","")&amp;"Moutarde","")&amp;IF(O57="X",IF(COUNTIF($E57:$N57,"X")&gt;0,", ","")&amp;"Sésame","")&amp;IF(P57="X",IF(COUNTIF($E57:$O57,"X")&gt;0,", ","")&amp;"Sulfites","")&amp;IF(Q57="X",IF(COUNTIF($E57:$P57,"X")&gt;0,", ","")&amp;"Lupin","")&amp;IF(R57="X",IF(COUNTIF($E57:$Q57,"X")&gt;0,", ","")&amp;"Mollusques","")),"")</f>
        <v/>
      </c>
      <c r="E57" s="139" t="str">
        <f>IF(57=57,IF($B57="","",AF57),"")</f>
        <v/>
      </c>
      <c r="F57" s="139" t="str">
        <f>IF(57=57,IF($B57="","",AI57),"")</f>
        <v/>
      </c>
      <c r="G57" s="139" t="str">
        <f>IF(57=57,IF($B57="","",AM57),"")</f>
        <v>?</v>
      </c>
      <c r="H57" s="139" t="str">
        <f>IF(57=57,IF($B57="","",IF(ISNUMBER(SEARCH(" colin ",$AA57)),"X",AZ57)),"")</f>
        <v/>
      </c>
      <c r="I57" s="139" t="str">
        <f>IF(57=57,IF($B57="","",BB57),"")</f>
        <v/>
      </c>
      <c r="J57" s="139" t="str">
        <f>IF(57=57,IF($B57="","",BF57),"")</f>
        <v/>
      </c>
      <c r="K57" s="139" t="str">
        <f>IF(57=57,IF($B57="","",BM57),"")</f>
        <v>?</v>
      </c>
      <c r="L57" s="139" t="str">
        <f>IF(57=57,IF($B57="","",BQ57),"")</f>
        <v/>
      </c>
      <c r="M57" s="139" t="str">
        <f>IF(57=57,IF($B57="","",BT57),"")</f>
        <v/>
      </c>
      <c r="N57" s="139" t="str">
        <f>IF(57=57,IF($B57="","",BW57),"")</f>
        <v/>
      </c>
      <c r="O57" s="139" t="str">
        <f>IF(57=57,IF($B57="","",BZ57),"")</f>
        <v/>
      </c>
      <c r="P57" s="139" t="str">
        <f>IF(57=57,IF($B57="","",CC57),"")</f>
        <v>?</v>
      </c>
      <c r="Q57" s="139" t="str">
        <f>IF(57=57,IF($B57="","",CF57),"")</f>
        <v/>
      </c>
      <c r="R57" s="139" t="str">
        <f>IF(57=57,IF($B57="","",CL57),"")</f>
        <v/>
      </c>
      <c r="S57" s="140" t="str">
        <f>IF(57=57,IF($B57="","",IF(E57="?",""&amp;"Céréales contenant du gluten","")&amp;IF(F57="?",IF(COUNTIF($E57:$E57,"~?")&gt;0,", ","")&amp;"Crustacés","")&amp;IF(G57="?",IF(COUNTIF($E57:$F57,"~?")&gt;0,", ","")&amp;"Œufs","")&amp;IF(H57="?",IF(COUNTIF($E57:$G57,"~?")&gt;0,", ","")&amp;"Poissons","")&amp;IF(I57="?",IF(COUNTIF($E57:$H57,"~?")&gt;0,", ","")&amp;"Arachides","")&amp;IF(J57="?",IF(COUNTIF($E57:$I57,"~?")&gt;0,", ","")&amp;"Soja","")&amp;IF(K57="?",IF(COUNTIF($E57:$J57,"~?")&gt;0,", ","")&amp;"Lait","")&amp;IF(L57="?",IF(COUNTIF($E57:$K57,"~?")&gt;0,", ","")&amp;"Fruits à coque","")&amp;IF(M57="?",IF(COUNTIF($E57:$L57,"~?")&gt;0,", ","")&amp;"Céleri","")&amp;IF(N57="?",IF(COUNTIF($E57:$M57,"~?")&gt;0,", ","")&amp;"Moutarde","")&amp;IF(O57="?",IF(COUNTIF($E57:$N57,"~?")&gt;0,", ","")&amp;"Sésame","")&amp;IF(P57="?",IF(COUNTIF($E57:$O57,"~?")&gt;0,", ","")&amp;"Sulfites","")&amp;IF(Q57="?",IF(COUNTIF($E57:$P57,"~?")&gt;0,", ","")&amp;"Lupin","")&amp;IF(R57="?",IF(COUNTIF($E57:$Q57,"~?")&gt;0,", ","")&amp;"Mollusques","")),"")</f>
        <v>Œufs, Lait, Sulfites</v>
      </c>
      <c r="U57" s="93" t="str">
        <f>IF(57=57,IF($B57="","",$B57),"")</f>
        <v xml:space="preserve">Vin blanc </v>
      </c>
      <c r="V57" s="93" t="str">
        <f>IF(57=57,LOWER(CLEAN(SUBSTITUTE(SUBSTITUTE(SUBSTITUTE(SUBSTITUTE($U57,CHAR(160)," ")," "," "),CHAR(10)," "),CHAR(13)," "))),"")</f>
        <v xml:space="preserve">vin blanc </v>
      </c>
      <c r="W57" s="93" t="str">
        <f>IF(57=57,SUBSTITUTE(SUBSTITUTE(SUBSTITUTE(SUBSTITUTE(SUBSTITUTE(SUBSTITUTE(SUBSTITUTE(SUBSTITUTE(SUBSTITUTE(SUBSTITUTE(SUBSTITUTE(SUBSTITUTE($V57,"œ","oe"),"æ","ae"),"à","a"),"á","a"),"â","a"),"ä","a"),"ã","a"),"ç","c"),"è","e"),"é","e"),"ê","e"),"ë","e"),"")</f>
        <v xml:space="preserve">vin blanc </v>
      </c>
      <c r="X57" s="93" t="str">
        <f>IF(57=57,SUBSTITUTE(SUBSTITUTE(SUBSTITUTE(SUBSTITUTE(SUBSTITUTE(SUBSTITUTE(SUBSTITUTE(SUBSTITUTE(SUBSTITUTE(SUBSTITUTE(SUBSTITUTE(SUBSTITUTE(SUBSTITUTE(SUBSTITUTE(SUBSTITUTE(SUBSTITUTE($W57,"ì","i"),"í","i"),"î","i"),"ï","i"),"ñ","n"),"ò","o"),"ó","o"),"ô","o"),"ö","o"),"õ","o"),"ù","u"),"ú","u"),"û","u"),"ü","u"),"ý","y"),"ÿ","y"),"")</f>
        <v xml:space="preserve">vin blanc </v>
      </c>
      <c r="Y57" s="93" t="str">
        <f>IF(57=57,SUBSTITUTE(SUBSTITUTE(SUBSTITUTE(SUBSTITUTE(SUBSTITUTE(SUBSTITUTE(SUBSTITUTE(SUBSTITUTE(SUBSTITUTE(SUBSTITUTE(SUBSTITUTE(SUBSTITUTE(SUBSTITUTE(SUBSTITUTE($X57,"’"," "),"`"," "),"–"," "),"—"," "),"-"," "),"'"," "),"/"," "),"_"," "),","," "),"."," "),"("," "),")"," "),";"," "),":"," "),"")</f>
        <v xml:space="preserve">vin blanc </v>
      </c>
      <c r="Z57" s="93" t="str">
        <f>IF(57=57,SUBSTITUTE(SUBSTITUTE(SUBSTITUTE(SUBSTITUTE(SUBSTITUTE(SUBSTITUTE(SUBSTITUTE(SUBSTITUTE(SUBSTITUTE(SUBSTITUTE(SUBSTITUTE(SUBSTITUTE(SUBSTITUTE(SUBSTITUTE(SUBSTITUTE($Y57,"!"," "),"?"," "),"+"," "),"*"," "),"&amp;"," "),"["," "),"]"," "),"{"," "),"}"," "),"%"," "),"="," "),"\"," "),"|"," "),"&lt;"," "),"&gt;"," "),"")</f>
        <v xml:space="preserve">vin blanc </v>
      </c>
      <c r="AA57" s="93" t="str">
        <f>IF(57=57," "&amp;TRIM(SUBSTITUTE(SUBSTITUTE(SUBSTITUTE(SUBSTITUTE(SUBSTITUTE(SUBSTITUTE($Z57,CHAR(34)," "),"  "," "),"  "," "),"  "," "),"  "," "),"  "," "))&amp;" ","")</f>
        <v xml:space="preserve"> vin blanc </v>
      </c>
      <c r="AB57" s="93">
        <f>IF(57=57,IF($U57="","",SUMPRODUCT(--ISNUMBER(SEARCH(" "&amp;$CR$2:$CR$101&amp;" ",$AD57)))),"")</f>
        <v>0</v>
      </c>
      <c r="AC57" s="93">
        <f>IF(57=57,IF($U57="","",SUMPRODUCT(--ISNUMBER(SEARCH(" "&amp;$CR$102:$CR$151&amp;" ",$AD57)))),"")</f>
        <v>0</v>
      </c>
      <c r="AD57" s="93" t="str">
        <f t="shared" si="1"/>
        <v xml:space="preserve"> vin blanc </v>
      </c>
      <c r="AE57" s="93">
        <f t="shared" si="2"/>
        <v>0</v>
      </c>
      <c r="AF57" s="93" t="str">
        <f>IF(57=57,IF($U57="","",IF(SUM(AB57:AC57)+SUMPRODUCT(--ISNUMBER(SEARCH(" "&amp;$CR$2418:$CR$2420&amp;" ",$AD57)))&gt;0,"X",IF(AE57&gt;0,"?",""))),"")</f>
        <v/>
      </c>
      <c r="AG57" s="93">
        <f>IF(57=57,IF($U57="","",SUMPRODUCT(--ISNUMBER(SEARCH(" "&amp;$CR$206:$CR$305&amp;" ",$AA57)))),"")</f>
        <v>0</v>
      </c>
      <c r="AH57" s="93">
        <f>IF(57=57,IF($U57="","",SUMPRODUCT(--ISNUMBER(SEARCH(" "&amp;$CR$306:$CR$340&amp;" ",$AA57)))),"")</f>
        <v>0</v>
      </c>
      <c r="AI57" s="93" t="str">
        <f>IF(57=57,IF($U57="","",IF((SUM(AG57:AH57))-(0)&gt;0,"X",IF((0)-(0)&gt;0,"?",""))),"")</f>
        <v/>
      </c>
      <c r="AJ57" s="93">
        <f>IF(57=57,IF($U57="","",SUMPRODUCT(--ISNUMBER(SEARCH(" "&amp;$CR$341:$CR$398&amp;" ",$AA57)))),"")</f>
        <v>0</v>
      </c>
      <c r="AK57" s="93">
        <f>IF(57=57,IF($U57="","",SUMPRODUCT(--ISNUMBER(SEARCH(" "&amp;$CR$399:$CR$426&amp;" ",$AL57)))+SUMPRODUCT(--ISNUMBER(SEARCH(" "&amp;$CR$2440:$CR$2453&amp;" ",$AL57)))),"")</f>
        <v>1</v>
      </c>
      <c r="AL57" s="93" t="str">
        <f>IF(57=57,IF($U57="","",SUBSTITUTE(SUBSTITUTE(SUBSTITUTE(SUBSTITUTE(SUBSTITUTE(SUBSTITUTE(SUBSTITUTE(SUBSTITUTE(SUBSTITUTE(SUBSTITUTE(SUBSTITUTE(SUBSTITUTE(SUBSTITUTE(SUBSTITUTE($AA57," "&amp;$CR$2455&amp;" "," ")," "&amp;$CR$433&amp;" "," ")," "&amp;$CR$431&amp;" "," ")," "&amp;$CR$2438&amp;" "," ")," "&amp;$CR$2439&amp;" "," ")," "&amp;$CR$428&amp;" "," ")," "&amp;$CR$432&amp;" "," ")," "&amp;$CR$434&amp;" "," ")," "&amp;$CR$429&amp;" "," ")," "&amp;$CR$427&amp;" "," ")," "&amp;$CR$1367&amp;" "," ")," "&amp;$CR$435&amp;" "," ")," "&amp;$CR$1366&amp;" "," ")," "&amp;$CR$430&amp;" "," ")),"")</f>
        <v xml:space="preserve"> vin blanc </v>
      </c>
      <c r="AM57" s="93" t="str">
        <f>IF(57=57,IF($U57="","",IF(AJ57&gt;0,"X",IF(AK57&gt;0,"?",""))),"")</f>
        <v>?</v>
      </c>
      <c r="AN57" s="93">
        <f>IF(57=57,IF($U57="","",SUMPRODUCT(--ISNUMBER(SEARCH(" "&amp;$CR$436:$CR$535&amp;" ",$AX57)))),"")</f>
        <v>0</v>
      </c>
      <c r="AO57" s="93">
        <f>IF(57=57,IF($U57="","",SUMPRODUCT(--ISNUMBER(SEARCH(" "&amp;$CR$536:$CR$635&amp;" ",$AX57)))),"")</f>
        <v>0</v>
      </c>
      <c r="AP57" s="93">
        <f>IF(57=57,IF($U57="","",SUMPRODUCT(--ISNUMBER(SEARCH(" "&amp;$CR$636:$CR$735&amp;" ",$AX57)))),"")</f>
        <v>0</v>
      </c>
      <c r="AQ57" s="93">
        <f>IF(57=57,IF($U57="","",SUMPRODUCT(--ISNUMBER(SEARCH(" "&amp;$CR$736:$CR$835&amp;" ",$AX57)))),"")</f>
        <v>0</v>
      </c>
      <c r="AR57" s="93">
        <f>IF(57=57,IF($U57="","",SUMPRODUCT(--ISNUMBER(SEARCH(" "&amp;$CR$836:$CR$935&amp;" ",$AX57)))),"")</f>
        <v>0</v>
      </c>
      <c r="AS57" s="93">
        <f>IF(57=57,IF($U57="","",SUMPRODUCT(--ISNUMBER(SEARCH(" "&amp;$CR$936:$CR$1035&amp;" ",$AX57)))),"")</f>
        <v>0</v>
      </c>
      <c r="AT57" s="93">
        <f>IF(57=57,IF($U57="","",SUMPRODUCT(--ISNUMBER(SEARCH(" "&amp;$CR$1036:$CR$1135&amp;" ",$AX57)))),"")</f>
        <v>0</v>
      </c>
      <c r="AU57" s="93">
        <f>IF(57=57,IF($U57="","",SUMPRODUCT(--ISNUMBER(SEARCH(" "&amp;$CR$1136:$CR$1235&amp;" ",$AX57)))),"")</f>
        <v>0</v>
      </c>
      <c r="AV57" s="93">
        <f>IF(57=57,IF($U57="","",SUMPRODUCT(--ISNUMBER(SEARCH(" "&amp;$CR$1236:$CR$1335&amp;" ",$AX57)))),"")</f>
        <v>0</v>
      </c>
      <c r="AW57" s="93">
        <f>IF(57=57,IF($U57="","",SUMPRODUCT(--ISNUMBER(SEARCH(" "&amp;$CR$1336:$CR$1363&amp;" ",$AX57)))),"")</f>
        <v>0</v>
      </c>
      <c r="AX57" s="93" t="str">
        <f>IF(57=57,IF($U57="","",SUBSTITUTE(SUBSTITUTE(SUBSTITUTE(SUBSTITUTE(SUBSTITUTE(SUBSTITUTE(SUBSTITUTE(SUBSTITUTE(SUBSTITUTE($AA57," "&amp;$CR$1365&amp;" "," ")," "&amp;$CR$1364&amp;" "," ")," "&amp;$CR$1370&amp;" "," ")," "&amp;$CR$1371&amp;" "," ")," "&amp;$CR$1367&amp;" "," ")," "&amp;$CR$1369&amp;" "," ")," "&amp;$CR$1366&amp;" "," ")," "&amp;$CR$1368&amp;" "," ")," "&amp;$CR$1372&amp;" "," ")),"")</f>
        <v xml:space="preserve"> vin blanc </v>
      </c>
      <c r="AY57" s="93">
        <f>IF(57=57,IF($U57="","",SUMPRODUCT(--ISNUMBER(SEARCH(" "&amp;$CR$1373:$CR$1383&amp;" ",$AX57)))),"")</f>
        <v>0</v>
      </c>
      <c r="AZ57" s="93" t="str">
        <f>IF(57=57,IF($U57="","",IF(SUM(AN57:AW57)+SUMPRODUCT(--ISNUMBER(SEARCH(" "&amp;$CR$2421:$CR$2422&amp;" ",$AX57)))&gt;0,"X",IF(AY57&gt;0,"?",""))),"")</f>
        <v/>
      </c>
      <c r="BA57" s="93">
        <f>IF(57=57,IF($U57="","",SUMPRODUCT(--ISNUMBER(SEARCH(" "&amp;$CR$1384:$CR$1404&amp;" ",$AA57)))),"")</f>
        <v>0</v>
      </c>
      <c r="BB57" s="93" t="str">
        <f>IF(57=57,IF($U57="","",IF((BA57)-(0)&gt;0,"X",IF((0)-(0)&gt;0,"?",""))),"")</f>
        <v/>
      </c>
      <c r="BC57" s="93">
        <f>IF(57=57,IF($U57="","",SUMPRODUCT(--ISNUMBER(SEARCH(" "&amp;$CR$1405:$CR$1442&amp;" ",$BD57)))),"")</f>
        <v>0</v>
      </c>
      <c r="BD57" s="93" t="str">
        <f>IF(57=57,IF($U57="","",SUBSTITUTE(SUBSTITUTE($AA57," "&amp;$CR$1443&amp;" "," ")," "&amp;$CR$1444&amp;" "," ")),"")</f>
        <v xml:space="preserve"> vin blanc </v>
      </c>
      <c r="BE57" s="93">
        <f>IF(57=57,IF($U57="","",SUMPRODUCT(--ISNUMBER(SEARCH(" "&amp;$CR$1445:$CR$1455&amp;" ",$BD57)))),"")</f>
        <v>0</v>
      </c>
      <c r="BF57" s="93" t="str">
        <f>IF(57=57,IF($U57="","",IF(BC57&gt;0,"X",IF(BE57&gt;0,"?",""))),"")</f>
        <v/>
      </c>
      <c r="BG57" s="93">
        <f>IF(57=57,IF($U57="","",SUMPRODUCT(--ISNUMBER(SEARCH(" "&amp;$CR$1456:$CR$1555&amp;" ",$BJ57)))),"")</f>
        <v>0</v>
      </c>
      <c r="BH57" s="93">
        <f>IF(57=57,IF($U57="","",SUMPRODUCT(--ISNUMBER(SEARCH(" "&amp;$CR$1556:$CR$1655&amp;" ",$BJ57)))),"")</f>
        <v>0</v>
      </c>
      <c r="BI57" s="93">
        <f>IF(57=57,IF($U57="","",SUMPRODUCT(--ISNUMBER(SEARCH(" "&amp;$CR$1656:$CR$1739&amp;" ",$BJ57)))),"")</f>
        <v>0</v>
      </c>
      <c r="BJ57" s="93" t="str">
        <f>IF(57=57,IF($U57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57,"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vin blanc </v>
      </c>
      <c r="BK57" s="93">
        <f>IF(57=57,IF($U57="","",SUMPRODUCT(--ISNUMBER(SEARCH(" "&amp;$CR$1790:$CR$1869&amp;" ",$BL57)))+SUMPRODUCT(--ISNUMBER(SEARCH(" "&amp;$CR$2440:$CR$2453&amp;" ",$BL57)))),"")</f>
        <v>1</v>
      </c>
      <c r="BL57" s="93" t="str">
        <f>IF(57=57,IF($U57="","",SUBSTITUTE(SUBSTITUTE(SUBSTITUTE(SUBSTITUTE(SUBSTITUTE(SUBSTITUTE(SUBSTITUTE(SUBSTITUTE(SUBSTITUTE(SUBSTITUTE(SUBSTITUTE(SUBSTITUTE(SUBSTITUTE($BJ57," "&amp;$CR$1876&amp;" "," ")," "&amp;$CR$1874&amp;" "," ")," "&amp;$CR$2438&amp;" "," ")," "&amp;$CR$2439&amp;" "," ")," "&amp;$CR$1871&amp;" "," ")," "&amp;$CR$1875&amp;" "," ")," "&amp;$CR$1877&amp;" "," ")," "&amp;$CR$1872&amp;" "," ")," "&amp;$CR$1870&amp;" "," ")," "&amp;$CR$1367&amp;" "," ")," "&amp;$CR$1878&amp;" "," ")," "&amp;$CR$1366&amp;" "," ")," "&amp;$CR$1873&amp;" "," ")),"")</f>
        <v xml:space="preserve"> vin blanc </v>
      </c>
      <c r="BM57" s="93" t="str">
        <f>IF(57=57,IF($U57="","",IF(SUM(BG57:BI57)+SUMPRODUCT(--ISNUMBER(SEARCH(" "&amp;$CR$2423:$CR$2424&amp;" ",$BJ57)))&gt;0,"X",IF(BK57&gt;0,"?",""))),"")</f>
        <v>?</v>
      </c>
      <c r="BN57" s="93">
        <f>IF(57=57,IF($U57="","",SUMPRODUCT(--ISNUMBER(SEARCH(" "&amp;$CR$1879:$CR$1936&amp;" ",$BO57)))),"")</f>
        <v>0</v>
      </c>
      <c r="BO57" s="93" t="str">
        <f>IF(57=57,IF($U57="","",SUBSTITUTE(SUBSTITUTE(SUBSTITUTE(SUBSTITUTE(SUBSTITUTE(SUBSTITUTE(SUBSTITUTE(SUBSTITUTE(SUBSTITUTE(SUBSTITUTE(SUBSTITUTE(SUBSTITUTE(SUBSTITUTE(SUBSTITUTE(SUBSTITUTE(SUBSTITUTE(SUBSTITUTE(SUBSTITUTE(SUBSTITUTE(SUBSTITUTE(SUBSTITUTE(SUBSTITUTE(SUBSTITUTE($AA57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vin blanc </v>
      </c>
      <c r="BP57" s="93">
        <f>IF(57=57,IF($U57="","",SUMPRODUCT(--ISNUMBER(SEARCH(" "&amp;$CR$1960:$CR$1976&amp;" ",$BO57)))),"")</f>
        <v>0</v>
      </c>
      <c r="BQ57" s="93" t="str">
        <f>IF(57=57,IF($U57="","",IF(BN57&gt;0,"X",IF(BP57&gt;0,"?",""))),"")</f>
        <v/>
      </c>
      <c r="BR57" s="93">
        <f>IF(57=57,IF($U57="","",SUMPRODUCT(--ISNUMBER(SEARCH(" "&amp;$CR$1977:$CR$1990&amp;" ",$AA57)))),"")</f>
        <v>0</v>
      </c>
      <c r="BS57" s="93">
        <f>IF(57=57,IF($U57="","",SUMPRODUCT(--ISNUMBER(SEARCH(" "&amp;$CR$1991:$CR$2005&amp;" ",$AA57)))),"")</f>
        <v>0</v>
      </c>
      <c r="BT57" s="93" t="str">
        <f>IF(57=57,IF($U57="","",IF((BR57)-(0)&gt;0,"X",IF((BS57)-(0)&gt;0,"?",""))),"")</f>
        <v/>
      </c>
      <c r="BU57" s="93">
        <f>IF(57=57,IF($U57="","",SUMPRODUCT(--ISNUMBER(SEARCH(" "&amp;$CR$2006:$CR$2023&amp;" ",$AA57)))),"")</f>
        <v>0</v>
      </c>
      <c r="BV57" s="93">
        <f>IF(57=57,IF($U57="","",SUMPRODUCT(--ISNUMBER(SEARCH(" "&amp;$CR$2024:$CR$2038&amp;" ",$AA57)))),"")</f>
        <v>0</v>
      </c>
      <c r="BW57" s="93" t="str">
        <f>IF(57=57,IF($U57="","",IF((BU57)-(0)&gt;0,"X",IF((BV57)-(0)&gt;0,"?",""))),"")</f>
        <v/>
      </c>
      <c r="BX57" s="93">
        <f>IF(57=57,IF($U57="","",SUMPRODUCT(--ISNUMBER(SEARCH(" "&amp;$CR$2039:$CR$2057&amp;" ",$AA57)))),"")</f>
        <v>0</v>
      </c>
      <c r="BY57" s="93">
        <f>IF(57=57,IF($U57="","",SUMPRODUCT(--ISNUMBER(SEARCH(" "&amp;$CR$2058:$CR$2072&amp;" ",$AA57)))),"")</f>
        <v>0</v>
      </c>
      <c r="BZ57" s="93" t="str">
        <f>IF(57=57,IF($U57="","",IF((BX57)-(0)&gt;0,"X",IF((BY57)-(0)&gt;0,"?",""))),"")</f>
        <v/>
      </c>
      <c r="CA57" s="93">
        <f>IF(57=57,IF($U57="","",SUMPRODUCT(--ISNUMBER(SEARCH(" "&amp;$CR$2073:$CR$2093&amp;" ",$AA57)))),"")</f>
        <v>0</v>
      </c>
      <c r="CB57" s="93">
        <f>IF(57=57,IF($U57="","",SUMPRODUCT(--ISNUMBER(SEARCH(" "&amp;$CR$2094:$CR$2133&amp;" ",SUBSTITUTE(SUBSTITUTE($AA57," "&amp;$CR$1367&amp;" "," ")," "&amp;$CR$1366&amp;" "," "))))+--ISNUMBER(SEARCH("poiré",$V57))),"")</f>
        <v>2</v>
      </c>
      <c r="CC57" s="93" t="str">
        <f>IF(57=57,IF($U57="","",IF(OR(CA57&gt;0,ISNUMBER(SEARCH(" vinaigre de vin ",$AA57)),ISNUMBER(SEARCH(" vinaigre au vin ",$AA57))),"X",IF(CB57&gt;0,"?",""))),"")</f>
        <v>?</v>
      </c>
      <c r="CD57" s="93">
        <f>IF(57=57,IF($U57="","",SUMPRODUCT(--ISNUMBER(SEARCH(" "&amp;$CR$2134:$CR$2146&amp;" ",$AA57)))),"")</f>
        <v>0</v>
      </c>
      <c r="CE57" s="93">
        <f>IF(57=57,IF($U57="","",SUMPRODUCT(--ISNUMBER(SEARCH(" "&amp;$CR$2147:$CR$2152&amp;" ",$AA57)))),"")</f>
        <v>0</v>
      </c>
      <c r="CF57" s="93" t="str">
        <f>IF(57=57,IF($U57="","",IF((CD57)-(0)&gt;0,"X",IF((CE57)-(0)&gt;0,"?",""))),"")</f>
        <v/>
      </c>
      <c r="CG57" s="93">
        <f>IF(57=57,IF($U57="","",SUMPRODUCT(--ISNUMBER(SEARCH(" "&amp;$CR$2153:$CR$2252&amp;" ",$CJ57)))),"")</f>
        <v>0</v>
      </c>
      <c r="CH57" s="93">
        <f>IF(57=57,IF($U57="","",SUMPRODUCT(--ISNUMBER(SEARCH(" "&amp;$CR$2253:$CR$2352&amp;" ",$CJ57)))),"")</f>
        <v>0</v>
      </c>
      <c r="CI57" s="93">
        <f>IF(57=57,IF($U57="","",SUMPRODUCT(--ISNUMBER(SEARCH(" "&amp;$CR$2353:$CR$2395&amp;" ",$CJ57)))),"")</f>
        <v>0</v>
      </c>
      <c r="CJ57" s="93" t="str">
        <f>IF(57=57,IF($U57="","",SUBSTITUTE(SUBSTITUTE(SUBSTITUTE(SUBSTITUTE(SUBSTITUTE(SUBSTITUTE(SUBSTITUTE(SUBSTITUTE(SUBSTITUTE(SUBSTITUTE(SUBSTITUTE(SUBSTITUTE(SUBSTITUTE(SUBSTITUTE(SUBSTITUTE(SUBSTITUTE($AA57," "&amp;$CR$2401&amp;" "," ")," "&amp;$CR$2400&amp;" "," ")," "&amp;$CR$2399&amp;" "," ")," "&amp;$CR$2406&amp;" "," ")," "&amp;$CR$2398&amp;" "," ")," "&amp;$CR$2410&amp;" "," ")," "&amp;$CR$2397&amp;" "," ")," "&amp;$CR$2402&amp;" "," ")," "&amp;$CR$2405&amp;" "," ")," "&amp;$CR$2396&amp;" "," ")," "&amp;$CR$2404&amp;" "," ")," "&amp;$CR$2411&amp;" "," ")," "&amp;$CR$2408&amp;" "," ")," "&amp;$CR$2403&amp;" "," ")," "&amp;$CR$2407&amp;" "," ")," "&amp;$CR$2409&amp;" "," ")),"")</f>
        <v xml:space="preserve"> vin blanc </v>
      </c>
      <c r="CK57" s="93">
        <f>IF(57=57,IF($U57="","",SUMPRODUCT(--ISNUMBER(SEARCH(" "&amp;$CR$2412:$CR$2416&amp;" ",$CJ57)))),"")</f>
        <v>0</v>
      </c>
      <c r="CL57" s="93" t="str">
        <f>IF(57=57,IF($U57="","",IF(SUM(CG57:CI57)&gt;0,"X",IF(CK57&gt;0,"?",""))),"")</f>
        <v/>
      </c>
      <c r="CM57" s="102"/>
      <c r="CN57" s="112" t="s">
        <v>736</v>
      </c>
      <c r="CO57" s="112" t="s">
        <v>522</v>
      </c>
      <c r="CP57" s="112" t="s">
        <v>523</v>
      </c>
      <c r="CQ57" s="112" t="s">
        <v>737</v>
      </c>
      <c r="CR57" s="112" t="s">
        <v>738</v>
      </c>
      <c r="CS57" s="112" t="s">
        <v>525</v>
      </c>
      <c r="CT57" s="112" t="s">
        <v>526</v>
      </c>
      <c r="CU57" s="112" t="s">
        <v>527</v>
      </c>
      <c r="CV57" s="113" t="s">
        <v>528</v>
      </c>
      <c r="CX57" s="36">
        <v>1</v>
      </c>
    </row>
    <row r="58" spans="1:102" ht="21" customHeight="1" x14ac:dyDescent="0.25">
      <c r="A58" s="135">
        <v>52</v>
      </c>
      <c r="B58" s="136" t="s">
        <v>5894</v>
      </c>
      <c r="C58" s="137" t="str">
        <f t="shared" si="0"/>
        <v>sucre glace</v>
      </c>
      <c r="D58" s="138" t="str">
        <f>IF(58=58,IF($B58="","",IF(E58="X",""&amp;"Céréales contenant du gluten","")&amp;IF(F58="X",IF(COUNTIF($E58:$E58,"X")&gt;0,", ","")&amp;"Crustacés","")&amp;IF(G58="X",IF(COUNTIF($E58:$F58,"X")&gt;0,", ","")&amp;"Œufs","")&amp;IF(H58="X",IF(COUNTIF($E58:$G58,"X")&gt;0,", ","")&amp;"Poissons","")&amp;IF(I58="X",IF(COUNTIF($E58:$H58,"X")&gt;0,", ","")&amp;"Arachides","")&amp;IF(J58="X",IF(COUNTIF($E58:$I58,"X")&gt;0,", ","")&amp;"Soja","")&amp;IF(K58="X",IF(COUNTIF($E58:$J58,"X")&gt;0,", ","")&amp;"Lait","")&amp;IF(L58="X",IF(COUNTIF($E58:$K58,"X")&gt;0,", ","")&amp;"Fruits à coque","")&amp;IF(M58="X",IF(COUNTIF($E58:$L58,"X")&gt;0,", ","")&amp;"Céleri","")&amp;IF(N58="X",IF(COUNTIF($E58:$M58,"X")&gt;0,", ","")&amp;"Moutarde","")&amp;IF(O58="X",IF(COUNTIF($E58:$N58,"X")&gt;0,", ","")&amp;"Sésame","")&amp;IF(P58="X",IF(COUNTIF($E58:$O58,"X")&gt;0,", ","")&amp;"Sulfites","")&amp;IF(Q58="X",IF(COUNTIF($E58:$P58,"X")&gt;0,", ","")&amp;"Lupin","")&amp;IF(R58="X",IF(COUNTIF($E58:$Q58,"X")&gt;0,", ","")&amp;"Mollusques","")),"")</f>
        <v/>
      </c>
      <c r="E58" s="139" t="str">
        <f>IF(58=58,IF($B58="","",AF58),"")</f>
        <v/>
      </c>
      <c r="F58" s="139" t="str">
        <f>IF(58=58,IF($B58="","",AI58),"")</f>
        <v/>
      </c>
      <c r="G58" s="139" t="str">
        <f>IF(58=58,IF($B58="","",AM58),"")</f>
        <v/>
      </c>
      <c r="H58" s="139" t="str">
        <f>IF(58=58,IF($B58="","",IF(ISNUMBER(SEARCH(" colin ",$AA58)),"X",AZ58)),"")</f>
        <v/>
      </c>
      <c r="I58" s="139" t="str">
        <f>IF(58=58,IF($B58="","",BB58),"")</f>
        <v/>
      </c>
      <c r="J58" s="139" t="str">
        <f>IF(58=58,IF($B58="","",BF58),"")</f>
        <v/>
      </c>
      <c r="K58" s="139" t="str">
        <f>IF(58=58,IF($B58="","",BM58),"")</f>
        <v/>
      </c>
      <c r="L58" s="139" t="str">
        <f>IF(58=58,IF($B58="","",BQ58),"")</f>
        <v/>
      </c>
      <c r="M58" s="139" t="str">
        <f>IF(58=58,IF($B58="","",BT58),"")</f>
        <v/>
      </c>
      <c r="N58" s="139" t="str">
        <f>IF(58=58,IF($B58="","",BW58),"")</f>
        <v/>
      </c>
      <c r="O58" s="139" t="str">
        <f>IF(58=58,IF($B58="","",BZ58),"")</f>
        <v/>
      </c>
      <c r="P58" s="139" t="str">
        <f>IF(58=58,IF($B58="","",CC58),"")</f>
        <v/>
      </c>
      <c r="Q58" s="139" t="str">
        <f>IF(58=58,IF($B58="","",CF58),"")</f>
        <v/>
      </c>
      <c r="R58" s="139" t="str">
        <f>IF(58=58,IF($B58="","",CL58),"")</f>
        <v/>
      </c>
      <c r="S58" s="140" t="str">
        <f>IF(58=58,IF($B58="","",IF(E58="?",""&amp;"Céréales contenant du gluten","")&amp;IF(F58="?",IF(COUNTIF($E58:$E58,"~?")&gt;0,", ","")&amp;"Crustacés","")&amp;IF(G58="?",IF(COUNTIF($E58:$F58,"~?")&gt;0,", ","")&amp;"Œufs","")&amp;IF(H58="?",IF(COUNTIF($E58:$G58,"~?")&gt;0,", ","")&amp;"Poissons","")&amp;IF(I58="?",IF(COUNTIF($E58:$H58,"~?")&gt;0,", ","")&amp;"Arachides","")&amp;IF(J58="?",IF(COUNTIF($E58:$I58,"~?")&gt;0,", ","")&amp;"Soja","")&amp;IF(K58="?",IF(COUNTIF($E58:$J58,"~?")&gt;0,", ","")&amp;"Lait","")&amp;IF(L58="?",IF(COUNTIF($E58:$K58,"~?")&gt;0,", ","")&amp;"Fruits à coque","")&amp;IF(M58="?",IF(COUNTIF($E58:$L58,"~?")&gt;0,", ","")&amp;"Céleri","")&amp;IF(N58="?",IF(COUNTIF($E58:$M58,"~?")&gt;0,", ","")&amp;"Moutarde","")&amp;IF(O58="?",IF(COUNTIF($E58:$N58,"~?")&gt;0,", ","")&amp;"Sésame","")&amp;IF(P58="?",IF(COUNTIF($E58:$O58,"~?")&gt;0,", ","")&amp;"Sulfites","")&amp;IF(Q58="?",IF(COUNTIF($E58:$P58,"~?")&gt;0,", ","")&amp;"Lupin","")&amp;IF(R58="?",IF(COUNTIF($E58:$Q58,"~?")&gt;0,", ","")&amp;"Mollusques","")),"")</f>
        <v/>
      </c>
      <c r="U58" s="93" t="str">
        <f>IF(58=58,IF($B58="","",$B58),"")</f>
        <v>sucre glace</v>
      </c>
      <c r="V58" s="93" t="str">
        <f>IF(58=58,LOWER(CLEAN(SUBSTITUTE(SUBSTITUTE(SUBSTITUTE(SUBSTITUTE($U58,CHAR(160)," ")," "," "),CHAR(10)," "),CHAR(13)," "))),"")</f>
        <v>sucre glace</v>
      </c>
      <c r="W58" s="93" t="str">
        <f>IF(58=58,SUBSTITUTE(SUBSTITUTE(SUBSTITUTE(SUBSTITUTE(SUBSTITUTE(SUBSTITUTE(SUBSTITUTE(SUBSTITUTE(SUBSTITUTE(SUBSTITUTE(SUBSTITUTE(SUBSTITUTE($V58,"œ","oe"),"æ","ae"),"à","a"),"á","a"),"â","a"),"ä","a"),"ã","a"),"ç","c"),"è","e"),"é","e"),"ê","e"),"ë","e"),"")</f>
        <v>sucre glace</v>
      </c>
      <c r="X58" s="93" t="str">
        <f>IF(58=58,SUBSTITUTE(SUBSTITUTE(SUBSTITUTE(SUBSTITUTE(SUBSTITUTE(SUBSTITUTE(SUBSTITUTE(SUBSTITUTE(SUBSTITUTE(SUBSTITUTE(SUBSTITUTE(SUBSTITUTE(SUBSTITUTE(SUBSTITUTE(SUBSTITUTE(SUBSTITUTE($W58,"ì","i"),"í","i"),"î","i"),"ï","i"),"ñ","n"),"ò","o"),"ó","o"),"ô","o"),"ö","o"),"õ","o"),"ù","u"),"ú","u"),"û","u"),"ü","u"),"ý","y"),"ÿ","y"),"")</f>
        <v>sucre glace</v>
      </c>
      <c r="Y58" s="93" t="str">
        <f>IF(58=58,SUBSTITUTE(SUBSTITUTE(SUBSTITUTE(SUBSTITUTE(SUBSTITUTE(SUBSTITUTE(SUBSTITUTE(SUBSTITUTE(SUBSTITUTE(SUBSTITUTE(SUBSTITUTE(SUBSTITUTE(SUBSTITUTE(SUBSTITUTE($X58,"’"," "),"`"," "),"–"," "),"—"," "),"-"," "),"'"," "),"/"," "),"_"," "),","," "),"."," "),"("," "),")"," "),";"," "),":"," "),"")</f>
        <v>sucre glace</v>
      </c>
      <c r="Z58" s="93" t="str">
        <f>IF(58=58,SUBSTITUTE(SUBSTITUTE(SUBSTITUTE(SUBSTITUTE(SUBSTITUTE(SUBSTITUTE(SUBSTITUTE(SUBSTITUTE(SUBSTITUTE(SUBSTITUTE(SUBSTITUTE(SUBSTITUTE(SUBSTITUTE(SUBSTITUTE(SUBSTITUTE($Y58,"!"," "),"?"," "),"+"," "),"*"," "),"&amp;"," "),"["," "),"]"," "),"{"," "),"}"," "),"%"," "),"="," "),"\"," "),"|"," "),"&lt;"," "),"&gt;"," "),"")</f>
        <v>sucre glace</v>
      </c>
      <c r="AA58" s="93" t="str">
        <f>IF(58=58," "&amp;TRIM(SUBSTITUTE(SUBSTITUTE(SUBSTITUTE(SUBSTITUTE(SUBSTITUTE(SUBSTITUTE($Z58,CHAR(34)," "),"  "," "),"  "," "),"  "," "),"  "," "),"  "," "))&amp;" ","")</f>
        <v xml:space="preserve"> sucre glace </v>
      </c>
      <c r="AB58" s="93">
        <f>IF(58=58,IF($U58="","",SUMPRODUCT(--ISNUMBER(SEARCH(" "&amp;$CR$2:$CR$101&amp;" ",$AD58)))),"")</f>
        <v>0</v>
      </c>
      <c r="AC58" s="93">
        <f>IF(58=58,IF($U58="","",SUMPRODUCT(--ISNUMBER(SEARCH(" "&amp;$CR$102:$CR$151&amp;" ",$AD58)))),"")</f>
        <v>0</v>
      </c>
      <c r="AD58" s="93" t="str">
        <f t="shared" si="1"/>
        <v xml:space="preserve"> sucre glace </v>
      </c>
      <c r="AE58" s="93">
        <f t="shared" si="2"/>
        <v>0</v>
      </c>
      <c r="AF58" s="93" t="str">
        <f>IF(58=58,IF($U58="","",IF(SUM(AB58:AC58)+SUMPRODUCT(--ISNUMBER(SEARCH(" "&amp;$CR$2418:$CR$2420&amp;" ",$AD58)))&gt;0,"X",IF(AE58&gt;0,"?",""))),"")</f>
        <v/>
      </c>
      <c r="AG58" s="93">
        <f>IF(58=58,IF($U58="","",SUMPRODUCT(--ISNUMBER(SEARCH(" "&amp;$CR$206:$CR$305&amp;" ",$AA58)))),"")</f>
        <v>0</v>
      </c>
      <c r="AH58" s="93">
        <f>IF(58=58,IF($U58="","",SUMPRODUCT(--ISNUMBER(SEARCH(" "&amp;$CR$306:$CR$340&amp;" ",$AA58)))),"")</f>
        <v>0</v>
      </c>
      <c r="AI58" s="93" t="str">
        <f>IF(58=58,IF($U58="","",IF((SUM(AG58:AH58))-(0)&gt;0,"X",IF((0)-(0)&gt;0,"?",""))),"")</f>
        <v/>
      </c>
      <c r="AJ58" s="93">
        <f>IF(58=58,IF($U58="","",SUMPRODUCT(--ISNUMBER(SEARCH(" "&amp;$CR$341:$CR$398&amp;" ",$AA58)))),"")</f>
        <v>0</v>
      </c>
      <c r="AK58" s="93">
        <f>IF(58=58,IF($U58="","",SUMPRODUCT(--ISNUMBER(SEARCH(" "&amp;$CR$399:$CR$426&amp;" ",$AL58)))+SUMPRODUCT(--ISNUMBER(SEARCH(" "&amp;$CR$2440:$CR$2453&amp;" ",$AL58)))),"")</f>
        <v>0</v>
      </c>
      <c r="AL58" s="93" t="str">
        <f>IF(58=58,IF($U58="","",SUBSTITUTE(SUBSTITUTE(SUBSTITUTE(SUBSTITUTE(SUBSTITUTE(SUBSTITUTE(SUBSTITUTE(SUBSTITUTE(SUBSTITUTE(SUBSTITUTE(SUBSTITUTE(SUBSTITUTE(SUBSTITUTE(SUBSTITUTE($AA58," "&amp;$CR$2455&amp;" "," ")," "&amp;$CR$433&amp;" "," ")," "&amp;$CR$431&amp;" "," ")," "&amp;$CR$2438&amp;" "," ")," "&amp;$CR$2439&amp;" "," ")," "&amp;$CR$428&amp;" "," ")," "&amp;$CR$432&amp;" "," ")," "&amp;$CR$434&amp;" "," ")," "&amp;$CR$429&amp;" "," ")," "&amp;$CR$427&amp;" "," ")," "&amp;$CR$1367&amp;" "," ")," "&amp;$CR$435&amp;" "," ")," "&amp;$CR$1366&amp;" "," ")," "&amp;$CR$430&amp;" "," ")),"")</f>
        <v xml:space="preserve"> </v>
      </c>
      <c r="AM58" s="93" t="str">
        <f>IF(58=58,IF($U58="","",IF(AJ58&gt;0,"X",IF(AK58&gt;0,"?",""))),"")</f>
        <v/>
      </c>
      <c r="AN58" s="93">
        <f>IF(58=58,IF($U58="","",SUMPRODUCT(--ISNUMBER(SEARCH(" "&amp;$CR$436:$CR$535&amp;" ",$AX58)))),"")</f>
        <v>0</v>
      </c>
      <c r="AO58" s="93">
        <f>IF(58=58,IF($U58="","",SUMPRODUCT(--ISNUMBER(SEARCH(" "&amp;$CR$536:$CR$635&amp;" ",$AX58)))),"")</f>
        <v>0</v>
      </c>
      <c r="AP58" s="93">
        <f>IF(58=58,IF($U58="","",SUMPRODUCT(--ISNUMBER(SEARCH(" "&amp;$CR$636:$CR$735&amp;" ",$AX58)))),"")</f>
        <v>0</v>
      </c>
      <c r="AQ58" s="93">
        <f>IF(58=58,IF($U58="","",SUMPRODUCT(--ISNUMBER(SEARCH(" "&amp;$CR$736:$CR$835&amp;" ",$AX58)))),"")</f>
        <v>0</v>
      </c>
      <c r="AR58" s="93">
        <f>IF(58=58,IF($U58="","",SUMPRODUCT(--ISNUMBER(SEARCH(" "&amp;$CR$836:$CR$935&amp;" ",$AX58)))),"")</f>
        <v>0</v>
      </c>
      <c r="AS58" s="93">
        <f>IF(58=58,IF($U58="","",SUMPRODUCT(--ISNUMBER(SEARCH(" "&amp;$CR$936:$CR$1035&amp;" ",$AX58)))),"")</f>
        <v>0</v>
      </c>
      <c r="AT58" s="93">
        <f>IF(58=58,IF($U58="","",SUMPRODUCT(--ISNUMBER(SEARCH(" "&amp;$CR$1036:$CR$1135&amp;" ",$AX58)))),"")</f>
        <v>0</v>
      </c>
      <c r="AU58" s="93">
        <f>IF(58=58,IF($U58="","",SUMPRODUCT(--ISNUMBER(SEARCH(" "&amp;$CR$1136:$CR$1235&amp;" ",$AX58)))),"")</f>
        <v>0</v>
      </c>
      <c r="AV58" s="93">
        <f>IF(58=58,IF($U58="","",SUMPRODUCT(--ISNUMBER(SEARCH(" "&amp;$CR$1236:$CR$1335&amp;" ",$AX58)))),"")</f>
        <v>0</v>
      </c>
      <c r="AW58" s="93">
        <f>IF(58=58,IF($U58="","",SUMPRODUCT(--ISNUMBER(SEARCH(" "&amp;$CR$1336:$CR$1363&amp;" ",$AX58)))),"")</f>
        <v>0</v>
      </c>
      <c r="AX58" s="93" t="str">
        <f>IF(58=58,IF($U58="","",SUBSTITUTE(SUBSTITUTE(SUBSTITUTE(SUBSTITUTE(SUBSTITUTE(SUBSTITUTE(SUBSTITUTE(SUBSTITUTE(SUBSTITUTE($AA58," "&amp;$CR$1365&amp;" "," ")," "&amp;$CR$1364&amp;" "," ")," "&amp;$CR$1370&amp;" "," ")," "&amp;$CR$1371&amp;" "," ")," "&amp;$CR$1367&amp;" "," ")," "&amp;$CR$1369&amp;" "," ")," "&amp;$CR$1366&amp;" "," ")," "&amp;$CR$1368&amp;" "," ")," "&amp;$CR$1372&amp;" "," ")),"")</f>
        <v xml:space="preserve"> sucre glace </v>
      </c>
      <c r="AY58" s="93">
        <f>IF(58=58,IF($U58="","",SUMPRODUCT(--ISNUMBER(SEARCH(" "&amp;$CR$1373:$CR$1383&amp;" ",$AX58)))),"")</f>
        <v>0</v>
      </c>
      <c r="AZ58" s="93" t="str">
        <f>IF(58=58,IF($U58="","",IF(SUM(AN58:AW58)+SUMPRODUCT(--ISNUMBER(SEARCH(" "&amp;$CR$2421:$CR$2422&amp;" ",$AX58)))&gt;0,"X",IF(AY58&gt;0,"?",""))),"")</f>
        <v/>
      </c>
      <c r="BA58" s="93">
        <f>IF(58=58,IF($U58="","",SUMPRODUCT(--ISNUMBER(SEARCH(" "&amp;$CR$1384:$CR$1404&amp;" ",$AA58)))),"")</f>
        <v>0</v>
      </c>
      <c r="BB58" s="93" t="str">
        <f>IF(58=58,IF($U58="","",IF((BA58)-(0)&gt;0,"X",IF((0)-(0)&gt;0,"?",""))),"")</f>
        <v/>
      </c>
      <c r="BC58" s="93">
        <f>IF(58=58,IF($U58="","",SUMPRODUCT(--ISNUMBER(SEARCH(" "&amp;$CR$1405:$CR$1442&amp;" ",$BD58)))),"")</f>
        <v>0</v>
      </c>
      <c r="BD58" s="93" t="str">
        <f>IF(58=58,IF($U58="","",SUBSTITUTE(SUBSTITUTE($AA58," "&amp;$CR$1443&amp;" "," ")," "&amp;$CR$1444&amp;" "," ")),"")</f>
        <v xml:space="preserve"> sucre glace </v>
      </c>
      <c r="BE58" s="93">
        <f>IF(58=58,IF($U58="","",SUMPRODUCT(--ISNUMBER(SEARCH(" "&amp;$CR$1445:$CR$1455&amp;" ",$BD58)))),"")</f>
        <v>0</v>
      </c>
      <c r="BF58" s="93" t="str">
        <f>IF(58=58,IF($U58="","",IF(BC58&gt;0,"X",IF(BE58&gt;0,"?",""))),"")</f>
        <v/>
      </c>
      <c r="BG58" s="93">
        <f>IF(58=58,IF($U58="","",SUMPRODUCT(--ISNUMBER(SEARCH(" "&amp;$CR$1456:$CR$1555&amp;" ",$BJ58)))),"")</f>
        <v>0</v>
      </c>
      <c r="BH58" s="93">
        <f>IF(58=58,IF($U58="","",SUMPRODUCT(--ISNUMBER(SEARCH(" "&amp;$CR$1556:$CR$1655&amp;" ",$BJ58)))),"")</f>
        <v>0</v>
      </c>
      <c r="BI58" s="93">
        <f>IF(58=58,IF($U58="","",SUMPRODUCT(--ISNUMBER(SEARCH(" "&amp;$CR$1656:$CR$1739&amp;" ",$BJ58)))),"")</f>
        <v>0</v>
      </c>
      <c r="BJ58" s="93" t="str">
        <f>IF(58=58,IF($U58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58,"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v>
      </c>
      <c r="BK58" s="93">
        <f>IF(58=58,IF($U58="","",SUMPRODUCT(--ISNUMBER(SEARCH(" "&amp;$CR$1790:$CR$1869&amp;" ",$BL58)))+SUMPRODUCT(--ISNUMBER(SEARCH(" "&amp;$CR$2440:$CR$2453&amp;" ",$BL58)))),"")</f>
        <v>0</v>
      </c>
      <c r="BL58" s="93" t="str">
        <f>IF(58=58,IF($U58="","",SUBSTITUTE(SUBSTITUTE(SUBSTITUTE(SUBSTITUTE(SUBSTITUTE(SUBSTITUTE(SUBSTITUTE(SUBSTITUTE(SUBSTITUTE(SUBSTITUTE(SUBSTITUTE(SUBSTITUTE(SUBSTITUTE($BJ58," "&amp;$CR$1876&amp;" "," ")," "&amp;$CR$1874&amp;" "," ")," "&amp;$CR$2438&amp;" "," ")," "&amp;$CR$2439&amp;" "," ")," "&amp;$CR$1871&amp;" "," ")," "&amp;$CR$1875&amp;" "," ")," "&amp;$CR$1877&amp;" "," ")," "&amp;$CR$1872&amp;" "," ")," "&amp;$CR$1870&amp;" "," ")," "&amp;$CR$1367&amp;" "," ")," "&amp;$CR$1878&amp;" "," ")," "&amp;$CR$1366&amp;" "," ")," "&amp;$CR$1873&amp;" "," ")),"")</f>
        <v xml:space="preserve"> </v>
      </c>
      <c r="BM58" s="93" t="str">
        <f>IF(58=58,IF($U58="","",IF(SUM(BG58:BI58)+SUMPRODUCT(--ISNUMBER(SEARCH(" "&amp;$CR$2423:$CR$2424&amp;" ",$BJ58)))&gt;0,"X",IF(BK58&gt;0,"?",""))),"")</f>
        <v/>
      </c>
      <c r="BN58" s="93">
        <f>IF(58=58,IF($U58="","",SUMPRODUCT(--ISNUMBER(SEARCH(" "&amp;$CR$1879:$CR$1936&amp;" ",$BO58)))),"")</f>
        <v>0</v>
      </c>
      <c r="BO58" s="93" t="str">
        <f>IF(58=58,IF($U58="","",SUBSTITUTE(SUBSTITUTE(SUBSTITUTE(SUBSTITUTE(SUBSTITUTE(SUBSTITUTE(SUBSTITUTE(SUBSTITUTE(SUBSTITUTE(SUBSTITUTE(SUBSTITUTE(SUBSTITUTE(SUBSTITUTE(SUBSTITUTE(SUBSTITUTE(SUBSTITUTE(SUBSTITUTE(SUBSTITUTE(SUBSTITUTE(SUBSTITUTE(SUBSTITUTE(SUBSTITUTE(SUBSTITUTE($AA58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sucre glace </v>
      </c>
      <c r="BP58" s="93">
        <f>IF(58=58,IF($U58="","",SUMPRODUCT(--ISNUMBER(SEARCH(" "&amp;$CR$1960:$CR$1976&amp;" ",$BO58)))),"")</f>
        <v>0</v>
      </c>
      <c r="BQ58" s="93" t="str">
        <f>IF(58=58,IF($U58="","",IF(BN58&gt;0,"X",IF(BP58&gt;0,"?",""))),"")</f>
        <v/>
      </c>
      <c r="BR58" s="93">
        <f>IF(58=58,IF($U58="","",SUMPRODUCT(--ISNUMBER(SEARCH(" "&amp;$CR$1977:$CR$1990&amp;" ",$AA58)))),"")</f>
        <v>0</v>
      </c>
      <c r="BS58" s="93">
        <f>IF(58=58,IF($U58="","",SUMPRODUCT(--ISNUMBER(SEARCH(" "&amp;$CR$1991:$CR$2005&amp;" ",$AA58)))),"")</f>
        <v>0</v>
      </c>
      <c r="BT58" s="93" t="str">
        <f>IF(58=58,IF($U58="","",IF((BR58)-(0)&gt;0,"X",IF((BS58)-(0)&gt;0,"?",""))),"")</f>
        <v/>
      </c>
      <c r="BU58" s="93">
        <f>IF(58=58,IF($U58="","",SUMPRODUCT(--ISNUMBER(SEARCH(" "&amp;$CR$2006:$CR$2023&amp;" ",$AA58)))),"")</f>
        <v>0</v>
      </c>
      <c r="BV58" s="93">
        <f>IF(58=58,IF($U58="","",SUMPRODUCT(--ISNUMBER(SEARCH(" "&amp;$CR$2024:$CR$2038&amp;" ",$AA58)))),"")</f>
        <v>0</v>
      </c>
      <c r="BW58" s="93" t="str">
        <f>IF(58=58,IF($U58="","",IF((BU58)-(0)&gt;0,"X",IF((BV58)-(0)&gt;0,"?",""))),"")</f>
        <v/>
      </c>
      <c r="BX58" s="93">
        <f>IF(58=58,IF($U58="","",SUMPRODUCT(--ISNUMBER(SEARCH(" "&amp;$CR$2039:$CR$2057&amp;" ",$AA58)))),"")</f>
        <v>0</v>
      </c>
      <c r="BY58" s="93">
        <f>IF(58=58,IF($U58="","",SUMPRODUCT(--ISNUMBER(SEARCH(" "&amp;$CR$2058:$CR$2072&amp;" ",$AA58)))),"")</f>
        <v>0</v>
      </c>
      <c r="BZ58" s="93" t="str">
        <f>IF(58=58,IF($U58="","",IF((BX58)-(0)&gt;0,"X",IF((BY58)-(0)&gt;0,"?",""))),"")</f>
        <v/>
      </c>
      <c r="CA58" s="93">
        <f>IF(58=58,IF($U58="","",SUMPRODUCT(--ISNUMBER(SEARCH(" "&amp;$CR$2073:$CR$2093&amp;" ",$AA58)))),"")</f>
        <v>0</v>
      </c>
      <c r="CB58" s="93">
        <f>IF(58=58,IF($U58="","",SUMPRODUCT(--ISNUMBER(SEARCH(" "&amp;$CR$2094:$CR$2133&amp;" ",SUBSTITUTE(SUBSTITUTE($AA58," "&amp;$CR$1367&amp;" "," ")," "&amp;$CR$1366&amp;" "," "))))+--ISNUMBER(SEARCH("poiré",$V58))),"")</f>
        <v>0</v>
      </c>
      <c r="CC58" s="93" t="str">
        <f>IF(58=58,IF($U58="","",IF(OR(CA58&gt;0,ISNUMBER(SEARCH(" vinaigre de vin ",$AA58)),ISNUMBER(SEARCH(" vinaigre au vin ",$AA58))),"X",IF(CB58&gt;0,"?",""))),"")</f>
        <v/>
      </c>
      <c r="CD58" s="93">
        <f>IF(58=58,IF($U58="","",SUMPRODUCT(--ISNUMBER(SEARCH(" "&amp;$CR$2134:$CR$2146&amp;" ",$AA58)))),"")</f>
        <v>0</v>
      </c>
      <c r="CE58" s="93">
        <f>IF(58=58,IF($U58="","",SUMPRODUCT(--ISNUMBER(SEARCH(" "&amp;$CR$2147:$CR$2152&amp;" ",$AA58)))),"")</f>
        <v>0</v>
      </c>
      <c r="CF58" s="93" t="str">
        <f>IF(58=58,IF($U58="","",IF((CD58)-(0)&gt;0,"X",IF((CE58)-(0)&gt;0,"?",""))),"")</f>
        <v/>
      </c>
      <c r="CG58" s="93">
        <f>IF(58=58,IF($U58="","",SUMPRODUCT(--ISNUMBER(SEARCH(" "&amp;$CR$2153:$CR$2252&amp;" ",$CJ58)))),"")</f>
        <v>0</v>
      </c>
      <c r="CH58" s="93">
        <f>IF(58=58,IF($U58="","",SUMPRODUCT(--ISNUMBER(SEARCH(" "&amp;$CR$2253:$CR$2352&amp;" ",$CJ58)))),"")</f>
        <v>0</v>
      </c>
      <c r="CI58" s="93">
        <f>IF(58=58,IF($U58="","",SUMPRODUCT(--ISNUMBER(SEARCH(" "&amp;$CR$2353:$CR$2395&amp;" ",$CJ58)))),"")</f>
        <v>0</v>
      </c>
      <c r="CJ58" s="93" t="str">
        <f>IF(58=58,IF($U58="","",SUBSTITUTE(SUBSTITUTE(SUBSTITUTE(SUBSTITUTE(SUBSTITUTE(SUBSTITUTE(SUBSTITUTE(SUBSTITUTE(SUBSTITUTE(SUBSTITUTE(SUBSTITUTE(SUBSTITUTE(SUBSTITUTE(SUBSTITUTE(SUBSTITUTE(SUBSTITUTE($AA58," "&amp;$CR$2401&amp;" "," ")," "&amp;$CR$2400&amp;" "," ")," "&amp;$CR$2399&amp;" "," ")," "&amp;$CR$2406&amp;" "," ")," "&amp;$CR$2398&amp;" "," ")," "&amp;$CR$2410&amp;" "," ")," "&amp;$CR$2397&amp;" "," ")," "&amp;$CR$2402&amp;" "," ")," "&amp;$CR$2405&amp;" "," ")," "&amp;$CR$2396&amp;" "," ")," "&amp;$CR$2404&amp;" "," ")," "&amp;$CR$2411&amp;" "," ")," "&amp;$CR$2408&amp;" "," ")," "&amp;$CR$2403&amp;" "," ")," "&amp;$CR$2407&amp;" "," ")," "&amp;$CR$2409&amp;" "," ")),"")</f>
        <v xml:space="preserve"> sucre glace </v>
      </c>
      <c r="CK58" s="93">
        <f>IF(58=58,IF($U58="","",SUMPRODUCT(--ISNUMBER(SEARCH(" "&amp;$CR$2412:$CR$2416&amp;" ",$CJ58)))),"")</f>
        <v>0</v>
      </c>
      <c r="CL58" s="93" t="str">
        <f>IF(58=58,IF($U58="","",IF(SUM(CG58:CI58)&gt;0,"X",IF(CK58&gt;0,"?",""))),"")</f>
        <v/>
      </c>
      <c r="CM58" s="102"/>
      <c r="CN58" s="112" t="s">
        <v>739</v>
      </c>
      <c r="CO58" s="112" t="s">
        <v>522</v>
      </c>
      <c r="CP58" s="112" t="s">
        <v>523</v>
      </c>
      <c r="CQ58" s="112" t="s">
        <v>740</v>
      </c>
      <c r="CR58" s="112" t="s">
        <v>740</v>
      </c>
      <c r="CS58" s="112" t="s">
        <v>525</v>
      </c>
      <c r="CT58" s="112" t="s">
        <v>526</v>
      </c>
      <c r="CU58" s="112" t="s">
        <v>527</v>
      </c>
      <c r="CV58" s="113" t="s">
        <v>528</v>
      </c>
      <c r="CX58" s="36">
        <v>1</v>
      </c>
    </row>
    <row r="59" spans="1:102" ht="21" customHeight="1" x14ac:dyDescent="0.25">
      <c r="A59" s="135">
        <v>53</v>
      </c>
      <c r="B59" s="136" t="s">
        <v>5895</v>
      </c>
      <c r="C59" s="137" t="str">
        <f t="shared" si="0"/>
        <v>dos de colin *</v>
      </c>
      <c r="D59" s="138" t="str">
        <f>IF(59=59,IF($B59="","",IF(E59="X",""&amp;"Céréales contenant du gluten","")&amp;IF(F59="X",IF(COUNTIF($E59:$E59,"X")&gt;0,", ","")&amp;"Crustacés","")&amp;IF(G59="X",IF(COUNTIF($E59:$F59,"X")&gt;0,", ","")&amp;"Œufs","")&amp;IF(H59="X",IF(COUNTIF($E59:$G59,"X")&gt;0,", ","")&amp;"Poissons","")&amp;IF(I59="X",IF(COUNTIF($E59:$H59,"X")&gt;0,", ","")&amp;"Arachides","")&amp;IF(J59="X",IF(COUNTIF($E59:$I59,"X")&gt;0,", ","")&amp;"Soja","")&amp;IF(K59="X",IF(COUNTIF($E59:$J59,"X")&gt;0,", ","")&amp;"Lait","")&amp;IF(L59="X",IF(COUNTIF($E59:$K59,"X")&gt;0,", ","")&amp;"Fruits à coque","")&amp;IF(M59="X",IF(COUNTIF($E59:$L59,"X")&gt;0,", ","")&amp;"Céleri","")&amp;IF(N59="X",IF(COUNTIF($E59:$M59,"X")&gt;0,", ","")&amp;"Moutarde","")&amp;IF(O59="X",IF(COUNTIF($E59:$N59,"X")&gt;0,", ","")&amp;"Sésame","")&amp;IF(P59="X",IF(COUNTIF($E59:$O59,"X")&gt;0,", ","")&amp;"Sulfites","")&amp;IF(Q59="X",IF(COUNTIF($E59:$P59,"X")&gt;0,", ","")&amp;"Lupin","")&amp;IF(R59="X",IF(COUNTIF($E59:$Q59,"X")&gt;0,", ","")&amp;"Mollusques","")),"")</f>
        <v>Poissons</v>
      </c>
      <c r="E59" s="139" t="str">
        <f>IF(59=59,IF($B59="","",AF59),"")</f>
        <v/>
      </c>
      <c r="F59" s="139" t="str">
        <f>IF(59=59,IF($B59="","",AI59),"")</f>
        <v/>
      </c>
      <c r="G59" s="139" t="str">
        <f>IF(59=59,IF($B59="","",AM59),"")</f>
        <v/>
      </c>
      <c r="H59" s="139" t="str">
        <f>IF(59=59,IF($B59="","",IF(ISNUMBER(SEARCH(" colin ",$AA59)),"X",AZ59)),"")</f>
        <v>X</v>
      </c>
      <c r="I59" s="139" t="str">
        <f>IF(59=59,IF($B59="","",BB59),"")</f>
        <v/>
      </c>
      <c r="J59" s="139" t="str">
        <f>IF(59=59,IF($B59="","",BF59),"")</f>
        <v/>
      </c>
      <c r="K59" s="139" t="str">
        <f>IF(59=59,IF($B59="","",BM59),"")</f>
        <v/>
      </c>
      <c r="L59" s="139" t="str">
        <f>IF(59=59,IF($B59="","",BQ59),"")</f>
        <v/>
      </c>
      <c r="M59" s="139" t="str">
        <f>IF(59=59,IF($B59="","",BT59),"")</f>
        <v/>
      </c>
      <c r="N59" s="139" t="str">
        <f>IF(59=59,IF($B59="","",BW59),"")</f>
        <v/>
      </c>
      <c r="O59" s="139" t="str">
        <f>IF(59=59,IF($B59="","",BZ59),"")</f>
        <v/>
      </c>
      <c r="P59" s="139" t="str">
        <f>IF(59=59,IF($B59="","",CC59),"")</f>
        <v/>
      </c>
      <c r="Q59" s="139" t="str">
        <f>IF(59=59,IF($B59="","",CF59),"")</f>
        <v/>
      </c>
      <c r="R59" s="139" t="str">
        <f>IF(59=59,IF($B59="","",CL59),"")</f>
        <v/>
      </c>
      <c r="S59" s="140" t="str">
        <f>IF(59=59,IF($B59="","",IF(E59="?",""&amp;"Céréales contenant du gluten","")&amp;IF(F59="?",IF(COUNTIF($E59:$E59,"~?")&gt;0,", ","")&amp;"Crustacés","")&amp;IF(G59="?",IF(COUNTIF($E59:$F59,"~?")&gt;0,", ","")&amp;"Œufs","")&amp;IF(H59="?",IF(COUNTIF($E59:$G59,"~?")&gt;0,", ","")&amp;"Poissons","")&amp;IF(I59="?",IF(COUNTIF($E59:$H59,"~?")&gt;0,", ","")&amp;"Arachides","")&amp;IF(J59="?",IF(COUNTIF($E59:$I59,"~?")&gt;0,", ","")&amp;"Soja","")&amp;IF(K59="?",IF(COUNTIF($E59:$J59,"~?")&gt;0,", ","")&amp;"Lait","")&amp;IF(L59="?",IF(COUNTIF($E59:$K59,"~?")&gt;0,", ","")&amp;"Fruits à coque","")&amp;IF(M59="?",IF(COUNTIF($E59:$L59,"~?")&gt;0,", ","")&amp;"Céleri","")&amp;IF(N59="?",IF(COUNTIF($E59:$M59,"~?")&gt;0,", ","")&amp;"Moutarde","")&amp;IF(O59="?",IF(COUNTIF($E59:$N59,"~?")&gt;0,", ","")&amp;"Sésame","")&amp;IF(P59="?",IF(COUNTIF($E59:$O59,"~?")&gt;0,", ","")&amp;"Sulfites","")&amp;IF(Q59="?",IF(COUNTIF($E59:$P59,"~?")&gt;0,", ","")&amp;"Lupin","")&amp;IF(R59="?",IF(COUNTIF($E59:$Q59,"~?")&gt;0,", ","")&amp;"Mollusques","")),"")</f>
        <v/>
      </c>
      <c r="U59" s="93" t="str">
        <f>IF(59=59,IF($B59="","",$B59),"")</f>
        <v>dos de colin</v>
      </c>
      <c r="V59" s="93" t="str">
        <f>IF(59=59,LOWER(CLEAN(SUBSTITUTE(SUBSTITUTE(SUBSTITUTE(SUBSTITUTE($U59,CHAR(160)," ")," "," "),CHAR(10)," "),CHAR(13)," "))),"")</f>
        <v>dos de colin</v>
      </c>
      <c r="W59" s="93" t="str">
        <f>IF(59=59,SUBSTITUTE(SUBSTITUTE(SUBSTITUTE(SUBSTITUTE(SUBSTITUTE(SUBSTITUTE(SUBSTITUTE(SUBSTITUTE(SUBSTITUTE(SUBSTITUTE(SUBSTITUTE(SUBSTITUTE($V59,"œ","oe"),"æ","ae"),"à","a"),"á","a"),"â","a"),"ä","a"),"ã","a"),"ç","c"),"è","e"),"é","e"),"ê","e"),"ë","e"),"")</f>
        <v>dos de colin</v>
      </c>
      <c r="X59" s="93" t="str">
        <f>IF(59=59,SUBSTITUTE(SUBSTITUTE(SUBSTITUTE(SUBSTITUTE(SUBSTITUTE(SUBSTITUTE(SUBSTITUTE(SUBSTITUTE(SUBSTITUTE(SUBSTITUTE(SUBSTITUTE(SUBSTITUTE(SUBSTITUTE(SUBSTITUTE(SUBSTITUTE(SUBSTITUTE($W59,"ì","i"),"í","i"),"î","i"),"ï","i"),"ñ","n"),"ò","o"),"ó","o"),"ô","o"),"ö","o"),"õ","o"),"ù","u"),"ú","u"),"û","u"),"ü","u"),"ý","y"),"ÿ","y"),"")</f>
        <v>dos de colin</v>
      </c>
      <c r="Y59" s="93" t="str">
        <f>IF(59=59,SUBSTITUTE(SUBSTITUTE(SUBSTITUTE(SUBSTITUTE(SUBSTITUTE(SUBSTITUTE(SUBSTITUTE(SUBSTITUTE(SUBSTITUTE(SUBSTITUTE(SUBSTITUTE(SUBSTITUTE(SUBSTITUTE(SUBSTITUTE($X59,"’"," "),"`"," "),"–"," "),"—"," "),"-"," "),"'"," "),"/"," "),"_"," "),","," "),"."," "),"("," "),")"," "),";"," "),":"," "),"")</f>
        <v>dos de colin</v>
      </c>
      <c r="Z59" s="93" t="str">
        <f>IF(59=59,SUBSTITUTE(SUBSTITUTE(SUBSTITUTE(SUBSTITUTE(SUBSTITUTE(SUBSTITUTE(SUBSTITUTE(SUBSTITUTE(SUBSTITUTE(SUBSTITUTE(SUBSTITUTE(SUBSTITUTE(SUBSTITUTE(SUBSTITUTE(SUBSTITUTE($Y59,"!"," "),"?"," "),"+"," "),"*"," "),"&amp;"," "),"["," "),"]"," "),"{"," "),"}"," "),"%"," "),"="," "),"\"," "),"|"," "),"&lt;"," "),"&gt;"," "),"")</f>
        <v>dos de colin</v>
      </c>
      <c r="AA59" s="93" t="str">
        <f>IF(59=59," "&amp;TRIM(SUBSTITUTE(SUBSTITUTE(SUBSTITUTE(SUBSTITUTE(SUBSTITUTE(SUBSTITUTE($Z59,CHAR(34)," "),"  "," "),"  "," "),"  "," "),"  "," "),"  "," "))&amp;" ","")</f>
        <v xml:space="preserve"> dos de colin </v>
      </c>
      <c r="AB59" s="93">
        <f>IF(59=59,IF($U59="","",SUMPRODUCT(--ISNUMBER(SEARCH(" "&amp;$CR$2:$CR$101&amp;" ",$AD59)))),"")</f>
        <v>0</v>
      </c>
      <c r="AC59" s="93">
        <f>IF(59=59,IF($U59="","",SUMPRODUCT(--ISNUMBER(SEARCH(" "&amp;$CR$102:$CR$151&amp;" ",$AD59)))),"")</f>
        <v>0</v>
      </c>
      <c r="AD59" s="93" t="str">
        <f t="shared" si="1"/>
        <v xml:space="preserve"> dos de colin </v>
      </c>
      <c r="AE59" s="93">
        <f t="shared" si="2"/>
        <v>0</v>
      </c>
      <c r="AF59" s="93" t="str">
        <f>IF(59=59,IF($U59="","",IF(SUM(AB59:AC59)+SUMPRODUCT(--ISNUMBER(SEARCH(" "&amp;$CR$2418:$CR$2420&amp;" ",$AD59)))&gt;0,"X",IF(AE59&gt;0,"?",""))),"")</f>
        <v/>
      </c>
      <c r="AG59" s="93">
        <f>IF(59=59,IF($U59="","",SUMPRODUCT(--ISNUMBER(SEARCH(" "&amp;$CR$206:$CR$305&amp;" ",$AA59)))),"")</f>
        <v>0</v>
      </c>
      <c r="AH59" s="93">
        <f>IF(59=59,IF($U59="","",SUMPRODUCT(--ISNUMBER(SEARCH(" "&amp;$CR$306:$CR$340&amp;" ",$AA59)))),"")</f>
        <v>0</v>
      </c>
      <c r="AI59" s="93" t="str">
        <f>IF(59=59,IF($U59="","",IF((SUM(AG59:AH59))-(0)&gt;0,"X",IF((0)-(0)&gt;0,"?",""))),"")</f>
        <v/>
      </c>
      <c r="AJ59" s="93">
        <f>IF(59=59,IF($U59="","",SUMPRODUCT(--ISNUMBER(SEARCH(" "&amp;$CR$341:$CR$398&amp;" ",$AA59)))),"")</f>
        <v>0</v>
      </c>
      <c r="AK59" s="93">
        <f>IF(59=59,IF($U59="","",SUMPRODUCT(--ISNUMBER(SEARCH(" "&amp;$CR$399:$CR$426&amp;" ",$AL59)))+SUMPRODUCT(--ISNUMBER(SEARCH(" "&amp;$CR$2440:$CR$2453&amp;" ",$AL59)))),"")</f>
        <v>0</v>
      </c>
      <c r="AL59" s="93" t="str">
        <f>IF(59=59,IF($U59="","",SUBSTITUTE(SUBSTITUTE(SUBSTITUTE(SUBSTITUTE(SUBSTITUTE(SUBSTITUTE(SUBSTITUTE(SUBSTITUTE(SUBSTITUTE(SUBSTITUTE(SUBSTITUTE(SUBSTITUTE(SUBSTITUTE(SUBSTITUTE($AA59," "&amp;$CR$2455&amp;" "," ")," "&amp;$CR$433&amp;" "," ")," "&amp;$CR$431&amp;" "," ")," "&amp;$CR$2438&amp;" "," ")," "&amp;$CR$2439&amp;" "," ")," "&amp;$CR$428&amp;" "," ")," "&amp;$CR$432&amp;" "," ")," "&amp;$CR$434&amp;" "," ")," "&amp;$CR$429&amp;" "," ")," "&amp;$CR$427&amp;" "," ")," "&amp;$CR$1367&amp;" "," ")," "&amp;$CR$435&amp;" "," ")," "&amp;$CR$1366&amp;" "," ")," "&amp;$CR$430&amp;" "," ")),"")</f>
        <v xml:space="preserve"> dos de colin </v>
      </c>
      <c r="AM59" s="93" t="str">
        <f>IF(59=59,IF($U59="","",IF(AJ59&gt;0,"X",IF(AK59&gt;0,"?",""))),"")</f>
        <v/>
      </c>
      <c r="AN59" s="93">
        <f>IF(59=59,IF($U59="","",SUMPRODUCT(--ISNUMBER(SEARCH(" "&amp;$CR$436:$CR$535&amp;" ",$AX59)))),"")</f>
        <v>0</v>
      </c>
      <c r="AO59" s="93">
        <f>IF(59=59,IF($U59="","",SUMPRODUCT(--ISNUMBER(SEARCH(" "&amp;$CR$536:$CR$635&amp;" ",$AX59)))),"")</f>
        <v>1</v>
      </c>
      <c r="AP59" s="93">
        <f>IF(59=59,IF($U59="","",SUMPRODUCT(--ISNUMBER(SEARCH(" "&amp;$CR$636:$CR$735&amp;" ",$AX59)))),"")</f>
        <v>0</v>
      </c>
      <c r="AQ59" s="93">
        <f>IF(59=59,IF($U59="","",SUMPRODUCT(--ISNUMBER(SEARCH(" "&amp;$CR$736:$CR$835&amp;" ",$AX59)))),"")</f>
        <v>0</v>
      </c>
      <c r="AR59" s="93">
        <f>IF(59=59,IF($U59="","",SUMPRODUCT(--ISNUMBER(SEARCH(" "&amp;$CR$836:$CR$935&amp;" ",$AX59)))),"")</f>
        <v>0</v>
      </c>
      <c r="AS59" s="93">
        <f>IF(59=59,IF($U59="","",SUMPRODUCT(--ISNUMBER(SEARCH(" "&amp;$CR$936:$CR$1035&amp;" ",$AX59)))),"")</f>
        <v>0</v>
      </c>
      <c r="AT59" s="93">
        <f>IF(59=59,IF($U59="","",SUMPRODUCT(--ISNUMBER(SEARCH(" "&amp;$CR$1036:$CR$1135&amp;" ",$AX59)))),"")</f>
        <v>0</v>
      </c>
      <c r="AU59" s="93">
        <f>IF(59=59,IF($U59="","",SUMPRODUCT(--ISNUMBER(SEARCH(" "&amp;$CR$1136:$CR$1235&amp;" ",$AX59)))),"")</f>
        <v>0</v>
      </c>
      <c r="AV59" s="93">
        <f>IF(59=59,IF($U59="","",SUMPRODUCT(--ISNUMBER(SEARCH(" "&amp;$CR$1236:$CR$1335&amp;" ",$AX59)))),"")</f>
        <v>0</v>
      </c>
      <c r="AW59" s="93">
        <f>IF(59=59,IF($U59="","",SUMPRODUCT(--ISNUMBER(SEARCH(" "&amp;$CR$1336:$CR$1363&amp;" ",$AX59)))),"")</f>
        <v>0</v>
      </c>
      <c r="AX59" s="93" t="str">
        <f>IF(59=59,IF($U59="","",SUBSTITUTE(SUBSTITUTE(SUBSTITUTE(SUBSTITUTE(SUBSTITUTE(SUBSTITUTE(SUBSTITUTE(SUBSTITUTE(SUBSTITUTE($AA59," "&amp;$CR$1365&amp;" "," ")," "&amp;$CR$1364&amp;" "," ")," "&amp;$CR$1370&amp;" "," ")," "&amp;$CR$1371&amp;" "," ")," "&amp;$CR$1367&amp;" "," ")," "&amp;$CR$1369&amp;" "," ")," "&amp;$CR$1366&amp;" "," ")," "&amp;$CR$1368&amp;" "," ")," "&amp;$CR$1372&amp;" "," ")),"")</f>
        <v xml:space="preserve"> dos de colin </v>
      </c>
      <c r="AY59" s="93">
        <f>IF(59=59,IF($U59="","",SUMPRODUCT(--ISNUMBER(SEARCH(" "&amp;$CR$1373:$CR$1383&amp;" ",$AX59)))),"")</f>
        <v>0</v>
      </c>
      <c r="AZ59" s="93" t="str">
        <f>IF(59=59,IF($U59="","",IF(SUM(AN59:AW59)+SUMPRODUCT(--ISNUMBER(SEARCH(" "&amp;$CR$2421:$CR$2422&amp;" ",$AX59)))&gt;0,"X",IF(AY59&gt;0,"?",""))),"")</f>
        <v>X</v>
      </c>
      <c r="BA59" s="93">
        <f>IF(59=59,IF($U59="","",SUMPRODUCT(--ISNUMBER(SEARCH(" "&amp;$CR$1384:$CR$1404&amp;" ",$AA59)))),"")</f>
        <v>0</v>
      </c>
      <c r="BB59" s="93" t="str">
        <f>IF(59=59,IF($U59="","",IF((BA59)-(0)&gt;0,"X",IF((0)-(0)&gt;0,"?",""))),"")</f>
        <v/>
      </c>
      <c r="BC59" s="93">
        <f>IF(59=59,IF($U59="","",SUMPRODUCT(--ISNUMBER(SEARCH(" "&amp;$CR$1405:$CR$1442&amp;" ",$BD59)))),"")</f>
        <v>0</v>
      </c>
      <c r="BD59" s="93" t="str">
        <f>IF(59=59,IF($U59="","",SUBSTITUTE(SUBSTITUTE($AA59," "&amp;$CR$1443&amp;" "," ")," "&amp;$CR$1444&amp;" "," ")),"")</f>
        <v xml:space="preserve"> dos de colin </v>
      </c>
      <c r="BE59" s="93">
        <f>IF(59=59,IF($U59="","",SUMPRODUCT(--ISNUMBER(SEARCH(" "&amp;$CR$1445:$CR$1455&amp;" ",$BD59)))),"")</f>
        <v>0</v>
      </c>
      <c r="BF59" s="93" t="str">
        <f>IF(59=59,IF($U59="","",IF(BC59&gt;0,"X",IF(BE59&gt;0,"?",""))),"")</f>
        <v/>
      </c>
      <c r="BG59" s="93">
        <f>IF(59=59,IF($U59="","",SUMPRODUCT(--ISNUMBER(SEARCH(" "&amp;$CR$1456:$CR$1555&amp;" ",$BJ59)))),"")</f>
        <v>0</v>
      </c>
      <c r="BH59" s="93">
        <f>IF(59=59,IF($U59="","",SUMPRODUCT(--ISNUMBER(SEARCH(" "&amp;$CR$1556:$CR$1655&amp;" ",$BJ59)))),"")</f>
        <v>0</v>
      </c>
      <c r="BI59" s="93">
        <f>IF(59=59,IF($U59="","",SUMPRODUCT(--ISNUMBER(SEARCH(" "&amp;$CR$1656:$CR$1739&amp;" ",$BJ59)))),"")</f>
        <v>0</v>
      </c>
      <c r="BJ59" s="93" t="str">
        <f>IF(59=59,IF($U59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59,"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dos de colin </v>
      </c>
      <c r="BK59" s="93">
        <f>IF(59=59,IF($U59="","",SUMPRODUCT(--ISNUMBER(SEARCH(" "&amp;$CR$1790:$CR$1869&amp;" ",$BL59)))+SUMPRODUCT(--ISNUMBER(SEARCH(" "&amp;$CR$2440:$CR$2453&amp;" ",$BL59)))),"")</f>
        <v>0</v>
      </c>
      <c r="BL59" s="93" t="str">
        <f>IF(59=59,IF($U59="","",SUBSTITUTE(SUBSTITUTE(SUBSTITUTE(SUBSTITUTE(SUBSTITUTE(SUBSTITUTE(SUBSTITUTE(SUBSTITUTE(SUBSTITUTE(SUBSTITUTE(SUBSTITUTE(SUBSTITUTE(SUBSTITUTE($BJ59," "&amp;$CR$1876&amp;" "," ")," "&amp;$CR$1874&amp;" "," ")," "&amp;$CR$2438&amp;" "," ")," "&amp;$CR$2439&amp;" "," ")," "&amp;$CR$1871&amp;" "," ")," "&amp;$CR$1875&amp;" "," ")," "&amp;$CR$1877&amp;" "," ")," "&amp;$CR$1872&amp;" "," ")," "&amp;$CR$1870&amp;" "," ")," "&amp;$CR$1367&amp;" "," ")," "&amp;$CR$1878&amp;" "," ")," "&amp;$CR$1366&amp;" "," ")," "&amp;$CR$1873&amp;" "," ")),"")</f>
        <v xml:space="preserve"> dos de colin </v>
      </c>
      <c r="BM59" s="93" t="str">
        <f>IF(59=59,IF($U59="","",IF(SUM(BG59:BI59)+SUMPRODUCT(--ISNUMBER(SEARCH(" "&amp;$CR$2423:$CR$2424&amp;" ",$BJ59)))&gt;0,"X",IF(BK59&gt;0,"?",""))),"")</f>
        <v/>
      </c>
      <c r="BN59" s="93">
        <f>IF(59=59,IF($U59="","",SUMPRODUCT(--ISNUMBER(SEARCH(" "&amp;$CR$1879:$CR$1936&amp;" ",$BO59)))),"")</f>
        <v>0</v>
      </c>
      <c r="BO59" s="93" t="str">
        <f>IF(59=59,IF($U59="","",SUBSTITUTE(SUBSTITUTE(SUBSTITUTE(SUBSTITUTE(SUBSTITUTE(SUBSTITUTE(SUBSTITUTE(SUBSTITUTE(SUBSTITUTE(SUBSTITUTE(SUBSTITUTE(SUBSTITUTE(SUBSTITUTE(SUBSTITUTE(SUBSTITUTE(SUBSTITUTE(SUBSTITUTE(SUBSTITUTE(SUBSTITUTE(SUBSTITUTE(SUBSTITUTE(SUBSTITUTE(SUBSTITUTE($AA59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dos de colin </v>
      </c>
      <c r="BP59" s="93">
        <f>IF(59=59,IF($U59="","",SUMPRODUCT(--ISNUMBER(SEARCH(" "&amp;$CR$1960:$CR$1976&amp;" ",$BO59)))),"")</f>
        <v>0</v>
      </c>
      <c r="BQ59" s="93" t="str">
        <f>IF(59=59,IF($U59="","",IF(BN59&gt;0,"X",IF(BP59&gt;0,"?",""))),"")</f>
        <v/>
      </c>
      <c r="BR59" s="93">
        <f>IF(59=59,IF($U59="","",SUMPRODUCT(--ISNUMBER(SEARCH(" "&amp;$CR$1977:$CR$1990&amp;" ",$AA59)))),"")</f>
        <v>0</v>
      </c>
      <c r="BS59" s="93">
        <f>IF(59=59,IF($U59="","",SUMPRODUCT(--ISNUMBER(SEARCH(" "&amp;$CR$1991:$CR$2005&amp;" ",$AA59)))),"")</f>
        <v>0</v>
      </c>
      <c r="BT59" s="93" t="str">
        <f>IF(59=59,IF($U59="","",IF((BR59)-(0)&gt;0,"X",IF((BS59)-(0)&gt;0,"?",""))),"")</f>
        <v/>
      </c>
      <c r="BU59" s="93">
        <f>IF(59=59,IF($U59="","",SUMPRODUCT(--ISNUMBER(SEARCH(" "&amp;$CR$2006:$CR$2023&amp;" ",$AA59)))),"")</f>
        <v>0</v>
      </c>
      <c r="BV59" s="93">
        <f>IF(59=59,IF($U59="","",SUMPRODUCT(--ISNUMBER(SEARCH(" "&amp;$CR$2024:$CR$2038&amp;" ",$AA59)))),"")</f>
        <v>0</v>
      </c>
      <c r="BW59" s="93" t="str">
        <f>IF(59=59,IF($U59="","",IF((BU59)-(0)&gt;0,"X",IF((BV59)-(0)&gt;0,"?",""))),"")</f>
        <v/>
      </c>
      <c r="BX59" s="93">
        <f>IF(59=59,IF($U59="","",SUMPRODUCT(--ISNUMBER(SEARCH(" "&amp;$CR$2039:$CR$2057&amp;" ",$AA59)))),"")</f>
        <v>0</v>
      </c>
      <c r="BY59" s="93">
        <f>IF(59=59,IF($U59="","",SUMPRODUCT(--ISNUMBER(SEARCH(" "&amp;$CR$2058:$CR$2072&amp;" ",$AA59)))),"")</f>
        <v>0</v>
      </c>
      <c r="BZ59" s="93" t="str">
        <f>IF(59=59,IF($U59="","",IF((BX59)-(0)&gt;0,"X",IF((BY59)-(0)&gt;0,"?",""))),"")</f>
        <v/>
      </c>
      <c r="CA59" s="93">
        <f>IF(59=59,IF($U59="","",SUMPRODUCT(--ISNUMBER(SEARCH(" "&amp;$CR$2073:$CR$2093&amp;" ",$AA59)))),"")</f>
        <v>0</v>
      </c>
      <c r="CB59" s="93">
        <f>IF(59=59,IF($U59="","",SUMPRODUCT(--ISNUMBER(SEARCH(" "&amp;$CR$2094:$CR$2133&amp;" ",SUBSTITUTE(SUBSTITUTE($AA59," "&amp;$CR$1367&amp;" "," ")," "&amp;$CR$1366&amp;" "," "))))+--ISNUMBER(SEARCH("poiré",$V59))),"")</f>
        <v>0</v>
      </c>
      <c r="CC59" s="93" t="str">
        <f>IF(59=59,IF($U59="","",IF(OR(CA59&gt;0,ISNUMBER(SEARCH(" vinaigre de vin ",$AA59)),ISNUMBER(SEARCH(" vinaigre au vin ",$AA59))),"X",IF(CB59&gt;0,"?",""))),"")</f>
        <v/>
      </c>
      <c r="CD59" s="93">
        <f>IF(59=59,IF($U59="","",SUMPRODUCT(--ISNUMBER(SEARCH(" "&amp;$CR$2134:$CR$2146&amp;" ",$AA59)))),"")</f>
        <v>0</v>
      </c>
      <c r="CE59" s="93">
        <f>IF(59=59,IF($U59="","",SUMPRODUCT(--ISNUMBER(SEARCH(" "&amp;$CR$2147:$CR$2152&amp;" ",$AA59)))),"")</f>
        <v>0</v>
      </c>
      <c r="CF59" s="93" t="str">
        <f>IF(59=59,IF($U59="","",IF((CD59)-(0)&gt;0,"X",IF((CE59)-(0)&gt;0,"?",""))),"")</f>
        <v/>
      </c>
      <c r="CG59" s="93">
        <f>IF(59=59,IF($U59="","",SUMPRODUCT(--ISNUMBER(SEARCH(" "&amp;$CR$2153:$CR$2252&amp;" ",$CJ59)))),"")</f>
        <v>0</v>
      </c>
      <c r="CH59" s="93">
        <f>IF(59=59,IF($U59="","",SUMPRODUCT(--ISNUMBER(SEARCH(" "&amp;$CR$2253:$CR$2352&amp;" ",$CJ59)))),"")</f>
        <v>0</v>
      </c>
      <c r="CI59" s="93">
        <f>IF(59=59,IF($U59="","",SUMPRODUCT(--ISNUMBER(SEARCH(" "&amp;$CR$2353:$CR$2395&amp;" ",$CJ59)))),"")</f>
        <v>0</v>
      </c>
      <c r="CJ59" s="93" t="str">
        <f>IF(59=59,IF($U59="","",SUBSTITUTE(SUBSTITUTE(SUBSTITUTE(SUBSTITUTE(SUBSTITUTE(SUBSTITUTE(SUBSTITUTE(SUBSTITUTE(SUBSTITUTE(SUBSTITUTE(SUBSTITUTE(SUBSTITUTE(SUBSTITUTE(SUBSTITUTE(SUBSTITUTE(SUBSTITUTE($AA59," "&amp;$CR$2401&amp;" "," ")," "&amp;$CR$2400&amp;" "," ")," "&amp;$CR$2399&amp;" "," ")," "&amp;$CR$2406&amp;" "," ")," "&amp;$CR$2398&amp;" "," ")," "&amp;$CR$2410&amp;" "," ")," "&amp;$CR$2397&amp;" "," ")," "&amp;$CR$2402&amp;" "," ")," "&amp;$CR$2405&amp;" "," ")," "&amp;$CR$2396&amp;" "," ")," "&amp;$CR$2404&amp;" "," ")," "&amp;$CR$2411&amp;" "," ")," "&amp;$CR$2408&amp;" "," ")," "&amp;$CR$2403&amp;" "," ")," "&amp;$CR$2407&amp;" "," ")," "&amp;$CR$2409&amp;" "," ")),"")</f>
        <v xml:space="preserve"> dos de colin </v>
      </c>
      <c r="CK59" s="93">
        <f>IF(59=59,IF($U59="","",SUMPRODUCT(--ISNUMBER(SEARCH(" "&amp;$CR$2412:$CR$2416&amp;" ",$CJ59)))),"")</f>
        <v>0</v>
      </c>
      <c r="CL59" s="93" t="str">
        <f>IF(59=59,IF($U59="","",IF(SUM(CG59:CI59)&gt;0,"X",IF(CK59&gt;0,"?",""))),"")</f>
        <v/>
      </c>
      <c r="CM59" s="102"/>
      <c r="CN59" s="112" t="s">
        <v>741</v>
      </c>
      <c r="CO59" s="112" t="s">
        <v>522</v>
      </c>
      <c r="CP59" s="112" t="s">
        <v>523</v>
      </c>
      <c r="CQ59" s="112" t="s">
        <v>742</v>
      </c>
      <c r="CR59" s="112" t="s">
        <v>742</v>
      </c>
      <c r="CS59" s="112" t="s">
        <v>525</v>
      </c>
      <c r="CT59" s="112" t="s">
        <v>526</v>
      </c>
      <c r="CU59" s="112" t="s">
        <v>527</v>
      </c>
      <c r="CV59" s="113" t="s">
        <v>528</v>
      </c>
      <c r="CX59" s="36">
        <v>1</v>
      </c>
    </row>
    <row r="60" spans="1:102" ht="21" customHeight="1" x14ac:dyDescent="0.25">
      <c r="A60" s="135">
        <v>54</v>
      </c>
      <c r="B60" s="136" t="s">
        <v>1011</v>
      </c>
      <c r="C60" s="137" t="str">
        <f t="shared" si="0"/>
        <v>Graines de sésame *</v>
      </c>
      <c r="D60" s="138" t="str">
        <f>IF(60=60,IF($B60="","",IF(E60="X",""&amp;"Céréales contenant du gluten","")&amp;IF(F60="X",IF(COUNTIF($E60:$E60,"X")&gt;0,", ","")&amp;"Crustacés","")&amp;IF(G60="X",IF(COUNTIF($E60:$F60,"X")&gt;0,", ","")&amp;"Œufs","")&amp;IF(H60="X",IF(COUNTIF($E60:$G60,"X")&gt;0,", ","")&amp;"Poissons","")&amp;IF(I60="X",IF(COUNTIF($E60:$H60,"X")&gt;0,", ","")&amp;"Arachides","")&amp;IF(J60="X",IF(COUNTIF($E60:$I60,"X")&gt;0,", ","")&amp;"Soja","")&amp;IF(K60="X",IF(COUNTIF($E60:$J60,"X")&gt;0,", ","")&amp;"Lait","")&amp;IF(L60="X",IF(COUNTIF($E60:$K60,"X")&gt;0,", ","")&amp;"Fruits à coque","")&amp;IF(M60="X",IF(COUNTIF($E60:$L60,"X")&gt;0,", ","")&amp;"Céleri","")&amp;IF(N60="X",IF(COUNTIF($E60:$M60,"X")&gt;0,", ","")&amp;"Moutarde","")&amp;IF(O60="X",IF(COUNTIF($E60:$N60,"X")&gt;0,", ","")&amp;"Sésame","")&amp;IF(P60="X",IF(COUNTIF($E60:$O60,"X")&gt;0,", ","")&amp;"Sulfites","")&amp;IF(Q60="X",IF(COUNTIF($E60:$P60,"X")&gt;0,", ","")&amp;"Lupin","")&amp;IF(R60="X",IF(COUNTIF($E60:$Q60,"X")&gt;0,", ","")&amp;"Mollusques","")),"")</f>
        <v>Sésame</v>
      </c>
      <c r="E60" s="139" t="str">
        <f>IF(60=60,IF($B60="","",AF60),"")</f>
        <v/>
      </c>
      <c r="F60" s="139" t="str">
        <f>IF(60=60,IF($B60="","",AI60),"")</f>
        <v/>
      </c>
      <c r="G60" s="139" t="str">
        <f>IF(60=60,IF($B60="","",AM60),"")</f>
        <v/>
      </c>
      <c r="H60" s="139" t="str">
        <f>IF(60=60,IF($B60="","",IF(ISNUMBER(SEARCH(" colin ",$AA60)),"X",AZ60)),"")</f>
        <v/>
      </c>
      <c r="I60" s="139" t="str">
        <f>IF(60=60,IF($B60="","",BB60),"")</f>
        <v/>
      </c>
      <c r="J60" s="139" t="str">
        <f>IF(60=60,IF($B60="","",BF60),"")</f>
        <v/>
      </c>
      <c r="K60" s="139" t="str">
        <f>IF(60=60,IF($B60="","",BM60),"")</f>
        <v/>
      </c>
      <c r="L60" s="139" t="str">
        <f>IF(60=60,IF($B60="","",BQ60),"")</f>
        <v/>
      </c>
      <c r="M60" s="139" t="str">
        <f>IF(60=60,IF($B60="","",BT60),"")</f>
        <v/>
      </c>
      <c r="N60" s="139" t="str">
        <f>IF(60=60,IF($B60="","",BW60),"")</f>
        <v/>
      </c>
      <c r="O60" s="139" t="str">
        <f>IF(60=60,IF($B60="","",BZ60),"")</f>
        <v>X</v>
      </c>
      <c r="P60" s="139" t="str">
        <f>IF(60=60,IF($B60="","",CC60),"")</f>
        <v/>
      </c>
      <c r="Q60" s="139" t="str">
        <f>IF(60=60,IF($B60="","",CF60),"")</f>
        <v/>
      </c>
      <c r="R60" s="139" t="str">
        <f>IF(60=60,IF($B60="","",CL60),"")</f>
        <v/>
      </c>
      <c r="S60" s="140" t="str">
        <f>IF(60=60,IF($B60="","",IF(E60="?",""&amp;"Céréales contenant du gluten","")&amp;IF(F60="?",IF(COUNTIF($E60:$E60,"~?")&gt;0,", ","")&amp;"Crustacés","")&amp;IF(G60="?",IF(COUNTIF($E60:$F60,"~?")&gt;0,", ","")&amp;"Œufs","")&amp;IF(H60="?",IF(COUNTIF($E60:$G60,"~?")&gt;0,", ","")&amp;"Poissons","")&amp;IF(I60="?",IF(COUNTIF($E60:$H60,"~?")&gt;0,", ","")&amp;"Arachides","")&amp;IF(J60="?",IF(COUNTIF($E60:$I60,"~?")&gt;0,", ","")&amp;"Soja","")&amp;IF(K60="?",IF(COUNTIF($E60:$J60,"~?")&gt;0,", ","")&amp;"Lait","")&amp;IF(L60="?",IF(COUNTIF($E60:$K60,"~?")&gt;0,", ","")&amp;"Fruits à coque","")&amp;IF(M60="?",IF(COUNTIF($E60:$L60,"~?")&gt;0,", ","")&amp;"Céleri","")&amp;IF(N60="?",IF(COUNTIF($E60:$M60,"~?")&gt;0,", ","")&amp;"Moutarde","")&amp;IF(O60="?",IF(COUNTIF($E60:$N60,"~?")&gt;0,", ","")&amp;"Sésame","")&amp;IF(P60="?",IF(COUNTIF($E60:$O60,"~?")&gt;0,", ","")&amp;"Sulfites","")&amp;IF(Q60="?",IF(COUNTIF($E60:$P60,"~?")&gt;0,", ","")&amp;"Lupin","")&amp;IF(R60="?",IF(COUNTIF($E60:$Q60,"~?")&gt;0,", ","")&amp;"Mollusques","")),"")</f>
        <v/>
      </c>
      <c r="U60" s="93" t="str">
        <f>IF(60=60,IF($B60="","",$B60),"")</f>
        <v>Graines de sésame</v>
      </c>
      <c r="V60" s="93" t="str">
        <f>IF(60=60,LOWER(CLEAN(SUBSTITUTE(SUBSTITUTE(SUBSTITUTE(SUBSTITUTE($U60,CHAR(160)," ")," "," "),CHAR(10)," "),CHAR(13)," "))),"")</f>
        <v>graines de sésame</v>
      </c>
      <c r="W60" s="93" t="str">
        <f>IF(60=60,SUBSTITUTE(SUBSTITUTE(SUBSTITUTE(SUBSTITUTE(SUBSTITUTE(SUBSTITUTE(SUBSTITUTE(SUBSTITUTE(SUBSTITUTE(SUBSTITUTE(SUBSTITUTE(SUBSTITUTE($V60,"œ","oe"),"æ","ae"),"à","a"),"á","a"),"â","a"),"ä","a"),"ã","a"),"ç","c"),"è","e"),"é","e"),"ê","e"),"ë","e"),"")</f>
        <v>graines de sesame</v>
      </c>
      <c r="X60" s="93" t="str">
        <f>IF(60=60,SUBSTITUTE(SUBSTITUTE(SUBSTITUTE(SUBSTITUTE(SUBSTITUTE(SUBSTITUTE(SUBSTITUTE(SUBSTITUTE(SUBSTITUTE(SUBSTITUTE(SUBSTITUTE(SUBSTITUTE(SUBSTITUTE(SUBSTITUTE(SUBSTITUTE(SUBSTITUTE($W60,"ì","i"),"í","i"),"î","i"),"ï","i"),"ñ","n"),"ò","o"),"ó","o"),"ô","o"),"ö","o"),"õ","o"),"ù","u"),"ú","u"),"û","u"),"ü","u"),"ý","y"),"ÿ","y"),"")</f>
        <v>graines de sesame</v>
      </c>
      <c r="Y60" s="93" t="str">
        <f>IF(60=60,SUBSTITUTE(SUBSTITUTE(SUBSTITUTE(SUBSTITUTE(SUBSTITUTE(SUBSTITUTE(SUBSTITUTE(SUBSTITUTE(SUBSTITUTE(SUBSTITUTE(SUBSTITUTE(SUBSTITUTE(SUBSTITUTE(SUBSTITUTE($X60,"’"," "),"`"," "),"–"," "),"—"," "),"-"," "),"'"," "),"/"," "),"_"," "),","," "),"."," "),"("," "),")"," "),";"," "),":"," "),"")</f>
        <v>graines de sesame</v>
      </c>
      <c r="Z60" s="93" t="str">
        <f>IF(60=60,SUBSTITUTE(SUBSTITUTE(SUBSTITUTE(SUBSTITUTE(SUBSTITUTE(SUBSTITUTE(SUBSTITUTE(SUBSTITUTE(SUBSTITUTE(SUBSTITUTE(SUBSTITUTE(SUBSTITUTE(SUBSTITUTE(SUBSTITUTE(SUBSTITUTE($Y60,"!"," "),"?"," "),"+"," "),"*"," "),"&amp;"," "),"["," "),"]"," "),"{"," "),"}"," "),"%"," "),"="," "),"\"," "),"|"," "),"&lt;"," "),"&gt;"," "),"")</f>
        <v>graines de sesame</v>
      </c>
      <c r="AA60" s="93" t="str">
        <f>IF(60=60," "&amp;TRIM(SUBSTITUTE(SUBSTITUTE(SUBSTITUTE(SUBSTITUTE(SUBSTITUTE(SUBSTITUTE($Z60,CHAR(34)," "),"  "," "),"  "," "),"  "," "),"  "," "),"  "," "))&amp;" ","")</f>
        <v xml:space="preserve"> graines de sesame </v>
      </c>
      <c r="AB60" s="93">
        <f>IF(60=60,IF($U60="","",SUMPRODUCT(--ISNUMBER(SEARCH(" "&amp;$CR$2:$CR$101&amp;" ",$AD60)))),"")</f>
        <v>0</v>
      </c>
      <c r="AC60" s="93">
        <f>IF(60=60,IF($U60="","",SUMPRODUCT(--ISNUMBER(SEARCH(" "&amp;$CR$102:$CR$151&amp;" ",$AD60)))),"")</f>
        <v>0</v>
      </c>
      <c r="AD60" s="93" t="str">
        <f t="shared" si="1"/>
        <v xml:space="preserve"> graines de sesame </v>
      </c>
      <c r="AE60" s="93">
        <f t="shared" si="2"/>
        <v>0</v>
      </c>
      <c r="AF60" s="93" t="str">
        <f>IF(60=60,IF($U60="","",IF(SUM(AB60:AC60)+SUMPRODUCT(--ISNUMBER(SEARCH(" "&amp;$CR$2418:$CR$2420&amp;" ",$AD60)))&gt;0,"X",IF(AE60&gt;0,"?",""))),"")</f>
        <v/>
      </c>
      <c r="AG60" s="93">
        <f>IF(60=60,IF($U60="","",SUMPRODUCT(--ISNUMBER(SEARCH(" "&amp;$CR$206:$CR$305&amp;" ",$AA60)))),"")</f>
        <v>0</v>
      </c>
      <c r="AH60" s="93">
        <f>IF(60=60,IF($U60="","",SUMPRODUCT(--ISNUMBER(SEARCH(" "&amp;$CR$306:$CR$340&amp;" ",$AA60)))),"")</f>
        <v>0</v>
      </c>
      <c r="AI60" s="93" t="str">
        <f>IF(60=60,IF($U60="","",IF((SUM(AG60:AH60))-(0)&gt;0,"X",IF((0)-(0)&gt;0,"?",""))),"")</f>
        <v/>
      </c>
      <c r="AJ60" s="93">
        <f>IF(60=60,IF($U60="","",SUMPRODUCT(--ISNUMBER(SEARCH(" "&amp;$CR$341:$CR$398&amp;" ",$AA60)))),"")</f>
        <v>0</v>
      </c>
      <c r="AK60" s="93">
        <f>IF(60=60,IF($U60="","",SUMPRODUCT(--ISNUMBER(SEARCH(" "&amp;$CR$399:$CR$426&amp;" ",$AL60)))+SUMPRODUCT(--ISNUMBER(SEARCH(" "&amp;$CR$2440:$CR$2453&amp;" ",$AL60)))),"")</f>
        <v>0</v>
      </c>
      <c r="AL60" s="93" t="str">
        <f>IF(60=60,IF($U60="","",SUBSTITUTE(SUBSTITUTE(SUBSTITUTE(SUBSTITUTE(SUBSTITUTE(SUBSTITUTE(SUBSTITUTE(SUBSTITUTE(SUBSTITUTE(SUBSTITUTE(SUBSTITUTE(SUBSTITUTE(SUBSTITUTE(SUBSTITUTE($AA60," "&amp;$CR$2455&amp;" "," ")," "&amp;$CR$433&amp;" "," ")," "&amp;$CR$431&amp;" "," ")," "&amp;$CR$2438&amp;" "," ")," "&amp;$CR$2439&amp;" "," ")," "&amp;$CR$428&amp;" "," ")," "&amp;$CR$432&amp;" "," ")," "&amp;$CR$434&amp;" "," ")," "&amp;$CR$429&amp;" "," ")," "&amp;$CR$427&amp;" "," ")," "&amp;$CR$1367&amp;" "," ")," "&amp;$CR$435&amp;" "," ")," "&amp;$CR$1366&amp;" "," ")," "&amp;$CR$430&amp;" "," ")),"")</f>
        <v xml:space="preserve"> graines de sesame </v>
      </c>
      <c r="AM60" s="93" t="str">
        <f>IF(60=60,IF($U60="","",IF(AJ60&gt;0,"X",IF(AK60&gt;0,"?",""))),"")</f>
        <v/>
      </c>
      <c r="AN60" s="93">
        <f>IF(60=60,IF($U60="","",SUMPRODUCT(--ISNUMBER(SEARCH(" "&amp;$CR$436:$CR$535&amp;" ",$AX60)))),"")</f>
        <v>0</v>
      </c>
      <c r="AO60" s="93">
        <f>IF(60=60,IF($U60="","",SUMPRODUCT(--ISNUMBER(SEARCH(" "&amp;$CR$536:$CR$635&amp;" ",$AX60)))),"")</f>
        <v>0</v>
      </c>
      <c r="AP60" s="93">
        <f>IF(60=60,IF($U60="","",SUMPRODUCT(--ISNUMBER(SEARCH(" "&amp;$CR$636:$CR$735&amp;" ",$AX60)))),"")</f>
        <v>0</v>
      </c>
      <c r="AQ60" s="93">
        <f>IF(60=60,IF($U60="","",SUMPRODUCT(--ISNUMBER(SEARCH(" "&amp;$CR$736:$CR$835&amp;" ",$AX60)))),"")</f>
        <v>0</v>
      </c>
      <c r="AR60" s="93">
        <f>IF(60=60,IF($U60="","",SUMPRODUCT(--ISNUMBER(SEARCH(" "&amp;$CR$836:$CR$935&amp;" ",$AX60)))),"")</f>
        <v>0</v>
      </c>
      <c r="AS60" s="93">
        <f>IF(60=60,IF($U60="","",SUMPRODUCT(--ISNUMBER(SEARCH(" "&amp;$CR$936:$CR$1035&amp;" ",$AX60)))),"")</f>
        <v>0</v>
      </c>
      <c r="AT60" s="93">
        <f>IF(60=60,IF($U60="","",SUMPRODUCT(--ISNUMBER(SEARCH(" "&amp;$CR$1036:$CR$1135&amp;" ",$AX60)))),"")</f>
        <v>0</v>
      </c>
      <c r="AU60" s="93">
        <f>IF(60=60,IF($U60="","",SUMPRODUCT(--ISNUMBER(SEARCH(" "&amp;$CR$1136:$CR$1235&amp;" ",$AX60)))),"")</f>
        <v>0</v>
      </c>
      <c r="AV60" s="93">
        <f>IF(60=60,IF($U60="","",SUMPRODUCT(--ISNUMBER(SEARCH(" "&amp;$CR$1236:$CR$1335&amp;" ",$AX60)))),"")</f>
        <v>0</v>
      </c>
      <c r="AW60" s="93">
        <f>IF(60=60,IF($U60="","",SUMPRODUCT(--ISNUMBER(SEARCH(" "&amp;$CR$1336:$CR$1363&amp;" ",$AX60)))),"")</f>
        <v>0</v>
      </c>
      <c r="AX60" s="93" t="str">
        <f>IF(60=60,IF($U60="","",SUBSTITUTE(SUBSTITUTE(SUBSTITUTE(SUBSTITUTE(SUBSTITUTE(SUBSTITUTE(SUBSTITUTE(SUBSTITUTE(SUBSTITUTE($AA60," "&amp;$CR$1365&amp;" "," ")," "&amp;$CR$1364&amp;" "," ")," "&amp;$CR$1370&amp;" "," ")," "&amp;$CR$1371&amp;" "," ")," "&amp;$CR$1367&amp;" "," ")," "&amp;$CR$1369&amp;" "," ")," "&amp;$CR$1366&amp;" "," ")," "&amp;$CR$1368&amp;" "," ")," "&amp;$CR$1372&amp;" "," ")),"")</f>
        <v xml:space="preserve"> graines de sesame </v>
      </c>
      <c r="AY60" s="93">
        <f>IF(60=60,IF($U60="","",SUMPRODUCT(--ISNUMBER(SEARCH(" "&amp;$CR$1373:$CR$1383&amp;" ",$AX60)))),"")</f>
        <v>0</v>
      </c>
      <c r="AZ60" s="93" t="str">
        <f>IF(60=60,IF($U60="","",IF(SUM(AN60:AW60)+SUMPRODUCT(--ISNUMBER(SEARCH(" "&amp;$CR$2421:$CR$2422&amp;" ",$AX60)))&gt;0,"X",IF(AY60&gt;0,"?",""))),"")</f>
        <v/>
      </c>
      <c r="BA60" s="93">
        <f>IF(60=60,IF($U60="","",SUMPRODUCT(--ISNUMBER(SEARCH(" "&amp;$CR$1384:$CR$1404&amp;" ",$AA60)))),"")</f>
        <v>0</v>
      </c>
      <c r="BB60" s="93" t="str">
        <f>IF(60=60,IF($U60="","",IF((BA60)-(0)&gt;0,"X",IF((0)-(0)&gt;0,"?",""))),"")</f>
        <v/>
      </c>
      <c r="BC60" s="93">
        <f>IF(60=60,IF($U60="","",SUMPRODUCT(--ISNUMBER(SEARCH(" "&amp;$CR$1405:$CR$1442&amp;" ",$BD60)))),"")</f>
        <v>0</v>
      </c>
      <c r="BD60" s="93" t="str">
        <f>IF(60=60,IF($U60="","",SUBSTITUTE(SUBSTITUTE($AA60," "&amp;$CR$1443&amp;" "," ")," "&amp;$CR$1444&amp;" "," ")),"")</f>
        <v xml:space="preserve"> graines de sesame </v>
      </c>
      <c r="BE60" s="93">
        <f>IF(60=60,IF($U60="","",SUMPRODUCT(--ISNUMBER(SEARCH(" "&amp;$CR$1445:$CR$1455&amp;" ",$BD60)))),"")</f>
        <v>0</v>
      </c>
      <c r="BF60" s="93" t="str">
        <f>IF(60=60,IF($U60="","",IF(BC60&gt;0,"X",IF(BE60&gt;0,"?",""))),"")</f>
        <v/>
      </c>
      <c r="BG60" s="93">
        <f>IF(60=60,IF($U60="","",SUMPRODUCT(--ISNUMBER(SEARCH(" "&amp;$CR$1456:$CR$1555&amp;" ",$BJ60)))),"")</f>
        <v>0</v>
      </c>
      <c r="BH60" s="93">
        <f>IF(60=60,IF($U60="","",SUMPRODUCT(--ISNUMBER(SEARCH(" "&amp;$CR$1556:$CR$1655&amp;" ",$BJ60)))),"")</f>
        <v>0</v>
      </c>
      <c r="BI60" s="93">
        <f>IF(60=60,IF($U60="","",SUMPRODUCT(--ISNUMBER(SEARCH(" "&amp;$CR$1656:$CR$1739&amp;" ",$BJ60)))),"")</f>
        <v>0</v>
      </c>
      <c r="BJ60" s="93" t="str">
        <f>IF(60=60,IF($U60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60,"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graines de sesame </v>
      </c>
      <c r="BK60" s="93">
        <f>IF(60=60,IF($U60="","",SUMPRODUCT(--ISNUMBER(SEARCH(" "&amp;$CR$1790:$CR$1869&amp;" ",$BL60)))+SUMPRODUCT(--ISNUMBER(SEARCH(" "&amp;$CR$2440:$CR$2453&amp;" ",$BL60)))),"")</f>
        <v>0</v>
      </c>
      <c r="BL60" s="93" t="str">
        <f>IF(60=60,IF($U60="","",SUBSTITUTE(SUBSTITUTE(SUBSTITUTE(SUBSTITUTE(SUBSTITUTE(SUBSTITUTE(SUBSTITUTE(SUBSTITUTE(SUBSTITUTE(SUBSTITUTE(SUBSTITUTE(SUBSTITUTE(SUBSTITUTE($BJ60," "&amp;$CR$1876&amp;" "," ")," "&amp;$CR$1874&amp;" "," ")," "&amp;$CR$2438&amp;" "," ")," "&amp;$CR$2439&amp;" "," ")," "&amp;$CR$1871&amp;" "," ")," "&amp;$CR$1875&amp;" "," ")," "&amp;$CR$1877&amp;" "," ")," "&amp;$CR$1872&amp;" "," ")," "&amp;$CR$1870&amp;" "," ")," "&amp;$CR$1367&amp;" "," ")," "&amp;$CR$1878&amp;" "," ")," "&amp;$CR$1366&amp;" "," ")," "&amp;$CR$1873&amp;" "," ")),"")</f>
        <v xml:space="preserve"> graines de sesame </v>
      </c>
      <c r="BM60" s="93" t="str">
        <f>IF(60=60,IF($U60="","",IF(SUM(BG60:BI60)+SUMPRODUCT(--ISNUMBER(SEARCH(" "&amp;$CR$2423:$CR$2424&amp;" ",$BJ60)))&gt;0,"X",IF(BK60&gt;0,"?",""))),"")</f>
        <v/>
      </c>
      <c r="BN60" s="93">
        <f>IF(60=60,IF($U60="","",SUMPRODUCT(--ISNUMBER(SEARCH(" "&amp;$CR$1879:$CR$1936&amp;" ",$BO60)))),"")</f>
        <v>0</v>
      </c>
      <c r="BO60" s="93" t="str">
        <f>IF(60=60,IF($U60="","",SUBSTITUTE(SUBSTITUTE(SUBSTITUTE(SUBSTITUTE(SUBSTITUTE(SUBSTITUTE(SUBSTITUTE(SUBSTITUTE(SUBSTITUTE(SUBSTITUTE(SUBSTITUTE(SUBSTITUTE(SUBSTITUTE(SUBSTITUTE(SUBSTITUTE(SUBSTITUTE(SUBSTITUTE(SUBSTITUTE(SUBSTITUTE(SUBSTITUTE(SUBSTITUTE(SUBSTITUTE(SUBSTITUTE($AA60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graines de sesame </v>
      </c>
      <c r="BP60" s="93">
        <f>IF(60=60,IF($U60="","",SUMPRODUCT(--ISNUMBER(SEARCH(" "&amp;$CR$1960:$CR$1976&amp;" ",$BO60)))),"")</f>
        <v>0</v>
      </c>
      <c r="BQ60" s="93" t="str">
        <f>IF(60=60,IF($U60="","",IF(BN60&gt;0,"X",IF(BP60&gt;0,"?",""))),"")</f>
        <v/>
      </c>
      <c r="BR60" s="93">
        <f>IF(60=60,IF($U60="","",SUMPRODUCT(--ISNUMBER(SEARCH(" "&amp;$CR$1977:$CR$1990&amp;" ",$AA60)))),"")</f>
        <v>0</v>
      </c>
      <c r="BS60" s="93">
        <f>IF(60=60,IF($U60="","",SUMPRODUCT(--ISNUMBER(SEARCH(" "&amp;$CR$1991:$CR$2005&amp;" ",$AA60)))),"")</f>
        <v>0</v>
      </c>
      <c r="BT60" s="93" t="str">
        <f>IF(60=60,IF($U60="","",IF((BR60)-(0)&gt;0,"X",IF((BS60)-(0)&gt;0,"?",""))),"")</f>
        <v/>
      </c>
      <c r="BU60" s="93">
        <f>IF(60=60,IF($U60="","",SUMPRODUCT(--ISNUMBER(SEARCH(" "&amp;$CR$2006:$CR$2023&amp;" ",$AA60)))),"")</f>
        <v>0</v>
      </c>
      <c r="BV60" s="93">
        <f>IF(60=60,IF($U60="","",SUMPRODUCT(--ISNUMBER(SEARCH(" "&amp;$CR$2024:$CR$2038&amp;" ",$AA60)))),"")</f>
        <v>0</v>
      </c>
      <c r="BW60" s="93" t="str">
        <f>IF(60=60,IF($U60="","",IF((BU60)-(0)&gt;0,"X",IF((BV60)-(0)&gt;0,"?",""))),"")</f>
        <v/>
      </c>
      <c r="BX60" s="93">
        <f>IF(60=60,IF($U60="","",SUMPRODUCT(--ISNUMBER(SEARCH(" "&amp;$CR$2039:$CR$2057&amp;" ",$AA60)))),"")</f>
        <v>2</v>
      </c>
      <c r="BY60" s="93">
        <f>IF(60=60,IF($U60="","",SUMPRODUCT(--ISNUMBER(SEARCH(" "&amp;$CR$2058:$CR$2072&amp;" ",$AA60)))),"")</f>
        <v>0</v>
      </c>
      <c r="BZ60" s="93" t="str">
        <f>IF(60=60,IF($U60="","",IF((BX60)-(0)&gt;0,"X",IF((BY60)-(0)&gt;0,"?",""))),"")</f>
        <v>X</v>
      </c>
      <c r="CA60" s="93">
        <f>IF(60=60,IF($U60="","",SUMPRODUCT(--ISNUMBER(SEARCH(" "&amp;$CR$2073:$CR$2093&amp;" ",$AA60)))),"")</f>
        <v>0</v>
      </c>
      <c r="CB60" s="93">
        <f>IF(60=60,IF($U60="","",SUMPRODUCT(--ISNUMBER(SEARCH(" "&amp;$CR$2094:$CR$2133&amp;" ",SUBSTITUTE(SUBSTITUTE($AA60," "&amp;$CR$1367&amp;" "," ")," "&amp;$CR$1366&amp;" "," "))))+--ISNUMBER(SEARCH("poiré",$V60))),"")</f>
        <v>0</v>
      </c>
      <c r="CC60" s="93" t="str">
        <f>IF(60=60,IF($U60="","",IF(OR(CA60&gt;0,ISNUMBER(SEARCH(" vinaigre de vin ",$AA60)),ISNUMBER(SEARCH(" vinaigre au vin ",$AA60))),"X",IF(CB60&gt;0,"?",""))),"")</f>
        <v/>
      </c>
      <c r="CD60" s="93">
        <f>IF(60=60,IF($U60="","",SUMPRODUCT(--ISNUMBER(SEARCH(" "&amp;$CR$2134:$CR$2146&amp;" ",$AA60)))),"")</f>
        <v>0</v>
      </c>
      <c r="CE60" s="93">
        <f>IF(60=60,IF($U60="","",SUMPRODUCT(--ISNUMBER(SEARCH(" "&amp;$CR$2147:$CR$2152&amp;" ",$AA60)))),"")</f>
        <v>0</v>
      </c>
      <c r="CF60" s="93" t="str">
        <f>IF(60=60,IF($U60="","",IF((CD60)-(0)&gt;0,"X",IF((CE60)-(0)&gt;0,"?",""))),"")</f>
        <v/>
      </c>
      <c r="CG60" s="93">
        <f>IF(60=60,IF($U60="","",SUMPRODUCT(--ISNUMBER(SEARCH(" "&amp;$CR$2153:$CR$2252&amp;" ",$CJ60)))),"")</f>
        <v>0</v>
      </c>
      <c r="CH60" s="93">
        <f>IF(60=60,IF($U60="","",SUMPRODUCT(--ISNUMBER(SEARCH(" "&amp;$CR$2253:$CR$2352&amp;" ",$CJ60)))),"")</f>
        <v>0</v>
      </c>
      <c r="CI60" s="93">
        <f>IF(60=60,IF($U60="","",SUMPRODUCT(--ISNUMBER(SEARCH(" "&amp;$CR$2353:$CR$2395&amp;" ",$CJ60)))),"")</f>
        <v>0</v>
      </c>
      <c r="CJ60" s="93" t="str">
        <f>IF(60=60,IF($U60="","",SUBSTITUTE(SUBSTITUTE(SUBSTITUTE(SUBSTITUTE(SUBSTITUTE(SUBSTITUTE(SUBSTITUTE(SUBSTITUTE(SUBSTITUTE(SUBSTITUTE(SUBSTITUTE(SUBSTITUTE(SUBSTITUTE(SUBSTITUTE(SUBSTITUTE(SUBSTITUTE($AA60," "&amp;$CR$2401&amp;" "," ")," "&amp;$CR$2400&amp;" "," ")," "&amp;$CR$2399&amp;" "," ")," "&amp;$CR$2406&amp;" "," ")," "&amp;$CR$2398&amp;" "," ")," "&amp;$CR$2410&amp;" "," ")," "&amp;$CR$2397&amp;" "," ")," "&amp;$CR$2402&amp;" "," ")," "&amp;$CR$2405&amp;" "," ")," "&amp;$CR$2396&amp;" "," ")," "&amp;$CR$2404&amp;" "," ")," "&amp;$CR$2411&amp;" "," ")," "&amp;$CR$2408&amp;" "," ")," "&amp;$CR$2403&amp;" "," ")," "&amp;$CR$2407&amp;" "," ")," "&amp;$CR$2409&amp;" "," ")),"")</f>
        <v xml:space="preserve"> graines de sesame </v>
      </c>
      <c r="CK60" s="93">
        <f>IF(60=60,IF($U60="","",SUMPRODUCT(--ISNUMBER(SEARCH(" "&amp;$CR$2412:$CR$2416&amp;" ",$CJ60)))),"")</f>
        <v>0</v>
      </c>
      <c r="CL60" s="93" t="str">
        <f>IF(60=60,IF($U60="","",IF(SUM(CG60:CI60)&gt;0,"X",IF(CK60&gt;0,"?",""))),"")</f>
        <v/>
      </c>
      <c r="CM60" s="102"/>
      <c r="CN60" s="112" t="s">
        <v>743</v>
      </c>
      <c r="CO60" s="112" t="s">
        <v>522</v>
      </c>
      <c r="CP60" s="112" t="s">
        <v>523</v>
      </c>
      <c r="CQ60" s="112" t="s">
        <v>744</v>
      </c>
      <c r="CR60" s="112" t="s">
        <v>744</v>
      </c>
      <c r="CS60" s="112" t="s">
        <v>525</v>
      </c>
      <c r="CT60" s="112" t="s">
        <v>526</v>
      </c>
      <c r="CU60" s="112" t="s">
        <v>527</v>
      </c>
      <c r="CV60" s="113" t="s">
        <v>528</v>
      </c>
      <c r="CX60" s="36">
        <v>1</v>
      </c>
    </row>
    <row r="61" spans="1:102" ht="21" customHeight="1" x14ac:dyDescent="0.25">
      <c r="A61" s="135">
        <v>55</v>
      </c>
      <c r="B61" s="136" t="s">
        <v>5896</v>
      </c>
      <c r="C61" s="137" t="str">
        <f t="shared" si="0"/>
        <v>Anhydride sulfureux et sulfites *</v>
      </c>
      <c r="D61" s="138" t="str">
        <f>IF(61=61,IF($B61="","",IF(E61="X",""&amp;"Céréales contenant du gluten","")&amp;IF(F61="X",IF(COUNTIF($E61:$E61,"X")&gt;0,", ","")&amp;"Crustacés","")&amp;IF(G61="X",IF(COUNTIF($E61:$F61,"X")&gt;0,", ","")&amp;"Œufs","")&amp;IF(H61="X",IF(COUNTIF($E61:$G61,"X")&gt;0,", ","")&amp;"Poissons","")&amp;IF(I61="X",IF(COUNTIF($E61:$H61,"X")&gt;0,", ","")&amp;"Arachides","")&amp;IF(J61="X",IF(COUNTIF($E61:$I61,"X")&gt;0,", ","")&amp;"Soja","")&amp;IF(K61="X",IF(COUNTIF($E61:$J61,"X")&gt;0,", ","")&amp;"Lait","")&amp;IF(L61="X",IF(COUNTIF($E61:$K61,"X")&gt;0,", ","")&amp;"Fruits à coque","")&amp;IF(M61="X",IF(COUNTIF($E61:$L61,"X")&gt;0,", ","")&amp;"Céleri","")&amp;IF(N61="X",IF(COUNTIF($E61:$M61,"X")&gt;0,", ","")&amp;"Moutarde","")&amp;IF(O61="X",IF(COUNTIF($E61:$N61,"X")&gt;0,", ","")&amp;"Sésame","")&amp;IF(P61="X",IF(COUNTIF($E61:$O61,"X")&gt;0,", ","")&amp;"Sulfites","")&amp;IF(Q61="X",IF(COUNTIF($E61:$P61,"X")&gt;0,", ","")&amp;"Lupin","")&amp;IF(R61="X",IF(COUNTIF($E61:$Q61,"X")&gt;0,", ","")&amp;"Mollusques","")),"")</f>
        <v>Sulfites</v>
      </c>
      <c r="E61" s="139" t="str">
        <f>IF(61=61,IF($B61="","",AF61),"")</f>
        <v/>
      </c>
      <c r="F61" s="139" t="str">
        <f>IF(61=61,IF($B61="","",AI61),"")</f>
        <v/>
      </c>
      <c r="G61" s="139" t="str">
        <f>IF(61=61,IF($B61="","",AM61),"")</f>
        <v/>
      </c>
      <c r="H61" s="139" t="str">
        <f>IF(61=61,IF($B61="","",IF(ISNUMBER(SEARCH(" colin ",$AA61)),"X",AZ61)),"")</f>
        <v/>
      </c>
      <c r="I61" s="139" t="str">
        <f>IF(61=61,IF($B61="","",BB61),"")</f>
        <v/>
      </c>
      <c r="J61" s="139" t="str">
        <f>IF(61=61,IF($B61="","",BF61),"")</f>
        <v/>
      </c>
      <c r="K61" s="139" t="str">
        <f>IF(61=61,IF($B61="","",BM61),"")</f>
        <v/>
      </c>
      <c r="L61" s="139" t="str">
        <f>IF(61=61,IF($B61="","",BQ61),"")</f>
        <v/>
      </c>
      <c r="M61" s="139" t="str">
        <f>IF(61=61,IF($B61="","",BT61),"")</f>
        <v/>
      </c>
      <c r="N61" s="139" t="str">
        <f>IF(61=61,IF($B61="","",BW61),"")</f>
        <v/>
      </c>
      <c r="O61" s="139" t="str">
        <f>IF(61=61,IF($B61="","",BZ61),"")</f>
        <v/>
      </c>
      <c r="P61" s="139" t="str">
        <f>IF(61=61,IF($B61="","",CC61),"")</f>
        <v>X</v>
      </c>
      <c r="Q61" s="139" t="str">
        <f>IF(61=61,IF($B61="","",CF61),"")</f>
        <v/>
      </c>
      <c r="R61" s="139" t="str">
        <f>IF(61=61,IF($B61="","",CL61),"")</f>
        <v/>
      </c>
      <c r="S61" s="140" t="str">
        <f>IF(61=61,IF($B61="","",IF(E61="?",""&amp;"Céréales contenant du gluten","")&amp;IF(F61="?",IF(COUNTIF($E61:$E61,"~?")&gt;0,", ","")&amp;"Crustacés","")&amp;IF(G61="?",IF(COUNTIF($E61:$F61,"~?")&gt;0,", ","")&amp;"Œufs","")&amp;IF(H61="?",IF(COUNTIF($E61:$G61,"~?")&gt;0,", ","")&amp;"Poissons","")&amp;IF(I61="?",IF(COUNTIF($E61:$H61,"~?")&gt;0,", ","")&amp;"Arachides","")&amp;IF(J61="?",IF(COUNTIF($E61:$I61,"~?")&gt;0,", ","")&amp;"Soja","")&amp;IF(K61="?",IF(COUNTIF($E61:$J61,"~?")&gt;0,", ","")&amp;"Lait","")&amp;IF(L61="?",IF(COUNTIF($E61:$K61,"~?")&gt;0,", ","")&amp;"Fruits à coque","")&amp;IF(M61="?",IF(COUNTIF($E61:$L61,"~?")&gt;0,", ","")&amp;"Céleri","")&amp;IF(N61="?",IF(COUNTIF($E61:$M61,"~?")&gt;0,", ","")&amp;"Moutarde","")&amp;IF(O61="?",IF(COUNTIF($E61:$N61,"~?")&gt;0,", ","")&amp;"Sésame","")&amp;IF(P61="?",IF(COUNTIF($E61:$O61,"~?")&gt;0,", ","")&amp;"Sulfites","")&amp;IF(Q61="?",IF(COUNTIF($E61:$P61,"~?")&gt;0,", ","")&amp;"Lupin","")&amp;IF(R61="?",IF(COUNTIF($E61:$Q61,"~?")&gt;0,", ","")&amp;"Mollusques","")),"")</f>
        <v/>
      </c>
      <c r="U61" s="93" t="str">
        <f>IF(61=61,IF($B61="","",$B61),"")</f>
        <v xml:space="preserve"> Anhydride sulfureux et sulfites </v>
      </c>
      <c r="V61" s="93" t="str">
        <f>IF(61=61,LOWER(CLEAN(SUBSTITUTE(SUBSTITUTE(SUBSTITUTE(SUBSTITUTE($U61,CHAR(160)," ")," "," "),CHAR(10)," "),CHAR(13)," "))),"")</f>
        <v xml:space="preserve"> anhydride sulfureux et sulfites </v>
      </c>
      <c r="W61" s="93" t="str">
        <f>IF(61=61,SUBSTITUTE(SUBSTITUTE(SUBSTITUTE(SUBSTITUTE(SUBSTITUTE(SUBSTITUTE(SUBSTITUTE(SUBSTITUTE(SUBSTITUTE(SUBSTITUTE(SUBSTITUTE(SUBSTITUTE($V61,"œ","oe"),"æ","ae"),"à","a"),"á","a"),"â","a"),"ä","a"),"ã","a"),"ç","c"),"è","e"),"é","e"),"ê","e"),"ë","e"),"")</f>
        <v xml:space="preserve"> anhydride sulfureux et sulfites </v>
      </c>
      <c r="X61" s="93" t="str">
        <f>IF(61=61,SUBSTITUTE(SUBSTITUTE(SUBSTITUTE(SUBSTITUTE(SUBSTITUTE(SUBSTITUTE(SUBSTITUTE(SUBSTITUTE(SUBSTITUTE(SUBSTITUTE(SUBSTITUTE(SUBSTITUTE(SUBSTITUTE(SUBSTITUTE(SUBSTITUTE(SUBSTITUTE($W61,"ì","i"),"í","i"),"î","i"),"ï","i"),"ñ","n"),"ò","o"),"ó","o"),"ô","o"),"ö","o"),"õ","o"),"ù","u"),"ú","u"),"û","u"),"ü","u"),"ý","y"),"ÿ","y"),"")</f>
        <v xml:space="preserve"> anhydride sulfureux et sulfites </v>
      </c>
      <c r="Y61" s="93" t="str">
        <f>IF(61=61,SUBSTITUTE(SUBSTITUTE(SUBSTITUTE(SUBSTITUTE(SUBSTITUTE(SUBSTITUTE(SUBSTITUTE(SUBSTITUTE(SUBSTITUTE(SUBSTITUTE(SUBSTITUTE(SUBSTITUTE(SUBSTITUTE(SUBSTITUTE($X61,"’"," "),"`"," "),"–"," "),"—"," "),"-"," "),"'"," "),"/"," "),"_"," "),","," "),"."," "),"("," "),")"," "),";"," "),":"," "),"")</f>
        <v xml:space="preserve"> anhydride sulfureux et sulfites </v>
      </c>
      <c r="Z61" s="93" t="str">
        <f>IF(61=61,SUBSTITUTE(SUBSTITUTE(SUBSTITUTE(SUBSTITUTE(SUBSTITUTE(SUBSTITUTE(SUBSTITUTE(SUBSTITUTE(SUBSTITUTE(SUBSTITUTE(SUBSTITUTE(SUBSTITUTE(SUBSTITUTE(SUBSTITUTE(SUBSTITUTE($Y61,"!"," "),"?"," "),"+"," "),"*"," "),"&amp;"," "),"["," "),"]"," "),"{"," "),"}"," "),"%"," "),"="," "),"\"," "),"|"," "),"&lt;"," "),"&gt;"," "),"")</f>
        <v xml:space="preserve"> anhydride sulfureux et sulfites </v>
      </c>
      <c r="AA61" s="93" t="str">
        <f>IF(61=61," "&amp;TRIM(SUBSTITUTE(SUBSTITUTE(SUBSTITUTE(SUBSTITUTE(SUBSTITUTE(SUBSTITUTE($Z61,CHAR(34)," "),"  "," "),"  "," "),"  "," "),"  "," "),"  "," "))&amp;" ","")</f>
        <v xml:space="preserve"> anhydride sulfureux et sulfites </v>
      </c>
      <c r="AB61" s="93">
        <f>IF(61=61,IF($U61="","",SUMPRODUCT(--ISNUMBER(SEARCH(" "&amp;$CR$2:$CR$101&amp;" ",$AD61)))),"")</f>
        <v>0</v>
      </c>
      <c r="AC61" s="93">
        <f>IF(61=61,IF($U61="","",SUMPRODUCT(--ISNUMBER(SEARCH(" "&amp;$CR$102:$CR$151&amp;" ",$AD61)))),"")</f>
        <v>0</v>
      </c>
      <c r="AD61" s="93" t="str">
        <f t="shared" si="1"/>
        <v xml:space="preserve"> anhydride sulfureux et sulfites </v>
      </c>
      <c r="AE61" s="93">
        <f t="shared" si="2"/>
        <v>0</v>
      </c>
      <c r="AF61" s="93" t="str">
        <f>IF(61=61,IF($U61="","",IF(SUM(AB61:AC61)+SUMPRODUCT(--ISNUMBER(SEARCH(" "&amp;$CR$2418:$CR$2420&amp;" ",$AD61)))&gt;0,"X",IF(AE61&gt;0,"?",""))),"")</f>
        <v/>
      </c>
      <c r="AG61" s="93">
        <f>IF(61=61,IF($U61="","",SUMPRODUCT(--ISNUMBER(SEARCH(" "&amp;$CR$206:$CR$305&amp;" ",$AA61)))),"")</f>
        <v>0</v>
      </c>
      <c r="AH61" s="93">
        <f>IF(61=61,IF($U61="","",SUMPRODUCT(--ISNUMBER(SEARCH(" "&amp;$CR$306:$CR$340&amp;" ",$AA61)))),"")</f>
        <v>0</v>
      </c>
      <c r="AI61" s="93" t="str">
        <f>IF(61=61,IF($U61="","",IF((SUM(AG61:AH61))-(0)&gt;0,"X",IF((0)-(0)&gt;0,"?",""))),"")</f>
        <v/>
      </c>
      <c r="AJ61" s="93">
        <f>IF(61=61,IF($U61="","",SUMPRODUCT(--ISNUMBER(SEARCH(" "&amp;$CR$341:$CR$398&amp;" ",$AA61)))),"")</f>
        <v>0</v>
      </c>
      <c r="AK61" s="93">
        <f>IF(61=61,IF($U61="","",SUMPRODUCT(--ISNUMBER(SEARCH(" "&amp;$CR$399:$CR$426&amp;" ",$AL61)))+SUMPRODUCT(--ISNUMBER(SEARCH(" "&amp;$CR$2440:$CR$2453&amp;" ",$AL61)))),"")</f>
        <v>0</v>
      </c>
      <c r="AL61" s="93" t="str">
        <f>IF(61=61,IF($U61="","",SUBSTITUTE(SUBSTITUTE(SUBSTITUTE(SUBSTITUTE(SUBSTITUTE(SUBSTITUTE(SUBSTITUTE(SUBSTITUTE(SUBSTITUTE(SUBSTITUTE(SUBSTITUTE(SUBSTITUTE(SUBSTITUTE(SUBSTITUTE($AA61," "&amp;$CR$2455&amp;" "," ")," "&amp;$CR$433&amp;" "," ")," "&amp;$CR$431&amp;" "," ")," "&amp;$CR$2438&amp;" "," ")," "&amp;$CR$2439&amp;" "," ")," "&amp;$CR$428&amp;" "," ")," "&amp;$CR$432&amp;" "," ")," "&amp;$CR$434&amp;" "," ")," "&amp;$CR$429&amp;" "," ")," "&amp;$CR$427&amp;" "," ")," "&amp;$CR$1367&amp;" "," ")," "&amp;$CR$435&amp;" "," ")," "&amp;$CR$1366&amp;" "," ")," "&amp;$CR$430&amp;" "," ")),"")</f>
        <v xml:space="preserve"> anhydride sulfureux et sulfites </v>
      </c>
      <c r="AM61" s="93" t="str">
        <f>IF(61=61,IF($U61="","",IF(AJ61&gt;0,"X",IF(AK61&gt;0,"?",""))),"")</f>
        <v/>
      </c>
      <c r="AN61" s="93">
        <f>IF(61=61,IF($U61="","",SUMPRODUCT(--ISNUMBER(SEARCH(" "&amp;$CR$436:$CR$535&amp;" ",$AX61)))),"")</f>
        <v>0</v>
      </c>
      <c r="AO61" s="93">
        <f>IF(61=61,IF($U61="","",SUMPRODUCT(--ISNUMBER(SEARCH(" "&amp;$CR$536:$CR$635&amp;" ",$AX61)))),"")</f>
        <v>0</v>
      </c>
      <c r="AP61" s="93">
        <f>IF(61=61,IF($U61="","",SUMPRODUCT(--ISNUMBER(SEARCH(" "&amp;$CR$636:$CR$735&amp;" ",$AX61)))),"")</f>
        <v>0</v>
      </c>
      <c r="AQ61" s="93">
        <f>IF(61=61,IF($U61="","",SUMPRODUCT(--ISNUMBER(SEARCH(" "&amp;$CR$736:$CR$835&amp;" ",$AX61)))),"")</f>
        <v>0</v>
      </c>
      <c r="AR61" s="93">
        <f>IF(61=61,IF($U61="","",SUMPRODUCT(--ISNUMBER(SEARCH(" "&amp;$CR$836:$CR$935&amp;" ",$AX61)))),"")</f>
        <v>0</v>
      </c>
      <c r="AS61" s="93">
        <f>IF(61=61,IF($U61="","",SUMPRODUCT(--ISNUMBER(SEARCH(" "&amp;$CR$936:$CR$1035&amp;" ",$AX61)))),"")</f>
        <v>0</v>
      </c>
      <c r="AT61" s="93">
        <f>IF(61=61,IF($U61="","",SUMPRODUCT(--ISNUMBER(SEARCH(" "&amp;$CR$1036:$CR$1135&amp;" ",$AX61)))),"")</f>
        <v>0</v>
      </c>
      <c r="AU61" s="93">
        <f>IF(61=61,IF($U61="","",SUMPRODUCT(--ISNUMBER(SEARCH(" "&amp;$CR$1136:$CR$1235&amp;" ",$AX61)))),"")</f>
        <v>0</v>
      </c>
      <c r="AV61" s="93">
        <f>IF(61=61,IF($U61="","",SUMPRODUCT(--ISNUMBER(SEARCH(" "&amp;$CR$1236:$CR$1335&amp;" ",$AX61)))),"")</f>
        <v>0</v>
      </c>
      <c r="AW61" s="93">
        <f>IF(61=61,IF($U61="","",SUMPRODUCT(--ISNUMBER(SEARCH(" "&amp;$CR$1336:$CR$1363&amp;" ",$AX61)))),"")</f>
        <v>0</v>
      </c>
      <c r="AX61" s="93" t="str">
        <f>IF(61=61,IF($U61="","",SUBSTITUTE(SUBSTITUTE(SUBSTITUTE(SUBSTITUTE(SUBSTITUTE(SUBSTITUTE(SUBSTITUTE(SUBSTITUTE(SUBSTITUTE($AA61," "&amp;$CR$1365&amp;" "," ")," "&amp;$CR$1364&amp;" "," ")," "&amp;$CR$1370&amp;" "," ")," "&amp;$CR$1371&amp;" "," ")," "&amp;$CR$1367&amp;" "," ")," "&amp;$CR$1369&amp;" "," ")," "&amp;$CR$1366&amp;" "," ")," "&amp;$CR$1368&amp;" "," ")," "&amp;$CR$1372&amp;" "," ")),"")</f>
        <v xml:space="preserve"> anhydride sulfureux et sulfites </v>
      </c>
      <c r="AY61" s="93">
        <f>IF(61=61,IF($U61="","",SUMPRODUCT(--ISNUMBER(SEARCH(" "&amp;$CR$1373:$CR$1383&amp;" ",$AX61)))),"")</f>
        <v>0</v>
      </c>
      <c r="AZ61" s="93" t="str">
        <f>IF(61=61,IF($U61="","",IF(SUM(AN61:AW61)+SUMPRODUCT(--ISNUMBER(SEARCH(" "&amp;$CR$2421:$CR$2422&amp;" ",$AX61)))&gt;0,"X",IF(AY61&gt;0,"?",""))),"")</f>
        <v/>
      </c>
      <c r="BA61" s="93">
        <f>IF(61=61,IF($U61="","",SUMPRODUCT(--ISNUMBER(SEARCH(" "&amp;$CR$1384:$CR$1404&amp;" ",$AA61)))),"")</f>
        <v>0</v>
      </c>
      <c r="BB61" s="93" t="str">
        <f>IF(61=61,IF($U61="","",IF((BA61)-(0)&gt;0,"X",IF((0)-(0)&gt;0,"?",""))),"")</f>
        <v/>
      </c>
      <c r="BC61" s="93">
        <f>IF(61=61,IF($U61="","",SUMPRODUCT(--ISNUMBER(SEARCH(" "&amp;$CR$1405:$CR$1442&amp;" ",$BD61)))),"")</f>
        <v>0</v>
      </c>
      <c r="BD61" s="93" t="str">
        <f>IF(61=61,IF($U61="","",SUBSTITUTE(SUBSTITUTE($AA61," "&amp;$CR$1443&amp;" "," ")," "&amp;$CR$1444&amp;" "," ")),"")</f>
        <v xml:space="preserve"> anhydride sulfureux et sulfites </v>
      </c>
      <c r="BE61" s="93">
        <f>IF(61=61,IF($U61="","",SUMPRODUCT(--ISNUMBER(SEARCH(" "&amp;$CR$1445:$CR$1455&amp;" ",$BD61)))),"")</f>
        <v>0</v>
      </c>
      <c r="BF61" s="93" t="str">
        <f>IF(61=61,IF($U61="","",IF(BC61&gt;0,"X",IF(BE61&gt;0,"?",""))),"")</f>
        <v/>
      </c>
      <c r="BG61" s="93">
        <f>IF(61=61,IF($U61="","",SUMPRODUCT(--ISNUMBER(SEARCH(" "&amp;$CR$1456:$CR$1555&amp;" ",$BJ61)))),"")</f>
        <v>0</v>
      </c>
      <c r="BH61" s="93">
        <f>IF(61=61,IF($U61="","",SUMPRODUCT(--ISNUMBER(SEARCH(" "&amp;$CR$1556:$CR$1655&amp;" ",$BJ61)))),"")</f>
        <v>0</v>
      </c>
      <c r="BI61" s="93">
        <f>IF(61=61,IF($U61="","",SUMPRODUCT(--ISNUMBER(SEARCH(" "&amp;$CR$1656:$CR$1739&amp;" ",$BJ61)))),"")</f>
        <v>0</v>
      </c>
      <c r="BJ61" s="93" t="str">
        <f>IF(61=61,IF($U61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61,"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anhydride sulfureux et sulfites </v>
      </c>
      <c r="BK61" s="93">
        <f>IF(61=61,IF($U61="","",SUMPRODUCT(--ISNUMBER(SEARCH(" "&amp;$CR$1790:$CR$1869&amp;" ",$BL61)))+SUMPRODUCT(--ISNUMBER(SEARCH(" "&amp;$CR$2440:$CR$2453&amp;" ",$BL61)))),"")</f>
        <v>0</v>
      </c>
      <c r="BL61" s="93" t="str">
        <f>IF(61=61,IF($U61="","",SUBSTITUTE(SUBSTITUTE(SUBSTITUTE(SUBSTITUTE(SUBSTITUTE(SUBSTITUTE(SUBSTITUTE(SUBSTITUTE(SUBSTITUTE(SUBSTITUTE(SUBSTITUTE(SUBSTITUTE(SUBSTITUTE($BJ61," "&amp;$CR$1876&amp;" "," ")," "&amp;$CR$1874&amp;" "," ")," "&amp;$CR$2438&amp;" "," ")," "&amp;$CR$2439&amp;" "," ")," "&amp;$CR$1871&amp;" "," ")," "&amp;$CR$1875&amp;" "," ")," "&amp;$CR$1877&amp;" "," ")," "&amp;$CR$1872&amp;" "," ")," "&amp;$CR$1870&amp;" "," ")," "&amp;$CR$1367&amp;" "," ")," "&amp;$CR$1878&amp;" "," ")," "&amp;$CR$1366&amp;" "," ")," "&amp;$CR$1873&amp;" "," ")),"")</f>
        <v xml:space="preserve"> anhydride sulfureux et sulfites </v>
      </c>
      <c r="BM61" s="93" t="str">
        <f>IF(61=61,IF($U61="","",IF(SUM(BG61:BI61)+SUMPRODUCT(--ISNUMBER(SEARCH(" "&amp;$CR$2423:$CR$2424&amp;" ",$BJ61)))&gt;0,"X",IF(BK61&gt;0,"?",""))),"")</f>
        <v/>
      </c>
      <c r="BN61" s="93">
        <f>IF(61=61,IF($U61="","",SUMPRODUCT(--ISNUMBER(SEARCH(" "&amp;$CR$1879:$CR$1936&amp;" ",$BO61)))),"")</f>
        <v>0</v>
      </c>
      <c r="BO61" s="93" t="str">
        <f>IF(61=61,IF($U61="","",SUBSTITUTE(SUBSTITUTE(SUBSTITUTE(SUBSTITUTE(SUBSTITUTE(SUBSTITUTE(SUBSTITUTE(SUBSTITUTE(SUBSTITUTE(SUBSTITUTE(SUBSTITUTE(SUBSTITUTE(SUBSTITUTE(SUBSTITUTE(SUBSTITUTE(SUBSTITUTE(SUBSTITUTE(SUBSTITUTE(SUBSTITUTE(SUBSTITUTE(SUBSTITUTE(SUBSTITUTE(SUBSTITUTE($AA61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anhydride sulfureux et sulfites </v>
      </c>
      <c r="BP61" s="93">
        <f>IF(61=61,IF($U61="","",SUMPRODUCT(--ISNUMBER(SEARCH(" "&amp;$CR$1960:$CR$1976&amp;" ",$BO61)))),"")</f>
        <v>0</v>
      </c>
      <c r="BQ61" s="93" t="str">
        <f>IF(61=61,IF($U61="","",IF(BN61&gt;0,"X",IF(BP61&gt;0,"?",""))),"")</f>
        <v/>
      </c>
      <c r="BR61" s="93">
        <f>IF(61=61,IF($U61="","",SUMPRODUCT(--ISNUMBER(SEARCH(" "&amp;$CR$1977:$CR$1990&amp;" ",$AA61)))),"")</f>
        <v>0</v>
      </c>
      <c r="BS61" s="93">
        <f>IF(61=61,IF($U61="","",SUMPRODUCT(--ISNUMBER(SEARCH(" "&amp;$CR$1991:$CR$2005&amp;" ",$AA61)))),"")</f>
        <v>0</v>
      </c>
      <c r="BT61" s="93" t="str">
        <f>IF(61=61,IF($U61="","",IF((BR61)-(0)&gt;0,"X",IF((BS61)-(0)&gt;0,"?",""))),"")</f>
        <v/>
      </c>
      <c r="BU61" s="93">
        <f>IF(61=61,IF($U61="","",SUMPRODUCT(--ISNUMBER(SEARCH(" "&amp;$CR$2006:$CR$2023&amp;" ",$AA61)))),"")</f>
        <v>0</v>
      </c>
      <c r="BV61" s="93">
        <f>IF(61=61,IF($U61="","",SUMPRODUCT(--ISNUMBER(SEARCH(" "&amp;$CR$2024:$CR$2038&amp;" ",$AA61)))),"")</f>
        <v>0</v>
      </c>
      <c r="BW61" s="93" t="str">
        <f>IF(61=61,IF($U61="","",IF((BU61)-(0)&gt;0,"X",IF((BV61)-(0)&gt;0,"?",""))),"")</f>
        <v/>
      </c>
      <c r="BX61" s="93">
        <f>IF(61=61,IF($U61="","",SUMPRODUCT(--ISNUMBER(SEARCH(" "&amp;$CR$2039:$CR$2057&amp;" ",$AA61)))),"")</f>
        <v>0</v>
      </c>
      <c r="BY61" s="93">
        <f>IF(61=61,IF($U61="","",SUMPRODUCT(--ISNUMBER(SEARCH(" "&amp;$CR$2058:$CR$2072&amp;" ",$AA61)))),"")</f>
        <v>0</v>
      </c>
      <c r="BZ61" s="93" t="str">
        <f>IF(61=61,IF($U61="","",IF((BX61)-(0)&gt;0,"X",IF((BY61)-(0)&gt;0,"?",""))),"")</f>
        <v/>
      </c>
      <c r="CA61" s="93">
        <f>IF(61=61,IF($U61="","",SUMPRODUCT(--ISNUMBER(SEARCH(" "&amp;$CR$2073:$CR$2093&amp;" ",$AA61)))),"")</f>
        <v>2</v>
      </c>
      <c r="CB61" s="93">
        <f>IF(61=61,IF($U61="","",SUMPRODUCT(--ISNUMBER(SEARCH(" "&amp;$CR$2094:$CR$2133&amp;" ",SUBSTITUTE(SUBSTITUTE($AA61," "&amp;$CR$1367&amp;" "," ")," "&amp;$CR$1366&amp;" "," "))))+--ISNUMBER(SEARCH("poiré",$V61))),"")</f>
        <v>0</v>
      </c>
      <c r="CC61" s="93" t="str">
        <f>IF(61=61,IF($U61="","",IF(OR(CA61&gt;0,ISNUMBER(SEARCH(" vinaigre de vin ",$AA61)),ISNUMBER(SEARCH(" vinaigre au vin ",$AA61))),"X",IF(CB61&gt;0,"?",""))),"")</f>
        <v>X</v>
      </c>
      <c r="CD61" s="93">
        <f>IF(61=61,IF($U61="","",SUMPRODUCT(--ISNUMBER(SEARCH(" "&amp;$CR$2134:$CR$2146&amp;" ",$AA61)))),"")</f>
        <v>0</v>
      </c>
      <c r="CE61" s="93">
        <f>IF(61=61,IF($U61="","",SUMPRODUCT(--ISNUMBER(SEARCH(" "&amp;$CR$2147:$CR$2152&amp;" ",$AA61)))),"")</f>
        <v>0</v>
      </c>
      <c r="CF61" s="93" t="str">
        <f>IF(61=61,IF($U61="","",IF((CD61)-(0)&gt;0,"X",IF((CE61)-(0)&gt;0,"?",""))),"")</f>
        <v/>
      </c>
      <c r="CG61" s="93">
        <f>IF(61=61,IF($U61="","",SUMPRODUCT(--ISNUMBER(SEARCH(" "&amp;$CR$2153:$CR$2252&amp;" ",$CJ61)))),"")</f>
        <v>0</v>
      </c>
      <c r="CH61" s="93">
        <f>IF(61=61,IF($U61="","",SUMPRODUCT(--ISNUMBER(SEARCH(" "&amp;$CR$2253:$CR$2352&amp;" ",$CJ61)))),"")</f>
        <v>0</v>
      </c>
      <c r="CI61" s="93">
        <f>IF(61=61,IF($U61="","",SUMPRODUCT(--ISNUMBER(SEARCH(" "&amp;$CR$2353:$CR$2395&amp;" ",$CJ61)))),"")</f>
        <v>0</v>
      </c>
      <c r="CJ61" s="93" t="str">
        <f>IF(61=61,IF($U61="","",SUBSTITUTE(SUBSTITUTE(SUBSTITUTE(SUBSTITUTE(SUBSTITUTE(SUBSTITUTE(SUBSTITUTE(SUBSTITUTE(SUBSTITUTE(SUBSTITUTE(SUBSTITUTE(SUBSTITUTE(SUBSTITUTE(SUBSTITUTE(SUBSTITUTE(SUBSTITUTE($AA61," "&amp;$CR$2401&amp;" "," ")," "&amp;$CR$2400&amp;" "," ")," "&amp;$CR$2399&amp;" "," ")," "&amp;$CR$2406&amp;" "," ")," "&amp;$CR$2398&amp;" "," ")," "&amp;$CR$2410&amp;" "," ")," "&amp;$CR$2397&amp;" "," ")," "&amp;$CR$2402&amp;" "," ")," "&amp;$CR$2405&amp;" "," ")," "&amp;$CR$2396&amp;" "," ")," "&amp;$CR$2404&amp;" "," ")," "&amp;$CR$2411&amp;" "," ")," "&amp;$CR$2408&amp;" "," ")," "&amp;$CR$2403&amp;" "," ")," "&amp;$CR$2407&amp;" "," ")," "&amp;$CR$2409&amp;" "," ")),"")</f>
        <v xml:space="preserve"> anhydride sulfureux et sulfites </v>
      </c>
      <c r="CK61" s="93">
        <f>IF(61=61,IF($U61="","",SUMPRODUCT(--ISNUMBER(SEARCH(" "&amp;$CR$2412:$CR$2416&amp;" ",$CJ61)))),"")</f>
        <v>0</v>
      </c>
      <c r="CL61" s="93" t="str">
        <f>IF(61=61,IF($U61="","",IF(SUM(CG61:CI61)&gt;0,"X",IF(CK61&gt;0,"?",""))),"")</f>
        <v/>
      </c>
      <c r="CM61" s="102"/>
      <c r="CN61" s="112" t="s">
        <v>745</v>
      </c>
      <c r="CO61" s="112" t="s">
        <v>522</v>
      </c>
      <c r="CP61" s="112" t="s">
        <v>523</v>
      </c>
      <c r="CQ61" s="112" t="s">
        <v>746</v>
      </c>
      <c r="CR61" s="112" t="s">
        <v>746</v>
      </c>
      <c r="CS61" s="112" t="s">
        <v>525</v>
      </c>
      <c r="CT61" s="112" t="s">
        <v>526</v>
      </c>
      <c r="CU61" s="112" t="s">
        <v>527</v>
      </c>
      <c r="CV61" s="113" t="s">
        <v>528</v>
      </c>
      <c r="CX61" s="36">
        <v>1</v>
      </c>
    </row>
    <row r="62" spans="1:102" ht="21" customHeight="1" x14ac:dyDescent="0.25">
      <c r="A62" s="135">
        <v>56</v>
      </c>
      <c r="B62" s="136" t="s">
        <v>5897</v>
      </c>
      <c r="C62" s="137" t="str">
        <f t="shared" si="0"/>
        <v>Lupin *</v>
      </c>
      <c r="D62" s="138" t="str">
        <f>IF(62=62,IF($B62="","",IF(E62="X",""&amp;"Céréales contenant du gluten","")&amp;IF(F62="X",IF(COUNTIF($E62:$E62,"X")&gt;0,", ","")&amp;"Crustacés","")&amp;IF(G62="X",IF(COUNTIF($E62:$F62,"X")&gt;0,", ","")&amp;"Œufs","")&amp;IF(H62="X",IF(COUNTIF($E62:$G62,"X")&gt;0,", ","")&amp;"Poissons","")&amp;IF(I62="X",IF(COUNTIF($E62:$H62,"X")&gt;0,", ","")&amp;"Arachides","")&amp;IF(J62="X",IF(COUNTIF($E62:$I62,"X")&gt;0,", ","")&amp;"Soja","")&amp;IF(K62="X",IF(COUNTIF($E62:$J62,"X")&gt;0,", ","")&amp;"Lait","")&amp;IF(L62="X",IF(COUNTIF($E62:$K62,"X")&gt;0,", ","")&amp;"Fruits à coque","")&amp;IF(M62="X",IF(COUNTIF($E62:$L62,"X")&gt;0,", ","")&amp;"Céleri","")&amp;IF(N62="X",IF(COUNTIF($E62:$M62,"X")&gt;0,", ","")&amp;"Moutarde","")&amp;IF(O62="X",IF(COUNTIF($E62:$N62,"X")&gt;0,", ","")&amp;"Sésame","")&amp;IF(P62="X",IF(COUNTIF($E62:$O62,"X")&gt;0,", ","")&amp;"Sulfites","")&amp;IF(Q62="X",IF(COUNTIF($E62:$P62,"X")&gt;0,", ","")&amp;"Lupin","")&amp;IF(R62="X",IF(COUNTIF($E62:$Q62,"X")&gt;0,", ","")&amp;"Mollusques","")),"")</f>
        <v>Lupin</v>
      </c>
      <c r="E62" s="139" t="str">
        <f>IF(62=62,IF($B62="","",AF62),"")</f>
        <v/>
      </c>
      <c r="F62" s="139" t="str">
        <f>IF(62=62,IF($B62="","",AI62),"")</f>
        <v/>
      </c>
      <c r="G62" s="139" t="str">
        <f>IF(62=62,IF($B62="","",AM62),"")</f>
        <v/>
      </c>
      <c r="H62" s="139" t="str">
        <f>IF(62=62,IF($B62="","",IF(ISNUMBER(SEARCH(" colin ",$AA62)),"X",AZ62)),"")</f>
        <v/>
      </c>
      <c r="I62" s="139" t="str">
        <f>IF(62=62,IF($B62="","",BB62),"")</f>
        <v/>
      </c>
      <c r="J62" s="139" t="str">
        <f>IF(62=62,IF($B62="","",BF62),"")</f>
        <v/>
      </c>
      <c r="K62" s="139" t="str">
        <f>IF(62=62,IF($B62="","",BM62),"")</f>
        <v/>
      </c>
      <c r="L62" s="139" t="str">
        <f>IF(62=62,IF($B62="","",BQ62),"")</f>
        <v/>
      </c>
      <c r="M62" s="139" t="str">
        <f>IF(62=62,IF($B62="","",BT62),"")</f>
        <v/>
      </c>
      <c r="N62" s="139" t="str">
        <f>IF(62=62,IF($B62="","",BW62),"")</f>
        <v/>
      </c>
      <c r="O62" s="139" t="str">
        <f>IF(62=62,IF($B62="","",BZ62),"")</f>
        <v/>
      </c>
      <c r="P62" s="139" t="str">
        <f>IF(62=62,IF($B62="","",CC62),"")</f>
        <v/>
      </c>
      <c r="Q62" s="139" t="str">
        <f>IF(62=62,IF($B62="","",CF62),"")</f>
        <v>X</v>
      </c>
      <c r="R62" s="139" t="str">
        <f>IF(62=62,IF($B62="","",CL62),"")</f>
        <v/>
      </c>
      <c r="S62" s="140" t="str">
        <f>IF(62=62,IF($B62="","",IF(E62="?",""&amp;"Céréales contenant du gluten","")&amp;IF(F62="?",IF(COUNTIF($E62:$E62,"~?")&gt;0,", ","")&amp;"Crustacés","")&amp;IF(G62="?",IF(COUNTIF($E62:$F62,"~?")&gt;0,", ","")&amp;"Œufs","")&amp;IF(H62="?",IF(COUNTIF($E62:$G62,"~?")&gt;0,", ","")&amp;"Poissons","")&amp;IF(I62="?",IF(COUNTIF($E62:$H62,"~?")&gt;0,", ","")&amp;"Arachides","")&amp;IF(J62="?",IF(COUNTIF($E62:$I62,"~?")&gt;0,", ","")&amp;"Soja","")&amp;IF(K62="?",IF(COUNTIF($E62:$J62,"~?")&gt;0,", ","")&amp;"Lait","")&amp;IF(L62="?",IF(COUNTIF($E62:$K62,"~?")&gt;0,", ","")&amp;"Fruits à coque","")&amp;IF(M62="?",IF(COUNTIF($E62:$L62,"~?")&gt;0,", ","")&amp;"Céleri","")&amp;IF(N62="?",IF(COUNTIF($E62:$M62,"~?")&gt;0,", ","")&amp;"Moutarde","")&amp;IF(O62="?",IF(COUNTIF($E62:$N62,"~?")&gt;0,", ","")&amp;"Sésame","")&amp;IF(P62="?",IF(COUNTIF($E62:$O62,"~?")&gt;0,", ","")&amp;"Sulfites","")&amp;IF(Q62="?",IF(COUNTIF($E62:$P62,"~?")&gt;0,", ","")&amp;"Lupin","")&amp;IF(R62="?",IF(COUNTIF($E62:$Q62,"~?")&gt;0,", ","")&amp;"Mollusques","")),"")</f>
        <v/>
      </c>
      <c r="U62" s="93" t="str">
        <f>IF(62=62,IF($B62="","",$B62),"")</f>
        <v xml:space="preserve">Lupin </v>
      </c>
      <c r="V62" s="93" t="str">
        <f>IF(62=62,LOWER(CLEAN(SUBSTITUTE(SUBSTITUTE(SUBSTITUTE(SUBSTITUTE($U62,CHAR(160)," ")," "," "),CHAR(10)," "),CHAR(13)," "))),"")</f>
        <v xml:space="preserve">lupin </v>
      </c>
      <c r="W62" s="93" t="str">
        <f>IF(62=62,SUBSTITUTE(SUBSTITUTE(SUBSTITUTE(SUBSTITUTE(SUBSTITUTE(SUBSTITUTE(SUBSTITUTE(SUBSTITUTE(SUBSTITUTE(SUBSTITUTE(SUBSTITUTE(SUBSTITUTE($V62,"œ","oe"),"æ","ae"),"à","a"),"á","a"),"â","a"),"ä","a"),"ã","a"),"ç","c"),"è","e"),"é","e"),"ê","e"),"ë","e"),"")</f>
        <v xml:space="preserve">lupin </v>
      </c>
      <c r="X62" s="93" t="str">
        <f>IF(62=62,SUBSTITUTE(SUBSTITUTE(SUBSTITUTE(SUBSTITUTE(SUBSTITUTE(SUBSTITUTE(SUBSTITUTE(SUBSTITUTE(SUBSTITUTE(SUBSTITUTE(SUBSTITUTE(SUBSTITUTE(SUBSTITUTE(SUBSTITUTE(SUBSTITUTE(SUBSTITUTE($W62,"ì","i"),"í","i"),"î","i"),"ï","i"),"ñ","n"),"ò","o"),"ó","o"),"ô","o"),"ö","o"),"õ","o"),"ù","u"),"ú","u"),"û","u"),"ü","u"),"ý","y"),"ÿ","y"),"")</f>
        <v xml:space="preserve">lupin </v>
      </c>
      <c r="Y62" s="93" t="str">
        <f>IF(62=62,SUBSTITUTE(SUBSTITUTE(SUBSTITUTE(SUBSTITUTE(SUBSTITUTE(SUBSTITUTE(SUBSTITUTE(SUBSTITUTE(SUBSTITUTE(SUBSTITUTE(SUBSTITUTE(SUBSTITUTE(SUBSTITUTE(SUBSTITUTE($X62,"’"," "),"`"," "),"–"," "),"—"," "),"-"," "),"'"," "),"/"," "),"_"," "),","," "),"."," "),"("," "),")"," "),";"," "),":"," "),"")</f>
        <v xml:space="preserve">lupin </v>
      </c>
      <c r="Z62" s="93" t="str">
        <f>IF(62=62,SUBSTITUTE(SUBSTITUTE(SUBSTITUTE(SUBSTITUTE(SUBSTITUTE(SUBSTITUTE(SUBSTITUTE(SUBSTITUTE(SUBSTITUTE(SUBSTITUTE(SUBSTITUTE(SUBSTITUTE(SUBSTITUTE(SUBSTITUTE(SUBSTITUTE($Y62,"!"," "),"?"," "),"+"," "),"*"," "),"&amp;"," "),"["," "),"]"," "),"{"," "),"}"," "),"%"," "),"="," "),"\"," "),"|"," "),"&lt;"," "),"&gt;"," "),"")</f>
        <v xml:space="preserve">lupin </v>
      </c>
      <c r="AA62" s="93" t="str">
        <f>IF(62=62," "&amp;TRIM(SUBSTITUTE(SUBSTITUTE(SUBSTITUTE(SUBSTITUTE(SUBSTITUTE(SUBSTITUTE($Z62,CHAR(34)," "),"  "," "),"  "," "),"  "," "),"  "," "),"  "," "))&amp;" ","")</f>
        <v xml:space="preserve"> lupin </v>
      </c>
      <c r="AB62" s="93">
        <f>IF(62=62,IF($U62="","",SUMPRODUCT(--ISNUMBER(SEARCH(" "&amp;$CR$2:$CR$101&amp;" ",$AD62)))),"")</f>
        <v>0</v>
      </c>
      <c r="AC62" s="93">
        <f>IF(62=62,IF($U62="","",SUMPRODUCT(--ISNUMBER(SEARCH(" "&amp;$CR$102:$CR$151&amp;" ",$AD62)))),"")</f>
        <v>0</v>
      </c>
      <c r="AD62" s="93" t="str">
        <f t="shared" si="1"/>
        <v xml:space="preserve"> lupin </v>
      </c>
      <c r="AE62" s="93">
        <f t="shared" si="2"/>
        <v>0</v>
      </c>
      <c r="AF62" s="93" t="str">
        <f>IF(62=62,IF($U62="","",IF(SUM(AB62:AC62)+SUMPRODUCT(--ISNUMBER(SEARCH(" "&amp;$CR$2418:$CR$2420&amp;" ",$AD62)))&gt;0,"X",IF(AE62&gt;0,"?",""))),"")</f>
        <v/>
      </c>
      <c r="AG62" s="93">
        <f>IF(62=62,IF($U62="","",SUMPRODUCT(--ISNUMBER(SEARCH(" "&amp;$CR$206:$CR$305&amp;" ",$AA62)))),"")</f>
        <v>0</v>
      </c>
      <c r="AH62" s="93">
        <f>IF(62=62,IF($U62="","",SUMPRODUCT(--ISNUMBER(SEARCH(" "&amp;$CR$306:$CR$340&amp;" ",$AA62)))),"")</f>
        <v>0</v>
      </c>
      <c r="AI62" s="93" t="str">
        <f>IF(62=62,IF($U62="","",IF((SUM(AG62:AH62))-(0)&gt;0,"X",IF((0)-(0)&gt;0,"?",""))),"")</f>
        <v/>
      </c>
      <c r="AJ62" s="93">
        <f>IF(62=62,IF($U62="","",SUMPRODUCT(--ISNUMBER(SEARCH(" "&amp;$CR$341:$CR$398&amp;" ",$AA62)))),"")</f>
        <v>0</v>
      </c>
      <c r="AK62" s="93">
        <f>IF(62=62,IF($U62="","",SUMPRODUCT(--ISNUMBER(SEARCH(" "&amp;$CR$399:$CR$426&amp;" ",$AL62)))+SUMPRODUCT(--ISNUMBER(SEARCH(" "&amp;$CR$2440:$CR$2453&amp;" ",$AL62)))),"")</f>
        <v>0</v>
      </c>
      <c r="AL62" s="93" t="str">
        <f>IF(62=62,IF($U62="","",SUBSTITUTE(SUBSTITUTE(SUBSTITUTE(SUBSTITUTE(SUBSTITUTE(SUBSTITUTE(SUBSTITUTE(SUBSTITUTE(SUBSTITUTE(SUBSTITUTE(SUBSTITUTE(SUBSTITUTE(SUBSTITUTE(SUBSTITUTE($AA62," "&amp;$CR$2455&amp;" "," ")," "&amp;$CR$433&amp;" "," ")," "&amp;$CR$431&amp;" "," ")," "&amp;$CR$2438&amp;" "," ")," "&amp;$CR$2439&amp;" "," ")," "&amp;$CR$428&amp;" "," ")," "&amp;$CR$432&amp;" "," ")," "&amp;$CR$434&amp;" "," ")," "&amp;$CR$429&amp;" "," ")," "&amp;$CR$427&amp;" "," ")," "&amp;$CR$1367&amp;" "," ")," "&amp;$CR$435&amp;" "," ")," "&amp;$CR$1366&amp;" "," ")," "&amp;$CR$430&amp;" "," ")),"")</f>
        <v xml:space="preserve"> lupin </v>
      </c>
      <c r="AM62" s="93" t="str">
        <f>IF(62=62,IF($U62="","",IF(AJ62&gt;0,"X",IF(AK62&gt;0,"?",""))),"")</f>
        <v/>
      </c>
      <c r="AN62" s="93">
        <f>IF(62=62,IF($U62="","",SUMPRODUCT(--ISNUMBER(SEARCH(" "&amp;$CR$436:$CR$535&amp;" ",$AX62)))),"")</f>
        <v>0</v>
      </c>
      <c r="AO62" s="93">
        <f>IF(62=62,IF($U62="","",SUMPRODUCT(--ISNUMBER(SEARCH(" "&amp;$CR$536:$CR$635&amp;" ",$AX62)))),"")</f>
        <v>0</v>
      </c>
      <c r="AP62" s="93">
        <f>IF(62=62,IF($U62="","",SUMPRODUCT(--ISNUMBER(SEARCH(" "&amp;$CR$636:$CR$735&amp;" ",$AX62)))),"")</f>
        <v>0</v>
      </c>
      <c r="AQ62" s="93">
        <f>IF(62=62,IF($U62="","",SUMPRODUCT(--ISNUMBER(SEARCH(" "&amp;$CR$736:$CR$835&amp;" ",$AX62)))),"")</f>
        <v>0</v>
      </c>
      <c r="AR62" s="93">
        <f>IF(62=62,IF($U62="","",SUMPRODUCT(--ISNUMBER(SEARCH(" "&amp;$CR$836:$CR$935&amp;" ",$AX62)))),"")</f>
        <v>0</v>
      </c>
      <c r="AS62" s="93">
        <f>IF(62=62,IF($U62="","",SUMPRODUCT(--ISNUMBER(SEARCH(" "&amp;$CR$936:$CR$1035&amp;" ",$AX62)))),"")</f>
        <v>0</v>
      </c>
      <c r="AT62" s="93">
        <f>IF(62=62,IF($U62="","",SUMPRODUCT(--ISNUMBER(SEARCH(" "&amp;$CR$1036:$CR$1135&amp;" ",$AX62)))),"")</f>
        <v>0</v>
      </c>
      <c r="AU62" s="93">
        <f>IF(62=62,IF($U62="","",SUMPRODUCT(--ISNUMBER(SEARCH(" "&amp;$CR$1136:$CR$1235&amp;" ",$AX62)))),"")</f>
        <v>0</v>
      </c>
      <c r="AV62" s="93">
        <f>IF(62=62,IF($U62="","",SUMPRODUCT(--ISNUMBER(SEARCH(" "&amp;$CR$1236:$CR$1335&amp;" ",$AX62)))),"")</f>
        <v>0</v>
      </c>
      <c r="AW62" s="93">
        <f>IF(62=62,IF($U62="","",SUMPRODUCT(--ISNUMBER(SEARCH(" "&amp;$CR$1336:$CR$1363&amp;" ",$AX62)))),"")</f>
        <v>0</v>
      </c>
      <c r="AX62" s="93" t="str">
        <f>IF(62=62,IF($U62="","",SUBSTITUTE(SUBSTITUTE(SUBSTITUTE(SUBSTITUTE(SUBSTITUTE(SUBSTITUTE(SUBSTITUTE(SUBSTITUTE(SUBSTITUTE($AA62," "&amp;$CR$1365&amp;" "," ")," "&amp;$CR$1364&amp;" "," ")," "&amp;$CR$1370&amp;" "," ")," "&amp;$CR$1371&amp;" "," ")," "&amp;$CR$1367&amp;" "," ")," "&amp;$CR$1369&amp;" "," ")," "&amp;$CR$1366&amp;" "," ")," "&amp;$CR$1368&amp;" "," ")," "&amp;$CR$1372&amp;" "," ")),"")</f>
        <v xml:space="preserve"> lupin </v>
      </c>
      <c r="AY62" s="93">
        <f>IF(62=62,IF($U62="","",SUMPRODUCT(--ISNUMBER(SEARCH(" "&amp;$CR$1373:$CR$1383&amp;" ",$AX62)))),"")</f>
        <v>0</v>
      </c>
      <c r="AZ62" s="93" t="str">
        <f>IF(62=62,IF($U62="","",IF(SUM(AN62:AW62)+SUMPRODUCT(--ISNUMBER(SEARCH(" "&amp;$CR$2421:$CR$2422&amp;" ",$AX62)))&gt;0,"X",IF(AY62&gt;0,"?",""))),"")</f>
        <v/>
      </c>
      <c r="BA62" s="93">
        <f>IF(62=62,IF($U62="","",SUMPRODUCT(--ISNUMBER(SEARCH(" "&amp;$CR$1384:$CR$1404&amp;" ",$AA62)))),"")</f>
        <v>0</v>
      </c>
      <c r="BB62" s="93" t="str">
        <f>IF(62=62,IF($U62="","",IF((BA62)-(0)&gt;0,"X",IF((0)-(0)&gt;0,"?",""))),"")</f>
        <v/>
      </c>
      <c r="BC62" s="93">
        <f>IF(62=62,IF($U62="","",SUMPRODUCT(--ISNUMBER(SEARCH(" "&amp;$CR$1405:$CR$1442&amp;" ",$BD62)))),"")</f>
        <v>0</v>
      </c>
      <c r="BD62" s="93" t="str">
        <f>IF(62=62,IF($U62="","",SUBSTITUTE(SUBSTITUTE($AA62," "&amp;$CR$1443&amp;" "," ")," "&amp;$CR$1444&amp;" "," ")),"")</f>
        <v xml:space="preserve"> lupin </v>
      </c>
      <c r="BE62" s="93">
        <f>IF(62=62,IF($U62="","",SUMPRODUCT(--ISNUMBER(SEARCH(" "&amp;$CR$1445:$CR$1455&amp;" ",$BD62)))),"")</f>
        <v>0</v>
      </c>
      <c r="BF62" s="93" t="str">
        <f>IF(62=62,IF($U62="","",IF(BC62&gt;0,"X",IF(BE62&gt;0,"?",""))),"")</f>
        <v/>
      </c>
      <c r="BG62" s="93">
        <f>IF(62=62,IF($U62="","",SUMPRODUCT(--ISNUMBER(SEARCH(" "&amp;$CR$1456:$CR$1555&amp;" ",$BJ62)))),"")</f>
        <v>0</v>
      </c>
      <c r="BH62" s="93">
        <f>IF(62=62,IF($U62="","",SUMPRODUCT(--ISNUMBER(SEARCH(" "&amp;$CR$1556:$CR$1655&amp;" ",$BJ62)))),"")</f>
        <v>0</v>
      </c>
      <c r="BI62" s="93">
        <f>IF(62=62,IF($U62="","",SUMPRODUCT(--ISNUMBER(SEARCH(" "&amp;$CR$1656:$CR$1739&amp;" ",$BJ62)))),"")</f>
        <v>0</v>
      </c>
      <c r="BJ62" s="93" t="str">
        <f>IF(62=62,IF($U62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62,"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lupin </v>
      </c>
      <c r="BK62" s="93">
        <f>IF(62=62,IF($U62="","",SUMPRODUCT(--ISNUMBER(SEARCH(" "&amp;$CR$1790:$CR$1869&amp;" ",$BL62)))+SUMPRODUCT(--ISNUMBER(SEARCH(" "&amp;$CR$2440:$CR$2453&amp;" ",$BL62)))),"")</f>
        <v>0</v>
      </c>
      <c r="BL62" s="93" t="str">
        <f>IF(62=62,IF($U62="","",SUBSTITUTE(SUBSTITUTE(SUBSTITUTE(SUBSTITUTE(SUBSTITUTE(SUBSTITUTE(SUBSTITUTE(SUBSTITUTE(SUBSTITUTE(SUBSTITUTE(SUBSTITUTE(SUBSTITUTE(SUBSTITUTE($BJ62," "&amp;$CR$1876&amp;" "," ")," "&amp;$CR$1874&amp;" "," ")," "&amp;$CR$2438&amp;" "," ")," "&amp;$CR$2439&amp;" "," ")," "&amp;$CR$1871&amp;" "," ")," "&amp;$CR$1875&amp;" "," ")," "&amp;$CR$1877&amp;" "," ")," "&amp;$CR$1872&amp;" "," ")," "&amp;$CR$1870&amp;" "," ")," "&amp;$CR$1367&amp;" "," ")," "&amp;$CR$1878&amp;" "," ")," "&amp;$CR$1366&amp;" "," ")," "&amp;$CR$1873&amp;" "," ")),"")</f>
        <v xml:space="preserve"> lupin </v>
      </c>
      <c r="BM62" s="93" t="str">
        <f>IF(62=62,IF($U62="","",IF(SUM(BG62:BI62)+SUMPRODUCT(--ISNUMBER(SEARCH(" "&amp;$CR$2423:$CR$2424&amp;" ",$BJ62)))&gt;0,"X",IF(BK62&gt;0,"?",""))),"")</f>
        <v/>
      </c>
      <c r="BN62" s="93">
        <f>IF(62=62,IF($U62="","",SUMPRODUCT(--ISNUMBER(SEARCH(" "&amp;$CR$1879:$CR$1936&amp;" ",$BO62)))),"")</f>
        <v>0</v>
      </c>
      <c r="BO62" s="93" t="str">
        <f>IF(62=62,IF($U62="","",SUBSTITUTE(SUBSTITUTE(SUBSTITUTE(SUBSTITUTE(SUBSTITUTE(SUBSTITUTE(SUBSTITUTE(SUBSTITUTE(SUBSTITUTE(SUBSTITUTE(SUBSTITUTE(SUBSTITUTE(SUBSTITUTE(SUBSTITUTE(SUBSTITUTE(SUBSTITUTE(SUBSTITUTE(SUBSTITUTE(SUBSTITUTE(SUBSTITUTE(SUBSTITUTE(SUBSTITUTE(SUBSTITUTE($AA62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lupin </v>
      </c>
      <c r="BP62" s="93">
        <f>IF(62=62,IF($U62="","",SUMPRODUCT(--ISNUMBER(SEARCH(" "&amp;$CR$1960:$CR$1976&amp;" ",$BO62)))),"")</f>
        <v>0</v>
      </c>
      <c r="BQ62" s="93" t="str">
        <f>IF(62=62,IF($U62="","",IF(BN62&gt;0,"X",IF(BP62&gt;0,"?",""))),"")</f>
        <v/>
      </c>
      <c r="BR62" s="93">
        <f>IF(62=62,IF($U62="","",SUMPRODUCT(--ISNUMBER(SEARCH(" "&amp;$CR$1977:$CR$1990&amp;" ",$AA62)))),"")</f>
        <v>0</v>
      </c>
      <c r="BS62" s="93">
        <f>IF(62=62,IF($U62="","",SUMPRODUCT(--ISNUMBER(SEARCH(" "&amp;$CR$1991:$CR$2005&amp;" ",$AA62)))),"")</f>
        <v>0</v>
      </c>
      <c r="BT62" s="93" t="str">
        <f>IF(62=62,IF($U62="","",IF((BR62)-(0)&gt;0,"X",IF((BS62)-(0)&gt;0,"?",""))),"")</f>
        <v/>
      </c>
      <c r="BU62" s="93">
        <f>IF(62=62,IF($U62="","",SUMPRODUCT(--ISNUMBER(SEARCH(" "&amp;$CR$2006:$CR$2023&amp;" ",$AA62)))),"")</f>
        <v>0</v>
      </c>
      <c r="BV62" s="93">
        <f>IF(62=62,IF($U62="","",SUMPRODUCT(--ISNUMBER(SEARCH(" "&amp;$CR$2024:$CR$2038&amp;" ",$AA62)))),"")</f>
        <v>0</v>
      </c>
      <c r="BW62" s="93" t="str">
        <f>IF(62=62,IF($U62="","",IF((BU62)-(0)&gt;0,"X",IF((BV62)-(0)&gt;0,"?",""))),"")</f>
        <v/>
      </c>
      <c r="BX62" s="93">
        <f>IF(62=62,IF($U62="","",SUMPRODUCT(--ISNUMBER(SEARCH(" "&amp;$CR$2039:$CR$2057&amp;" ",$AA62)))),"")</f>
        <v>0</v>
      </c>
      <c r="BY62" s="93">
        <f>IF(62=62,IF($U62="","",SUMPRODUCT(--ISNUMBER(SEARCH(" "&amp;$CR$2058:$CR$2072&amp;" ",$AA62)))),"")</f>
        <v>0</v>
      </c>
      <c r="BZ62" s="93" t="str">
        <f>IF(62=62,IF($U62="","",IF((BX62)-(0)&gt;0,"X",IF((BY62)-(0)&gt;0,"?",""))),"")</f>
        <v/>
      </c>
      <c r="CA62" s="93">
        <f>IF(62=62,IF($U62="","",SUMPRODUCT(--ISNUMBER(SEARCH(" "&amp;$CR$2073:$CR$2093&amp;" ",$AA62)))),"")</f>
        <v>0</v>
      </c>
      <c r="CB62" s="93">
        <f>IF(62=62,IF($U62="","",SUMPRODUCT(--ISNUMBER(SEARCH(" "&amp;$CR$2094:$CR$2133&amp;" ",SUBSTITUTE(SUBSTITUTE($AA62," "&amp;$CR$1367&amp;" "," ")," "&amp;$CR$1366&amp;" "," "))))+--ISNUMBER(SEARCH("poiré",$V62))),"")</f>
        <v>0</v>
      </c>
      <c r="CC62" s="93" t="str">
        <f>IF(62=62,IF($U62="","",IF(OR(CA62&gt;0,ISNUMBER(SEARCH(" vinaigre de vin ",$AA62)),ISNUMBER(SEARCH(" vinaigre au vin ",$AA62))),"X",IF(CB62&gt;0,"?",""))),"")</f>
        <v/>
      </c>
      <c r="CD62" s="93">
        <f>IF(62=62,IF($U62="","",SUMPRODUCT(--ISNUMBER(SEARCH(" "&amp;$CR$2134:$CR$2146&amp;" ",$AA62)))),"")</f>
        <v>1</v>
      </c>
      <c r="CE62" s="93">
        <f>IF(62=62,IF($U62="","",SUMPRODUCT(--ISNUMBER(SEARCH(" "&amp;$CR$2147:$CR$2152&amp;" ",$AA62)))),"")</f>
        <v>0</v>
      </c>
      <c r="CF62" s="93" t="str">
        <f>IF(62=62,IF($U62="","",IF((CD62)-(0)&gt;0,"X",IF((CE62)-(0)&gt;0,"?",""))),"")</f>
        <v>X</v>
      </c>
      <c r="CG62" s="93">
        <f>IF(62=62,IF($U62="","",SUMPRODUCT(--ISNUMBER(SEARCH(" "&amp;$CR$2153:$CR$2252&amp;" ",$CJ62)))),"")</f>
        <v>0</v>
      </c>
      <c r="CH62" s="93">
        <f>IF(62=62,IF($U62="","",SUMPRODUCT(--ISNUMBER(SEARCH(" "&amp;$CR$2253:$CR$2352&amp;" ",$CJ62)))),"")</f>
        <v>0</v>
      </c>
      <c r="CI62" s="93">
        <f>IF(62=62,IF($U62="","",SUMPRODUCT(--ISNUMBER(SEARCH(" "&amp;$CR$2353:$CR$2395&amp;" ",$CJ62)))),"")</f>
        <v>0</v>
      </c>
      <c r="CJ62" s="93" t="str">
        <f>IF(62=62,IF($U62="","",SUBSTITUTE(SUBSTITUTE(SUBSTITUTE(SUBSTITUTE(SUBSTITUTE(SUBSTITUTE(SUBSTITUTE(SUBSTITUTE(SUBSTITUTE(SUBSTITUTE(SUBSTITUTE(SUBSTITUTE(SUBSTITUTE(SUBSTITUTE(SUBSTITUTE(SUBSTITUTE($AA62," "&amp;$CR$2401&amp;" "," ")," "&amp;$CR$2400&amp;" "," ")," "&amp;$CR$2399&amp;" "," ")," "&amp;$CR$2406&amp;" "," ")," "&amp;$CR$2398&amp;" "," ")," "&amp;$CR$2410&amp;" "," ")," "&amp;$CR$2397&amp;" "," ")," "&amp;$CR$2402&amp;" "," ")," "&amp;$CR$2405&amp;" "," ")," "&amp;$CR$2396&amp;" "," ")," "&amp;$CR$2404&amp;" "," ")," "&amp;$CR$2411&amp;" "," ")," "&amp;$CR$2408&amp;" "," ")," "&amp;$CR$2403&amp;" "," ")," "&amp;$CR$2407&amp;" "," ")," "&amp;$CR$2409&amp;" "," ")),"")</f>
        <v xml:space="preserve"> lupin </v>
      </c>
      <c r="CK62" s="93">
        <f>IF(62=62,IF($U62="","",SUMPRODUCT(--ISNUMBER(SEARCH(" "&amp;$CR$2412:$CR$2416&amp;" ",$CJ62)))),"")</f>
        <v>0</v>
      </c>
      <c r="CL62" s="93" t="str">
        <f>IF(62=62,IF($U62="","",IF(SUM(CG62:CI62)&gt;0,"X",IF(CK62&gt;0,"?",""))),"")</f>
        <v/>
      </c>
      <c r="CM62" s="102"/>
      <c r="CN62" s="112" t="s">
        <v>747</v>
      </c>
      <c r="CO62" s="112" t="s">
        <v>522</v>
      </c>
      <c r="CP62" s="112" t="s">
        <v>523</v>
      </c>
      <c r="CQ62" s="112" t="s">
        <v>748</v>
      </c>
      <c r="CR62" s="112" t="s">
        <v>748</v>
      </c>
      <c r="CS62" s="112" t="s">
        <v>525</v>
      </c>
      <c r="CT62" s="112" t="s">
        <v>526</v>
      </c>
      <c r="CU62" s="112" t="s">
        <v>527</v>
      </c>
      <c r="CV62" s="113" t="s">
        <v>528</v>
      </c>
      <c r="CX62" s="36">
        <v>1</v>
      </c>
    </row>
    <row r="63" spans="1:102" ht="21" customHeight="1" x14ac:dyDescent="0.25">
      <c r="A63" s="135">
        <v>57</v>
      </c>
      <c r="B63" s="136" t="s">
        <v>551</v>
      </c>
      <c r="C63" s="137" t="str">
        <f t="shared" si="0"/>
        <v>Mollusques *</v>
      </c>
      <c r="D63" s="138" t="str">
        <f>IF(63=63,IF($B63="","",IF(E63="X",""&amp;"Céréales contenant du gluten","")&amp;IF(F63="X",IF(COUNTIF($E63:$E63,"X")&gt;0,", ","")&amp;"Crustacés","")&amp;IF(G63="X",IF(COUNTIF($E63:$F63,"X")&gt;0,", ","")&amp;"Œufs","")&amp;IF(H63="X",IF(COUNTIF($E63:$G63,"X")&gt;0,", ","")&amp;"Poissons","")&amp;IF(I63="X",IF(COUNTIF($E63:$H63,"X")&gt;0,", ","")&amp;"Arachides","")&amp;IF(J63="X",IF(COUNTIF($E63:$I63,"X")&gt;0,", ","")&amp;"Soja","")&amp;IF(K63="X",IF(COUNTIF($E63:$J63,"X")&gt;0,", ","")&amp;"Lait","")&amp;IF(L63="X",IF(COUNTIF($E63:$K63,"X")&gt;0,", ","")&amp;"Fruits à coque","")&amp;IF(M63="X",IF(COUNTIF($E63:$L63,"X")&gt;0,", ","")&amp;"Céleri","")&amp;IF(N63="X",IF(COUNTIF($E63:$M63,"X")&gt;0,", ","")&amp;"Moutarde","")&amp;IF(O63="X",IF(COUNTIF($E63:$N63,"X")&gt;0,", ","")&amp;"Sésame","")&amp;IF(P63="X",IF(COUNTIF($E63:$O63,"X")&gt;0,", ","")&amp;"Sulfites","")&amp;IF(Q63="X",IF(COUNTIF($E63:$P63,"X")&gt;0,", ","")&amp;"Lupin","")&amp;IF(R63="X",IF(COUNTIF($E63:$Q63,"X")&gt;0,", ","")&amp;"Mollusques","")),"")</f>
        <v>Mollusques</v>
      </c>
      <c r="E63" s="139" t="str">
        <f>IF(63=63,IF($B63="","",AF63),"")</f>
        <v/>
      </c>
      <c r="F63" s="139" t="str">
        <f>IF(63=63,IF($B63="","",AI63),"")</f>
        <v/>
      </c>
      <c r="G63" s="139" t="str">
        <f>IF(63=63,IF($B63="","",AM63),"")</f>
        <v/>
      </c>
      <c r="H63" s="139" t="str">
        <f>IF(63=63,IF($B63="","",IF(ISNUMBER(SEARCH(" colin ",$AA63)),"X",AZ63)),"")</f>
        <v/>
      </c>
      <c r="I63" s="139" t="str">
        <f>IF(63=63,IF($B63="","",BB63),"")</f>
        <v/>
      </c>
      <c r="J63" s="139" t="str">
        <f>IF(63=63,IF($B63="","",BF63),"")</f>
        <v/>
      </c>
      <c r="K63" s="139" t="str">
        <f>IF(63=63,IF($B63="","",BM63),"")</f>
        <v/>
      </c>
      <c r="L63" s="139" t="str">
        <f>IF(63=63,IF($B63="","",BQ63),"")</f>
        <v/>
      </c>
      <c r="M63" s="139" t="str">
        <f>IF(63=63,IF($B63="","",BT63),"")</f>
        <v/>
      </c>
      <c r="N63" s="139" t="str">
        <f>IF(63=63,IF($B63="","",BW63),"")</f>
        <v/>
      </c>
      <c r="O63" s="139" t="str">
        <f>IF(63=63,IF($B63="","",BZ63),"")</f>
        <v/>
      </c>
      <c r="P63" s="139" t="str">
        <f>IF(63=63,IF($B63="","",CC63),"")</f>
        <v/>
      </c>
      <c r="Q63" s="139" t="str">
        <f>IF(63=63,IF($B63="","",CF63),"")</f>
        <v/>
      </c>
      <c r="R63" s="139" t="str">
        <f>IF(63=63,IF($B63="","",CL63),"")</f>
        <v>X</v>
      </c>
      <c r="S63" s="140" t="str">
        <f>IF(63=63,IF($B63="","",IF(E63="?",""&amp;"Céréales contenant du gluten","")&amp;IF(F63="?",IF(COUNTIF($E63:$E63,"~?")&gt;0,", ","")&amp;"Crustacés","")&amp;IF(G63="?",IF(COUNTIF($E63:$F63,"~?")&gt;0,", ","")&amp;"Œufs","")&amp;IF(H63="?",IF(COUNTIF($E63:$G63,"~?")&gt;0,", ","")&amp;"Poissons","")&amp;IF(I63="?",IF(COUNTIF($E63:$H63,"~?")&gt;0,", ","")&amp;"Arachides","")&amp;IF(J63="?",IF(COUNTIF($E63:$I63,"~?")&gt;0,", ","")&amp;"Soja","")&amp;IF(K63="?",IF(COUNTIF($E63:$J63,"~?")&gt;0,", ","")&amp;"Lait","")&amp;IF(L63="?",IF(COUNTIF($E63:$K63,"~?")&gt;0,", ","")&amp;"Fruits à coque","")&amp;IF(M63="?",IF(COUNTIF($E63:$L63,"~?")&gt;0,", ","")&amp;"Céleri","")&amp;IF(N63="?",IF(COUNTIF($E63:$M63,"~?")&gt;0,", ","")&amp;"Moutarde","")&amp;IF(O63="?",IF(COUNTIF($E63:$N63,"~?")&gt;0,", ","")&amp;"Sésame","")&amp;IF(P63="?",IF(COUNTIF($E63:$O63,"~?")&gt;0,", ","")&amp;"Sulfites","")&amp;IF(Q63="?",IF(COUNTIF($E63:$P63,"~?")&gt;0,", ","")&amp;"Lupin","")&amp;IF(R63="?",IF(COUNTIF($E63:$Q63,"~?")&gt;0,", ","")&amp;"Mollusques","")),"")</f>
        <v/>
      </c>
      <c r="U63" s="93" t="str">
        <f>IF(63=63,IF($B63="","",$B63),"")</f>
        <v>Mollusques</v>
      </c>
      <c r="V63" s="93" t="str">
        <f>IF(63=63,LOWER(CLEAN(SUBSTITUTE(SUBSTITUTE(SUBSTITUTE(SUBSTITUTE($U63,CHAR(160)," ")," "," "),CHAR(10)," "),CHAR(13)," "))),"")</f>
        <v>mollusques</v>
      </c>
      <c r="W63" s="93" t="str">
        <f>IF(63=63,SUBSTITUTE(SUBSTITUTE(SUBSTITUTE(SUBSTITUTE(SUBSTITUTE(SUBSTITUTE(SUBSTITUTE(SUBSTITUTE(SUBSTITUTE(SUBSTITUTE(SUBSTITUTE(SUBSTITUTE($V63,"œ","oe"),"æ","ae"),"à","a"),"á","a"),"â","a"),"ä","a"),"ã","a"),"ç","c"),"è","e"),"é","e"),"ê","e"),"ë","e"),"")</f>
        <v>mollusques</v>
      </c>
      <c r="X63" s="93" t="str">
        <f>IF(63=63,SUBSTITUTE(SUBSTITUTE(SUBSTITUTE(SUBSTITUTE(SUBSTITUTE(SUBSTITUTE(SUBSTITUTE(SUBSTITUTE(SUBSTITUTE(SUBSTITUTE(SUBSTITUTE(SUBSTITUTE(SUBSTITUTE(SUBSTITUTE(SUBSTITUTE(SUBSTITUTE($W63,"ì","i"),"í","i"),"î","i"),"ï","i"),"ñ","n"),"ò","o"),"ó","o"),"ô","o"),"ö","o"),"õ","o"),"ù","u"),"ú","u"),"û","u"),"ü","u"),"ý","y"),"ÿ","y"),"")</f>
        <v>mollusques</v>
      </c>
      <c r="Y63" s="93" t="str">
        <f>IF(63=63,SUBSTITUTE(SUBSTITUTE(SUBSTITUTE(SUBSTITUTE(SUBSTITUTE(SUBSTITUTE(SUBSTITUTE(SUBSTITUTE(SUBSTITUTE(SUBSTITUTE(SUBSTITUTE(SUBSTITUTE(SUBSTITUTE(SUBSTITUTE($X63,"’"," "),"`"," "),"–"," "),"—"," "),"-"," "),"'"," "),"/"," "),"_"," "),","," "),"."," "),"("," "),")"," "),";"," "),":"," "),"")</f>
        <v>mollusques</v>
      </c>
      <c r="Z63" s="93" t="str">
        <f>IF(63=63,SUBSTITUTE(SUBSTITUTE(SUBSTITUTE(SUBSTITUTE(SUBSTITUTE(SUBSTITUTE(SUBSTITUTE(SUBSTITUTE(SUBSTITUTE(SUBSTITUTE(SUBSTITUTE(SUBSTITUTE(SUBSTITUTE(SUBSTITUTE(SUBSTITUTE($Y63,"!"," "),"?"," "),"+"," "),"*"," "),"&amp;"," "),"["," "),"]"," "),"{"," "),"}"," "),"%"," "),"="," "),"\"," "),"|"," "),"&lt;"," "),"&gt;"," "),"")</f>
        <v>mollusques</v>
      </c>
      <c r="AA63" s="93" t="str">
        <f>IF(63=63," "&amp;TRIM(SUBSTITUTE(SUBSTITUTE(SUBSTITUTE(SUBSTITUTE(SUBSTITUTE(SUBSTITUTE($Z63,CHAR(34)," "),"  "," "),"  "," "),"  "," "),"  "," "),"  "," "))&amp;" ","")</f>
        <v xml:space="preserve"> mollusques </v>
      </c>
      <c r="AB63" s="93">
        <f>IF(63=63,IF($U63="","",SUMPRODUCT(--ISNUMBER(SEARCH(" "&amp;$CR$2:$CR$101&amp;" ",$AD63)))),"")</f>
        <v>0</v>
      </c>
      <c r="AC63" s="93">
        <f>IF(63=63,IF($U63="","",SUMPRODUCT(--ISNUMBER(SEARCH(" "&amp;$CR$102:$CR$151&amp;" ",$AD63)))),"")</f>
        <v>0</v>
      </c>
      <c r="AD63" s="93" t="str">
        <f t="shared" si="1"/>
        <v xml:space="preserve"> mollusques </v>
      </c>
      <c r="AE63" s="93">
        <f t="shared" si="2"/>
        <v>0</v>
      </c>
      <c r="AF63" s="93" t="str">
        <f>IF(63=63,IF($U63="","",IF(SUM(AB63:AC63)+SUMPRODUCT(--ISNUMBER(SEARCH(" "&amp;$CR$2418:$CR$2420&amp;" ",$AD63)))&gt;0,"X",IF(AE63&gt;0,"?",""))),"")</f>
        <v/>
      </c>
      <c r="AG63" s="93">
        <f>IF(63=63,IF($U63="","",SUMPRODUCT(--ISNUMBER(SEARCH(" "&amp;$CR$206:$CR$305&amp;" ",$AA63)))),"")</f>
        <v>0</v>
      </c>
      <c r="AH63" s="93">
        <f>IF(63=63,IF($U63="","",SUMPRODUCT(--ISNUMBER(SEARCH(" "&amp;$CR$306:$CR$340&amp;" ",$AA63)))),"")</f>
        <v>0</v>
      </c>
      <c r="AI63" s="93" t="str">
        <f>IF(63=63,IF($U63="","",IF((SUM(AG63:AH63))-(0)&gt;0,"X",IF((0)-(0)&gt;0,"?",""))),"")</f>
        <v/>
      </c>
      <c r="AJ63" s="93">
        <f>IF(63=63,IF($U63="","",SUMPRODUCT(--ISNUMBER(SEARCH(" "&amp;$CR$341:$CR$398&amp;" ",$AA63)))),"")</f>
        <v>0</v>
      </c>
      <c r="AK63" s="93">
        <f>IF(63=63,IF($U63="","",SUMPRODUCT(--ISNUMBER(SEARCH(" "&amp;$CR$399:$CR$426&amp;" ",$AL63)))+SUMPRODUCT(--ISNUMBER(SEARCH(" "&amp;$CR$2440:$CR$2453&amp;" ",$AL63)))),"")</f>
        <v>0</v>
      </c>
      <c r="AL63" s="93" t="str">
        <f>IF(63=63,IF($U63="","",SUBSTITUTE(SUBSTITUTE(SUBSTITUTE(SUBSTITUTE(SUBSTITUTE(SUBSTITUTE(SUBSTITUTE(SUBSTITUTE(SUBSTITUTE(SUBSTITUTE(SUBSTITUTE(SUBSTITUTE(SUBSTITUTE(SUBSTITUTE($AA63," "&amp;$CR$2455&amp;" "," ")," "&amp;$CR$433&amp;" "," ")," "&amp;$CR$431&amp;" "," ")," "&amp;$CR$2438&amp;" "," ")," "&amp;$CR$2439&amp;" "," ")," "&amp;$CR$428&amp;" "," ")," "&amp;$CR$432&amp;" "," ")," "&amp;$CR$434&amp;" "," ")," "&amp;$CR$429&amp;" "," ")," "&amp;$CR$427&amp;" "," ")," "&amp;$CR$1367&amp;" "," ")," "&amp;$CR$435&amp;" "," ")," "&amp;$CR$1366&amp;" "," ")," "&amp;$CR$430&amp;" "," ")),"")</f>
        <v xml:space="preserve"> mollusques </v>
      </c>
      <c r="AM63" s="93" t="str">
        <f>IF(63=63,IF($U63="","",IF(AJ63&gt;0,"X",IF(AK63&gt;0,"?",""))),"")</f>
        <v/>
      </c>
      <c r="AN63" s="93">
        <f>IF(63=63,IF($U63="","",SUMPRODUCT(--ISNUMBER(SEARCH(" "&amp;$CR$436:$CR$535&amp;" ",$AX63)))),"")</f>
        <v>0</v>
      </c>
      <c r="AO63" s="93">
        <f>IF(63=63,IF($U63="","",SUMPRODUCT(--ISNUMBER(SEARCH(" "&amp;$CR$536:$CR$635&amp;" ",$AX63)))),"")</f>
        <v>0</v>
      </c>
      <c r="AP63" s="93">
        <f>IF(63=63,IF($U63="","",SUMPRODUCT(--ISNUMBER(SEARCH(" "&amp;$CR$636:$CR$735&amp;" ",$AX63)))),"")</f>
        <v>0</v>
      </c>
      <c r="AQ63" s="93">
        <f>IF(63=63,IF($U63="","",SUMPRODUCT(--ISNUMBER(SEARCH(" "&amp;$CR$736:$CR$835&amp;" ",$AX63)))),"")</f>
        <v>0</v>
      </c>
      <c r="AR63" s="93">
        <f>IF(63=63,IF($U63="","",SUMPRODUCT(--ISNUMBER(SEARCH(" "&amp;$CR$836:$CR$935&amp;" ",$AX63)))),"")</f>
        <v>0</v>
      </c>
      <c r="AS63" s="93">
        <f>IF(63=63,IF($U63="","",SUMPRODUCT(--ISNUMBER(SEARCH(" "&amp;$CR$936:$CR$1035&amp;" ",$AX63)))),"")</f>
        <v>0</v>
      </c>
      <c r="AT63" s="93">
        <f>IF(63=63,IF($U63="","",SUMPRODUCT(--ISNUMBER(SEARCH(" "&amp;$CR$1036:$CR$1135&amp;" ",$AX63)))),"")</f>
        <v>0</v>
      </c>
      <c r="AU63" s="93">
        <f>IF(63=63,IF($U63="","",SUMPRODUCT(--ISNUMBER(SEARCH(" "&amp;$CR$1136:$CR$1235&amp;" ",$AX63)))),"")</f>
        <v>0</v>
      </c>
      <c r="AV63" s="93">
        <f>IF(63=63,IF($U63="","",SUMPRODUCT(--ISNUMBER(SEARCH(" "&amp;$CR$1236:$CR$1335&amp;" ",$AX63)))),"")</f>
        <v>0</v>
      </c>
      <c r="AW63" s="93">
        <f>IF(63=63,IF($U63="","",SUMPRODUCT(--ISNUMBER(SEARCH(" "&amp;$CR$1336:$CR$1363&amp;" ",$AX63)))),"")</f>
        <v>0</v>
      </c>
      <c r="AX63" s="93" t="str">
        <f>IF(63=63,IF($U63="","",SUBSTITUTE(SUBSTITUTE(SUBSTITUTE(SUBSTITUTE(SUBSTITUTE(SUBSTITUTE(SUBSTITUTE(SUBSTITUTE(SUBSTITUTE($AA63," "&amp;$CR$1365&amp;" "," ")," "&amp;$CR$1364&amp;" "," ")," "&amp;$CR$1370&amp;" "," ")," "&amp;$CR$1371&amp;" "," ")," "&amp;$CR$1367&amp;" "," ")," "&amp;$CR$1369&amp;" "," ")," "&amp;$CR$1366&amp;" "," ")," "&amp;$CR$1368&amp;" "," ")," "&amp;$CR$1372&amp;" "," ")),"")</f>
        <v xml:space="preserve"> mollusques </v>
      </c>
      <c r="AY63" s="93">
        <f>IF(63=63,IF($U63="","",SUMPRODUCT(--ISNUMBER(SEARCH(" "&amp;$CR$1373:$CR$1383&amp;" ",$AX63)))),"")</f>
        <v>0</v>
      </c>
      <c r="AZ63" s="93" t="str">
        <f>IF(63=63,IF($U63="","",IF(SUM(AN63:AW63)+SUMPRODUCT(--ISNUMBER(SEARCH(" "&amp;$CR$2421:$CR$2422&amp;" ",$AX63)))&gt;0,"X",IF(AY63&gt;0,"?",""))),"")</f>
        <v/>
      </c>
      <c r="BA63" s="93">
        <f>IF(63=63,IF($U63="","",SUMPRODUCT(--ISNUMBER(SEARCH(" "&amp;$CR$1384:$CR$1404&amp;" ",$AA63)))),"")</f>
        <v>0</v>
      </c>
      <c r="BB63" s="93" t="str">
        <f>IF(63=63,IF($U63="","",IF((BA63)-(0)&gt;0,"X",IF((0)-(0)&gt;0,"?",""))),"")</f>
        <v/>
      </c>
      <c r="BC63" s="93">
        <f>IF(63=63,IF($U63="","",SUMPRODUCT(--ISNUMBER(SEARCH(" "&amp;$CR$1405:$CR$1442&amp;" ",$BD63)))),"")</f>
        <v>0</v>
      </c>
      <c r="BD63" s="93" t="str">
        <f>IF(63=63,IF($U63="","",SUBSTITUTE(SUBSTITUTE($AA63," "&amp;$CR$1443&amp;" "," ")," "&amp;$CR$1444&amp;" "," ")),"")</f>
        <v xml:space="preserve"> mollusques </v>
      </c>
      <c r="BE63" s="93">
        <f>IF(63=63,IF($U63="","",SUMPRODUCT(--ISNUMBER(SEARCH(" "&amp;$CR$1445:$CR$1455&amp;" ",$BD63)))),"")</f>
        <v>0</v>
      </c>
      <c r="BF63" s="93" t="str">
        <f>IF(63=63,IF($U63="","",IF(BC63&gt;0,"X",IF(BE63&gt;0,"?",""))),"")</f>
        <v/>
      </c>
      <c r="BG63" s="93">
        <f>IF(63=63,IF($U63="","",SUMPRODUCT(--ISNUMBER(SEARCH(" "&amp;$CR$1456:$CR$1555&amp;" ",$BJ63)))),"")</f>
        <v>0</v>
      </c>
      <c r="BH63" s="93">
        <f>IF(63=63,IF($U63="","",SUMPRODUCT(--ISNUMBER(SEARCH(" "&amp;$CR$1556:$CR$1655&amp;" ",$BJ63)))),"")</f>
        <v>0</v>
      </c>
      <c r="BI63" s="93">
        <f>IF(63=63,IF($U63="","",SUMPRODUCT(--ISNUMBER(SEARCH(" "&amp;$CR$1656:$CR$1739&amp;" ",$BJ63)))),"")</f>
        <v>0</v>
      </c>
      <c r="BJ63" s="93" t="str">
        <f>IF(63=63,IF($U63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63,"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mollusques </v>
      </c>
      <c r="BK63" s="93">
        <f>IF(63=63,IF($U63="","",SUMPRODUCT(--ISNUMBER(SEARCH(" "&amp;$CR$1790:$CR$1869&amp;" ",$BL63)))+SUMPRODUCT(--ISNUMBER(SEARCH(" "&amp;$CR$2440:$CR$2453&amp;" ",$BL63)))),"")</f>
        <v>0</v>
      </c>
      <c r="BL63" s="93" t="str">
        <f>IF(63=63,IF($U63="","",SUBSTITUTE(SUBSTITUTE(SUBSTITUTE(SUBSTITUTE(SUBSTITUTE(SUBSTITUTE(SUBSTITUTE(SUBSTITUTE(SUBSTITUTE(SUBSTITUTE(SUBSTITUTE(SUBSTITUTE(SUBSTITUTE($BJ63," "&amp;$CR$1876&amp;" "," ")," "&amp;$CR$1874&amp;" "," ")," "&amp;$CR$2438&amp;" "," ")," "&amp;$CR$2439&amp;" "," ")," "&amp;$CR$1871&amp;" "," ")," "&amp;$CR$1875&amp;" "," ")," "&amp;$CR$1877&amp;" "," ")," "&amp;$CR$1872&amp;" "," ")," "&amp;$CR$1870&amp;" "," ")," "&amp;$CR$1367&amp;" "," ")," "&amp;$CR$1878&amp;" "," ")," "&amp;$CR$1366&amp;" "," ")," "&amp;$CR$1873&amp;" "," ")),"")</f>
        <v xml:space="preserve"> mollusques </v>
      </c>
      <c r="BM63" s="93" t="str">
        <f>IF(63=63,IF($U63="","",IF(SUM(BG63:BI63)+SUMPRODUCT(--ISNUMBER(SEARCH(" "&amp;$CR$2423:$CR$2424&amp;" ",$BJ63)))&gt;0,"X",IF(BK63&gt;0,"?",""))),"")</f>
        <v/>
      </c>
      <c r="BN63" s="93">
        <f>IF(63=63,IF($U63="","",SUMPRODUCT(--ISNUMBER(SEARCH(" "&amp;$CR$1879:$CR$1936&amp;" ",$BO63)))),"")</f>
        <v>0</v>
      </c>
      <c r="BO63" s="93" t="str">
        <f>IF(63=63,IF($U63="","",SUBSTITUTE(SUBSTITUTE(SUBSTITUTE(SUBSTITUTE(SUBSTITUTE(SUBSTITUTE(SUBSTITUTE(SUBSTITUTE(SUBSTITUTE(SUBSTITUTE(SUBSTITUTE(SUBSTITUTE(SUBSTITUTE(SUBSTITUTE(SUBSTITUTE(SUBSTITUTE(SUBSTITUTE(SUBSTITUTE(SUBSTITUTE(SUBSTITUTE(SUBSTITUTE(SUBSTITUTE(SUBSTITUTE($AA63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mollusques </v>
      </c>
      <c r="BP63" s="93">
        <f>IF(63=63,IF($U63="","",SUMPRODUCT(--ISNUMBER(SEARCH(" "&amp;$CR$1960:$CR$1976&amp;" ",$BO63)))),"")</f>
        <v>0</v>
      </c>
      <c r="BQ63" s="93" t="str">
        <f>IF(63=63,IF($U63="","",IF(BN63&gt;0,"X",IF(BP63&gt;0,"?",""))),"")</f>
        <v/>
      </c>
      <c r="BR63" s="93">
        <f>IF(63=63,IF($U63="","",SUMPRODUCT(--ISNUMBER(SEARCH(" "&amp;$CR$1977:$CR$1990&amp;" ",$AA63)))),"")</f>
        <v>0</v>
      </c>
      <c r="BS63" s="93">
        <f>IF(63=63,IF($U63="","",SUMPRODUCT(--ISNUMBER(SEARCH(" "&amp;$CR$1991:$CR$2005&amp;" ",$AA63)))),"")</f>
        <v>0</v>
      </c>
      <c r="BT63" s="93" t="str">
        <f>IF(63=63,IF($U63="","",IF((BR63)-(0)&gt;0,"X",IF((BS63)-(0)&gt;0,"?",""))),"")</f>
        <v/>
      </c>
      <c r="BU63" s="93">
        <f>IF(63=63,IF($U63="","",SUMPRODUCT(--ISNUMBER(SEARCH(" "&amp;$CR$2006:$CR$2023&amp;" ",$AA63)))),"")</f>
        <v>0</v>
      </c>
      <c r="BV63" s="93">
        <f>IF(63=63,IF($U63="","",SUMPRODUCT(--ISNUMBER(SEARCH(" "&amp;$CR$2024:$CR$2038&amp;" ",$AA63)))),"")</f>
        <v>0</v>
      </c>
      <c r="BW63" s="93" t="str">
        <f>IF(63=63,IF($U63="","",IF((BU63)-(0)&gt;0,"X",IF((BV63)-(0)&gt;0,"?",""))),"")</f>
        <v/>
      </c>
      <c r="BX63" s="93">
        <f>IF(63=63,IF($U63="","",SUMPRODUCT(--ISNUMBER(SEARCH(" "&amp;$CR$2039:$CR$2057&amp;" ",$AA63)))),"")</f>
        <v>0</v>
      </c>
      <c r="BY63" s="93">
        <f>IF(63=63,IF($U63="","",SUMPRODUCT(--ISNUMBER(SEARCH(" "&amp;$CR$2058:$CR$2072&amp;" ",$AA63)))),"")</f>
        <v>0</v>
      </c>
      <c r="BZ63" s="93" t="str">
        <f>IF(63=63,IF($U63="","",IF((BX63)-(0)&gt;0,"X",IF((BY63)-(0)&gt;0,"?",""))),"")</f>
        <v/>
      </c>
      <c r="CA63" s="93">
        <f>IF(63=63,IF($U63="","",SUMPRODUCT(--ISNUMBER(SEARCH(" "&amp;$CR$2073:$CR$2093&amp;" ",$AA63)))),"")</f>
        <v>0</v>
      </c>
      <c r="CB63" s="93">
        <f>IF(63=63,IF($U63="","",SUMPRODUCT(--ISNUMBER(SEARCH(" "&amp;$CR$2094:$CR$2133&amp;" ",SUBSTITUTE(SUBSTITUTE($AA63," "&amp;$CR$1367&amp;" "," ")," "&amp;$CR$1366&amp;" "," "))))+--ISNUMBER(SEARCH("poiré",$V63))),"")</f>
        <v>0</v>
      </c>
      <c r="CC63" s="93" t="str">
        <f>IF(63=63,IF($U63="","",IF(OR(CA63&gt;0,ISNUMBER(SEARCH(" vinaigre de vin ",$AA63)),ISNUMBER(SEARCH(" vinaigre au vin ",$AA63))),"X",IF(CB63&gt;0,"?",""))),"")</f>
        <v/>
      </c>
      <c r="CD63" s="93">
        <f>IF(63=63,IF($U63="","",SUMPRODUCT(--ISNUMBER(SEARCH(" "&amp;$CR$2134:$CR$2146&amp;" ",$AA63)))),"")</f>
        <v>0</v>
      </c>
      <c r="CE63" s="93">
        <f>IF(63=63,IF($U63="","",SUMPRODUCT(--ISNUMBER(SEARCH(" "&amp;$CR$2147:$CR$2152&amp;" ",$AA63)))),"")</f>
        <v>0</v>
      </c>
      <c r="CF63" s="93" t="str">
        <f>IF(63=63,IF($U63="","",IF((CD63)-(0)&gt;0,"X",IF((CE63)-(0)&gt;0,"?",""))),"")</f>
        <v/>
      </c>
      <c r="CG63" s="93">
        <f>IF(63=63,IF($U63="","",SUMPRODUCT(--ISNUMBER(SEARCH(" "&amp;$CR$2153:$CR$2252&amp;" ",$CJ63)))),"")</f>
        <v>0</v>
      </c>
      <c r="CH63" s="93">
        <f>IF(63=63,IF($U63="","",SUMPRODUCT(--ISNUMBER(SEARCH(" "&amp;$CR$2253:$CR$2352&amp;" ",$CJ63)))),"")</f>
        <v>1</v>
      </c>
      <c r="CI63" s="93">
        <f>IF(63=63,IF($U63="","",SUMPRODUCT(--ISNUMBER(SEARCH(" "&amp;$CR$2353:$CR$2395&amp;" ",$CJ63)))),"")</f>
        <v>0</v>
      </c>
      <c r="CJ63" s="93" t="str">
        <f>IF(63=63,IF($U63="","",SUBSTITUTE(SUBSTITUTE(SUBSTITUTE(SUBSTITUTE(SUBSTITUTE(SUBSTITUTE(SUBSTITUTE(SUBSTITUTE(SUBSTITUTE(SUBSTITUTE(SUBSTITUTE(SUBSTITUTE(SUBSTITUTE(SUBSTITUTE(SUBSTITUTE(SUBSTITUTE($AA63," "&amp;$CR$2401&amp;" "," ")," "&amp;$CR$2400&amp;" "," ")," "&amp;$CR$2399&amp;" "," ")," "&amp;$CR$2406&amp;" "," ")," "&amp;$CR$2398&amp;" "," ")," "&amp;$CR$2410&amp;" "," ")," "&amp;$CR$2397&amp;" "," ")," "&amp;$CR$2402&amp;" "," ")," "&amp;$CR$2405&amp;" "," ")," "&amp;$CR$2396&amp;" "," ")," "&amp;$CR$2404&amp;" "," ")," "&amp;$CR$2411&amp;" "," ")," "&amp;$CR$2408&amp;" "," ")," "&amp;$CR$2403&amp;" "," ")," "&amp;$CR$2407&amp;" "," ")," "&amp;$CR$2409&amp;" "," ")),"")</f>
        <v xml:space="preserve"> mollusques </v>
      </c>
      <c r="CK63" s="93">
        <f>IF(63=63,IF($U63="","",SUMPRODUCT(--ISNUMBER(SEARCH(" "&amp;$CR$2412:$CR$2416&amp;" ",$CJ63)))),"")</f>
        <v>0</v>
      </c>
      <c r="CL63" s="93" t="str">
        <f>IF(63=63,IF($U63="","",IF(SUM(CG63:CI63)&gt;0,"X",IF(CK63&gt;0,"?",""))),"")</f>
        <v>X</v>
      </c>
      <c r="CM63" s="102"/>
      <c r="CN63" s="112" t="s">
        <v>749</v>
      </c>
      <c r="CO63" s="112" t="s">
        <v>522</v>
      </c>
      <c r="CP63" s="112" t="s">
        <v>523</v>
      </c>
      <c r="CQ63" s="112" t="s">
        <v>750</v>
      </c>
      <c r="CR63" s="112" t="s">
        <v>750</v>
      </c>
      <c r="CS63" s="112" t="s">
        <v>525</v>
      </c>
      <c r="CT63" s="112" t="s">
        <v>526</v>
      </c>
      <c r="CU63" s="112" t="s">
        <v>527</v>
      </c>
      <c r="CV63" s="113" t="s">
        <v>528</v>
      </c>
      <c r="CX63" s="36">
        <v>1</v>
      </c>
    </row>
    <row r="64" spans="1:102" ht="21" customHeight="1" x14ac:dyDescent="0.25">
      <c r="A64" s="135">
        <v>58</v>
      </c>
      <c r="B64" s="136" t="s">
        <v>545</v>
      </c>
      <c r="C64" s="137" t="str">
        <f t="shared" si="0"/>
        <v>Fruits à coque *</v>
      </c>
      <c r="D64" s="138" t="str">
        <f>IF(64=64,IF($B64="","",IF(E64="X",""&amp;"Céréales contenant du gluten","")&amp;IF(F64="X",IF(COUNTIF($E64:$E64,"X")&gt;0,", ","")&amp;"Crustacés","")&amp;IF(G64="X",IF(COUNTIF($E64:$F64,"X")&gt;0,", ","")&amp;"Œufs","")&amp;IF(H64="X",IF(COUNTIF($E64:$G64,"X")&gt;0,", ","")&amp;"Poissons","")&amp;IF(I64="X",IF(COUNTIF($E64:$H64,"X")&gt;0,", ","")&amp;"Arachides","")&amp;IF(J64="X",IF(COUNTIF($E64:$I64,"X")&gt;0,", ","")&amp;"Soja","")&amp;IF(K64="X",IF(COUNTIF($E64:$J64,"X")&gt;0,", ","")&amp;"Lait","")&amp;IF(L64="X",IF(COUNTIF($E64:$K64,"X")&gt;0,", ","")&amp;"Fruits à coque","")&amp;IF(M64="X",IF(COUNTIF($E64:$L64,"X")&gt;0,", ","")&amp;"Céleri","")&amp;IF(N64="X",IF(COUNTIF($E64:$M64,"X")&gt;0,", ","")&amp;"Moutarde","")&amp;IF(O64="X",IF(COUNTIF($E64:$N64,"X")&gt;0,", ","")&amp;"Sésame","")&amp;IF(P64="X",IF(COUNTIF($E64:$O64,"X")&gt;0,", ","")&amp;"Sulfites","")&amp;IF(Q64="X",IF(COUNTIF($E64:$P64,"X")&gt;0,", ","")&amp;"Lupin","")&amp;IF(R64="X",IF(COUNTIF($E64:$Q64,"X")&gt;0,", ","")&amp;"Mollusques","")),"")</f>
        <v>Mollusques</v>
      </c>
      <c r="E64" s="139" t="str">
        <f>IF(64=64,IF($B64="","",AF64),"")</f>
        <v/>
      </c>
      <c r="F64" s="139" t="str">
        <f>IF(64=64,IF($B64="","",AI64),"")</f>
        <v/>
      </c>
      <c r="G64" s="139" t="str">
        <f>IF(64=64,IF($B64="","",AM64),"")</f>
        <v/>
      </c>
      <c r="H64" s="139" t="str">
        <f>IF(64=64,IF($B64="","",IF(ISNUMBER(SEARCH(" colin ",$AA64)),"X",AZ64)),"")</f>
        <v/>
      </c>
      <c r="I64" s="139" t="str">
        <f>IF(64=64,IF($B64="","",BB64),"")</f>
        <v/>
      </c>
      <c r="J64" s="139" t="str">
        <f>IF(64=64,IF($B64="","",BF64),"")</f>
        <v/>
      </c>
      <c r="K64" s="139" t="str">
        <f>IF(64=64,IF($B64="","",BM64),"")</f>
        <v/>
      </c>
      <c r="L64" s="139" t="str">
        <f>IF(64=64,IF($B64="","",BQ64),"")</f>
        <v/>
      </c>
      <c r="M64" s="139" t="str">
        <f>IF(64=64,IF($B64="","",BT64),"")</f>
        <v/>
      </c>
      <c r="N64" s="139" t="str">
        <f>IF(64=64,IF($B64="","",BW64),"")</f>
        <v/>
      </c>
      <c r="O64" s="139" t="str">
        <f>IF(64=64,IF($B64="","",BZ64),"")</f>
        <v/>
      </c>
      <c r="P64" s="139" t="str">
        <f>IF(64=64,IF($B64="","",CC64),"")</f>
        <v/>
      </c>
      <c r="Q64" s="139" t="str">
        <f>IF(64=64,IF($B64="","",CF64),"")</f>
        <v/>
      </c>
      <c r="R64" s="139" t="str">
        <f>IF(64=64,IF($B64="","",CL64),"")</f>
        <v>X</v>
      </c>
      <c r="S64" s="140" t="str">
        <f>IF(64=64,IF($B64="","",IF(E64="?",""&amp;"Céréales contenant du gluten","")&amp;IF(F64="?",IF(COUNTIF($E64:$E64,"~?")&gt;0,", ","")&amp;"Crustacés","")&amp;IF(G64="?",IF(COUNTIF($E64:$F64,"~?")&gt;0,", ","")&amp;"Œufs","")&amp;IF(H64="?",IF(COUNTIF($E64:$G64,"~?")&gt;0,", ","")&amp;"Poissons","")&amp;IF(I64="?",IF(COUNTIF($E64:$H64,"~?")&gt;0,", ","")&amp;"Arachides","")&amp;IF(J64="?",IF(COUNTIF($E64:$I64,"~?")&gt;0,", ","")&amp;"Soja","")&amp;IF(K64="?",IF(COUNTIF($E64:$J64,"~?")&gt;0,", ","")&amp;"Lait","")&amp;IF(L64="?",IF(COUNTIF($E64:$K64,"~?")&gt;0,", ","")&amp;"Fruits à coque","")&amp;IF(M64="?",IF(COUNTIF($E64:$L64,"~?")&gt;0,", ","")&amp;"Céleri","")&amp;IF(N64="?",IF(COUNTIF($E64:$M64,"~?")&gt;0,", ","")&amp;"Moutarde","")&amp;IF(O64="?",IF(COUNTIF($E64:$N64,"~?")&gt;0,", ","")&amp;"Sésame","")&amp;IF(P64="?",IF(COUNTIF($E64:$O64,"~?")&gt;0,", ","")&amp;"Sulfites","")&amp;IF(Q64="?",IF(COUNTIF($E64:$P64,"~?")&gt;0,", ","")&amp;"Lupin","")&amp;IF(R64="?",IF(COUNTIF($E64:$Q64,"~?")&gt;0,", ","")&amp;"Mollusques","")),"")</f>
        <v/>
      </c>
      <c r="U64" s="93" t="str">
        <f>IF(64=64,IF($B64="","",$B64),"")</f>
        <v>Fruits à coque</v>
      </c>
      <c r="V64" s="93" t="str">
        <f>IF(64=64,LOWER(CLEAN(SUBSTITUTE(SUBSTITUTE(SUBSTITUTE(SUBSTITUTE($U64,CHAR(160)," ")," "," "),CHAR(10)," "),CHAR(13)," "))),"")</f>
        <v>fruits à coque</v>
      </c>
      <c r="W64" s="93" t="str">
        <f>IF(64=64,SUBSTITUTE(SUBSTITUTE(SUBSTITUTE(SUBSTITUTE(SUBSTITUTE(SUBSTITUTE(SUBSTITUTE(SUBSTITUTE(SUBSTITUTE(SUBSTITUTE(SUBSTITUTE(SUBSTITUTE($V64,"œ","oe"),"æ","ae"),"à","a"),"á","a"),"â","a"),"ä","a"),"ã","a"),"ç","c"),"è","e"),"é","e"),"ê","e"),"ë","e"),"")</f>
        <v>fruits a coque</v>
      </c>
      <c r="X64" s="93" t="str">
        <f>IF(64=64,SUBSTITUTE(SUBSTITUTE(SUBSTITUTE(SUBSTITUTE(SUBSTITUTE(SUBSTITUTE(SUBSTITUTE(SUBSTITUTE(SUBSTITUTE(SUBSTITUTE(SUBSTITUTE(SUBSTITUTE(SUBSTITUTE(SUBSTITUTE(SUBSTITUTE(SUBSTITUTE($W64,"ì","i"),"í","i"),"î","i"),"ï","i"),"ñ","n"),"ò","o"),"ó","o"),"ô","o"),"ö","o"),"õ","o"),"ù","u"),"ú","u"),"û","u"),"ü","u"),"ý","y"),"ÿ","y"),"")</f>
        <v>fruits a coque</v>
      </c>
      <c r="Y64" s="93" t="str">
        <f>IF(64=64,SUBSTITUTE(SUBSTITUTE(SUBSTITUTE(SUBSTITUTE(SUBSTITUTE(SUBSTITUTE(SUBSTITUTE(SUBSTITUTE(SUBSTITUTE(SUBSTITUTE(SUBSTITUTE(SUBSTITUTE(SUBSTITUTE(SUBSTITUTE($X64,"’"," "),"`"," "),"–"," "),"—"," "),"-"," "),"'"," "),"/"," "),"_"," "),","," "),"."," "),"("," "),")"," "),";"," "),":"," "),"")</f>
        <v>fruits a coque</v>
      </c>
      <c r="Z64" s="93" t="str">
        <f>IF(64=64,SUBSTITUTE(SUBSTITUTE(SUBSTITUTE(SUBSTITUTE(SUBSTITUTE(SUBSTITUTE(SUBSTITUTE(SUBSTITUTE(SUBSTITUTE(SUBSTITUTE(SUBSTITUTE(SUBSTITUTE(SUBSTITUTE(SUBSTITUTE(SUBSTITUTE($Y64,"!"," "),"?"," "),"+"," "),"*"," "),"&amp;"," "),"["," "),"]"," "),"{"," "),"}"," "),"%"," "),"="," "),"\"," "),"|"," "),"&lt;"," "),"&gt;"," "),"")</f>
        <v>fruits a coque</v>
      </c>
      <c r="AA64" s="93" t="str">
        <f>IF(64=64," "&amp;TRIM(SUBSTITUTE(SUBSTITUTE(SUBSTITUTE(SUBSTITUTE(SUBSTITUTE(SUBSTITUTE($Z64,CHAR(34)," "),"  "," "),"  "," "),"  "," "),"  "," "),"  "," "))&amp;" ","")</f>
        <v xml:space="preserve"> fruits a coque </v>
      </c>
      <c r="AB64" s="93">
        <f>IF(64=64,IF($U64="","",SUMPRODUCT(--ISNUMBER(SEARCH(" "&amp;$CR$2:$CR$101&amp;" ",$AD64)))),"")</f>
        <v>0</v>
      </c>
      <c r="AC64" s="93">
        <f>IF(64=64,IF($U64="","",SUMPRODUCT(--ISNUMBER(SEARCH(" "&amp;$CR$102:$CR$151&amp;" ",$AD64)))),"")</f>
        <v>0</v>
      </c>
      <c r="AD64" s="93" t="str">
        <f t="shared" si="1"/>
        <v xml:space="preserve"> fruits a coque </v>
      </c>
      <c r="AE64" s="93">
        <f t="shared" si="2"/>
        <v>0</v>
      </c>
      <c r="AF64" s="93" t="str">
        <f>IF(64=64,IF($U64="","",IF(SUM(AB64:AC64)+SUMPRODUCT(--ISNUMBER(SEARCH(" "&amp;$CR$2418:$CR$2420&amp;" ",$AD64)))&gt;0,"X",IF(AE64&gt;0,"?",""))),"")</f>
        <v/>
      </c>
      <c r="AG64" s="93">
        <f>IF(64=64,IF($U64="","",SUMPRODUCT(--ISNUMBER(SEARCH(" "&amp;$CR$206:$CR$305&amp;" ",$AA64)))),"")</f>
        <v>0</v>
      </c>
      <c r="AH64" s="93">
        <f>IF(64=64,IF($U64="","",SUMPRODUCT(--ISNUMBER(SEARCH(" "&amp;$CR$306:$CR$340&amp;" ",$AA64)))),"")</f>
        <v>0</v>
      </c>
      <c r="AI64" s="93" t="str">
        <f>IF(64=64,IF($U64="","",IF((SUM(AG64:AH64))-(0)&gt;0,"X",IF((0)-(0)&gt;0,"?",""))),"")</f>
        <v/>
      </c>
      <c r="AJ64" s="93">
        <f>IF(64=64,IF($U64="","",SUMPRODUCT(--ISNUMBER(SEARCH(" "&amp;$CR$341:$CR$398&amp;" ",$AA64)))),"")</f>
        <v>0</v>
      </c>
      <c r="AK64" s="93">
        <f>IF(64=64,IF($U64="","",SUMPRODUCT(--ISNUMBER(SEARCH(" "&amp;$CR$399:$CR$426&amp;" ",$AL64)))+SUMPRODUCT(--ISNUMBER(SEARCH(" "&amp;$CR$2440:$CR$2453&amp;" ",$AL64)))),"")</f>
        <v>0</v>
      </c>
      <c r="AL64" s="93" t="str">
        <f>IF(64=64,IF($U64="","",SUBSTITUTE(SUBSTITUTE(SUBSTITUTE(SUBSTITUTE(SUBSTITUTE(SUBSTITUTE(SUBSTITUTE(SUBSTITUTE(SUBSTITUTE(SUBSTITUTE(SUBSTITUTE(SUBSTITUTE(SUBSTITUTE(SUBSTITUTE($AA64," "&amp;$CR$2455&amp;" "," ")," "&amp;$CR$433&amp;" "," ")," "&amp;$CR$431&amp;" "," ")," "&amp;$CR$2438&amp;" "," ")," "&amp;$CR$2439&amp;" "," ")," "&amp;$CR$428&amp;" "," ")," "&amp;$CR$432&amp;" "," ")," "&amp;$CR$434&amp;" "," ")," "&amp;$CR$429&amp;" "," ")," "&amp;$CR$427&amp;" "," ")," "&amp;$CR$1367&amp;" "," ")," "&amp;$CR$435&amp;" "," ")," "&amp;$CR$1366&amp;" "," ")," "&amp;$CR$430&amp;" "," ")),"")</f>
        <v xml:space="preserve"> fruits a coque </v>
      </c>
      <c r="AM64" s="93" t="str">
        <f>IF(64=64,IF($U64="","",IF(AJ64&gt;0,"X",IF(AK64&gt;0,"?",""))),"")</f>
        <v/>
      </c>
      <c r="AN64" s="93">
        <f>IF(64=64,IF($U64="","",SUMPRODUCT(--ISNUMBER(SEARCH(" "&amp;$CR$436:$CR$535&amp;" ",$AX64)))),"")</f>
        <v>0</v>
      </c>
      <c r="AO64" s="93">
        <f>IF(64=64,IF($U64="","",SUMPRODUCT(--ISNUMBER(SEARCH(" "&amp;$CR$536:$CR$635&amp;" ",$AX64)))),"")</f>
        <v>0</v>
      </c>
      <c r="AP64" s="93">
        <f>IF(64=64,IF($U64="","",SUMPRODUCT(--ISNUMBER(SEARCH(" "&amp;$CR$636:$CR$735&amp;" ",$AX64)))),"")</f>
        <v>0</v>
      </c>
      <c r="AQ64" s="93">
        <f>IF(64=64,IF($U64="","",SUMPRODUCT(--ISNUMBER(SEARCH(" "&amp;$CR$736:$CR$835&amp;" ",$AX64)))),"")</f>
        <v>0</v>
      </c>
      <c r="AR64" s="93">
        <f>IF(64=64,IF($U64="","",SUMPRODUCT(--ISNUMBER(SEARCH(" "&amp;$CR$836:$CR$935&amp;" ",$AX64)))),"")</f>
        <v>0</v>
      </c>
      <c r="AS64" s="93">
        <f>IF(64=64,IF($U64="","",SUMPRODUCT(--ISNUMBER(SEARCH(" "&amp;$CR$936:$CR$1035&amp;" ",$AX64)))),"")</f>
        <v>0</v>
      </c>
      <c r="AT64" s="93">
        <f>IF(64=64,IF($U64="","",SUMPRODUCT(--ISNUMBER(SEARCH(" "&amp;$CR$1036:$CR$1135&amp;" ",$AX64)))),"")</f>
        <v>0</v>
      </c>
      <c r="AU64" s="93">
        <f>IF(64=64,IF($U64="","",SUMPRODUCT(--ISNUMBER(SEARCH(" "&amp;$CR$1136:$CR$1235&amp;" ",$AX64)))),"")</f>
        <v>0</v>
      </c>
      <c r="AV64" s="93">
        <f>IF(64=64,IF($U64="","",SUMPRODUCT(--ISNUMBER(SEARCH(" "&amp;$CR$1236:$CR$1335&amp;" ",$AX64)))),"")</f>
        <v>0</v>
      </c>
      <c r="AW64" s="93">
        <f>IF(64=64,IF($U64="","",SUMPRODUCT(--ISNUMBER(SEARCH(" "&amp;$CR$1336:$CR$1363&amp;" ",$AX64)))),"")</f>
        <v>0</v>
      </c>
      <c r="AX64" s="93" t="str">
        <f>IF(64=64,IF($U64="","",SUBSTITUTE(SUBSTITUTE(SUBSTITUTE(SUBSTITUTE(SUBSTITUTE(SUBSTITUTE(SUBSTITUTE(SUBSTITUTE(SUBSTITUTE($AA64," "&amp;$CR$1365&amp;" "," ")," "&amp;$CR$1364&amp;" "," ")," "&amp;$CR$1370&amp;" "," ")," "&amp;$CR$1371&amp;" "," ")," "&amp;$CR$1367&amp;" "," ")," "&amp;$CR$1369&amp;" "," ")," "&amp;$CR$1366&amp;" "," ")," "&amp;$CR$1368&amp;" "," ")," "&amp;$CR$1372&amp;" "," ")),"")</f>
        <v xml:space="preserve"> fruits a coque </v>
      </c>
      <c r="AY64" s="93">
        <f>IF(64=64,IF($U64="","",SUMPRODUCT(--ISNUMBER(SEARCH(" "&amp;$CR$1373:$CR$1383&amp;" ",$AX64)))),"")</f>
        <v>0</v>
      </c>
      <c r="AZ64" s="93" t="str">
        <f>IF(64=64,IF($U64="","",IF(SUM(AN64:AW64)+SUMPRODUCT(--ISNUMBER(SEARCH(" "&amp;$CR$2421:$CR$2422&amp;" ",$AX64)))&gt;0,"X",IF(AY64&gt;0,"?",""))),"")</f>
        <v/>
      </c>
      <c r="BA64" s="93">
        <f>IF(64=64,IF($U64="","",SUMPRODUCT(--ISNUMBER(SEARCH(" "&amp;$CR$1384:$CR$1404&amp;" ",$AA64)))),"")</f>
        <v>0</v>
      </c>
      <c r="BB64" s="93" t="str">
        <f>IF(64=64,IF($U64="","",IF((BA64)-(0)&gt;0,"X",IF((0)-(0)&gt;0,"?",""))),"")</f>
        <v/>
      </c>
      <c r="BC64" s="93">
        <f>IF(64=64,IF($U64="","",SUMPRODUCT(--ISNUMBER(SEARCH(" "&amp;$CR$1405:$CR$1442&amp;" ",$BD64)))),"")</f>
        <v>0</v>
      </c>
      <c r="BD64" s="93" t="str">
        <f>IF(64=64,IF($U64="","",SUBSTITUTE(SUBSTITUTE($AA64," "&amp;$CR$1443&amp;" "," ")," "&amp;$CR$1444&amp;" "," ")),"")</f>
        <v xml:space="preserve"> fruits a coque </v>
      </c>
      <c r="BE64" s="93">
        <f>IF(64=64,IF($U64="","",SUMPRODUCT(--ISNUMBER(SEARCH(" "&amp;$CR$1445:$CR$1455&amp;" ",$BD64)))),"")</f>
        <v>0</v>
      </c>
      <c r="BF64" s="93" t="str">
        <f>IF(64=64,IF($U64="","",IF(BC64&gt;0,"X",IF(BE64&gt;0,"?",""))),"")</f>
        <v/>
      </c>
      <c r="BG64" s="93">
        <f>IF(64=64,IF($U64="","",SUMPRODUCT(--ISNUMBER(SEARCH(" "&amp;$CR$1456:$CR$1555&amp;" ",$BJ64)))),"")</f>
        <v>0</v>
      </c>
      <c r="BH64" s="93">
        <f>IF(64=64,IF($U64="","",SUMPRODUCT(--ISNUMBER(SEARCH(" "&amp;$CR$1556:$CR$1655&amp;" ",$BJ64)))),"")</f>
        <v>0</v>
      </c>
      <c r="BI64" s="93">
        <f>IF(64=64,IF($U64="","",SUMPRODUCT(--ISNUMBER(SEARCH(" "&amp;$CR$1656:$CR$1739&amp;" ",$BJ64)))),"")</f>
        <v>0</v>
      </c>
      <c r="BJ64" s="93" t="str">
        <f>IF(64=64,IF($U64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64,"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fruits a coque </v>
      </c>
      <c r="BK64" s="93">
        <f>IF(64=64,IF($U64="","",SUMPRODUCT(--ISNUMBER(SEARCH(" "&amp;$CR$1790:$CR$1869&amp;" ",$BL64)))+SUMPRODUCT(--ISNUMBER(SEARCH(" "&amp;$CR$2440:$CR$2453&amp;" ",$BL64)))),"")</f>
        <v>0</v>
      </c>
      <c r="BL64" s="93" t="str">
        <f>IF(64=64,IF($U64="","",SUBSTITUTE(SUBSTITUTE(SUBSTITUTE(SUBSTITUTE(SUBSTITUTE(SUBSTITUTE(SUBSTITUTE(SUBSTITUTE(SUBSTITUTE(SUBSTITUTE(SUBSTITUTE(SUBSTITUTE(SUBSTITUTE($BJ64," "&amp;$CR$1876&amp;" "," ")," "&amp;$CR$1874&amp;" "," ")," "&amp;$CR$2438&amp;" "," ")," "&amp;$CR$2439&amp;" "," ")," "&amp;$CR$1871&amp;" "," ")," "&amp;$CR$1875&amp;" "," ")," "&amp;$CR$1877&amp;" "," ")," "&amp;$CR$1872&amp;" "," ")," "&amp;$CR$1870&amp;" "," ")," "&amp;$CR$1367&amp;" "," ")," "&amp;$CR$1878&amp;" "," ")," "&amp;$CR$1366&amp;" "," ")," "&amp;$CR$1873&amp;" "," ")),"")</f>
        <v xml:space="preserve"> fruits a coque </v>
      </c>
      <c r="BM64" s="93" t="str">
        <f>IF(64=64,IF($U64="","",IF(SUM(BG64:BI64)+SUMPRODUCT(--ISNUMBER(SEARCH(" "&amp;$CR$2423:$CR$2424&amp;" ",$BJ64)))&gt;0,"X",IF(BK64&gt;0,"?",""))),"")</f>
        <v/>
      </c>
      <c r="BN64" s="93">
        <f>IF(64=64,IF($U64="","",SUMPRODUCT(--ISNUMBER(SEARCH(" "&amp;$CR$1879:$CR$1936&amp;" ",$BO64)))),"")</f>
        <v>0</v>
      </c>
      <c r="BO64" s="93" t="str">
        <f>IF(64=64,IF($U64="","",SUBSTITUTE(SUBSTITUTE(SUBSTITUTE(SUBSTITUTE(SUBSTITUTE(SUBSTITUTE(SUBSTITUTE(SUBSTITUTE(SUBSTITUTE(SUBSTITUTE(SUBSTITUTE(SUBSTITUTE(SUBSTITUTE(SUBSTITUTE(SUBSTITUTE(SUBSTITUTE(SUBSTITUTE(SUBSTITUTE(SUBSTITUTE(SUBSTITUTE(SUBSTITUTE(SUBSTITUTE(SUBSTITUTE($AA64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fruits a coque </v>
      </c>
      <c r="BP64" s="93">
        <f>IF(64=64,IF($U64="","",SUMPRODUCT(--ISNUMBER(SEARCH(" "&amp;$CR$1960:$CR$1976&amp;" ",$BO64)))),"")</f>
        <v>0</v>
      </c>
      <c r="BQ64" s="93" t="str">
        <f>IF(64=64,IF($U64="","",IF(BN64&gt;0,"X",IF(BP64&gt;0,"?",""))),"")</f>
        <v/>
      </c>
      <c r="BR64" s="93">
        <f>IF(64=64,IF($U64="","",SUMPRODUCT(--ISNUMBER(SEARCH(" "&amp;$CR$1977:$CR$1990&amp;" ",$AA64)))),"")</f>
        <v>0</v>
      </c>
      <c r="BS64" s="93">
        <f>IF(64=64,IF($U64="","",SUMPRODUCT(--ISNUMBER(SEARCH(" "&amp;$CR$1991:$CR$2005&amp;" ",$AA64)))),"")</f>
        <v>0</v>
      </c>
      <c r="BT64" s="93" t="str">
        <f>IF(64=64,IF($U64="","",IF((BR64)-(0)&gt;0,"X",IF((BS64)-(0)&gt;0,"?",""))),"")</f>
        <v/>
      </c>
      <c r="BU64" s="93">
        <f>IF(64=64,IF($U64="","",SUMPRODUCT(--ISNUMBER(SEARCH(" "&amp;$CR$2006:$CR$2023&amp;" ",$AA64)))),"")</f>
        <v>0</v>
      </c>
      <c r="BV64" s="93">
        <f>IF(64=64,IF($U64="","",SUMPRODUCT(--ISNUMBER(SEARCH(" "&amp;$CR$2024:$CR$2038&amp;" ",$AA64)))),"")</f>
        <v>0</v>
      </c>
      <c r="BW64" s="93" t="str">
        <f>IF(64=64,IF($U64="","",IF((BU64)-(0)&gt;0,"X",IF((BV64)-(0)&gt;0,"?",""))),"")</f>
        <v/>
      </c>
      <c r="BX64" s="93">
        <f>IF(64=64,IF($U64="","",SUMPRODUCT(--ISNUMBER(SEARCH(" "&amp;$CR$2039:$CR$2057&amp;" ",$AA64)))),"")</f>
        <v>0</v>
      </c>
      <c r="BY64" s="93">
        <f>IF(64=64,IF($U64="","",SUMPRODUCT(--ISNUMBER(SEARCH(" "&amp;$CR$2058:$CR$2072&amp;" ",$AA64)))),"")</f>
        <v>0</v>
      </c>
      <c r="BZ64" s="93" t="str">
        <f>IF(64=64,IF($U64="","",IF((BX64)-(0)&gt;0,"X",IF((BY64)-(0)&gt;0,"?",""))),"")</f>
        <v/>
      </c>
      <c r="CA64" s="93">
        <f>IF(64=64,IF($U64="","",SUMPRODUCT(--ISNUMBER(SEARCH(" "&amp;$CR$2073:$CR$2093&amp;" ",$AA64)))),"")</f>
        <v>0</v>
      </c>
      <c r="CB64" s="93">
        <f>IF(64=64,IF($U64="","",SUMPRODUCT(--ISNUMBER(SEARCH(" "&amp;$CR$2094:$CR$2133&amp;" ",SUBSTITUTE(SUBSTITUTE($AA64," "&amp;$CR$1367&amp;" "," ")," "&amp;$CR$1366&amp;" "," "))))+--ISNUMBER(SEARCH("poiré",$V64))),"")</f>
        <v>0</v>
      </c>
      <c r="CC64" s="93" t="str">
        <f>IF(64=64,IF($U64="","",IF(OR(CA64&gt;0,ISNUMBER(SEARCH(" vinaigre de vin ",$AA64)),ISNUMBER(SEARCH(" vinaigre au vin ",$AA64))),"X",IF(CB64&gt;0,"?",""))),"")</f>
        <v/>
      </c>
      <c r="CD64" s="93">
        <f>IF(64=64,IF($U64="","",SUMPRODUCT(--ISNUMBER(SEARCH(" "&amp;$CR$2134:$CR$2146&amp;" ",$AA64)))),"")</f>
        <v>0</v>
      </c>
      <c r="CE64" s="93">
        <f>IF(64=64,IF($U64="","",SUMPRODUCT(--ISNUMBER(SEARCH(" "&amp;$CR$2147:$CR$2152&amp;" ",$AA64)))),"")</f>
        <v>0</v>
      </c>
      <c r="CF64" s="93" t="str">
        <f>IF(64=64,IF($U64="","",IF((CD64)-(0)&gt;0,"X",IF((CE64)-(0)&gt;0,"?",""))),"")</f>
        <v/>
      </c>
      <c r="CG64" s="93">
        <f>IF(64=64,IF($U64="","",SUMPRODUCT(--ISNUMBER(SEARCH(" "&amp;$CR$2153:$CR$2252&amp;" ",$CJ64)))),"")</f>
        <v>1</v>
      </c>
      <c r="CH64" s="93">
        <f>IF(64=64,IF($U64="","",SUMPRODUCT(--ISNUMBER(SEARCH(" "&amp;$CR$2253:$CR$2352&amp;" ",$CJ64)))),"")</f>
        <v>0</v>
      </c>
      <c r="CI64" s="93">
        <f>IF(64=64,IF($U64="","",SUMPRODUCT(--ISNUMBER(SEARCH(" "&amp;$CR$2353:$CR$2395&amp;" ",$CJ64)))),"")</f>
        <v>0</v>
      </c>
      <c r="CJ64" s="93" t="str">
        <f>IF(64=64,IF($U64="","",SUBSTITUTE(SUBSTITUTE(SUBSTITUTE(SUBSTITUTE(SUBSTITUTE(SUBSTITUTE(SUBSTITUTE(SUBSTITUTE(SUBSTITUTE(SUBSTITUTE(SUBSTITUTE(SUBSTITUTE(SUBSTITUTE(SUBSTITUTE(SUBSTITUTE(SUBSTITUTE($AA64," "&amp;$CR$2401&amp;" "," ")," "&amp;$CR$2400&amp;" "," ")," "&amp;$CR$2399&amp;" "," ")," "&amp;$CR$2406&amp;" "," ")," "&amp;$CR$2398&amp;" "," ")," "&amp;$CR$2410&amp;" "," ")," "&amp;$CR$2397&amp;" "," ")," "&amp;$CR$2402&amp;" "," ")," "&amp;$CR$2405&amp;" "," ")," "&amp;$CR$2396&amp;" "," ")," "&amp;$CR$2404&amp;" "," ")," "&amp;$CR$2411&amp;" "," ")," "&amp;$CR$2408&amp;" "," ")," "&amp;$CR$2403&amp;" "," ")," "&amp;$CR$2407&amp;" "," ")," "&amp;$CR$2409&amp;" "," ")),"")</f>
        <v xml:space="preserve"> fruits a coque </v>
      </c>
      <c r="CK64" s="93">
        <f>IF(64=64,IF($U64="","",SUMPRODUCT(--ISNUMBER(SEARCH(" "&amp;$CR$2412:$CR$2416&amp;" ",$CJ64)))),"")</f>
        <v>0</v>
      </c>
      <c r="CL64" s="93" t="str">
        <f>IF(64=64,IF($U64="","",IF(SUM(CG64:CI64)&gt;0,"X",IF(CK64&gt;0,"?",""))),"")</f>
        <v>X</v>
      </c>
      <c r="CM64" s="102"/>
      <c r="CN64" s="112" t="s">
        <v>751</v>
      </c>
      <c r="CO64" s="112" t="s">
        <v>522</v>
      </c>
      <c r="CP64" s="112" t="s">
        <v>523</v>
      </c>
      <c r="CQ64" s="112" t="s">
        <v>752</v>
      </c>
      <c r="CR64" s="112" t="s">
        <v>752</v>
      </c>
      <c r="CS64" s="112" t="s">
        <v>525</v>
      </c>
      <c r="CT64" s="112" t="s">
        <v>526</v>
      </c>
      <c r="CU64" s="112" t="s">
        <v>527</v>
      </c>
      <c r="CV64" s="113" t="s">
        <v>528</v>
      </c>
      <c r="CX64" s="36">
        <v>1</v>
      </c>
    </row>
    <row r="65" spans="1:102" ht="21" customHeight="1" x14ac:dyDescent="0.25">
      <c r="A65" s="135">
        <v>59</v>
      </c>
      <c r="B65" s="136" t="s">
        <v>543</v>
      </c>
      <c r="C65" s="137" t="str">
        <f t="shared" si="0"/>
        <v>Soja *</v>
      </c>
      <c r="D65" s="138" t="str">
        <f>IF(65=65,IF($B65="","",IF(E65="X",""&amp;"Céréales contenant du gluten","")&amp;IF(F65="X",IF(COUNTIF($E65:$E65,"X")&gt;0,", ","")&amp;"Crustacés","")&amp;IF(G65="X",IF(COUNTIF($E65:$F65,"X")&gt;0,", ","")&amp;"Œufs","")&amp;IF(H65="X",IF(COUNTIF($E65:$G65,"X")&gt;0,", ","")&amp;"Poissons","")&amp;IF(I65="X",IF(COUNTIF($E65:$H65,"X")&gt;0,", ","")&amp;"Arachides","")&amp;IF(J65="X",IF(COUNTIF($E65:$I65,"X")&gt;0,", ","")&amp;"Soja","")&amp;IF(K65="X",IF(COUNTIF($E65:$J65,"X")&gt;0,", ","")&amp;"Lait","")&amp;IF(L65="X",IF(COUNTIF($E65:$K65,"X")&gt;0,", ","")&amp;"Fruits à coque","")&amp;IF(M65="X",IF(COUNTIF($E65:$L65,"X")&gt;0,", ","")&amp;"Céleri","")&amp;IF(N65="X",IF(COUNTIF($E65:$M65,"X")&gt;0,", ","")&amp;"Moutarde","")&amp;IF(O65="X",IF(COUNTIF($E65:$N65,"X")&gt;0,", ","")&amp;"Sésame","")&amp;IF(P65="X",IF(COUNTIF($E65:$O65,"X")&gt;0,", ","")&amp;"Sulfites","")&amp;IF(Q65="X",IF(COUNTIF($E65:$P65,"X")&gt;0,", ","")&amp;"Lupin","")&amp;IF(R65="X",IF(COUNTIF($E65:$Q65,"X")&gt;0,", ","")&amp;"Mollusques","")),"")</f>
        <v>Soja</v>
      </c>
      <c r="E65" s="139" t="str">
        <f>IF(65=65,IF($B65="","",AF65),"")</f>
        <v/>
      </c>
      <c r="F65" s="139" t="str">
        <f>IF(65=65,IF($B65="","",AI65),"")</f>
        <v/>
      </c>
      <c r="G65" s="139" t="str">
        <f>IF(65=65,IF($B65="","",AM65),"")</f>
        <v/>
      </c>
      <c r="H65" s="139" t="str">
        <f>IF(65=65,IF($B65="","",IF(ISNUMBER(SEARCH(" colin ",$AA65)),"X",AZ65)),"")</f>
        <v/>
      </c>
      <c r="I65" s="139" t="str">
        <f>IF(65=65,IF($B65="","",BB65),"")</f>
        <v/>
      </c>
      <c r="J65" s="139" t="str">
        <f>IF(65=65,IF($B65="","",BF65),"")</f>
        <v>X</v>
      </c>
      <c r="K65" s="139" t="str">
        <f>IF(65=65,IF($B65="","",BM65),"")</f>
        <v/>
      </c>
      <c r="L65" s="139" t="str">
        <f>IF(65=65,IF($B65="","",BQ65),"")</f>
        <v/>
      </c>
      <c r="M65" s="139" t="str">
        <f>IF(65=65,IF($B65="","",BT65),"")</f>
        <v/>
      </c>
      <c r="N65" s="139" t="str">
        <f>IF(65=65,IF($B65="","",BW65),"")</f>
        <v/>
      </c>
      <c r="O65" s="139" t="str">
        <f>IF(65=65,IF($B65="","",BZ65),"")</f>
        <v/>
      </c>
      <c r="P65" s="139" t="str">
        <f>IF(65=65,IF($B65="","",CC65),"")</f>
        <v/>
      </c>
      <c r="Q65" s="139" t="str">
        <f>IF(65=65,IF($B65="","",CF65),"")</f>
        <v/>
      </c>
      <c r="R65" s="139" t="str">
        <f>IF(65=65,IF($B65="","",CL65),"")</f>
        <v/>
      </c>
      <c r="S65" s="140" t="str">
        <f>IF(65=65,IF($B65="","",IF(E65="?",""&amp;"Céréales contenant du gluten","")&amp;IF(F65="?",IF(COUNTIF($E65:$E65,"~?")&gt;0,", ","")&amp;"Crustacés","")&amp;IF(G65="?",IF(COUNTIF($E65:$F65,"~?")&gt;0,", ","")&amp;"Œufs","")&amp;IF(H65="?",IF(COUNTIF($E65:$G65,"~?")&gt;0,", ","")&amp;"Poissons","")&amp;IF(I65="?",IF(COUNTIF($E65:$H65,"~?")&gt;0,", ","")&amp;"Arachides","")&amp;IF(J65="?",IF(COUNTIF($E65:$I65,"~?")&gt;0,", ","")&amp;"Soja","")&amp;IF(K65="?",IF(COUNTIF($E65:$J65,"~?")&gt;0,", ","")&amp;"Lait","")&amp;IF(L65="?",IF(COUNTIF($E65:$K65,"~?")&gt;0,", ","")&amp;"Fruits à coque","")&amp;IF(M65="?",IF(COUNTIF($E65:$L65,"~?")&gt;0,", ","")&amp;"Céleri","")&amp;IF(N65="?",IF(COUNTIF($E65:$M65,"~?")&gt;0,", ","")&amp;"Moutarde","")&amp;IF(O65="?",IF(COUNTIF($E65:$N65,"~?")&gt;0,", ","")&amp;"Sésame","")&amp;IF(P65="?",IF(COUNTIF($E65:$O65,"~?")&gt;0,", ","")&amp;"Sulfites","")&amp;IF(Q65="?",IF(COUNTIF($E65:$P65,"~?")&gt;0,", ","")&amp;"Lupin","")&amp;IF(R65="?",IF(COUNTIF($E65:$Q65,"~?")&gt;0,", ","")&amp;"Mollusques","")),"")</f>
        <v/>
      </c>
      <c r="U65" s="93" t="str">
        <f>IF(65=65,IF($B65="","",$B65),"")</f>
        <v>Soja</v>
      </c>
      <c r="V65" s="93" t="str">
        <f>IF(65=65,LOWER(CLEAN(SUBSTITUTE(SUBSTITUTE(SUBSTITUTE(SUBSTITUTE($U65,CHAR(160)," ")," "," "),CHAR(10)," "),CHAR(13)," "))),"")</f>
        <v>soja</v>
      </c>
      <c r="W65" s="93" t="str">
        <f>IF(65=65,SUBSTITUTE(SUBSTITUTE(SUBSTITUTE(SUBSTITUTE(SUBSTITUTE(SUBSTITUTE(SUBSTITUTE(SUBSTITUTE(SUBSTITUTE(SUBSTITUTE(SUBSTITUTE(SUBSTITUTE($V65,"œ","oe"),"æ","ae"),"à","a"),"á","a"),"â","a"),"ä","a"),"ã","a"),"ç","c"),"è","e"),"é","e"),"ê","e"),"ë","e"),"")</f>
        <v>soja</v>
      </c>
      <c r="X65" s="93" t="str">
        <f>IF(65=65,SUBSTITUTE(SUBSTITUTE(SUBSTITUTE(SUBSTITUTE(SUBSTITUTE(SUBSTITUTE(SUBSTITUTE(SUBSTITUTE(SUBSTITUTE(SUBSTITUTE(SUBSTITUTE(SUBSTITUTE(SUBSTITUTE(SUBSTITUTE(SUBSTITUTE(SUBSTITUTE($W65,"ì","i"),"í","i"),"î","i"),"ï","i"),"ñ","n"),"ò","o"),"ó","o"),"ô","o"),"ö","o"),"õ","o"),"ù","u"),"ú","u"),"û","u"),"ü","u"),"ý","y"),"ÿ","y"),"")</f>
        <v>soja</v>
      </c>
      <c r="Y65" s="93" t="str">
        <f>IF(65=65,SUBSTITUTE(SUBSTITUTE(SUBSTITUTE(SUBSTITUTE(SUBSTITUTE(SUBSTITUTE(SUBSTITUTE(SUBSTITUTE(SUBSTITUTE(SUBSTITUTE(SUBSTITUTE(SUBSTITUTE(SUBSTITUTE(SUBSTITUTE($X65,"’"," "),"`"," "),"–"," "),"—"," "),"-"," "),"'"," "),"/"," "),"_"," "),","," "),"."," "),"("," "),")"," "),";"," "),":"," "),"")</f>
        <v>soja</v>
      </c>
      <c r="Z65" s="93" t="str">
        <f>IF(65=65,SUBSTITUTE(SUBSTITUTE(SUBSTITUTE(SUBSTITUTE(SUBSTITUTE(SUBSTITUTE(SUBSTITUTE(SUBSTITUTE(SUBSTITUTE(SUBSTITUTE(SUBSTITUTE(SUBSTITUTE(SUBSTITUTE(SUBSTITUTE(SUBSTITUTE($Y65,"!"," "),"?"," "),"+"," "),"*"," "),"&amp;"," "),"["," "),"]"," "),"{"," "),"}"," "),"%"," "),"="," "),"\"," "),"|"," "),"&lt;"," "),"&gt;"," "),"")</f>
        <v>soja</v>
      </c>
      <c r="AA65" s="93" t="str">
        <f>IF(65=65," "&amp;TRIM(SUBSTITUTE(SUBSTITUTE(SUBSTITUTE(SUBSTITUTE(SUBSTITUTE(SUBSTITUTE($Z65,CHAR(34)," "),"  "," "),"  "," "),"  "," "),"  "," "),"  "," "))&amp;" ","")</f>
        <v xml:space="preserve"> soja </v>
      </c>
      <c r="AB65" s="93">
        <f>IF(65=65,IF($U65="","",SUMPRODUCT(--ISNUMBER(SEARCH(" "&amp;$CR$2:$CR$101&amp;" ",$AD65)))),"")</f>
        <v>0</v>
      </c>
      <c r="AC65" s="93">
        <f>IF(65=65,IF($U65="","",SUMPRODUCT(--ISNUMBER(SEARCH(" "&amp;$CR$102:$CR$151&amp;" ",$AD65)))),"")</f>
        <v>0</v>
      </c>
      <c r="AD65" s="93" t="str">
        <f t="shared" si="1"/>
        <v xml:space="preserve"> soja </v>
      </c>
      <c r="AE65" s="93">
        <f t="shared" si="2"/>
        <v>0</v>
      </c>
      <c r="AF65" s="93" t="str">
        <f>IF(65=65,IF($U65="","",IF(SUM(AB65:AC65)+SUMPRODUCT(--ISNUMBER(SEARCH(" "&amp;$CR$2418:$CR$2420&amp;" ",$AD65)))&gt;0,"X",IF(AE65&gt;0,"?",""))),"")</f>
        <v/>
      </c>
      <c r="AG65" s="93">
        <f>IF(65=65,IF($U65="","",SUMPRODUCT(--ISNUMBER(SEARCH(" "&amp;$CR$206:$CR$305&amp;" ",$AA65)))),"")</f>
        <v>0</v>
      </c>
      <c r="AH65" s="93">
        <f>IF(65=65,IF($U65="","",SUMPRODUCT(--ISNUMBER(SEARCH(" "&amp;$CR$306:$CR$340&amp;" ",$AA65)))),"")</f>
        <v>0</v>
      </c>
      <c r="AI65" s="93" t="str">
        <f>IF(65=65,IF($U65="","",IF((SUM(AG65:AH65))-(0)&gt;0,"X",IF((0)-(0)&gt;0,"?",""))),"")</f>
        <v/>
      </c>
      <c r="AJ65" s="93">
        <f>IF(65=65,IF($U65="","",SUMPRODUCT(--ISNUMBER(SEARCH(" "&amp;$CR$341:$CR$398&amp;" ",$AA65)))),"")</f>
        <v>0</v>
      </c>
      <c r="AK65" s="93">
        <f>IF(65=65,IF($U65="","",SUMPRODUCT(--ISNUMBER(SEARCH(" "&amp;$CR$399:$CR$426&amp;" ",$AL65)))+SUMPRODUCT(--ISNUMBER(SEARCH(" "&amp;$CR$2440:$CR$2453&amp;" ",$AL65)))),"")</f>
        <v>0</v>
      </c>
      <c r="AL65" s="93" t="str">
        <f>IF(65=65,IF($U65="","",SUBSTITUTE(SUBSTITUTE(SUBSTITUTE(SUBSTITUTE(SUBSTITUTE(SUBSTITUTE(SUBSTITUTE(SUBSTITUTE(SUBSTITUTE(SUBSTITUTE(SUBSTITUTE(SUBSTITUTE(SUBSTITUTE(SUBSTITUTE($AA65," "&amp;$CR$2455&amp;" "," ")," "&amp;$CR$433&amp;" "," ")," "&amp;$CR$431&amp;" "," ")," "&amp;$CR$2438&amp;" "," ")," "&amp;$CR$2439&amp;" "," ")," "&amp;$CR$428&amp;" "," ")," "&amp;$CR$432&amp;" "," ")," "&amp;$CR$434&amp;" "," ")," "&amp;$CR$429&amp;" "," ")," "&amp;$CR$427&amp;" "," ")," "&amp;$CR$1367&amp;" "," ")," "&amp;$CR$435&amp;" "," ")," "&amp;$CR$1366&amp;" "," ")," "&amp;$CR$430&amp;" "," ")),"")</f>
        <v xml:space="preserve"> soja </v>
      </c>
      <c r="AM65" s="93" t="str">
        <f>IF(65=65,IF($U65="","",IF(AJ65&gt;0,"X",IF(AK65&gt;0,"?",""))),"")</f>
        <v/>
      </c>
      <c r="AN65" s="93">
        <f>IF(65=65,IF($U65="","",SUMPRODUCT(--ISNUMBER(SEARCH(" "&amp;$CR$436:$CR$535&amp;" ",$AX65)))),"")</f>
        <v>0</v>
      </c>
      <c r="AO65" s="93">
        <f>IF(65=65,IF($U65="","",SUMPRODUCT(--ISNUMBER(SEARCH(" "&amp;$CR$536:$CR$635&amp;" ",$AX65)))),"")</f>
        <v>0</v>
      </c>
      <c r="AP65" s="93">
        <f>IF(65=65,IF($U65="","",SUMPRODUCT(--ISNUMBER(SEARCH(" "&amp;$CR$636:$CR$735&amp;" ",$AX65)))),"")</f>
        <v>0</v>
      </c>
      <c r="AQ65" s="93">
        <f>IF(65=65,IF($U65="","",SUMPRODUCT(--ISNUMBER(SEARCH(" "&amp;$CR$736:$CR$835&amp;" ",$AX65)))),"")</f>
        <v>0</v>
      </c>
      <c r="AR65" s="93">
        <f>IF(65=65,IF($U65="","",SUMPRODUCT(--ISNUMBER(SEARCH(" "&amp;$CR$836:$CR$935&amp;" ",$AX65)))),"")</f>
        <v>0</v>
      </c>
      <c r="AS65" s="93">
        <f>IF(65=65,IF($U65="","",SUMPRODUCT(--ISNUMBER(SEARCH(" "&amp;$CR$936:$CR$1035&amp;" ",$AX65)))),"")</f>
        <v>0</v>
      </c>
      <c r="AT65" s="93">
        <f>IF(65=65,IF($U65="","",SUMPRODUCT(--ISNUMBER(SEARCH(" "&amp;$CR$1036:$CR$1135&amp;" ",$AX65)))),"")</f>
        <v>0</v>
      </c>
      <c r="AU65" s="93">
        <f>IF(65=65,IF($U65="","",SUMPRODUCT(--ISNUMBER(SEARCH(" "&amp;$CR$1136:$CR$1235&amp;" ",$AX65)))),"")</f>
        <v>0</v>
      </c>
      <c r="AV65" s="93">
        <f>IF(65=65,IF($U65="","",SUMPRODUCT(--ISNUMBER(SEARCH(" "&amp;$CR$1236:$CR$1335&amp;" ",$AX65)))),"")</f>
        <v>0</v>
      </c>
      <c r="AW65" s="93">
        <f>IF(65=65,IF($U65="","",SUMPRODUCT(--ISNUMBER(SEARCH(" "&amp;$CR$1336:$CR$1363&amp;" ",$AX65)))),"")</f>
        <v>0</v>
      </c>
      <c r="AX65" s="93" t="str">
        <f>IF(65=65,IF($U65="","",SUBSTITUTE(SUBSTITUTE(SUBSTITUTE(SUBSTITUTE(SUBSTITUTE(SUBSTITUTE(SUBSTITUTE(SUBSTITUTE(SUBSTITUTE($AA65," "&amp;$CR$1365&amp;" "," ")," "&amp;$CR$1364&amp;" "," ")," "&amp;$CR$1370&amp;" "," ")," "&amp;$CR$1371&amp;" "," ")," "&amp;$CR$1367&amp;" "," ")," "&amp;$CR$1369&amp;" "," ")," "&amp;$CR$1366&amp;" "," ")," "&amp;$CR$1368&amp;" "," ")," "&amp;$CR$1372&amp;" "," ")),"")</f>
        <v xml:space="preserve"> soja </v>
      </c>
      <c r="AY65" s="93">
        <f>IF(65=65,IF($U65="","",SUMPRODUCT(--ISNUMBER(SEARCH(" "&amp;$CR$1373:$CR$1383&amp;" ",$AX65)))),"")</f>
        <v>0</v>
      </c>
      <c r="AZ65" s="93" t="str">
        <f>IF(65=65,IF($U65="","",IF(SUM(AN65:AW65)+SUMPRODUCT(--ISNUMBER(SEARCH(" "&amp;$CR$2421:$CR$2422&amp;" ",$AX65)))&gt;0,"X",IF(AY65&gt;0,"?",""))),"")</f>
        <v/>
      </c>
      <c r="BA65" s="93">
        <f>IF(65=65,IF($U65="","",SUMPRODUCT(--ISNUMBER(SEARCH(" "&amp;$CR$1384:$CR$1404&amp;" ",$AA65)))),"")</f>
        <v>0</v>
      </c>
      <c r="BB65" s="93" t="str">
        <f>IF(65=65,IF($U65="","",IF((BA65)-(0)&gt;0,"X",IF((0)-(0)&gt;0,"?",""))),"")</f>
        <v/>
      </c>
      <c r="BC65" s="93">
        <f>IF(65=65,IF($U65="","",SUMPRODUCT(--ISNUMBER(SEARCH(" "&amp;$CR$1405:$CR$1442&amp;" ",$BD65)))),"")</f>
        <v>1</v>
      </c>
      <c r="BD65" s="93" t="str">
        <f>IF(65=65,IF($U65="","",SUBSTITUTE(SUBSTITUTE($AA65," "&amp;$CR$1443&amp;" "," ")," "&amp;$CR$1444&amp;" "," ")),"")</f>
        <v xml:space="preserve"> soja </v>
      </c>
      <c r="BE65" s="93">
        <f>IF(65=65,IF($U65="","",SUMPRODUCT(--ISNUMBER(SEARCH(" "&amp;$CR$1445:$CR$1455&amp;" ",$BD65)))),"")</f>
        <v>0</v>
      </c>
      <c r="BF65" s="93" t="str">
        <f>IF(65=65,IF($U65="","",IF(BC65&gt;0,"X",IF(BE65&gt;0,"?",""))),"")</f>
        <v>X</v>
      </c>
      <c r="BG65" s="93">
        <f>IF(65=65,IF($U65="","",SUMPRODUCT(--ISNUMBER(SEARCH(" "&amp;$CR$1456:$CR$1555&amp;" ",$BJ65)))),"")</f>
        <v>0</v>
      </c>
      <c r="BH65" s="93">
        <f>IF(65=65,IF($U65="","",SUMPRODUCT(--ISNUMBER(SEARCH(" "&amp;$CR$1556:$CR$1655&amp;" ",$BJ65)))),"")</f>
        <v>0</v>
      </c>
      <c r="BI65" s="93">
        <f>IF(65=65,IF($U65="","",SUMPRODUCT(--ISNUMBER(SEARCH(" "&amp;$CR$1656:$CR$1739&amp;" ",$BJ65)))),"")</f>
        <v>0</v>
      </c>
      <c r="BJ65" s="93" t="str">
        <f>IF(65=65,IF($U65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65,"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soja </v>
      </c>
      <c r="BK65" s="93">
        <f>IF(65=65,IF($U65="","",SUMPRODUCT(--ISNUMBER(SEARCH(" "&amp;$CR$1790:$CR$1869&amp;" ",$BL65)))+SUMPRODUCT(--ISNUMBER(SEARCH(" "&amp;$CR$2440:$CR$2453&amp;" ",$BL65)))),"")</f>
        <v>0</v>
      </c>
      <c r="BL65" s="93" t="str">
        <f>IF(65=65,IF($U65="","",SUBSTITUTE(SUBSTITUTE(SUBSTITUTE(SUBSTITUTE(SUBSTITUTE(SUBSTITUTE(SUBSTITUTE(SUBSTITUTE(SUBSTITUTE(SUBSTITUTE(SUBSTITUTE(SUBSTITUTE(SUBSTITUTE($BJ65," "&amp;$CR$1876&amp;" "," ")," "&amp;$CR$1874&amp;" "," ")," "&amp;$CR$2438&amp;" "," ")," "&amp;$CR$2439&amp;" "," ")," "&amp;$CR$1871&amp;" "," ")," "&amp;$CR$1875&amp;" "," ")," "&amp;$CR$1877&amp;" "," ")," "&amp;$CR$1872&amp;" "," ")," "&amp;$CR$1870&amp;" "," ")," "&amp;$CR$1367&amp;" "," ")," "&amp;$CR$1878&amp;" "," ")," "&amp;$CR$1366&amp;" "," ")," "&amp;$CR$1873&amp;" "," ")),"")</f>
        <v xml:space="preserve"> soja </v>
      </c>
      <c r="BM65" s="93" t="str">
        <f>IF(65=65,IF($U65="","",IF(SUM(BG65:BI65)+SUMPRODUCT(--ISNUMBER(SEARCH(" "&amp;$CR$2423:$CR$2424&amp;" ",$BJ65)))&gt;0,"X",IF(BK65&gt;0,"?",""))),"")</f>
        <v/>
      </c>
      <c r="BN65" s="93">
        <f>IF(65=65,IF($U65="","",SUMPRODUCT(--ISNUMBER(SEARCH(" "&amp;$CR$1879:$CR$1936&amp;" ",$BO65)))),"")</f>
        <v>0</v>
      </c>
      <c r="BO65" s="93" t="str">
        <f>IF(65=65,IF($U65="","",SUBSTITUTE(SUBSTITUTE(SUBSTITUTE(SUBSTITUTE(SUBSTITUTE(SUBSTITUTE(SUBSTITUTE(SUBSTITUTE(SUBSTITUTE(SUBSTITUTE(SUBSTITUTE(SUBSTITUTE(SUBSTITUTE(SUBSTITUTE(SUBSTITUTE(SUBSTITUTE(SUBSTITUTE(SUBSTITUTE(SUBSTITUTE(SUBSTITUTE(SUBSTITUTE(SUBSTITUTE(SUBSTITUTE($AA65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soja </v>
      </c>
      <c r="BP65" s="93">
        <f>IF(65=65,IF($U65="","",SUMPRODUCT(--ISNUMBER(SEARCH(" "&amp;$CR$1960:$CR$1976&amp;" ",$BO65)))),"")</f>
        <v>0</v>
      </c>
      <c r="BQ65" s="93" t="str">
        <f>IF(65=65,IF($U65="","",IF(BN65&gt;0,"X",IF(BP65&gt;0,"?",""))),"")</f>
        <v/>
      </c>
      <c r="BR65" s="93">
        <f>IF(65=65,IF($U65="","",SUMPRODUCT(--ISNUMBER(SEARCH(" "&amp;$CR$1977:$CR$1990&amp;" ",$AA65)))),"")</f>
        <v>0</v>
      </c>
      <c r="BS65" s="93">
        <f>IF(65=65,IF($U65="","",SUMPRODUCT(--ISNUMBER(SEARCH(" "&amp;$CR$1991:$CR$2005&amp;" ",$AA65)))),"")</f>
        <v>0</v>
      </c>
      <c r="BT65" s="93" t="str">
        <f>IF(65=65,IF($U65="","",IF((BR65)-(0)&gt;0,"X",IF((BS65)-(0)&gt;0,"?",""))),"")</f>
        <v/>
      </c>
      <c r="BU65" s="93">
        <f>IF(65=65,IF($U65="","",SUMPRODUCT(--ISNUMBER(SEARCH(" "&amp;$CR$2006:$CR$2023&amp;" ",$AA65)))),"")</f>
        <v>0</v>
      </c>
      <c r="BV65" s="93">
        <f>IF(65=65,IF($U65="","",SUMPRODUCT(--ISNUMBER(SEARCH(" "&amp;$CR$2024:$CR$2038&amp;" ",$AA65)))),"")</f>
        <v>0</v>
      </c>
      <c r="BW65" s="93" t="str">
        <f>IF(65=65,IF($U65="","",IF((BU65)-(0)&gt;0,"X",IF((BV65)-(0)&gt;0,"?",""))),"")</f>
        <v/>
      </c>
      <c r="BX65" s="93">
        <f>IF(65=65,IF($U65="","",SUMPRODUCT(--ISNUMBER(SEARCH(" "&amp;$CR$2039:$CR$2057&amp;" ",$AA65)))),"")</f>
        <v>0</v>
      </c>
      <c r="BY65" s="93">
        <f>IF(65=65,IF($U65="","",SUMPRODUCT(--ISNUMBER(SEARCH(" "&amp;$CR$2058:$CR$2072&amp;" ",$AA65)))),"")</f>
        <v>0</v>
      </c>
      <c r="BZ65" s="93" t="str">
        <f>IF(65=65,IF($U65="","",IF((BX65)-(0)&gt;0,"X",IF((BY65)-(0)&gt;0,"?",""))),"")</f>
        <v/>
      </c>
      <c r="CA65" s="93">
        <f>IF(65=65,IF($U65="","",SUMPRODUCT(--ISNUMBER(SEARCH(" "&amp;$CR$2073:$CR$2093&amp;" ",$AA65)))),"")</f>
        <v>0</v>
      </c>
      <c r="CB65" s="93">
        <f>IF(65=65,IF($U65="","",SUMPRODUCT(--ISNUMBER(SEARCH(" "&amp;$CR$2094:$CR$2133&amp;" ",SUBSTITUTE(SUBSTITUTE($AA65," "&amp;$CR$1367&amp;" "," ")," "&amp;$CR$1366&amp;" "," "))))+--ISNUMBER(SEARCH("poiré",$V65))),"")</f>
        <v>0</v>
      </c>
      <c r="CC65" s="93" t="str">
        <f>IF(65=65,IF($U65="","",IF(OR(CA65&gt;0,ISNUMBER(SEARCH(" vinaigre de vin ",$AA65)),ISNUMBER(SEARCH(" vinaigre au vin ",$AA65))),"X",IF(CB65&gt;0,"?",""))),"")</f>
        <v/>
      </c>
      <c r="CD65" s="93">
        <f>IF(65=65,IF($U65="","",SUMPRODUCT(--ISNUMBER(SEARCH(" "&amp;$CR$2134:$CR$2146&amp;" ",$AA65)))),"")</f>
        <v>0</v>
      </c>
      <c r="CE65" s="93">
        <f>IF(65=65,IF($U65="","",SUMPRODUCT(--ISNUMBER(SEARCH(" "&amp;$CR$2147:$CR$2152&amp;" ",$AA65)))),"")</f>
        <v>0</v>
      </c>
      <c r="CF65" s="93" t="str">
        <f>IF(65=65,IF($U65="","",IF((CD65)-(0)&gt;0,"X",IF((CE65)-(0)&gt;0,"?",""))),"")</f>
        <v/>
      </c>
      <c r="CG65" s="93">
        <f>IF(65=65,IF($U65="","",SUMPRODUCT(--ISNUMBER(SEARCH(" "&amp;$CR$2153:$CR$2252&amp;" ",$CJ65)))),"")</f>
        <v>0</v>
      </c>
      <c r="CH65" s="93">
        <f>IF(65=65,IF($U65="","",SUMPRODUCT(--ISNUMBER(SEARCH(" "&amp;$CR$2253:$CR$2352&amp;" ",$CJ65)))),"")</f>
        <v>0</v>
      </c>
      <c r="CI65" s="93">
        <f>IF(65=65,IF($U65="","",SUMPRODUCT(--ISNUMBER(SEARCH(" "&amp;$CR$2353:$CR$2395&amp;" ",$CJ65)))),"")</f>
        <v>0</v>
      </c>
      <c r="CJ65" s="93" t="str">
        <f>IF(65=65,IF($U65="","",SUBSTITUTE(SUBSTITUTE(SUBSTITUTE(SUBSTITUTE(SUBSTITUTE(SUBSTITUTE(SUBSTITUTE(SUBSTITUTE(SUBSTITUTE(SUBSTITUTE(SUBSTITUTE(SUBSTITUTE(SUBSTITUTE(SUBSTITUTE(SUBSTITUTE(SUBSTITUTE($AA65," "&amp;$CR$2401&amp;" "," ")," "&amp;$CR$2400&amp;" "," ")," "&amp;$CR$2399&amp;" "," ")," "&amp;$CR$2406&amp;" "," ")," "&amp;$CR$2398&amp;" "," ")," "&amp;$CR$2410&amp;" "," ")," "&amp;$CR$2397&amp;" "," ")," "&amp;$CR$2402&amp;" "," ")," "&amp;$CR$2405&amp;" "," ")," "&amp;$CR$2396&amp;" "," ")," "&amp;$CR$2404&amp;" "," ")," "&amp;$CR$2411&amp;" "," ")," "&amp;$CR$2408&amp;" "," ")," "&amp;$CR$2403&amp;" "," ")," "&amp;$CR$2407&amp;" "," ")," "&amp;$CR$2409&amp;" "," ")),"")</f>
        <v xml:space="preserve"> soja </v>
      </c>
      <c r="CK65" s="93">
        <f>IF(65=65,IF($U65="","",SUMPRODUCT(--ISNUMBER(SEARCH(" "&amp;$CR$2412:$CR$2416&amp;" ",$CJ65)))),"")</f>
        <v>0</v>
      </c>
      <c r="CL65" s="93" t="str">
        <f>IF(65=65,IF($U65="","",IF(SUM(CG65:CI65)&gt;0,"X",IF(CK65&gt;0,"?",""))),"")</f>
        <v/>
      </c>
      <c r="CM65" s="102"/>
      <c r="CN65" s="112" t="s">
        <v>753</v>
      </c>
      <c r="CO65" s="112" t="s">
        <v>522</v>
      </c>
      <c r="CP65" s="112" t="s">
        <v>523</v>
      </c>
      <c r="CQ65" s="112" t="s">
        <v>754</v>
      </c>
      <c r="CR65" s="112" t="s">
        <v>755</v>
      </c>
      <c r="CS65" s="112" t="s">
        <v>525</v>
      </c>
      <c r="CT65" s="112" t="s">
        <v>526</v>
      </c>
      <c r="CU65" s="112" t="s">
        <v>527</v>
      </c>
      <c r="CV65" s="113" t="s">
        <v>528</v>
      </c>
      <c r="CX65" s="36">
        <v>1</v>
      </c>
    </row>
    <row r="66" spans="1:102" ht="21" customHeight="1" x14ac:dyDescent="0.25">
      <c r="A66" s="141">
        <v>60</v>
      </c>
      <c r="B66" s="142" t="s">
        <v>5898</v>
      </c>
      <c r="C66" s="143" t="str">
        <f t="shared" si="0"/>
        <v>huile d'arachide *</v>
      </c>
      <c r="D66" s="144" t="str">
        <f>IF(66=66,IF($B66="","",IF(E66="X",""&amp;"Céréales contenant du gluten","")&amp;IF(F66="X",IF(COUNTIF($E66:$E66,"X")&gt;0,", ","")&amp;"Crustacés","")&amp;IF(G66="X",IF(COUNTIF($E66:$F66,"X")&gt;0,", ","")&amp;"Œufs","")&amp;IF(H66="X",IF(COUNTIF($E66:$G66,"X")&gt;0,", ","")&amp;"Poissons","")&amp;IF(I66="X",IF(COUNTIF($E66:$H66,"X")&gt;0,", ","")&amp;"Arachides","")&amp;IF(J66="X",IF(COUNTIF($E66:$I66,"X")&gt;0,", ","")&amp;"Soja","")&amp;IF(K66="X",IF(COUNTIF($E66:$J66,"X")&gt;0,", ","")&amp;"Lait","")&amp;IF(L66="X",IF(COUNTIF($E66:$K66,"X")&gt;0,", ","")&amp;"Fruits à coque","")&amp;IF(M66="X",IF(COUNTIF($E66:$L66,"X")&gt;0,", ","")&amp;"Céleri","")&amp;IF(N66="X",IF(COUNTIF($E66:$M66,"X")&gt;0,", ","")&amp;"Moutarde","")&amp;IF(O66="X",IF(COUNTIF($E66:$N66,"X")&gt;0,", ","")&amp;"Sésame","")&amp;IF(P66="X",IF(COUNTIF($E66:$O66,"X")&gt;0,", ","")&amp;"Sulfites","")&amp;IF(Q66="X",IF(COUNTIF($E66:$P66,"X")&gt;0,", ","")&amp;"Lupin","")&amp;IF(R66="X",IF(COUNTIF($E66:$Q66,"X")&gt;0,", ","")&amp;"Mollusques","")),"")</f>
        <v>Arachides</v>
      </c>
      <c r="E66" s="145" t="str">
        <f>IF(66=66,IF($B66="","",AF66),"")</f>
        <v/>
      </c>
      <c r="F66" s="145" t="str">
        <f>IF(66=66,IF($B66="","",AI66),"")</f>
        <v/>
      </c>
      <c r="G66" s="145" t="str">
        <f>IF(66=66,IF($B66="","",AM66),"")</f>
        <v/>
      </c>
      <c r="H66" s="145" t="str">
        <f>IF(66=66,IF($B66="","",IF(ISNUMBER(SEARCH(" colin ",$AA66)),"X",AZ66)),"")</f>
        <v/>
      </c>
      <c r="I66" s="145" t="str">
        <f>IF(66=66,IF($B66="","",BB66),"")</f>
        <v>X</v>
      </c>
      <c r="J66" s="145" t="str">
        <f>IF(66=66,IF($B66="","",BF66),"")</f>
        <v/>
      </c>
      <c r="K66" s="145" t="str">
        <f>IF(66=66,IF($B66="","",BM66),"")</f>
        <v/>
      </c>
      <c r="L66" s="145" t="str">
        <f>IF(66=66,IF($B66="","",BQ66),"")</f>
        <v/>
      </c>
      <c r="M66" s="145" t="str">
        <f>IF(66=66,IF($B66="","",BT66),"")</f>
        <v/>
      </c>
      <c r="N66" s="145" t="str">
        <f>IF(66=66,IF($B66="","",BW66),"")</f>
        <v/>
      </c>
      <c r="O66" s="145" t="str">
        <f>IF(66=66,IF($B66="","",BZ66),"")</f>
        <v/>
      </c>
      <c r="P66" s="145" t="str">
        <f>IF(66=66,IF($B66="","",CC66),"")</f>
        <v/>
      </c>
      <c r="Q66" s="145" t="str">
        <f>IF(66=66,IF($B66="","",CF66),"")</f>
        <v/>
      </c>
      <c r="R66" s="145" t="str">
        <f>IF(66=66,IF($B66="","",CL66),"")</f>
        <v/>
      </c>
      <c r="S66" s="146" t="str">
        <f>IF(66=66,IF($B66="","",IF(E66="?",""&amp;"Céréales contenant du gluten","")&amp;IF(F66="?",IF(COUNTIF($E66:$E66,"~?")&gt;0,", ","")&amp;"Crustacés","")&amp;IF(G66="?",IF(COUNTIF($E66:$F66,"~?")&gt;0,", ","")&amp;"Œufs","")&amp;IF(H66="?",IF(COUNTIF($E66:$G66,"~?")&gt;0,", ","")&amp;"Poissons","")&amp;IF(I66="?",IF(COUNTIF($E66:$H66,"~?")&gt;0,", ","")&amp;"Arachides","")&amp;IF(J66="?",IF(COUNTIF($E66:$I66,"~?")&gt;0,", ","")&amp;"Soja","")&amp;IF(K66="?",IF(COUNTIF($E66:$J66,"~?")&gt;0,", ","")&amp;"Lait","")&amp;IF(L66="?",IF(COUNTIF($E66:$K66,"~?")&gt;0,", ","")&amp;"Fruits à coque","")&amp;IF(M66="?",IF(COUNTIF($E66:$L66,"~?")&gt;0,", ","")&amp;"Céleri","")&amp;IF(N66="?",IF(COUNTIF($E66:$M66,"~?")&gt;0,", ","")&amp;"Moutarde","")&amp;IF(O66="?",IF(COUNTIF($E66:$N66,"~?")&gt;0,", ","")&amp;"Sésame","")&amp;IF(P66="?",IF(COUNTIF($E66:$O66,"~?")&gt;0,", ","")&amp;"Sulfites","")&amp;IF(Q66="?",IF(COUNTIF($E66:$P66,"~?")&gt;0,", ","")&amp;"Lupin","")&amp;IF(R66="?",IF(COUNTIF($E66:$Q66,"~?")&gt;0,", ","")&amp;"Mollusques","")),"")</f>
        <v/>
      </c>
      <c r="U66" s="93" t="str">
        <f>IF(66=66,IF($B66="","",$B66),"")</f>
        <v>huile d'arachide</v>
      </c>
      <c r="V66" s="93" t="str">
        <f>IF(66=66,LOWER(CLEAN(SUBSTITUTE(SUBSTITUTE(SUBSTITUTE(SUBSTITUTE($U66,CHAR(160)," ")," "," "),CHAR(10)," "),CHAR(13)," "))),"")</f>
        <v>huile d'arachide</v>
      </c>
      <c r="W66" s="93" t="str">
        <f>IF(66=66,SUBSTITUTE(SUBSTITUTE(SUBSTITUTE(SUBSTITUTE(SUBSTITUTE(SUBSTITUTE(SUBSTITUTE(SUBSTITUTE(SUBSTITUTE(SUBSTITUTE(SUBSTITUTE(SUBSTITUTE($V66,"œ","oe"),"æ","ae"),"à","a"),"á","a"),"â","a"),"ä","a"),"ã","a"),"ç","c"),"è","e"),"é","e"),"ê","e"),"ë","e"),"")</f>
        <v>huile d'arachide</v>
      </c>
      <c r="X66" s="93" t="str">
        <f>IF(66=66,SUBSTITUTE(SUBSTITUTE(SUBSTITUTE(SUBSTITUTE(SUBSTITUTE(SUBSTITUTE(SUBSTITUTE(SUBSTITUTE(SUBSTITUTE(SUBSTITUTE(SUBSTITUTE(SUBSTITUTE(SUBSTITUTE(SUBSTITUTE(SUBSTITUTE(SUBSTITUTE($W66,"ì","i"),"í","i"),"î","i"),"ï","i"),"ñ","n"),"ò","o"),"ó","o"),"ô","o"),"ö","o"),"õ","o"),"ù","u"),"ú","u"),"û","u"),"ü","u"),"ý","y"),"ÿ","y"),"")</f>
        <v>huile d'arachide</v>
      </c>
      <c r="Y66" s="93" t="str">
        <f>IF(66=66,SUBSTITUTE(SUBSTITUTE(SUBSTITUTE(SUBSTITUTE(SUBSTITUTE(SUBSTITUTE(SUBSTITUTE(SUBSTITUTE(SUBSTITUTE(SUBSTITUTE(SUBSTITUTE(SUBSTITUTE(SUBSTITUTE(SUBSTITUTE($X66,"’"," "),"`"," "),"–"," "),"—"," "),"-"," "),"'"," "),"/"," "),"_"," "),","," "),"."," "),"("," "),")"," "),";"," "),":"," "),"")</f>
        <v>huile d arachide</v>
      </c>
      <c r="Z66" s="93" t="str">
        <f>IF(66=66,SUBSTITUTE(SUBSTITUTE(SUBSTITUTE(SUBSTITUTE(SUBSTITUTE(SUBSTITUTE(SUBSTITUTE(SUBSTITUTE(SUBSTITUTE(SUBSTITUTE(SUBSTITUTE(SUBSTITUTE(SUBSTITUTE(SUBSTITUTE(SUBSTITUTE($Y66,"!"," "),"?"," "),"+"," "),"*"," "),"&amp;"," "),"["," "),"]"," "),"{"," "),"}"," "),"%"," "),"="," "),"\"," "),"|"," "),"&lt;"," "),"&gt;"," "),"")</f>
        <v>huile d arachide</v>
      </c>
      <c r="AA66" s="93" t="str">
        <f>IF(66=66," "&amp;TRIM(SUBSTITUTE(SUBSTITUTE(SUBSTITUTE(SUBSTITUTE(SUBSTITUTE(SUBSTITUTE($Z66,CHAR(34)," "),"  "," "),"  "," "),"  "," "),"  "," "),"  "," "))&amp;" ","")</f>
        <v xml:space="preserve"> huile d arachide </v>
      </c>
      <c r="AB66" s="93">
        <f>IF(66=66,IF($U66="","",SUMPRODUCT(--ISNUMBER(SEARCH(" "&amp;$CR$2:$CR$101&amp;" ",$AD66)))),"")</f>
        <v>0</v>
      </c>
      <c r="AC66" s="93">
        <f>IF(66=66,IF($U66="","",SUMPRODUCT(--ISNUMBER(SEARCH(" "&amp;$CR$102:$CR$151&amp;" ",$AD66)))),"")</f>
        <v>0</v>
      </c>
      <c r="AD66" s="93" t="str">
        <f t="shared" si="1"/>
        <v xml:space="preserve"> huile d arachide </v>
      </c>
      <c r="AE66" s="93">
        <f t="shared" si="2"/>
        <v>0</v>
      </c>
      <c r="AF66" s="93" t="str">
        <f>IF(66=66,IF($U66="","",IF(SUM(AB66:AC66)+SUMPRODUCT(--ISNUMBER(SEARCH(" "&amp;$CR$2418:$CR$2420&amp;" ",$AD66)))&gt;0,"X",IF(AE66&gt;0,"?",""))),"")</f>
        <v/>
      </c>
      <c r="AG66" s="93">
        <f>IF(66=66,IF($U66="","",SUMPRODUCT(--ISNUMBER(SEARCH(" "&amp;$CR$206:$CR$305&amp;" ",$AA66)))),"")</f>
        <v>0</v>
      </c>
      <c r="AH66" s="93">
        <f>IF(66=66,IF($U66="","",SUMPRODUCT(--ISNUMBER(SEARCH(" "&amp;$CR$306:$CR$340&amp;" ",$AA66)))),"")</f>
        <v>0</v>
      </c>
      <c r="AI66" s="93" t="str">
        <f>IF(66=66,IF($U66="","",IF((SUM(AG66:AH66))-(0)&gt;0,"X",IF((0)-(0)&gt;0,"?",""))),"")</f>
        <v/>
      </c>
      <c r="AJ66" s="93">
        <f>IF(66=66,IF($U66="","",SUMPRODUCT(--ISNUMBER(SEARCH(" "&amp;$CR$341:$CR$398&amp;" ",$AA66)))),"")</f>
        <v>0</v>
      </c>
      <c r="AK66" s="93">
        <f>IF(66=66,IF($U66="","",SUMPRODUCT(--ISNUMBER(SEARCH(" "&amp;$CR$399:$CR$426&amp;" ",$AL66)))+SUMPRODUCT(--ISNUMBER(SEARCH(" "&amp;$CR$2440:$CR$2453&amp;" ",$AL66)))),"")</f>
        <v>0</v>
      </c>
      <c r="AL66" s="93" t="str">
        <f>IF(66=66,IF($U66="","",SUBSTITUTE(SUBSTITUTE(SUBSTITUTE(SUBSTITUTE(SUBSTITUTE(SUBSTITUTE(SUBSTITUTE(SUBSTITUTE(SUBSTITUTE(SUBSTITUTE(SUBSTITUTE(SUBSTITUTE(SUBSTITUTE(SUBSTITUTE($AA66," "&amp;$CR$2455&amp;" "," ")," "&amp;$CR$433&amp;" "," ")," "&amp;$CR$431&amp;" "," ")," "&amp;$CR$2438&amp;" "," ")," "&amp;$CR$2439&amp;" "," ")," "&amp;$CR$428&amp;" "," ")," "&amp;$CR$432&amp;" "," ")," "&amp;$CR$434&amp;" "," ")," "&amp;$CR$429&amp;" "," ")," "&amp;$CR$427&amp;" "," ")," "&amp;$CR$1367&amp;" "," ")," "&amp;$CR$435&amp;" "," ")," "&amp;$CR$1366&amp;" "," ")," "&amp;$CR$430&amp;" "," ")),"")</f>
        <v xml:space="preserve"> huile d arachide </v>
      </c>
      <c r="AM66" s="93" t="str">
        <f>IF(66=66,IF($U66="","",IF(AJ66&gt;0,"X",IF(AK66&gt;0,"?",""))),"")</f>
        <v/>
      </c>
      <c r="AN66" s="93">
        <f>IF(66=66,IF($U66="","",SUMPRODUCT(--ISNUMBER(SEARCH(" "&amp;$CR$436:$CR$535&amp;" ",$AX66)))),"")</f>
        <v>0</v>
      </c>
      <c r="AO66" s="93">
        <f>IF(66=66,IF($U66="","",SUMPRODUCT(--ISNUMBER(SEARCH(" "&amp;$CR$536:$CR$635&amp;" ",$AX66)))),"")</f>
        <v>0</v>
      </c>
      <c r="AP66" s="93">
        <f>IF(66=66,IF($U66="","",SUMPRODUCT(--ISNUMBER(SEARCH(" "&amp;$CR$636:$CR$735&amp;" ",$AX66)))),"")</f>
        <v>0</v>
      </c>
      <c r="AQ66" s="93">
        <f>IF(66=66,IF($U66="","",SUMPRODUCT(--ISNUMBER(SEARCH(" "&amp;$CR$736:$CR$835&amp;" ",$AX66)))),"")</f>
        <v>0</v>
      </c>
      <c r="AR66" s="93">
        <f>IF(66=66,IF($U66="","",SUMPRODUCT(--ISNUMBER(SEARCH(" "&amp;$CR$836:$CR$935&amp;" ",$AX66)))),"")</f>
        <v>0</v>
      </c>
      <c r="AS66" s="93">
        <f>IF(66=66,IF($U66="","",SUMPRODUCT(--ISNUMBER(SEARCH(" "&amp;$CR$936:$CR$1035&amp;" ",$AX66)))),"")</f>
        <v>0</v>
      </c>
      <c r="AT66" s="93">
        <f>IF(66=66,IF($U66="","",SUMPRODUCT(--ISNUMBER(SEARCH(" "&amp;$CR$1036:$CR$1135&amp;" ",$AX66)))),"")</f>
        <v>0</v>
      </c>
      <c r="AU66" s="93">
        <f>IF(66=66,IF($U66="","",SUMPRODUCT(--ISNUMBER(SEARCH(" "&amp;$CR$1136:$CR$1235&amp;" ",$AX66)))),"")</f>
        <v>0</v>
      </c>
      <c r="AV66" s="93">
        <f>IF(66=66,IF($U66="","",SUMPRODUCT(--ISNUMBER(SEARCH(" "&amp;$CR$1236:$CR$1335&amp;" ",$AX66)))),"")</f>
        <v>0</v>
      </c>
      <c r="AW66" s="93">
        <f>IF(66=66,IF($U66="","",SUMPRODUCT(--ISNUMBER(SEARCH(" "&amp;$CR$1336:$CR$1363&amp;" ",$AX66)))),"")</f>
        <v>0</v>
      </c>
      <c r="AX66" s="93" t="str">
        <f>IF(66=66,IF($U66="","",SUBSTITUTE(SUBSTITUTE(SUBSTITUTE(SUBSTITUTE(SUBSTITUTE(SUBSTITUTE(SUBSTITUTE(SUBSTITUTE(SUBSTITUTE($AA66," "&amp;$CR$1365&amp;" "," ")," "&amp;$CR$1364&amp;" "," ")," "&amp;$CR$1370&amp;" "," ")," "&amp;$CR$1371&amp;" "," ")," "&amp;$CR$1367&amp;" "," ")," "&amp;$CR$1369&amp;" "," ")," "&amp;$CR$1366&amp;" "," ")," "&amp;$CR$1368&amp;" "," ")," "&amp;$CR$1372&amp;" "," ")),"")</f>
        <v xml:space="preserve"> huile d arachide </v>
      </c>
      <c r="AY66" s="93">
        <f>IF(66=66,IF($U66="","",SUMPRODUCT(--ISNUMBER(SEARCH(" "&amp;$CR$1373:$CR$1383&amp;" ",$AX66)))),"")</f>
        <v>0</v>
      </c>
      <c r="AZ66" s="93" t="str">
        <f>IF(66=66,IF($U66="","",IF(SUM(AN66:AW66)+SUMPRODUCT(--ISNUMBER(SEARCH(" "&amp;$CR$2421:$CR$2422&amp;" ",$AX66)))&gt;0,"X",IF(AY66&gt;0,"?",""))),"")</f>
        <v/>
      </c>
      <c r="BA66" s="93">
        <f>IF(66=66,IF($U66="","",SUMPRODUCT(--ISNUMBER(SEARCH(" "&amp;$CR$1384:$CR$1404&amp;" ",$AA66)))),"")</f>
        <v>2</v>
      </c>
      <c r="BB66" s="93" t="str">
        <f>IF(66=66,IF($U66="","",IF((BA66)-(0)&gt;0,"X",IF((0)-(0)&gt;0,"?",""))),"")</f>
        <v>X</v>
      </c>
      <c r="BC66" s="93">
        <f>IF(66=66,IF($U66="","",SUMPRODUCT(--ISNUMBER(SEARCH(" "&amp;$CR$1405:$CR$1442&amp;" ",$BD66)))),"")</f>
        <v>0</v>
      </c>
      <c r="BD66" s="93" t="str">
        <f>IF(66=66,IF($U66="","",SUBSTITUTE(SUBSTITUTE($AA66," "&amp;$CR$1443&amp;" "," ")," "&amp;$CR$1444&amp;" "," ")),"")</f>
        <v xml:space="preserve"> huile d arachide </v>
      </c>
      <c r="BE66" s="93">
        <f>IF(66=66,IF($U66="","",SUMPRODUCT(--ISNUMBER(SEARCH(" "&amp;$CR$1445:$CR$1455&amp;" ",$BD66)))),"")</f>
        <v>0</v>
      </c>
      <c r="BF66" s="93" t="str">
        <f>IF(66=66,IF($U66="","",IF(BC66&gt;0,"X",IF(BE66&gt;0,"?",""))),"")</f>
        <v/>
      </c>
      <c r="BG66" s="93">
        <f>IF(66=66,IF($U66="","",SUMPRODUCT(--ISNUMBER(SEARCH(" "&amp;$CR$1456:$CR$1555&amp;" ",$BJ66)))),"")</f>
        <v>0</v>
      </c>
      <c r="BH66" s="93">
        <f>IF(66=66,IF($U66="","",SUMPRODUCT(--ISNUMBER(SEARCH(" "&amp;$CR$1556:$CR$1655&amp;" ",$BJ66)))),"")</f>
        <v>0</v>
      </c>
      <c r="BI66" s="93">
        <f>IF(66=66,IF($U66="","",SUMPRODUCT(--ISNUMBER(SEARCH(" "&amp;$CR$1656:$CR$1739&amp;" ",$BJ66)))),"")</f>
        <v>0</v>
      </c>
      <c r="BJ66" s="93" t="str">
        <f>IF(66=66,IF($U66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66,"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huile d arachide </v>
      </c>
      <c r="BK66" s="93">
        <f>IF(66=66,IF($U66="","",SUMPRODUCT(--ISNUMBER(SEARCH(" "&amp;$CR$1790:$CR$1869&amp;" ",$BL66)))+SUMPRODUCT(--ISNUMBER(SEARCH(" "&amp;$CR$2440:$CR$2453&amp;" ",$BL66)))),"")</f>
        <v>0</v>
      </c>
      <c r="BL66" s="93" t="str">
        <f>IF(66=66,IF($U66="","",SUBSTITUTE(SUBSTITUTE(SUBSTITUTE(SUBSTITUTE(SUBSTITUTE(SUBSTITUTE(SUBSTITUTE(SUBSTITUTE(SUBSTITUTE(SUBSTITUTE(SUBSTITUTE(SUBSTITUTE(SUBSTITUTE($BJ66," "&amp;$CR$1876&amp;" "," ")," "&amp;$CR$1874&amp;" "," ")," "&amp;$CR$2438&amp;" "," ")," "&amp;$CR$2439&amp;" "," ")," "&amp;$CR$1871&amp;" "," ")," "&amp;$CR$1875&amp;" "," ")," "&amp;$CR$1877&amp;" "," ")," "&amp;$CR$1872&amp;" "," ")," "&amp;$CR$1870&amp;" "," ")," "&amp;$CR$1367&amp;" "," ")," "&amp;$CR$1878&amp;" "," ")," "&amp;$CR$1366&amp;" "," ")," "&amp;$CR$1873&amp;" "," ")),"")</f>
        <v xml:space="preserve"> huile d arachide </v>
      </c>
      <c r="BM66" s="93" t="str">
        <f>IF(66=66,IF($U66="","",IF(SUM(BG66:BI66)+SUMPRODUCT(--ISNUMBER(SEARCH(" "&amp;$CR$2423:$CR$2424&amp;" ",$BJ66)))&gt;0,"X",IF(BK66&gt;0,"?",""))),"")</f>
        <v/>
      </c>
      <c r="BN66" s="93">
        <f>IF(66=66,IF($U66="","",SUMPRODUCT(--ISNUMBER(SEARCH(" "&amp;$CR$1879:$CR$1936&amp;" ",$BO66)))),"")</f>
        <v>0</v>
      </c>
      <c r="BO66" s="93" t="str">
        <f>IF(66=66,IF($U66="","",SUBSTITUTE(SUBSTITUTE(SUBSTITUTE(SUBSTITUTE(SUBSTITUTE(SUBSTITUTE(SUBSTITUTE(SUBSTITUTE(SUBSTITUTE(SUBSTITUTE(SUBSTITUTE(SUBSTITUTE(SUBSTITUTE(SUBSTITUTE(SUBSTITUTE(SUBSTITUTE(SUBSTITUTE(SUBSTITUTE(SUBSTITUTE(SUBSTITUTE(SUBSTITUTE(SUBSTITUTE(SUBSTITUTE($AA66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huile d arachide </v>
      </c>
      <c r="BP66" s="93">
        <f>IF(66=66,IF($U66="","",SUMPRODUCT(--ISNUMBER(SEARCH(" "&amp;$CR$1960:$CR$1976&amp;" ",$BO66)))),"")</f>
        <v>0</v>
      </c>
      <c r="BQ66" s="93" t="str">
        <f>IF(66=66,IF($U66="","",IF(BN66&gt;0,"X",IF(BP66&gt;0,"?",""))),"")</f>
        <v/>
      </c>
      <c r="BR66" s="93">
        <f>IF(66=66,IF($U66="","",SUMPRODUCT(--ISNUMBER(SEARCH(" "&amp;$CR$1977:$CR$1990&amp;" ",$AA66)))),"")</f>
        <v>0</v>
      </c>
      <c r="BS66" s="93">
        <f>IF(66=66,IF($U66="","",SUMPRODUCT(--ISNUMBER(SEARCH(" "&amp;$CR$1991:$CR$2005&amp;" ",$AA66)))),"")</f>
        <v>0</v>
      </c>
      <c r="BT66" s="93" t="str">
        <f>IF(66=66,IF($U66="","",IF((BR66)-(0)&gt;0,"X",IF((BS66)-(0)&gt;0,"?",""))),"")</f>
        <v/>
      </c>
      <c r="BU66" s="93">
        <f>IF(66=66,IF($U66="","",SUMPRODUCT(--ISNUMBER(SEARCH(" "&amp;$CR$2006:$CR$2023&amp;" ",$AA66)))),"")</f>
        <v>0</v>
      </c>
      <c r="BV66" s="93">
        <f>IF(66=66,IF($U66="","",SUMPRODUCT(--ISNUMBER(SEARCH(" "&amp;$CR$2024:$CR$2038&amp;" ",$AA66)))),"")</f>
        <v>0</v>
      </c>
      <c r="BW66" s="93" t="str">
        <f>IF(66=66,IF($U66="","",IF((BU66)-(0)&gt;0,"X",IF((BV66)-(0)&gt;0,"?",""))),"")</f>
        <v/>
      </c>
      <c r="BX66" s="93">
        <f>IF(66=66,IF($U66="","",SUMPRODUCT(--ISNUMBER(SEARCH(" "&amp;$CR$2039:$CR$2057&amp;" ",$AA66)))),"")</f>
        <v>0</v>
      </c>
      <c r="BY66" s="93">
        <f>IF(66=66,IF($U66="","",SUMPRODUCT(--ISNUMBER(SEARCH(" "&amp;$CR$2058:$CR$2072&amp;" ",$AA66)))),"")</f>
        <v>0</v>
      </c>
      <c r="BZ66" s="93" t="str">
        <f>IF(66=66,IF($U66="","",IF((BX66)-(0)&gt;0,"X",IF((BY66)-(0)&gt;0,"?",""))),"")</f>
        <v/>
      </c>
      <c r="CA66" s="93">
        <f>IF(66=66,IF($U66="","",SUMPRODUCT(--ISNUMBER(SEARCH(" "&amp;$CR$2073:$CR$2093&amp;" ",$AA66)))),"")</f>
        <v>0</v>
      </c>
      <c r="CB66" s="93">
        <f>IF(66=66,IF($U66="","",SUMPRODUCT(--ISNUMBER(SEARCH(" "&amp;$CR$2094:$CR$2133&amp;" ",SUBSTITUTE(SUBSTITUTE($AA66," "&amp;$CR$1367&amp;" "," ")," "&amp;$CR$1366&amp;" "," "))))+--ISNUMBER(SEARCH("poiré",$V66))),"")</f>
        <v>0</v>
      </c>
      <c r="CC66" s="93" t="str">
        <f>IF(66=66,IF($U66="","",IF(OR(CA66&gt;0,ISNUMBER(SEARCH(" vinaigre de vin ",$AA66)),ISNUMBER(SEARCH(" vinaigre au vin ",$AA66))),"X",IF(CB66&gt;0,"?",""))),"")</f>
        <v/>
      </c>
      <c r="CD66" s="93">
        <f>IF(66=66,IF($U66="","",SUMPRODUCT(--ISNUMBER(SEARCH(" "&amp;$CR$2134:$CR$2146&amp;" ",$AA66)))),"")</f>
        <v>0</v>
      </c>
      <c r="CE66" s="93">
        <f>IF(66=66,IF($U66="","",SUMPRODUCT(--ISNUMBER(SEARCH(" "&amp;$CR$2147:$CR$2152&amp;" ",$AA66)))),"")</f>
        <v>0</v>
      </c>
      <c r="CF66" s="93" t="str">
        <f>IF(66=66,IF($U66="","",IF((CD66)-(0)&gt;0,"X",IF((CE66)-(0)&gt;0,"?",""))),"")</f>
        <v/>
      </c>
      <c r="CG66" s="93">
        <f>IF(66=66,IF($U66="","",SUMPRODUCT(--ISNUMBER(SEARCH(" "&amp;$CR$2153:$CR$2252&amp;" ",$CJ66)))),"")</f>
        <v>0</v>
      </c>
      <c r="CH66" s="93">
        <f>IF(66=66,IF($U66="","",SUMPRODUCT(--ISNUMBER(SEARCH(" "&amp;$CR$2253:$CR$2352&amp;" ",$CJ66)))),"")</f>
        <v>0</v>
      </c>
      <c r="CI66" s="93">
        <f>IF(66=66,IF($U66="","",SUMPRODUCT(--ISNUMBER(SEARCH(" "&amp;$CR$2353:$CR$2395&amp;" ",$CJ66)))),"")</f>
        <v>0</v>
      </c>
      <c r="CJ66" s="93" t="str">
        <f>IF(66=66,IF($U66="","",SUBSTITUTE(SUBSTITUTE(SUBSTITUTE(SUBSTITUTE(SUBSTITUTE(SUBSTITUTE(SUBSTITUTE(SUBSTITUTE(SUBSTITUTE(SUBSTITUTE(SUBSTITUTE(SUBSTITUTE(SUBSTITUTE(SUBSTITUTE(SUBSTITUTE(SUBSTITUTE($AA66," "&amp;$CR$2401&amp;" "," ")," "&amp;$CR$2400&amp;" "," ")," "&amp;$CR$2399&amp;" "," ")," "&amp;$CR$2406&amp;" "," ")," "&amp;$CR$2398&amp;" "," ")," "&amp;$CR$2410&amp;" "," ")," "&amp;$CR$2397&amp;" "," ")," "&amp;$CR$2402&amp;" "," ")," "&amp;$CR$2405&amp;" "," ")," "&amp;$CR$2396&amp;" "," ")," "&amp;$CR$2404&amp;" "," ")," "&amp;$CR$2411&amp;" "," ")," "&amp;$CR$2408&amp;" "," ")," "&amp;$CR$2403&amp;" "," ")," "&amp;$CR$2407&amp;" "," ")," "&amp;$CR$2409&amp;" "," ")),"")</f>
        <v xml:space="preserve"> huile d arachide </v>
      </c>
      <c r="CK66" s="93">
        <f>IF(66=66,IF($U66="","",SUMPRODUCT(--ISNUMBER(SEARCH(" "&amp;$CR$2412:$CR$2416&amp;" ",$CJ66)))),"")</f>
        <v>0</v>
      </c>
      <c r="CL66" s="93" t="str">
        <f>IF(66=66,IF($U66="","",IF(SUM(CG66:CI66)&gt;0,"X",IF(CK66&gt;0,"?",""))),"")</f>
        <v/>
      </c>
      <c r="CM66" s="102"/>
      <c r="CN66" s="112" t="s">
        <v>756</v>
      </c>
      <c r="CO66" s="112" t="s">
        <v>522</v>
      </c>
      <c r="CP66" s="112" t="s">
        <v>523</v>
      </c>
      <c r="CQ66" s="112" t="s">
        <v>757</v>
      </c>
      <c r="CR66" s="112" t="s">
        <v>758</v>
      </c>
      <c r="CS66" s="112" t="s">
        <v>525</v>
      </c>
      <c r="CT66" s="112" t="s">
        <v>526</v>
      </c>
      <c r="CU66" s="112" t="s">
        <v>527</v>
      </c>
      <c r="CV66" s="113" t="s">
        <v>528</v>
      </c>
      <c r="CX66" s="36">
        <v>1</v>
      </c>
    </row>
    <row r="67" spans="1:102" ht="21" customHeight="1" x14ac:dyDescent="0.25">
      <c r="A67" s="39"/>
      <c r="B67" s="40"/>
      <c r="C67" s="41"/>
      <c r="D67" s="41"/>
      <c r="E67" s="39"/>
      <c r="F67" s="39"/>
      <c r="G67" s="39"/>
      <c r="H67" s="39"/>
      <c r="I67" s="39"/>
      <c r="J67" s="39"/>
      <c r="K67" s="39"/>
      <c r="L67" s="39"/>
      <c r="M67" s="39"/>
      <c r="N67" s="39"/>
      <c r="O67" s="39"/>
      <c r="P67" s="39"/>
      <c r="Q67" s="39"/>
      <c r="R67" s="39"/>
      <c r="S67" s="39"/>
      <c r="CM67" s="102"/>
      <c r="CN67" s="112" t="s">
        <v>759</v>
      </c>
      <c r="CO67" s="112" t="s">
        <v>522</v>
      </c>
      <c r="CP67" s="112" t="s">
        <v>523</v>
      </c>
      <c r="CQ67" s="112" t="s">
        <v>760</v>
      </c>
      <c r="CR67" s="112" t="s">
        <v>760</v>
      </c>
      <c r="CS67" s="112" t="s">
        <v>525</v>
      </c>
      <c r="CT67" s="112" t="s">
        <v>526</v>
      </c>
      <c r="CU67" s="112" t="s">
        <v>527</v>
      </c>
      <c r="CV67" s="113" t="s">
        <v>528</v>
      </c>
      <c r="CX67" s="36">
        <v>1</v>
      </c>
    </row>
    <row r="68" spans="1:102" ht="21" customHeight="1" x14ac:dyDescent="0.25">
      <c r="A68" s="39"/>
      <c r="B68" s="40"/>
      <c r="C68" s="41"/>
      <c r="D68" s="41"/>
      <c r="E68" s="39"/>
      <c r="F68" s="39"/>
      <c r="G68" s="39"/>
      <c r="H68" s="39"/>
      <c r="I68" s="39"/>
      <c r="J68" s="39"/>
      <c r="K68" s="39"/>
      <c r="L68" s="39"/>
      <c r="M68" s="39"/>
      <c r="N68" s="39"/>
      <c r="O68" s="39"/>
      <c r="P68" s="39"/>
      <c r="Q68" s="39"/>
      <c r="R68" s="39"/>
      <c r="S68" s="39"/>
      <c r="CM68" s="102"/>
      <c r="CN68" s="112" t="s">
        <v>761</v>
      </c>
      <c r="CO68" s="112" t="s">
        <v>522</v>
      </c>
      <c r="CP68" s="112" t="s">
        <v>523</v>
      </c>
      <c r="CQ68" s="112" t="s">
        <v>762</v>
      </c>
      <c r="CR68" s="112" t="s">
        <v>763</v>
      </c>
      <c r="CS68" s="112" t="s">
        <v>525</v>
      </c>
      <c r="CT68" s="112" t="s">
        <v>526</v>
      </c>
      <c r="CU68" s="112" t="s">
        <v>527</v>
      </c>
      <c r="CV68" s="113" t="s">
        <v>528</v>
      </c>
      <c r="CX68" s="36">
        <v>1</v>
      </c>
    </row>
    <row r="69" spans="1:102" ht="21" customHeight="1" x14ac:dyDescent="0.25">
      <c r="A69" s="39"/>
      <c r="B69" s="40"/>
      <c r="C69" s="41"/>
      <c r="D69" s="41"/>
      <c r="E69" s="39"/>
      <c r="F69" s="39"/>
      <c r="G69" s="39"/>
      <c r="H69" s="39"/>
      <c r="I69" s="39"/>
      <c r="J69" s="39"/>
      <c r="K69" s="39"/>
      <c r="L69" s="39"/>
      <c r="M69" s="39"/>
      <c r="N69" s="39"/>
      <c r="O69" s="39"/>
      <c r="P69" s="39"/>
      <c r="Q69" s="39"/>
      <c r="R69" s="39"/>
      <c r="S69" s="39"/>
      <c r="CM69" s="102"/>
      <c r="CN69" s="112" t="s">
        <v>764</v>
      </c>
      <c r="CO69" s="112" t="s">
        <v>522</v>
      </c>
      <c r="CP69" s="112" t="s">
        <v>523</v>
      </c>
      <c r="CQ69" s="112" t="s">
        <v>765</v>
      </c>
      <c r="CR69" s="112" t="s">
        <v>766</v>
      </c>
      <c r="CS69" s="112" t="s">
        <v>525</v>
      </c>
      <c r="CT69" s="112" t="s">
        <v>526</v>
      </c>
      <c r="CU69" s="112" t="s">
        <v>527</v>
      </c>
      <c r="CV69" s="113" t="s">
        <v>528</v>
      </c>
      <c r="CX69" s="36">
        <v>1</v>
      </c>
    </row>
    <row r="70" spans="1:102" ht="21" customHeight="1" x14ac:dyDescent="0.25">
      <c r="A70" s="762" t="s">
        <v>767</v>
      </c>
      <c r="B70" s="762"/>
      <c r="C70" s="762"/>
      <c r="D70" s="762"/>
      <c r="E70" s="762"/>
      <c r="F70" s="762"/>
      <c r="G70" s="762"/>
      <c r="H70" s="762"/>
      <c r="I70" s="762"/>
      <c r="J70" s="762"/>
      <c r="K70" s="762"/>
      <c r="L70" s="762"/>
      <c r="M70" s="762"/>
      <c r="N70" s="762"/>
      <c r="O70" s="762"/>
      <c r="P70" s="762"/>
      <c r="Q70" s="762"/>
      <c r="R70" s="762"/>
      <c r="S70" s="762"/>
      <c r="CM70" s="102"/>
      <c r="CN70" s="112" t="s">
        <v>768</v>
      </c>
      <c r="CO70" s="112" t="s">
        <v>522</v>
      </c>
      <c r="CP70" s="112" t="s">
        <v>523</v>
      </c>
      <c r="CQ70" s="112" t="s">
        <v>769</v>
      </c>
      <c r="CR70" s="112" t="s">
        <v>769</v>
      </c>
      <c r="CS70" s="112" t="s">
        <v>525</v>
      </c>
      <c r="CT70" s="112" t="s">
        <v>526</v>
      </c>
      <c r="CU70" s="112" t="s">
        <v>527</v>
      </c>
      <c r="CV70" s="113" t="s">
        <v>528</v>
      </c>
      <c r="CX70" s="36">
        <v>1</v>
      </c>
    </row>
    <row r="71" spans="1:102" ht="21" customHeight="1" x14ac:dyDescent="0.25">
      <c r="A71" s="39"/>
      <c r="B71" s="40"/>
      <c r="C71" s="41"/>
      <c r="D71" s="41"/>
      <c r="E71" s="39"/>
      <c r="F71" s="39"/>
      <c r="G71" s="39"/>
      <c r="H71" s="39"/>
      <c r="I71" s="39"/>
      <c r="J71" s="39"/>
      <c r="K71" s="39"/>
      <c r="L71" s="39"/>
      <c r="M71" s="39"/>
      <c r="N71" s="39"/>
      <c r="O71" s="39"/>
      <c r="P71" s="39"/>
      <c r="Q71" s="39"/>
      <c r="R71" s="39"/>
      <c r="S71" s="39"/>
      <c r="CM71" s="102"/>
      <c r="CN71" s="112" t="s">
        <v>770</v>
      </c>
      <c r="CO71" s="112" t="s">
        <v>522</v>
      </c>
      <c r="CP71" s="112" t="s">
        <v>523</v>
      </c>
      <c r="CQ71" s="112" t="s">
        <v>771</v>
      </c>
      <c r="CR71" s="112" t="s">
        <v>771</v>
      </c>
      <c r="CS71" s="112" t="s">
        <v>525</v>
      </c>
      <c r="CT71" s="112" t="s">
        <v>526</v>
      </c>
      <c r="CU71" s="112" t="s">
        <v>527</v>
      </c>
      <c r="CV71" s="113" t="s">
        <v>528</v>
      </c>
      <c r="CX71" s="36">
        <v>1</v>
      </c>
    </row>
    <row r="72" spans="1:102" ht="21" customHeight="1" x14ac:dyDescent="0.25">
      <c r="A72" s="39"/>
      <c r="B72" s="40"/>
      <c r="C72" s="42" t="s">
        <v>772</v>
      </c>
      <c r="D72" s="41"/>
      <c r="E72" s="39"/>
      <c r="F72" s="39"/>
      <c r="G72" s="39"/>
      <c r="H72" s="39"/>
      <c r="I72" s="39"/>
      <c r="J72" s="39"/>
      <c r="K72" s="39"/>
      <c r="L72" s="39"/>
      <c r="M72" s="39"/>
      <c r="N72" s="39"/>
      <c r="O72" s="39"/>
      <c r="P72" s="39"/>
      <c r="Q72" s="39"/>
      <c r="R72" s="39"/>
      <c r="S72" s="39"/>
      <c r="CM72" s="102"/>
      <c r="CN72" s="112" t="s">
        <v>773</v>
      </c>
      <c r="CO72" s="112" t="s">
        <v>522</v>
      </c>
      <c r="CP72" s="112" t="s">
        <v>523</v>
      </c>
      <c r="CQ72" s="112" t="s">
        <v>774</v>
      </c>
      <c r="CR72" s="112" t="s">
        <v>774</v>
      </c>
      <c r="CS72" s="112" t="s">
        <v>525</v>
      </c>
      <c r="CT72" s="112" t="s">
        <v>526</v>
      </c>
      <c r="CU72" s="112" t="s">
        <v>527</v>
      </c>
      <c r="CV72" s="113" t="s">
        <v>528</v>
      </c>
      <c r="CX72" s="36">
        <v>1</v>
      </c>
    </row>
    <row r="73" spans="1:102" ht="21" customHeight="1" x14ac:dyDescent="0.25">
      <c r="A73" s="39"/>
      <c r="B73" s="40"/>
      <c r="C73" s="42" t="s">
        <v>775</v>
      </c>
      <c r="D73" s="41"/>
      <c r="E73" s="39"/>
      <c r="F73" s="39"/>
      <c r="G73" s="39"/>
      <c r="H73" s="39"/>
      <c r="I73" s="39"/>
      <c r="J73" s="39"/>
      <c r="K73" s="39"/>
      <c r="L73" s="39"/>
      <c r="M73" s="39"/>
      <c r="N73" s="39"/>
      <c r="O73" s="39"/>
      <c r="P73" s="39"/>
      <c r="Q73" s="39"/>
      <c r="R73" s="39"/>
      <c r="S73" s="39"/>
      <c r="CM73" s="102"/>
      <c r="CN73" s="112" t="s">
        <v>776</v>
      </c>
      <c r="CO73" s="112" t="s">
        <v>522</v>
      </c>
      <c r="CP73" s="112" t="s">
        <v>523</v>
      </c>
      <c r="CQ73" s="112" t="s">
        <v>777</v>
      </c>
      <c r="CR73" s="112" t="s">
        <v>777</v>
      </c>
      <c r="CS73" s="112" t="s">
        <v>525</v>
      </c>
      <c r="CT73" s="112" t="s">
        <v>526</v>
      </c>
      <c r="CU73" s="112" t="s">
        <v>527</v>
      </c>
      <c r="CV73" s="113" t="s">
        <v>528</v>
      </c>
      <c r="CX73" s="36">
        <v>1</v>
      </c>
    </row>
    <row r="74" spans="1:102" ht="21" customHeight="1" x14ac:dyDescent="0.25">
      <c r="A74" s="39"/>
      <c r="B74" s="40"/>
      <c r="C74" s="42" t="s">
        <v>778</v>
      </c>
      <c r="D74" s="41"/>
      <c r="E74" s="39"/>
      <c r="F74" s="39"/>
      <c r="G74" s="39"/>
      <c r="H74" s="39"/>
      <c r="I74" s="39"/>
      <c r="J74" s="39"/>
      <c r="K74" s="39"/>
      <c r="L74" s="39"/>
      <c r="M74" s="39"/>
      <c r="N74" s="39"/>
      <c r="O74" s="39"/>
      <c r="P74" s="39"/>
      <c r="Q74" s="39"/>
      <c r="R74" s="39"/>
      <c r="S74" s="39"/>
      <c r="CM74" s="102"/>
      <c r="CN74" s="112" t="s">
        <v>779</v>
      </c>
      <c r="CO74" s="112" t="s">
        <v>522</v>
      </c>
      <c r="CP74" s="112" t="s">
        <v>523</v>
      </c>
      <c r="CQ74" s="112" t="s">
        <v>780</v>
      </c>
      <c r="CR74" s="112" t="s">
        <v>780</v>
      </c>
      <c r="CS74" s="112" t="s">
        <v>525</v>
      </c>
      <c r="CT74" s="112" t="s">
        <v>526</v>
      </c>
      <c r="CU74" s="112" t="s">
        <v>527</v>
      </c>
      <c r="CV74" s="113" t="s">
        <v>528</v>
      </c>
      <c r="CX74" s="36">
        <v>1</v>
      </c>
    </row>
    <row r="75" spans="1:102" ht="21" customHeight="1" x14ac:dyDescent="0.25">
      <c r="A75" s="39"/>
      <c r="B75" s="40"/>
      <c r="C75" s="42" t="s">
        <v>781</v>
      </c>
      <c r="D75" s="41"/>
      <c r="E75" s="39"/>
      <c r="F75" s="39"/>
      <c r="G75" s="39"/>
      <c r="H75" s="39"/>
      <c r="I75" s="39"/>
      <c r="J75" s="39"/>
      <c r="K75" s="39"/>
      <c r="L75" s="39"/>
      <c r="M75" s="39"/>
      <c r="N75" s="39"/>
      <c r="O75" s="39"/>
      <c r="P75" s="39"/>
      <c r="Q75" s="39"/>
      <c r="R75" s="39"/>
      <c r="S75" s="39"/>
      <c r="CM75" s="102"/>
      <c r="CN75" s="112" t="s">
        <v>782</v>
      </c>
      <c r="CO75" s="112" t="s">
        <v>522</v>
      </c>
      <c r="CP75" s="112" t="s">
        <v>523</v>
      </c>
      <c r="CQ75" s="112" t="s">
        <v>783</v>
      </c>
      <c r="CR75" s="112" t="s">
        <v>783</v>
      </c>
      <c r="CS75" s="112" t="s">
        <v>525</v>
      </c>
      <c r="CT75" s="112" t="s">
        <v>526</v>
      </c>
      <c r="CU75" s="112" t="s">
        <v>527</v>
      </c>
      <c r="CV75" s="113" t="s">
        <v>528</v>
      </c>
      <c r="CX75" s="36">
        <v>1</v>
      </c>
    </row>
    <row r="76" spans="1:102" ht="21" customHeight="1" x14ac:dyDescent="0.25">
      <c r="A76" s="39"/>
      <c r="B76" s="40"/>
      <c r="C76" s="42" t="s">
        <v>784</v>
      </c>
      <c r="D76" s="41"/>
      <c r="E76" s="39"/>
      <c r="F76" s="39"/>
      <c r="G76" s="39"/>
      <c r="H76" s="39"/>
      <c r="I76" s="39"/>
      <c r="J76" s="39"/>
      <c r="K76" s="39"/>
      <c r="L76" s="39"/>
      <c r="M76" s="39"/>
      <c r="N76" s="39"/>
      <c r="O76" s="39"/>
      <c r="P76" s="39"/>
      <c r="Q76" s="39"/>
      <c r="R76" s="39"/>
      <c r="S76" s="39"/>
      <c r="CM76" s="102"/>
      <c r="CN76" s="112" t="s">
        <v>785</v>
      </c>
      <c r="CO76" s="112" t="s">
        <v>522</v>
      </c>
      <c r="CP76" s="112" t="s">
        <v>523</v>
      </c>
      <c r="CQ76" s="112" t="s">
        <v>786</v>
      </c>
      <c r="CR76" s="112" t="s">
        <v>786</v>
      </c>
      <c r="CS76" s="112" t="s">
        <v>525</v>
      </c>
      <c r="CT76" s="112" t="s">
        <v>526</v>
      </c>
      <c r="CU76" s="112" t="s">
        <v>527</v>
      </c>
      <c r="CV76" s="113" t="s">
        <v>528</v>
      </c>
      <c r="CX76" s="36">
        <v>1</v>
      </c>
    </row>
    <row r="77" spans="1:102" ht="21" customHeight="1" x14ac:dyDescent="0.25">
      <c r="A77" s="39"/>
      <c r="B77" s="40"/>
      <c r="C77" s="42" t="s">
        <v>787</v>
      </c>
      <c r="D77" s="41"/>
      <c r="E77" s="39"/>
      <c r="F77" s="39"/>
      <c r="G77" s="39"/>
      <c r="H77" s="39"/>
      <c r="I77" s="39"/>
      <c r="J77" s="39"/>
      <c r="K77" s="39"/>
      <c r="L77" s="39"/>
      <c r="M77" s="39"/>
      <c r="N77" s="39"/>
      <c r="O77" s="39"/>
      <c r="P77" s="39"/>
      <c r="Q77" s="39"/>
      <c r="R77" s="39"/>
      <c r="S77" s="39"/>
      <c r="CM77" s="102"/>
      <c r="CN77" s="112" t="s">
        <v>788</v>
      </c>
      <c r="CO77" s="112" t="s">
        <v>522</v>
      </c>
      <c r="CP77" s="112" t="s">
        <v>523</v>
      </c>
      <c r="CQ77" s="112" t="s">
        <v>789</v>
      </c>
      <c r="CR77" s="112" t="s">
        <v>789</v>
      </c>
      <c r="CS77" s="112" t="s">
        <v>525</v>
      </c>
      <c r="CT77" s="112" t="s">
        <v>526</v>
      </c>
      <c r="CU77" s="112" t="s">
        <v>527</v>
      </c>
      <c r="CV77" s="113" t="s">
        <v>528</v>
      </c>
      <c r="CX77" s="36">
        <v>1</v>
      </c>
    </row>
    <row r="78" spans="1:102" ht="21" customHeight="1" x14ac:dyDescent="0.25">
      <c r="A78" s="39"/>
      <c r="B78" s="40"/>
      <c r="C78" s="41"/>
      <c r="D78" s="41"/>
      <c r="E78" s="39"/>
      <c r="F78" s="39"/>
      <c r="G78" s="39"/>
      <c r="H78" s="39"/>
      <c r="I78" s="39"/>
      <c r="J78" s="39"/>
      <c r="K78" s="39"/>
      <c r="L78" s="39"/>
      <c r="M78" s="39"/>
      <c r="N78" s="39"/>
      <c r="O78" s="39"/>
      <c r="P78" s="39"/>
      <c r="Q78" s="39"/>
      <c r="R78" s="39"/>
      <c r="S78" s="39"/>
      <c r="CM78" s="102"/>
      <c r="CN78" s="112" t="s">
        <v>790</v>
      </c>
      <c r="CO78" s="112" t="s">
        <v>522</v>
      </c>
      <c r="CP78" s="112" t="s">
        <v>523</v>
      </c>
      <c r="CQ78" s="112" t="s">
        <v>791</v>
      </c>
      <c r="CR78" s="112" t="s">
        <v>791</v>
      </c>
      <c r="CS78" s="112" t="s">
        <v>525</v>
      </c>
      <c r="CT78" s="112" t="s">
        <v>526</v>
      </c>
      <c r="CU78" s="112" t="s">
        <v>527</v>
      </c>
      <c r="CV78" s="113" t="s">
        <v>528</v>
      </c>
      <c r="CX78" s="36">
        <v>1</v>
      </c>
    </row>
    <row r="79" spans="1:102" ht="21" customHeight="1" x14ac:dyDescent="0.25">
      <c r="A79" s="39"/>
      <c r="B79" s="40"/>
      <c r="C79" s="41"/>
      <c r="D79" s="41"/>
      <c r="E79" s="39"/>
      <c r="F79" s="39"/>
      <c r="G79" s="39"/>
      <c r="H79" s="39"/>
      <c r="I79" s="39"/>
      <c r="J79" s="39"/>
      <c r="K79" s="39"/>
      <c r="L79" s="39"/>
      <c r="M79" s="39"/>
      <c r="N79" s="39"/>
      <c r="O79" s="39"/>
      <c r="P79" s="39"/>
      <c r="Q79" s="39"/>
      <c r="R79" s="39"/>
      <c r="S79" s="39"/>
      <c r="CM79" s="102"/>
      <c r="CN79" s="112" t="s">
        <v>792</v>
      </c>
      <c r="CO79" s="112" t="s">
        <v>522</v>
      </c>
      <c r="CP79" s="112" t="s">
        <v>523</v>
      </c>
      <c r="CQ79" s="112" t="s">
        <v>793</v>
      </c>
      <c r="CR79" s="112" t="s">
        <v>794</v>
      </c>
      <c r="CS79" s="112" t="s">
        <v>525</v>
      </c>
      <c r="CT79" s="112" t="s">
        <v>795</v>
      </c>
      <c r="CU79" s="112" t="s">
        <v>796</v>
      </c>
      <c r="CV79" s="113" t="s">
        <v>612</v>
      </c>
      <c r="CX79" s="36">
        <v>1</v>
      </c>
    </row>
    <row r="80" spans="1:102" ht="21" customHeight="1" x14ac:dyDescent="0.25">
      <c r="A80" s="762" t="s">
        <v>797</v>
      </c>
      <c r="B80" s="762"/>
      <c r="C80" s="762"/>
      <c r="D80" s="762"/>
      <c r="E80" s="762"/>
      <c r="F80" s="762"/>
      <c r="G80" s="762"/>
      <c r="H80" s="762"/>
      <c r="I80" s="762"/>
      <c r="J80" s="762"/>
      <c r="K80" s="762"/>
      <c r="L80" s="762"/>
      <c r="M80" s="762"/>
      <c r="N80" s="762"/>
      <c r="O80" s="762"/>
      <c r="P80" s="762"/>
      <c r="Q80" s="762"/>
      <c r="R80" s="762"/>
      <c r="S80" s="762"/>
      <c r="CM80" s="102"/>
      <c r="CN80" s="112" t="s">
        <v>798</v>
      </c>
      <c r="CO80" s="112" t="s">
        <v>522</v>
      </c>
      <c r="CP80" s="112" t="s">
        <v>523</v>
      </c>
      <c r="CQ80" s="112" t="s">
        <v>799</v>
      </c>
      <c r="CR80" s="112" t="s">
        <v>799</v>
      </c>
      <c r="CS80" s="112" t="s">
        <v>525</v>
      </c>
      <c r="CT80" s="112" t="s">
        <v>526</v>
      </c>
      <c r="CU80" s="112" t="s">
        <v>527</v>
      </c>
      <c r="CV80" s="113" t="s">
        <v>528</v>
      </c>
      <c r="CX80" s="36">
        <v>1</v>
      </c>
    </row>
    <row r="81" spans="1:102" ht="21" customHeight="1" x14ac:dyDescent="0.25">
      <c r="A81" s="43" t="s">
        <v>800</v>
      </c>
      <c r="B81" s="44" t="s">
        <v>801</v>
      </c>
      <c r="C81" s="45" t="s">
        <v>802</v>
      </c>
      <c r="D81" s="46" t="s">
        <v>803</v>
      </c>
      <c r="E81" s="39"/>
      <c r="F81" s="39"/>
      <c r="G81" s="39"/>
      <c r="H81" s="39"/>
      <c r="I81" s="39"/>
      <c r="J81" s="39"/>
      <c r="K81" s="39"/>
      <c r="L81" s="39"/>
      <c r="M81" s="39"/>
      <c r="N81" s="39"/>
      <c r="O81" s="39"/>
      <c r="P81" s="39"/>
      <c r="Q81" s="39"/>
      <c r="R81" s="39"/>
      <c r="S81" s="39"/>
      <c r="CM81" s="102"/>
      <c r="CN81" s="112" t="s">
        <v>804</v>
      </c>
      <c r="CO81" s="112" t="s">
        <v>522</v>
      </c>
      <c r="CP81" s="112" t="s">
        <v>523</v>
      </c>
      <c r="CQ81" s="112" t="s">
        <v>805</v>
      </c>
      <c r="CR81" s="112" t="s">
        <v>805</v>
      </c>
      <c r="CS81" s="112" t="s">
        <v>525</v>
      </c>
      <c r="CT81" s="112" t="s">
        <v>526</v>
      </c>
      <c r="CU81" s="112" t="s">
        <v>527</v>
      </c>
      <c r="CV81" s="113" t="s">
        <v>528</v>
      </c>
      <c r="CX81" s="36">
        <v>1</v>
      </c>
    </row>
    <row r="82" spans="1:102" ht="21" customHeight="1" x14ac:dyDescent="0.25">
      <c r="A82" s="47">
        <v>1</v>
      </c>
      <c r="B82" s="48" t="s">
        <v>806</v>
      </c>
      <c r="C82" s="49" t="s">
        <v>807</v>
      </c>
      <c r="D82" s="50" t="s">
        <v>808</v>
      </c>
      <c r="E82" s="39"/>
      <c r="F82" s="39"/>
      <c r="G82" s="39"/>
      <c r="H82" s="39"/>
      <c r="I82" s="39"/>
      <c r="J82" s="39"/>
      <c r="K82" s="39"/>
      <c r="L82" s="39"/>
      <c r="M82" s="39"/>
      <c r="N82" s="39"/>
      <c r="O82" s="39"/>
      <c r="P82" s="39"/>
      <c r="Q82" s="39"/>
      <c r="R82" s="39"/>
      <c r="S82" s="39"/>
      <c r="CM82" s="102"/>
      <c r="CN82" s="112" t="s">
        <v>809</v>
      </c>
      <c r="CO82" s="112" t="s">
        <v>522</v>
      </c>
      <c r="CP82" s="112" t="s">
        <v>523</v>
      </c>
      <c r="CQ82" s="112" t="s">
        <v>810</v>
      </c>
      <c r="CR82" s="112" t="s">
        <v>810</v>
      </c>
      <c r="CS82" s="112" t="s">
        <v>525</v>
      </c>
      <c r="CT82" s="112" t="s">
        <v>526</v>
      </c>
      <c r="CU82" s="112" t="s">
        <v>527</v>
      </c>
      <c r="CV82" s="113" t="s">
        <v>528</v>
      </c>
      <c r="CX82" s="36">
        <v>1</v>
      </c>
    </row>
    <row r="83" spans="1:102" ht="21" customHeight="1" x14ac:dyDescent="0.25">
      <c r="A83" s="47">
        <v>2</v>
      </c>
      <c r="B83" s="48" t="s">
        <v>811</v>
      </c>
      <c r="C83" s="49" t="s">
        <v>807</v>
      </c>
      <c r="D83" s="50" t="s">
        <v>812</v>
      </c>
      <c r="E83" s="39"/>
      <c r="F83" s="39"/>
      <c r="G83" s="39"/>
      <c r="H83" s="39"/>
      <c r="I83" s="39"/>
      <c r="J83" s="39"/>
      <c r="K83" s="39"/>
      <c r="L83" s="39"/>
      <c r="M83" s="39"/>
      <c r="N83" s="39"/>
      <c r="O83" s="39"/>
      <c r="P83" s="39"/>
      <c r="Q83" s="39"/>
      <c r="R83" s="39"/>
      <c r="S83" s="39"/>
      <c r="CM83" s="102"/>
      <c r="CN83" s="112" t="s">
        <v>813</v>
      </c>
      <c r="CO83" s="112" t="s">
        <v>522</v>
      </c>
      <c r="CP83" s="112" t="s">
        <v>523</v>
      </c>
      <c r="CQ83" s="112" t="s">
        <v>814</v>
      </c>
      <c r="CR83" s="112" t="s">
        <v>814</v>
      </c>
      <c r="CS83" s="112" t="s">
        <v>525</v>
      </c>
      <c r="CT83" s="112" t="s">
        <v>526</v>
      </c>
      <c r="CU83" s="112" t="s">
        <v>527</v>
      </c>
      <c r="CV83" s="113" t="s">
        <v>528</v>
      </c>
      <c r="CX83" s="36">
        <v>1</v>
      </c>
    </row>
    <row r="84" spans="1:102" ht="21" customHeight="1" x14ac:dyDescent="0.25">
      <c r="A84" s="47">
        <v>3</v>
      </c>
      <c r="B84" s="48" t="s">
        <v>815</v>
      </c>
      <c r="C84" s="49" t="s">
        <v>807</v>
      </c>
      <c r="D84" s="50" t="s">
        <v>816</v>
      </c>
      <c r="E84" s="39"/>
      <c r="F84" s="39"/>
      <c r="G84" s="39"/>
      <c r="H84" s="39"/>
      <c r="I84" s="39"/>
      <c r="J84" s="39"/>
      <c r="K84" s="39"/>
      <c r="L84" s="39"/>
      <c r="M84" s="39"/>
      <c r="N84" s="39"/>
      <c r="O84" s="39"/>
      <c r="P84" s="39"/>
      <c r="Q84" s="39"/>
      <c r="R84" s="39"/>
      <c r="S84" s="39"/>
      <c r="CM84" s="102"/>
      <c r="CN84" s="112" t="s">
        <v>817</v>
      </c>
      <c r="CO84" s="112" t="s">
        <v>522</v>
      </c>
      <c r="CP84" s="112" t="s">
        <v>523</v>
      </c>
      <c r="CQ84" s="112" t="s">
        <v>818</v>
      </c>
      <c r="CR84" s="112" t="s">
        <v>818</v>
      </c>
      <c r="CS84" s="112" t="s">
        <v>610</v>
      </c>
      <c r="CT84" s="112" t="s">
        <v>611</v>
      </c>
      <c r="CU84" s="112" t="s">
        <v>527</v>
      </c>
      <c r="CV84" s="113" t="s">
        <v>612</v>
      </c>
      <c r="CX84" s="36">
        <v>1</v>
      </c>
    </row>
    <row r="85" spans="1:102" ht="21" customHeight="1" x14ac:dyDescent="0.25">
      <c r="A85" s="47">
        <v>4</v>
      </c>
      <c r="B85" s="48" t="s">
        <v>819</v>
      </c>
      <c r="C85" s="49" t="s">
        <v>807</v>
      </c>
      <c r="D85" s="50" t="s">
        <v>820</v>
      </c>
      <c r="E85" s="39"/>
      <c r="F85" s="39"/>
      <c r="G85" s="39"/>
      <c r="H85" s="39"/>
      <c r="I85" s="39"/>
      <c r="J85" s="39"/>
      <c r="K85" s="39"/>
      <c r="L85" s="39"/>
      <c r="M85" s="39"/>
      <c r="N85" s="39"/>
      <c r="O85" s="39"/>
      <c r="P85" s="39"/>
      <c r="Q85" s="39"/>
      <c r="R85" s="39"/>
      <c r="S85" s="39"/>
      <c r="CM85" s="102"/>
      <c r="CN85" s="112" t="s">
        <v>821</v>
      </c>
      <c r="CO85" s="112" t="s">
        <v>522</v>
      </c>
      <c r="CP85" s="112" t="s">
        <v>523</v>
      </c>
      <c r="CQ85" s="112" t="s">
        <v>822</v>
      </c>
      <c r="CR85" s="112" t="s">
        <v>822</v>
      </c>
      <c r="CS85" s="112" t="s">
        <v>610</v>
      </c>
      <c r="CT85" s="112" t="s">
        <v>611</v>
      </c>
      <c r="CU85" s="112" t="s">
        <v>527</v>
      </c>
      <c r="CV85" s="113" t="s">
        <v>612</v>
      </c>
      <c r="CX85" s="36">
        <v>1</v>
      </c>
    </row>
    <row r="86" spans="1:102" ht="21" customHeight="1" x14ac:dyDescent="0.25">
      <c r="A86" s="47">
        <v>5</v>
      </c>
      <c r="B86" s="48" t="s">
        <v>823</v>
      </c>
      <c r="C86" s="49" t="s">
        <v>807</v>
      </c>
      <c r="D86" s="50" t="s">
        <v>824</v>
      </c>
      <c r="E86" s="39"/>
      <c r="F86" s="39"/>
      <c r="G86" s="39"/>
      <c r="H86" s="39"/>
      <c r="I86" s="39"/>
      <c r="J86" s="39"/>
      <c r="K86" s="39"/>
      <c r="L86" s="39"/>
      <c r="M86" s="39"/>
      <c r="N86" s="39"/>
      <c r="O86" s="39"/>
      <c r="P86" s="39"/>
      <c r="Q86" s="39"/>
      <c r="R86" s="39"/>
      <c r="S86" s="39"/>
      <c r="CM86" s="102"/>
      <c r="CN86" s="112" t="s">
        <v>825</v>
      </c>
      <c r="CO86" s="112" t="s">
        <v>522</v>
      </c>
      <c r="CP86" s="112" t="s">
        <v>523</v>
      </c>
      <c r="CQ86" s="112" t="s">
        <v>826</v>
      </c>
      <c r="CR86" s="112" t="s">
        <v>826</v>
      </c>
      <c r="CS86" s="112" t="s">
        <v>525</v>
      </c>
      <c r="CT86" s="112" t="s">
        <v>526</v>
      </c>
      <c r="CU86" s="112" t="s">
        <v>527</v>
      </c>
      <c r="CV86" s="113" t="s">
        <v>528</v>
      </c>
      <c r="CX86" s="36">
        <v>1</v>
      </c>
    </row>
    <row r="87" spans="1:102" ht="21" customHeight="1" x14ac:dyDescent="0.25">
      <c r="A87" s="47">
        <v>6</v>
      </c>
      <c r="B87" s="48" t="s">
        <v>827</v>
      </c>
      <c r="C87" s="49" t="s">
        <v>828</v>
      </c>
      <c r="D87" s="50" t="s">
        <v>829</v>
      </c>
      <c r="E87" s="39"/>
      <c r="F87" s="39"/>
      <c r="G87" s="39"/>
      <c r="H87" s="39"/>
      <c r="I87" s="39"/>
      <c r="J87" s="39"/>
      <c r="K87" s="39"/>
      <c r="L87" s="39"/>
      <c r="M87" s="39"/>
      <c r="N87" s="39"/>
      <c r="O87" s="39"/>
      <c r="P87" s="39"/>
      <c r="Q87" s="39"/>
      <c r="R87" s="39"/>
      <c r="S87" s="39"/>
      <c r="CM87" s="102"/>
      <c r="CN87" s="112" t="s">
        <v>830</v>
      </c>
      <c r="CO87" s="112" t="s">
        <v>522</v>
      </c>
      <c r="CP87" s="112" t="s">
        <v>523</v>
      </c>
      <c r="CQ87" s="112" t="s">
        <v>831</v>
      </c>
      <c r="CR87" s="112" t="s">
        <v>831</v>
      </c>
      <c r="CS87" s="112" t="s">
        <v>525</v>
      </c>
      <c r="CT87" s="112" t="s">
        <v>526</v>
      </c>
      <c r="CU87" s="112" t="s">
        <v>527</v>
      </c>
      <c r="CV87" s="113" t="s">
        <v>528</v>
      </c>
      <c r="CX87" s="36">
        <v>1</v>
      </c>
    </row>
    <row r="88" spans="1:102" ht="21" customHeight="1" x14ac:dyDescent="0.25">
      <c r="A88" s="47">
        <v>7</v>
      </c>
      <c r="B88" s="48" t="s">
        <v>832</v>
      </c>
      <c r="C88" s="49" t="s">
        <v>833</v>
      </c>
      <c r="D88" s="50" t="s">
        <v>834</v>
      </c>
      <c r="E88" s="39"/>
      <c r="F88" s="39"/>
      <c r="G88" s="39"/>
      <c r="H88" s="39"/>
      <c r="I88" s="39"/>
      <c r="J88" s="39"/>
      <c r="K88" s="39"/>
      <c r="L88" s="39"/>
      <c r="M88" s="39"/>
      <c r="N88" s="39"/>
      <c r="O88" s="39"/>
      <c r="P88" s="39"/>
      <c r="Q88" s="39"/>
      <c r="R88" s="39"/>
      <c r="S88" s="39"/>
      <c r="CM88" s="102"/>
      <c r="CN88" s="112" t="s">
        <v>835</v>
      </c>
      <c r="CO88" s="112" t="s">
        <v>522</v>
      </c>
      <c r="CP88" s="112" t="s">
        <v>523</v>
      </c>
      <c r="CQ88" s="112" t="s">
        <v>836</v>
      </c>
      <c r="CR88" s="112" t="s">
        <v>837</v>
      </c>
      <c r="CS88" s="112" t="s">
        <v>525</v>
      </c>
      <c r="CT88" s="112" t="s">
        <v>526</v>
      </c>
      <c r="CU88" s="112" t="s">
        <v>527</v>
      </c>
      <c r="CV88" s="113" t="s">
        <v>528</v>
      </c>
      <c r="CX88" s="36">
        <v>1</v>
      </c>
    </row>
    <row r="89" spans="1:102" ht="21" customHeight="1" x14ac:dyDescent="0.25">
      <c r="A89" s="47">
        <v>8</v>
      </c>
      <c r="B89" s="48" t="s">
        <v>838</v>
      </c>
      <c r="C89" s="49" t="s">
        <v>839</v>
      </c>
      <c r="D89" s="50" t="s">
        <v>840</v>
      </c>
      <c r="E89" s="39"/>
      <c r="F89" s="39"/>
      <c r="G89" s="39"/>
      <c r="H89" s="39"/>
      <c r="I89" s="39"/>
      <c r="J89" s="39"/>
      <c r="K89" s="39"/>
      <c r="L89" s="39"/>
      <c r="M89" s="39"/>
      <c r="N89" s="39"/>
      <c r="O89" s="39"/>
      <c r="P89" s="39"/>
      <c r="Q89" s="39"/>
      <c r="R89" s="39"/>
      <c r="S89" s="39"/>
      <c r="CM89" s="102"/>
      <c r="CN89" s="112" t="s">
        <v>841</v>
      </c>
      <c r="CO89" s="112" t="s">
        <v>522</v>
      </c>
      <c r="CP89" s="112" t="s">
        <v>523</v>
      </c>
      <c r="CQ89" s="112" t="s">
        <v>842</v>
      </c>
      <c r="CR89" s="112" t="s">
        <v>842</v>
      </c>
      <c r="CS89" s="112" t="s">
        <v>525</v>
      </c>
      <c r="CT89" s="112" t="s">
        <v>526</v>
      </c>
      <c r="CU89" s="112" t="s">
        <v>527</v>
      </c>
      <c r="CV89" s="113" t="s">
        <v>528</v>
      </c>
      <c r="CX89" s="36">
        <v>1</v>
      </c>
    </row>
    <row r="90" spans="1:102" ht="21" customHeight="1" x14ac:dyDescent="0.25">
      <c r="A90" s="47">
        <v>9</v>
      </c>
      <c r="B90" s="48" t="s">
        <v>843</v>
      </c>
      <c r="C90" s="49" t="s">
        <v>844</v>
      </c>
      <c r="D90" s="50" t="s">
        <v>845</v>
      </c>
      <c r="E90" s="39"/>
      <c r="F90" s="39"/>
      <c r="G90" s="39"/>
      <c r="H90" s="39"/>
      <c r="I90" s="39"/>
      <c r="J90" s="39"/>
      <c r="K90" s="39"/>
      <c r="L90" s="39"/>
      <c r="M90" s="39"/>
      <c r="N90" s="39"/>
      <c r="O90" s="39"/>
      <c r="P90" s="39"/>
      <c r="Q90" s="39"/>
      <c r="R90" s="39"/>
      <c r="S90" s="39"/>
      <c r="CM90" s="102"/>
      <c r="CN90" s="112" t="s">
        <v>846</v>
      </c>
      <c r="CO90" s="112" t="s">
        <v>522</v>
      </c>
      <c r="CP90" s="112" t="s">
        <v>523</v>
      </c>
      <c r="CQ90" s="112" t="s">
        <v>847</v>
      </c>
      <c r="CR90" s="112" t="s">
        <v>848</v>
      </c>
      <c r="CS90" s="112" t="s">
        <v>525</v>
      </c>
      <c r="CT90" s="112" t="s">
        <v>526</v>
      </c>
      <c r="CU90" s="112" t="s">
        <v>527</v>
      </c>
      <c r="CV90" s="113" t="s">
        <v>528</v>
      </c>
      <c r="CX90" s="36">
        <v>1</v>
      </c>
    </row>
    <row r="91" spans="1:102" ht="21" customHeight="1" x14ac:dyDescent="0.25">
      <c r="A91" s="51">
        <v>10</v>
      </c>
      <c r="B91" s="52" t="s">
        <v>849</v>
      </c>
      <c r="C91" s="53" t="s">
        <v>850</v>
      </c>
      <c r="D91" s="54" t="s">
        <v>851</v>
      </c>
      <c r="E91" s="39"/>
      <c r="F91" s="39"/>
      <c r="G91" s="39"/>
      <c r="H91" s="39"/>
      <c r="I91" s="39"/>
      <c r="J91" s="39"/>
      <c r="K91" s="39"/>
      <c r="L91" s="39"/>
      <c r="M91" s="39"/>
      <c r="N91" s="39"/>
      <c r="O91" s="39"/>
      <c r="P91" s="39"/>
      <c r="Q91" s="39"/>
      <c r="R91" s="39"/>
      <c r="S91" s="39"/>
      <c r="CM91" s="102"/>
      <c r="CN91" s="112" t="s">
        <v>852</v>
      </c>
      <c r="CO91" s="112" t="s">
        <v>522</v>
      </c>
      <c r="CP91" s="112" t="s">
        <v>523</v>
      </c>
      <c r="CQ91" s="112" t="s">
        <v>853</v>
      </c>
      <c r="CR91" s="112" t="s">
        <v>853</v>
      </c>
      <c r="CS91" s="112" t="s">
        <v>525</v>
      </c>
      <c r="CT91" s="112" t="s">
        <v>526</v>
      </c>
      <c r="CU91" s="112" t="s">
        <v>527</v>
      </c>
      <c r="CV91" s="113" t="s">
        <v>528</v>
      </c>
      <c r="CX91" s="36">
        <v>1</v>
      </c>
    </row>
    <row r="92" spans="1:102" ht="21" customHeight="1" x14ac:dyDescent="0.25">
      <c r="A92" s="39"/>
      <c r="B92" s="40"/>
      <c r="C92" s="41"/>
      <c r="D92" s="41"/>
      <c r="E92" s="39"/>
      <c r="F92" s="39"/>
      <c r="G92" s="39"/>
      <c r="H92" s="39"/>
      <c r="I92" s="39"/>
      <c r="J92" s="39"/>
      <c r="K92" s="39"/>
      <c r="L92" s="39"/>
      <c r="M92" s="39"/>
      <c r="N92" s="39"/>
      <c r="O92" s="39"/>
      <c r="P92" s="39"/>
      <c r="Q92" s="39"/>
      <c r="R92" s="39"/>
      <c r="S92" s="39"/>
      <c r="CM92" s="102"/>
      <c r="CN92" s="112" t="s">
        <v>854</v>
      </c>
      <c r="CO92" s="112" t="s">
        <v>522</v>
      </c>
      <c r="CP92" s="112" t="s">
        <v>523</v>
      </c>
      <c r="CQ92" s="112" t="s">
        <v>855</v>
      </c>
      <c r="CR92" s="112" t="s">
        <v>855</v>
      </c>
      <c r="CS92" s="112" t="s">
        <v>525</v>
      </c>
      <c r="CT92" s="112" t="s">
        <v>526</v>
      </c>
      <c r="CU92" s="112" t="s">
        <v>527</v>
      </c>
      <c r="CV92" s="113" t="s">
        <v>528</v>
      </c>
      <c r="CX92" s="36">
        <v>1</v>
      </c>
    </row>
    <row r="93" spans="1:102" ht="21" customHeight="1" x14ac:dyDescent="0.25">
      <c r="A93" s="39"/>
      <c r="B93" s="40"/>
      <c r="C93" s="41"/>
      <c r="D93" s="41"/>
      <c r="E93" s="39"/>
      <c r="F93" s="39"/>
      <c r="G93" s="39"/>
      <c r="H93" s="39"/>
      <c r="I93" s="39"/>
      <c r="J93" s="39"/>
      <c r="K93" s="39"/>
      <c r="L93" s="39"/>
      <c r="M93" s="39"/>
      <c r="N93" s="39"/>
      <c r="O93" s="39"/>
      <c r="P93" s="39"/>
      <c r="Q93" s="39"/>
      <c r="R93" s="39"/>
      <c r="S93" s="39"/>
      <c r="CM93" s="102"/>
      <c r="CN93" s="112" t="s">
        <v>856</v>
      </c>
      <c r="CO93" s="112" t="s">
        <v>522</v>
      </c>
      <c r="CP93" s="112" t="s">
        <v>523</v>
      </c>
      <c r="CQ93" s="112" t="s">
        <v>857</v>
      </c>
      <c r="CR93" s="112" t="s">
        <v>857</v>
      </c>
      <c r="CS93" s="112" t="s">
        <v>525</v>
      </c>
      <c r="CT93" s="112" t="s">
        <v>526</v>
      </c>
      <c r="CU93" s="112" t="s">
        <v>527</v>
      </c>
      <c r="CV93" s="113" t="s">
        <v>528</v>
      </c>
      <c r="CX93" s="36">
        <v>1</v>
      </c>
    </row>
    <row r="94" spans="1:102" ht="21" customHeight="1" x14ac:dyDescent="0.25">
      <c r="A94" s="762" t="s">
        <v>858</v>
      </c>
      <c r="B94" s="762"/>
      <c r="C94" s="762"/>
      <c r="D94" s="762"/>
      <c r="E94" s="762"/>
      <c r="F94" s="762"/>
      <c r="G94" s="762"/>
      <c r="H94" s="762"/>
      <c r="I94" s="762"/>
      <c r="J94" s="762"/>
      <c r="K94" s="762"/>
      <c r="L94" s="762"/>
      <c r="M94" s="762"/>
      <c r="N94" s="762"/>
      <c r="O94" s="762"/>
      <c r="P94" s="762"/>
      <c r="Q94" s="762"/>
      <c r="R94" s="762"/>
      <c r="S94" s="762"/>
      <c r="CM94" s="102"/>
      <c r="CN94" s="112" t="s">
        <v>859</v>
      </c>
      <c r="CO94" s="112" t="s">
        <v>522</v>
      </c>
      <c r="CP94" s="112" t="s">
        <v>523</v>
      </c>
      <c r="CQ94" s="112" t="s">
        <v>860</v>
      </c>
      <c r="CR94" s="112" t="s">
        <v>861</v>
      </c>
      <c r="CS94" s="112" t="s">
        <v>525</v>
      </c>
      <c r="CT94" s="112" t="s">
        <v>526</v>
      </c>
      <c r="CU94" s="112" t="s">
        <v>527</v>
      </c>
      <c r="CV94" s="113" t="s">
        <v>528</v>
      </c>
      <c r="CX94" s="36">
        <v>1</v>
      </c>
    </row>
    <row r="95" spans="1:102" ht="21" customHeight="1" x14ac:dyDescent="0.25">
      <c r="A95" s="39"/>
      <c r="B95" s="55" t="s">
        <v>862</v>
      </c>
      <c r="C95" s="56"/>
      <c r="D95" s="41"/>
      <c r="E95" s="39"/>
      <c r="F95" s="39"/>
      <c r="G95" s="39"/>
      <c r="H95" s="39"/>
      <c r="I95" s="39"/>
      <c r="J95" s="39"/>
      <c r="K95" s="39"/>
      <c r="L95" s="39"/>
      <c r="M95" s="39"/>
      <c r="N95" s="39"/>
      <c r="O95" s="39"/>
      <c r="P95" s="39"/>
      <c r="Q95" s="39"/>
      <c r="R95" s="39"/>
      <c r="S95" s="39"/>
      <c r="CM95" s="102"/>
      <c r="CN95" s="112" t="s">
        <v>863</v>
      </c>
      <c r="CO95" s="112" t="s">
        <v>522</v>
      </c>
      <c r="CP95" s="112" t="s">
        <v>523</v>
      </c>
      <c r="CQ95" s="112" t="s">
        <v>864</v>
      </c>
      <c r="CR95" s="112" t="s">
        <v>864</v>
      </c>
      <c r="CS95" s="112" t="s">
        <v>525</v>
      </c>
      <c r="CT95" s="112" t="s">
        <v>526</v>
      </c>
      <c r="CU95" s="112" t="s">
        <v>527</v>
      </c>
      <c r="CV95" s="113" t="s">
        <v>528</v>
      </c>
      <c r="CX95" s="36">
        <v>1</v>
      </c>
    </row>
    <row r="96" spans="1:102" ht="21" customHeight="1" x14ac:dyDescent="0.25">
      <c r="A96" s="39"/>
      <c r="B96" s="57" t="s">
        <v>865</v>
      </c>
      <c r="C96" s="58" t="s">
        <v>866</v>
      </c>
      <c r="D96" s="41"/>
      <c r="E96" s="39"/>
      <c r="F96" s="39"/>
      <c r="G96" s="39"/>
      <c r="H96" s="39"/>
      <c r="I96" s="39"/>
      <c r="J96" s="39"/>
      <c r="K96" s="39"/>
      <c r="L96" s="39"/>
      <c r="M96" s="39"/>
      <c r="N96" s="39"/>
      <c r="O96" s="39"/>
      <c r="P96" s="39"/>
      <c r="Q96" s="39"/>
      <c r="R96" s="39"/>
      <c r="S96" s="39"/>
      <c r="CM96" s="102"/>
      <c r="CN96" s="112" t="s">
        <v>867</v>
      </c>
      <c r="CO96" s="112" t="s">
        <v>522</v>
      </c>
      <c r="CP96" s="112" t="s">
        <v>523</v>
      </c>
      <c r="CQ96" s="112" t="s">
        <v>868</v>
      </c>
      <c r="CR96" s="112" t="s">
        <v>868</v>
      </c>
      <c r="CS96" s="112" t="s">
        <v>525</v>
      </c>
      <c r="CT96" s="112" t="s">
        <v>526</v>
      </c>
      <c r="CU96" s="112" t="s">
        <v>527</v>
      </c>
      <c r="CV96" s="113" t="s">
        <v>528</v>
      </c>
      <c r="CX96" s="36">
        <v>1</v>
      </c>
    </row>
    <row r="97" spans="1:102" ht="21" customHeight="1" x14ac:dyDescent="0.25">
      <c r="A97" s="39"/>
      <c r="B97" s="57" t="s">
        <v>869</v>
      </c>
      <c r="C97" s="58" t="s">
        <v>870</v>
      </c>
      <c r="D97" s="41"/>
      <c r="E97" s="39"/>
      <c r="F97" s="39"/>
      <c r="G97" s="39"/>
      <c r="H97" s="39"/>
      <c r="I97" s="39"/>
      <c r="J97" s="39"/>
      <c r="K97" s="39"/>
      <c r="L97" s="39"/>
      <c r="M97" s="39"/>
      <c r="N97" s="39"/>
      <c r="O97" s="39"/>
      <c r="P97" s="39"/>
      <c r="Q97" s="39"/>
      <c r="R97" s="39"/>
      <c r="S97" s="39"/>
      <c r="CM97" s="102"/>
      <c r="CN97" s="112" t="s">
        <v>871</v>
      </c>
      <c r="CO97" s="112" t="s">
        <v>522</v>
      </c>
      <c r="CP97" s="112" t="s">
        <v>523</v>
      </c>
      <c r="CQ97" s="112" t="s">
        <v>872</v>
      </c>
      <c r="CR97" s="112" t="s">
        <v>872</v>
      </c>
      <c r="CS97" s="112" t="s">
        <v>610</v>
      </c>
      <c r="CT97" s="112" t="s">
        <v>611</v>
      </c>
      <c r="CU97" s="112" t="s">
        <v>527</v>
      </c>
      <c r="CV97" s="113" t="s">
        <v>612</v>
      </c>
      <c r="CX97" s="36">
        <v>1</v>
      </c>
    </row>
    <row r="98" spans="1:102" ht="21" customHeight="1" x14ac:dyDescent="0.25">
      <c r="A98" s="39"/>
      <c r="B98" s="57" t="s">
        <v>873</v>
      </c>
      <c r="C98" s="58" t="s">
        <v>874</v>
      </c>
      <c r="D98" s="41"/>
      <c r="E98" s="39"/>
      <c r="F98" s="39"/>
      <c r="G98" s="39"/>
      <c r="H98" s="39"/>
      <c r="I98" s="39"/>
      <c r="J98" s="39"/>
      <c r="K98" s="39"/>
      <c r="L98" s="39"/>
      <c r="M98" s="39"/>
      <c r="N98" s="39"/>
      <c r="O98" s="39"/>
      <c r="P98" s="39"/>
      <c r="Q98" s="39"/>
      <c r="R98" s="39"/>
      <c r="S98" s="39"/>
      <c r="CM98" s="102"/>
      <c r="CN98" s="112" t="s">
        <v>875</v>
      </c>
      <c r="CO98" s="112" t="s">
        <v>522</v>
      </c>
      <c r="CP98" s="112" t="s">
        <v>523</v>
      </c>
      <c r="CQ98" s="112" t="s">
        <v>876</v>
      </c>
      <c r="CR98" s="112" t="s">
        <v>877</v>
      </c>
      <c r="CS98" s="112" t="s">
        <v>525</v>
      </c>
      <c r="CT98" s="112" t="s">
        <v>526</v>
      </c>
      <c r="CU98" s="112" t="s">
        <v>527</v>
      </c>
      <c r="CV98" s="113" t="s">
        <v>528</v>
      </c>
      <c r="CX98" s="36">
        <v>1</v>
      </c>
    </row>
    <row r="99" spans="1:102" ht="21" customHeight="1" x14ac:dyDescent="0.25">
      <c r="A99" s="39"/>
      <c r="B99" s="57" t="s">
        <v>878</v>
      </c>
      <c r="C99" s="58" t="s">
        <v>879</v>
      </c>
      <c r="D99" s="41"/>
      <c r="E99" s="39"/>
      <c r="F99" s="39"/>
      <c r="G99" s="39"/>
      <c r="H99" s="39"/>
      <c r="I99" s="39"/>
      <c r="J99" s="39"/>
      <c r="K99" s="39"/>
      <c r="L99" s="39"/>
      <c r="M99" s="39"/>
      <c r="N99" s="39"/>
      <c r="O99" s="39"/>
      <c r="P99" s="39"/>
      <c r="Q99" s="39"/>
      <c r="R99" s="39"/>
      <c r="S99" s="39"/>
      <c r="CM99" s="102"/>
      <c r="CN99" s="112" t="s">
        <v>880</v>
      </c>
      <c r="CO99" s="112" t="s">
        <v>522</v>
      </c>
      <c r="CP99" s="112" t="s">
        <v>523</v>
      </c>
      <c r="CQ99" s="112" t="s">
        <v>881</v>
      </c>
      <c r="CR99" s="112" t="s">
        <v>882</v>
      </c>
      <c r="CS99" s="112" t="s">
        <v>525</v>
      </c>
      <c r="CT99" s="112" t="s">
        <v>526</v>
      </c>
      <c r="CU99" s="112" t="s">
        <v>527</v>
      </c>
      <c r="CV99" s="113" t="s">
        <v>528</v>
      </c>
      <c r="CX99" s="36">
        <v>1</v>
      </c>
    </row>
    <row r="100" spans="1:102" ht="21" customHeight="1" x14ac:dyDescent="0.25">
      <c r="A100" s="39"/>
      <c r="B100" s="57" t="s">
        <v>883</v>
      </c>
      <c r="C100" s="58" t="s">
        <v>884</v>
      </c>
      <c r="D100" s="41"/>
      <c r="E100" s="39"/>
      <c r="F100" s="39"/>
      <c r="G100" s="39"/>
      <c r="H100" s="39"/>
      <c r="I100" s="39"/>
      <c r="J100" s="39"/>
      <c r="K100" s="39"/>
      <c r="L100" s="39"/>
      <c r="M100" s="39"/>
      <c r="N100" s="39"/>
      <c r="O100" s="39"/>
      <c r="P100" s="39"/>
      <c r="Q100" s="39"/>
      <c r="R100" s="39"/>
      <c r="S100" s="39"/>
      <c r="CM100" s="102"/>
      <c r="CN100" s="112" t="s">
        <v>885</v>
      </c>
      <c r="CO100" s="112" t="s">
        <v>522</v>
      </c>
      <c r="CP100" s="112" t="s">
        <v>523</v>
      </c>
      <c r="CQ100" s="112" t="s">
        <v>886</v>
      </c>
      <c r="CR100" s="112" t="s">
        <v>887</v>
      </c>
      <c r="CS100" s="112" t="s">
        <v>525</v>
      </c>
      <c r="CT100" s="112" t="s">
        <v>526</v>
      </c>
      <c r="CU100" s="112" t="s">
        <v>527</v>
      </c>
      <c r="CV100" s="113" t="s">
        <v>528</v>
      </c>
      <c r="CX100" s="36">
        <v>1</v>
      </c>
    </row>
    <row r="101" spans="1:102" ht="21" customHeight="1" x14ac:dyDescent="0.25">
      <c r="A101" s="39"/>
      <c r="B101" s="57" t="s">
        <v>888</v>
      </c>
      <c r="C101" s="58" t="s">
        <v>889</v>
      </c>
      <c r="D101" s="41"/>
      <c r="E101" s="39"/>
      <c r="F101" s="39"/>
      <c r="G101" s="39"/>
      <c r="H101" s="39"/>
      <c r="I101" s="39"/>
      <c r="J101" s="39"/>
      <c r="K101" s="39"/>
      <c r="L101" s="39"/>
      <c r="M101" s="39"/>
      <c r="N101" s="39"/>
      <c r="O101" s="39"/>
      <c r="P101" s="39"/>
      <c r="Q101" s="39"/>
      <c r="R101" s="39"/>
      <c r="S101" s="39"/>
      <c r="CM101" s="102"/>
      <c r="CN101" s="112" t="s">
        <v>890</v>
      </c>
      <c r="CO101" s="112" t="s">
        <v>522</v>
      </c>
      <c r="CP101" s="112" t="s">
        <v>523</v>
      </c>
      <c r="CQ101" s="112" t="s">
        <v>891</v>
      </c>
      <c r="CR101" s="112" t="s">
        <v>892</v>
      </c>
      <c r="CS101" s="112" t="s">
        <v>525</v>
      </c>
      <c r="CT101" s="112" t="s">
        <v>526</v>
      </c>
      <c r="CU101" s="112" t="s">
        <v>527</v>
      </c>
      <c r="CV101" s="113" t="s">
        <v>528</v>
      </c>
      <c r="CX101" s="36">
        <v>1</v>
      </c>
    </row>
    <row r="102" spans="1:102" ht="21" customHeight="1" x14ac:dyDescent="0.25">
      <c r="A102" s="39"/>
      <c r="B102" s="59"/>
      <c r="C102" s="60"/>
      <c r="D102" s="41"/>
      <c r="E102" s="39"/>
      <c r="F102" s="39"/>
      <c r="G102" s="39"/>
      <c r="H102" s="39"/>
      <c r="I102" s="39"/>
      <c r="J102" s="39"/>
      <c r="K102" s="39"/>
      <c r="L102" s="39"/>
      <c r="M102" s="39"/>
      <c r="N102" s="39"/>
      <c r="O102" s="39"/>
      <c r="P102" s="39"/>
      <c r="Q102" s="39"/>
      <c r="R102" s="39"/>
      <c r="S102" s="39"/>
      <c r="CM102" s="102"/>
      <c r="CN102" s="112" t="s">
        <v>893</v>
      </c>
      <c r="CO102" s="112" t="s">
        <v>522</v>
      </c>
      <c r="CP102" s="112" t="s">
        <v>523</v>
      </c>
      <c r="CQ102" s="112" t="s">
        <v>894</v>
      </c>
      <c r="CR102" s="112" t="s">
        <v>895</v>
      </c>
      <c r="CS102" s="112" t="s">
        <v>525</v>
      </c>
      <c r="CT102" s="112" t="s">
        <v>526</v>
      </c>
      <c r="CU102" s="112" t="s">
        <v>527</v>
      </c>
      <c r="CV102" s="113" t="s">
        <v>528</v>
      </c>
      <c r="CX102" s="36">
        <v>1</v>
      </c>
    </row>
    <row r="103" spans="1:102" ht="21" customHeight="1" x14ac:dyDescent="0.25">
      <c r="A103" s="39"/>
      <c r="B103" s="61" t="s">
        <v>896</v>
      </c>
      <c r="C103" s="56"/>
      <c r="D103" s="41"/>
      <c r="E103" s="39"/>
      <c r="F103" s="39"/>
      <c r="G103" s="39"/>
      <c r="H103" s="39"/>
      <c r="I103" s="39"/>
      <c r="J103" s="39"/>
      <c r="K103" s="39"/>
      <c r="L103" s="39"/>
      <c r="M103" s="39"/>
      <c r="N103" s="39"/>
      <c r="O103" s="39"/>
      <c r="P103" s="39"/>
      <c r="Q103" s="39"/>
      <c r="R103" s="39"/>
      <c r="S103" s="39"/>
      <c r="CM103" s="102"/>
      <c r="CN103" s="112" t="s">
        <v>897</v>
      </c>
      <c r="CO103" s="112" t="s">
        <v>522</v>
      </c>
      <c r="CP103" s="112" t="s">
        <v>523</v>
      </c>
      <c r="CQ103" s="112" t="s">
        <v>898</v>
      </c>
      <c r="CR103" s="112" t="s">
        <v>899</v>
      </c>
      <c r="CS103" s="112" t="s">
        <v>525</v>
      </c>
      <c r="CT103" s="112" t="s">
        <v>526</v>
      </c>
      <c r="CU103" s="112" t="s">
        <v>527</v>
      </c>
      <c r="CV103" s="113" t="s">
        <v>528</v>
      </c>
      <c r="CX103" s="36">
        <v>1</v>
      </c>
    </row>
    <row r="104" spans="1:102" ht="21" customHeight="1" x14ac:dyDescent="0.25">
      <c r="A104" s="39"/>
      <c r="B104" s="57" t="s">
        <v>900</v>
      </c>
      <c r="C104" s="58" t="s">
        <v>901</v>
      </c>
      <c r="D104" s="41"/>
      <c r="E104" s="39"/>
      <c r="F104" s="39"/>
      <c r="G104" s="39"/>
      <c r="H104" s="39"/>
      <c r="I104" s="39"/>
      <c r="J104" s="39"/>
      <c r="K104" s="39"/>
      <c r="L104" s="39"/>
      <c r="M104" s="39"/>
      <c r="N104" s="39"/>
      <c r="O104" s="39"/>
      <c r="P104" s="39"/>
      <c r="Q104" s="39"/>
      <c r="R104" s="39"/>
      <c r="S104" s="39"/>
      <c r="CM104" s="102"/>
      <c r="CN104" s="112" t="s">
        <v>902</v>
      </c>
      <c r="CO104" s="112" t="s">
        <v>522</v>
      </c>
      <c r="CP104" s="112" t="s">
        <v>523</v>
      </c>
      <c r="CQ104" s="112" t="s">
        <v>903</v>
      </c>
      <c r="CR104" s="112" t="s">
        <v>904</v>
      </c>
      <c r="CS104" s="112" t="s">
        <v>525</v>
      </c>
      <c r="CT104" s="112" t="s">
        <v>526</v>
      </c>
      <c r="CU104" s="112" t="s">
        <v>527</v>
      </c>
      <c r="CV104" s="113" t="s">
        <v>528</v>
      </c>
      <c r="CX104" s="36">
        <v>1</v>
      </c>
    </row>
    <row r="105" spans="1:102" ht="21" customHeight="1" x14ac:dyDescent="0.25">
      <c r="A105" s="39"/>
      <c r="B105" s="57" t="s">
        <v>905</v>
      </c>
      <c r="C105" s="58" t="s">
        <v>906</v>
      </c>
      <c r="D105" s="41"/>
      <c r="E105" s="39"/>
      <c r="F105" s="39"/>
      <c r="G105" s="39"/>
      <c r="H105" s="39"/>
      <c r="I105" s="39"/>
      <c r="J105" s="39"/>
      <c r="K105" s="39"/>
      <c r="L105" s="39"/>
      <c r="M105" s="39"/>
      <c r="N105" s="39"/>
      <c r="O105" s="39"/>
      <c r="P105" s="39"/>
      <c r="Q105" s="39"/>
      <c r="R105" s="39"/>
      <c r="S105" s="39"/>
      <c r="CM105" s="102"/>
      <c r="CN105" s="112" t="s">
        <v>907</v>
      </c>
      <c r="CO105" s="112" t="s">
        <v>522</v>
      </c>
      <c r="CP105" s="112" t="s">
        <v>523</v>
      </c>
      <c r="CQ105" s="112" t="s">
        <v>908</v>
      </c>
      <c r="CR105" s="112" t="s">
        <v>909</v>
      </c>
      <c r="CS105" s="112" t="s">
        <v>525</v>
      </c>
      <c r="CT105" s="112" t="s">
        <v>526</v>
      </c>
      <c r="CU105" s="112" t="s">
        <v>527</v>
      </c>
      <c r="CV105" s="113" t="s">
        <v>528</v>
      </c>
      <c r="CX105" s="36">
        <v>1</v>
      </c>
    </row>
    <row r="106" spans="1:102" ht="21" customHeight="1" x14ac:dyDescent="0.25">
      <c r="A106" s="62"/>
      <c r="B106" s="57" t="s">
        <v>544</v>
      </c>
      <c r="C106" s="63" t="s">
        <v>910</v>
      </c>
      <c r="D106" s="62"/>
      <c r="E106" s="62"/>
      <c r="F106" s="62"/>
      <c r="G106" s="62"/>
      <c r="H106" s="62"/>
      <c r="I106" s="62"/>
      <c r="J106" s="62"/>
      <c r="K106" s="62"/>
      <c r="L106" s="62"/>
      <c r="M106" s="62"/>
      <c r="N106" s="62"/>
      <c r="O106" s="62"/>
      <c r="P106" s="62"/>
      <c r="Q106" s="62"/>
      <c r="R106" s="62"/>
      <c r="S106" s="62"/>
      <c r="CM106" s="102"/>
      <c r="CN106" s="112" t="s">
        <v>911</v>
      </c>
      <c r="CO106" s="112" t="s">
        <v>522</v>
      </c>
      <c r="CP106" s="112" t="s">
        <v>523</v>
      </c>
      <c r="CQ106" s="112" t="s">
        <v>912</v>
      </c>
      <c r="CR106" s="112" t="s">
        <v>913</v>
      </c>
      <c r="CS106" s="112" t="s">
        <v>525</v>
      </c>
      <c r="CT106" s="112" t="s">
        <v>526</v>
      </c>
      <c r="CU106" s="112" t="s">
        <v>527</v>
      </c>
      <c r="CV106" s="113" t="s">
        <v>528</v>
      </c>
      <c r="CX106" s="36">
        <v>1</v>
      </c>
    </row>
    <row r="107" spans="1:102" ht="21" customHeight="1" x14ac:dyDescent="0.25">
      <c r="A107" s="62"/>
      <c r="B107" s="57" t="s">
        <v>914</v>
      </c>
      <c r="C107" s="63" t="s">
        <v>915</v>
      </c>
      <c r="D107" s="62"/>
      <c r="E107" s="62"/>
      <c r="F107" s="62"/>
      <c r="G107" s="62"/>
      <c r="H107" s="62"/>
      <c r="I107" s="62"/>
      <c r="J107" s="62"/>
      <c r="K107" s="62"/>
      <c r="L107" s="62"/>
      <c r="M107" s="62"/>
      <c r="N107" s="62"/>
      <c r="O107" s="62"/>
      <c r="P107" s="62"/>
      <c r="Q107" s="62"/>
      <c r="R107" s="62"/>
      <c r="S107" s="62"/>
      <c r="CM107" s="102"/>
      <c r="CN107" s="112" t="s">
        <v>916</v>
      </c>
      <c r="CO107" s="112" t="s">
        <v>522</v>
      </c>
      <c r="CP107" s="112" t="s">
        <v>523</v>
      </c>
      <c r="CQ107" s="112" t="s">
        <v>917</v>
      </c>
      <c r="CR107" s="112" t="s">
        <v>918</v>
      </c>
      <c r="CS107" s="112" t="s">
        <v>525</v>
      </c>
      <c r="CT107" s="112" t="s">
        <v>526</v>
      </c>
      <c r="CU107" s="112" t="s">
        <v>527</v>
      </c>
      <c r="CV107" s="113" t="s">
        <v>528</v>
      </c>
      <c r="CX107" s="36">
        <v>1</v>
      </c>
    </row>
    <row r="108" spans="1:102" ht="21" customHeight="1" x14ac:dyDescent="0.25">
      <c r="A108" s="62"/>
      <c r="B108" s="57" t="s">
        <v>919</v>
      </c>
      <c r="C108" s="63" t="s">
        <v>920</v>
      </c>
      <c r="D108" s="62"/>
      <c r="E108" s="62"/>
      <c r="F108" s="62"/>
      <c r="G108" s="62"/>
      <c r="H108" s="62"/>
      <c r="I108" s="62"/>
      <c r="J108" s="62"/>
      <c r="K108" s="62"/>
      <c r="L108" s="62"/>
      <c r="M108" s="62"/>
      <c r="N108" s="62"/>
      <c r="O108" s="62"/>
      <c r="P108" s="62"/>
      <c r="Q108" s="62"/>
      <c r="R108" s="62"/>
      <c r="S108" s="62"/>
      <c r="CM108" s="102"/>
      <c r="CN108" s="112" t="s">
        <v>921</v>
      </c>
      <c r="CO108" s="112" t="s">
        <v>522</v>
      </c>
      <c r="CP108" s="112" t="s">
        <v>523</v>
      </c>
      <c r="CQ108" s="112" t="s">
        <v>922</v>
      </c>
      <c r="CR108" s="112" t="s">
        <v>922</v>
      </c>
      <c r="CS108" s="112" t="s">
        <v>525</v>
      </c>
      <c r="CT108" s="112" t="s">
        <v>526</v>
      </c>
      <c r="CU108" s="112" t="s">
        <v>527</v>
      </c>
      <c r="CV108" s="113" t="s">
        <v>528</v>
      </c>
      <c r="CX108" s="36">
        <v>1</v>
      </c>
    </row>
    <row r="109" spans="1:102" ht="21" customHeight="1" x14ac:dyDescent="0.25">
      <c r="A109" s="62"/>
      <c r="B109" s="57" t="s">
        <v>549</v>
      </c>
      <c r="C109" s="63" t="s">
        <v>923</v>
      </c>
      <c r="D109" s="62"/>
      <c r="E109" s="62"/>
      <c r="F109" s="62"/>
      <c r="G109" s="62"/>
      <c r="H109" s="62"/>
      <c r="I109" s="62"/>
      <c r="J109" s="62"/>
      <c r="K109" s="62"/>
      <c r="L109" s="62"/>
      <c r="M109" s="62"/>
      <c r="N109" s="62"/>
      <c r="O109" s="62"/>
      <c r="P109" s="62"/>
      <c r="Q109" s="62"/>
      <c r="R109" s="62"/>
      <c r="S109" s="62"/>
      <c r="CM109" s="102"/>
      <c r="CN109" s="112" t="s">
        <v>924</v>
      </c>
      <c r="CO109" s="112" t="s">
        <v>522</v>
      </c>
      <c r="CP109" s="112" t="s">
        <v>523</v>
      </c>
      <c r="CQ109" s="112" t="s">
        <v>925</v>
      </c>
      <c r="CR109" s="112" t="s">
        <v>925</v>
      </c>
      <c r="CS109" s="112" t="s">
        <v>525</v>
      </c>
      <c r="CT109" s="112" t="s">
        <v>526</v>
      </c>
      <c r="CU109" s="112" t="s">
        <v>527</v>
      </c>
      <c r="CV109" s="113" t="s">
        <v>528</v>
      </c>
      <c r="CX109" s="36">
        <v>1</v>
      </c>
    </row>
    <row r="110" spans="1:102" ht="21" customHeight="1" x14ac:dyDescent="0.25">
      <c r="A110" s="62"/>
      <c r="B110" s="57" t="s">
        <v>926</v>
      </c>
      <c r="C110" s="63" t="s">
        <v>5899</v>
      </c>
      <c r="D110" s="62"/>
      <c r="E110" s="62"/>
      <c r="F110" s="62"/>
      <c r="G110" s="62"/>
      <c r="H110" s="62"/>
      <c r="I110" s="62"/>
      <c r="J110" s="62"/>
      <c r="K110" s="62"/>
      <c r="L110" s="62"/>
      <c r="M110" s="62"/>
      <c r="N110" s="62"/>
      <c r="O110" s="62"/>
      <c r="P110" s="62"/>
      <c r="Q110" s="62"/>
      <c r="R110" s="62"/>
      <c r="S110" s="62"/>
      <c r="CM110" s="102"/>
      <c r="CN110" s="112" t="s">
        <v>927</v>
      </c>
      <c r="CO110" s="112" t="s">
        <v>522</v>
      </c>
      <c r="CP110" s="112" t="s">
        <v>523</v>
      </c>
      <c r="CQ110" s="112" t="s">
        <v>928</v>
      </c>
      <c r="CR110" s="112" t="s">
        <v>928</v>
      </c>
      <c r="CS110" s="112" t="s">
        <v>525</v>
      </c>
      <c r="CT110" s="112" t="s">
        <v>526</v>
      </c>
      <c r="CU110" s="112" t="s">
        <v>527</v>
      </c>
      <c r="CV110" s="113" t="s">
        <v>528</v>
      </c>
      <c r="CX110" s="36">
        <v>1</v>
      </c>
    </row>
    <row r="111" spans="1:102" ht="21" customHeight="1" x14ac:dyDescent="0.25">
      <c r="A111" s="62"/>
      <c r="B111" s="57"/>
      <c r="C111" s="63" t="s">
        <v>5900</v>
      </c>
      <c r="D111" s="62"/>
      <c r="E111" s="62"/>
      <c r="F111" s="62"/>
      <c r="G111" s="62"/>
      <c r="H111" s="62"/>
      <c r="I111" s="62"/>
      <c r="J111" s="62"/>
      <c r="K111" s="62"/>
      <c r="L111" s="62"/>
      <c r="M111" s="62"/>
      <c r="N111" s="62"/>
      <c r="O111" s="62"/>
      <c r="P111" s="62"/>
      <c r="Q111" s="62"/>
      <c r="R111" s="62"/>
      <c r="S111" s="62"/>
      <c r="CM111" s="102"/>
      <c r="CN111" s="112" t="s">
        <v>931</v>
      </c>
      <c r="CO111" s="112" t="s">
        <v>522</v>
      </c>
      <c r="CP111" s="112" t="s">
        <v>523</v>
      </c>
      <c r="CQ111" s="112" t="s">
        <v>932</v>
      </c>
      <c r="CR111" s="112" t="s">
        <v>932</v>
      </c>
      <c r="CS111" s="112" t="s">
        <v>525</v>
      </c>
      <c r="CT111" s="112" t="s">
        <v>526</v>
      </c>
      <c r="CU111" s="112" t="s">
        <v>527</v>
      </c>
      <c r="CV111" s="113" t="s">
        <v>528</v>
      </c>
      <c r="CX111" s="36">
        <v>1</v>
      </c>
    </row>
    <row r="112" spans="1:102" ht="21" customHeight="1" x14ac:dyDescent="0.25">
      <c r="A112" s="62"/>
      <c r="B112" s="57" t="s">
        <v>929</v>
      </c>
      <c r="C112" s="63" t="s">
        <v>930</v>
      </c>
      <c r="D112" s="62"/>
      <c r="E112" s="62"/>
      <c r="F112" s="62"/>
      <c r="G112" s="62"/>
      <c r="H112" s="62"/>
      <c r="I112" s="62"/>
      <c r="J112" s="62"/>
      <c r="K112" s="62"/>
      <c r="L112" s="62"/>
      <c r="M112" s="62"/>
      <c r="N112" s="62"/>
      <c r="O112" s="62"/>
      <c r="P112" s="62"/>
      <c r="Q112" s="62"/>
      <c r="R112" s="62"/>
      <c r="S112" s="62"/>
      <c r="CM112" s="102"/>
      <c r="CN112" s="112" t="s">
        <v>934</v>
      </c>
      <c r="CO112" s="112" t="s">
        <v>522</v>
      </c>
      <c r="CP112" s="112" t="s">
        <v>935</v>
      </c>
      <c r="CQ112" s="112" t="s">
        <v>936</v>
      </c>
      <c r="CR112" s="112" t="s">
        <v>936</v>
      </c>
      <c r="CS112" s="112" t="s">
        <v>610</v>
      </c>
      <c r="CT112" s="112" t="s">
        <v>937</v>
      </c>
      <c r="CU112" s="112" t="s">
        <v>527</v>
      </c>
      <c r="CV112" s="113" t="s">
        <v>612</v>
      </c>
      <c r="CX112" s="36">
        <v>1</v>
      </c>
    </row>
    <row r="113" spans="1:102" ht="21" customHeight="1" x14ac:dyDescent="0.25">
      <c r="A113" s="62"/>
      <c r="B113" s="57" t="s">
        <v>933</v>
      </c>
      <c r="C113" s="64"/>
      <c r="D113" s="62"/>
      <c r="E113" s="62"/>
      <c r="F113" s="62"/>
      <c r="G113" s="62"/>
      <c r="H113" s="62"/>
      <c r="I113" s="62"/>
      <c r="J113" s="62"/>
      <c r="K113" s="62"/>
      <c r="L113" s="62"/>
      <c r="M113" s="62"/>
      <c r="N113" s="62"/>
      <c r="O113" s="62"/>
      <c r="P113" s="62"/>
      <c r="Q113" s="62"/>
      <c r="R113" s="62"/>
      <c r="S113" s="62"/>
      <c r="CM113" s="102"/>
      <c r="CN113" s="112" t="s">
        <v>940</v>
      </c>
      <c r="CO113" s="112" t="s">
        <v>522</v>
      </c>
      <c r="CP113" s="112" t="s">
        <v>935</v>
      </c>
      <c r="CQ113" s="112" t="s">
        <v>941</v>
      </c>
      <c r="CR113" s="112" t="s">
        <v>941</v>
      </c>
      <c r="CS113" s="112" t="s">
        <v>525</v>
      </c>
      <c r="CT113" s="112" t="s">
        <v>942</v>
      </c>
      <c r="CU113" s="112" t="s">
        <v>527</v>
      </c>
      <c r="CV113" s="113" t="s">
        <v>528</v>
      </c>
      <c r="CX113" s="36">
        <v>1</v>
      </c>
    </row>
    <row r="114" spans="1:102" ht="21" customHeight="1" x14ac:dyDescent="0.25">
      <c r="A114" s="62"/>
      <c r="B114" s="65" t="s">
        <v>938</v>
      </c>
      <c r="C114" s="63" t="s">
        <v>939</v>
      </c>
      <c r="D114" s="62"/>
      <c r="E114" s="62"/>
      <c r="F114" s="62"/>
      <c r="G114" s="62"/>
      <c r="H114" s="62"/>
      <c r="I114" s="62"/>
      <c r="J114" s="62"/>
      <c r="K114" s="62"/>
      <c r="L114" s="62"/>
      <c r="M114" s="62"/>
      <c r="N114" s="62"/>
      <c r="O114" s="62"/>
      <c r="P114" s="62"/>
      <c r="Q114" s="62"/>
      <c r="R114" s="62"/>
      <c r="S114" s="62"/>
      <c r="CM114" s="102"/>
      <c r="CN114" s="112" t="s">
        <v>945</v>
      </c>
      <c r="CO114" s="112" t="s">
        <v>522</v>
      </c>
      <c r="CP114" s="112" t="s">
        <v>935</v>
      </c>
      <c r="CQ114" s="112" t="s">
        <v>946</v>
      </c>
      <c r="CR114" s="112" t="s">
        <v>946</v>
      </c>
      <c r="CS114" s="112" t="s">
        <v>525</v>
      </c>
      <c r="CT114" s="112" t="s">
        <v>942</v>
      </c>
      <c r="CU114" s="112" t="s">
        <v>527</v>
      </c>
      <c r="CV114" s="113" t="s">
        <v>528</v>
      </c>
      <c r="CX114" s="36">
        <v>1</v>
      </c>
    </row>
    <row r="115" spans="1:102" ht="21" customHeight="1" x14ac:dyDescent="0.25">
      <c r="A115" s="62"/>
      <c r="B115" s="57" t="s">
        <v>943</v>
      </c>
      <c r="C115" s="63" t="s">
        <v>944</v>
      </c>
      <c r="D115" s="62"/>
      <c r="E115" s="62"/>
      <c r="F115" s="62"/>
      <c r="G115" s="62"/>
      <c r="H115" s="62"/>
      <c r="I115" s="62"/>
      <c r="J115" s="62"/>
      <c r="K115" s="62"/>
      <c r="L115" s="62"/>
      <c r="M115" s="62"/>
      <c r="N115" s="62"/>
      <c r="O115" s="62"/>
      <c r="P115" s="62"/>
      <c r="Q115" s="62"/>
      <c r="R115" s="62"/>
      <c r="S115" s="62"/>
      <c r="CM115" s="102"/>
      <c r="CN115" s="112" t="s">
        <v>948</v>
      </c>
      <c r="CO115" s="112" t="s">
        <v>522</v>
      </c>
      <c r="CP115" s="112" t="s">
        <v>935</v>
      </c>
      <c r="CQ115" s="112" t="s">
        <v>949</v>
      </c>
      <c r="CR115" s="112" t="s">
        <v>950</v>
      </c>
      <c r="CS115" s="112" t="s">
        <v>525</v>
      </c>
      <c r="CT115" s="112" t="s">
        <v>942</v>
      </c>
      <c r="CU115" s="112" t="s">
        <v>527</v>
      </c>
      <c r="CV115" s="113" t="s">
        <v>528</v>
      </c>
      <c r="CX115" s="36">
        <v>1</v>
      </c>
    </row>
    <row r="116" spans="1:102" ht="21" customHeight="1" x14ac:dyDescent="0.25">
      <c r="A116" s="62"/>
      <c r="B116" s="57" t="s">
        <v>947</v>
      </c>
      <c r="C116" s="63" t="s">
        <v>796</v>
      </c>
      <c r="D116" s="62"/>
      <c r="E116" s="62"/>
      <c r="F116" s="62"/>
      <c r="G116" s="62"/>
      <c r="H116" s="62"/>
      <c r="I116" s="62"/>
      <c r="J116" s="62"/>
      <c r="K116" s="62"/>
      <c r="L116" s="62"/>
      <c r="M116" s="62"/>
      <c r="N116" s="62"/>
      <c r="O116" s="62"/>
      <c r="P116" s="62"/>
      <c r="Q116" s="62"/>
      <c r="R116" s="62"/>
      <c r="S116" s="62"/>
      <c r="CM116" s="102"/>
      <c r="CN116" s="112" t="s">
        <v>951</v>
      </c>
      <c r="CO116" s="112" t="s">
        <v>522</v>
      </c>
      <c r="CP116" s="112" t="s">
        <v>523</v>
      </c>
      <c r="CQ116" s="112" t="s">
        <v>952</v>
      </c>
      <c r="CR116" s="112" t="s">
        <v>952</v>
      </c>
      <c r="CS116" s="112" t="s">
        <v>525</v>
      </c>
      <c r="CT116" s="112" t="s">
        <v>526</v>
      </c>
      <c r="CU116" s="112" t="s">
        <v>527</v>
      </c>
      <c r="CV116" s="113" t="s">
        <v>528</v>
      </c>
      <c r="CX116" s="36">
        <v>1</v>
      </c>
    </row>
    <row r="117" spans="1:102" ht="21" customHeight="1" x14ac:dyDescent="0.25">
      <c r="A117" s="62"/>
      <c r="B117" s="66"/>
      <c r="C117" s="63"/>
      <c r="D117" s="62"/>
      <c r="E117" s="62"/>
      <c r="F117" s="62"/>
      <c r="G117" s="62"/>
      <c r="H117" s="62"/>
      <c r="I117" s="62"/>
      <c r="J117" s="62"/>
      <c r="K117" s="62"/>
      <c r="L117" s="62"/>
      <c r="M117" s="62"/>
      <c r="N117" s="62"/>
      <c r="O117" s="62"/>
      <c r="P117" s="62"/>
      <c r="Q117" s="62"/>
      <c r="R117" s="62"/>
      <c r="S117" s="62"/>
      <c r="CM117" s="102"/>
      <c r="CN117" s="112" t="s">
        <v>954</v>
      </c>
      <c r="CO117" s="112" t="s">
        <v>522</v>
      </c>
      <c r="CP117" s="112" t="s">
        <v>523</v>
      </c>
      <c r="CQ117" s="112" t="s">
        <v>955</v>
      </c>
      <c r="CR117" s="112" t="s">
        <v>955</v>
      </c>
      <c r="CS117" s="112" t="s">
        <v>525</v>
      </c>
      <c r="CT117" s="112" t="s">
        <v>526</v>
      </c>
      <c r="CU117" s="112" t="s">
        <v>527</v>
      </c>
      <c r="CV117" s="113" t="s">
        <v>528</v>
      </c>
      <c r="CX117" s="36">
        <v>1</v>
      </c>
    </row>
    <row r="118" spans="1:102" ht="21" customHeight="1" x14ac:dyDescent="0.25">
      <c r="A118" s="62"/>
      <c r="B118" s="67" t="s">
        <v>953</v>
      </c>
      <c r="C118" s="64"/>
      <c r="D118" s="62"/>
      <c r="E118" s="62"/>
      <c r="F118" s="62"/>
      <c r="G118" s="62"/>
      <c r="H118" s="62"/>
      <c r="I118" s="62"/>
      <c r="J118" s="62"/>
      <c r="K118" s="62"/>
      <c r="L118" s="62"/>
      <c r="M118" s="62"/>
      <c r="N118" s="62"/>
      <c r="O118" s="62"/>
      <c r="P118" s="62"/>
      <c r="Q118" s="62"/>
      <c r="R118" s="62"/>
      <c r="S118" s="62"/>
      <c r="CM118" s="102"/>
      <c r="CN118" s="112" t="s">
        <v>957</v>
      </c>
      <c r="CO118" s="112" t="s">
        <v>522</v>
      </c>
      <c r="CP118" s="112" t="s">
        <v>523</v>
      </c>
      <c r="CQ118" s="112" t="s">
        <v>958</v>
      </c>
      <c r="CR118" s="112" t="s">
        <v>958</v>
      </c>
      <c r="CS118" s="112" t="s">
        <v>525</v>
      </c>
      <c r="CT118" s="112" t="s">
        <v>526</v>
      </c>
      <c r="CU118" s="112" t="s">
        <v>527</v>
      </c>
      <c r="CV118" s="113" t="s">
        <v>528</v>
      </c>
      <c r="CX118" s="36">
        <v>1</v>
      </c>
    </row>
    <row r="119" spans="1:102" ht="21" customHeight="1" x14ac:dyDescent="0.25">
      <c r="A119" s="62"/>
      <c r="B119" s="57" t="s">
        <v>655</v>
      </c>
      <c r="C119" s="63" t="s">
        <v>956</v>
      </c>
      <c r="D119" s="62"/>
      <c r="E119" s="62"/>
      <c r="F119" s="62"/>
      <c r="G119" s="62"/>
      <c r="H119" s="62"/>
      <c r="I119" s="62"/>
      <c r="J119" s="62"/>
      <c r="K119" s="62"/>
      <c r="L119" s="62"/>
      <c r="M119" s="62"/>
      <c r="N119" s="62"/>
      <c r="O119" s="62"/>
      <c r="P119" s="62"/>
      <c r="Q119" s="62"/>
      <c r="R119" s="62"/>
      <c r="S119" s="62"/>
      <c r="CM119" s="102"/>
      <c r="CN119" s="112" t="s">
        <v>960</v>
      </c>
      <c r="CO119" s="112" t="s">
        <v>522</v>
      </c>
      <c r="CP119" s="112" t="s">
        <v>523</v>
      </c>
      <c r="CQ119" s="112" t="s">
        <v>961</v>
      </c>
      <c r="CR119" s="112" t="s">
        <v>962</v>
      </c>
      <c r="CS119" s="112" t="s">
        <v>525</v>
      </c>
      <c r="CT119" s="112" t="s">
        <v>526</v>
      </c>
      <c r="CU119" s="112" t="s">
        <v>527</v>
      </c>
      <c r="CV119" s="113" t="s">
        <v>528</v>
      </c>
      <c r="CX119" s="36">
        <v>1</v>
      </c>
    </row>
    <row r="120" spans="1:102" ht="21" customHeight="1" x14ac:dyDescent="0.25">
      <c r="A120" s="62"/>
      <c r="B120" s="57" t="s">
        <v>674</v>
      </c>
      <c r="C120" s="63" t="s">
        <v>959</v>
      </c>
      <c r="D120" s="62"/>
      <c r="E120" s="62"/>
      <c r="F120" s="62"/>
      <c r="G120" s="62"/>
      <c r="H120" s="62"/>
      <c r="I120" s="62"/>
      <c r="J120" s="62"/>
      <c r="K120" s="62"/>
      <c r="L120" s="62"/>
      <c r="M120" s="62"/>
      <c r="N120" s="62"/>
      <c r="O120" s="62"/>
      <c r="P120" s="62"/>
      <c r="Q120" s="62"/>
      <c r="R120" s="62"/>
      <c r="S120" s="62"/>
      <c r="CM120" s="102"/>
      <c r="CN120" s="112" t="s">
        <v>964</v>
      </c>
      <c r="CO120" s="112" t="s">
        <v>522</v>
      </c>
      <c r="CP120" s="112" t="s">
        <v>523</v>
      </c>
      <c r="CQ120" s="112" t="s">
        <v>965</v>
      </c>
      <c r="CR120" s="112" t="s">
        <v>966</v>
      </c>
      <c r="CS120" s="112" t="s">
        <v>525</v>
      </c>
      <c r="CT120" s="112" t="s">
        <v>526</v>
      </c>
      <c r="CU120" s="112" t="s">
        <v>527</v>
      </c>
      <c r="CV120" s="113" t="s">
        <v>528</v>
      </c>
      <c r="CX120" s="36">
        <v>1</v>
      </c>
    </row>
    <row r="121" spans="1:102" ht="21" customHeight="1" x14ac:dyDescent="0.25">
      <c r="A121" s="62"/>
      <c r="B121" s="57" t="s">
        <v>148</v>
      </c>
      <c r="C121" s="63" t="s">
        <v>963</v>
      </c>
      <c r="D121" s="62"/>
      <c r="E121" s="62"/>
      <c r="F121" s="62"/>
      <c r="G121" s="62"/>
      <c r="H121" s="62"/>
      <c r="I121" s="62"/>
      <c r="J121" s="62"/>
      <c r="K121" s="62"/>
      <c r="L121" s="62"/>
      <c r="M121" s="62"/>
      <c r="N121" s="62"/>
      <c r="O121" s="62"/>
      <c r="P121" s="62"/>
      <c r="Q121" s="62"/>
      <c r="R121" s="62"/>
      <c r="S121" s="62"/>
      <c r="CM121" s="102"/>
      <c r="CN121" s="112" t="s">
        <v>968</v>
      </c>
      <c r="CO121" s="112" t="s">
        <v>522</v>
      </c>
      <c r="CP121" s="112" t="s">
        <v>523</v>
      </c>
      <c r="CQ121" s="112" t="s">
        <v>969</v>
      </c>
      <c r="CR121" s="112" t="s">
        <v>969</v>
      </c>
      <c r="CS121" s="112" t="s">
        <v>525</v>
      </c>
      <c r="CT121" s="112" t="s">
        <v>526</v>
      </c>
      <c r="CU121" s="112" t="s">
        <v>527</v>
      </c>
      <c r="CV121" s="113" t="s">
        <v>528</v>
      </c>
      <c r="CX121" s="36">
        <v>1</v>
      </c>
    </row>
    <row r="122" spans="1:102" ht="21" customHeight="1" x14ac:dyDescent="0.25">
      <c r="A122" s="62"/>
      <c r="B122" s="65" t="s">
        <v>622</v>
      </c>
      <c r="C122" s="63" t="s">
        <v>967</v>
      </c>
      <c r="D122" s="62"/>
      <c r="E122" s="62"/>
      <c r="F122" s="62"/>
      <c r="G122" s="62"/>
      <c r="H122" s="62"/>
      <c r="I122" s="62"/>
      <c r="J122" s="62"/>
      <c r="K122" s="62"/>
      <c r="L122" s="62"/>
      <c r="M122" s="62"/>
      <c r="N122" s="62"/>
      <c r="O122" s="62"/>
      <c r="P122" s="62"/>
      <c r="Q122" s="62"/>
      <c r="R122" s="62"/>
      <c r="S122" s="62"/>
      <c r="CM122" s="102"/>
      <c r="CN122" s="112" t="s">
        <v>970</v>
      </c>
      <c r="CO122" s="112" t="s">
        <v>522</v>
      </c>
      <c r="CP122" s="112" t="s">
        <v>523</v>
      </c>
      <c r="CQ122" s="112" t="s">
        <v>971</v>
      </c>
      <c r="CR122" s="112" t="s">
        <v>971</v>
      </c>
      <c r="CS122" s="112" t="s">
        <v>525</v>
      </c>
      <c r="CT122" s="112" t="s">
        <v>526</v>
      </c>
      <c r="CU122" s="112" t="s">
        <v>527</v>
      </c>
      <c r="CV122" s="113" t="s">
        <v>528</v>
      </c>
      <c r="CX122" s="36">
        <v>1</v>
      </c>
    </row>
    <row r="123" spans="1:102" ht="21" customHeight="1" x14ac:dyDescent="0.25">
      <c r="A123" s="62"/>
      <c r="B123" s="57" t="s">
        <v>643</v>
      </c>
      <c r="C123" s="63" t="s">
        <v>5901</v>
      </c>
      <c r="D123" s="62"/>
      <c r="E123" s="62"/>
      <c r="F123" s="62"/>
      <c r="G123" s="62"/>
      <c r="H123" s="62"/>
      <c r="I123" s="62"/>
      <c r="J123" s="62"/>
      <c r="K123" s="62"/>
      <c r="L123" s="62"/>
      <c r="M123" s="62"/>
      <c r="N123" s="62"/>
      <c r="O123" s="62"/>
      <c r="P123" s="62"/>
      <c r="Q123" s="62"/>
      <c r="R123" s="62"/>
      <c r="S123" s="62"/>
      <c r="CM123" s="102"/>
      <c r="CN123" s="112" t="s">
        <v>974</v>
      </c>
      <c r="CO123" s="112" t="s">
        <v>522</v>
      </c>
      <c r="CP123" s="112" t="s">
        <v>523</v>
      </c>
      <c r="CQ123" s="112" t="s">
        <v>975</v>
      </c>
      <c r="CR123" s="112" t="s">
        <v>975</v>
      </c>
      <c r="CS123" s="112" t="s">
        <v>525</v>
      </c>
      <c r="CT123" s="112" t="s">
        <v>526</v>
      </c>
      <c r="CU123" s="112" t="s">
        <v>527</v>
      </c>
      <c r="CV123" s="113" t="s">
        <v>528</v>
      </c>
      <c r="CX123" s="36">
        <v>1</v>
      </c>
    </row>
    <row r="124" spans="1:102" ht="21" customHeight="1" x14ac:dyDescent="0.25">
      <c r="A124" s="62"/>
      <c r="B124" s="57"/>
      <c r="C124" s="63" t="s">
        <v>5902</v>
      </c>
      <c r="D124" s="62"/>
      <c r="E124" s="62"/>
      <c r="F124" s="62"/>
      <c r="G124" s="62"/>
      <c r="H124" s="62"/>
      <c r="I124" s="62"/>
      <c r="J124" s="62"/>
      <c r="K124" s="62"/>
      <c r="L124" s="62"/>
      <c r="M124" s="62"/>
      <c r="N124" s="62"/>
      <c r="O124" s="62"/>
      <c r="P124" s="62"/>
      <c r="Q124" s="62"/>
      <c r="R124" s="62"/>
      <c r="S124" s="62"/>
      <c r="CM124" s="102"/>
      <c r="CN124" s="112" t="s">
        <v>976</v>
      </c>
      <c r="CO124" s="112" t="s">
        <v>522</v>
      </c>
      <c r="CP124" s="112" t="s">
        <v>523</v>
      </c>
      <c r="CQ124" s="112" t="s">
        <v>977</v>
      </c>
      <c r="CR124" s="112" t="s">
        <v>977</v>
      </c>
      <c r="CS124" s="112" t="s">
        <v>525</v>
      </c>
      <c r="CT124" s="112" t="s">
        <v>526</v>
      </c>
      <c r="CU124" s="112" t="s">
        <v>527</v>
      </c>
      <c r="CV124" s="113" t="s">
        <v>528</v>
      </c>
      <c r="CX124" s="36">
        <v>1</v>
      </c>
    </row>
    <row r="125" spans="1:102" ht="21" customHeight="1" x14ac:dyDescent="0.25">
      <c r="A125" s="62"/>
      <c r="B125" s="57" t="s">
        <v>972</v>
      </c>
      <c r="C125" s="63" t="s">
        <v>973</v>
      </c>
      <c r="D125" s="62"/>
      <c r="E125" s="62"/>
      <c r="F125" s="62"/>
      <c r="G125" s="62"/>
      <c r="H125" s="62"/>
      <c r="I125" s="62"/>
      <c r="J125" s="62"/>
      <c r="K125" s="62"/>
      <c r="L125" s="62"/>
      <c r="M125" s="62"/>
      <c r="N125" s="62"/>
      <c r="O125" s="62"/>
      <c r="P125" s="62"/>
      <c r="Q125" s="62"/>
      <c r="R125" s="62"/>
      <c r="S125" s="62"/>
      <c r="CM125" s="102"/>
      <c r="CN125" s="112" t="s">
        <v>978</v>
      </c>
      <c r="CO125" s="112" t="s">
        <v>522</v>
      </c>
      <c r="CP125" s="112" t="s">
        <v>523</v>
      </c>
      <c r="CQ125" s="112" t="s">
        <v>979</v>
      </c>
      <c r="CR125" s="112" t="s">
        <v>979</v>
      </c>
      <c r="CS125" s="112" t="s">
        <v>610</v>
      </c>
      <c r="CT125" s="112" t="s">
        <v>611</v>
      </c>
      <c r="CU125" s="112" t="s">
        <v>527</v>
      </c>
      <c r="CV125" s="113" t="s">
        <v>612</v>
      </c>
      <c r="CX125" s="36">
        <v>1</v>
      </c>
    </row>
    <row r="126" spans="1:102" ht="21" customHeight="1" x14ac:dyDescent="0.25">
      <c r="A126" s="62"/>
      <c r="B126" s="65" t="s">
        <v>648</v>
      </c>
      <c r="C126" s="63" t="s">
        <v>5903</v>
      </c>
      <c r="D126" s="62"/>
      <c r="E126" s="62"/>
      <c r="F126" s="62"/>
      <c r="G126" s="62"/>
      <c r="H126" s="62"/>
      <c r="I126" s="62"/>
      <c r="J126" s="62"/>
      <c r="K126" s="62"/>
      <c r="L126" s="62"/>
      <c r="M126" s="62"/>
      <c r="N126" s="62"/>
      <c r="O126" s="62"/>
      <c r="P126" s="62"/>
      <c r="Q126" s="62"/>
      <c r="R126" s="62"/>
      <c r="S126" s="62"/>
      <c r="CM126" s="102"/>
      <c r="CN126" s="112" t="s">
        <v>980</v>
      </c>
      <c r="CO126" s="112" t="s">
        <v>522</v>
      </c>
      <c r="CP126" s="112" t="s">
        <v>523</v>
      </c>
      <c r="CQ126" s="112" t="s">
        <v>981</v>
      </c>
      <c r="CR126" s="112" t="s">
        <v>981</v>
      </c>
      <c r="CS126" s="112" t="s">
        <v>525</v>
      </c>
      <c r="CT126" s="112" t="s">
        <v>526</v>
      </c>
      <c r="CU126" s="112" t="s">
        <v>527</v>
      </c>
      <c r="CV126" s="113" t="s">
        <v>528</v>
      </c>
      <c r="CX126" s="68"/>
    </row>
    <row r="127" spans="1:102" ht="21" customHeight="1" x14ac:dyDescent="0.25">
      <c r="A127" s="62"/>
      <c r="B127" s="66"/>
      <c r="C127" s="63" t="s">
        <v>5904</v>
      </c>
      <c r="D127" s="62"/>
      <c r="E127" s="62"/>
      <c r="F127" s="62"/>
      <c r="G127" s="62"/>
      <c r="H127" s="62"/>
      <c r="I127" s="62"/>
      <c r="J127" s="62"/>
      <c r="K127" s="62"/>
      <c r="L127" s="62"/>
      <c r="M127" s="62"/>
      <c r="N127" s="62"/>
      <c r="O127" s="62"/>
      <c r="P127" s="62"/>
      <c r="Q127" s="62"/>
      <c r="R127" s="62"/>
      <c r="S127" s="62"/>
      <c r="CM127" s="102"/>
      <c r="CN127" s="112" t="s">
        <v>983</v>
      </c>
      <c r="CO127" s="112" t="s">
        <v>522</v>
      </c>
      <c r="CP127" s="112" t="s">
        <v>523</v>
      </c>
      <c r="CQ127" s="112" t="s">
        <v>984</v>
      </c>
      <c r="CR127" s="112" t="s">
        <v>984</v>
      </c>
      <c r="CS127" s="112" t="s">
        <v>525</v>
      </c>
      <c r="CT127" s="112" t="s">
        <v>526</v>
      </c>
      <c r="CU127" s="112" t="s">
        <v>527</v>
      </c>
      <c r="CV127" s="113" t="s">
        <v>528</v>
      </c>
      <c r="CX127" s="68"/>
    </row>
    <row r="128" spans="1:102" ht="21" customHeight="1" x14ac:dyDescent="0.25">
      <c r="A128" s="62"/>
      <c r="B128" s="66"/>
      <c r="C128" s="63"/>
      <c r="D128" s="62"/>
      <c r="E128" s="62"/>
      <c r="F128" s="62"/>
      <c r="G128" s="62"/>
      <c r="H128" s="62"/>
      <c r="I128" s="62"/>
      <c r="J128" s="62"/>
      <c r="K128" s="62"/>
      <c r="L128" s="62"/>
      <c r="M128" s="62"/>
      <c r="N128" s="62"/>
      <c r="O128" s="62"/>
      <c r="P128" s="62"/>
      <c r="Q128" s="62"/>
      <c r="R128" s="62"/>
      <c r="S128" s="62"/>
      <c r="CM128" s="102"/>
      <c r="CN128" s="112" t="s">
        <v>986</v>
      </c>
      <c r="CO128" s="112" t="s">
        <v>522</v>
      </c>
      <c r="CP128" s="112" t="s">
        <v>523</v>
      </c>
      <c r="CQ128" s="112" t="s">
        <v>987</v>
      </c>
      <c r="CR128" s="112" t="s">
        <v>987</v>
      </c>
      <c r="CS128" s="112" t="s">
        <v>525</v>
      </c>
      <c r="CT128" s="112" t="s">
        <v>526</v>
      </c>
      <c r="CU128" s="112" t="s">
        <v>527</v>
      </c>
      <c r="CV128" s="113" t="s">
        <v>528</v>
      </c>
      <c r="CX128" s="68"/>
    </row>
    <row r="129" spans="1:102" ht="21" customHeight="1" x14ac:dyDescent="0.25">
      <c r="A129" s="63"/>
      <c r="B129" s="69" t="s">
        <v>5905</v>
      </c>
      <c r="C129" s="70"/>
      <c r="D129" s="63"/>
      <c r="E129" s="63"/>
      <c r="F129" s="63"/>
      <c r="G129" s="63"/>
      <c r="H129" s="63"/>
      <c r="I129" s="63"/>
      <c r="J129" s="63"/>
      <c r="K129" s="63"/>
      <c r="L129" s="63"/>
      <c r="M129" s="63"/>
      <c r="N129" s="63"/>
      <c r="O129" s="63"/>
      <c r="P129" s="63"/>
      <c r="Q129" s="63"/>
      <c r="R129" s="63"/>
      <c r="S129" s="63"/>
      <c r="CM129" s="102"/>
      <c r="CN129" s="112" t="s">
        <v>989</v>
      </c>
      <c r="CO129" s="112" t="s">
        <v>522</v>
      </c>
      <c r="CP129" s="112" t="s">
        <v>523</v>
      </c>
      <c r="CQ129" s="112" t="s">
        <v>990</v>
      </c>
      <c r="CR129" s="112" t="s">
        <v>991</v>
      </c>
      <c r="CS129" s="112" t="s">
        <v>525</v>
      </c>
      <c r="CT129" s="112" t="s">
        <v>526</v>
      </c>
      <c r="CU129" s="112" t="s">
        <v>527</v>
      </c>
      <c r="CV129" s="113" t="s">
        <v>528</v>
      </c>
      <c r="CX129" s="68"/>
    </row>
    <row r="130" spans="1:102" ht="21" customHeight="1" x14ac:dyDescent="0.25">
      <c r="A130" s="63"/>
      <c r="B130" s="71" t="s">
        <v>5906</v>
      </c>
      <c r="C130" s="72" t="s">
        <v>5907</v>
      </c>
      <c r="D130" s="63"/>
      <c r="E130" s="63"/>
      <c r="F130" s="63"/>
      <c r="G130" s="63"/>
      <c r="H130" s="63"/>
      <c r="I130" s="63"/>
      <c r="J130" s="63"/>
      <c r="K130" s="63"/>
      <c r="L130" s="63"/>
      <c r="M130" s="63"/>
      <c r="N130" s="63"/>
      <c r="O130" s="63"/>
      <c r="P130" s="63"/>
      <c r="Q130" s="63"/>
      <c r="R130" s="63"/>
      <c r="S130" s="63"/>
      <c r="CM130" s="102"/>
      <c r="CN130" s="112" t="s">
        <v>993</v>
      </c>
      <c r="CO130" s="112" t="s">
        <v>522</v>
      </c>
      <c r="CP130" s="112" t="s">
        <v>523</v>
      </c>
      <c r="CQ130" s="112" t="s">
        <v>994</v>
      </c>
      <c r="CR130" s="112" t="s">
        <v>994</v>
      </c>
      <c r="CS130" s="112" t="s">
        <v>525</v>
      </c>
      <c r="CT130" s="112" t="s">
        <v>526</v>
      </c>
      <c r="CU130" s="112" t="s">
        <v>527</v>
      </c>
      <c r="CV130" s="113" t="s">
        <v>528</v>
      </c>
      <c r="CX130" s="68"/>
    </row>
    <row r="131" spans="1:102" ht="21" customHeight="1" x14ac:dyDescent="0.25">
      <c r="A131" s="63"/>
      <c r="B131" s="71" t="s">
        <v>5908</v>
      </c>
      <c r="C131" s="72" t="s">
        <v>5909</v>
      </c>
      <c r="D131" s="63"/>
      <c r="E131" s="63"/>
      <c r="F131" s="63"/>
      <c r="G131" s="63"/>
      <c r="H131" s="63"/>
      <c r="I131" s="63"/>
      <c r="J131" s="63"/>
      <c r="K131" s="63"/>
      <c r="L131" s="63"/>
      <c r="M131" s="63"/>
      <c r="N131" s="63"/>
      <c r="O131" s="63"/>
      <c r="P131" s="63"/>
      <c r="Q131" s="63"/>
      <c r="R131" s="63"/>
      <c r="S131" s="63"/>
      <c r="CM131" s="102"/>
      <c r="CN131" s="112" t="s">
        <v>996</v>
      </c>
      <c r="CO131" s="112" t="s">
        <v>522</v>
      </c>
      <c r="CP131" s="112" t="s">
        <v>523</v>
      </c>
      <c r="CQ131" s="112" t="s">
        <v>997</v>
      </c>
      <c r="CR131" s="112" t="s">
        <v>997</v>
      </c>
      <c r="CS131" s="112" t="s">
        <v>525</v>
      </c>
      <c r="CT131" s="112" t="s">
        <v>526</v>
      </c>
      <c r="CU131" s="112" t="s">
        <v>527</v>
      </c>
      <c r="CV131" s="113" t="s">
        <v>528</v>
      </c>
      <c r="CX131" s="68"/>
    </row>
    <row r="132" spans="1:102" ht="21" customHeight="1" x14ac:dyDescent="0.25">
      <c r="A132" s="63"/>
      <c r="B132" s="71"/>
      <c r="C132" s="72" t="s">
        <v>5910</v>
      </c>
      <c r="D132" s="63"/>
      <c r="E132" s="63"/>
      <c r="F132" s="63"/>
      <c r="G132" s="63"/>
      <c r="H132" s="63"/>
      <c r="I132" s="63"/>
      <c r="J132" s="63"/>
      <c r="K132" s="63"/>
      <c r="L132" s="63"/>
      <c r="M132" s="63"/>
      <c r="N132" s="63"/>
      <c r="O132" s="63"/>
      <c r="P132" s="63"/>
      <c r="Q132" s="63"/>
      <c r="R132" s="63"/>
      <c r="S132" s="63"/>
      <c r="CM132" s="102"/>
      <c r="CN132" s="112" t="s">
        <v>999</v>
      </c>
      <c r="CO132" s="112" t="s">
        <v>522</v>
      </c>
      <c r="CP132" s="112" t="s">
        <v>523</v>
      </c>
      <c r="CQ132" s="112" t="s">
        <v>1000</v>
      </c>
      <c r="CR132" s="112" t="s">
        <v>1000</v>
      </c>
      <c r="CS132" s="112" t="s">
        <v>525</v>
      </c>
      <c r="CT132" s="112" t="s">
        <v>526</v>
      </c>
      <c r="CU132" s="112" t="s">
        <v>527</v>
      </c>
      <c r="CV132" s="113" t="s">
        <v>528</v>
      </c>
      <c r="CX132" s="68"/>
    </row>
    <row r="133" spans="1:102" ht="21" customHeight="1" x14ac:dyDescent="0.25">
      <c r="A133" s="63"/>
      <c r="B133" s="71" t="s">
        <v>5911</v>
      </c>
      <c r="C133" s="72" t="s">
        <v>5912</v>
      </c>
      <c r="D133" s="63"/>
      <c r="E133" s="63"/>
      <c r="F133" s="63"/>
      <c r="G133" s="63"/>
      <c r="H133" s="63"/>
      <c r="I133" s="63"/>
      <c r="J133" s="63"/>
      <c r="K133" s="63"/>
      <c r="L133" s="63"/>
      <c r="M133" s="63"/>
      <c r="N133" s="63"/>
      <c r="O133" s="63"/>
      <c r="P133" s="63"/>
      <c r="Q133" s="63"/>
      <c r="R133" s="63"/>
      <c r="S133" s="63"/>
      <c r="CM133" s="102"/>
      <c r="CN133" s="112" t="s">
        <v>1002</v>
      </c>
      <c r="CO133" s="112" t="s">
        <v>522</v>
      </c>
      <c r="CP133" s="112" t="s">
        <v>523</v>
      </c>
      <c r="CQ133" s="112" t="s">
        <v>1003</v>
      </c>
      <c r="CR133" s="112" t="s">
        <v>1004</v>
      </c>
      <c r="CS133" s="112" t="s">
        <v>525</v>
      </c>
      <c r="CT133" s="112" t="s">
        <v>526</v>
      </c>
      <c r="CU133" s="112" t="s">
        <v>527</v>
      </c>
      <c r="CV133" s="113" t="s">
        <v>528</v>
      </c>
      <c r="CX133" s="68"/>
    </row>
    <row r="134" spans="1:102" ht="21" customHeight="1" x14ac:dyDescent="0.25">
      <c r="A134" s="63"/>
      <c r="B134" s="71"/>
      <c r="C134" s="72" t="s">
        <v>5913</v>
      </c>
      <c r="D134" s="63"/>
      <c r="E134" s="63"/>
      <c r="F134" s="63"/>
      <c r="G134" s="63"/>
      <c r="H134" s="63"/>
      <c r="I134" s="63"/>
      <c r="J134" s="63"/>
      <c r="K134" s="63"/>
      <c r="L134" s="63"/>
      <c r="M134" s="63"/>
      <c r="N134" s="63"/>
      <c r="O134" s="63"/>
      <c r="P134" s="63"/>
      <c r="Q134" s="63"/>
      <c r="R134" s="63"/>
      <c r="S134" s="63"/>
      <c r="CM134" s="102"/>
      <c r="CN134" s="112" t="s">
        <v>1005</v>
      </c>
      <c r="CO134" s="112" t="s">
        <v>522</v>
      </c>
      <c r="CP134" s="112" t="s">
        <v>523</v>
      </c>
      <c r="CQ134" s="112" t="s">
        <v>1006</v>
      </c>
      <c r="CR134" s="112" t="s">
        <v>1006</v>
      </c>
      <c r="CS134" s="112" t="s">
        <v>525</v>
      </c>
      <c r="CT134" s="112" t="s">
        <v>526</v>
      </c>
      <c r="CU134" s="112" t="s">
        <v>527</v>
      </c>
      <c r="CV134" s="113" t="s">
        <v>528</v>
      </c>
      <c r="CX134" s="68"/>
    </row>
    <row r="135" spans="1:102" ht="21" customHeight="1" x14ac:dyDescent="0.25">
      <c r="A135" s="63"/>
      <c r="B135" s="73"/>
      <c r="C135" s="73"/>
      <c r="D135" s="63"/>
      <c r="E135" s="63"/>
      <c r="F135" s="63"/>
      <c r="G135" s="63"/>
      <c r="H135" s="63"/>
      <c r="I135" s="63"/>
      <c r="J135" s="63"/>
      <c r="K135" s="63"/>
      <c r="L135" s="63"/>
      <c r="M135" s="63"/>
      <c r="N135" s="63"/>
      <c r="O135" s="63"/>
      <c r="P135" s="63"/>
      <c r="Q135" s="63"/>
      <c r="R135" s="63"/>
      <c r="S135" s="63"/>
      <c r="CM135" s="102"/>
      <c r="CN135" s="112" t="s">
        <v>1007</v>
      </c>
      <c r="CO135" s="112" t="s">
        <v>522</v>
      </c>
      <c r="CP135" s="112" t="s">
        <v>523</v>
      </c>
      <c r="CQ135" s="112" t="s">
        <v>1008</v>
      </c>
      <c r="CR135" s="112" t="s">
        <v>1008</v>
      </c>
      <c r="CS135" s="112" t="s">
        <v>610</v>
      </c>
      <c r="CT135" s="112" t="s">
        <v>611</v>
      </c>
      <c r="CU135" s="112" t="s">
        <v>527</v>
      </c>
      <c r="CV135" s="113" t="s">
        <v>612</v>
      </c>
      <c r="CX135" s="68"/>
    </row>
    <row r="136" spans="1:102" ht="21" customHeight="1" x14ac:dyDescent="0.25">
      <c r="A136" s="63"/>
      <c r="B136" s="74" t="s">
        <v>5914</v>
      </c>
      <c r="C136" s="74" t="s">
        <v>5915</v>
      </c>
      <c r="D136" s="62"/>
      <c r="E136" s="62"/>
      <c r="F136" s="63"/>
      <c r="G136" s="63"/>
      <c r="H136" s="63"/>
      <c r="I136" s="62"/>
      <c r="J136" s="63"/>
      <c r="K136" s="63"/>
      <c r="L136" s="62"/>
      <c r="M136" s="63"/>
      <c r="N136" s="63"/>
      <c r="O136" s="63"/>
      <c r="P136" s="63"/>
      <c r="Q136" s="63"/>
      <c r="R136" s="63"/>
      <c r="S136" s="63"/>
      <c r="CM136" s="102"/>
      <c r="CN136" s="112" t="s">
        <v>1009</v>
      </c>
      <c r="CO136" s="112" t="s">
        <v>522</v>
      </c>
      <c r="CP136" s="112" t="s">
        <v>523</v>
      </c>
      <c r="CQ136" s="112" t="s">
        <v>1010</v>
      </c>
      <c r="CR136" s="112" t="s">
        <v>1010</v>
      </c>
      <c r="CS136" s="112" t="s">
        <v>525</v>
      </c>
      <c r="CT136" s="112" t="s">
        <v>526</v>
      </c>
      <c r="CU136" s="112" t="s">
        <v>527</v>
      </c>
      <c r="CV136" s="113" t="s">
        <v>528</v>
      </c>
      <c r="CX136" s="68"/>
    </row>
    <row r="137" spans="1:102" ht="21" customHeight="1" x14ac:dyDescent="0.25">
      <c r="A137" s="63"/>
      <c r="B137" s="75" t="s">
        <v>5916</v>
      </c>
      <c r="C137" s="72" t="s">
        <v>5917</v>
      </c>
      <c r="D137" s="62"/>
      <c r="E137" s="62"/>
      <c r="F137" s="63"/>
      <c r="G137" s="63"/>
      <c r="H137" s="63"/>
      <c r="I137" s="62"/>
      <c r="J137" s="63"/>
      <c r="K137" s="63"/>
      <c r="L137" s="62"/>
      <c r="M137" s="63"/>
      <c r="N137" s="63"/>
      <c r="O137" s="63"/>
      <c r="P137" s="63"/>
      <c r="Q137" s="63"/>
      <c r="R137" s="63"/>
      <c r="S137" s="63"/>
      <c r="CM137" s="102"/>
      <c r="CN137" s="112" t="s">
        <v>1012</v>
      </c>
      <c r="CO137" s="112" t="s">
        <v>522</v>
      </c>
      <c r="CP137" s="112" t="s">
        <v>523</v>
      </c>
      <c r="CQ137" s="112" t="s">
        <v>1013</v>
      </c>
      <c r="CR137" s="112" t="s">
        <v>1013</v>
      </c>
      <c r="CS137" s="112" t="s">
        <v>525</v>
      </c>
      <c r="CT137" s="112" t="s">
        <v>526</v>
      </c>
      <c r="CU137" s="112" t="s">
        <v>527</v>
      </c>
      <c r="CV137" s="113" t="s">
        <v>528</v>
      </c>
      <c r="CX137" s="68"/>
    </row>
    <row r="138" spans="1:102" ht="21" customHeight="1" x14ac:dyDescent="0.25">
      <c r="A138" s="63"/>
      <c r="B138" s="75" t="s">
        <v>5918</v>
      </c>
      <c r="C138" s="72" t="s">
        <v>5919</v>
      </c>
      <c r="D138" s="62"/>
      <c r="E138" s="62"/>
      <c r="F138" s="63"/>
      <c r="G138" s="63"/>
      <c r="H138" s="63"/>
      <c r="I138" s="62"/>
      <c r="J138" s="63"/>
      <c r="K138" s="63"/>
      <c r="L138" s="62"/>
      <c r="M138" s="63"/>
      <c r="N138" s="63"/>
      <c r="O138" s="63"/>
      <c r="P138" s="63"/>
      <c r="Q138" s="63"/>
      <c r="R138" s="63"/>
      <c r="S138" s="63"/>
      <c r="CM138" s="102"/>
      <c r="CN138" s="112" t="s">
        <v>1014</v>
      </c>
      <c r="CO138" s="112" t="s">
        <v>522</v>
      </c>
      <c r="CP138" s="112" t="s">
        <v>523</v>
      </c>
      <c r="CQ138" s="112" t="s">
        <v>1015</v>
      </c>
      <c r="CR138" s="112" t="s">
        <v>1016</v>
      </c>
      <c r="CS138" s="112" t="s">
        <v>525</v>
      </c>
      <c r="CT138" s="112" t="s">
        <v>526</v>
      </c>
      <c r="CU138" s="112" t="s">
        <v>527</v>
      </c>
      <c r="CV138" s="113" t="s">
        <v>528</v>
      </c>
      <c r="CX138" s="68"/>
    </row>
    <row r="139" spans="1:102" ht="21" customHeight="1" x14ac:dyDescent="0.25">
      <c r="A139" s="63"/>
      <c r="B139" s="75" t="s">
        <v>5920</v>
      </c>
      <c r="C139" s="72" t="s">
        <v>5921</v>
      </c>
      <c r="D139" s="62"/>
      <c r="E139" s="62"/>
      <c r="F139" s="63"/>
      <c r="G139" s="63"/>
      <c r="H139" s="63"/>
      <c r="I139" s="62"/>
      <c r="J139" s="63"/>
      <c r="K139" s="63"/>
      <c r="L139" s="62"/>
      <c r="M139" s="63"/>
      <c r="N139" s="63"/>
      <c r="O139" s="63"/>
      <c r="P139" s="63"/>
      <c r="Q139" s="63"/>
      <c r="R139" s="63"/>
      <c r="S139" s="63"/>
      <c r="CM139" s="102"/>
      <c r="CN139" s="112" t="s">
        <v>1017</v>
      </c>
      <c r="CO139" s="112" t="s">
        <v>522</v>
      </c>
      <c r="CP139" s="112" t="s">
        <v>523</v>
      </c>
      <c r="CQ139" s="112" t="s">
        <v>1018</v>
      </c>
      <c r="CR139" s="112" t="s">
        <v>1018</v>
      </c>
      <c r="CS139" s="112" t="s">
        <v>525</v>
      </c>
      <c r="CT139" s="112" t="s">
        <v>526</v>
      </c>
      <c r="CU139" s="112" t="s">
        <v>527</v>
      </c>
      <c r="CV139" s="113" t="s">
        <v>528</v>
      </c>
      <c r="CX139" s="68"/>
    </row>
    <row r="140" spans="1:102" ht="21" customHeight="1" x14ac:dyDescent="0.25">
      <c r="A140" s="63"/>
      <c r="B140" s="75" t="s">
        <v>5922</v>
      </c>
      <c r="C140" s="72" t="s">
        <v>5923</v>
      </c>
      <c r="D140" s="62"/>
      <c r="E140" s="62"/>
      <c r="F140" s="63"/>
      <c r="G140" s="63"/>
      <c r="H140" s="63"/>
      <c r="I140" s="62"/>
      <c r="J140" s="63"/>
      <c r="K140" s="63"/>
      <c r="L140" s="62"/>
      <c r="M140" s="63"/>
      <c r="N140" s="63"/>
      <c r="O140" s="63"/>
      <c r="P140" s="63"/>
      <c r="Q140" s="63"/>
      <c r="R140" s="63"/>
      <c r="S140" s="63"/>
      <c r="CM140" s="102"/>
      <c r="CN140" s="112" t="s">
        <v>1019</v>
      </c>
      <c r="CO140" s="112" t="s">
        <v>522</v>
      </c>
      <c r="CP140" s="112" t="s">
        <v>523</v>
      </c>
      <c r="CQ140" s="112" t="s">
        <v>1020</v>
      </c>
      <c r="CR140" s="112" t="s">
        <v>1020</v>
      </c>
      <c r="CS140" s="112" t="s">
        <v>525</v>
      </c>
      <c r="CT140" s="112" t="s">
        <v>526</v>
      </c>
      <c r="CU140" s="112" t="s">
        <v>527</v>
      </c>
      <c r="CV140" s="113" t="s">
        <v>528</v>
      </c>
      <c r="CX140" s="68"/>
    </row>
    <row r="141" spans="1:102" ht="21" customHeight="1" x14ac:dyDescent="0.25">
      <c r="A141" s="63"/>
      <c r="B141" s="75" t="s">
        <v>5924</v>
      </c>
      <c r="C141" s="72" t="s">
        <v>5925</v>
      </c>
      <c r="D141" s="62"/>
      <c r="E141" s="62"/>
      <c r="F141" s="63"/>
      <c r="G141" s="63"/>
      <c r="H141" s="63"/>
      <c r="I141" s="62"/>
      <c r="J141" s="63"/>
      <c r="K141" s="63"/>
      <c r="L141" s="62"/>
      <c r="M141" s="63"/>
      <c r="N141" s="63"/>
      <c r="O141" s="63"/>
      <c r="P141" s="63"/>
      <c r="Q141" s="63"/>
      <c r="R141" s="63"/>
      <c r="S141" s="63"/>
      <c r="CM141" s="102"/>
      <c r="CN141" s="112" t="s">
        <v>1021</v>
      </c>
      <c r="CO141" s="112" t="s">
        <v>522</v>
      </c>
      <c r="CP141" s="112" t="s">
        <v>523</v>
      </c>
      <c r="CQ141" s="112" t="s">
        <v>1022</v>
      </c>
      <c r="CR141" s="112" t="s">
        <v>1022</v>
      </c>
      <c r="CS141" s="112" t="s">
        <v>525</v>
      </c>
      <c r="CT141" s="112" t="s">
        <v>526</v>
      </c>
      <c r="CU141" s="112" t="s">
        <v>527</v>
      </c>
      <c r="CV141" s="113" t="s">
        <v>528</v>
      </c>
      <c r="CX141" s="68"/>
    </row>
    <row r="142" spans="1:102" ht="21" customHeight="1" x14ac:dyDescent="0.25">
      <c r="A142" s="63"/>
      <c r="B142" s="75" t="s">
        <v>5926</v>
      </c>
      <c r="C142" s="72" t="s">
        <v>5927</v>
      </c>
      <c r="D142" s="62"/>
      <c r="E142" s="62"/>
      <c r="F142" s="63"/>
      <c r="G142" s="63"/>
      <c r="H142" s="63"/>
      <c r="I142" s="62"/>
      <c r="J142" s="63"/>
      <c r="K142" s="63"/>
      <c r="L142" s="62"/>
      <c r="M142" s="63"/>
      <c r="N142" s="63"/>
      <c r="O142" s="63"/>
      <c r="P142" s="63"/>
      <c r="Q142" s="63"/>
      <c r="R142" s="63"/>
      <c r="S142" s="63"/>
      <c r="CM142" s="102"/>
      <c r="CN142" s="112" t="s">
        <v>1023</v>
      </c>
      <c r="CO142" s="112" t="s">
        <v>522</v>
      </c>
      <c r="CP142" s="112" t="s">
        <v>523</v>
      </c>
      <c r="CQ142" s="112" t="s">
        <v>1024</v>
      </c>
      <c r="CR142" s="112" t="s">
        <v>1024</v>
      </c>
      <c r="CS142" s="112" t="s">
        <v>525</v>
      </c>
      <c r="CT142" s="112" t="s">
        <v>526</v>
      </c>
      <c r="CU142" s="112" t="s">
        <v>527</v>
      </c>
      <c r="CV142" s="113" t="s">
        <v>528</v>
      </c>
      <c r="CX142" s="68"/>
    </row>
    <row r="143" spans="1:102" ht="21" customHeight="1" x14ac:dyDescent="0.25">
      <c r="A143" s="63"/>
      <c r="B143" s="75" t="s">
        <v>5928</v>
      </c>
      <c r="C143" s="72" t="s">
        <v>5929</v>
      </c>
      <c r="D143" s="62"/>
      <c r="E143" s="62"/>
      <c r="F143" s="63"/>
      <c r="G143" s="63"/>
      <c r="H143" s="63"/>
      <c r="I143" s="62"/>
      <c r="J143" s="63"/>
      <c r="K143" s="63"/>
      <c r="L143" s="62"/>
      <c r="M143" s="63"/>
      <c r="N143" s="63"/>
      <c r="O143" s="63"/>
      <c r="P143" s="63"/>
      <c r="Q143" s="63"/>
      <c r="R143" s="63"/>
      <c r="S143" s="63"/>
      <c r="CM143" s="102"/>
      <c r="CN143" s="112" t="s">
        <v>1025</v>
      </c>
      <c r="CO143" s="112" t="s">
        <v>522</v>
      </c>
      <c r="CP143" s="112" t="s">
        <v>523</v>
      </c>
      <c r="CQ143" s="112" t="s">
        <v>1026</v>
      </c>
      <c r="CR143" s="112" t="s">
        <v>1027</v>
      </c>
      <c r="CS143" s="112" t="s">
        <v>525</v>
      </c>
      <c r="CT143" s="112" t="s">
        <v>526</v>
      </c>
      <c r="CU143" s="112" t="s">
        <v>527</v>
      </c>
      <c r="CV143" s="113" t="s">
        <v>528</v>
      </c>
      <c r="CX143" s="68"/>
    </row>
    <row r="144" spans="1:102" ht="21" customHeight="1" x14ac:dyDescent="0.25">
      <c r="A144" s="63"/>
      <c r="B144" s="75" t="s">
        <v>5930</v>
      </c>
      <c r="C144" s="72" t="s">
        <v>5931</v>
      </c>
      <c r="D144" s="62"/>
      <c r="E144" s="62"/>
      <c r="F144" s="63"/>
      <c r="G144" s="63"/>
      <c r="H144" s="63"/>
      <c r="I144" s="62"/>
      <c r="J144" s="63"/>
      <c r="K144" s="63"/>
      <c r="L144" s="62"/>
      <c r="M144" s="63"/>
      <c r="N144" s="63"/>
      <c r="O144" s="63"/>
      <c r="P144" s="63"/>
      <c r="Q144" s="63"/>
      <c r="R144" s="63"/>
      <c r="S144" s="63"/>
      <c r="CM144" s="102"/>
      <c r="CN144" s="112" t="s">
        <v>1028</v>
      </c>
      <c r="CO144" s="112" t="s">
        <v>522</v>
      </c>
      <c r="CP144" s="112" t="s">
        <v>523</v>
      </c>
      <c r="CQ144" s="112" t="s">
        <v>1029</v>
      </c>
      <c r="CR144" s="112" t="s">
        <v>1029</v>
      </c>
      <c r="CS144" s="112" t="s">
        <v>525</v>
      </c>
      <c r="CT144" s="112" t="s">
        <v>526</v>
      </c>
      <c r="CU144" s="112" t="s">
        <v>527</v>
      </c>
      <c r="CV144" s="113" t="s">
        <v>528</v>
      </c>
      <c r="CX144" s="68"/>
    </row>
    <row r="145" spans="1:102" ht="21" customHeight="1" x14ac:dyDescent="0.25">
      <c r="A145" s="63"/>
      <c r="B145" s="75" t="s">
        <v>5932</v>
      </c>
      <c r="C145" s="72" t="s">
        <v>5933</v>
      </c>
      <c r="D145" s="62"/>
      <c r="E145" s="62"/>
      <c r="F145" s="63"/>
      <c r="G145" s="63"/>
      <c r="H145" s="63"/>
      <c r="I145" s="62"/>
      <c r="J145" s="63"/>
      <c r="K145" s="63"/>
      <c r="L145" s="62"/>
      <c r="M145" s="63"/>
      <c r="N145" s="63"/>
      <c r="O145" s="63"/>
      <c r="P145" s="63"/>
      <c r="Q145" s="63"/>
      <c r="R145" s="63"/>
      <c r="S145" s="63"/>
      <c r="CM145" s="102"/>
      <c r="CN145" s="112" t="s">
        <v>1030</v>
      </c>
      <c r="CO145" s="112" t="s">
        <v>522</v>
      </c>
      <c r="CP145" s="112" t="s">
        <v>523</v>
      </c>
      <c r="CQ145" s="112" t="s">
        <v>1031</v>
      </c>
      <c r="CR145" s="112" t="s">
        <v>1031</v>
      </c>
      <c r="CS145" s="112" t="s">
        <v>525</v>
      </c>
      <c r="CT145" s="112" t="s">
        <v>526</v>
      </c>
      <c r="CU145" s="112" t="s">
        <v>527</v>
      </c>
      <c r="CV145" s="113" t="s">
        <v>528</v>
      </c>
      <c r="CX145" s="68"/>
    </row>
    <row r="146" spans="1:102" ht="21" customHeight="1" x14ac:dyDescent="0.25">
      <c r="A146" s="63"/>
      <c r="B146" s="75" t="s">
        <v>5934</v>
      </c>
      <c r="C146" s="72" t="s">
        <v>5935</v>
      </c>
      <c r="D146" s="62"/>
      <c r="E146" s="62"/>
      <c r="F146" s="63"/>
      <c r="G146" s="63"/>
      <c r="H146" s="63"/>
      <c r="I146" s="62"/>
      <c r="J146" s="63"/>
      <c r="K146" s="63"/>
      <c r="L146" s="62"/>
      <c r="M146" s="63"/>
      <c r="N146" s="63"/>
      <c r="O146" s="63"/>
      <c r="P146" s="63"/>
      <c r="Q146" s="63"/>
      <c r="R146" s="63"/>
      <c r="S146" s="63"/>
      <c r="CM146" s="102"/>
      <c r="CN146" s="112" t="s">
        <v>1032</v>
      </c>
      <c r="CO146" s="112" t="s">
        <v>522</v>
      </c>
      <c r="CP146" s="112" t="s">
        <v>523</v>
      </c>
      <c r="CQ146" s="112" t="s">
        <v>1033</v>
      </c>
      <c r="CR146" s="112" t="s">
        <v>1033</v>
      </c>
      <c r="CS146" s="112" t="s">
        <v>525</v>
      </c>
      <c r="CT146" s="112" t="s">
        <v>526</v>
      </c>
      <c r="CU146" s="112" t="s">
        <v>527</v>
      </c>
      <c r="CV146" s="113" t="s">
        <v>528</v>
      </c>
      <c r="CX146" s="68"/>
    </row>
    <row r="147" spans="1:102" ht="21" customHeight="1" x14ac:dyDescent="0.25">
      <c r="A147" s="63"/>
      <c r="B147" s="75" t="s">
        <v>5936</v>
      </c>
      <c r="C147" s="72" t="s">
        <v>5937</v>
      </c>
      <c r="D147" s="62"/>
      <c r="E147" s="62"/>
      <c r="F147" s="63"/>
      <c r="G147" s="63"/>
      <c r="H147" s="63"/>
      <c r="I147" s="62"/>
      <c r="J147" s="63"/>
      <c r="K147" s="63"/>
      <c r="L147" s="62"/>
      <c r="M147" s="63"/>
      <c r="N147" s="63"/>
      <c r="O147" s="63"/>
      <c r="P147" s="63"/>
      <c r="Q147" s="63"/>
      <c r="R147" s="63"/>
      <c r="S147" s="63"/>
      <c r="CM147" s="102"/>
      <c r="CN147" s="112" t="s">
        <v>1034</v>
      </c>
      <c r="CO147" s="112" t="s">
        <v>522</v>
      </c>
      <c r="CP147" s="112" t="s">
        <v>523</v>
      </c>
      <c r="CQ147" s="112" t="s">
        <v>1035</v>
      </c>
      <c r="CR147" s="112" t="s">
        <v>1035</v>
      </c>
      <c r="CS147" s="112" t="s">
        <v>525</v>
      </c>
      <c r="CT147" s="112" t="s">
        <v>526</v>
      </c>
      <c r="CU147" s="112" t="s">
        <v>527</v>
      </c>
      <c r="CV147" s="113" t="s">
        <v>528</v>
      </c>
      <c r="CX147" s="68"/>
    </row>
    <row r="148" spans="1:102" ht="21" customHeight="1" x14ac:dyDescent="0.25">
      <c r="A148" s="63"/>
      <c r="B148" s="75" t="s">
        <v>5938</v>
      </c>
      <c r="C148" s="72" t="s">
        <v>5939</v>
      </c>
      <c r="D148" s="62"/>
      <c r="E148" s="62"/>
      <c r="F148" s="63"/>
      <c r="G148" s="63"/>
      <c r="H148" s="63"/>
      <c r="I148" s="62"/>
      <c r="J148" s="63"/>
      <c r="K148" s="63"/>
      <c r="L148" s="62"/>
      <c r="M148" s="63"/>
      <c r="N148" s="63"/>
      <c r="O148" s="63"/>
      <c r="P148" s="63"/>
      <c r="Q148" s="63"/>
      <c r="R148" s="63"/>
      <c r="S148" s="63"/>
      <c r="CM148" s="102"/>
      <c r="CN148" s="112" t="s">
        <v>1036</v>
      </c>
      <c r="CO148" s="112" t="s">
        <v>522</v>
      </c>
      <c r="CP148" s="112" t="s">
        <v>935</v>
      </c>
      <c r="CQ148" s="112" t="s">
        <v>1037</v>
      </c>
      <c r="CR148" s="112" t="s">
        <v>1037</v>
      </c>
      <c r="CS148" s="112" t="s">
        <v>525</v>
      </c>
      <c r="CT148" s="112" t="s">
        <v>942</v>
      </c>
      <c r="CU148" s="112" t="s">
        <v>527</v>
      </c>
      <c r="CV148" s="113" t="s">
        <v>528</v>
      </c>
      <c r="CX148" s="68"/>
    </row>
    <row r="149" spans="1:102" ht="21" customHeight="1" x14ac:dyDescent="0.25">
      <c r="A149" s="63"/>
      <c r="B149" s="75" t="s">
        <v>5940</v>
      </c>
      <c r="C149" s="72" t="s">
        <v>5941</v>
      </c>
      <c r="D149" s="62"/>
      <c r="E149" s="62"/>
      <c r="F149" s="63"/>
      <c r="G149" s="63"/>
      <c r="H149" s="63"/>
      <c r="I149" s="62"/>
      <c r="J149" s="63"/>
      <c r="K149" s="63"/>
      <c r="L149" s="62"/>
      <c r="M149" s="63"/>
      <c r="N149" s="63"/>
      <c r="O149" s="63"/>
      <c r="P149" s="63"/>
      <c r="Q149" s="63"/>
      <c r="R149" s="63"/>
      <c r="S149" s="63"/>
      <c r="CM149" s="102"/>
      <c r="CN149" s="112" t="s">
        <v>1038</v>
      </c>
      <c r="CO149" s="112" t="s">
        <v>522</v>
      </c>
      <c r="CP149" s="112" t="s">
        <v>523</v>
      </c>
      <c r="CQ149" s="112" t="s">
        <v>1039</v>
      </c>
      <c r="CR149" s="112" t="s">
        <v>1039</v>
      </c>
      <c r="CS149" s="112" t="s">
        <v>610</v>
      </c>
      <c r="CT149" s="112" t="s">
        <v>611</v>
      </c>
      <c r="CU149" s="112" t="s">
        <v>527</v>
      </c>
      <c r="CV149" s="113" t="s">
        <v>612</v>
      </c>
      <c r="CX149" s="68"/>
    </row>
    <row r="150" spans="1:102" ht="21" customHeight="1" x14ac:dyDescent="0.25">
      <c r="A150" s="63"/>
      <c r="B150" s="75" t="s">
        <v>5942</v>
      </c>
      <c r="C150" s="72" t="s">
        <v>5943</v>
      </c>
      <c r="D150" s="62"/>
      <c r="E150" s="62"/>
      <c r="F150" s="63"/>
      <c r="G150" s="63"/>
      <c r="H150" s="63"/>
      <c r="I150" s="62"/>
      <c r="J150" s="63"/>
      <c r="K150" s="63"/>
      <c r="L150" s="62"/>
      <c r="M150" s="63"/>
      <c r="N150" s="63"/>
      <c r="O150" s="63"/>
      <c r="P150" s="63"/>
      <c r="Q150" s="63"/>
      <c r="R150" s="63"/>
      <c r="S150" s="63"/>
      <c r="CM150" s="102"/>
      <c r="CN150" s="112" t="s">
        <v>1040</v>
      </c>
      <c r="CO150" s="112" t="s">
        <v>522</v>
      </c>
      <c r="CP150" s="112" t="s">
        <v>523</v>
      </c>
      <c r="CQ150" s="112" t="s">
        <v>1041</v>
      </c>
      <c r="CR150" s="112" t="s">
        <v>1041</v>
      </c>
      <c r="CS150" s="112" t="s">
        <v>525</v>
      </c>
      <c r="CT150" s="112" t="s">
        <v>526</v>
      </c>
      <c r="CU150" s="112" t="s">
        <v>527</v>
      </c>
      <c r="CV150" s="113" t="s">
        <v>528</v>
      </c>
      <c r="CX150" s="68"/>
    </row>
    <row r="151" spans="1:102" ht="21" customHeight="1" x14ac:dyDescent="0.25">
      <c r="A151" s="63"/>
      <c r="B151" s="73"/>
      <c r="C151" s="73"/>
      <c r="D151" s="63"/>
      <c r="E151" s="63"/>
      <c r="F151" s="63"/>
      <c r="G151" s="63"/>
      <c r="H151" s="63"/>
      <c r="I151" s="63"/>
      <c r="J151" s="63"/>
      <c r="K151" s="63"/>
      <c r="L151" s="63"/>
      <c r="M151" s="63"/>
      <c r="N151" s="63"/>
      <c r="O151" s="63"/>
      <c r="P151" s="63"/>
      <c r="Q151" s="63"/>
      <c r="R151" s="63"/>
      <c r="S151" s="63"/>
      <c r="CM151" s="102"/>
      <c r="CN151" s="112" t="s">
        <v>1042</v>
      </c>
      <c r="CO151" s="112" t="s">
        <v>522</v>
      </c>
      <c r="CP151" s="112" t="s">
        <v>523</v>
      </c>
      <c r="CQ151" s="112" t="s">
        <v>1043</v>
      </c>
      <c r="CR151" s="112" t="s">
        <v>1043</v>
      </c>
      <c r="CS151" s="112" t="s">
        <v>525</v>
      </c>
      <c r="CT151" s="112" t="s">
        <v>526</v>
      </c>
      <c r="CU151" s="112" t="s">
        <v>527</v>
      </c>
      <c r="CV151" s="113" t="s">
        <v>528</v>
      </c>
      <c r="CX151" s="68"/>
    </row>
    <row r="152" spans="1:102" ht="21" customHeight="1" x14ac:dyDescent="0.25">
      <c r="A152" s="63"/>
      <c r="B152" s="74"/>
      <c r="C152" s="74" t="s">
        <v>5944</v>
      </c>
      <c r="D152" s="63"/>
      <c r="E152" s="63"/>
      <c r="F152" s="63"/>
      <c r="G152" s="63"/>
      <c r="H152" s="63"/>
      <c r="I152" s="63"/>
      <c r="J152" s="63"/>
      <c r="K152" s="63"/>
      <c r="L152" s="63"/>
      <c r="M152" s="63"/>
      <c r="N152" s="63"/>
      <c r="O152" s="63"/>
      <c r="P152" s="63"/>
      <c r="Q152" s="63"/>
      <c r="R152" s="63"/>
      <c r="S152" s="63"/>
      <c r="CM152" s="102"/>
      <c r="CN152" s="112" t="s">
        <v>1044</v>
      </c>
      <c r="CO152" s="112" t="s">
        <v>522</v>
      </c>
      <c r="CP152" s="112" t="s">
        <v>935</v>
      </c>
      <c r="CQ152" s="112" t="s">
        <v>1045</v>
      </c>
      <c r="CR152" s="112" t="s">
        <v>1046</v>
      </c>
      <c r="CS152" s="112" t="s">
        <v>525</v>
      </c>
      <c r="CT152" s="112" t="s">
        <v>942</v>
      </c>
      <c r="CU152" s="112" t="s">
        <v>527</v>
      </c>
      <c r="CV152" s="113" t="s">
        <v>528</v>
      </c>
      <c r="CX152" s="68"/>
    </row>
    <row r="153" spans="1:102" ht="21" customHeight="1" x14ac:dyDescent="0.25">
      <c r="A153" s="63"/>
      <c r="B153" s="75" t="s">
        <v>5916</v>
      </c>
      <c r="C153" s="72" t="s">
        <v>5945</v>
      </c>
      <c r="D153" s="63"/>
      <c r="E153" s="63"/>
      <c r="F153" s="63"/>
      <c r="G153" s="63"/>
      <c r="H153" s="63"/>
      <c r="I153" s="63"/>
      <c r="J153" s="63"/>
      <c r="K153" s="63"/>
      <c r="L153" s="63"/>
      <c r="M153" s="63"/>
      <c r="N153" s="63"/>
      <c r="O153" s="63"/>
      <c r="P153" s="63"/>
      <c r="Q153" s="63"/>
      <c r="R153" s="63"/>
      <c r="S153" s="63"/>
      <c r="CM153" s="102"/>
      <c r="CN153" s="112" t="s">
        <v>1047</v>
      </c>
      <c r="CO153" s="112" t="s">
        <v>522</v>
      </c>
      <c r="CP153" s="112" t="s">
        <v>935</v>
      </c>
      <c r="CQ153" s="112" t="s">
        <v>1048</v>
      </c>
      <c r="CR153" s="112" t="s">
        <v>1048</v>
      </c>
      <c r="CS153" s="112" t="s">
        <v>525</v>
      </c>
      <c r="CT153" s="112" t="s">
        <v>942</v>
      </c>
      <c r="CU153" s="112" t="s">
        <v>527</v>
      </c>
      <c r="CV153" s="113" t="s">
        <v>528</v>
      </c>
      <c r="CX153" s="68"/>
    </row>
    <row r="154" spans="1:102" ht="21" customHeight="1" x14ac:dyDescent="0.25">
      <c r="A154" s="63"/>
      <c r="B154" s="75" t="s">
        <v>5918</v>
      </c>
      <c r="C154" s="72" t="s">
        <v>5946</v>
      </c>
      <c r="D154" s="63"/>
      <c r="E154" s="63"/>
      <c r="F154" s="63"/>
      <c r="G154" s="63"/>
      <c r="H154" s="63"/>
      <c r="I154" s="63"/>
      <c r="J154" s="63"/>
      <c r="K154" s="63"/>
      <c r="L154" s="63"/>
      <c r="M154" s="63"/>
      <c r="N154" s="63"/>
      <c r="O154" s="63"/>
      <c r="P154" s="63"/>
      <c r="Q154" s="63"/>
      <c r="R154" s="63"/>
      <c r="S154" s="63"/>
      <c r="CM154" s="102"/>
      <c r="CN154" s="112" t="s">
        <v>1049</v>
      </c>
      <c r="CO154" s="112" t="s">
        <v>522</v>
      </c>
      <c r="CP154" s="112" t="s">
        <v>935</v>
      </c>
      <c r="CQ154" s="112" t="s">
        <v>1050</v>
      </c>
      <c r="CR154" s="112" t="s">
        <v>1050</v>
      </c>
      <c r="CS154" s="112" t="s">
        <v>610</v>
      </c>
      <c r="CT154" s="112" t="s">
        <v>937</v>
      </c>
      <c r="CU154" s="112" t="s">
        <v>527</v>
      </c>
      <c r="CV154" s="113" t="s">
        <v>612</v>
      </c>
      <c r="CX154" s="68"/>
    </row>
    <row r="155" spans="1:102" ht="21" customHeight="1" x14ac:dyDescent="0.25">
      <c r="A155" s="63"/>
      <c r="B155" s="75" t="s">
        <v>5920</v>
      </c>
      <c r="C155" s="72" t="s">
        <v>5947</v>
      </c>
      <c r="D155" s="63"/>
      <c r="E155" s="63"/>
      <c r="F155" s="63"/>
      <c r="G155" s="63"/>
      <c r="H155" s="63"/>
      <c r="I155" s="63"/>
      <c r="J155" s="63"/>
      <c r="K155" s="63"/>
      <c r="L155" s="63"/>
      <c r="M155" s="63"/>
      <c r="N155" s="63"/>
      <c r="O155" s="63"/>
      <c r="P155" s="63"/>
      <c r="Q155" s="63"/>
      <c r="R155" s="63"/>
      <c r="S155" s="63"/>
      <c r="CM155" s="102"/>
      <c r="CN155" s="112" t="s">
        <v>1051</v>
      </c>
      <c r="CO155" s="112" t="s">
        <v>522</v>
      </c>
      <c r="CP155" s="112" t="s">
        <v>935</v>
      </c>
      <c r="CQ155" s="112" t="s">
        <v>1052</v>
      </c>
      <c r="CR155" s="112" t="s">
        <v>1052</v>
      </c>
      <c r="CS155" s="112" t="s">
        <v>610</v>
      </c>
      <c r="CT155" s="112" t="s">
        <v>937</v>
      </c>
      <c r="CU155" s="112" t="s">
        <v>527</v>
      </c>
      <c r="CV155" s="113" t="s">
        <v>612</v>
      </c>
      <c r="CX155" s="68"/>
    </row>
    <row r="156" spans="1:102" ht="21" customHeight="1" x14ac:dyDescent="0.25">
      <c r="A156" s="63"/>
      <c r="B156" s="75" t="s">
        <v>5922</v>
      </c>
      <c r="C156" s="72" t="s">
        <v>5948</v>
      </c>
      <c r="D156" s="63"/>
      <c r="E156" s="63"/>
      <c r="F156" s="63"/>
      <c r="G156" s="63"/>
      <c r="H156" s="63"/>
      <c r="I156" s="63"/>
      <c r="J156" s="63"/>
      <c r="K156" s="63"/>
      <c r="L156" s="63"/>
      <c r="M156" s="63"/>
      <c r="N156" s="63"/>
      <c r="O156" s="63"/>
      <c r="P156" s="63"/>
      <c r="Q156" s="63"/>
      <c r="R156" s="63"/>
      <c r="S156" s="63"/>
      <c r="CM156" s="102"/>
      <c r="CN156" s="112" t="s">
        <v>1053</v>
      </c>
      <c r="CO156" s="112" t="s">
        <v>522</v>
      </c>
      <c r="CP156" s="112" t="s">
        <v>935</v>
      </c>
      <c r="CQ156" s="112" t="s">
        <v>1054</v>
      </c>
      <c r="CR156" s="112" t="s">
        <v>1054</v>
      </c>
      <c r="CS156" s="112" t="s">
        <v>525</v>
      </c>
      <c r="CT156" s="112" t="s">
        <v>942</v>
      </c>
      <c r="CU156" s="112" t="s">
        <v>527</v>
      </c>
      <c r="CV156" s="113" t="s">
        <v>528</v>
      </c>
      <c r="CX156" s="68"/>
    </row>
    <row r="157" spans="1:102" ht="21" customHeight="1" x14ac:dyDescent="0.25">
      <c r="A157" s="63"/>
      <c r="B157" s="75" t="s">
        <v>5924</v>
      </c>
      <c r="C157" s="72" t="s">
        <v>5949</v>
      </c>
      <c r="D157" s="63"/>
      <c r="E157" s="63"/>
      <c r="F157" s="63"/>
      <c r="G157" s="63"/>
      <c r="H157" s="63"/>
      <c r="I157" s="63"/>
      <c r="J157" s="63"/>
      <c r="K157" s="63"/>
      <c r="L157" s="63"/>
      <c r="M157" s="63"/>
      <c r="N157" s="63"/>
      <c r="O157" s="63"/>
      <c r="P157" s="63"/>
      <c r="Q157" s="63"/>
      <c r="R157" s="63"/>
      <c r="S157" s="63"/>
      <c r="CM157" s="102"/>
      <c r="CN157" s="112" t="s">
        <v>1055</v>
      </c>
      <c r="CO157" s="112" t="s">
        <v>522</v>
      </c>
      <c r="CP157" s="112" t="s">
        <v>935</v>
      </c>
      <c r="CQ157" s="112" t="s">
        <v>1056</v>
      </c>
      <c r="CR157" s="112" t="s">
        <v>1056</v>
      </c>
      <c r="CS157" s="112" t="s">
        <v>525</v>
      </c>
      <c r="CT157" s="112" t="s">
        <v>942</v>
      </c>
      <c r="CU157" s="112" t="s">
        <v>527</v>
      </c>
      <c r="CV157" s="113" t="s">
        <v>528</v>
      </c>
      <c r="CX157" s="68"/>
    </row>
    <row r="158" spans="1:102" ht="21" customHeight="1" x14ac:dyDescent="0.25">
      <c r="A158" s="63"/>
      <c r="B158" s="75" t="s">
        <v>5926</v>
      </c>
      <c r="C158" s="72" t="s">
        <v>5950</v>
      </c>
      <c r="D158" s="63"/>
      <c r="E158" s="63"/>
      <c r="F158" s="63"/>
      <c r="G158" s="63"/>
      <c r="H158" s="63"/>
      <c r="I158" s="63"/>
      <c r="J158" s="63"/>
      <c r="K158" s="63"/>
      <c r="L158" s="63"/>
      <c r="M158" s="63"/>
      <c r="N158" s="63"/>
      <c r="O158" s="63"/>
      <c r="P158" s="63"/>
      <c r="Q158" s="63"/>
      <c r="R158" s="63"/>
      <c r="S158" s="63"/>
      <c r="CM158" s="102"/>
      <c r="CN158" s="112" t="s">
        <v>1057</v>
      </c>
      <c r="CO158" s="112" t="s">
        <v>522</v>
      </c>
      <c r="CP158" s="112" t="s">
        <v>935</v>
      </c>
      <c r="CQ158" s="112" t="s">
        <v>1058</v>
      </c>
      <c r="CR158" s="112" t="s">
        <v>1059</v>
      </c>
      <c r="CS158" s="112" t="s">
        <v>525</v>
      </c>
      <c r="CT158" s="112" t="s">
        <v>942</v>
      </c>
      <c r="CU158" s="112" t="s">
        <v>527</v>
      </c>
      <c r="CV158" s="113" t="s">
        <v>528</v>
      </c>
      <c r="CX158" s="68"/>
    </row>
    <row r="159" spans="1:102" ht="21" customHeight="1" x14ac:dyDescent="0.25">
      <c r="A159" s="63"/>
      <c r="B159" s="75" t="s">
        <v>5928</v>
      </c>
      <c r="C159" s="72" t="s">
        <v>5951</v>
      </c>
      <c r="D159" s="63"/>
      <c r="E159" s="63"/>
      <c r="F159" s="63"/>
      <c r="G159" s="63"/>
      <c r="H159" s="63"/>
      <c r="I159" s="63"/>
      <c r="J159" s="63"/>
      <c r="K159" s="63"/>
      <c r="L159" s="63"/>
      <c r="M159" s="63"/>
      <c r="N159" s="63"/>
      <c r="O159" s="63"/>
      <c r="P159" s="63"/>
      <c r="Q159" s="63"/>
      <c r="R159" s="63"/>
      <c r="S159" s="63"/>
      <c r="CM159" s="102"/>
      <c r="CN159" s="112" t="s">
        <v>1060</v>
      </c>
      <c r="CO159" s="112" t="s">
        <v>522</v>
      </c>
      <c r="CP159" s="112" t="s">
        <v>935</v>
      </c>
      <c r="CQ159" s="112" t="s">
        <v>1061</v>
      </c>
      <c r="CR159" s="112" t="s">
        <v>1061</v>
      </c>
      <c r="CS159" s="112" t="s">
        <v>525</v>
      </c>
      <c r="CT159" s="112" t="s">
        <v>942</v>
      </c>
      <c r="CU159" s="112" t="s">
        <v>527</v>
      </c>
      <c r="CV159" s="113" t="s">
        <v>528</v>
      </c>
      <c r="CX159" s="68"/>
    </row>
    <row r="160" spans="1:102" ht="21" customHeight="1" x14ac:dyDescent="0.25">
      <c r="A160" s="63"/>
      <c r="B160" s="75" t="s">
        <v>5930</v>
      </c>
      <c r="C160" s="72" t="s">
        <v>5952</v>
      </c>
      <c r="D160" s="63"/>
      <c r="E160" s="63"/>
      <c r="F160" s="63"/>
      <c r="G160" s="63"/>
      <c r="H160" s="63"/>
      <c r="I160" s="63"/>
      <c r="J160" s="63"/>
      <c r="K160" s="63"/>
      <c r="L160" s="63"/>
      <c r="M160" s="63"/>
      <c r="N160" s="63"/>
      <c r="O160" s="63"/>
      <c r="P160" s="63"/>
      <c r="Q160" s="63"/>
      <c r="R160" s="63"/>
      <c r="S160" s="63"/>
      <c r="CM160" s="102"/>
      <c r="CN160" s="112" t="s">
        <v>1062</v>
      </c>
      <c r="CO160" s="112" t="s">
        <v>522</v>
      </c>
      <c r="CP160" s="112" t="s">
        <v>935</v>
      </c>
      <c r="CQ160" s="112" t="s">
        <v>1063</v>
      </c>
      <c r="CR160" s="112" t="s">
        <v>1063</v>
      </c>
      <c r="CS160" s="112" t="s">
        <v>525</v>
      </c>
      <c r="CT160" s="112" t="s">
        <v>942</v>
      </c>
      <c r="CU160" s="112" t="s">
        <v>527</v>
      </c>
      <c r="CV160" s="113" t="s">
        <v>528</v>
      </c>
      <c r="CX160" s="68"/>
    </row>
    <row r="161" spans="1:102" ht="21" customHeight="1" x14ac:dyDescent="0.25">
      <c r="A161" s="63"/>
      <c r="B161" s="75" t="s">
        <v>5932</v>
      </c>
      <c r="C161" s="72" t="s">
        <v>5953</v>
      </c>
      <c r="D161" s="63"/>
      <c r="E161" s="63"/>
      <c r="F161" s="63"/>
      <c r="G161" s="63"/>
      <c r="H161" s="63"/>
      <c r="I161" s="63"/>
      <c r="J161" s="63"/>
      <c r="K161" s="63"/>
      <c r="L161" s="63"/>
      <c r="M161" s="63"/>
      <c r="N161" s="63"/>
      <c r="O161" s="63"/>
      <c r="P161" s="63"/>
      <c r="Q161" s="63"/>
      <c r="R161" s="63"/>
      <c r="S161" s="63"/>
      <c r="CM161" s="102"/>
      <c r="CN161" s="112" t="s">
        <v>1064</v>
      </c>
      <c r="CO161" s="112" t="s">
        <v>522</v>
      </c>
      <c r="CP161" s="112" t="s">
        <v>935</v>
      </c>
      <c r="CQ161" s="112" t="s">
        <v>1065</v>
      </c>
      <c r="CR161" s="112" t="s">
        <v>1065</v>
      </c>
      <c r="CS161" s="112" t="s">
        <v>525</v>
      </c>
      <c r="CT161" s="112" t="s">
        <v>942</v>
      </c>
      <c r="CU161" s="112" t="s">
        <v>527</v>
      </c>
      <c r="CV161" s="113" t="s">
        <v>528</v>
      </c>
      <c r="CX161" s="68"/>
    </row>
    <row r="162" spans="1:102" ht="21" customHeight="1" x14ac:dyDescent="0.25">
      <c r="A162" s="63"/>
      <c r="B162" s="75" t="s">
        <v>5934</v>
      </c>
      <c r="C162" s="72" t="s">
        <v>5954</v>
      </c>
      <c r="D162" s="63"/>
      <c r="E162" s="63"/>
      <c r="F162" s="63"/>
      <c r="G162" s="63"/>
      <c r="H162" s="63"/>
      <c r="I162" s="63"/>
      <c r="J162" s="63"/>
      <c r="K162" s="63"/>
      <c r="L162" s="63"/>
      <c r="M162" s="63"/>
      <c r="N162" s="63"/>
      <c r="O162" s="63"/>
      <c r="P162" s="63"/>
      <c r="Q162" s="63"/>
      <c r="R162" s="63"/>
      <c r="S162" s="63"/>
      <c r="CM162" s="102"/>
      <c r="CN162" s="112" t="s">
        <v>1066</v>
      </c>
      <c r="CO162" s="112" t="s">
        <v>522</v>
      </c>
      <c r="CP162" s="112" t="s">
        <v>935</v>
      </c>
      <c r="CQ162" s="112" t="s">
        <v>1067</v>
      </c>
      <c r="CR162" s="112" t="s">
        <v>1067</v>
      </c>
      <c r="CS162" s="112" t="s">
        <v>525</v>
      </c>
      <c r="CT162" s="112" t="s">
        <v>942</v>
      </c>
      <c r="CU162" s="112" t="s">
        <v>527</v>
      </c>
      <c r="CV162" s="113" t="s">
        <v>528</v>
      </c>
      <c r="CX162" s="68"/>
    </row>
    <row r="163" spans="1:102" ht="21" customHeight="1" x14ac:dyDescent="0.25">
      <c r="A163" s="63"/>
      <c r="B163" s="75" t="s">
        <v>5936</v>
      </c>
      <c r="C163" s="72" t="s">
        <v>5955</v>
      </c>
      <c r="D163" s="63"/>
      <c r="E163" s="63"/>
      <c r="F163" s="63"/>
      <c r="G163" s="63"/>
      <c r="H163" s="63"/>
      <c r="I163" s="63"/>
      <c r="J163" s="63"/>
      <c r="K163" s="63"/>
      <c r="L163" s="63"/>
      <c r="M163" s="63"/>
      <c r="N163" s="63"/>
      <c r="O163" s="63"/>
      <c r="P163" s="63"/>
      <c r="Q163" s="63"/>
      <c r="R163" s="63"/>
      <c r="S163" s="63"/>
      <c r="CM163" s="102"/>
      <c r="CN163" s="112" t="s">
        <v>1068</v>
      </c>
      <c r="CO163" s="112" t="s">
        <v>522</v>
      </c>
      <c r="CP163" s="112" t="s">
        <v>935</v>
      </c>
      <c r="CQ163" s="112" t="s">
        <v>1069</v>
      </c>
      <c r="CR163" s="112" t="s">
        <v>1069</v>
      </c>
      <c r="CS163" s="112" t="s">
        <v>525</v>
      </c>
      <c r="CT163" s="112" t="s">
        <v>942</v>
      </c>
      <c r="CU163" s="112" t="s">
        <v>527</v>
      </c>
      <c r="CV163" s="113" t="s">
        <v>528</v>
      </c>
      <c r="CX163" s="68"/>
    </row>
    <row r="164" spans="1:102" ht="21" customHeight="1" x14ac:dyDescent="0.25">
      <c r="A164" s="63"/>
      <c r="B164" s="75" t="s">
        <v>5938</v>
      </c>
      <c r="C164" s="72" t="s">
        <v>5956</v>
      </c>
      <c r="D164" s="63"/>
      <c r="E164" s="63"/>
      <c r="F164" s="63"/>
      <c r="G164" s="63"/>
      <c r="H164" s="63"/>
      <c r="I164" s="63"/>
      <c r="J164" s="63"/>
      <c r="K164" s="63"/>
      <c r="L164" s="63"/>
      <c r="M164" s="63"/>
      <c r="N164" s="63"/>
      <c r="O164" s="63"/>
      <c r="P164" s="63"/>
      <c r="Q164" s="63"/>
      <c r="R164" s="63"/>
      <c r="S164" s="63"/>
      <c r="CM164" s="102"/>
      <c r="CN164" s="112" t="s">
        <v>1070</v>
      </c>
      <c r="CO164" s="112" t="s">
        <v>522</v>
      </c>
      <c r="CP164" s="112" t="s">
        <v>935</v>
      </c>
      <c r="CQ164" s="112" t="s">
        <v>1071</v>
      </c>
      <c r="CR164" s="112" t="s">
        <v>1071</v>
      </c>
      <c r="CS164" s="112" t="s">
        <v>525</v>
      </c>
      <c r="CT164" s="112" t="s">
        <v>942</v>
      </c>
      <c r="CU164" s="112" t="s">
        <v>527</v>
      </c>
      <c r="CV164" s="113" t="s">
        <v>528</v>
      </c>
      <c r="CX164" s="68"/>
    </row>
    <row r="165" spans="1:102" ht="21" customHeight="1" x14ac:dyDescent="0.25">
      <c r="A165" s="63"/>
      <c r="B165" s="75" t="s">
        <v>5940</v>
      </c>
      <c r="C165" s="72" t="s">
        <v>5957</v>
      </c>
      <c r="D165" s="63"/>
      <c r="E165" s="63"/>
      <c r="F165" s="63"/>
      <c r="G165" s="63"/>
      <c r="H165" s="63"/>
      <c r="I165" s="63"/>
      <c r="J165" s="63"/>
      <c r="K165" s="63"/>
      <c r="L165" s="63"/>
      <c r="M165" s="63"/>
      <c r="N165" s="63"/>
      <c r="O165" s="63"/>
      <c r="P165" s="63"/>
      <c r="Q165" s="63"/>
      <c r="R165" s="63"/>
      <c r="S165" s="63"/>
      <c r="CM165" s="102"/>
      <c r="CN165" s="112" t="s">
        <v>1072</v>
      </c>
      <c r="CO165" s="112" t="s">
        <v>522</v>
      </c>
      <c r="CP165" s="112" t="s">
        <v>935</v>
      </c>
      <c r="CQ165" s="112" t="s">
        <v>1073</v>
      </c>
      <c r="CR165" s="112" t="s">
        <v>1073</v>
      </c>
      <c r="CS165" s="112" t="s">
        <v>525</v>
      </c>
      <c r="CT165" s="112" t="s">
        <v>942</v>
      </c>
      <c r="CU165" s="112" t="s">
        <v>527</v>
      </c>
      <c r="CV165" s="113" t="s">
        <v>528</v>
      </c>
      <c r="CX165" s="68"/>
    </row>
    <row r="166" spans="1:102" ht="21" customHeight="1" x14ac:dyDescent="0.25">
      <c r="A166" s="63"/>
      <c r="B166" s="75" t="s">
        <v>5942</v>
      </c>
      <c r="C166" s="72" t="s">
        <v>5958</v>
      </c>
      <c r="D166" s="63"/>
      <c r="E166" s="63"/>
      <c r="F166" s="63"/>
      <c r="G166" s="63"/>
      <c r="H166" s="63"/>
      <c r="I166" s="63"/>
      <c r="J166" s="63"/>
      <c r="K166" s="63"/>
      <c r="L166" s="63"/>
      <c r="M166" s="63"/>
      <c r="N166" s="63"/>
      <c r="O166" s="63"/>
      <c r="P166" s="63"/>
      <c r="Q166" s="63"/>
      <c r="R166" s="63"/>
      <c r="S166" s="63"/>
      <c r="CM166" s="102"/>
      <c r="CN166" s="112" t="s">
        <v>1074</v>
      </c>
      <c r="CO166" s="112" t="s">
        <v>522</v>
      </c>
      <c r="CP166" s="112" t="s">
        <v>935</v>
      </c>
      <c r="CQ166" s="112" t="s">
        <v>1075</v>
      </c>
      <c r="CR166" s="112" t="s">
        <v>1075</v>
      </c>
      <c r="CS166" s="112" t="s">
        <v>525</v>
      </c>
      <c r="CT166" s="112" t="s">
        <v>942</v>
      </c>
      <c r="CU166" s="112" t="s">
        <v>527</v>
      </c>
      <c r="CV166" s="113" t="s">
        <v>528</v>
      </c>
      <c r="CX166" s="68"/>
    </row>
    <row r="167" spans="1:102" ht="21" customHeight="1" x14ac:dyDescent="0.25">
      <c r="A167" s="63"/>
      <c r="B167" s="73"/>
      <c r="C167" s="73"/>
      <c r="D167" s="63"/>
      <c r="E167" s="63"/>
      <c r="F167" s="63"/>
      <c r="G167" s="63"/>
      <c r="H167" s="63"/>
      <c r="I167" s="63"/>
      <c r="J167" s="63"/>
      <c r="K167" s="63"/>
      <c r="L167" s="63"/>
      <c r="M167" s="63"/>
      <c r="N167" s="63"/>
      <c r="O167" s="63"/>
      <c r="P167" s="63"/>
      <c r="Q167" s="63"/>
      <c r="R167" s="63"/>
      <c r="S167" s="63"/>
      <c r="CM167" s="102"/>
      <c r="CN167" s="112" t="s">
        <v>1076</v>
      </c>
      <c r="CO167" s="112" t="s">
        <v>522</v>
      </c>
      <c r="CP167" s="112" t="s">
        <v>935</v>
      </c>
      <c r="CQ167" s="112" t="s">
        <v>1077</v>
      </c>
      <c r="CR167" s="112" t="s">
        <v>1077</v>
      </c>
      <c r="CS167" s="112" t="s">
        <v>610</v>
      </c>
      <c r="CT167" s="112" t="s">
        <v>937</v>
      </c>
      <c r="CU167" s="112" t="s">
        <v>527</v>
      </c>
      <c r="CV167" s="113" t="s">
        <v>612</v>
      </c>
      <c r="CX167" s="68"/>
    </row>
    <row r="168" spans="1:102" ht="21" customHeight="1" x14ac:dyDescent="0.25">
      <c r="A168" s="63"/>
      <c r="B168" s="76"/>
      <c r="C168" s="76" t="s">
        <v>5959</v>
      </c>
      <c r="D168" s="63"/>
      <c r="E168" s="63"/>
      <c r="F168" s="63"/>
      <c r="G168" s="63"/>
      <c r="H168" s="63"/>
      <c r="I168" s="63"/>
      <c r="J168" s="63"/>
      <c r="K168" s="63"/>
      <c r="L168" s="63"/>
      <c r="M168" s="63"/>
      <c r="N168" s="63"/>
      <c r="O168" s="63"/>
      <c r="P168" s="63"/>
      <c r="Q168" s="63"/>
      <c r="R168" s="63"/>
      <c r="S168" s="63"/>
      <c r="CM168" s="102"/>
      <c r="CN168" s="112" t="s">
        <v>1078</v>
      </c>
      <c r="CO168" s="112" t="s">
        <v>522</v>
      </c>
      <c r="CP168" s="112" t="s">
        <v>935</v>
      </c>
      <c r="CQ168" s="112" t="s">
        <v>1079</v>
      </c>
      <c r="CR168" s="112" t="s">
        <v>1080</v>
      </c>
      <c r="CS168" s="112" t="s">
        <v>610</v>
      </c>
      <c r="CT168" s="112" t="s">
        <v>937</v>
      </c>
      <c r="CU168" s="112" t="s">
        <v>527</v>
      </c>
      <c r="CV168" s="113" t="s">
        <v>612</v>
      </c>
      <c r="CX168" s="68"/>
    </row>
    <row r="169" spans="1:102" ht="21" customHeight="1" x14ac:dyDescent="0.25">
      <c r="A169" s="63"/>
      <c r="B169" s="77" t="s">
        <v>5916</v>
      </c>
      <c r="C169" s="72" t="s">
        <v>5960</v>
      </c>
      <c r="D169" s="63"/>
      <c r="E169" s="63"/>
      <c r="F169" s="63"/>
      <c r="G169" s="63"/>
      <c r="H169" s="63"/>
      <c r="I169" s="63"/>
      <c r="J169" s="63"/>
      <c r="K169" s="63"/>
      <c r="L169" s="63"/>
      <c r="M169" s="63"/>
      <c r="N169" s="63"/>
      <c r="O169" s="63"/>
      <c r="P169" s="63"/>
      <c r="Q169" s="63"/>
      <c r="R169" s="63"/>
      <c r="S169" s="63"/>
      <c r="CM169" s="102"/>
      <c r="CN169" s="112" t="s">
        <v>1081</v>
      </c>
      <c r="CO169" s="112" t="s">
        <v>522</v>
      </c>
      <c r="CP169" s="112" t="s">
        <v>935</v>
      </c>
      <c r="CQ169" s="112" t="s">
        <v>1082</v>
      </c>
      <c r="CR169" s="112" t="s">
        <v>1083</v>
      </c>
      <c r="CS169" s="112" t="s">
        <v>610</v>
      </c>
      <c r="CT169" s="112" t="s">
        <v>937</v>
      </c>
      <c r="CU169" s="112" t="s">
        <v>527</v>
      </c>
      <c r="CV169" s="113" t="s">
        <v>612</v>
      </c>
      <c r="CX169" s="68"/>
    </row>
    <row r="170" spans="1:102" ht="21" customHeight="1" x14ac:dyDescent="0.25">
      <c r="A170" s="63"/>
      <c r="B170" s="75" t="s">
        <v>5918</v>
      </c>
      <c r="C170" s="72" t="s">
        <v>5961</v>
      </c>
      <c r="D170" s="63"/>
      <c r="E170" s="63"/>
      <c r="F170" s="63"/>
      <c r="G170" s="63"/>
      <c r="H170" s="63"/>
      <c r="I170" s="63"/>
      <c r="J170" s="63"/>
      <c r="K170" s="63"/>
      <c r="L170" s="63"/>
      <c r="M170" s="63"/>
      <c r="N170" s="63"/>
      <c r="O170" s="63"/>
      <c r="P170" s="63"/>
      <c r="Q170" s="63"/>
      <c r="R170" s="63"/>
      <c r="S170" s="63"/>
      <c r="CM170" s="102"/>
      <c r="CN170" s="112" t="s">
        <v>1084</v>
      </c>
      <c r="CO170" s="112" t="s">
        <v>522</v>
      </c>
      <c r="CP170" s="112" t="s">
        <v>935</v>
      </c>
      <c r="CQ170" s="112" t="s">
        <v>1085</v>
      </c>
      <c r="CR170" s="112" t="s">
        <v>1086</v>
      </c>
      <c r="CS170" s="112" t="s">
        <v>610</v>
      </c>
      <c r="CT170" s="112" t="s">
        <v>937</v>
      </c>
      <c r="CU170" s="112" t="s">
        <v>527</v>
      </c>
      <c r="CV170" s="113" t="s">
        <v>612</v>
      </c>
      <c r="CX170" s="68"/>
    </row>
    <row r="171" spans="1:102" ht="21" customHeight="1" x14ac:dyDescent="0.25">
      <c r="A171" s="63"/>
      <c r="B171" s="75" t="s">
        <v>5920</v>
      </c>
      <c r="C171" s="72" t="s">
        <v>5962</v>
      </c>
      <c r="D171" s="63"/>
      <c r="E171" s="63"/>
      <c r="F171" s="63"/>
      <c r="G171" s="63"/>
      <c r="H171" s="63"/>
      <c r="I171" s="63"/>
      <c r="J171" s="63"/>
      <c r="K171" s="63"/>
      <c r="L171" s="63"/>
      <c r="M171" s="63"/>
      <c r="N171" s="63"/>
      <c r="O171" s="63"/>
      <c r="P171" s="63"/>
      <c r="Q171" s="63"/>
      <c r="R171" s="63"/>
      <c r="S171" s="63"/>
      <c r="CM171" s="102"/>
      <c r="CN171" s="112" t="s">
        <v>1087</v>
      </c>
      <c r="CO171" s="112" t="s">
        <v>522</v>
      </c>
      <c r="CP171" s="112" t="s">
        <v>935</v>
      </c>
      <c r="CQ171" s="112" t="s">
        <v>1088</v>
      </c>
      <c r="CR171" s="112" t="s">
        <v>1089</v>
      </c>
      <c r="CS171" s="112" t="s">
        <v>610</v>
      </c>
      <c r="CT171" s="112" t="s">
        <v>937</v>
      </c>
      <c r="CU171" s="112" t="s">
        <v>527</v>
      </c>
      <c r="CV171" s="113" t="s">
        <v>612</v>
      </c>
      <c r="CX171" s="68"/>
    </row>
    <row r="172" spans="1:102" ht="21" customHeight="1" x14ac:dyDescent="0.25">
      <c r="A172" s="63"/>
      <c r="B172" s="75" t="s">
        <v>5922</v>
      </c>
      <c r="C172" s="72" t="s">
        <v>5963</v>
      </c>
      <c r="D172" s="63"/>
      <c r="E172" s="63"/>
      <c r="F172" s="63"/>
      <c r="G172" s="63"/>
      <c r="H172" s="63"/>
      <c r="I172" s="63"/>
      <c r="J172" s="63"/>
      <c r="K172" s="63"/>
      <c r="L172" s="63"/>
      <c r="M172" s="63"/>
      <c r="N172" s="63"/>
      <c r="O172" s="63"/>
      <c r="P172" s="63"/>
      <c r="Q172" s="63"/>
      <c r="R172" s="63"/>
      <c r="S172" s="63"/>
      <c r="CM172" s="102"/>
      <c r="CN172" s="112" t="s">
        <v>1090</v>
      </c>
      <c r="CO172" s="112" t="s">
        <v>522</v>
      </c>
      <c r="CP172" s="112" t="s">
        <v>935</v>
      </c>
      <c r="CQ172" s="112" t="s">
        <v>1091</v>
      </c>
      <c r="CR172" s="112" t="s">
        <v>1092</v>
      </c>
      <c r="CS172" s="112" t="s">
        <v>610</v>
      </c>
      <c r="CT172" s="112" t="s">
        <v>937</v>
      </c>
      <c r="CU172" s="112" t="s">
        <v>527</v>
      </c>
      <c r="CV172" s="113" t="s">
        <v>612</v>
      </c>
      <c r="CX172" s="68"/>
    </row>
    <row r="173" spans="1:102" ht="21" customHeight="1" x14ac:dyDescent="0.25">
      <c r="A173" s="63"/>
      <c r="B173" s="75" t="s">
        <v>5924</v>
      </c>
      <c r="C173" s="72" t="s">
        <v>5964</v>
      </c>
      <c r="D173" s="63"/>
      <c r="E173" s="63"/>
      <c r="F173" s="63"/>
      <c r="G173" s="63"/>
      <c r="H173" s="63"/>
      <c r="I173" s="63"/>
      <c r="J173" s="63"/>
      <c r="K173" s="63"/>
      <c r="L173" s="63"/>
      <c r="M173" s="63"/>
      <c r="N173" s="63"/>
      <c r="O173" s="63"/>
      <c r="P173" s="63"/>
      <c r="Q173" s="63"/>
      <c r="R173" s="63"/>
      <c r="S173" s="63"/>
      <c r="CM173" s="102"/>
      <c r="CN173" s="112" t="s">
        <v>1093</v>
      </c>
      <c r="CO173" s="112" t="s">
        <v>522</v>
      </c>
      <c r="CP173" s="112" t="s">
        <v>935</v>
      </c>
      <c r="CQ173" s="112" t="s">
        <v>1094</v>
      </c>
      <c r="CR173" s="112" t="s">
        <v>1095</v>
      </c>
      <c r="CS173" s="112" t="s">
        <v>610</v>
      </c>
      <c r="CT173" s="112" t="s">
        <v>937</v>
      </c>
      <c r="CU173" s="112" t="s">
        <v>527</v>
      </c>
      <c r="CV173" s="113" t="s">
        <v>612</v>
      </c>
      <c r="CX173" s="68"/>
    </row>
    <row r="174" spans="1:102" ht="21" customHeight="1" x14ac:dyDescent="0.25">
      <c r="A174" s="63"/>
      <c r="B174" s="75" t="s">
        <v>5926</v>
      </c>
      <c r="C174" s="72" t="s">
        <v>5965</v>
      </c>
      <c r="D174" s="63"/>
      <c r="E174" s="63"/>
      <c r="F174" s="63"/>
      <c r="G174" s="63"/>
      <c r="H174" s="63"/>
      <c r="I174" s="63"/>
      <c r="J174" s="63"/>
      <c r="K174" s="63"/>
      <c r="L174" s="63"/>
      <c r="M174" s="63"/>
      <c r="N174" s="63"/>
      <c r="O174" s="63"/>
      <c r="P174" s="63"/>
      <c r="Q174" s="63"/>
      <c r="R174" s="63"/>
      <c r="S174" s="63"/>
      <c r="CM174" s="102"/>
      <c r="CN174" s="112" t="s">
        <v>1096</v>
      </c>
      <c r="CO174" s="112" t="s">
        <v>522</v>
      </c>
      <c r="CP174" s="112" t="s">
        <v>935</v>
      </c>
      <c r="CQ174" s="112" t="s">
        <v>1097</v>
      </c>
      <c r="CR174" s="112" t="s">
        <v>1098</v>
      </c>
      <c r="CS174" s="112" t="s">
        <v>610</v>
      </c>
      <c r="CT174" s="112" t="s">
        <v>937</v>
      </c>
      <c r="CU174" s="112" t="s">
        <v>527</v>
      </c>
      <c r="CV174" s="113" t="s">
        <v>612</v>
      </c>
      <c r="CX174" s="68"/>
    </row>
    <row r="175" spans="1:102" ht="21" customHeight="1" x14ac:dyDescent="0.25">
      <c r="A175" s="63"/>
      <c r="B175" s="75" t="s">
        <v>5928</v>
      </c>
      <c r="C175" s="72" t="s">
        <v>5966</v>
      </c>
      <c r="D175" s="63"/>
      <c r="E175" s="63"/>
      <c r="F175" s="63"/>
      <c r="G175" s="63"/>
      <c r="H175" s="63"/>
      <c r="I175" s="63"/>
      <c r="J175" s="63"/>
      <c r="K175" s="63"/>
      <c r="L175" s="63"/>
      <c r="M175" s="63"/>
      <c r="N175" s="63"/>
      <c r="O175" s="63"/>
      <c r="P175" s="63"/>
      <c r="Q175" s="63"/>
      <c r="R175" s="63"/>
      <c r="S175" s="63"/>
      <c r="CM175" s="102"/>
      <c r="CN175" s="112" t="s">
        <v>1099</v>
      </c>
      <c r="CO175" s="112" t="s">
        <v>522</v>
      </c>
      <c r="CP175" s="112" t="s">
        <v>935</v>
      </c>
      <c r="CQ175" s="112" t="s">
        <v>1100</v>
      </c>
      <c r="CR175" s="112" t="s">
        <v>1100</v>
      </c>
      <c r="CS175" s="112" t="s">
        <v>525</v>
      </c>
      <c r="CT175" s="112" t="s">
        <v>942</v>
      </c>
      <c r="CU175" s="112" t="s">
        <v>527</v>
      </c>
      <c r="CV175" s="113" t="s">
        <v>528</v>
      </c>
      <c r="CX175" s="68"/>
    </row>
    <row r="176" spans="1:102" ht="21" customHeight="1" x14ac:dyDescent="0.25">
      <c r="A176" s="63"/>
      <c r="B176" s="75" t="s">
        <v>5930</v>
      </c>
      <c r="C176" s="72" t="s">
        <v>5967</v>
      </c>
      <c r="D176" s="63"/>
      <c r="E176" s="63"/>
      <c r="F176" s="63"/>
      <c r="G176" s="63"/>
      <c r="H176" s="63"/>
      <c r="I176" s="63"/>
      <c r="J176" s="63"/>
      <c r="K176" s="63"/>
      <c r="L176" s="63"/>
      <c r="M176" s="63"/>
      <c r="N176" s="63"/>
      <c r="O176" s="63"/>
      <c r="P176" s="63"/>
      <c r="Q176" s="63"/>
      <c r="R176" s="63"/>
      <c r="S176" s="63"/>
      <c r="CM176" s="102"/>
      <c r="CN176" s="112" t="s">
        <v>1101</v>
      </c>
      <c r="CO176" s="112" t="s">
        <v>522</v>
      </c>
      <c r="CP176" s="112" t="s">
        <v>935</v>
      </c>
      <c r="CQ176" s="112" t="s">
        <v>1102</v>
      </c>
      <c r="CR176" s="112" t="s">
        <v>1102</v>
      </c>
      <c r="CS176" s="112" t="s">
        <v>610</v>
      </c>
      <c r="CT176" s="112" t="s">
        <v>937</v>
      </c>
      <c r="CU176" s="112" t="s">
        <v>527</v>
      </c>
      <c r="CV176" s="113" t="s">
        <v>612</v>
      </c>
      <c r="CX176" s="68"/>
    </row>
    <row r="177" spans="1:102" ht="21" customHeight="1" x14ac:dyDescent="0.25">
      <c r="A177" s="63"/>
      <c r="B177" s="75" t="s">
        <v>5932</v>
      </c>
      <c r="C177" s="72" t="s">
        <v>5968</v>
      </c>
      <c r="D177" s="63"/>
      <c r="E177" s="63"/>
      <c r="F177" s="63"/>
      <c r="G177" s="63"/>
      <c r="H177" s="63"/>
      <c r="I177" s="63"/>
      <c r="J177" s="63"/>
      <c r="K177" s="63"/>
      <c r="L177" s="63"/>
      <c r="M177" s="63"/>
      <c r="N177" s="63"/>
      <c r="O177" s="63"/>
      <c r="P177" s="63"/>
      <c r="Q177" s="63"/>
      <c r="R177" s="63"/>
      <c r="S177" s="63"/>
      <c r="CM177" s="102"/>
      <c r="CN177" s="112" t="s">
        <v>1103</v>
      </c>
      <c r="CO177" s="112" t="s">
        <v>522</v>
      </c>
      <c r="CP177" s="112" t="s">
        <v>935</v>
      </c>
      <c r="CQ177" s="112" t="s">
        <v>1104</v>
      </c>
      <c r="CR177" s="112" t="s">
        <v>1104</v>
      </c>
      <c r="CS177" s="112" t="s">
        <v>610</v>
      </c>
      <c r="CT177" s="112" t="s">
        <v>937</v>
      </c>
      <c r="CU177" s="112" t="s">
        <v>527</v>
      </c>
      <c r="CV177" s="113" t="s">
        <v>612</v>
      </c>
      <c r="CX177" s="68"/>
    </row>
    <row r="178" spans="1:102" ht="21" customHeight="1" x14ac:dyDescent="0.25">
      <c r="A178" s="63"/>
      <c r="B178" s="75" t="s">
        <v>5934</v>
      </c>
      <c r="C178" s="72" t="s">
        <v>5969</v>
      </c>
      <c r="D178" s="63"/>
      <c r="E178" s="63"/>
      <c r="F178" s="63"/>
      <c r="G178" s="63"/>
      <c r="H178" s="63"/>
      <c r="I178" s="63"/>
      <c r="J178" s="63"/>
      <c r="K178" s="63"/>
      <c r="L178" s="63"/>
      <c r="M178" s="63"/>
      <c r="N178" s="63"/>
      <c r="O178" s="63"/>
      <c r="P178" s="63"/>
      <c r="Q178" s="63"/>
      <c r="R178" s="63"/>
      <c r="S178" s="63"/>
      <c r="CM178" s="102"/>
      <c r="CN178" s="112" t="s">
        <v>1105</v>
      </c>
      <c r="CO178" s="112" t="s">
        <v>522</v>
      </c>
      <c r="CP178" s="112" t="s">
        <v>935</v>
      </c>
      <c r="CQ178" s="112" t="s">
        <v>1106</v>
      </c>
      <c r="CR178" s="112" t="s">
        <v>1107</v>
      </c>
      <c r="CS178" s="112" t="s">
        <v>525</v>
      </c>
      <c r="CT178" s="112" t="s">
        <v>942</v>
      </c>
      <c r="CU178" s="112" t="s">
        <v>527</v>
      </c>
      <c r="CV178" s="113" t="s">
        <v>528</v>
      </c>
      <c r="CX178" s="68"/>
    </row>
    <row r="179" spans="1:102" ht="21" customHeight="1" x14ac:dyDescent="0.25">
      <c r="A179" s="63"/>
      <c r="B179" s="75" t="s">
        <v>5936</v>
      </c>
      <c r="C179" s="72" t="s">
        <v>5970</v>
      </c>
      <c r="D179" s="63"/>
      <c r="E179" s="63"/>
      <c r="F179" s="63"/>
      <c r="G179" s="63"/>
      <c r="H179" s="63"/>
      <c r="I179" s="63"/>
      <c r="J179" s="63"/>
      <c r="K179" s="63"/>
      <c r="L179" s="63"/>
      <c r="M179" s="63"/>
      <c r="N179" s="63"/>
      <c r="O179" s="63"/>
      <c r="P179" s="63"/>
      <c r="Q179" s="63"/>
      <c r="R179" s="63"/>
      <c r="S179" s="63"/>
      <c r="CM179" s="102"/>
      <c r="CN179" s="112" t="s">
        <v>1108</v>
      </c>
      <c r="CO179" s="112" t="s">
        <v>522</v>
      </c>
      <c r="CP179" s="112" t="s">
        <v>935</v>
      </c>
      <c r="CQ179" s="112" t="s">
        <v>1109</v>
      </c>
      <c r="CR179" s="112" t="s">
        <v>1109</v>
      </c>
      <c r="CS179" s="112" t="s">
        <v>525</v>
      </c>
      <c r="CT179" s="112" t="s">
        <v>942</v>
      </c>
      <c r="CU179" s="112" t="s">
        <v>527</v>
      </c>
      <c r="CV179" s="113" t="s">
        <v>528</v>
      </c>
      <c r="CX179" s="68"/>
    </row>
    <row r="180" spans="1:102" ht="21" customHeight="1" x14ac:dyDescent="0.25">
      <c r="A180" s="63"/>
      <c r="B180" s="75" t="s">
        <v>5938</v>
      </c>
      <c r="C180" s="72" t="s">
        <v>5971</v>
      </c>
      <c r="D180" s="63"/>
      <c r="E180" s="63"/>
      <c r="F180" s="63"/>
      <c r="G180" s="63"/>
      <c r="H180" s="63"/>
      <c r="I180" s="63"/>
      <c r="J180" s="63"/>
      <c r="K180" s="63"/>
      <c r="L180" s="63"/>
      <c r="M180" s="63"/>
      <c r="N180" s="63"/>
      <c r="O180" s="63"/>
      <c r="P180" s="63"/>
      <c r="Q180" s="63"/>
      <c r="R180" s="63"/>
      <c r="S180" s="63"/>
      <c r="CM180" s="102"/>
      <c r="CN180" s="112" t="s">
        <v>1110</v>
      </c>
      <c r="CO180" s="112" t="s">
        <v>522</v>
      </c>
      <c r="CP180" s="112" t="s">
        <v>935</v>
      </c>
      <c r="CQ180" s="112" t="s">
        <v>1111</v>
      </c>
      <c r="CR180" s="112" t="s">
        <v>1111</v>
      </c>
      <c r="CS180" s="112" t="s">
        <v>525</v>
      </c>
      <c r="CT180" s="112" t="s">
        <v>942</v>
      </c>
      <c r="CU180" s="112" t="s">
        <v>527</v>
      </c>
      <c r="CV180" s="113" t="s">
        <v>528</v>
      </c>
      <c r="CX180" s="68"/>
    </row>
    <row r="181" spans="1:102" ht="21" customHeight="1" x14ac:dyDescent="0.25">
      <c r="A181" s="63"/>
      <c r="B181" s="75" t="s">
        <v>5940</v>
      </c>
      <c r="C181" s="72" t="s">
        <v>5972</v>
      </c>
      <c r="D181" s="63"/>
      <c r="E181" s="63"/>
      <c r="F181" s="63"/>
      <c r="G181" s="63"/>
      <c r="H181" s="63"/>
      <c r="I181" s="63"/>
      <c r="J181" s="63"/>
      <c r="K181" s="63"/>
      <c r="L181" s="63"/>
      <c r="M181" s="63"/>
      <c r="N181" s="63"/>
      <c r="O181" s="63"/>
      <c r="P181" s="63"/>
      <c r="Q181" s="63"/>
      <c r="R181" s="63"/>
      <c r="S181" s="63"/>
      <c r="CM181" s="102"/>
      <c r="CN181" s="112" t="s">
        <v>1112</v>
      </c>
      <c r="CO181" s="112" t="s">
        <v>522</v>
      </c>
      <c r="CP181" s="112" t="s">
        <v>935</v>
      </c>
      <c r="CQ181" s="112" t="s">
        <v>1113</v>
      </c>
      <c r="CR181" s="112" t="s">
        <v>1113</v>
      </c>
      <c r="CS181" s="112" t="s">
        <v>525</v>
      </c>
      <c r="CT181" s="112" t="s">
        <v>942</v>
      </c>
      <c r="CU181" s="112" t="s">
        <v>527</v>
      </c>
      <c r="CV181" s="113" t="s">
        <v>528</v>
      </c>
      <c r="CX181" s="68"/>
    </row>
    <row r="182" spans="1:102" ht="21" customHeight="1" x14ac:dyDescent="0.25">
      <c r="A182" s="63"/>
      <c r="B182" s="75" t="s">
        <v>5942</v>
      </c>
      <c r="C182" s="72" t="s">
        <v>5973</v>
      </c>
      <c r="D182" s="63"/>
      <c r="E182" s="63"/>
      <c r="F182" s="63"/>
      <c r="G182" s="63"/>
      <c r="H182" s="63"/>
      <c r="I182" s="63"/>
      <c r="J182" s="63"/>
      <c r="K182" s="63"/>
      <c r="L182" s="63"/>
      <c r="M182" s="63"/>
      <c r="N182" s="63"/>
      <c r="O182" s="63"/>
      <c r="P182" s="63"/>
      <c r="Q182" s="63"/>
      <c r="R182" s="63"/>
      <c r="S182" s="63"/>
      <c r="CM182" s="102"/>
      <c r="CN182" s="112" t="s">
        <v>1114</v>
      </c>
      <c r="CO182" s="112" t="s">
        <v>522</v>
      </c>
      <c r="CP182" s="112" t="s">
        <v>935</v>
      </c>
      <c r="CQ182" s="112" t="s">
        <v>1115</v>
      </c>
      <c r="CR182" s="112" t="s">
        <v>1115</v>
      </c>
      <c r="CS182" s="112" t="s">
        <v>525</v>
      </c>
      <c r="CT182" s="112" t="s">
        <v>942</v>
      </c>
      <c r="CU182" s="112" t="s">
        <v>527</v>
      </c>
      <c r="CV182" s="113" t="s">
        <v>528</v>
      </c>
      <c r="CX182" s="68"/>
    </row>
    <row r="183" spans="1:102" ht="21" customHeight="1" x14ac:dyDescent="0.25">
      <c r="A183" s="63"/>
      <c r="B183" s="75"/>
      <c r="C183" s="72"/>
      <c r="D183" s="63"/>
      <c r="E183" s="63"/>
      <c r="F183" s="63"/>
      <c r="G183" s="63"/>
      <c r="H183" s="63"/>
      <c r="I183" s="63"/>
      <c r="J183" s="63"/>
      <c r="K183" s="63"/>
      <c r="L183" s="63"/>
      <c r="M183" s="63"/>
      <c r="N183" s="63"/>
      <c r="O183" s="63"/>
      <c r="P183" s="63"/>
      <c r="Q183" s="63"/>
      <c r="R183" s="63"/>
      <c r="S183" s="63"/>
      <c r="CM183" s="102"/>
      <c r="CN183" s="112" t="s">
        <v>1116</v>
      </c>
      <c r="CO183" s="112" t="s">
        <v>522</v>
      </c>
      <c r="CP183" s="112" t="s">
        <v>935</v>
      </c>
      <c r="CQ183" s="112" t="s">
        <v>1117</v>
      </c>
      <c r="CR183" s="112" t="s">
        <v>1117</v>
      </c>
      <c r="CS183" s="112" t="s">
        <v>525</v>
      </c>
      <c r="CT183" s="112" t="s">
        <v>942</v>
      </c>
      <c r="CU183" s="112" t="s">
        <v>527</v>
      </c>
      <c r="CV183" s="113" t="s">
        <v>528</v>
      </c>
      <c r="CX183" s="68"/>
    </row>
    <row r="184" spans="1:102" ht="21" customHeight="1" x14ac:dyDescent="0.25">
      <c r="A184" s="63"/>
      <c r="B184" s="78" t="s">
        <v>5974</v>
      </c>
      <c r="C184" s="78"/>
      <c r="D184" s="63"/>
      <c r="E184" s="63"/>
      <c r="F184" s="63"/>
      <c r="G184" s="63"/>
      <c r="H184" s="63"/>
      <c r="I184" s="63"/>
      <c r="J184" s="63"/>
      <c r="K184" s="63"/>
      <c r="L184" s="63"/>
      <c r="M184" s="63"/>
      <c r="N184" s="63"/>
      <c r="O184" s="63"/>
      <c r="P184" s="63"/>
      <c r="Q184" s="63"/>
      <c r="R184" s="63"/>
      <c r="S184" s="63"/>
      <c r="CM184" s="102"/>
      <c r="CN184" s="112" t="s">
        <v>1118</v>
      </c>
      <c r="CO184" s="112" t="s">
        <v>522</v>
      </c>
      <c r="CP184" s="112" t="s">
        <v>1119</v>
      </c>
      <c r="CQ184" s="112" t="s">
        <v>1120</v>
      </c>
      <c r="CR184" s="112" t="s">
        <v>1120</v>
      </c>
      <c r="CS184" s="112" t="s">
        <v>525</v>
      </c>
      <c r="CT184" s="112" t="s">
        <v>1121</v>
      </c>
      <c r="CU184" s="112" t="s">
        <v>527</v>
      </c>
      <c r="CV184" s="113" t="s">
        <v>528</v>
      </c>
      <c r="CX184" s="68"/>
    </row>
    <row r="185" spans="1:102" ht="21" customHeight="1" x14ac:dyDescent="0.25">
      <c r="A185" s="63"/>
      <c r="B185" s="79" t="s">
        <v>5975</v>
      </c>
      <c r="C185" s="72" t="s">
        <v>5976</v>
      </c>
      <c r="D185" s="63"/>
      <c r="E185" s="63"/>
      <c r="F185" s="63"/>
      <c r="G185" s="63"/>
      <c r="H185" s="63"/>
      <c r="I185" s="63"/>
      <c r="J185" s="63"/>
      <c r="K185" s="63"/>
      <c r="L185" s="63"/>
      <c r="M185" s="63"/>
      <c r="N185" s="63"/>
      <c r="O185" s="63"/>
      <c r="P185" s="63"/>
      <c r="Q185" s="63"/>
      <c r="R185" s="63"/>
      <c r="S185" s="63"/>
      <c r="CM185" s="102"/>
      <c r="CN185" s="112" t="s">
        <v>1122</v>
      </c>
      <c r="CO185" s="112" t="s">
        <v>522</v>
      </c>
      <c r="CP185" s="112" t="s">
        <v>1119</v>
      </c>
      <c r="CQ185" s="112" t="s">
        <v>1123</v>
      </c>
      <c r="CR185" s="112" t="s">
        <v>1123</v>
      </c>
      <c r="CS185" s="112" t="s">
        <v>525</v>
      </c>
      <c r="CT185" s="112" t="s">
        <v>1121</v>
      </c>
      <c r="CU185" s="112" t="s">
        <v>527</v>
      </c>
      <c r="CV185" s="113" t="s">
        <v>528</v>
      </c>
      <c r="CX185" s="68"/>
    </row>
    <row r="186" spans="1:102" ht="21" customHeight="1" x14ac:dyDescent="0.25">
      <c r="A186" s="63"/>
      <c r="B186" s="80"/>
      <c r="C186" s="72" t="s">
        <v>5977</v>
      </c>
      <c r="D186" s="63"/>
      <c r="E186" s="63"/>
      <c r="F186" s="63"/>
      <c r="G186" s="63"/>
      <c r="H186" s="63"/>
      <c r="I186" s="63"/>
      <c r="J186" s="63"/>
      <c r="K186" s="63"/>
      <c r="L186" s="63"/>
      <c r="M186" s="63"/>
      <c r="N186" s="63"/>
      <c r="O186" s="63"/>
      <c r="P186" s="63"/>
      <c r="Q186" s="63"/>
      <c r="R186" s="63"/>
      <c r="S186" s="63"/>
      <c r="CM186" s="102"/>
      <c r="CN186" s="112" t="s">
        <v>1124</v>
      </c>
      <c r="CO186" s="112" t="s">
        <v>522</v>
      </c>
      <c r="CP186" s="112" t="s">
        <v>1119</v>
      </c>
      <c r="CQ186" s="112" t="s">
        <v>1125</v>
      </c>
      <c r="CR186" s="112" t="s">
        <v>1125</v>
      </c>
      <c r="CS186" s="112" t="s">
        <v>610</v>
      </c>
      <c r="CT186" s="112" t="s">
        <v>1126</v>
      </c>
      <c r="CU186" s="112" t="s">
        <v>527</v>
      </c>
      <c r="CV186" s="113" t="s">
        <v>612</v>
      </c>
      <c r="CX186" s="68"/>
    </row>
    <row r="187" spans="1:102" ht="21" customHeight="1" x14ac:dyDescent="0.25">
      <c r="A187" s="63"/>
      <c r="B187" s="79" t="s">
        <v>5978</v>
      </c>
      <c r="C187" s="72" t="s">
        <v>5979</v>
      </c>
      <c r="D187" s="63"/>
      <c r="E187" s="63"/>
      <c r="F187" s="63"/>
      <c r="G187" s="63"/>
      <c r="H187" s="63"/>
      <c r="I187" s="63"/>
      <c r="J187" s="63"/>
      <c r="K187" s="63"/>
      <c r="L187" s="63"/>
      <c r="M187" s="63"/>
      <c r="N187" s="63"/>
      <c r="O187" s="63"/>
      <c r="P187" s="63"/>
      <c r="Q187" s="63"/>
      <c r="R187" s="63"/>
      <c r="S187" s="63"/>
      <c r="CM187" s="102"/>
      <c r="CN187" s="112" t="s">
        <v>1127</v>
      </c>
      <c r="CO187" s="112" t="s">
        <v>522</v>
      </c>
      <c r="CP187" s="112" t="s">
        <v>1119</v>
      </c>
      <c r="CQ187" s="112" t="s">
        <v>1128</v>
      </c>
      <c r="CR187" s="112" t="s">
        <v>1128</v>
      </c>
      <c r="CS187" s="112" t="s">
        <v>610</v>
      </c>
      <c r="CT187" s="112" t="s">
        <v>1126</v>
      </c>
      <c r="CU187" s="112" t="s">
        <v>527</v>
      </c>
      <c r="CV187" s="113" t="s">
        <v>612</v>
      </c>
      <c r="CX187" s="68"/>
    </row>
    <row r="188" spans="1:102" ht="21" customHeight="1" x14ac:dyDescent="0.25">
      <c r="A188" s="63"/>
      <c r="B188" s="72"/>
      <c r="C188" s="72" t="s">
        <v>5980</v>
      </c>
      <c r="D188" s="63"/>
      <c r="E188" s="63"/>
      <c r="F188" s="63"/>
      <c r="G188" s="63"/>
      <c r="H188" s="63"/>
      <c r="I188" s="63"/>
      <c r="J188" s="63"/>
      <c r="K188" s="63"/>
      <c r="L188" s="63"/>
      <c r="M188" s="63"/>
      <c r="N188" s="63"/>
      <c r="O188" s="63"/>
      <c r="P188" s="63"/>
      <c r="Q188" s="63"/>
      <c r="R188" s="63"/>
      <c r="S188" s="63"/>
      <c r="CM188" s="102"/>
      <c r="CN188" s="112" t="s">
        <v>1129</v>
      </c>
      <c r="CO188" s="112" t="s">
        <v>522</v>
      </c>
      <c r="CP188" s="112" t="s">
        <v>1119</v>
      </c>
      <c r="CQ188" s="112" t="s">
        <v>1130</v>
      </c>
      <c r="CR188" s="112" t="s">
        <v>1130</v>
      </c>
      <c r="CS188" s="112" t="s">
        <v>525</v>
      </c>
      <c r="CT188" s="112" t="s">
        <v>1121</v>
      </c>
      <c r="CU188" s="112" t="s">
        <v>527</v>
      </c>
      <c r="CV188" s="113" t="s">
        <v>528</v>
      </c>
      <c r="CX188" s="68"/>
    </row>
    <row r="189" spans="1:102" ht="21" customHeight="1" x14ac:dyDescent="0.25">
      <c r="A189" s="63"/>
      <c r="B189" s="72"/>
      <c r="C189" s="72"/>
      <c r="D189" s="63"/>
      <c r="E189" s="63"/>
      <c r="F189" s="63"/>
      <c r="G189" s="63"/>
      <c r="H189" s="63"/>
      <c r="I189" s="63"/>
      <c r="J189" s="63"/>
      <c r="K189" s="63"/>
      <c r="L189" s="63"/>
      <c r="M189" s="63"/>
      <c r="N189" s="63"/>
      <c r="O189" s="63"/>
      <c r="P189" s="63"/>
      <c r="Q189" s="63"/>
      <c r="R189" s="63"/>
      <c r="S189" s="63"/>
      <c r="CM189" s="102"/>
      <c r="CN189" s="112" t="s">
        <v>1131</v>
      </c>
      <c r="CO189" s="112" t="s">
        <v>522</v>
      </c>
      <c r="CP189" s="112" t="s">
        <v>1119</v>
      </c>
      <c r="CQ189" s="112" t="s">
        <v>1132</v>
      </c>
      <c r="CR189" s="112" t="s">
        <v>1132</v>
      </c>
      <c r="CS189" s="112" t="s">
        <v>525</v>
      </c>
      <c r="CT189" s="112" t="s">
        <v>1121</v>
      </c>
      <c r="CU189" s="112" t="s">
        <v>527</v>
      </c>
      <c r="CV189" s="113" t="s">
        <v>528</v>
      </c>
      <c r="CX189" s="68"/>
    </row>
    <row r="190" spans="1:102" ht="21" customHeight="1" x14ac:dyDescent="0.25">
      <c r="A190" s="63"/>
      <c r="B190" s="78" t="s">
        <v>5981</v>
      </c>
      <c r="C190" s="78"/>
      <c r="D190" s="63"/>
      <c r="E190" s="63"/>
      <c r="F190" s="63"/>
      <c r="G190" s="63"/>
      <c r="H190" s="63"/>
      <c r="I190" s="63"/>
      <c r="J190" s="63"/>
      <c r="K190" s="63"/>
      <c r="L190" s="63"/>
      <c r="M190" s="63"/>
      <c r="N190" s="63"/>
      <c r="O190" s="63"/>
      <c r="P190" s="63"/>
      <c r="Q190" s="63"/>
      <c r="R190" s="63"/>
      <c r="S190" s="63"/>
      <c r="CM190" s="102"/>
      <c r="CN190" s="112" t="s">
        <v>1133</v>
      </c>
      <c r="CO190" s="112" t="s">
        <v>522</v>
      </c>
      <c r="CP190" s="112" t="s">
        <v>1119</v>
      </c>
      <c r="CQ190" s="112" t="s">
        <v>1134</v>
      </c>
      <c r="CR190" s="112" t="s">
        <v>1134</v>
      </c>
      <c r="CS190" s="112" t="s">
        <v>525</v>
      </c>
      <c r="CT190" s="112" t="s">
        <v>1121</v>
      </c>
      <c r="CU190" s="112" t="s">
        <v>527</v>
      </c>
      <c r="CV190" s="113" t="s">
        <v>528</v>
      </c>
      <c r="CX190" s="68"/>
    </row>
    <row r="191" spans="1:102" ht="21" customHeight="1" x14ac:dyDescent="0.25">
      <c r="A191" s="63"/>
      <c r="B191" s="75" t="s">
        <v>5982</v>
      </c>
      <c r="C191" s="72" t="s">
        <v>5983</v>
      </c>
      <c r="D191" s="63"/>
      <c r="E191" s="63"/>
      <c r="F191" s="63"/>
      <c r="G191" s="63"/>
      <c r="H191" s="63"/>
      <c r="I191" s="63"/>
      <c r="J191" s="63"/>
      <c r="K191" s="63"/>
      <c r="L191" s="63"/>
      <c r="M191" s="63"/>
      <c r="N191" s="63"/>
      <c r="O191" s="63"/>
      <c r="P191" s="63"/>
      <c r="Q191" s="63"/>
      <c r="R191" s="63"/>
      <c r="S191" s="63"/>
      <c r="CM191" s="102"/>
      <c r="CN191" s="112" t="s">
        <v>1135</v>
      </c>
      <c r="CO191" s="112" t="s">
        <v>522</v>
      </c>
      <c r="CP191" s="112" t="s">
        <v>1119</v>
      </c>
      <c r="CQ191" s="112" t="s">
        <v>1136</v>
      </c>
      <c r="CR191" s="112" t="s">
        <v>1136</v>
      </c>
      <c r="CS191" s="112" t="s">
        <v>525</v>
      </c>
      <c r="CT191" s="112" t="s">
        <v>1121</v>
      </c>
      <c r="CU191" s="112" t="s">
        <v>527</v>
      </c>
      <c r="CV191" s="113" t="s">
        <v>528</v>
      </c>
      <c r="CX191" s="68"/>
    </row>
    <row r="192" spans="1:102" ht="21" customHeight="1" x14ac:dyDescent="0.25">
      <c r="A192" s="63"/>
      <c r="B192" s="75" t="s">
        <v>5984</v>
      </c>
      <c r="C192" s="72" t="s">
        <v>5985</v>
      </c>
      <c r="D192" s="63"/>
      <c r="E192" s="63"/>
      <c r="F192" s="63"/>
      <c r="G192" s="63"/>
      <c r="H192" s="63"/>
      <c r="I192" s="63"/>
      <c r="J192" s="63"/>
      <c r="K192" s="63"/>
      <c r="L192" s="63"/>
      <c r="M192" s="63"/>
      <c r="N192" s="63"/>
      <c r="O192" s="63"/>
      <c r="P192" s="63"/>
      <c r="Q192" s="63"/>
      <c r="R192" s="63"/>
      <c r="S192" s="63"/>
      <c r="CM192" s="102"/>
      <c r="CN192" s="112" t="s">
        <v>1137</v>
      </c>
      <c r="CO192" s="112" t="s">
        <v>522</v>
      </c>
      <c r="CP192" s="112" t="s">
        <v>1119</v>
      </c>
      <c r="CQ192" s="112" t="s">
        <v>1138</v>
      </c>
      <c r="CR192" s="112" t="s">
        <v>1138</v>
      </c>
      <c r="CS192" s="112" t="s">
        <v>525</v>
      </c>
      <c r="CT192" s="112" t="s">
        <v>1121</v>
      </c>
      <c r="CU192" s="112" t="s">
        <v>527</v>
      </c>
      <c r="CV192" s="113" t="s">
        <v>528</v>
      </c>
      <c r="CX192" s="68"/>
    </row>
    <row r="193" spans="1:102" ht="21" customHeight="1" x14ac:dyDescent="0.25">
      <c r="A193" s="63"/>
      <c r="B193" s="75" t="s">
        <v>5986</v>
      </c>
      <c r="C193" s="72" t="s">
        <v>5987</v>
      </c>
      <c r="D193" s="63"/>
      <c r="E193" s="63"/>
      <c r="F193" s="63"/>
      <c r="G193" s="63"/>
      <c r="H193" s="63"/>
      <c r="I193" s="63"/>
      <c r="J193" s="63"/>
      <c r="K193" s="63"/>
      <c r="L193" s="63"/>
      <c r="M193" s="63"/>
      <c r="N193" s="63"/>
      <c r="O193" s="63"/>
      <c r="P193" s="63"/>
      <c r="Q193" s="63"/>
      <c r="R193" s="63"/>
      <c r="S193" s="63"/>
      <c r="CM193" s="102"/>
      <c r="CN193" s="112" t="s">
        <v>1139</v>
      </c>
      <c r="CO193" s="112" t="s">
        <v>522</v>
      </c>
      <c r="CP193" s="112" t="s">
        <v>1119</v>
      </c>
      <c r="CQ193" s="112" t="s">
        <v>1140</v>
      </c>
      <c r="CR193" s="112" t="s">
        <v>1140</v>
      </c>
      <c r="CS193" s="112" t="s">
        <v>525</v>
      </c>
      <c r="CT193" s="112" t="s">
        <v>1121</v>
      </c>
      <c r="CU193" s="112" t="s">
        <v>527</v>
      </c>
      <c r="CV193" s="113" t="s">
        <v>528</v>
      </c>
      <c r="CX193" s="68"/>
    </row>
    <row r="194" spans="1:102" ht="21" customHeight="1" x14ac:dyDescent="0.25">
      <c r="A194" s="63"/>
      <c r="B194" s="75" t="s">
        <v>5988</v>
      </c>
      <c r="C194" s="72" t="s">
        <v>5989</v>
      </c>
      <c r="D194" s="63"/>
      <c r="E194" s="63"/>
      <c r="F194" s="63"/>
      <c r="G194" s="63"/>
      <c r="H194" s="63"/>
      <c r="I194" s="63"/>
      <c r="J194" s="63"/>
      <c r="K194" s="63"/>
      <c r="L194" s="63"/>
      <c r="M194" s="63"/>
      <c r="N194" s="63"/>
      <c r="O194" s="63"/>
      <c r="P194" s="63"/>
      <c r="Q194" s="63"/>
      <c r="R194" s="63"/>
      <c r="S194" s="63"/>
      <c r="CM194" s="102"/>
      <c r="CN194" s="112" t="s">
        <v>1141</v>
      </c>
      <c r="CO194" s="112" t="s">
        <v>522</v>
      </c>
      <c r="CP194" s="112" t="s">
        <v>1119</v>
      </c>
      <c r="CQ194" s="112" t="s">
        <v>1142</v>
      </c>
      <c r="CR194" s="112" t="s">
        <v>1142</v>
      </c>
      <c r="CS194" s="112" t="s">
        <v>525</v>
      </c>
      <c r="CT194" s="112" t="s">
        <v>1121</v>
      </c>
      <c r="CU194" s="112" t="s">
        <v>527</v>
      </c>
      <c r="CV194" s="113" t="s">
        <v>528</v>
      </c>
      <c r="CX194" s="68"/>
    </row>
    <row r="195" spans="1:102" ht="21" customHeight="1" x14ac:dyDescent="0.25">
      <c r="A195" s="63"/>
      <c r="B195" s="75"/>
      <c r="C195" s="72" t="s">
        <v>5990</v>
      </c>
      <c r="D195" s="63"/>
      <c r="E195" s="63"/>
      <c r="F195" s="63"/>
      <c r="G195" s="63"/>
      <c r="H195" s="63"/>
      <c r="I195" s="63"/>
      <c r="J195" s="63"/>
      <c r="K195" s="63"/>
      <c r="L195" s="63"/>
      <c r="M195" s="63"/>
      <c r="N195" s="63"/>
      <c r="O195" s="63"/>
      <c r="P195" s="63"/>
      <c r="Q195" s="63"/>
      <c r="R195" s="63"/>
      <c r="S195" s="63"/>
      <c r="CM195" s="102"/>
      <c r="CN195" s="112" t="s">
        <v>1143</v>
      </c>
      <c r="CO195" s="112" t="s">
        <v>522</v>
      </c>
      <c r="CP195" s="112" t="s">
        <v>1119</v>
      </c>
      <c r="CQ195" s="112" t="s">
        <v>1144</v>
      </c>
      <c r="CR195" s="112" t="s">
        <v>1145</v>
      </c>
      <c r="CS195" s="112" t="s">
        <v>610</v>
      </c>
      <c r="CT195" s="112" t="s">
        <v>1126</v>
      </c>
      <c r="CU195" s="112" t="s">
        <v>527</v>
      </c>
      <c r="CV195" s="113" t="s">
        <v>612</v>
      </c>
      <c r="CX195" s="68"/>
    </row>
    <row r="196" spans="1:102" ht="21" customHeight="1" x14ac:dyDescent="0.25">
      <c r="A196" s="63"/>
      <c r="B196" s="75" t="s">
        <v>5991</v>
      </c>
      <c r="C196" s="72" t="s">
        <v>5992</v>
      </c>
      <c r="D196" s="63"/>
      <c r="E196" s="63"/>
      <c r="F196" s="63"/>
      <c r="G196" s="63"/>
      <c r="H196" s="63"/>
      <c r="I196" s="63"/>
      <c r="J196" s="63"/>
      <c r="K196" s="63"/>
      <c r="L196" s="63"/>
      <c r="M196" s="63"/>
      <c r="N196" s="63"/>
      <c r="O196" s="63"/>
      <c r="P196" s="63"/>
      <c r="Q196" s="63"/>
      <c r="R196" s="63"/>
      <c r="S196" s="63"/>
      <c r="CM196" s="102"/>
      <c r="CN196" s="112" t="s">
        <v>1146</v>
      </c>
      <c r="CO196" s="112" t="s">
        <v>522</v>
      </c>
      <c r="CP196" s="112" t="s">
        <v>1119</v>
      </c>
      <c r="CQ196" s="112" t="s">
        <v>1147</v>
      </c>
      <c r="CR196" s="112" t="s">
        <v>1147</v>
      </c>
      <c r="CS196" s="112" t="s">
        <v>525</v>
      </c>
      <c r="CT196" s="112" t="s">
        <v>1121</v>
      </c>
      <c r="CU196" s="112" t="s">
        <v>527</v>
      </c>
      <c r="CV196" s="113" t="s">
        <v>528</v>
      </c>
      <c r="CX196" s="68"/>
    </row>
    <row r="197" spans="1:102" ht="21" customHeight="1" x14ac:dyDescent="0.25">
      <c r="A197" s="63"/>
      <c r="B197" s="75"/>
      <c r="C197" s="72"/>
      <c r="D197" s="63"/>
      <c r="E197" s="63"/>
      <c r="F197" s="63"/>
      <c r="G197" s="63"/>
      <c r="H197" s="63"/>
      <c r="I197" s="63"/>
      <c r="J197" s="63"/>
      <c r="K197" s="63"/>
      <c r="L197" s="63"/>
      <c r="M197" s="63"/>
      <c r="N197" s="63"/>
      <c r="O197" s="63"/>
      <c r="P197" s="63"/>
      <c r="Q197" s="63"/>
      <c r="R197" s="63"/>
      <c r="S197" s="63"/>
      <c r="CM197" s="102"/>
      <c r="CN197" s="112" t="s">
        <v>1148</v>
      </c>
      <c r="CO197" s="112" t="s">
        <v>522</v>
      </c>
      <c r="CP197" s="112" t="s">
        <v>1119</v>
      </c>
      <c r="CQ197" s="112" t="s">
        <v>1149</v>
      </c>
      <c r="CR197" s="112" t="s">
        <v>1149</v>
      </c>
      <c r="CS197" s="112" t="s">
        <v>525</v>
      </c>
      <c r="CT197" s="112" t="s">
        <v>1121</v>
      </c>
      <c r="CU197" s="112" t="s">
        <v>527</v>
      </c>
      <c r="CV197" s="113" t="s">
        <v>528</v>
      </c>
      <c r="CX197" s="68"/>
    </row>
    <row r="198" spans="1:102" ht="21" customHeight="1" x14ac:dyDescent="0.25">
      <c r="A198" s="63"/>
      <c r="B198" s="75" t="s">
        <v>5993</v>
      </c>
      <c r="C198" s="72" t="s">
        <v>5994</v>
      </c>
      <c r="D198" s="63"/>
      <c r="E198" s="63"/>
      <c r="F198" s="63"/>
      <c r="G198" s="63"/>
      <c r="H198" s="63"/>
      <c r="I198" s="63"/>
      <c r="J198" s="63"/>
      <c r="K198" s="63"/>
      <c r="L198" s="63"/>
      <c r="M198" s="63"/>
      <c r="N198" s="63"/>
      <c r="O198" s="63"/>
      <c r="P198" s="63"/>
      <c r="Q198" s="63"/>
      <c r="R198" s="63"/>
      <c r="S198" s="63"/>
      <c r="CM198" s="102"/>
      <c r="CN198" s="112" t="s">
        <v>1150</v>
      </c>
      <c r="CO198" s="112" t="s">
        <v>522</v>
      </c>
      <c r="CP198" s="112" t="s">
        <v>1119</v>
      </c>
      <c r="CQ198" s="112" t="s">
        <v>1151</v>
      </c>
      <c r="CR198" s="112" t="s">
        <v>1151</v>
      </c>
      <c r="CS198" s="112" t="s">
        <v>525</v>
      </c>
      <c r="CT198" s="112" t="s">
        <v>1121</v>
      </c>
      <c r="CU198" s="112" t="s">
        <v>527</v>
      </c>
      <c r="CV198" s="113" t="s">
        <v>528</v>
      </c>
      <c r="CX198" s="68"/>
    </row>
    <row r="199" spans="1:102" ht="21" customHeight="1" x14ac:dyDescent="0.25">
      <c r="A199" s="63"/>
      <c r="B199" s="75" t="s">
        <v>5995</v>
      </c>
      <c r="C199" s="72" t="s">
        <v>5996</v>
      </c>
      <c r="D199" s="63"/>
      <c r="E199" s="63"/>
      <c r="F199" s="63"/>
      <c r="G199" s="63"/>
      <c r="H199" s="63"/>
      <c r="I199" s="63"/>
      <c r="J199" s="63"/>
      <c r="K199" s="63"/>
      <c r="L199" s="63"/>
      <c r="M199" s="63"/>
      <c r="N199" s="63"/>
      <c r="O199" s="63"/>
      <c r="P199" s="63"/>
      <c r="Q199" s="63"/>
      <c r="R199" s="63"/>
      <c r="S199" s="63"/>
      <c r="CM199" s="102"/>
      <c r="CN199" s="112" t="s">
        <v>1152</v>
      </c>
      <c r="CO199" s="112" t="s">
        <v>522</v>
      </c>
      <c r="CP199" s="112" t="s">
        <v>1119</v>
      </c>
      <c r="CQ199" s="112" t="s">
        <v>1153</v>
      </c>
      <c r="CR199" s="112" t="s">
        <v>1153</v>
      </c>
      <c r="CS199" s="112" t="s">
        <v>525</v>
      </c>
      <c r="CT199" s="112" t="s">
        <v>1121</v>
      </c>
      <c r="CU199" s="112" t="s">
        <v>527</v>
      </c>
      <c r="CV199" s="113" t="s">
        <v>528</v>
      </c>
      <c r="CX199" s="68"/>
    </row>
    <row r="200" spans="1:102" ht="21" customHeight="1" x14ac:dyDescent="0.25">
      <c r="A200" s="63"/>
      <c r="B200" s="75"/>
      <c r="C200" s="72" t="s">
        <v>5997</v>
      </c>
      <c r="D200" s="63"/>
      <c r="E200" s="63"/>
      <c r="F200" s="63"/>
      <c r="G200" s="63"/>
      <c r="H200" s="63"/>
      <c r="I200" s="63"/>
      <c r="J200" s="63"/>
      <c r="K200" s="63"/>
      <c r="L200" s="63"/>
      <c r="M200" s="63"/>
      <c r="N200" s="63"/>
      <c r="O200" s="63"/>
      <c r="P200" s="63"/>
      <c r="Q200" s="63"/>
      <c r="R200" s="63"/>
      <c r="S200" s="63"/>
      <c r="CM200" s="102"/>
      <c r="CN200" s="112" t="s">
        <v>1154</v>
      </c>
      <c r="CO200" s="112" t="s">
        <v>522</v>
      </c>
      <c r="CP200" s="112" t="s">
        <v>1119</v>
      </c>
      <c r="CQ200" s="112" t="s">
        <v>1155</v>
      </c>
      <c r="CR200" s="112" t="s">
        <v>1155</v>
      </c>
      <c r="CS200" s="112" t="s">
        <v>525</v>
      </c>
      <c r="CT200" s="112" t="s">
        <v>1121</v>
      </c>
      <c r="CU200" s="112" t="s">
        <v>527</v>
      </c>
      <c r="CV200" s="113" t="s">
        <v>528</v>
      </c>
      <c r="CX200" s="68"/>
    </row>
    <row r="201" spans="1:102" ht="21" customHeight="1" x14ac:dyDescent="0.25">
      <c r="A201" s="63"/>
      <c r="B201" s="75" t="s">
        <v>5998</v>
      </c>
      <c r="C201" s="72" t="s">
        <v>5999</v>
      </c>
      <c r="D201" s="63"/>
      <c r="E201" s="63"/>
      <c r="F201" s="63"/>
      <c r="G201" s="63"/>
      <c r="H201" s="63"/>
      <c r="I201" s="63"/>
      <c r="J201" s="63"/>
      <c r="K201" s="63"/>
      <c r="L201" s="63"/>
      <c r="M201" s="63"/>
      <c r="N201" s="63"/>
      <c r="O201" s="63"/>
      <c r="P201" s="63"/>
      <c r="Q201" s="63"/>
      <c r="R201" s="63"/>
      <c r="S201" s="63"/>
      <c r="CM201" s="102"/>
      <c r="CN201" s="112" t="s">
        <v>1156</v>
      </c>
      <c r="CO201" s="112" t="s">
        <v>522</v>
      </c>
      <c r="CP201" s="112" t="s">
        <v>1119</v>
      </c>
      <c r="CQ201" s="112" t="s">
        <v>1157</v>
      </c>
      <c r="CR201" s="112" t="s">
        <v>1157</v>
      </c>
      <c r="CS201" s="112" t="s">
        <v>525</v>
      </c>
      <c r="CT201" s="112" t="s">
        <v>1121</v>
      </c>
      <c r="CU201" s="112" t="s">
        <v>527</v>
      </c>
      <c r="CV201" s="113" t="s">
        <v>528</v>
      </c>
      <c r="CX201" s="68"/>
    </row>
    <row r="202" spans="1:102" ht="21" customHeight="1" x14ac:dyDescent="0.25">
      <c r="A202" s="63"/>
      <c r="B202" s="75"/>
      <c r="C202" s="72" t="s">
        <v>6000</v>
      </c>
      <c r="D202" s="63"/>
      <c r="E202" s="63"/>
      <c r="F202" s="63"/>
      <c r="G202" s="63"/>
      <c r="H202" s="63"/>
      <c r="I202" s="63"/>
      <c r="J202" s="63"/>
      <c r="K202" s="63"/>
      <c r="L202" s="63"/>
      <c r="M202" s="63"/>
      <c r="N202" s="63"/>
      <c r="O202" s="63"/>
      <c r="P202" s="63"/>
      <c r="Q202" s="63"/>
      <c r="R202" s="63"/>
      <c r="S202" s="63"/>
      <c r="CM202" s="102"/>
      <c r="CN202" s="112" t="s">
        <v>1158</v>
      </c>
      <c r="CO202" s="112" t="s">
        <v>522</v>
      </c>
      <c r="CP202" s="112" t="s">
        <v>1119</v>
      </c>
      <c r="CQ202" s="112" t="s">
        <v>1159</v>
      </c>
      <c r="CR202" s="112" t="s">
        <v>1159</v>
      </c>
      <c r="CS202" s="112" t="s">
        <v>525</v>
      </c>
      <c r="CT202" s="112" t="s">
        <v>1121</v>
      </c>
      <c r="CU202" s="112" t="s">
        <v>527</v>
      </c>
      <c r="CV202" s="113" t="s">
        <v>528</v>
      </c>
      <c r="CX202" s="68"/>
    </row>
    <row r="203" spans="1:102" ht="21" customHeight="1" x14ac:dyDescent="0.25">
      <c r="A203" s="63"/>
      <c r="B203" s="72"/>
      <c r="C203" s="72"/>
      <c r="D203" s="63"/>
      <c r="E203" s="63"/>
      <c r="F203" s="63"/>
      <c r="G203" s="63"/>
      <c r="H203" s="63"/>
      <c r="I203" s="63"/>
      <c r="J203" s="63"/>
      <c r="K203" s="63"/>
      <c r="L203" s="63"/>
      <c r="M203" s="63"/>
      <c r="N203" s="63"/>
      <c r="O203" s="63"/>
      <c r="P203" s="63"/>
      <c r="Q203" s="63"/>
      <c r="R203" s="63"/>
      <c r="S203" s="63"/>
      <c r="CM203" s="102"/>
      <c r="CN203" s="112" t="s">
        <v>1160</v>
      </c>
      <c r="CO203" s="112" t="s">
        <v>522</v>
      </c>
      <c r="CP203" s="112" t="s">
        <v>1119</v>
      </c>
      <c r="CQ203" s="112" t="s">
        <v>1161</v>
      </c>
      <c r="CR203" s="112" t="s">
        <v>1161</v>
      </c>
      <c r="CS203" s="112" t="s">
        <v>525</v>
      </c>
      <c r="CT203" s="112" t="s">
        <v>1121</v>
      </c>
      <c r="CU203" s="112" t="s">
        <v>527</v>
      </c>
      <c r="CV203" s="113" t="s">
        <v>528</v>
      </c>
      <c r="CX203" s="68"/>
    </row>
    <row r="204" spans="1:102" ht="21" customHeight="1" x14ac:dyDescent="0.25">
      <c r="A204" s="63"/>
      <c r="B204" s="80" t="s">
        <v>6001</v>
      </c>
      <c r="C204" s="81"/>
      <c r="D204" s="63"/>
      <c r="E204" s="63"/>
      <c r="F204" s="63"/>
      <c r="G204" s="63"/>
      <c r="H204" s="63"/>
      <c r="I204" s="63"/>
      <c r="J204" s="63"/>
      <c r="K204" s="63"/>
      <c r="L204" s="63"/>
      <c r="M204" s="63"/>
      <c r="N204" s="63"/>
      <c r="O204" s="63"/>
      <c r="P204" s="63"/>
      <c r="Q204" s="63"/>
      <c r="R204" s="63"/>
      <c r="S204" s="63"/>
      <c r="CM204" s="102"/>
      <c r="CN204" s="112" t="s">
        <v>1162</v>
      </c>
      <c r="CO204" s="112" t="s">
        <v>522</v>
      </c>
      <c r="CP204" s="112" t="s">
        <v>1119</v>
      </c>
      <c r="CQ204" s="112" t="s">
        <v>1163</v>
      </c>
      <c r="CR204" s="112" t="s">
        <v>1163</v>
      </c>
      <c r="CS204" s="112" t="s">
        <v>525</v>
      </c>
      <c r="CT204" s="112" t="s">
        <v>1121</v>
      </c>
      <c r="CU204" s="112" t="s">
        <v>527</v>
      </c>
      <c r="CV204" s="113" t="s">
        <v>528</v>
      </c>
      <c r="CX204" s="68"/>
    </row>
    <row r="205" spans="1:102" ht="21" customHeight="1" x14ac:dyDescent="0.25">
      <c r="A205" s="63"/>
      <c r="B205" s="75" t="s">
        <v>982</v>
      </c>
      <c r="C205" s="72" t="s">
        <v>6002</v>
      </c>
      <c r="D205" s="63"/>
      <c r="E205" s="63"/>
      <c r="F205" s="63"/>
      <c r="G205" s="63"/>
      <c r="H205" s="63"/>
      <c r="I205" s="63"/>
      <c r="J205" s="63"/>
      <c r="K205" s="63"/>
      <c r="L205" s="63"/>
      <c r="M205" s="63"/>
      <c r="N205" s="63"/>
      <c r="O205" s="63"/>
      <c r="P205" s="63"/>
      <c r="Q205" s="63"/>
      <c r="R205" s="63"/>
      <c r="S205" s="63"/>
      <c r="CM205" s="102"/>
      <c r="CN205" s="112" t="s">
        <v>1164</v>
      </c>
      <c r="CO205" s="112" t="s">
        <v>522</v>
      </c>
      <c r="CP205" s="112" t="s">
        <v>1119</v>
      </c>
      <c r="CQ205" s="112" t="s">
        <v>1165</v>
      </c>
      <c r="CR205" s="112" t="s">
        <v>1165</v>
      </c>
      <c r="CS205" s="112" t="s">
        <v>525</v>
      </c>
      <c r="CT205" s="112" t="s">
        <v>1121</v>
      </c>
      <c r="CU205" s="112" t="s">
        <v>527</v>
      </c>
      <c r="CV205" s="113" t="s">
        <v>528</v>
      </c>
      <c r="CX205" s="68"/>
    </row>
    <row r="206" spans="1:102" ht="21" customHeight="1" x14ac:dyDescent="0.25">
      <c r="A206" s="63"/>
      <c r="B206" s="75" t="s">
        <v>985</v>
      </c>
      <c r="C206" s="72" t="s">
        <v>6003</v>
      </c>
      <c r="D206" s="63"/>
      <c r="E206" s="63"/>
      <c r="F206" s="63"/>
      <c r="G206" s="63"/>
      <c r="H206" s="63"/>
      <c r="I206" s="63"/>
      <c r="J206" s="63"/>
      <c r="K206" s="63"/>
      <c r="L206" s="63"/>
      <c r="M206" s="63"/>
      <c r="N206" s="63"/>
      <c r="O206" s="63"/>
      <c r="P206" s="63"/>
      <c r="Q206" s="63"/>
      <c r="R206" s="63"/>
      <c r="S206" s="63"/>
      <c r="CM206" s="102"/>
      <c r="CN206" s="112" t="s">
        <v>1166</v>
      </c>
      <c r="CO206" s="112" t="s">
        <v>539</v>
      </c>
      <c r="CP206" s="112" t="s">
        <v>523</v>
      </c>
      <c r="CQ206" s="112" t="s">
        <v>1167</v>
      </c>
      <c r="CR206" s="112" t="s">
        <v>1167</v>
      </c>
      <c r="CS206" s="112" t="s">
        <v>1168</v>
      </c>
      <c r="CT206" s="112" t="s">
        <v>1169</v>
      </c>
      <c r="CU206" s="112" t="s">
        <v>1170</v>
      </c>
      <c r="CV206" s="113" t="s">
        <v>1171</v>
      </c>
      <c r="CX206" s="68"/>
    </row>
    <row r="207" spans="1:102" ht="21" customHeight="1" x14ac:dyDescent="0.25">
      <c r="A207" s="63"/>
      <c r="B207" s="75" t="s">
        <v>988</v>
      </c>
      <c r="C207" s="72" t="s">
        <v>6004</v>
      </c>
      <c r="D207" s="63"/>
      <c r="E207" s="63"/>
      <c r="F207" s="63"/>
      <c r="G207" s="63"/>
      <c r="H207" s="63"/>
      <c r="I207" s="63"/>
      <c r="J207" s="63"/>
      <c r="K207" s="63"/>
      <c r="L207" s="63"/>
      <c r="M207" s="63"/>
      <c r="N207" s="63"/>
      <c r="O207" s="63"/>
      <c r="P207" s="63"/>
      <c r="Q207" s="63"/>
      <c r="R207" s="63"/>
      <c r="S207" s="63"/>
      <c r="CM207" s="102"/>
      <c r="CN207" s="112" t="s">
        <v>1172</v>
      </c>
      <c r="CO207" s="112" t="s">
        <v>539</v>
      </c>
      <c r="CP207" s="112" t="s">
        <v>523</v>
      </c>
      <c r="CQ207" s="112" t="s">
        <v>1173</v>
      </c>
      <c r="CR207" s="112" t="s">
        <v>1174</v>
      </c>
      <c r="CS207" s="112" t="s">
        <v>1168</v>
      </c>
      <c r="CT207" s="112" t="s">
        <v>1175</v>
      </c>
      <c r="CU207" s="112" t="s">
        <v>527</v>
      </c>
      <c r="CV207" s="113" t="s">
        <v>528</v>
      </c>
      <c r="CX207" s="68"/>
    </row>
    <row r="208" spans="1:102" ht="21" customHeight="1" x14ac:dyDescent="0.25">
      <c r="A208" s="63"/>
      <c r="B208" s="75" t="s">
        <v>992</v>
      </c>
      <c r="C208" s="72" t="s">
        <v>6005</v>
      </c>
      <c r="D208" s="63"/>
      <c r="E208" s="63"/>
      <c r="F208" s="63"/>
      <c r="G208" s="63"/>
      <c r="H208" s="63"/>
      <c r="I208" s="63"/>
      <c r="J208" s="63"/>
      <c r="K208" s="63"/>
      <c r="L208" s="63"/>
      <c r="M208" s="63"/>
      <c r="N208" s="63"/>
      <c r="O208" s="63"/>
      <c r="P208" s="63"/>
      <c r="Q208" s="63"/>
      <c r="R208" s="63"/>
      <c r="S208" s="63"/>
      <c r="CM208" s="102"/>
      <c r="CN208" s="112" t="s">
        <v>1176</v>
      </c>
      <c r="CO208" s="112" t="s">
        <v>539</v>
      </c>
      <c r="CP208" s="112" t="s">
        <v>523</v>
      </c>
      <c r="CQ208" s="112" t="s">
        <v>1177</v>
      </c>
      <c r="CR208" s="112" t="s">
        <v>1178</v>
      </c>
      <c r="CS208" s="112" t="s">
        <v>1168</v>
      </c>
      <c r="CT208" s="112" t="s">
        <v>1175</v>
      </c>
      <c r="CU208" s="112" t="s">
        <v>527</v>
      </c>
      <c r="CV208" s="113" t="s">
        <v>528</v>
      </c>
      <c r="CX208" s="68"/>
    </row>
    <row r="209" spans="1:102" ht="21" customHeight="1" x14ac:dyDescent="0.25">
      <c r="A209" s="63"/>
      <c r="B209" s="75" t="s">
        <v>995</v>
      </c>
      <c r="C209" s="72" t="s">
        <v>6006</v>
      </c>
      <c r="D209" s="63"/>
      <c r="E209" s="63"/>
      <c r="F209" s="63"/>
      <c r="G209" s="63"/>
      <c r="H209" s="63"/>
      <c r="I209" s="63"/>
      <c r="J209" s="63"/>
      <c r="K209" s="63"/>
      <c r="L209" s="63"/>
      <c r="M209" s="63"/>
      <c r="N209" s="63"/>
      <c r="O209" s="63"/>
      <c r="P209" s="63"/>
      <c r="Q209" s="63"/>
      <c r="R209" s="63"/>
      <c r="S209" s="63"/>
      <c r="CM209" s="102"/>
      <c r="CN209" s="112" t="s">
        <v>1179</v>
      </c>
      <c r="CO209" s="112" t="s">
        <v>539</v>
      </c>
      <c r="CP209" s="112" t="s">
        <v>523</v>
      </c>
      <c r="CQ209" s="112" t="s">
        <v>1180</v>
      </c>
      <c r="CR209" s="112" t="s">
        <v>1180</v>
      </c>
      <c r="CS209" s="112" t="s">
        <v>1168</v>
      </c>
      <c r="CT209" s="112" t="s">
        <v>1175</v>
      </c>
      <c r="CU209" s="112" t="s">
        <v>527</v>
      </c>
      <c r="CV209" s="113" t="s">
        <v>528</v>
      </c>
      <c r="CX209" s="68"/>
    </row>
    <row r="210" spans="1:102" ht="21" customHeight="1" x14ac:dyDescent="0.25">
      <c r="A210" s="63"/>
      <c r="B210" s="75" t="s">
        <v>998</v>
      </c>
      <c r="C210" s="72" t="s">
        <v>6007</v>
      </c>
      <c r="D210" s="63"/>
      <c r="E210" s="63"/>
      <c r="F210" s="63"/>
      <c r="G210" s="63"/>
      <c r="H210" s="63"/>
      <c r="I210" s="63"/>
      <c r="J210" s="63"/>
      <c r="K210" s="63"/>
      <c r="L210" s="63"/>
      <c r="M210" s="63"/>
      <c r="N210" s="63"/>
      <c r="O210" s="63"/>
      <c r="P210" s="63"/>
      <c r="Q210" s="63"/>
      <c r="R210" s="63"/>
      <c r="S210" s="63"/>
      <c r="CM210" s="102"/>
      <c r="CN210" s="112" t="s">
        <v>1181</v>
      </c>
      <c r="CO210" s="112" t="s">
        <v>539</v>
      </c>
      <c r="CP210" s="112" t="s">
        <v>523</v>
      </c>
      <c r="CQ210" s="112" t="s">
        <v>1182</v>
      </c>
      <c r="CR210" s="112" t="s">
        <v>1182</v>
      </c>
      <c r="CS210" s="112" t="s">
        <v>1168</v>
      </c>
      <c r="CT210" s="112" t="s">
        <v>1169</v>
      </c>
      <c r="CU210" s="112" t="s">
        <v>1170</v>
      </c>
      <c r="CV210" s="113" t="s">
        <v>1171</v>
      </c>
      <c r="CX210" s="68"/>
    </row>
    <row r="211" spans="1:102" ht="21" customHeight="1" x14ac:dyDescent="0.25">
      <c r="A211" s="63"/>
      <c r="B211" s="75"/>
      <c r="C211" s="72" t="s">
        <v>6008</v>
      </c>
      <c r="D211" s="63"/>
      <c r="E211" s="63"/>
      <c r="F211" s="63"/>
      <c r="G211" s="63"/>
      <c r="H211" s="63"/>
      <c r="I211" s="63"/>
      <c r="J211" s="63"/>
      <c r="K211" s="63"/>
      <c r="L211" s="63"/>
      <c r="M211" s="63"/>
      <c r="N211" s="63"/>
      <c r="O211" s="63"/>
      <c r="P211" s="63"/>
      <c r="Q211" s="63"/>
      <c r="R211" s="63"/>
      <c r="S211" s="63"/>
      <c r="CM211" s="102"/>
      <c r="CN211" s="112" t="s">
        <v>1183</v>
      </c>
      <c r="CO211" s="112" t="s">
        <v>539</v>
      </c>
      <c r="CP211" s="112" t="s">
        <v>523</v>
      </c>
      <c r="CQ211" s="112" t="s">
        <v>1184</v>
      </c>
      <c r="CR211" s="112" t="s">
        <v>1184</v>
      </c>
      <c r="CS211" s="112" t="s">
        <v>1168</v>
      </c>
      <c r="CT211" s="112" t="s">
        <v>1169</v>
      </c>
      <c r="CU211" s="112" t="s">
        <v>1170</v>
      </c>
      <c r="CV211" s="113" t="s">
        <v>1171</v>
      </c>
      <c r="CX211" s="68"/>
    </row>
    <row r="212" spans="1:102" ht="21" customHeight="1" x14ac:dyDescent="0.25">
      <c r="A212" s="63"/>
      <c r="B212" s="75" t="s">
        <v>1001</v>
      </c>
      <c r="C212" s="72" t="s">
        <v>6009</v>
      </c>
      <c r="D212" s="63"/>
      <c r="E212" s="63"/>
      <c r="F212" s="63"/>
      <c r="G212" s="63"/>
      <c r="H212" s="63"/>
      <c r="I212" s="63"/>
      <c r="J212" s="63"/>
      <c r="K212" s="63"/>
      <c r="L212" s="63"/>
      <c r="M212" s="63"/>
      <c r="N212" s="63"/>
      <c r="O212" s="63"/>
      <c r="P212" s="63"/>
      <c r="Q212" s="63"/>
      <c r="R212" s="63"/>
      <c r="S212" s="63"/>
      <c r="CM212" s="102"/>
      <c r="CN212" s="112" t="s">
        <v>1185</v>
      </c>
      <c r="CO212" s="112" t="s">
        <v>539</v>
      </c>
      <c r="CP212" s="112" t="s">
        <v>523</v>
      </c>
      <c r="CQ212" s="112" t="s">
        <v>1186</v>
      </c>
      <c r="CR212" s="112" t="s">
        <v>1186</v>
      </c>
      <c r="CS212" s="112" t="s">
        <v>1168</v>
      </c>
      <c r="CT212" s="112" t="s">
        <v>1169</v>
      </c>
      <c r="CU212" s="112" t="s">
        <v>1170</v>
      </c>
      <c r="CV212" s="113" t="s">
        <v>1171</v>
      </c>
      <c r="CX212" s="68"/>
    </row>
    <row r="213" spans="1:102" ht="21" customHeight="1" x14ac:dyDescent="0.25">
      <c r="A213" s="63"/>
      <c r="B213" s="72"/>
      <c r="C213" s="72"/>
      <c r="D213" s="63"/>
      <c r="E213" s="63"/>
      <c r="F213" s="63"/>
      <c r="G213" s="63"/>
      <c r="H213" s="63"/>
      <c r="I213" s="63"/>
      <c r="J213" s="63"/>
      <c r="K213" s="63"/>
      <c r="L213" s="63"/>
      <c r="M213" s="63"/>
      <c r="N213" s="63"/>
      <c r="O213" s="63"/>
      <c r="P213" s="63"/>
      <c r="Q213" s="63"/>
      <c r="R213" s="63"/>
      <c r="S213" s="63"/>
      <c r="CM213" s="102"/>
      <c r="CN213" s="112" t="s">
        <v>1187</v>
      </c>
      <c r="CO213" s="112" t="s">
        <v>539</v>
      </c>
      <c r="CP213" s="112" t="s">
        <v>523</v>
      </c>
      <c r="CQ213" s="112" t="s">
        <v>1188</v>
      </c>
      <c r="CR213" s="112" t="s">
        <v>1188</v>
      </c>
      <c r="CS213" s="112" t="s">
        <v>1168</v>
      </c>
      <c r="CT213" s="112" t="s">
        <v>1169</v>
      </c>
      <c r="CU213" s="112" t="s">
        <v>1170</v>
      </c>
      <c r="CV213" s="113" t="s">
        <v>1171</v>
      </c>
      <c r="CX213" s="68"/>
    </row>
    <row r="214" spans="1:102" ht="21" customHeight="1" x14ac:dyDescent="0.25">
      <c r="A214" s="63"/>
      <c r="B214" s="82" t="s">
        <v>6010</v>
      </c>
      <c r="C214" s="81"/>
      <c r="D214" s="63"/>
      <c r="E214" s="63"/>
      <c r="F214" s="63"/>
      <c r="G214" s="63"/>
      <c r="H214" s="63"/>
      <c r="I214" s="63"/>
      <c r="J214" s="63"/>
      <c r="K214" s="63"/>
      <c r="L214" s="63"/>
      <c r="M214" s="63"/>
      <c r="N214" s="63"/>
      <c r="O214" s="63"/>
      <c r="P214" s="63"/>
      <c r="Q214" s="63"/>
      <c r="R214" s="63"/>
      <c r="S214" s="63"/>
      <c r="CM214" s="102"/>
      <c r="CN214" s="112" t="s">
        <v>1189</v>
      </c>
      <c r="CO214" s="112" t="s">
        <v>539</v>
      </c>
      <c r="CP214" s="112" t="s">
        <v>523</v>
      </c>
      <c r="CQ214" s="112" t="s">
        <v>1190</v>
      </c>
      <c r="CR214" s="112" t="s">
        <v>1190</v>
      </c>
      <c r="CS214" s="112" t="s">
        <v>1168</v>
      </c>
      <c r="CT214" s="112" t="s">
        <v>1169</v>
      </c>
      <c r="CU214" s="112" t="s">
        <v>1170</v>
      </c>
      <c r="CV214" s="113" t="s">
        <v>1171</v>
      </c>
      <c r="CX214" s="68"/>
    </row>
    <row r="215" spans="1:102" ht="21" customHeight="1" x14ac:dyDescent="0.25">
      <c r="A215" s="63"/>
      <c r="B215" s="75" t="s">
        <v>6011</v>
      </c>
      <c r="C215" s="72" t="s">
        <v>6012</v>
      </c>
      <c r="D215" s="63"/>
      <c r="E215" s="63"/>
      <c r="F215" s="63"/>
      <c r="G215" s="63"/>
      <c r="H215" s="63"/>
      <c r="I215" s="63"/>
      <c r="J215" s="63"/>
      <c r="K215" s="63"/>
      <c r="L215" s="63"/>
      <c r="M215" s="63"/>
      <c r="N215" s="63"/>
      <c r="O215" s="63"/>
      <c r="P215" s="63"/>
      <c r="Q215" s="63"/>
      <c r="R215" s="63"/>
      <c r="S215" s="63"/>
      <c r="CM215" s="102"/>
      <c r="CN215" s="112" t="s">
        <v>1191</v>
      </c>
      <c r="CO215" s="112" t="s">
        <v>539</v>
      </c>
      <c r="CP215" s="112" t="s">
        <v>523</v>
      </c>
      <c r="CQ215" s="112" t="s">
        <v>1192</v>
      </c>
      <c r="CR215" s="112" t="s">
        <v>1192</v>
      </c>
      <c r="CS215" s="112" t="s">
        <v>1168</v>
      </c>
      <c r="CT215" s="112" t="s">
        <v>1175</v>
      </c>
      <c r="CU215" s="112" t="s">
        <v>527</v>
      </c>
      <c r="CV215" s="113" t="s">
        <v>528</v>
      </c>
      <c r="CX215" s="68"/>
    </row>
    <row r="216" spans="1:102" ht="21" customHeight="1" x14ac:dyDescent="0.25">
      <c r="A216" s="63"/>
      <c r="B216" s="75" t="s">
        <v>6013</v>
      </c>
      <c r="C216" s="72" t="s">
        <v>6014</v>
      </c>
      <c r="D216" s="63"/>
      <c r="E216" s="63"/>
      <c r="F216" s="63"/>
      <c r="G216" s="63"/>
      <c r="H216" s="63"/>
      <c r="I216" s="63"/>
      <c r="J216" s="63"/>
      <c r="K216" s="63"/>
      <c r="L216" s="63"/>
      <c r="M216" s="63"/>
      <c r="N216" s="63"/>
      <c r="O216" s="63"/>
      <c r="P216" s="63"/>
      <c r="Q216" s="63"/>
      <c r="R216" s="63"/>
      <c r="S216" s="63"/>
      <c r="CM216" s="102"/>
      <c r="CN216" s="112" t="s">
        <v>1193</v>
      </c>
      <c r="CO216" s="112" t="s">
        <v>539</v>
      </c>
      <c r="CP216" s="112" t="s">
        <v>523</v>
      </c>
      <c r="CQ216" s="112" t="s">
        <v>1194</v>
      </c>
      <c r="CR216" s="112" t="s">
        <v>1194</v>
      </c>
      <c r="CS216" s="112" t="s">
        <v>1168</v>
      </c>
      <c r="CT216" s="112" t="s">
        <v>1169</v>
      </c>
      <c r="CU216" s="112" t="s">
        <v>1170</v>
      </c>
      <c r="CV216" s="113" t="s">
        <v>1171</v>
      </c>
      <c r="CX216" s="68"/>
    </row>
    <row r="217" spans="1:102" ht="21" customHeight="1" x14ac:dyDescent="0.25">
      <c r="A217" s="63"/>
      <c r="B217" s="75" t="s">
        <v>6015</v>
      </c>
      <c r="C217" s="72" t="s">
        <v>6016</v>
      </c>
      <c r="D217" s="63"/>
      <c r="E217" s="63"/>
      <c r="F217" s="63"/>
      <c r="G217" s="63"/>
      <c r="H217" s="63"/>
      <c r="I217" s="63"/>
      <c r="J217" s="63"/>
      <c r="K217" s="63"/>
      <c r="L217" s="63"/>
      <c r="M217" s="63"/>
      <c r="N217" s="63"/>
      <c r="O217" s="63"/>
      <c r="P217" s="63"/>
      <c r="Q217" s="63"/>
      <c r="R217" s="63"/>
      <c r="S217" s="63"/>
      <c r="CM217" s="102"/>
      <c r="CN217" s="112" t="s">
        <v>1195</v>
      </c>
      <c r="CO217" s="112" t="s">
        <v>539</v>
      </c>
      <c r="CP217" s="112" t="s">
        <v>523</v>
      </c>
      <c r="CQ217" s="112" t="s">
        <v>1196</v>
      </c>
      <c r="CR217" s="112" t="s">
        <v>1196</v>
      </c>
      <c r="CS217" s="112" t="s">
        <v>1168</v>
      </c>
      <c r="CT217" s="112" t="s">
        <v>1169</v>
      </c>
      <c r="CU217" s="112" t="s">
        <v>1170</v>
      </c>
      <c r="CV217" s="113" t="s">
        <v>1171</v>
      </c>
      <c r="CX217" s="68"/>
    </row>
    <row r="218" spans="1:102" ht="21" customHeight="1" x14ac:dyDescent="0.25">
      <c r="A218" s="63"/>
      <c r="B218" s="79" t="s">
        <v>6017</v>
      </c>
      <c r="C218" s="72" t="s">
        <v>6018</v>
      </c>
      <c r="D218" s="63"/>
      <c r="E218" s="63"/>
      <c r="F218" s="63"/>
      <c r="G218" s="63"/>
      <c r="H218" s="63"/>
      <c r="I218" s="63"/>
      <c r="J218" s="63"/>
      <c r="K218" s="63"/>
      <c r="L218" s="63"/>
      <c r="M218" s="63"/>
      <c r="N218" s="63"/>
      <c r="O218" s="63"/>
      <c r="P218" s="63"/>
      <c r="Q218" s="63"/>
      <c r="R218" s="63"/>
      <c r="S218" s="63"/>
      <c r="CM218" s="102"/>
      <c r="CN218" s="112" t="s">
        <v>1197</v>
      </c>
      <c r="CO218" s="112" t="s">
        <v>539</v>
      </c>
      <c r="CP218" s="112" t="s">
        <v>523</v>
      </c>
      <c r="CQ218" s="112" t="s">
        <v>1198</v>
      </c>
      <c r="CR218" s="112" t="s">
        <v>1198</v>
      </c>
      <c r="CS218" s="112" t="s">
        <v>1168</v>
      </c>
      <c r="CT218" s="112" t="s">
        <v>1169</v>
      </c>
      <c r="CU218" s="112" t="s">
        <v>1170</v>
      </c>
      <c r="CV218" s="113" t="s">
        <v>1171</v>
      </c>
      <c r="CX218" s="68"/>
    </row>
    <row r="219" spans="1:102" ht="21" customHeight="1" x14ac:dyDescent="0.25">
      <c r="A219" s="63"/>
      <c r="B219" s="75" t="s">
        <v>6019</v>
      </c>
      <c r="C219" s="72" t="s">
        <v>6020</v>
      </c>
      <c r="D219" s="63"/>
      <c r="E219" s="63"/>
      <c r="F219" s="63"/>
      <c r="G219" s="63"/>
      <c r="H219" s="63"/>
      <c r="I219" s="63"/>
      <c r="J219" s="63"/>
      <c r="K219" s="63"/>
      <c r="L219" s="63"/>
      <c r="M219" s="63"/>
      <c r="N219" s="63"/>
      <c r="O219" s="63"/>
      <c r="P219" s="63"/>
      <c r="Q219" s="63"/>
      <c r="R219" s="63"/>
      <c r="S219" s="63"/>
      <c r="CM219" s="102"/>
      <c r="CN219" s="112" t="s">
        <v>1199</v>
      </c>
      <c r="CO219" s="112" t="s">
        <v>539</v>
      </c>
      <c r="CP219" s="112" t="s">
        <v>523</v>
      </c>
      <c r="CQ219" s="112" t="s">
        <v>1200</v>
      </c>
      <c r="CR219" s="112" t="s">
        <v>1200</v>
      </c>
      <c r="CS219" s="112" t="s">
        <v>1168</v>
      </c>
      <c r="CT219" s="112" t="s">
        <v>1169</v>
      </c>
      <c r="CU219" s="112" t="s">
        <v>1170</v>
      </c>
      <c r="CV219" s="113" t="s">
        <v>1171</v>
      </c>
      <c r="CX219" s="68"/>
    </row>
    <row r="220" spans="1:102" ht="21" customHeight="1" x14ac:dyDescent="0.25">
      <c r="A220" s="63"/>
      <c r="B220" s="75" t="s">
        <v>6021</v>
      </c>
      <c r="C220" s="72" t="s">
        <v>6022</v>
      </c>
      <c r="D220" s="63"/>
      <c r="E220" s="63"/>
      <c r="F220" s="63"/>
      <c r="G220" s="63"/>
      <c r="H220" s="63"/>
      <c r="I220" s="63"/>
      <c r="J220" s="63"/>
      <c r="K220" s="63"/>
      <c r="L220" s="63"/>
      <c r="M220" s="63"/>
      <c r="N220" s="63"/>
      <c r="O220" s="63"/>
      <c r="P220" s="63"/>
      <c r="Q220" s="63"/>
      <c r="R220" s="63"/>
      <c r="S220" s="63"/>
      <c r="CM220" s="102"/>
      <c r="CN220" s="112" t="s">
        <v>1201</v>
      </c>
      <c r="CO220" s="112" t="s">
        <v>539</v>
      </c>
      <c r="CP220" s="112" t="s">
        <v>523</v>
      </c>
      <c r="CQ220" s="112" t="s">
        <v>1202</v>
      </c>
      <c r="CR220" s="112" t="s">
        <v>1202</v>
      </c>
      <c r="CS220" s="112" t="s">
        <v>1168</v>
      </c>
      <c r="CT220" s="112" t="s">
        <v>1175</v>
      </c>
      <c r="CU220" s="112" t="s">
        <v>527</v>
      </c>
      <c r="CV220" s="113" t="s">
        <v>528</v>
      </c>
      <c r="CX220" s="68"/>
    </row>
    <row r="221" spans="1:102" ht="21" customHeight="1" x14ac:dyDescent="0.25">
      <c r="A221" s="63"/>
      <c r="B221" s="83"/>
      <c r="C221" s="72"/>
      <c r="D221" s="63"/>
      <c r="E221" s="63"/>
      <c r="F221" s="63"/>
      <c r="G221" s="63"/>
      <c r="H221" s="63"/>
      <c r="I221" s="63"/>
      <c r="J221" s="63"/>
      <c r="K221" s="63"/>
      <c r="L221" s="63"/>
      <c r="M221" s="63"/>
      <c r="N221" s="63"/>
      <c r="O221" s="63"/>
      <c r="P221" s="63"/>
      <c r="Q221" s="63"/>
      <c r="R221" s="63"/>
      <c r="S221" s="63"/>
      <c r="CM221" s="102"/>
      <c r="CN221" s="112" t="s">
        <v>1203</v>
      </c>
      <c r="CO221" s="112" t="s">
        <v>539</v>
      </c>
      <c r="CP221" s="112" t="s">
        <v>523</v>
      </c>
      <c r="CQ221" s="112" t="s">
        <v>1204</v>
      </c>
      <c r="CR221" s="112" t="s">
        <v>1204</v>
      </c>
      <c r="CS221" s="112" t="s">
        <v>610</v>
      </c>
      <c r="CT221" s="112" t="s">
        <v>611</v>
      </c>
      <c r="CU221" s="112" t="s">
        <v>527</v>
      </c>
      <c r="CV221" s="113" t="s">
        <v>612</v>
      </c>
      <c r="CX221" s="68"/>
    </row>
    <row r="222" spans="1:102" ht="21" customHeight="1" x14ac:dyDescent="0.25">
      <c r="A222" s="63"/>
      <c r="B222" s="82" t="s">
        <v>6023</v>
      </c>
      <c r="C222" s="81"/>
      <c r="D222" s="63"/>
      <c r="E222" s="63"/>
      <c r="F222" s="63"/>
      <c r="G222" s="63"/>
      <c r="H222" s="63"/>
      <c r="I222" s="63"/>
      <c r="J222" s="63"/>
      <c r="K222" s="63"/>
      <c r="L222" s="63"/>
      <c r="M222" s="63"/>
      <c r="N222" s="63"/>
      <c r="O222" s="63"/>
      <c r="P222" s="63"/>
      <c r="Q222" s="63"/>
      <c r="R222" s="63"/>
      <c r="S222" s="63"/>
      <c r="CM222" s="102"/>
      <c r="CN222" s="112" t="s">
        <v>1205</v>
      </c>
      <c r="CO222" s="112" t="s">
        <v>539</v>
      </c>
      <c r="CP222" s="112" t="s">
        <v>523</v>
      </c>
      <c r="CQ222" s="112" t="s">
        <v>1206</v>
      </c>
      <c r="CR222" s="112" t="s">
        <v>1206</v>
      </c>
      <c r="CS222" s="112" t="s">
        <v>1168</v>
      </c>
      <c r="CT222" s="112" t="s">
        <v>1169</v>
      </c>
      <c r="CU222" s="112" t="s">
        <v>1170</v>
      </c>
      <c r="CV222" s="113" t="s">
        <v>1171</v>
      </c>
      <c r="CX222" s="68"/>
    </row>
    <row r="223" spans="1:102" ht="21" customHeight="1" x14ac:dyDescent="0.25">
      <c r="A223" s="63"/>
      <c r="B223" s="75" t="s">
        <v>6024</v>
      </c>
      <c r="C223" s="72" t="s">
        <v>6025</v>
      </c>
      <c r="D223" s="63"/>
      <c r="E223" s="63"/>
      <c r="F223" s="63"/>
      <c r="G223" s="63"/>
      <c r="H223" s="63"/>
      <c r="I223" s="63"/>
      <c r="J223" s="63"/>
      <c r="K223" s="63"/>
      <c r="L223" s="63"/>
      <c r="M223" s="63"/>
      <c r="N223" s="63"/>
      <c r="O223" s="63"/>
      <c r="P223" s="63"/>
      <c r="Q223" s="63"/>
      <c r="R223" s="63"/>
      <c r="S223" s="63"/>
      <c r="CM223" s="102"/>
      <c r="CN223" s="112" t="s">
        <v>1207</v>
      </c>
      <c r="CO223" s="112" t="s">
        <v>539</v>
      </c>
      <c r="CP223" s="112" t="s">
        <v>523</v>
      </c>
      <c r="CQ223" s="112" t="s">
        <v>1208</v>
      </c>
      <c r="CR223" s="112" t="s">
        <v>1208</v>
      </c>
      <c r="CS223" s="112" t="s">
        <v>1168</v>
      </c>
      <c r="CT223" s="112" t="s">
        <v>1169</v>
      </c>
      <c r="CU223" s="112" t="s">
        <v>1170</v>
      </c>
      <c r="CV223" s="113" t="s">
        <v>1171</v>
      </c>
      <c r="CX223" s="68"/>
    </row>
    <row r="224" spans="1:102" ht="21" customHeight="1" x14ac:dyDescent="0.25">
      <c r="A224" s="63"/>
      <c r="B224" s="75" t="s">
        <v>6026</v>
      </c>
      <c r="C224" s="72" t="s">
        <v>6027</v>
      </c>
      <c r="D224" s="63"/>
      <c r="E224" s="63"/>
      <c r="F224" s="63"/>
      <c r="G224" s="63"/>
      <c r="H224" s="63"/>
      <c r="I224" s="63"/>
      <c r="J224" s="63"/>
      <c r="K224" s="63"/>
      <c r="L224" s="63"/>
      <c r="M224" s="63"/>
      <c r="N224" s="63"/>
      <c r="O224" s="63"/>
      <c r="P224" s="63"/>
      <c r="Q224" s="63"/>
      <c r="R224" s="63"/>
      <c r="S224" s="63"/>
      <c r="CM224" s="102"/>
      <c r="CN224" s="112" t="s">
        <v>1209</v>
      </c>
      <c r="CO224" s="112" t="s">
        <v>539</v>
      </c>
      <c r="CP224" s="112" t="s">
        <v>523</v>
      </c>
      <c r="CQ224" s="112" t="s">
        <v>1210</v>
      </c>
      <c r="CR224" s="112" t="s">
        <v>1210</v>
      </c>
      <c r="CS224" s="112" t="s">
        <v>1168</v>
      </c>
      <c r="CT224" s="112" t="s">
        <v>1169</v>
      </c>
      <c r="CU224" s="112" t="s">
        <v>1170</v>
      </c>
      <c r="CV224" s="113" t="s">
        <v>1171</v>
      </c>
      <c r="CX224" s="68"/>
    </row>
    <row r="225" spans="1:102" ht="21" customHeight="1" x14ac:dyDescent="0.25">
      <c r="A225" s="63"/>
      <c r="B225" s="75"/>
      <c r="C225" s="72" t="s">
        <v>6028</v>
      </c>
      <c r="D225" s="63"/>
      <c r="E225" s="63"/>
      <c r="F225" s="63"/>
      <c r="G225" s="63"/>
      <c r="H225" s="63"/>
      <c r="I225" s="63"/>
      <c r="J225" s="63"/>
      <c r="K225" s="63"/>
      <c r="L225" s="63"/>
      <c r="M225" s="63"/>
      <c r="N225" s="63"/>
      <c r="O225" s="63"/>
      <c r="P225" s="63"/>
      <c r="Q225" s="63"/>
      <c r="R225" s="63"/>
      <c r="S225" s="63"/>
      <c r="CM225" s="102"/>
      <c r="CN225" s="112" t="s">
        <v>1211</v>
      </c>
      <c r="CO225" s="112" t="s">
        <v>539</v>
      </c>
      <c r="CP225" s="112" t="s">
        <v>523</v>
      </c>
      <c r="CQ225" s="112" t="s">
        <v>1212</v>
      </c>
      <c r="CR225" s="112" t="s">
        <v>1212</v>
      </c>
      <c r="CS225" s="112" t="s">
        <v>1168</v>
      </c>
      <c r="CT225" s="112" t="s">
        <v>1169</v>
      </c>
      <c r="CU225" s="112" t="s">
        <v>1170</v>
      </c>
      <c r="CV225" s="113" t="s">
        <v>1171</v>
      </c>
      <c r="CX225" s="68"/>
    </row>
    <row r="226" spans="1:102" ht="21" customHeight="1" x14ac:dyDescent="0.25">
      <c r="A226" s="63"/>
      <c r="B226" s="75" t="s">
        <v>6029</v>
      </c>
      <c r="C226" s="72" t="s">
        <v>6030</v>
      </c>
      <c r="D226" s="63"/>
      <c r="E226" s="63"/>
      <c r="F226" s="63"/>
      <c r="G226" s="63"/>
      <c r="H226" s="63"/>
      <c r="I226" s="63"/>
      <c r="J226" s="63"/>
      <c r="K226" s="63"/>
      <c r="L226" s="63"/>
      <c r="M226" s="63"/>
      <c r="N226" s="63"/>
      <c r="O226" s="63"/>
      <c r="P226" s="63"/>
      <c r="Q226" s="63"/>
      <c r="R226" s="63"/>
      <c r="S226" s="63"/>
      <c r="CM226" s="102"/>
      <c r="CN226" s="112" t="s">
        <v>1213</v>
      </c>
      <c r="CO226" s="112" t="s">
        <v>539</v>
      </c>
      <c r="CP226" s="112" t="s">
        <v>523</v>
      </c>
      <c r="CQ226" s="112" t="s">
        <v>1214</v>
      </c>
      <c r="CR226" s="112" t="s">
        <v>1214</v>
      </c>
      <c r="CS226" s="112" t="s">
        <v>1168</v>
      </c>
      <c r="CT226" s="112" t="s">
        <v>1169</v>
      </c>
      <c r="CU226" s="112" t="s">
        <v>1170</v>
      </c>
      <c r="CV226" s="113" t="s">
        <v>1171</v>
      </c>
      <c r="CX226" s="36">
        <v>1</v>
      </c>
    </row>
    <row r="227" spans="1:102" ht="21" customHeight="1" x14ac:dyDescent="0.25">
      <c r="A227" s="63"/>
      <c r="B227" s="75" t="s">
        <v>6031</v>
      </c>
      <c r="C227" s="72" t="s">
        <v>6032</v>
      </c>
      <c r="D227" s="63"/>
      <c r="E227" s="63"/>
      <c r="F227" s="63"/>
      <c r="G227" s="63"/>
      <c r="H227" s="63"/>
      <c r="I227" s="63"/>
      <c r="J227" s="63"/>
      <c r="K227" s="63"/>
      <c r="L227" s="63"/>
      <c r="M227" s="63"/>
      <c r="N227" s="63"/>
      <c r="O227" s="63"/>
      <c r="P227" s="63"/>
      <c r="Q227" s="63"/>
      <c r="R227" s="63"/>
      <c r="S227" s="63"/>
      <c r="CM227" s="102"/>
      <c r="CN227" s="112" t="s">
        <v>1215</v>
      </c>
      <c r="CO227" s="112" t="s">
        <v>539</v>
      </c>
      <c r="CP227" s="112" t="s">
        <v>523</v>
      </c>
      <c r="CQ227" s="112" t="s">
        <v>1216</v>
      </c>
      <c r="CR227" s="112" t="s">
        <v>1216</v>
      </c>
      <c r="CS227" s="112" t="s">
        <v>1168</v>
      </c>
      <c r="CT227" s="112" t="s">
        <v>1169</v>
      </c>
      <c r="CU227" s="112" t="s">
        <v>1170</v>
      </c>
      <c r="CV227" s="113" t="s">
        <v>1171</v>
      </c>
      <c r="CX227" s="36">
        <v>1</v>
      </c>
    </row>
    <row r="228" spans="1:102" ht="21" customHeight="1" x14ac:dyDescent="0.25">
      <c r="A228" s="63"/>
      <c r="B228" s="72"/>
      <c r="C228" s="72"/>
      <c r="D228" s="63"/>
      <c r="E228" s="63"/>
      <c r="F228" s="63"/>
      <c r="G228" s="63"/>
      <c r="H228" s="63"/>
      <c r="I228" s="63"/>
      <c r="J228" s="63"/>
      <c r="K228" s="63"/>
      <c r="L228" s="63"/>
      <c r="M228" s="63"/>
      <c r="N228" s="63"/>
      <c r="O228" s="63"/>
      <c r="P228" s="63"/>
      <c r="Q228" s="63"/>
      <c r="R228" s="63"/>
      <c r="S228" s="63"/>
      <c r="CM228" s="102"/>
      <c r="CN228" s="112" t="s">
        <v>1217</v>
      </c>
      <c r="CO228" s="112" t="s">
        <v>539</v>
      </c>
      <c r="CP228" s="112" t="s">
        <v>523</v>
      </c>
      <c r="CQ228" s="112" t="s">
        <v>1218</v>
      </c>
      <c r="CR228" s="112" t="s">
        <v>1218</v>
      </c>
      <c r="CS228" s="112" t="s">
        <v>1168</v>
      </c>
      <c r="CT228" s="112" t="s">
        <v>1169</v>
      </c>
      <c r="CU228" s="112" t="s">
        <v>1170</v>
      </c>
      <c r="CV228" s="113" t="s">
        <v>1171</v>
      </c>
      <c r="CX228" s="36">
        <v>1</v>
      </c>
    </row>
    <row r="229" spans="1:102" ht="21" customHeight="1" x14ac:dyDescent="0.25">
      <c r="A229" s="63"/>
      <c r="B229" s="80" t="s">
        <v>6033</v>
      </c>
      <c r="C229" s="78"/>
      <c r="D229" s="63"/>
      <c r="E229" s="63"/>
      <c r="F229" s="63"/>
      <c r="G229" s="63"/>
      <c r="H229" s="63"/>
      <c r="I229" s="63"/>
      <c r="J229" s="63"/>
      <c r="K229" s="63"/>
      <c r="L229" s="63"/>
      <c r="M229" s="63"/>
      <c r="N229" s="63"/>
      <c r="O229" s="63"/>
      <c r="P229" s="63"/>
      <c r="Q229" s="63"/>
      <c r="R229" s="63"/>
      <c r="S229" s="63"/>
      <c r="CM229" s="102"/>
      <c r="CN229" s="112" t="s">
        <v>1219</v>
      </c>
      <c r="CO229" s="112" t="s">
        <v>539</v>
      </c>
      <c r="CP229" s="112" t="s">
        <v>523</v>
      </c>
      <c r="CQ229" s="112" t="s">
        <v>1220</v>
      </c>
      <c r="CR229" s="112" t="s">
        <v>1220</v>
      </c>
      <c r="CS229" s="112" t="s">
        <v>1168</v>
      </c>
      <c r="CT229" s="112" t="s">
        <v>1169</v>
      </c>
      <c r="CU229" s="112" t="s">
        <v>1170</v>
      </c>
      <c r="CV229" s="113" t="s">
        <v>1171</v>
      </c>
      <c r="CX229" s="36">
        <v>1</v>
      </c>
    </row>
    <row r="230" spans="1:102" ht="21" customHeight="1" x14ac:dyDescent="0.25">
      <c r="A230" s="63"/>
      <c r="B230" s="75" t="s">
        <v>6034</v>
      </c>
      <c r="C230" s="72" t="s">
        <v>6035</v>
      </c>
      <c r="D230" s="63"/>
      <c r="E230" s="63"/>
      <c r="F230" s="63"/>
      <c r="G230" s="63"/>
      <c r="H230" s="63"/>
      <c r="I230" s="63"/>
      <c r="J230" s="63"/>
      <c r="K230" s="63"/>
      <c r="L230" s="63"/>
      <c r="M230" s="63"/>
      <c r="N230" s="63"/>
      <c r="O230" s="63"/>
      <c r="P230" s="63"/>
      <c r="Q230" s="63"/>
      <c r="R230" s="63"/>
      <c r="S230" s="63"/>
      <c r="CM230" s="102"/>
      <c r="CN230" s="112" t="s">
        <v>1221</v>
      </c>
      <c r="CO230" s="112" t="s">
        <v>539</v>
      </c>
      <c r="CP230" s="112" t="s">
        <v>523</v>
      </c>
      <c r="CQ230" s="112" t="s">
        <v>1222</v>
      </c>
      <c r="CR230" s="112" t="s">
        <v>1222</v>
      </c>
      <c r="CS230" s="112" t="s">
        <v>1168</v>
      </c>
      <c r="CT230" s="112" t="s">
        <v>1169</v>
      </c>
      <c r="CU230" s="112" t="s">
        <v>1170</v>
      </c>
      <c r="CV230" s="113" t="s">
        <v>1171</v>
      </c>
      <c r="CX230" s="36">
        <v>1</v>
      </c>
    </row>
    <row r="231" spans="1:102" ht="21" customHeight="1" x14ac:dyDescent="0.25">
      <c r="A231" s="63"/>
      <c r="B231" s="75" t="s">
        <v>6036</v>
      </c>
      <c r="C231" s="72" t="s">
        <v>6037</v>
      </c>
      <c r="D231" s="63"/>
      <c r="E231" s="63"/>
      <c r="F231" s="63"/>
      <c r="G231" s="63"/>
      <c r="H231" s="63"/>
      <c r="I231" s="63"/>
      <c r="J231" s="63"/>
      <c r="K231" s="63"/>
      <c r="L231" s="63"/>
      <c r="M231" s="63"/>
      <c r="N231" s="63"/>
      <c r="O231" s="63"/>
      <c r="P231" s="63"/>
      <c r="Q231" s="63"/>
      <c r="R231" s="63"/>
      <c r="S231" s="63"/>
      <c r="CM231" s="102"/>
      <c r="CN231" s="112" t="s">
        <v>1223</v>
      </c>
      <c r="CO231" s="112" t="s">
        <v>539</v>
      </c>
      <c r="CP231" s="112" t="s">
        <v>523</v>
      </c>
      <c r="CQ231" s="112" t="s">
        <v>1224</v>
      </c>
      <c r="CR231" s="112" t="s">
        <v>1224</v>
      </c>
      <c r="CS231" s="112" t="s">
        <v>1168</v>
      </c>
      <c r="CT231" s="112" t="s">
        <v>1169</v>
      </c>
      <c r="CU231" s="112" t="s">
        <v>1170</v>
      </c>
      <c r="CV231" s="113" t="s">
        <v>1171</v>
      </c>
      <c r="CX231" s="36">
        <v>1</v>
      </c>
    </row>
    <row r="232" spans="1:102" ht="21" customHeight="1" x14ac:dyDescent="0.25">
      <c r="A232" s="63"/>
      <c r="B232" s="75" t="s">
        <v>6038</v>
      </c>
      <c r="C232" s="72" t="s">
        <v>6039</v>
      </c>
      <c r="D232" s="63"/>
      <c r="E232" s="63"/>
      <c r="F232" s="63"/>
      <c r="G232" s="63"/>
      <c r="H232" s="63"/>
      <c r="I232" s="63"/>
      <c r="J232" s="63"/>
      <c r="K232" s="63"/>
      <c r="L232" s="63"/>
      <c r="M232" s="63"/>
      <c r="N232" s="63"/>
      <c r="O232" s="63"/>
      <c r="P232" s="63"/>
      <c r="Q232" s="63"/>
      <c r="R232" s="63"/>
      <c r="S232" s="63"/>
      <c r="CM232" s="102"/>
      <c r="CN232" s="112" t="s">
        <v>1225</v>
      </c>
      <c r="CO232" s="112" t="s">
        <v>539</v>
      </c>
      <c r="CP232" s="112" t="s">
        <v>523</v>
      </c>
      <c r="CQ232" s="112" t="s">
        <v>1226</v>
      </c>
      <c r="CR232" s="112" t="s">
        <v>1226</v>
      </c>
      <c r="CS232" s="112" t="s">
        <v>1168</v>
      </c>
      <c r="CT232" s="112" t="s">
        <v>1169</v>
      </c>
      <c r="CU232" s="112" t="s">
        <v>1170</v>
      </c>
      <c r="CV232" s="113" t="s">
        <v>1171</v>
      </c>
      <c r="CX232" s="36">
        <v>1</v>
      </c>
    </row>
    <row r="233" spans="1:102" ht="21" customHeight="1" x14ac:dyDescent="0.25">
      <c r="A233" s="63"/>
      <c r="B233" s="75" t="s">
        <v>6040</v>
      </c>
      <c r="C233" s="72" t="s">
        <v>6041</v>
      </c>
      <c r="D233" s="63"/>
      <c r="E233" s="63"/>
      <c r="F233" s="63"/>
      <c r="G233" s="63"/>
      <c r="H233" s="63"/>
      <c r="I233" s="63"/>
      <c r="J233" s="63"/>
      <c r="K233" s="63"/>
      <c r="L233" s="63"/>
      <c r="M233" s="63"/>
      <c r="N233" s="63"/>
      <c r="O233" s="63"/>
      <c r="P233" s="63"/>
      <c r="Q233" s="63"/>
      <c r="R233" s="63"/>
      <c r="S233" s="63"/>
      <c r="CM233" s="102"/>
      <c r="CN233" s="112" t="s">
        <v>1227</v>
      </c>
      <c r="CO233" s="112" t="s">
        <v>539</v>
      </c>
      <c r="CP233" s="112" t="s">
        <v>523</v>
      </c>
      <c r="CQ233" s="112" t="s">
        <v>1228</v>
      </c>
      <c r="CR233" s="112" t="s">
        <v>1228</v>
      </c>
      <c r="CS233" s="112" t="s">
        <v>1168</v>
      </c>
      <c r="CT233" s="112" t="s">
        <v>1169</v>
      </c>
      <c r="CU233" s="112" t="s">
        <v>1170</v>
      </c>
      <c r="CV233" s="113" t="s">
        <v>1171</v>
      </c>
      <c r="CX233" s="36">
        <v>1</v>
      </c>
    </row>
    <row r="234" spans="1:102" ht="21" customHeight="1" x14ac:dyDescent="0.25">
      <c r="A234" s="63"/>
      <c r="B234" s="80"/>
      <c r="C234" s="72" t="s">
        <v>6042</v>
      </c>
      <c r="D234" s="63"/>
      <c r="E234" s="63"/>
      <c r="F234" s="63"/>
      <c r="G234" s="63"/>
      <c r="H234" s="63"/>
      <c r="I234" s="63"/>
      <c r="J234" s="63"/>
      <c r="K234" s="63"/>
      <c r="L234" s="63"/>
      <c r="M234" s="63"/>
      <c r="N234" s="63"/>
      <c r="O234" s="63"/>
      <c r="P234" s="63"/>
      <c r="Q234" s="63"/>
      <c r="R234" s="63"/>
      <c r="S234" s="63"/>
      <c r="CM234" s="102"/>
      <c r="CN234" s="112" t="s">
        <v>1229</v>
      </c>
      <c r="CO234" s="112" t="s">
        <v>539</v>
      </c>
      <c r="CP234" s="112" t="s">
        <v>523</v>
      </c>
      <c r="CQ234" s="112" t="s">
        <v>1230</v>
      </c>
      <c r="CR234" s="112" t="s">
        <v>1230</v>
      </c>
      <c r="CS234" s="112" t="s">
        <v>1168</v>
      </c>
      <c r="CT234" s="112" t="s">
        <v>1169</v>
      </c>
      <c r="CU234" s="112" t="s">
        <v>1170</v>
      </c>
      <c r="CV234" s="113" t="s">
        <v>1171</v>
      </c>
      <c r="CX234" s="36">
        <v>1</v>
      </c>
    </row>
    <row r="235" spans="1:102" ht="21" customHeight="1" x14ac:dyDescent="0.25">
      <c r="A235" s="63"/>
      <c r="B235" s="83"/>
      <c r="C235" s="72"/>
      <c r="D235" s="63"/>
      <c r="E235" s="63"/>
      <c r="F235" s="63"/>
      <c r="G235" s="63"/>
      <c r="H235" s="63"/>
      <c r="I235" s="63"/>
      <c r="J235" s="63"/>
      <c r="K235" s="63"/>
      <c r="L235" s="63"/>
      <c r="M235" s="63"/>
      <c r="N235" s="63"/>
      <c r="O235" s="63"/>
      <c r="P235" s="63"/>
      <c r="Q235" s="63"/>
      <c r="R235" s="63"/>
      <c r="S235" s="63"/>
      <c r="CM235" s="102"/>
      <c r="CN235" s="112" t="s">
        <v>1231</v>
      </c>
      <c r="CO235" s="112" t="s">
        <v>539</v>
      </c>
      <c r="CP235" s="112" t="s">
        <v>523</v>
      </c>
      <c r="CQ235" s="112" t="s">
        <v>1232</v>
      </c>
      <c r="CR235" s="112" t="s">
        <v>1232</v>
      </c>
      <c r="CS235" s="112" t="s">
        <v>1168</v>
      </c>
      <c r="CT235" s="112" t="s">
        <v>1175</v>
      </c>
      <c r="CU235" s="112" t="s">
        <v>527</v>
      </c>
      <c r="CV235" s="113" t="s">
        <v>528</v>
      </c>
      <c r="CX235" s="36">
        <v>1</v>
      </c>
    </row>
    <row r="236" spans="1:102" ht="21" customHeight="1" x14ac:dyDescent="0.25">
      <c r="A236" s="63"/>
      <c r="B236" s="82" t="s">
        <v>6043</v>
      </c>
      <c r="C236" s="81"/>
      <c r="D236" s="63"/>
      <c r="E236" s="63"/>
      <c r="F236" s="63"/>
      <c r="G236" s="63"/>
      <c r="H236" s="63"/>
      <c r="I236" s="63"/>
      <c r="J236" s="63"/>
      <c r="K236" s="63"/>
      <c r="L236" s="63"/>
      <c r="M236" s="63"/>
      <c r="N236" s="63"/>
      <c r="O236" s="63"/>
      <c r="P236" s="63"/>
      <c r="Q236" s="63"/>
      <c r="R236" s="63"/>
      <c r="S236" s="63"/>
      <c r="CM236" s="102"/>
      <c r="CN236" s="112" t="s">
        <v>1233</v>
      </c>
      <c r="CO236" s="112" t="s">
        <v>539</v>
      </c>
      <c r="CP236" s="112" t="s">
        <v>523</v>
      </c>
      <c r="CQ236" s="112" t="s">
        <v>1234</v>
      </c>
      <c r="CR236" s="112" t="s">
        <v>1234</v>
      </c>
      <c r="CS236" s="112" t="s">
        <v>610</v>
      </c>
      <c r="CT236" s="112" t="s">
        <v>611</v>
      </c>
      <c r="CU236" s="112" t="s">
        <v>527</v>
      </c>
      <c r="CV236" s="113" t="s">
        <v>612</v>
      </c>
      <c r="CX236" s="36">
        <v>1</v>
      </c>
    </row>
    <row r="237" spans="1:102" ht="21" customHeight="1" x14ac:dyDescent="0.25">
      <c r="A237" s="63"/>
      <c r="B237" s="75" t="s">
        <v>6044</v>
      </c>
      <c r="C237" s="72" t="s">
        <v>6045</v>
      </c>
      <c r="D237" s="63"/>
      <c r="E237" s="63"/>
      <c r="F237" s="63"/>
      <c r="G237" s="63"/>
      <c r="H237" s="63"/>
      <c r="I237" s="63"/>
      <c r="J237" s="63"/>
      <c r="K237" s="63"/>
      <c r="L237" s="63"/>
      <c r="M237" s="63"/>
      <c r="N237" s="63"/>
      <c r="O237" s="63"/>
      <c r="P237" s="63"/>
      <c r="Q237" s="63"/>
      <c r="R237" s="63"/>
      <c r="S237" s="63"/>
      <c r="CM237" s="102"/>
      <c r="CN237" s="112" t="s">
        <v>1235</v>
      </c>
      <c r="CO237" s="112" t="s">
        <v>539</v>
      </c>
      <c r="CP237" s="112" t="s">
        <v>523</v>
      </c>
      <c r="CQ237" s="112" t="s">
        <v>1236</v>
      </c>
      <c r="CR237" s="112" t="s">
        <v>1236</v>
      </c>
      <c r="CS237" s="112" t="s">
        <v>610</v>
      </c>
      <c r="CT237" s="112" t="s">
        <v>611</v>
      </c>
      <c r="CU237" s="112" t="s">
        <v>527</v>
      </c>
      <c r="CV237" s="113" t="s">
        <v>612</v>
      </c>
      <c r="CX237" s="36">
        <v>1</v>
      </c>
    </row>
    <row r="238" spans="1:102" ht="21" customHeight="1" x14ac:dyDescent="0.25">
      <c r="A238" s="63"/>
      <c r="B238" s="75" t="s">
        <v>6046</v>
      </c>
      <c r="C238" s="72" t="s">
        <v>6047</v>
      </c>
      <c r="D238" s="63"/>
      <c r="E238" s="63"/>
      <c r="F238" s="63"/>
      <c r="G238" s="63"/>
      <c r="H238" s="63"/>
      <c r="I238" s="63"/>
      <c r="J238" s="63"/>
      <c r="K238" s="63"/>
      <c r="L238" s="63"/>
      <c r="M238" s="63"/>
      <c r="N238" s="63"/>
      <c r="O238" s="63"/>
      <c r="P238" s="63"/>
      <c r="Q238" s="63"/>
      <c r="R238" s="63"/>
      <c r="S238" s="63"/>
      <c r="CM238" s="102"/>
      <c r="CN238" s="112" t="s">
        <v>1237</v>
      </c>
      <c r="CO238" s="112" t="s">
        <v>539</v>
      </c>
      <c r="CP238" s="112" t="s">
        <v>523</v>
      </c>
      <c r="CQ238" s="112" t="s">
        <v>1238</v>
      </c>
      <c r="CR238" s="112" t="s">
        <v>1238</v>
      </c>
      <c r="CS238" s="112" t="s">
        <v>1168</v>
      </c>
      <c r="CT238" s="112" t="s">
        <v>1169</v>
      </c>
      <c r="CU238" s="112" t="s">
        <v>1170</v>
      </c>
      <c r="CV238" s="113" t="s">
        <v>1171</v>
      </c>
      <c r="CX238" s="36">
        <v>1</v>
      </c>
    </row>
    <row r="239" spans="1:102" ht="21" customHeight="1" x14ac:dyDescent="0.25">
      <c r="A239" s="62"/>
      <c r="B239" s="84" t="s">
        <v>6048</v>
      </c>
      <c r="C239" s="72" t="s">
        <v>6049</v>
      </c>
      <c r="D239" s="62"/>
      <c r="E239" s="62"/>
      <c r="F239" s="62"/>
      <c r="G239" s="62"/>
      <c r="H239" s="62"/>
      <c r="I239" s="62"/>
      <c r="J239" s="62"/>
      <c r="K239" s="62"/>
      <c r="L239" s="62"/>
      <c r="M239" s="62"/>
      <c r="N239" s="62"/>
      <c r="O239" s="62"/>
      <c r="P239" s="62"/>
      <c r="Q239" s="62"/>
      <c r="R239" s="62"/>
      <c r="S239" s="62"/>
      <c r="CM239" s="102"/>
      <c r="CN239" s="112" t="s">
        <v>1239</v>
      </c>
      <c r="CO239" s="112" t="s">
        <v>539</v>
      </c>
      <c r="CP239" s="112" t="s">
        <v>523</v>
      </c>
      <c r="CQ239" s="112" t="s">
        <v>1240</v>
      </c>
      <c r="CR239" s="112" t="s">
        <v>1240</v>
      </c>
      <c r="CS239" s="112" t="s">
        <v>1168</v>
      </c>
      <c r="CT239" s="112" t="s">
        <v>1169</v>
      </c>
      <c r="CU239" s="112" t="s">
        <v>1170</v>
      </c>
      <c r="CV239" s="113" t="s">
        <v>1171</v>
      </c>
      <c r="CX239" s="36">
        <v>1</v>
      </c>
    </row>
    <row r="240" spans="1:102" ht="21" customHeight="1" x14ac:dyDescent="0.25">
      <c r="A240" s="62"/>
      <c r="B240" s="84" t="s">
        <v>6050</v>
      </c>
      <c r="C240" s="72" t="s">
        <v>6051</v>
      </c>
      <c r="D240" s="62"/>
      <c r="E240" s="62"/>
      <c r="F240" s="62"/>
      <c r="G240" s="62"/>
      <c r="H240" s="62"/>
      <c r="I240" s="62"/>
      <c r="J240" s="62"/>
      <c r="K240" s="62"/>
      <c r="L240" s="62"/>
      <c r="M240" s="62"/>
      <c r="N240" s="62"/>
      <c r="O240" s="62"/>
      <c r="P240" s="62"/>
      <c r="Q240" s="62"/>
      <c r="R240" s="62"/>
      <c r="S240" s="62"/>
      <c r="CM240" s="102"/>
      <c r="CN240" s="112" t="s">
        <v>1241</v>
      </c>
      <c r="CO240" s="112" t="s">
        <v>539</v>
      </c>
      <c r="CP240" s="112" t="s">
        <v>523</v>
      </c>
      <c r="CQ240" s="112" t="s">
        <v>1242</v>
      </c>
      <c r="CR240" s="112" t="s">
        <v>1242</v>
      </c>
      <c r="CS240" s="112" t="s">
        <v>1168</v>
      </c>
      <c r="CT240" s="112" t="s">
        <v>1169</v>
      </c>
      <c r="CU240" s="112" t="s">
        <v>1170</v>
      </c>
      <c r="CV240" s="113" t="s">
        <v>1171</v>
      </c>
      <c r="CX240" s="36">
        <v>1</v>
      </c>
    </row>
    <row r="241" spans="1:102" ht="21" customHeight="1" x14ac:dyDescent="0.25">
      <c r="A241" s="62"/>
      <c r="B241" s="75" t="s">
        <v>6052</v>
      </c>
      <c r="C241" s="72" t="s">
        <v>6053</v>
      </c>
      <c r="D241" s="62"/>
      <c r="E241" s="62"/>
      <c r="F241" s="62"/>
      <c r="G241" s="62"/>
      <c r="H241" s="62"/>
      <c r="I241" s="62"/>
      <c r="J241" s="62"/>
      <c r="K241" s="62"/>
      <c r="L241" s="62"/>
      <c r="M241" s="62"/>
      <c r="N241" s="62"/>
      <c r="O241" s="62"/>
      <c r="P241" s="62"/>
      <c r="Q241" s="62"/>
      <c r="R241" s="62"/>
      <c r="S241" s="62"/>
      <c r="CM241" s="102"/>
      <c r="CN241" s="112" t="s">
        <v>1243</v>
      </c>
      <c r="CO241" s="112" t="s">
        <v>539</v>
      </c>
      <c r="CP241" s="112" t="s">
        <v>523</v>
      </c>
      <c r="CQ241" s="112" t="s">
        <v>1244</v>
      </c>
      <c r="CR241" s="112" t="s">
        <v>1244</v>
      </c>
      <c r="CS241" s="112" t="s">
        <v>1168</v>
      </c>
      <c r="CT241" s="112" t="s">
        <v>1169</v>
      </c>
      <c r="CU241" s="112" t="s">
        <v>1170</v>
      </c>
      <c r="CV241" s="113" t="s">
        <v>1171</v>
      </c>
      <c r="CX241" s="36"/>
    </row>
    <row r="242" spans="1:102" ht="21" customHeight="1" x14ac:dyDescent="0.25">
      <c r="A242" s="62"/>
      <c r="B242" s="84" t="s">
        <v>6054</v>
      </c>
      <c r="C242" s="72" t="s">
        <v>6055</v>
      </c>
      <c r="D242" s="62"/>
      <c r="E242" s="62"/>
      <c r="F242" s="62"/>
      <c r="G242" s="62"/>
      <c r="H242" s="62"/>
      <c r="I242" s="62"/>
      <c r="J242" s="62"/>
      <c r="K242" s="62"/>
      <c r="L242" s="62"/>
      <c r="M242" s="62"/>
      <c r="N242" s="62"/>
      <c r="O242" s="62"/>
      <c r="P242" s="62"/>
      <c r="Q242" s="62"/>
      <c r="R242" s="62"/>
      <c r="S242" s="62"/>
      <c r="CM242" s="102"/>
      <c r="CN242" s="112" t="s">
        <v>1245</v>
      </c>
      <c r="CO242" s="112" t="s">
        <v>539</v>
      </c>
      <c r="CP242" s="112" t="s">
        <v>523</v>
      </c>
      <c r="CQ242" s="112" t="s">
        <v>1246</v>
      </c>
      <c r="CR242" s="112" t="s">
        <v>1246</v>
      </c>
      <c r="CS242" s="112" t="s">
        <v>1168</v>
      </c>
      <c r="CT242" s="112" t="s">
        <v>1169</v>
      </c>
      <c r="CU242" s="112" t="s">
        <v>1170</v>
      </c>
      <c r="CV242" s="113" t="s">
        <v>1171</v>
      </c>
      <c r="CX242" s="36">
        <v>1</v>
      </c>
    </row>
    <row r="243" spans="1:102" ht="21" customHeight="1" x14ac:dyDescent="0.25">
      <c r="A243" s="62"/>
      <c r="B243" s="84"/>
      <c r="C243" s="72"/>
      <c r="D243" s="62"/>
      <c r="E243" s="62"/>
      <c r="F243" s="62"/>
      <c r="G243" s="62"/>
      <c r="H243" s="62"/>
      <c r="I243" s="62"/>
      <c r="J243" s="62"/>
      <c r="K243" s="62"/>
      <c r="L243" s="62"/>
      <c r="M243" s="62"/>
      <c r="N243" s="62"/>
      <c r="O243" s="62"/>
      <c r="P243" s="62"/>
      <c r="Q243" s="62"/>
      <c r="R243" s="62"/>
      <c r="S243" s="62"/>
      <c r="CM243" s="102"/>
      <c r="CN243" s="112" t="s">
        <v>1247</v>
      </c>
      <c r="CO243" s="112" t="s">
        <v>539</v>
      </c>
      <c r="CP243" s="112" t="s">
        <v>523</v>
      </c>
      <c r="CQ243" s="112" t="s">
        <v>1248</v>
      </c>
      <c r="CR243" s="112" t="s">
        <v>1248</v>
      </c>
      <c r="CS243" s="112" t="s">
        <v>1168</v>
      </c>
      <c r="CT243" s="112" t="s">
        <v>1169</v>
      </c>
      <c r="CU243" s="112" t="s">
        <v>1170</v>
      </c>
      <c r="CV243" s="113" t="s">
        <v>1171</v>
      </c>
      <c r="CX243" s="36">
        <v>1</v>
      </c>
    </row>
    <row r="244" spans="1:102" ht="21" customHeight="1" x14ac:dyDescent="0.25">
      <c r="A244" s="62"/>
      <c r="B244" s="82" t="s">
        <v>6056</v>
      </c>
      <c r="C244" s="81"/>
      <c r="D244" s="62"/>
      <c r="E244" s="62"/>
      <c r="F244" s="62"/>
      <c r="G244" s="62"/>
      <c r="H244" s="62"/>
      <c r="I244" s="62"/>
      <c r="J244" s="62"/>
      <c r="K244" s="62"/>
      <c r="L244" s="62"/>
      <c r="M244" s="62"/>
      <c r="N244" s="62"/>
      <c r="O244" s="62"/>
      <c r="P244" s="62"/>
      <c r="Q244" s="62"/>
      <c r="R244" s="62"/>
      <c r="S244" s="62"/>
      <c r="CM244" s="102"/>
      <c r="CN244" s="112" t="s">
        <v>1249</v>
      </c>
      <c r="CO244" s="112" t="s">
        <v>539</v>
      </c>
      <c r="CP244" s="112" t="s">
        <v>523</v>
      </c>
      <c r="CQ244" s="112" t="s">
        <v>1250</v>
      </c>
      <c r="CR244" s="112" t="s">
        <v>1250</v>
      </c>
      <c r="CS244" s="112" t="s">
        <v>1168</v>
      </c>
      <c r="CT244" s="112" t="s">
        <v>1169</v>
      </c>
      <c r="CU244" s="112" t="s">
        <v>1170</v>
      </c>
      <c r="CV244" s="113" t="s">
        <v>1171</v>
      </c>
      <c r="CX244" s="36">
        <v>1</v>
      </c>
    </row>
    <row r="245" spans="1:102" ht="21" customHeight="1" x14ac:dyDescent="0.25">
      <c r="A245" s="62"/>
      <c r="B245" s="75" t="s">
        <v>6057</v>
      </c>
      <c r="C245" s="72" t="s">
        <v>6058</v>
      </c>
      <c r="D245" s="62"/>
      <c r="E245" s="62"/>
      <c r="F245" s="62"/>
      <c r="G245" s="62"/>
      <c r="H245" s="62"/>
      <c r="I245" s="62"/>
      <c r="J245" s="62"/>
      <c r="K245" s="62"/>
      <c r="L245" s="62"/>
      <c r="M245" s="62"/>
      <c r="N245" s="62"/>
      <c r="O245" s="62"/>
      <c r="P245" s="62"/>
      <c r="Q245" s="62"/>
      <c r="R245" s="62"/>
      <c r="S245" s="62"/>
      <c r="CM245" s="102"/>
      <c r="CN245" s="112" t="s">
        <v>1251</v>
      </c>
      <c r="CO245" s="112" t="s">
        <v>539</v>
      </c>
      <c r="CP245" s="112" t="s">
        <v>523</v>
      </c>
      <c r="CQ245" s="112" t="s">
        <v>1252</v>
      </c>
      <c r="CR245" s="112" t="s">
        <v>1252</v>
      </c>
      <c r="CS245" s="112" t="s">
        <v>1168</v>
      </c>
      <c r="CT245" s="112" t="s">
        <v>1169</v>
      </c>
      <c r="CU245" s="112" t="s">
        <v>1170</v>
      </c>
      <c r="CV245" s="113" t="s">
        <v>1171</v>
      </c>
      <c r="CX245" s="36">
        <v>1</v>
      </c>
    </row>
    <row r="246" spans="1:102" ht="21" customHeight="1" x14ac:dyDescent="0.25">
      <c r="A246" s="62"/>
      <c r="B246" s="84" t="s">
        <v>6059</v>
      </c>
      <c r="C246" s="85" t="s">
        <v>6060</v>
      </c>
      <c r="D246" s="62"/>
      <c r="E246" s="62"/>
      <c r="F246" s="62"/>
      <c r="G246" s="62"/>
      <c r="H246" s="62"/>
      <c r="I246" s="62"/>
      <c r="J246" s="62"/>
      <c r="K246" s="62"/>
      <c r="L246" s="62"/>
      <c r="M246" s="62"/>
      <c r="N246" s="62"/>
      <c r="O246" s="62"/>
      <c r="P246" s="62"/>
      <c r="Q246" s="62"/>
      <c r="R246" s="62"/>
      <c r="S246" s="62"/>
      <c r="CM246" s="102"/>
      <c r="CN246" s="112" t="s">
        <v>1253</v>
      </c>
      <c r="CO246" s="112" t="s">
        <v>539</v>
      </c>
      <c r="CP246" s="112" t="s">
        <v>523</v>
      </c>
      <c r="CQ246" s="112" t="s">
        <v>1254</v>
      </c>
      <c r="CR246" s="112" t="s">
        <v>1254</v>
      </c>
      <c r="CS246" s="112" t="s">
        <v>1168</v>
      </c>
      <c r="CT246" s="112" t="s">
        <v>1169</v>
      </c>
      <c r="CU246" s="112" t="s">
        <v>1170</v>
      </c>
      <c r="CV246" s="113" t="s">
        <v>1171</v>
      </c>
      <c r="CX246" s="36">
        <v>1</v>
      </c>
    </row>
    <row r="247" spans="1:102" ht="21" customHeight="1" x14ac:dyDescent="0.25">
      <c r="A247" s="62"/>
      <c r="B247" s="84" t="s">
        <v>6061</v>
      </c>
      <c r="C247" s="85" t="s">
        <v>6062</v>
      </c>
      <c r="D247" s="62"/>
      <c r="E247" s="62"/>
      <c r="F247" s="62"/>
      <c r="G247" s="62"/>
      <c r="H247" s="62"/>
      <c r="I247" s="62"/>
      <c r="J247" s="62"/>
      <c r="K247" s="62"/>
      <c r="L247" s="62"/>
      <c r="M247" s="62"/>
      <c r="N247" s="62"/>
      <c r="O247" s="62"/>
      <c r="P247" s="62"/>
      <c r="Q247" s="62"/>
      <c r="R247" s="62"/>
      <c r="S247" s="62"/>
      <c r="CM247" s="102"/>
      <c r="CN247" s="112" t="s">
        <v>1255</v>
      </c>
      <c r="CO247" s="112" t="s">
        <v>539</v>
      </c>
      <c r="CP247" s="112" t="s">
        <v>523</v>
      </c>
      <c r="CQ247" s="112" t="s">
        <v>1256</v>
      </c>
      <c r="CR247" s="112" t="s">
        <v>1256</v>
      </c>
      <c r="CS247" s="112" t="s">
        <v>1168</v>
      </c>
      <c r="CT247" s="112" t="s">
        <v>1169</v>
      </c>
      <c r="CU247" s="112" t="s">
        <v>1170</v>
      </c>
      <c r="CV247" s="113" t="s">
        <v>1171</v>
      </c>
      <c r="CX247" s="36">
        <v>1</v>
      </c>
    </row>
    <row r="248" spans="1:102" ht="21" customHeight="1" x14ac:dyDescent="0.25">
      <c r="A248" s="62"/>
      <c r="B248" s="84" t="s">
        <v>6063</v>
      </c>
      <c r="C248" s="72" t="s">
        <v>6064</v>
      </c>
      <c r="D248" s="62"/>
      <c r="E248" s="62"/>
      <c r="F248" s="62"/>
      <c r="G248" s="62"/>
      <c r="H248" s="62"/>
      <c r="I248" s="62"/>
      <c r="J248" s="62"/>
      <c r="K248" s="62"/>
      <c r="L248" s="62"/>
      <c r="M248" s="62"/>
      <c r="N248" s="62"/>
      <c r="O248" s="62"/>
      <c r="P248" s="62"/>
      <c r="Q248" s="62"/>
      <c r="R248" s="62"/>
      <c r="S248" s="62"/>
      <c r="CM248" s="102"/>
      <c r="CN248" s="112" t="s">
        <v>1257</v>
      </c>
      <c r="CO248" s="112" t="s">
        <v>539</v>
      </c>
      <c r="CP248" s="112" t="s">
        <v>523</v>
      </c>
      <c r="CQ248" s="112" t="s">
        <v>1258</v>
      </c>
      <c r="CR248" s="112" t="s">
        <v>1258</v>
      </c>
      <c r="CS248" s="112" t="s">
        <v>1168</v>
      </c>
      <c r="CT248" s="112" t="s">
        <v>1169</v>
      </c>
      <c r="CU248" s="112" t="s">
        <v>1170</v>
      </c>
      <c r="CV248" s="113" t="s">
        <v>1171</v>
      </c>
      <c r="CX248" s="36">
        <v>1</v>
      </c>
    </row>
    <row r="249" spans="1:102" ht="21" customHeight="1" x14ac:dyDescent="0.25">
      <c r="A249" s="62"/>
      <c r="B249" s="84" t="s">
        <v>6065</v>
      </c>
      <c r="C249" s="72" t="s">
        <v>6066</v>
      </c>
      <c r="D249" s="62"/>
      <c r="E249" s="62"/>
      <c r="F249" s="62"/>
      <c r="G249" s="62"/>
      <c r="H249" s="62"/>
      <c r="I249" s="62"/>
      <c r="J249" s="62"/>
      <c r="K249" s="62"/>
      <c r="L249" s="62"/>
      <c r="M249" s="62"/>
      <c r="N249" s="62"/>
      <c r="O249" s="62"/>
      <c r="P249" s="62"/>
      <c r="Q249" s="62"/>
      <c r="R249" s="62"/>
      <c r="S249" s="62"/>
      <c r="CM249" s="102"/>
      <c r="CN249" s="112" t="s">
        <v>1259</v>
      </c>
      <c r="CO249" s="112" t="s">
        <v>539</v>
      </c>
      <c r="CP249" s="112" t="s">
        <v>523</v>
      </c>
      <c r="CQ249" s="112" t="s">
        <v>1260</v>
      </c>
      <c r="CR249" s="112" t="s">
        <v>1260</v>
      </c>
      <c r="CS249" s="112" t="s">
        <v>1168</v>
      </c>
      <c r="CT249" s="112" t="s">
        <v>1169</v>
      </c>
      <c r="CU249" s="112" t="s">
        <v>1170</v>
      </c>
      <c r="CV249" s="113" t="s">
        <v>1171</v>
      </c>
      <c r="CX249" s="36">
        <v>1</v>
      </c>
    </row>
    <row r="250" spans="1:102" ht="21" customHeight="1" x14ac:dyDescent="0.25">
      <c r="A250" s="62"/>
      <c r="B250" s="84"/>
      <c r="C250" s="72"/>
      <c r="D250" s="62"/>
      <c r="E250" s="62"/>
      <c r="F250" s="62"/>
      <c r="G250" s="62"/>
      <c r="H250" s="62"/>
      <c r="I250" s="62"/>
      <c r="J250" s="62"/>
      <c r="K250" s="62"/>
      <c r="L250" s="62"/>
      <c r="M250" s="62"/>
      <c r="N250" s="62"/>
      <c r="O250" s="62"/>
      <c r="P250" s="62"/>
      <c r="Q250" s="62"/>
      <c r="R250" s="62"/>
      <c r="S250" s="62"/>
      <c r="CM250" s="102"/>
      <c r="CN250" s="112" t="s">
        <v>1261</v>
      </c>
      <c r="CO250" s="112" t="s">
        <v>539</v>
      </c>
      <c r="CP250" s="112" t="s">
        <v>523</v>
      </c>
      <c r="CQ250" s="112" t="s">
        <v>1262</v>
      </c>
      <c r="CR250" s="112" t="s">
        <v>1262</v>
      </c>
      <c r="CS250" s="112" t="s">
        <v>1168</v>
      </c>
      <c r="CT250" s="112" t="s">
        <v>1169</v>
      </c>
      <c r="CU250" s="112" t="s">
        <v>1170</v>
      </c>
      <c r="CV250" s="113" t="s">
        <v>1171</v>
      </c>
      <c r="CX250" s="36">
        <v>1</v>
      </c>
    </row>
    <row r="251" spans="1:102" ht="21" customHeight="1" x14ac:dyDescent="0.25">
      <c r="A251" s="62"/>
      <c r="B251" s="80" t="s">
        <v>6067</v>
      </c>
      <c r="C251" s="78"/>
      <c r="D251" s="62"/>
      <c r="E251" s="62"/>
      <c r="F251" s="62"/>
      <c r="G251" s="62"/>
      <c r="H251" s="62"/>
      <c r="I251" s="62"/>
      <c r="J251" s="62"/>
      <c r="K251" s="62"/>
      <c r="L251" s="62"/>
      <c r="M251" s="62"/>
      <c r="N251" s="62"/>
      <c r="O251" s="62"/>
      <c r="P251" s="62"/>
      <c r="Q251" s="62"/>
      <c r="R251" s="62"/>
      <c r="S251" s="62"/>
      <c r="CM251" s="102"/>
      <c r="CN251" s="112" t="s">
        <v>1263</v>
      </c>
      <c r="CO251" s="112" t="s">
        <v>539</v>
      </c>
      <c r="CP251" s="112" t="s">
        <v>523</v>
      </c>
      <c r="CQ251" s="112" t="s">
        <v>1264</v>
      </c>
      <c r="CR251" s="112" t="s">
        <v>1264</v>
      </c>
      <c r="CS251" s="112" t="s">
        <v>1168</v>
      </c>
      <c r="CT251" s="112" t="s">
        <v>1169</v>
      </c>
      <c r="CU251" s="112" t="s">
        <v>1170</v>
      </c>
      <c r="CV251" s="113" t="s">
        <v>1171</v>
      </c>
      <c r="CX251" s="36">
        <v>1</v>
      </c>
    </row>
    <row r="252" spans="1:102" ht="21" customHeight="1" x14ac:dyDescent="0.25">
      <c r="A252" s="62"/>
      <c r="B252" s="84"/>
      <c r="C252" s="83" t="s">
        <v>6068</v>
      </c>
      <c r="D252" s="62"/>
      <c r="E252" s="62"/>
      <c r="F252" s="62"/>
      <c r="G252" s="62"/>
      <c r="H252" s="62"/>
      <c r="I252" s="62"/>
      <c r="J252" s="62"/>
      <c r="K252" s="62"/>
      <c r="L252" s="62"/>
      <c r="M252" s="62"/>
      <c r="N252" s="62"/>
      <c r="O252" s="62"/>
      <c r="P252" s="62"/>
      <c r="Q252" s="62"/>
      <c r="R252" s="62"/>
      <c r="S252" s="62"/>
      <c r="CM252" s="102"/>
      <c r="CN252" s="112" t="s">
        <v>1265</v>
      </c>
      <c r="CO252" s="112" t="s">
        <v>539</v>
      </c>
      <c r="CP252" s="112" t="s">
        <v>523</v>
      </c>
      <c r="CQ252" s="112" t="s">
        <v>1266</v>
      </c>
      <c r="CR252" s="112" t="s">
        <v>1266</v>
      </c>
      <c r="CS252" s="112" t="s">
        <v>1168</v>
      </c>
      <c r="CT252" s="112" t="s">
        <v>1169</v>
      </c>
      <c r="CU252" s="112" t="s">
        <v>1170</v>
      </c>
      <c r="CV252" s="113" t="s">
        <v>1171</v>
      </c>
      <c r="CX252" s="36">
        <v>1</v>
      </c>
    </row>
    <row r="253" spans="1:102" ht="21" customHeight="1" x14ac:dyDescent="0.25">
      <c r="A253" s="62"/>
      <c r="B253" s="84" t="s">
        <v>6069</v>
      </c>
      <c r="C253" s="83" t="s">
        <v>6070</v>
      </c>
      <c r="D253" s="62"/>
      <c r="E253" s="62"/>
      <c r="F253" s="62"/>
      <c r="G253" s="62"/>
      <c r="H253" s="62"/>
      <c r="I253" s="62"/>
      <c r="J253" s="62"/>
      <c r="K253" s="62"/>
      <c r="L253" s="62"/>
      <c r="M253" s="62"/>
      <c r="N253" s="62"/>
      <c r="O253" s="62"/>
      <c r="P253" s="62"/>
      <c r="Q253" s="62"/>
      <c r="R253" s="62"/>
      <c r="S253" s="62"/>
      <c r="CM253" s="102"/>
      <c r="CN253" s="112" t="s">
        <v>1267</v>
      </c>
      <c r="CO253" s="112" t="s">
        <v>539</v>
      </c>
      <c r="CP253" s="112" t="s">
        <v>523</v>
      </c>
      <c r="CQ253" s="112" t="s">
        <v>1268</v>
      </c>
      <c r="CR253" s="112" t="s">
        <v>1268</v>
      </c>
      <c r="CS253" s="112" t="s">
        <v>1168</v>
      </c>
      <c r="CT253" s="112" t="s">
        <v>1169</v>
      </c>
      <c r="CU253" s="112" t="s">
        <v>1170</v>
      </c>
      <c r="CV253" s="113" t="s">
        <v>1171</v>
      </c>
      <c r="CX253" s="36">
        <v>1</v>
      </c>
    </row>
    <row r="254" spans="1:102" ht="21" customHeight="1" x14ac:dyDescent="0.25">
      <c r="A254" s="62"/>
      <c r="B254" s="84" t="s">
        <v>447</v>
      </c>
      <c r="C254" s="83" t="s">
        <v>6071</v>
      </c>
      <c r="D254" s="62"/>
      <c r="E254" s="62"/>
      <c r="F254" s="62"/>
      <c r="G254" s="62"/>
      <c r="H254" s="62"/>
      <c r="I254" s="62"/>
      <c r="J254" s="62"/>
      <c r="K254" s="62"/>
      <c r="L254" s="62"/>
      <c r="M254" s="62"/>
      <c r="N254" s="62"/>
      <c r="O254" s="62"/>
      <c r="P254" s="62"/>
      <c r="Q254" s="62"/>
      <c r="R254" s="62"/>
      <c r="S254" s="62"/>
      <c r="CM254" s="102"/>
      <c r="CN254" s="112" t="s">
        <v>1269</v>
      </c>
      <c r="CO254" s="112" t="s">
        <v>539</v>
      </c>
      <c r="CP254" s="112" t="s">
        <v>523</v>
      </c>
      <c r="CQ254" s="112" t="s">
        <v>1270</v>
      </c>
      <c r="CR254" s="112" t="s">
        <v>1270</v>
      </c>
      <c r="CS254" s="112" t="s">
        <v>1168</v>
      </c>
      <c r="CT254" s="112" t="s">
        <v>1169</v>
      </c>
      <c r="CU254" s="112" t="s">
        <v>1170</v>
      </c>
      <c r="CV254" s="113" t="s">
        <v>1171</v>
      </c>
      <c r="CX254" s="36">
        <v>1</v>
      </c>
    </row>
    <row r="255" spans="1:102" ht="21" customHeight="1" x14ac:dyDescent="0.25">
      <c r="A255" s="62"/>
      <c r="B255" s="84" t="s">
        <v>6072</v>
      </c>
      <c r="C255" s="86" t="s">
        <v>6073</v>
      </c>
      <c r="D255" s="62"/>
      <c r="E255" s="62"/>
      <c r="F255" s="62"/>
      <c r="G255" s="62"/>
      <c r="H255" s="62"/>
      <c r="I255" s="62"/>
      <c r="J255" s="62"/>
      <c r="K255" s="62"/>
      <c r="L255" s="62"/>
      <c r="M255" s="62"/>
      <c r="N255" s="62"/>
      <c r="O255" s="62"/>
      <c r="P255" s="62"/>
      <c r="Q255" s="62"/>
      <c r="R255" s="62"/>
      <c r="S255" s="62"/>
      <c r="CM255" s="102"/>
      <c r="CN255" s="112" t="s">
        <v>1271</v>
      </c>
      <c r="CO255" s="112" t="s">
        <v>539</v>
      </c>
      <c r="CP255" s="112" t="s">
        <v>523</v>
      </c>
      <c r="CQ255" s="112" t="s">
        <v>1272</v>
      </c>
      <c r="CR255" s="112" t="s">
        <v>1272</v>
      </c>
      <c r="CS255" s="112" t="s">
        <v>1168</v>
      </c>
      <c r="CT255" s="112" t="s">
        <v>1169</v>
      </c>
      <c r="CU255" s="112" t="s">
        <v>1170</v>
      </c>
      <c r="CV255" s="113" t="s">
        <v>1171</v>
      </c>
      <c r="CX255" s="36">
        <v>1</v>
      </c>
    </row>
    <row r="256" spans="1:102" ht="21" customHeight="1" x14ac:dyDescent="0.25">
      <c r="A256" s="62"/>
      <c r="B256" s="84" t="s">
        <v>6074</v>
      </c>
      <c r="C256" s="86" t="s">
        <v>6075</v>
      </c>
      <c r="D256" s="62"/>
      <c r="E256" s="62"/>
      <c r="F256" s="62"/>
      <c r="G256" s="62"/>
      <c r="H256" s="62"/>
      <c r="I256" s="62"/>
      <c r="J256" s="62"/>
      <c r="K256" s="62"/>
      <c r="L256" s="62"/>
      <c r="M256" s="62"/>
      <c r="N256" s="62"/>
      <c r="O256" s="62"/>
      <c r="P256" s="62"/>
      <c r="Q256" s="62"/>
      <c r="R256" s="62"/>
      <c r="S256" s="62"/>
      <c r="CM256" s="102"/>
      <c r="CN256" s="112" t="s">
        <v>1273</v>
      </c>
      <c r="CO256" s="112" t="s">
        <v>539</v>
      </c>
      <c r="CP256" s="112" t="s">
        <v>523</v>
      </c>
      <c r="CQ256" s="112" t="s">
        <v>1274</v>
      </c>
      <c r="CR256" s="112" t="s">
        <v>1274</v>
      </c>
      <c r="CS256" s="112" t="s">
        <v>1168</v>
      </c>
      <c r="CT256" s="112" t="s">
        <v>1169</v>
      </c>
      <c r="CU256" s="112" t="s">
        <v>1170</v>
      </c>
      <c r="CV256" s="113" t="s">
        <v>1171</v>
      </c>
      <c r="CX256" s="36">
        <v>1</v>
      </c>
    </row>
    <row r="257" spans="1:102" ht="21" customHeight="1" x14ac:dyDescent="0.25">
      <c r="A257" s="62"/>
      <c r="B257" s="84" t="s">
        <v>6038</v>
      </c>
      <c r="C257" s="86" t="s">
        <v>6076</v>
      </c>
      <c r="D257" s="62"/>
      <c r="E257" s="62"/>
      <c r="F257" s="62"/>
      <c r="G257" s="62"/>
      <c r="H257" s="62"/>
      <c r="I257" s="62"/>
      <c r="J257" s="62"/>
      <c r="K257" s="62"/>
      <c r="L257" s="62"/>
      <c r="M257" s="62"/>
      <c r="N257" s="62"/>
      <c r="O257" s="62"/>
      <c r="P257" s="62"/>
      <c r="Q257" s="62"/>
      <c r="R257" s="62"/>
      <c r="S257" s="62"/>
      <c r="CM257" s="102"/>
      <c r="CN257" s="112" t="s">
        <v>1275</v>
      </c>
      <c r="CO257" s="112" t="s">
        <v>539</v>
      </c>
      <c r="CP257" s="112" t="s">
        <v>523</v>
      </c>
      <c r="CQ257" s="112" t="s">
        <v>1276</v>
      </c>
      <c r="CR257" s="112" t="s">
        <v>1276</v>
      </c>
      <c r="CS257" s="112" t="s">
        <v>1168</v>
      </c>
      <c r="CT257" s="112" t="s">
        <v>1169</v>
      </c>
      <c r="CU257" s="112" t="s">
        <v>1170</v>
      </c>
      <c r="CV257" s="113" t="s">
        <v>1171</v>
      </c>
      <c r="CX257" s="36">
        <v>1</v>
      </c>
    </row>
    <row r="258" spans="1:102" ht="21" customHeight="1" x14ac:dyDescent="0.25">
      <c r="A258" s="62"/>
      <c r="B258" s="84" t="s">
        <v>6077</v>
      </c>
      <c r="C258" s="86" t="s">
        <v>6078</v>
      </c>
      <c r="D258" s="62"/>
      <c r="E258" s="62"/>
      <c r="F258" s="62"/>
      <c r="G258" s="62"/>
      <c r="H258" s="62"/>
      <c r="I258" s="62"/>
      <c r="J258" s="62"/>
      <c r="K258" s="62"/>
      <c r="L258" s="62"/>
      <c r="M258" s="62"/>
      <c r="N258" s="62"/>
      <c r="O258" s="62"/>
      <c r="P258" s="62"/>
      <c r="Q258" s="62"/>
      <c r="R258" s="62"/>
      <c r="S258" s="62"/>
      <c r="CM258" s="102"/>
      <c r="CN258" s="112" t="s">
        <v>1277</v>
      </c>
      <c r="CO258" s="112" t="s">
        <v>539</v>
      </c>
      <c r="CP258" s="112" t="s">
        <v>523</v>
      </c>
      <c r="CQ258" s="112" t="s">
        <v>1278</v>
      </c>
      <c r="CR258" s="112" t="s">
        <v>1278</v>
      </c>
      <c r="CS258" s="112" t="s">
        <v>1168</v>
      </c>
      <c r="CT258" s="112" t="s">
        <v>1169</v>
      </c>
      <c r="CU258" s="112" t="s">
        <v>1170</v>
      </c>
      <c r="CV258" s="113" t="s">
        <v>1171</v>
      </c>
      <c r="CX258" s="36">
        <v>1</v>
      </c>
    </row>
    <row r="259" spans="1:102" ht="21" customHeight="1" x14ac:dyDescent="0.25">
      <c r="A259" s="62"/>
      <c r="B259" s="87"/>
      <c r="C259" s="85"/>
      <c r="D259" s="62"/>
      <c r="E259" s="62"/>
      <c r="F259" s="62"/>
      <c r="G259" s="62"/>
      <c r="H259" s="62"/>
      <c r="I259" s="62"/>
      <c r="J259" s="62"/>
      <c r="K259" s="62"/>
      <c r="L259" s="62"/>
      <c r="M259" s="62"/>
      <c r="N259" s="62"/>
      <c r="O259" s="62"/>
      <c r="P259" s="62"/>
      <c r="Q259" s="62"/>
      <c r="R259" s="62"/>
      <c r="S259" s="62"/>
      <c r="CM259" s="102"/>
      <c r="CN259" s="112" t="s">
        <v>1279</v>
      </c>
      <c r="CO259" s="112" t="s">
        <v>539</v>
      </c>
      <c r="CP259" s="112" t="s">
        <v>523</v>
      </c>
      <c r="CQ259" s="112" t="s">
        <v>1280</v>
      </c>
      <c r="CR259" s="112" t="s">
        <v>1280</v>
      </c>
      <c r="CS259" s="112" t="s">
        <v>1168</v>
      </c>
      <c r="CT259" s="112" t="s">
        <v>1175</v>
      </c>
      <c r="CU259" s="112" t="s">
        <v>527</v>
      </c>
      <c r="CV259" s="113" t="s">
        <v>528</v>
      </c>
      <c r="CX259" s="36">
        <v>1</v>
      </c>
    </row>
    <row r="260" spans="1:102" ht="21" customHeight="1" x14ac:dyDescent="0.25">
      <c r="A260" s="62"/>
      <c r="B260" s="80" t="s">
        <v>6079</v>
      </c>
      <c r="C260" s="78" t="s">
        <v>6080</v>
      </c>
      <c r="D260" s="62"/>
      <c r="E260" s="62"/>
      <c r="F260" s="62"/>
      <c r="G260" s="62"/>
      <c r="H260" s="62"/>
      <c r="I260" s="62"/>
      <c r="J260" s="62"/>
      <c r="K260" s="62"/>
      <c r="L260" s="62"/>
      <c r="M260" s="62"/>
      <c r="N260" s="62"/>
      <c r="O260" s="62"/>
      <c r="P260" s="62"/>
      <c r="Q260" s="62"/>
      <c r="R260" s="62"/>
      <c r="S260" s="62"/>
      <c r="CM260" s="102"/>
      <c r="CN260" s="112" t="s">
        <v>1281</v>
      </c>
      <c r="CO260" s="112" t="s">
        <v>539</v>
      </c>
      <c r="CP260" s="112" t="s">
        <v>523</v>
      </c>
      <c r="CQ260" s="112" t="s">
        <v>1282</v>
      </c>
      <c r="CR260" s="112" t="s">
        <v>1282</v>
      </c>
      <c r="CS260" s="112" t="s">
        <v>1168</v>
      </c>
      <c r="CT260" s="112" t="s">
        <v>1169</v>
      </c>
      <c r="CU260" s="112" t="s">
        <v>1170</v>
      </c>
      <c r="CV260" s="113" t="s">
        <v>1171</v>
      </c>
      <c r="CX260" s="36">
        <v>1</v>
      </c>
    </row>
    <row r="261" spans="1:102" ht="21" customHeight="1" x14ac:dyDescent="0.25">
      <c r="A261" s="62"/>
      <c r="B261" s="87"/>
      <c r="C261" s="78" t="s">
        <v>6081</v>
      </c>
      <c r="D261" s="62"/>
      <c r="E261" s="62"/>
      <c r="F261" s="62"/>
      <c r="G261" s="62"/>
      <c r="H261" s="62"/>
      <c r="I261" s="62"/>
      <c r="J261" s="62"/>
      <c r="K261" s="62"/>
      <c r="L261" s="62"/>
      <c r="M261" s="62"/>
      <c r="N261" s="62"/>
      <c r="O261" s="62"/>
      <c r="P261" s="62"/>
      <c r="Q261" s="62"/>
      <c r="R261" s="62"/>
      <c r="S261" s="62"/>
      <c r="CM261" s="102"/>
      <c r="CN261" s="112" t="s">
        <v>1283</v>
      </c>
      <c r="CO261" s="112" t="s">
        <v>539</v>
      </c>
      <c r="CP261" s="112" t="s">
        <v>523</v>
      </c>
      <c r="CQ261" s="112" t="s">
        <v>1284</v>
      </c>
      <c r="CR261" s="112" t="s">
        <v>1284</v>
      </c>
      <c r="CS261" s="112" t="s">
        <v>1168</v>
      </c>
      <c r="CT261" s="112" t="s">
        <v>1169</v>
      </c>
      <c r="CU261" s="112" t="s">
        <v>1170</v>
      </c>
      <c r="CV261" s="113" t="s">
        <v>1171</v>
      </c>
      <c r="CX261" s="36">
        <v>1</v>
      </c>
    </row>
    <row r="262" spans="1:102" ht="21" customHeight="1" x14ac:dyDescent="0.25">
      <c r="A262" s="62"/>
      <c r="B262" s="87"/>
      <c r="C262" s="85"/>
      <c r="D262" s="62"/>
      <c r="E262" s="62"/>
      <c r="F262" s="62"/>
      <c r="G262" s="62"/>
      <c r="H262" s="62"/>
      <c r="I262" s="62"/>
      <c r="J262" s="62"/>
      <c r="K262" s="62"/>
      <c r="L262" s="62"/>
      <c r="M262" s="62"/>
      <c r="N262" s="62"/>
      <c r="O262" s="62"/>
      <c r="P262" s="62"/>
      <c r="Q262" s="62"/>
      <c r="R262" s="62"/>
      <c r="S262" s="62"/>
      <c r="CM262" s="102"/>
      <c r="CN262" s="112" t="s">
        <v>1285</v>
      </c>
      <c r="CO262" s="112" t="s">
        <v>539</v>
      </c>
      <c r="CP262" s="112" t="s">
        <v>523</v>
      </c>
      <c r="CQ262" s="112" t="s">
        <v>1286</v>
      </c>
      <c r="CR262" s="112" t="s">
        <v>1286</v>
      </c>
      <c r="CS262" s="112" t="s">
        <v>1168</v>
      </c>
      <c r="CT262" s="112" t="s">
        <v>1169</v>
      </c>
      <c r="CU262" s="112" t="s">
        <v>1170</v>
      </c>
      <c r="CV262" s="113" t="s">
        <v>1171</v>
      </c>
      <c r="CX262" s="36">
        <v>1</v>
      </c>
    </row>
    <row r="263" spans="1:102" ht="21" customHeight="1" x14ac:dyDescent="0.25">
      <c r="A263" s="62"/>
      <c r="B263" s="88" t="s">
        <v>6082</v>
      </c>
      <c r="C263" s="62"/>
      <c r="D263" s="62"/>
      <c r="E263" s="62"/>
      <c r="F263" s="62"/>
      <c r="G263" s="62"/>
      <c r="H263" s="62"/>
      <c r="I263" s="62"/>
      <c r="J263" s="62"/>
      <c r="K263" s="62"/>
      <c r="L263" s="62"/>
      <c r="M263" s="62"/>
      <c r="N263" s="62"/>
      <c r="O263" s="62"/>
      <c r="P263" s="62"/>
      <c r="Q263" s="62"/>
      <c r="R263" s="62"/>
      <c r="S263" s="62"/>
      <c r="CM263" s="102"/>
      <c r="CN263" s="112" t="s">
        <v>1287</v>
      </c>
      <c r="CO263" s="112" t="s">
        <v>539</v>
      </c>
      <c r="CP263" s="112" t="s">
        <v>523</v>
      </c>
      <c r="CQ263" s="112" t="s">
        <v>1288</v>
      </c>
      <c r="CR263" s="112" t="s">
        <v>1288</v>
      </c>
      <c r="CS263" s="112" t="s">
        <v>1168</v>
      </c>
      <c r="CT263" s="112" t="s">
        <v>1169</v>
      </c>
      <c r="CU263" s="112" t="s">
        <v>1170</v>
      </c>
      <c r="CV263" s="113" t="s">
        <v>1171</v>
      </c>
      <c r="CX263" s="36">
        <v>1</v>
      </c>
    </row>
    <row r="264" spans="1:102" ht="21" customHeight="1" x14ac:dyDescent="0.25">
      <c r="A264" s="62"/>
      <c r="B264" s="89" t="s">
        <v>6083</v>
      </c>
      <c r="C264" s="62"/>
      <c r="D264" s="62"/>
      <c r="E264" s="62"/>
      <c r="F264" s="62"/>
      <c r="G264" s="62"/>
      <c r="H264" s="62"/>
      <c r="I264" s="62"/>
      <c r="J264" s="62"/>
      <c r="K264" s="62"/>
      <c r="L264" s="62"/>
      <c r="M264" s="62"/>
      <c r="N264" s="62"/>
      <c r="O264" s="62"/>
      <c r="P264" s="62"/>
      <c r="Q264" s="62"/>
      <c r="R264" s="62"/>
      <c r="S264" s="62"/>
      <c r="CM264" s="102"/>
      <c r="CN264" s="112" t="s">
        <v>1289</v>
      </c>
      <c r="CO264" s="112" t="s">
        <v>539</v>
      </c>
      <c r="CP264" s="112" t="s">
        <v>523</v>
      </c>
      <c r="CQ264" s="112" t="s">
        <v>1290</v>
      </c>
      <c r="CR264" s="112" t="s">
        <v>1290</v>
      </c>
      <c r="CS264" s="112" t="s">
        <v>1168</v>
      </c>
      <c r="CT264" s="112" t="s">
        <v>1169</v>
      </c>
      <c r="CU264" s="112" t="s">
        <v>1170</v>
      </c>
      <c r="CV264" s="113" t="s">
        <v>1171</v>
      </c>
      <c r="CX264" s="36">
        <v>1</v>
      </c>
    </row>
    <row r="265" spans="1:102" ht="21" customHeight="1" x14ac:dyDescent="0.25">
      <c r="A265" s="62"/>
      <c r="B265" s="89" t="s">
        <v>6084</v>
      </c>
      <c r="C265" s="62"/>
      <c r="D265" s="62"/>
      <c r="E265" s="62"/>
      <c r="F265" s="62"/>
      <c r="G265" s="62"/>
      <c r="H265" s="62"/>
      <c r="I265" s="62"/>
      <c r="J265" s="62"/>
      <c r="K265" s="62"/>
      <c r="L265" s="62"/>
      <c r="M265" s="62"/>
      <c r="N265" s="62"/>
      <c r="O265" s="62"/>
      <c r="P265" s="62"/>
      <c r="Q265" s="62"/>
      <c r="R265" s="62"/>
      <c r="S265" s="62"/>
      <c r="CM265" s="102"/>
      <c r="CN265" s="112" t="s">
        <v>1291</v>
      </c>
      <c r="CO265" s="112" t="s">
        <v>539</v>
      </c>
      <c r="CP265" s="112" t="s">
        <v>523</v>
      </c>
      <c r="CQ265" s="112" t="s">
        <v>1292</v>
      </c>
      <c r="CR265" s="112" t="s">
        <v>1292</v>
      </c>
      <c r="CS265" s="112" t="s">
        <v>1168</v>
      </c>
      <c r="CT265" s="112" t="s">
        <v>1169</v>
      </c>
      <c r="CU265" s="112" t="s">
        <v>1170</v>
      </c>
      <c r="CV265" s="113" t="s">
        <v>1171</v>
      </c>
      <c r="CX265" s="36">
        <v>1</v>
      </c>
    </row>
    <row r="266" spans="1:102" ht="21" customHeight="1" x14ac:dyDescent="0.25">
      <c r="A266" s="62"/>
      <c r="B266" s="89" t="s">
        <v>6085</v>
      </c>
      <c r="C266" s="62"/>
      <c r="D266" s="62"/>
      <c r="E266" s="62"/>
      <c r="F266" s="62"/>
      <c r="G266" s="62"/>
      <c r="H266" s="62"/>
      <c r="I266" s="62"/>
      <c r="J266" s="62"/>
      <c r="K266" s="62"/>
      <c r="L266" s="62"/>
      <c r="M266" s="62"/>
      <c r="N266" s="62"/>
      <c r="O266" s="62"/>
      <c r="P266" s="62"/>
      <c r="Q266" s="62"/>
      <c r="R266" s="62"/>
      <c r="S266" s="62"/>
      <c r="CM266" s="102"/>
      <c r="CN266" s="112" t="s">
        <v>1293</v>
      </c>
      <c r="CO266" s="112" t="s">
        <v>539</v>
      </c>
      <c r="CP266" s="112" t="s">
        <v>523</v>
      </c>
      <c r="CQ266" s="112" t="s">
        <v>1294</v>
      </c>
      <c r="CR266" s="112" t="s">
        <v>1294</v>
      </c>
      <c r="CS266" s="112" t="s">
        <v>1168</v>
      </c>
      <c r="CT266" s="112" t="s">
        <v>1169</v>
      </c>
      <c r="CU266" s="112" t="s">
        <v>1170</v>
      </c>
      <c r="CV266" s="113" t="s">
        <v>1171</v>
      </c>
      <c r="CX266" s="36">
        <v>1</v>
      </c>
    </row>
    <row r="267" spans="1:102" ht="21" customHeight="1" x14ac:dyDescent="0.25">
      <c r="A267" s="62"/>
      <c r="B267" s="89" t="s">
        <v>6086</v>
      </c>
      <c r="C267" s="62"/>
      <c r="D267" s="62"/>
      <c r="E267" s="62"/>
      <c r="F267" s="62"/>
      <c r="G267" s="62"/>
      <c r="H267" s="62"/>
      <c r="I267" s="62"/>
      <c r="J267" s="62"/>
      <c r="K267" s="62"/>
      <c r="L267" s="62"/>
      <c r="M267" s="62"/>
      <c r="N267" s="62"/>
      <c r="O267" s="62"/>
      <c r="P267" s="62"/>
      <c r="Q267" s="62"/>
      <c r="R267" s="62"/>
      <c r="S267" s="62"/>
      <c r="CM267" s="102"/>
      <c r="CN267" s="112" t="s">
        <v>1295</v>
      </c>
      <c r="CO267" s="112" t="s">
        <v>539</v>
      </c>
      <c r="CP267" s="112" t="s">
        <v>523</v>
      </c>
      <c r="CQ267" s="112" t="s">
        <v>1296</v>
      </c>
      <c r="CR267" s="112" t="s">
        <v>1297</v>
      </c>
      <c r="CS267" s="112" t="s">
        <v>1168</v>
      </c>
      <c r="CT267" s="112" t="s">
        <v>1175</v>
      </c>
      <c r="CU267" s="112" t="s">
        <v>527</v>
      </c>
      <c r="CV267" s="113" t="s">
        <v>528</v>
      </c>
      <c r="CX267" s="36">
        <v>1</v>
      </c>
    </row>
    <row r="268" spans="1:102" ht="21" customHeight="1" x14ac:dyDescent="0.25">
      <c r="A268" s="62"/>
      <c r="B268" s="89" t="s">
        <v>6087</v>
      </c>
      <c r="C268" s="62"/>
      <c r="D268" s="62"/>
      <c r="E268" s="62"/>
      <c r="F268" s="62"/>
      <c r="G268" s="62"/>
      <c r="H268" s="62"/>
      <c r="I268" s="62"/>
      <c r="J268" s="62"/>
      <c r="K268" s="62"/>
      <c r="L268" s="62"/>
      <c r="M268" s="62"/>
      <c r="N268" s="62"/>
      <c r="O268" s="62"/>
      <c r="P268" s="62"/>
      <c r="Q268" s="62"/>
      <c r="R268" s="62"/>
      <c r="S268" s="62"/>
      <c r="CM268" s="102"/>
      <c r="CN268" s="112" t="s">
        <v>1298</v>
      </c>
      <c r="CO268" s="112" t="s">
        <v>539</v>
      </c>
      <c r="CP268" s="112" t="s">
        <v>523</v>
      </c>
      <c r="CQ268" s="112" t="s">
        <v>1299</v>
      </c>
      <c r="CR268" s="112" t="s">
        <v>1299</v>
      </c>
      <c r="CS268" s="112" t="s">
        <v>1168</v>
      </c>
      <c r="CT268" s="112" t="s">
        <v>1169</v>
      </c>
      <c r="CU268" s="112" t="s">
        <v>1170</v>
      </c>
      <c r="CV268" s="113" t="s">
        <v>1171</v>
      </c>
      <c r="CX268" s="36">
        <v>1</v>
      </c>
    </row>
    <row r="269" spans="1:102" ht="21" customHeight="1" x14ac:dyDescent="0.25">
      <c r="A269" s="62"/>
      <c r="B269" s="89" t="s">
        <v>6088</v>
      </c>
      <c r="C269" s="62"/>
      <c r="D269" s="62"/>
      <c r="E269" s="62"/>
      <c r="F269" s="62"/>
      <c r="G269" s="62"/>
      <c r="H269" s="62"/>
      <c r="I269" s="62"/>
      <c r="J269" s="62"/>
      <c r="K269" s="62"/>
      <c r="L269" s="62"/>
      <c r="M269" s="62"/>
      <c r="N269" s="62"/>
      <c r="O269" s="62"/>
      <c r="P269" s="62"/>
      <c r="Q269" s="62"/>
      <c r="R269" s="62"/>
      <c r="S269" s="62"/>
      <c r="CM269" s="102"/>
      <c r="CN269" s="112" t="s">
        <v>1300</v>
      </c>
      <c r="CO269" s="112" t="s">
        <v>539</v>
      </c>
      <c r="CP269" s="112" t="s">
        <v>523</v>
      </c>
      <c r="CQ269" s="112" t="s">
        <v>1301</v>
      </c>
      <c r="CR269" s="112" t="s">
        <v>1302</v>
      </c>
      <c r="CS269" s="112" t="s">
        <v>1168</v>
      </c>
      <c r="CT269" s="112" t="s">
        <v>1175</v>
      </c>
      <c r="CU269" s="112" t="s">
        <v>527</v>
      </c>
      <c r="CV269" s="113" t="s">
        <v>528</v>
      </c>
      <c r="CX269" s="36">
        <v>1</v>
      </c>
    </row>
    <row r="270" spans="1:102" ht="21" customHeight="1" x14ac:dyDescent="0.25">
      <c r="A270" s="62"/>
      <c r="B270" s="89" t="s">
        <v>6089</v>
      </c>
      <c r="C270" s="62"/>
      <c r="D270" s="62"/>
      <c r="E270" s="62"/>
      <c r="F270" s="62"/>
      <c r="G270" s="62"/>
      <c r="H270" s="62"/>
      <c r="I270" s="62"/>
      <c r="J270" s="62"/>
      <c r="K270" s="62"/>
      <c r="L270" s="62"/>
      <c r="M270" s="62"/>
      <c r="N270" s="62"/>
      <c r="O270" s="62"/>
      <c r="P270" s="62"/>
      <c r="Q270" s="62"/>
      <c r="R270" s="62"/>
      <c r="S270" s="62"/>
      <c r="CM270" s="102"/>
      <c r="CN270" s="112" t="s">
        <v>1303</v>
      </c>
      <c r="CO270" s="112" t="s">
        <v>539</v>
      </c>
      <c r="CP270" s="112" t="s">
        <v>523</v>
      </c>
      <c r="CQ270" s="112" t="s">
        <v>1304</v>
      </c>
      <c r="CR270" s="112" t="s">
        <v>1305</v>
      </c>
      <c r="CS270" s="112" t="s">
        <v>1168</v>
      </c>
      <c r="CT270" s="112" t="s">
        <v>1175</v>
      </c>
      <c r="CU270" s="112" t="s">
        <v>527</v>
      </c>
      <c r="CV270" s="113" t="s">
        <v>528</v>
      </c>
      <c r="CX270" s="36">
        <v>1</v>
      </c>
    </row>
    <row r="271" spans="1:102" ht="21" customHeight="1" x14ac:dyDescent="0.25">
      <c r="A271" s="62"/>
      <c r="B271" s="89" t="s">
        <v>6090</v>
      </c>
      <c r="C271" s="62"/>
      <c r="D271" s="62"/>
      <c r="E271" s="62"/>
      <c r="F271" s="62"/>
      <c r="G271" s="62"/>
      <c r="H271" s="62"/>
      <c r="I271" s="62"/>
      <c r="J271" s="62"/>
      <c r="K271" s="62"/>
      <c r="L271" s="62"/>
      <c r="M271" s="62"/>
      <c r="N271" s="62"/>
      <c r="O271" s="62"/>
      <c r="P271" s="62"/>
      <c r="Q271" s="62"/>
      <c r="R271" s="62"/>
      <c r="S271" s="62"/>
      <c r="CM271" s="102"/>
      <c r="CN271" s="112" t="s">
        <v>1306</v>
      </c>
      <c r="CO271" s="112" t="s">
        <v>539</v>
      </c>
      <c r="CP271" s="112" t="s">
        <v>523</v>
      </c>
      <c r="CQ271" s="112" t="s">
        <v>1307</v>
      </c>
      <c r="CR271" s="112" t="s">
        <v>1307</v>
      </c>
      <c r="CS271" s="112" t="s">
        <v>1168</v>
      </c>
      <c r="CT271" s="112" t="s">
        <v>1169</v>
      </c>
      <c r="CU271" s="112" t="s">
        <v>1170</v>
      </c>
      <c r="CV271" s="113" t="s">
        <v>1171</v>
      </c>
      <c r="CX271" s="36">
        <v>1</v>
      </c>
    </row>
    <row r="272" spans="1:102" ht="21" customHeight="1" x14ac:dyDescent="0.25">
      <c r="A272" s="62"/>
      <c r="B272" s="89" t="s">
        <v>6091</v>
      </c>
      <c r="C272" s="62"/>
      <c r="D272" s="62"/>
      <c r="E272" s="62"/>
      <c r="F272" s="62"/>
      <c r="G272" s="62"/>
      <c r="H272" s="62"/>
      <c r="I272" s="62"/>
      <c r="J272" s="62"/>
      <c r="K272" s="62"/>
      <c r="L272" s="62"/>
      <c r="M272" s="62"/>
      <c r="N272" s="62"/>
      <c r="O272" s="62"/>
      <c r="P272" s="62"/>
      <c r="Q272" s="62"/>
      <c r="R272" s="62"/>
      <c r="S272" s="62"/>
      <c r="CM272" s="102"/>
      <c r="CN272" s="112" t="s">
        <v>1308</v>
      </c>
      <c r="CO272" s="112" t="s">
        <v>539</v>
      </c>
      <c r="CP272" s="112" t="s">
        <v>523</v>
      </c>
      <c r="CQ272" s="112" t="s">
        <v>1309</v>
      </c>
      <c r="CR272" s="112" t="s">
        <v>1309</v>
      </c>
      <c r="CS272" s="112" t="s">
        <v>1168</v>
      </c>
      <c r="CT272" s="112" t="s">
        <v>1169</v>
      </c>
      <c r="CU272" s="112" t="s">
        <v>1170</v>
      </c>
      <c r="CV272" s="113" t="s">
        <v>1171</v>
      </c>
      <c r="CX272" s="36">
        <v>1</v>
      </c>
    </row>
    <row r="273" spans="1:102" ht="21" customHeight="1" x14ac:dyDescent="0.25">
      <c r="A273" s="62"/>
      <c r="B273" s="89"/>
      <c r="C273" s="62"/>
      <c r="D273" s="62"/>
      <c r="E273" s="62"/>
      <c r="F273" s="62"/>
      <c r="G273" s="62"/>
      <c r="H273" s="62"/>
      <c r="I273" s="62"/>
      <c r="J273" s="62"/>
      <c r="K273" s="62"/>
      <c r="L273" s="62"/>
      <c r="M273" s="62"/>
      <c r="N273" s="62"/>
      <c r="O273" s="62"/>
      <c r="P273" s="62"/>
      <c r="Q273" s="62"/>
      <c r="R273" s="62"/>
      <c r="S273" s="62"/>
      <c r="CM273" s="102"/>
      <c r="CN273" s="112" t="s">
        <v>1310</v>
      </c>
      <c r="CO273" s="112" t="s">
        <v>539</v>
      </c>
      <c r="CP273" s="112" t="s">
        <v>523</v>
      </c>
      <c r="CQ273" s="112" t="s">
        <v>1311</v>
      </c>
      <c r="CR273" s="112" t="s">
        <v>1311</v>
      </c>
      <c r="CS273" s="112" t="s">
        <v>1168</v>
      </c>
      <c r="CT273" s="112" t="s">
        <v>1169</v>
      </c>
      <c r="CU273" s="112" t="s">
        <v>1170</v>
      </c>
      <c r="CV273" s="113" t="s">
        <v>1171</v>
      </c>
      <c r="CX273" s="36">
        <v>1</v>
      </c>
    </row>
    <row r="274" spans="1:102" ht="21" customHeight="1" x14ac:dyDescent="0.25">
      <c r="CM274" s="102"/>
      <c r="CN274" s="112" t="s">
        <v>1312</v>
      </c>
      <c r="CO274" s="112" t="s">
        <v>539</v>
      </c>
      <c r="CP274" s="112" t="s">
        <v>523</v>
      </c>
      <c r="CQ274" s="112" t="s">
        <v>1313</v>
      </c>
      <c r="CR274" s="112" t="s">
        <v>1313</v>
      </c>
      <c r="CS274" s="112" t="s">
        <v>1168</v>
      </c>
      <c r="CT274" s="112" t="s">
        <v>1169</v>
      </c>
      <c r="CU274" s="112" t="s">
        <v>1170</v>
      </c>
      <c r="CV274" s="113" t="s">
        <v>1171</v>
      </c>
      <c r="CX274" s="36">
        <v>1</v>
      </c>
    </row>
    <row r="275" spans="1:102" ht="21" customHeight="1" x14ac:dyDescent="0.25">
      <c r="CM275" s="102"/>
      <c r="CN275" s="112" t="s">
        <v>1314</v>
      </c>
      <c r="CO275" s="112" t="s">
        <v>539</v>
      </c>
      <c r="CP275" s="112" t="s">
        <v>523</v>
      </c>
      <c r="CQ275" s="112" t="s">
        <v>1315</v>
      </c>
      <c r="CR275" s="112" t="s">
        <v>1315</v>
      </c>
      <c r="CS275" s="112" t="s">
        <v>1168</v>
      </c>
      <c r="CT275" s="112" t="s">
        <v>1175</v>
      </c>
      <c r="CU275" s="112" t="s">
        <v>527</v>
      </c>
      <c r="CV275" s="113" t="s">
        <v>528</v>
      </c>
      <c r="CX275" s="36">
        <v>1</v>
      </c>
    </row>
    <row r="276" spans="1:102" ht="21" customHeight="1" x14ac:dyDescent="0.25">
      <c r="CM276" s="102"/>
      <c r="CN276" s="112" t="s">
        <v>1316</v>
      </c>
      <c r="CO276" s="112" t="s">
        <v>539</v>
      </c>
      <c r="CP276" s="112" t="s">
        <v>523</v>
      </c>
      <c r="CQ276" s="112" t="s">
        <v>1317</v>
      </c>
      <c r="CR276" s="112" t="s">
        <v>1317</v>
      </c>
      <c r="CS276" s="112" t="s">
        <v>1168</v>
      </c>
      <c r="CT276" s="112" t="s">
        <v>1175</v>
      </c>
      <c r="CU276" s="112" t="s">
        <v>527</v>
      </c>
      <c r="CV276" s="113" t="s">
        <v>528</v>
      </c>
      <c r="CX276" s="36">
        <v>1</v>
      </c>
    </row>
    <row r="277" spans="1:102" ht="21" customHeight="1" x14ac:dyDescent="0.25">
      <c r="CM277" s="102"/>
      <c r="CN277" s="112" t="s">
        <v>1318</v>
      </c>
      <c r="CO277" s="112" t="s">
        <v>539</v>
      </c>
      <c r="CP277" s="112" t="s">
        <v>523</v>
      </c>
      <c r="CQ277" s="112" t="s">
        <v>1319</v>
      </c>
      <c r="CR277" s="112" t="s">
        <v>1319</v>
      </c>
      <c r="CS277" s="112" t="s">
        <v>1168</v>
      </c>
      <c r="CT277" s="112" t="s">
        <v>1169</v>
      </c>
      <c r="CU277" s="112" t="s">
        <v>1170</v>
      </c>
      <c r="CV277" s="113" t="s">
        <v>1171</v>
      </c>
      <c r="CX277" s="36">
        <v>1</v>
      </c>
    </row>
    <row r="278" spans="1:102" ht="21" customHeight="1" x14ac:dyDescent="0.25">
      <c r="CM278" s="102"/>
      <c r="CN278" s="112" t="s">
        <v>1320</v>
      </c>
      <c r="CO278" s="112" t="s">
        <v>539</v>
      </c>
      <c r="CP278" s="112" t="s">
        <v>523</v>
      </c>
      <c r="CQ278" s="112" t="s">
        <v>1321</v>
      </c>
      <c r="CR278" s="112" t="s">
        <v>1321</v>
      </c>
      <c r="CS278" s="112" t="s">
        <v>1168</v>
      </c>
      <c r="CT278" s="112" t="s">
        <v>1169</v>
      </c>
      <c r="CU278" s="112" t="s">
        <v>1170</v>
      </c>
      <c r="CV278" s="113" t="s">
        <v>1171</v>
      </c>
      <c r="CX278" s="36">
        <v>1</v>
      </c>
    </row>
    <row r="279" spans="1:102" ht="21" customHeight="1" x14ac:dyDescent="0.25">
      <c r="CM279" s="102"/>
      <c r="CN279" s="112" t="s">
        <v>1322</v>
      </c>
      <c r="CO279" s="112" t="s">
        <v>539</v>
      </c>
      <c r="CP279" s="112" t="s">
        <v>523</v>
      </c>
      <c r="CQ279" s="112" t="s">
        <v>1323</v>
      </c>
      <c r="CR279" s="112" t="s">
        <v>1323</v>
      </c>
      <c r="CS279" s="112" t="s">
        <v>1168</v>
      </c>
      <c r="CT279" s="112" t="s">
        <v>1169</v>
      </c>
      <c r="CU279" s="112" t="s">
        <v>1170</v>
      </c>
      <c r="CV279" s="113" t="s">
        <v>1171</v>
      </c>
      <c r="CX279" s="36">
        <v>1</v>
      </c>
    </row>
    <row r="280" spans="1:102" ht="21" customHeight="1" x14ac:dyDescent="0.25">
      <c r="CM280" s="102"/>
      <c r="CN280" s="112" t="s">
        <v>1324</v>
      </c>
      <c r="CO280" s="112" t="s">
        <v>539</v>
      </c>
      <c r="CP280" s="112" t="s">
        <v>523</v>
      </c>
      <c r="CQ280" s="112" t="s">
        <v>1325</v>
      </c>
      <c r="CR280" s="112" t="s">
        <v>1325</v>
      </c>
      <c r="CS280" s="112" t="s">
        <v>1168</v>
      </c>
      <c r="CT280" s="112" t="s">
        <v>1169</v>
      </c>
      <c r="CU280" s="112" t="s">
        <v>1170</v>
      </c>
      <c r="CV280" s="113" t="s">
        <v>1171</v>
      </c>
      <c r="CX280" s="36">
        <v>1</v>
      </c>
    </row>
    <row r="281" spans="1:102" ht="21" customHeight="1" x14ac:dyDescent="0.25">
      <c r="CM281" s="102"/>
      <c r="CN281" s="112" t="s">
        <v>1326</v>
      </c>
      <c r="CO281" s="112" t="s">
        <v>539</v>
      </c>
      <c r="CP281" s="112" t="s">
        <v>523</v>
      </c>
      <c r="CQ281" s="112" t="s">
        <v>1327</v>
      </c>
      <c r="CR281" s="112" t="s">
        <v>1327</v>
      </c>
      <c r="CS281" s="112" t="s">
        <v>1168</v>
      </c>
      <c r="CT281" s="112" t="s">
        <v>1169</v>
      </c>
      <c r="CU281" s="112" t="s">
        <v>1170</v>
      </c>
      <c r="CV281" s="113" t="s">
        <v>1171</v>
      </c>
      <c r="CX281" s="36">
        <v>1</v>
      </c>
    </row>
    <row r="282" spans="1:102" ht="21" customHeight="1" x14ac:dyDescent="0.25">
      <c r="CM282" s="102"/>
      <c r="CN282" s="112" t="s">
        <v>1328</v>
      </c>
      <c r="CO282" s="112" t="s">
        <v>539</v>
      </c>
      <c r="CP282" s="112" t="s">
        <v>523</v>
      </c>
      <c r="CQ282" s="112" t="s">
        <v>1329</v>
      </c>
      <c r="CR282" s="112" t="s">
        <v>1329</v>
      </c>
      <c r="CS282" s="112" t="s">
        <v>1168</v>
      </c>
      <c r="CT282" s="112" t="s">
        <v>1175</v>
      </c>
      <c r="CU282" s="112" t="s">
        <v>527</v>
      </c>
      <c r="CV282" s="113" t="s">
        <v>528</v>
      </c>
      <c r="CX282" s="36">
        <v>1</v>
      </c>
    </row>
    <row r="283" spans="1:102" ht="21" customHeight="1" x14ac:dyDescent="0.25">
      <c r="CM283" s="102"/>
      <c r="CN283" s="112" t="s">
        <v>1330</v>
      </c>
      <c r="CO283" s="112" t="s">
        <v>539</v>
      </c>
      <c r="CP283" s="112" t="s">
        <v>523</v>
      </c>
      <c r="CQ283" s="112" t="s">
        <v>1331</v>
      </c>
      <c r="CR283" s="112" t="s">
        <v>1331</v>
      </c>
      <c r="CS283" s="112" t="s">
        <v>1168</v>
      </c>
      <c r="CT283" s="112" t="s">
        <v>1169</v>
      </c>
      <c r="CU283" s="112" t="s">
        <v>1170</v>
      </c>
      <c r="CV283" s="113" t="s">
        <v>1171</v>
      </c>
      <c r="CX283" s="36">
        <v>1</v>
      </c>
    </row>
    <row r="284" spans="1:102" ht="21" customHeight="1" x14ac:dyDescent="0.25">
      <c r="CM284" s="102"/>
      <c r="CN284" s="112" t="s">
        <v>1332</v>
      </c>
      <c r="CO284" s="112" t="s">
        <v>539</v>
      </c>
      <c r="CP284" s="112" t="s">
        <v>523</v>
      </c>
      <c r="CQ284" s="112" t="s">
        <v>1333</v>
      </c>
      <c r="CR284" s="112" t="s">
        <v>1333</v>
      </c>
      <c r="CS284" s="112" t="s">
        <v>1168</v>
      </c>
      <c r="CT284" s="112" t="s">
        <v>1169</v>
      </c>
      <c r="CU284" s="112" t="s">
        <v>1170</v>
      </c>
      <c r="CV284" s="113" t="s">
        <v>1171</v>
      </c>
      <c r="CX284" s="36">
        <v>1</v>
      </c>
    </row>
    <row r="285" spans="1:102" ht="21" customHeight="1" x14ac:dyDescent="0.25">
      <c r="CM285" s="102"/>
      <c r="CN285" s="112" t="s">
        <v>1334</v>
      </c>
      <c r="CO285" s="112" t="s">
        <v>539</v>
      </c>
      <c r="CP285" s="112" t="s">
        <v>523</v>
      </c>
      <c r="CQ285" s="112" t="s">
        <v>1335</v>
      </c>
      <c r="CR285" s="112" t="s">
        <v>1336</v>
      </c>
      <c r="CS285" s="112" t="s">
        <v>1168</v>
      </c>
      <c r="CT285" s="112" t="s">
        <v>1175</v>
      </c>
      <c r="CU285" s="112" t="s">
        <v>527</v>
      </c>
      <c r="CV285" s="113" t="s">
        <v>528</v>
      </c>
      <c r="CX285" s="36">
        <v>1</v>
      </c>
    </row>
    <row r="286" spans="1:102" ht="21" customHeight="1" x14ac:dyDescent="0.25">
      <c r="CM286" s="102"/>
      <c r="CN286" s="112" t="s">
        <v>1337</v>
      </c>
      <c r="CO286" s="112" t="s">
        <v>539</v>
      </c>
      <c r="CP286" s="112" t="s">
        <v>523</v>
      </c>
      <c r="CQ286" s="112" t="s">
        <v>1338</v>
      </c>
      <c r="CR286" s="112" t="s">
        <v>1338</v>
      </c>
      <c r="CS286" s="112" t="s">
        <v>1168</v>
      </c>
      <c r="CT286" s="112" t="s">
        <v>1169</v>
      </c>
      <c r="CU286" s="112" t="s">
        <v>1170</v>
      </c>
      <c r="CV286" s="113" t="s">
        <v>1171</v>
      </c>
      <c r="CX286" s="36">
        <v>1</v>
      </c>
    </row>
    <row r="287" spans="1:102" ht="21" customHeight="1" x14ac:dyDescent="0.25">
      <c r="CM287" s="102"/>
      <c r="CN287" s="112" t="s">
        <v>1339</v>
      </c>
      <c r="CO287" s="112" t="s">
        <v>539</v>
      </c>
      <c r="CP287" s="112" t="s">
        <v>523</v>
      </c>
      <c r="CQ287" s="112" t="s">
        <v>1340</v>
      </c>
      <c r="CR287" s="112" t="s">
        <v>1340</v>
      </c>
      <c r="CS287" s="112" t="s">
        <v>1168</v>
      </c>
      <c r="CT287" s="112" t="s">
        <v>1169</v>
      </c>
      <c r="CU287" s="112" t="s">
        <v>1170</v>
      </c>
      <c r="CV287" s="113" t="s">
        <v>1171</v>
      </c>
      <c r="CX287" s="36">
        <v>1</v>
      </c>
    </row>
    <row r="288" spans="1:102" ht="21" customHeight="1" x14ac:dyDescent="0.25">
      <c r="CM288" s="102"/>
      <c r="CN288" s="112" t="s">
        <v>1341</v>
      </c>
      <c r="CO288" s="112" t="s">
        <v>539</v>
      </c>
      <c r="CP288" s="112" t="s">
        <v>523</v>
      </c>
      <c r="CQ288" s="112" t="s">
        <v>1342</v>
      </c>
      <c r="CR288" s="112" t="s">
        <v>1342</v>
      </c>
      <c r="CS288" s="112" t="s">
        <v>1168</v>
      </c>
      <c r="CT288" s="112" t="s">
        <v>1169</v>
      </c>
      <c r="CU288" s="112" t="s">
        <v>1170</v>
      </c>
      <c r="CV288" s="113" t="s">
        <v>1171</v>
      </c>
      <c r="CX288" s="36">
        <v>1</v>
      </c>
    </row>
    <row r="289" spans="91:102" ht="21" customHeight="1" x14ac:dyDescent="0.25">
      <c r="CM289" s="102"/>
      <c r="CN289" s="112" t="s">
        <v>1343</v>
      </c>
      <c r="CO289" s="112" t="s">
        <v>539</v>
      </c>
      <c r="CP289" s="112" t="s">
        <v>523</v>
      </c>
      <c r="CQ289" s="112" t="s">
        <v>1344</v>
      </c>
      <c r="CR289" s="112" t="s">
        <v>1344</v>
      </c>
      <c r="CS289" s="112" t="s">
        <v>1168</v>
      </c>
      <c r="CT289" s="112" t="s">
        <v>1169</v>
      </c>
      <c r="CU289" s="112" t="s">
        <v>1170</v>
      </c>
      <c r="CV289" s="113" t="s">
        <v>1171</v>
      </c>
      <c r="CX289" s="36">
        <v>1</v>
      </c>
    </row>
    <row r="290" spans="91:102" ht="21" customHeight="1" x14ac:dyDescent="0.25">
      <c r="CM290" s="102"/>
      <c r="CN290" s="112" t="s">
        <v>1345</v>
      </c>
      <c r="CO290" s="112" t="s">
        <v>539</v>
      </c>
      <c r="CP290" s="112" t="s">
        <v>523</v>
      </c>
      <c r="CQ290" s="112" t="s">
        <v>1346</v>
      </c>
      <c r="CR290" s="112" t="s">
        <v>1346</v>
      </c>
      <c r="CS290" s="112" t="s">
        <v>1168</v>
      </c>
      <c r="CT290" s="112" t="s">
        <v>1169</v>
      </c>
      <c r="CU290" s="112" t="s">
        <v>1170</v>
      </c>
      <c r="CV290" s="113" t="s">
        <v>1171</v>
      </c>
      <c r="CX290" s="36">
        <v>1</v>
      </c>
    </row>
    <row r="291" spans="91:102" ht="21" customHeight="1" x14ac:dyDescent="0.25">
      <c r="CM291" s="102"/>
      <c r="CN291" s="112" t="s">
        <v>1347</v>
      </c>
      <c r="CO291" s="112" t="s">
        <v>539</v>
      </c>
      <c r="CP291" s="112" t="s">
        <v>523</v>
      </c>
      <c r="CQ291" s="112" t="s">
        <v>1348</v>
      </c>
      <c r="CR291" s="112" t="s">
        <v>1348</v>
      </c>
      <c r="CS291" s="112" t="s">
        <v>1168</v>
      </c>
      <c r="CT291" s="112" t="s">
        <v>1169</v>
      </c>
      <c r="CU291" s="112" t="s">
        <v>1170</v>
      </c>
      <c r="CV291" s="113" t="s">
        <v>1171</v>
      </c>
      <c r="CX291" s="36">
        <v>1</v>
      </c>
    </row>
    <row r="292" spans="91:102" ht="21" customHeight="1" x14ac:dyDescent="0.25">
      <c r="CM292" s="102"/>
      <c r="CN292" s="112" t="s">
        <v>1349</v>
      </c>
      <c r="CO292" s="112" t="s">
        <v>539</v>
      </c>
      <c r="CP292" s="112" t="s">
        <v>523</v>
      </c>
      <c r="CQ292" s="112" t="s">
        <v>1350</v>
      </c>
      <c r="CR292" s="112" t="s">
        <v>1350</v>
      </c>
      <c r="CS292" s="112" t="s">
        <v>1168</v>
      </c>
      <c r="CT292" s="112" t="s">
        <v>1169</v>
      </c>
      <c r="CU292" s="112" t="s">
        <v>1170</v>
      </c>
      <c r="CV292" s="113" t="s">
        <v>1171</v>
      </c>
      <c r="CX292" s="36">
        <v>1</v>
      </c>
    </row>
    <row r="293" spans="91:102" ht="21" customHeight="1" x14ac:dyDescent="0.25">
      <c r="CM293" s="102"/>
      <c r="CN293" s="112" t="s">
        <v>1351</v>
      </c>
      <c r="CO293" s="112" t="s">
        <v>539</v>
      </c>
      <c r="CP293" s="112" t="s">
        <v>523</v>
      </c>
      <c r="CQ293" s="112" t="s">
        <v>1352</v>
      </c>
      <c r="CR293" s="112" t="s">
        <v>1352</v>
      </c>
      <c r="CS293" s="112" t="s">
        <v>1168</v>
      </c>
      <c r="CT293" s="112" t="s">
        <v>1169</v>
      </c>
      <c r="CU293" s="112" t="s">
        <v>1170</v>
      </c>
      <c r="CV293" s="113" t="s">
        <v>1171</v>
      </c>
      <c r="CX293" s="36">
        <v>1</v>
      </c>
    </row>
    <row r="294" spans="91:102" ht="21" customHeight="1" x14ac:dyDescent="0.25">
      <c r="CM294" s="102"/>
      <c r="CN294" s="112" t="s">
        <v>1353</v>
      </c>
      <c r="CO294" s="112" t="s">
        <v>539</v>
      </c>
      <c r="CP294" s="112" t="s">
        <v>523</v>
      </c>
      <c r="CQ294" s="112" t="s">
        <v>1354</v>
      </c>
      <c r="CR294" s="112" t="s">
        <v>1354</v>
      </c>
      <c r="CS294" s="112" t="s">
        <v>1168</v>
      </c>
      <c r="CT294" s="112" t="s">
        <v>1169</v>
      </c>
      <c r="CU294" s="112" t="s">
        <v>1170</v>
      </c>
      <c r="CV294" s="113" t="s">
        <v>1171</v>
      </c>
      <c r="CX294" s="36">
        <v>1</v>
      </c>
    </row>
    <row r="295" spans="91:102" ht="21" customHeight="1" x14ac:dyDescent="0.25">
      <c r="CM295" s="102"/>
      <c r="CN295" s="112" t="s">
        <v>1355</v>
      </c>
      <c r="CO295" s="112" t="s">
        <v>539</v>
      </c>
      <c r="CP295" s="112" t="s">
        <v>523</v>
      </c>
      <c r="CQ295" s="112" t="s">
        <v>1356</v>
      </c>
      <c r="CR295" s="112" t="s">
        <v>1356</v>
      </c>
      <c r="CS295" s="112" t="s">
        <v>1168</v>
      </c>
      <c r="CT295" s="112" t="s">
        <v>1169</v>
      </c>
      <c r="CU295" s="112" t="s">
        <v>1170</v>
      </c>
      <c r="CV295" s="113" t="s">
        <v>1171</v>
      </c>
      <c r="CX295" s="36">
        <v>1</v>
      </c>
    </row>
    <row r="296" spans="91:102" ht="21" customHeight="1" x14ac:dyDescent="0.25">
      <c r="CM296" s="102"/>
      <c r="CN296" s="112" t="s">
        <v>1357</v>
      </c>
      <c r="CO296" s="112" t="s">
        <v>539</v>
      </c>
      <c r="CP296" s="112" t="s">
        <v>523</v>
      </c>
      <c r="CQ296" s="112" t="s">
        <v>1358</v>
      </c>
      <c r="CR296" s="112" t="s">
        <v>1358</v>
      </c>
      <c r="CS296" s="112" t="s">
        <v>1168</v>
      </c>
      <c r="CT296" s="112" t="s">
        <v>1169</v>
      </c>
      <c r="CU296" s="112" t="s">
        <v>1170</v>
      </c>
      <c r="CV296" s="113" t="s">
        <v>1171</v>
      </c>
      <c r="CX296" s="36">
        <v>1</v>
      </c>
    </row>
    <row r="297" spans="91:102" ht="21" customHeight="1" x14ac:dyDescent="0.25">
      <c r="CM297" s="102"/>
      <c r="CN297" s="112" t="s">
        <v>1359</v>
      </c>
      <c r="CO297" s="112" t="s">
        <v>539</v>
      </c>
      <c r="CP297" s="112" t="s">
        <v>523</v>
      </c>
      <c r="CQ297" s="112" t="s">
        <v>1360</v>
      </c>
      <c r="CR297" s="112" t="s">
        <v>1360</v>
      </c>
      <c r="CS297" s="112" t="s">
        <v>1168</v>
      </c>
      <c r="CT297" s="112" t="s">
        <v>1169</v>
      </c>
      <c r="CU297" s="112" t="s">
        <v>1170</v>
      </c>
      <c r="CV297" s="113" t="s">
        <v>1171</v>
      </c>
      <c r="CX297" s="36">
        <v>1</v>
      </c>
    </row>
    <row r="298" spans="91:102" ht="21" customHeight="1" x14ac:dyDescent="0.25">
      <c r="CM298" s="102"/>
      <c r="CN298" s="112" t="s">
        <v>1361</v>
      </c>
      <c r="CO298" s="112" t="s">
        <v>539</v>
      </c>
      <c r="CP298" s="112" t="s">
        <v>523</v>
      </c>
      <c r="CQ298" s="112" t="s">
        <v>1362</v>
      </c>
      <c r="CR298" s="112" t="s">
        <v>1362</v>
      </c>
      <c r="CS298" s="112" t="s">
        <v>1168</v>
      </c>
      <c r="CT298" s="112" t="s">
        <v>1169</v>
      </c>
      <c r="CU298" s="112" t="s">
        <v>1170</v>
      </c>
      <c r="CV298" s="113" t="s">
        <v>1171</v>
      </c>
      <c r="CX298" s="36">
        <v>1</v>
      </c>
    </row>
    <row r="299" spans="91:102" ht="21" customHeight="1" x14ac:dyDescent="0.25">
      <c r="CM299" s="102"/>
      <c r="CN299" s="112" t="s">
        <v>1363</v>
      </c>
      <c r="CO299" s="112" t="s">
        <v>539</v>
      </c>
      <c r="CP299" s="112" t="s">
        <v>523</v>
      </c>
      <c r="CQ299" s="112" t="s">
        <v>1364</v>
      </c>
      <c r="CR299" s="112" t="s">
        <v>1364</v>
      </c>
      <c r="CS299" s="112" t="s">
        <v>1168</v>
      </c>
      <c r="CT299" s="112" t="s">
        <v>1169</v>
      </c>
      <c r="CU299" s="112" t="s">
        <v>1170</v>
      </c>
      <c r="CV299" s="113" t="s">
        <v>1171</v>
      </c>
      <c r="CX299" s="36">
        <v>1</v>
      </c>
    </row>
    <row r="300" spans="91:102" ht="21" customHeight="1" x14ac:dyDescent="0.25">
      <c r="CM300" s="102"/>
      <c r="CN300" s="112" t="s">
        <v>1365</v>
      </c>
      <c r="CO300" s="112" t="s">
        <v>539</v>
      </c>
      <c r="CP300" s="112" t="s">
        <v>523</v>
      </c>
      <c r="CQ300" s="112" t="s">
        <v>1366</v>
      </c>
      <c r="CR300" s="112" t="s">
        <v>1366</v>
      </c>
      <c r="CS300" s="112" t="s">
        <v>1168</v>
      </c>
      <c r="CT300" s="112" t="s">
        <v>1169</v>
      </c>
      <c r="CU300" s="112" t="s">
        <v>1170</v>
      </c>
      <c r="CV300" s="113" t="s">
        <v>1171</v>
      </c>
      <c r="CX300" s="36">
        <v>1</v>
      </c>
    </row>
    <row r="301" spans="91:102" ht="21" customHeight="1" x14ac:dyDescent="0.25">
      <c r="CM301" s="102"/>
      <c r="CN301" s="112" t="s">
        <v>1367</v>
      </c>
      <c r="CO301" s="112" t="s">
        <v>539</v>
      </c>
      <c r="CP301" s="112" t="s">
        <v>523</v>
      </c>
      <c r="CQ301" s="112" t="s">
        <v>1368</v>
      </c>
      <c r="CR301" s="112" t="s">
        <v>1368</v>
      </c>
      <c r="CS301" s="112" t="s">
        <v>1168</v>
      </c>
      <c r="CT301" s="112" t="s">
        <v>1169</v>
      </c>
      <c r="CU301" s="112" t="s">
        <v>1170</v>
      </c>
      <c r="CV301" s="113" t="s">
        <v>1171</v>
      </c>
      <c r="CX301" s="36">
        <v>1</v>
      </c>
    </row>
    <row r="302" spans="91:102" ht="21" customHeight="1" x14ac:dyDescent="0.25">
      <c r="CM302" s="102"/>
      <c r="CN302" s="112" t="s">
        <v>1369</v>
      </c>
      <c r="CO302" s="112" t="s">
        <v>539</v>
      </c>
      <c r="CP302" s="112" t="s">
        <v>523</v>
      </c>
      <c r="CQ302" s="112" t="s">
        <v>1370</v>
      </c>
      <c r="CR302" s="112" t="s">
        <v>1370</v>
      </c>
      <c r="CS302" s="112" t="s">
        <v>1168</v>
      </c>
      <c r="CT302" s="112" t="s">
        <v>1169</v>
      </c>
      <c r="CU302" s="112" t="s">
        <v>1170</v>
      </c>
      <c r="CV302" s="113" t="s">
        <v>1171</v>
      </c>
      <c r="CX302" s="36">
        <v>1</v>
      </c>
    </row>
    <row r="303" spans="91:102" ht="21" customHeight="1" x14ac:dyDescent="0.25">
      <c r="CM303" s="102"/>
      <c r="CN303" s="112" t="s">
        <v>1371</v>
      </c>
      <c r="CO303" s="112" t="s">
        <v>539</v>
      </c>
      <c r="CP303" s="112" t="s">
        <v>523</v>
      </c>
      <c r="CQ303" s="112" t="s">
        <v>1372</v>
      </c>
      <c r="CR303" s="112" t="s">
        <v>1372</v>
      </c>
      <c r="CS303" s="112" t="s">
        <v>1168</v>
      </c>
      <c r="CT303" s="112" t="s">
        <v>1169</v>
      </c>
      <c r="CU303" s="112" t="s">
        <v>1170</v>
      </c>
      <c r="CV303" s="113" t="s">
        <v>1171</v>
      </c>
      <c r="CX303" s="36">
        <v>1</v>
      </c>
    </row>
    <row r="304" spans="91:102" ht="21" customHeight="1" x14ac:dyDescent="0.25">
      <c r="CM304" s="102"/>
      <c r="CN304" s="112" t="s">
        <v>1373</v>
      </c>
      <c r="CO304" s="112" t="s">
        <v>539</v>
      </c>
      <c r="CP304" s="112" t="s">
        <v>523</v>
      </c>
      <c r="CQ304" s="112" t="s">
        <v>1374</v>
      </c>
      <c r="CR304" s="112" t="s">
        <v>1374</v>
      </c>
      <c r="CS304" s="112" t="s">
        <v>1168</v>
      </c>
      <c r="CT304" s="112" t="s">
        <v>1169</v>
      </c>
      <c r="CU304" s="112" t="s">
        <v>1170</v>
      </c>
      <c r="CV304" s="113" t="s">
        <v>1171</v>
      </c>
      <c r="CX304" s="36">
        <v>1</v>
      </c>
    </row>
    <row r="305" spans="91:102" ht="21" customHeight="1" x14ac:dyDescent="0.25">
      <c r="CM305" s="102"/>
      <c r="CN305" s="112" t="s">
        <v>1375</v>
      </c>
      <c r="CO305" s="112" t="s">
        <v>539</v>
      </c>
      <c r="CP305" s="112" t="s">
        <v>523</v>
      </c>
      <c r="CQ305" s="112" t="s">
        <v>1376</v>
      </c>
      <c r="CR305" s="112" t="s">
        <v>1376</v>
      </c>
      <c r="CS305" s="112" t="s">
        <v>1168</v>
      </c>
      <c r="CT305" s="112" t="s">
        <v>1169</v>
      </c>
      <c r="CU305" s="112" t="s">
        <v>1170</v>
      </c>
      <c r="CV305" s="113" t="s">
        <v>1171</v>
      </c>
      <c r="CX305" s="36">
        <v>1</v>
      </c>
    </row>
    <row r="306" spans="91:102" ht="21" customHeight="1" x14ac:dyDescent="0.25">
      <c r="CM306" s="102"/>
      <c r="CN306" s="112" t="s">
        <v>1377</v>
      </c>
      <c r="CO306" s="112" t="s">
        <v>539</v>
      </c>
      <c r="CP306" s="112" t="s">
        <v>523</v>
      </c>
      <c r="CQ306" s="112" t="s">
        <v>1378</v>
      </c>
      <c r="CR306" s="112" t="s">
        <v>1378</v>
      </c>
      <c r="CS306" s="112" t="s">
        <v>1168</v>
      </c>
      <c r="CT306" s="112" t="s">
        <v>1169</v>
      </c>
      <c r="CU306" s="112" t="s">
        <v>1170</v>
      </c>
      <c r="CV306" s="113" t="s">
        <v>1171</v>
      </c>
      <c r="CX306" s="36">
        <v>1</v>
      </c>
    </row>
    <row r="307" spans="91:102" ht="21" customHeight="1" x14ac:dyDescent="0.25">
      <c r="CM307" s="102"/>
      <c r="CN307" s="112" t="s">
        <v>1379</v>
      </c>
      <c r="CO307" s="112" t="s">
        <v>539</v>
      </c>
      <c r="CP307" s="112" t="s">
        <v>523</v>
      </c>
      <c r="CQ307" s="112" t="s">
        <v>1380</v>
      </c>
      <c r="CR307" s="112" t="s">
        <v>1380</v>
      </c>
      <c r="CS307" s="112" t="s">
        <v>1168</v>
      </c>
      <c r="CT307" s="112" t="s">
        <v>1169</v>
      </c>
      <c r="CU307" s="112" t="s">
        <v>1170</v>
      </c>
      <c r="CV307" s="113" t="s">
        <v>1171</v>
      </c>
      <c r="CX307" s="36">
        <v>1</v>
      </c>
    </row>
    <row r="308" spans="91:102" ht="21" customHeight="1" x14ac:dyDescent="0.25">
      <c r="CM308" s="102"/>
      <c r="CN308" s="112" t="s">
        <v>1381</v>
      </c>
      <c r="CO308" s="112" t="s">
        <v>539</v>
      </c>
      <c r="CP308" s="112" t="s">
        <v>523</v>
      </c>
      <c r="CQ308" s="112" t="s">
        <v>1382</v>
      </c>
      <c r="CR308" s="112" t="s">
        <v>1382</v>
      </c>
      <c r="CS308" s="112" t="s">
        <v>1168</v>
      </c>
      <c r="CT308" s="112" t="s">
        <v>1169</v>
      </c>
      <c r="CU308" s="112" t="s">
        <v>1170</v>
      </c>
      <c r="CV308" s="113" t="s">
        <v>1171</v>
      </c>
      <c r="CX308" s="36">
        <v>1</v>
      </c>
    </row>
    <row r="309" spans="91:102" ht="21" customHeight="1" x14ac:dyDescent="0.25">
      <c r="CM309" s="102"/>
      <c r="CN309" s="112" t="s">
        <v>1383</v>
      </c>
      <c r="CO309" s="112" t="s">
        <v>539</v>
      </c>
      <c r="CP309" s="112" t="s">
        <v>523</v>
      </c>
      <c r="CQ309" s="112" t="s">
        <v>1384</v>
      </c>
      <c r="CR309" s="112" t="s">
        <v>1384</v>
      </c>
      <c r="CS309" s="112" t="s">
        <v>1168</v>
      </c>
      <c r="CT309" s="112" t="s">
        <v>1169</v>
      </c>
      <c r="CU309" s="112" t="s">
        <v>1170</v>
      </c>
      <c r="CV309" s="113" t="s">
        <v>1171</v>
      </c>
      <c r="CX309" s="36">
        <v>1</v>
      </c>
    </row>
    <row r="310" spans="91:102" ht="21" customHeight="1" x14ac:dyDescent="0.25">
      <c r="CM310" s="102"/>
      <c r="CN310" s="112" t="s">
        <v>1385</v>
      </c>
      <c r="CO310" s="112" t="s">
        <v>539</v>
      </c>
      <c r="CP310" s="112" t="s">
        <v>523</v>
      </c>
      <c r="CQ310" s="112" t="s">
        <v>1386</v>
      </c>
      <c r="CR310" s="112" t="s">
        <v>1386</v>
      </c>
      <c r="CS310" s="112" t="s">
        <v>1168</v>
      </c>
      <c r="CT310" s="112" t="s">
        <v>1169</v>
      </c>
      <c r="CU310" s="112" t="s">
        <v>1170</v>
      </c>
      <c r="CV310" s="113" t="s">
        <v>1171</v>
      </c>
      <c r="CX310" s="36">
        <v>1</v>
      </c>
    </row>
    <row r="311" spans="91:102" ht="21" customHeight="1" x14ac:dyDescent="0.25">
      <c r="CM311" s="102"/>
      <c r="CN311" s="112" t="s">
        <v>1387</v>
      </c>
      <c r="CO311" s="112" t="s">
        <v>539</v>
      </c>
      <c r="CP311" s="112" t="s">
        <v>523</v>
      </c>
      <c r="CQ311" s="112" t="s">
        <v>1388</v>
      </c>
      <c r="CR311" s="112" t="s">
        <v>1388</v>
      </c>
      <c r="CS311" s="112" t="s">
        <v>1168</v>
      </c>
      <c r="CT311" s="112" t="s">
        <v>1169</v>
      </c>
      <c r="CU311" s="112" t="s">
        <v>1170</v>
      </c>
      <c r="CV311" s="113" t="s">
        <v>1171</v>
      </c>
      <c r="CX311" s="36">
        <v>1</v>
      </c>
    </row>
    <row r="312" spans="91:102" ht="21" customHeight="1" x14ac:dyDescent="0.25">
      <c r="CM312" s="102"/>
      <c r="CN312" s="112" t="s">
        <v>1389</v>
      </c>
      <c r="CO312" s="112" t="s">
        <v>539</v>
      </c>
      <c r="CP312" s="112" t="s">
        <v>523</v>
      </c>
      <c r="CQ312" s="112" t="s">
        <v>1390</v>
      </c>
      <c r="CR312" s="112" t="s">
        <v>1390</v>
      </c>
      <c r="CS312" s="112" t="s">
        <v>1168</v>
      </c>
      <c r="CT312" s="112" t="s">
        <v>1169</v>
      </c>
      <c r="CU312" s="112" t="s">
        <v>1170</v>
      </c>
      <c r="CV312" s="113" t="s">
        <v>1171</v>
      </c>
      <c r="CX312" s="36">
        <v>1</v>
      </c>
    </row>
    <row r="313" spans="91:102" ht="21" customHeight="1" x14ac:dyDescent="0.25">
      <c r="CM313" s="102"/>
      <c r="CN313" s="112" t="s">
        <v>1391</v>
      </c>
      <c r="CO313" s="112" t="s">
        <v>539</v>
      </c>
      <c r="CP313" s="112" t="s">
        <v>523</v>
      </c>
      <c r="CQ313" s="112" t="s">
        <v>1392</v>
      </c>
      <c r="CR313" s="112" t="s">
        <v>1392</v>
      </c>
      <c r="CS313" s="112" t="s">
        <v>1168</v>
      </c>
      <c r="CT313" s="112" t="s">
        <v>1169</v>
      </c>
      <c r="CU313" s="112" t="s">
        <v>1170</v>
      </c>
      <c r="CV313" s="113" t="s">
        <v>1171</v>
      </c>
      <c r="CX313" s="36">
        <v>1</v>
      </c>
    </row>
    <row r="314" spans="91:102" ht="21" customHeight="1" x14ac:dyDescent="0.25">
      <c r="CM314" s="102"/>
      <c r="CN314" s="112" t="s">
        <v>1393</v>
      </c>
      <c r="CO314" s="112" t="s">
        <v>539</v>
      </c>
      <c r="CP314" s="112" t="s">
        <v>523</v>
      </c>
      <c r="CQ314" s="112" t="s">
        <v>1394</v>
      </c>
      <c r="CR314" s="112" t="s">
        <v>1394</v>
      </c>
      <c r="CS314" s="112" t="s">
        <v>1168</v>
      </c>
      <c r="CT314" s="112" t="s">
        <v>1175</v>
      </c>
      <c r="CU314" s="112" t="s">
        <v>527</v>
      </c>
      <c r="CV314" s="113" t="s">
        <v>528</v>
      </c>
      <c r="CX314" s="36">
        <v>1</v>
      </c>
    </row>
    <row r="315" spans="91:102" ht="21" customHeight="1" x14ac:dyDescent="0.25">
      <c r="CM315" s="102"/>
      <c r="CN315" s="112" t="s">
        <v>1395</v>
      </c>
      <c r="CO315" s="112" t="s">
        <v>539</v>
      </c>
      <c r="CP315" s="112" t="s">
        <v>523</v>
      </c>
      <c r="CQ315" s="112" t="s">
        <v>1396</v>
      </c>
      <c r="CR315" s="112" t="s">
        <v>1396</v>
      </c>
      <c r="CS315" s="112" t="s">
        <v>1168</v>
      </c>
      <c r="CT315" s="112" t="s">
        <v>1169</v>
      </c>
      <c r="CU315" s="112" t="s">
        <v>1170</v>
      </c>
      <c r="CV315" s="113" t="s">
        <v>1171</v>
      </c>
      <c r="CX315" s="36">
        <v>1</v>
      </c>
    </row>
    <row r="316" spans="91:102" ht="21" customHeight="1" x14ac:dyDescent="0.25">
      <c r="CM316" s="102"/>
      <c r="CN316" s="112" t="s">
        <v>1397</v>
      </c>
      <c r="CO316" s="112" t="s">
        <v>539</v>
      </c>
      <c r="CP316" s="112" t="s">
        <v>523</v>
      </c>
      <c r="CQ316" s="112" t="s">
        <v>1398</v>
      </c>
      <c r="CR316" s="112" t="s">
        <v>1398</v>
      </c>
      <c r="CS316" s="112" t="s">
        <v>1168</v>
      </c>
      <c r="CT316" s="112" t="s">
        <v>1169</v>
      </c>
      <c r="CU316" s="112" t="s">
        <v>1170</v>
      </c>
      <c r="CV316" s="113" t="s">
        <v>1171</v>
      </c>
      <c r="CX316" s="36">
        <v>1</v>
      </c>
    </row>
    <row r="317" spans="91:102" ht="21" customHeight="1" x14ac:dyDescent="0.25">
      <c r="CM317" s="102"/>
      <c r="CN317" s="112" t="s">
        <v>1399</v>
      </c>
      <c r="CO317" s="112" t="s">
        <v>539</v>
      </c>
      <c r="CP317" s="112" t="s">
        <v>523</v>
      </c>
      <c r="CQ317" s="112" t="s">
        <v>1400</v>
      </c>
      <c r="CR317" s="112" t="s">
        <v>1400</v>
      </c>
      <c r="CS317" s="112" t="s">
        <v>1168</v>
      </c>
      <c r="CT317" s="112" t="s">
        <v>1169</v>
      </c>
      <c r="CU317" s="112" t="s">
        <v>1170</v>
      </c>
      <c r="CV317" s="113" t="s">
        <v>1171</v>
      </c>
      <c r="CX317" s="36">
        <v>1</v>
      </c>
    </row>
    <row r="318" spans="91:102" ht="21" customHeight="1" x14ac:dyDescent="0.25">
      <c r="CM318" s="102"/>
      <c r="CN318" s="112" t="s">
        <v>1401</v>
      </c>
      <c r="CO318" s="112" t="s">
        <v>539</v>
      </c>
      <c r="CP318" s="112" t="s">
        <v>523</v>
      </c>
      <c r="CQ318" s="112" t="s">
        <v>1402</v>
      </c>
      <c r="CR318" s="112" t="s">
        <v>1402</v>
      </c>
      <c r="CS318" s="112" t="s">
        <v>1168</v>
      </c>
      <c r="CT318" s="112" t="s">
        <v>1169</v>
      </c>
      <c r="CU318" s="112" t="s">
        <v>1170</v>
      </c>
      <c r="CV318" s="113" t="s">
        <v>1171</v>
      </c>
      <c r="CX318" s="36">
        <v>1</v>
      </c>
    </row>
    <row r="319" spans="91:102" ht="21" customHeight="1" x14ac:dyDescent="0.25">
      <c r="CM319" s="102"/>
      <c r="CN319" s="112" t="s">
        <v>1403</v>
      </c>
      <c r="CO319" s="112" t="s">
        <v>539</v>
      </c>
      <c r="CP319" s="112" t="s">
        <v>523</v>
      </c>
      <c r="CQ319" s="112" t="s">
        <v>1404</v>
      </c>
      <c r="CR319" s="112" t="s">
        <v>1404</v>
      </c>
      <c r="CS319" s="112" t="s">
        <v>1168</v>
      </c>
      <c r="CT319" s="112" t="s">
        <v>1175</v>
      </c>
      <c r="CU319" s="112" t="s">
        <v>527</v>
      </c>
      <c r="CV319" s="113" t="s">
        <v>528</v>
      </c>
      <c r="CX319" s="36">
        <v>1</v>
      </c>
    </row>
    <row r="320" spans="91:102" ht="21" customHeight="1" x14ac:dyDescent="0.25">
      <c r="CM320" s="102"/>
      <c r="CN320" s="112" t="s">
        <v>1405</v>
      </c>
      <c r="CO320" s="112" t="s">
        <v>539</v>
      </c>
      <c r="CP320" s="112" t="s">
        <v>523</v>
      </c>
      <c r="CQ320" s="112" t="s">
        <v>1406</v>
      </c>
      <c r="CR320" s="112" t="s">
        <v>1406</v>
      </c>
      <c r="CS320" s="112" t="s">
        <v>610</v>
      </c>
      <c r="CT320" s="112" t="s">
        <v>611</v>
      </c>
      <c r="CU320" s="112" t="s">
        <v>527</v>
      </c>
      <c r="CV320" s="113" t="s">
        <v>612</v>
      </c>
      <c r="CX320" s="36">
        <v>1</v>
      </c>
    </row>
    <row r="321" spans="91:102" ht="21" customHeight="1" x14ac:dyDescent="0.25">
      <c r="CM321" s="102"/>
      <c r="CN321" s="112" t="s">
        <v>1407</v>
      </c>
      <c r="CO321" s="112" t="s">
        <v>539</v>
      </c>
      <c r="CP321" s="112" t="s">
        <v>523</v>
      </c>
      <c r="CQ321" s="112" t="s">
        <v>1408</v>
      </c>
      <c r="CR321" s="112" t="s">
        <v>1408</v>
      </c>
      <c r="CS321" s="112" t="s">
        <v>610</v>
      </c>
      <c r="CT321" s="112" t="s">
        <v>611</v>
      </c>
      <c r="CU321" s="112" t="s">
        <v>527</v>
      </c>
      <c r="CV321" s="113" t="s">
        <v>612</v>
      </c>
      <c r="CX321" s="36">
        <v>1</v>
      </c>
    </row>
    <row r="322" spans="91:102" ht="21" customHeight="1" x14ac:dyDescent="0.25">
      <c r="CM322" s="102"/>
      <c r="CN322" s="112" t="s">
        <v>1409</v>
      </c>
      <c r="CO322" s="112" t="s">
        <v>539</v>
      </c>
      <c r="CP322" s="112" t="s">
        <v>523</v>
      </c>
      <c r="CQ322" s="112" t="s">
        <v>1410</v>
      </c>
      <c r="CR322" s="112" t="s">
        <v>1410</v>
      </c>
      <c r="CS322" s="112" t="s">
        <v>1168</v>
      </c>
      <c r="CT322" s="112" t="s">
        <v>1169</v>
      </c>
      <c r="CU322" s="112" t="s">
        <v>1170</v>
      </c>
      <c r="CV322" s="113" t="s">
        <v>1171</v>
      </c>
      <c r="CX322" s="36">
        <v>1</v>
      </c>
    </row>
    <row r="323" spans="91:102" ht="21" customHeight="1" x14ac:dyDescent="0.25">
      <c r="CM323" s="102"/>
      <c r="CN323" s="112" t="s">
        <v>1411</v>
      </c>
      <c r="CO323" s="112" t="s">
        <v>539</v>
      </c>
      <c r="CP323" s="112" t="s">
        <v>523</v>
      </c>
      <c r="CQ323" s="112" t="s">
        <v>1412</v>
      </c>
      <c r="CR323" s="112" t="s">
        <v>1412</v>
      </c>
      <c r="CS323" s="112" t="s">
        <v>1168</v>
      </c>
      <c r="CT323" s="112" t="s">
        <v>1169</v>
      </c>
      <c r="CU323" s="112" t="s">
        <v>1170</v>
      </c>
      <c r="CV323" s="113" t="s">
        <v>1171</v>
      </c>
      <c r="CX323" s="36">
        <v>1</v>
      </c>
    </row>
    <row r="324" spans="91:102" ht="21" customHeight="1" x14ac:dyDescent="0.25">
      <c r="CM324" s="102"/>
      <c r="CN324" s="112" t="s">
        <v>1413</v>
      </c>
      <c r="CO324" s="112" t="s">
        <v>539</v>
      </c>
      <c r="CP324" s="112" t="s">
        <v>523</v>
      </c>
      <c r="CQ324" s="112" t="s">
        <v>1414</v>
      </c>
      <c r="CR324" s="112" t="s">
        <v>1414</v>
      </c>
      <c r="CS324" s="112" t="s">
        <v>1168</v>
      </c>
      <c r="CT324" s="112" t="s">
        <v>1169</v>
      </c>
      <c r="CU324" s="112" t="s">
        <v>1170</v>
      </c>
      <c r="CV324" s="113" t="s">
        <v>1171</v>
      </c>
      <c r="CX324" s="36">
        <v>1</v>
      </c>
    </row>
    <row r="325" spans="91:102" ht="21" customHeight="1" x14ac:dyDescent="0.25">
      <c r="CM325" s="102"/>
      <c r="CN325" s="112" t="s">
        <v>1415</v>
      </c>
      <c r="CO325" s="112" t="s">
        <v>539</v>
      </c>
      <c r="CP325" s="112" t="s">
        <v>523</v>
      </c>
      <c r="CQ325" s="112" t="s">
        <v>1416</v>
      </c>
      <c r="CR325" s="112" t="s">
        <v>1417</v>
      </c>
      <c r="CS325" s="112" t="s">
        <v>1168</v>
      </c>
      <c r="CT325" s="112" t="s">
        <v>1175</v>
      </c>
      <c r="CU325" s="112" t="s">
        <v>527</v>
      </c>
      <c r="CV325" s="113" t="s">
        <v>528</v>
      </c>
      <c r="CX325" s="36">
        <v>1</v>
      </c>
    </row>
    <row r="326" spans="91:102" ht="21" customHeight="1" x14ac:dyDescent="0.25">
      <c r="CM326" s="102"/>
      <c r="CN326" s="112" t="s">
        <v>1418</v>
      </c>
      <c r="CO326" s="112" t="s">
        <v>539</v>
      </c>
      <c r="CP326" s="112" t="s">
        <v>523</v>
      </c>
      <c r="CQ326" s="112" t="s">
        <v>1419</v>
      </c>
      <c r="CR326" s="112" t="s">
        <v>1419</v>
      </c>
      <c r="CS326" s="112" t="s">
        <v>1168</v>
      </c>
      <c r="CT326" s="112" t="s">
        <v>1169</v>
      </c>
      <c r="CU326" s="112" t="s">
        <v>1170</v>
      </c>
      <c r="CV326" s="113" t="s">
        <v>1171</v>
      </c>
      <c r="CX326" s="36">
        <v>1</v>
      </c>
    </row>
    <row r="327" spans="91:102" ht="21" customHeight="1" x14ac:dyDescent="0.25">
      <c r="CM327" s="102"/>
      <c r="CN327" s="112" t="s">
        <v>1420</v>
      </c>
      <c r="CO327" s="112" t="s">
        <v>539</v>
      </c>
      <c r="CP327" s="112" t="s">
        <v>523</v>
      </c>
      <c r="CQ327" s="112" t="s">
        <v>1421</v>
      </c>
      <c r="CR327" s="112" t="s">
        <v>1421</v>
      </c>
      <c r="CS327" s="112" t="s">
        <v>1168</v>
      </c>
      <c r="CT327" s="112" t="s">
        <v>1169</v>
      </c>
      <c r="CU327" s="112" t="s">
        <v>1170</v>
      </c>
      <c r="CV327" s="113" t="s">
        <v>1171</v>
      </c>
      <c r="CX327" s="36">
        <v>1</v>
      </c>
    </row>
    <row r="328" spans="91:102" ht="21" customHeight="1" x14ac:dyDescent="0.25">
      <c r="CM328" s="102"/>
      <c r="CN328" s="112" t="s">
        <v>1422</v>
      </c>
      <c r="CO328" s="112" t="s">
        <v>539</v>
      </c>
      <c r="CP328" s="112" t="s">
        <v>523</v>
      </c>
      <c r="CQ328" s="112" t="s">
        <v>1423</v>
      </c>
      <c r="CR328" s="112" t="s">
        <v>1423</v>
      </c>
      <c r="CS328" s="112" t="s">
        <v>1168</v>
      </c>
      <c r="CT328" s="112" t="s">
        <v>1175</v>
      </c>
      <c r="CU328" s="112" t="s">
        <v>527</v>
      </c>
      <c r="CV328" s="113" t="s">
        <v>528</v>
      </c>
      <c r="CX328" s="36">
        <v>1</v>
      </c>
    </row>
    <row r="329" spans="91:102" ht="21" customHeight="1" x14ac:dyDescent="0.25">
      <c r="CM329" s="102"/>
      <c r="CN329" s="112" t="s">
        <v>1424</v>
      </c>
      <c r="CO329" s="112" t="s">
        <v>539</v>
      </c>
      <c r="CP329" s="112" t="s">
        <v>523</v>
      </c>
      <c r="CQ329" s="112" t="s">
        <v>1425</v>
      </c>
      <c r="CR329" s="112" t="s">
        <v>1425</v>
      </c>
      <c r="CS329" s="112" t="s">
        <v>610</v>
      </c>
      <c r="CT329" s="112" t="s">
        <v>611</v>
      </c>
      <c r="CU329" s="112" t="s">
        <v>527</v>
      </c>
      <c r="CV329" s="113" t="s">
        <v>612</v>
      </c>
      <c r="CX329" s="36">
        <v>1</v>
      </c>
    </row>
    <row r="330" spans="91:102" ht="21" customHeight="1" x14ac:dyDescent="0.25">
      <c r="CM330" s="102"/>
      <c r="CN330" s="112" t="s">
        <v>1426</v>
      </c>
      <c r="CO330" s="112" t="s">
        <v>539</v>
      </c>
      <c r="CP330" s="112" t="s">
        <v>523</v>
      </c>
      <c r="CQ330" s="112" t="s">
        <v>1427</v>
      </c>
      <c r="CR330" s="112" t="s">
        <v>1427</v>
      </c>
      <c r="CS330" s="112" t="s">
        <v>610</v>
      </c>
      <c r="CT330" s="112" t="s">
        <v>611</v>
      </c>
      <c r="CU330" s="112" t="s">
        <v>527</v>
      </c>
      <c r="CV330" s="113" t="s">
        <v>612</v>
      </c>
      <c r="CX330" s="36">
        <v>1</v>
      </c>
    </row>
    <row r="331" spans="91:102" ht="21" customHeight="1" x14ac:dyDescent="0.25">
      <c r="CM331" s="102"/>
      <c r="CN331" s="112" t="s">
        <v>1428</v>
      </c>
      <c r="CO331" s="112" t="s">
        <v>539</v>
      </c>
      <c r="CP331" s="112" t="s">
        <v>523</v>
      </c>
      <c r="CQ331" s="112" t="s">
        <v>1429</v>
      </c>
      <c r="CR331" s="112" t="s">
        <v>1430</v>
      </c>
      <c r="CS331" s="112" t="s">
        <v>1168</v>
      </c>
      <c r="CT331" s="112" t="s">
        <v>1175</v>
      </c>
      <c r="CU331" s="112" t="s">
        <v>527</v>
      </c>
      <c r="CV331" s="113" t="s">
        <v>528</v>
      </c>
      <c r="CX331" s="36">
        <v>1</v>
      </c>
    </row>
    <row r="332" spans="91:102" ht="21" customHeight="1" x14ac:dyDescent="0.25">
      <c r="CM332" s="102"/>
      <c r="CN332" s="112" t="s">
        <v>1431</v>
      </c>
      <c r="CO332" s="112" t="s">
        <v>539</v>
      </c>
      <c r="CP332" s="112" t="s">
        <v>523</v>
      </c>
      <c r="CQ332" s="112" t="s">
        <v>1432</v>
      </c>
      <c r="CR332" s="112" t="s">
        <v>1432</v>
      </c>
      <c r="CS332" s="112" t="s">
        <v>1168</v>
      </c>
      <c r="CT332" s="112" t="s">
        <v>1175</v>
      </c>
      <c r="CU332" s="112" t="s">
        <v>527</v>
      </c>
      <c r="CV332" s="113" t="s">
        <v>528</v>
      </c>
      <c r="CX332" s="36">
        <v>1</v>
      </c>
    </row>
    <row r="333" spans="91:102" ht="21" customHeight="1" x14ac:dyDescent="0.25">
      <c r="CM333" s="102"/>
      <c r="CN333" s="112" t="s">
        <v>1433</v>
      </c>
      <c r="CO333" s="112" t="s">
        <v>539</v>
      </c>
      <c r="CP333" s="112" t="s">
        <v>523</v>
      </c>
      <c r="CQ333" s="112" t="s">
        <v>1434</v>
      </c>
      <c r="CR333" s="112" t="s">
        <v>1434</v>
      </c>
      <c r="CS333" s="112" t="s">
        <v>1168</v>
      </c>
      <c r="CT333" s="112" t="s">
        <v>1175</v>
      </c>
      <c r="CU333" s="112" t="s">
        <v>527</v>
      </c>
      <c r="CV333" s="113" t="s">
        <v>528</v>
      </c>
      <c r="CX333" s="36">
        <v>1</v>
      </c>
    </row>
    <row r="334" spans="91:102" ht="21" customHeight="1" x14ac:dyDescent="0.25">
      <c r="CM334" s="102"/>
      <c r="CN334" s="112" t="s">
        <v>1435</v>
      </c>
      <c r="CO334" s="112" t="s">
        <v>539</v>
      </c>
      <c r="CP334" s="112" t="s">
        <v>523</v>
      </c>
      <c r="CQ334" s="112" t="s">
        <v>1436</v>
      </c>
      <c r="CR334" s="112" t="s">
        <v>1436</v>
      </c>
      <c r="CS334" s="112" t="s">
        <v>610</v>
      </c>
      <c r="CT334" s="112" t="s">
        <v>611</v>
      </c>
      <c r="CU334" s="112" t="s">
        <v>527</v>
      </c>
      <c r="CV334" s="113" t="s">
        <v>612</v>
      </c>
      <c r="CX334" s="36">
        <v>1</v>
      </c>
    </row>
    <row r="335" spans="91:102" ht="21" customHeight="1" x14ac:dyDescent="0.25">
      <c r="CM335" s="102"/>
      <c r="CN335" s="112" t="s">
        <v>1437</v>
      </c>
      <c r="CO335" s="112" t="s">
        <v>539</v>
      </c>
      <c r="CP335" s="112" t="s">
        <v>523</v>
      </c>
      <c r="CQ335" s="112" t="s">
        <v>1438</v>
      </c>
      <c r="CR335" s="112" t="s">
        <v>1438</v>
      </c>
      <c r="CS335" s="112" t="s">
        <v>1168</v>
      </c>
      <c r="CT335" s="112" t="s">
        <v>1175</v>
      </c>
      <c r="CU335" s="112" t="s">
        <v>527</v>
      </c>
      <c r="CV335" s="113" t="s">
        <v>528</v>
      </c>
      <c r="CX335" s="36">
        <v>1</v>
      </c>
    </row>
    <row r="336" spans="91:102" ht="21" customHeight="1" x14ac:dyDescent="0.25">
      <c r="CM336" s="102"/>
      <c r="CN336" s="112" t="s">
        <v>1439</v>
      </c>
      <c r="CO336" s="112" t="s">
        <v>539</v>
      </c>
      <c r="CP336" s="112" t="s">
        <v>523</v>
      </c>
      <c r="CQ336" s="112" t="s">
        <v>1440</v>
      </c>
      <c r="CR336" s="112" t="s">
        <v>1440</v>
      </c>
      <c r="CS336" s="112" t="s">
        <v>610</v>
      </c>
      <c r="CT336" s="112" t="s">
        <v>611</v>
      </c>
      <c r="CU336" s="112" t="s">
        <v>527</v>
      </c>
      <c r="CV336" s="113" t="s">
        <v>612</v>
      </c>
      <c r="CX336" s="36">
        <v>1</v>
      </c>
    </row>
    <row r="337" spans="91:102" ht="21" customHeight="1" x14ac:dyDescent="0.25">
      <c r="CM337" s="102"/>
      <c r="CN337" s="112" t="s">
        <v>1441</v>
      </c>
      <c r="CO337" s="112" t="s">
        <v>539</v>
      </c>
      <c r="CP337" s="112" t="s">
        <v>523</v>
      </c>
      <c r="CQ337" s="112" t="s">
        <v>1442</v>
      </c>
      <c r="CR337" s="112" t="s">
        <v>1442</v>
      </c>
      <c r="CS337" s="112" t="s">
        <v>1168</v>
      </c>
      <c r="CT337" s="112" t="s">
        <v>1169</v>
      </c>
      <c r="CU337" s="112" t="s">
        <v>1170</v>
      </c>
      <c r="CV337" s="113" t="s">
        <v>1171</v>
      </c>
      <c r="CX337" s="36">
        <v>1</v>
      </c>
    </row>
    <row r="338" spans="91:102" ht="21" customHeight="1" x14ac:dyDescent="0.25">
      <c r="CM338" s="102"/>
      <c r="CN338" s="112" t="s">
        <v>1443</v>
      </c>
      <c r="CO338" s="112" t="s">
        <v>539</v>
      </c>
      <c r="CP338" s="112" t="s">
        <v>523</v>
      </c>
      <c r="CQ338" s="112" t="s">
        <v>1444</v>
      </c>
      <c r="CR338" s="112" t="s">
        <v>1444</v>
      </c>
      <c r="CS338" s="112" t="s">
        <v>1168</v>
      </c>
      <c r="CT338" s="112" t="s">
        <v>1175</v>
      </c>
      <c r="CU338" s="112" t="s">
        <v>527</v>
      </c>
      <c r="CV338" s="113" t="s">
        <v>528</v>
      </c>
      <c r="CX338" s="36">
        <v>1</v>
      </c>
    </row>
    <row r="339" spans="91:102" ht="21" customHeight="1" x14ac:dyDescent="0.25">
      <c r="CM339" s="102"/>
      <c r="CN339" s="112" t="s">
        <v>1445</v>
      </c>
      <c r="CO339" s="112" t="s">
        <v>539</v>
      </c>
      <c r="CP339" s="112" t="s">
        <v>523</v>
      </c>
      <c r="CQ339" s="112" t="s">
        <v>1446</v>
      </c>
      <c r="CR339" s="112" t="s">
        <v>1446</v>
      </c>
      <c r="CS339" s="112" t="s">
        <v>1168</v>
      </c>
      <c r="CT339" s="112" t="s">
        <v>1169</v>
      </c>
      <c r="CU339" s="112" t="s">
        <v>1170</v>
      </c>
      <c r="CV339" s="113" t="s">
        <v>1171</v>
      </c>
      <c r="CX339" s="36">
        <v>1</v>
      </c>
    </row>
    <row r="340" spans="91:102" ht="21" customHeight="1" x14ac:dyDescent="0.25">
      <c r="CM340" s="102"/>
      <c r="CN340" s="112" t="s">
        <v>1447</v>
      </c>
      <c r="CO340" s="112" t="s">
        <v>539</v>
      </c>
      <c r="CP340" s="112" t="s">
        <v>523</v>
      </c>
      <c r="CQ340" s="112" t="s">
        <v>1448</v>
      </c>
      <c r="CR340" s="112" t="s">
        <v>1448</v>
      </c>
      <c r="CS340" s="112" t="s">
        <v>1168</v>
      </c>
      <c r="CT340" s="112" t="s">
        <v>1175</v>
      </c>
      <c r="CU340" s="112" t="s">
        <v>527</v>
      </c>
      <c r="CV340" s="113" t="s">
        <v>528</v>
      </c>
      <c r="CX340" s="36">
        <v>1</v>
      </c>
    </row>
    <row r="341" spans="91:102" ht="21" customHeight="1" x14ac:dyDescent="0.25">
      <c r="CM341" s="102"/>
      <c r="CN341" s="112" t="s">
        <v>1449</v>
      </c>
      <c r="CO341" s="112" t="s">
        <v>540</v>
      </c>
      <c r="CP341" s="112" t="s">
        <v>523</v>
      </c>
      <c r="CQ341" s="112" t="s">
        <v>1450</v>
      </c>
      <c r="CR341" s="112" t="s">
        <v>1451</v>
      </c>
      <c r="CS341" s="112" t="s">
        <v>525</v>
      </c>
      <c r="CT341" s="112" t="s">
        <v>1452</v>
      </c>
      <c r="CU341" s="112" t="s">
        <v>527</v>
      </c>
      <c r="CV341" s="113" t="s">
        <v>528</v>
      </c>
      <c r="CX341" s="36">
        <v>1</v>
      </c>
    </row>
    <row r="342" spans="91:102" ht="21" customHeight="1" x14ac:dyDescent="0.25">
      <c r="CM342" s="102"/>
      <c r="CN342" s="112" t="s">
        <v>1453</v>
      </c>
      <c r="CO342" s="112" t="s">
        <v>540</v>
      </c>
      <c r="CP342" s="112" t="s">
        <v>523</v>
      </c>
      <c r="CQ342" s="112" t="s">
        <v>1454</v>
      </c>
      <c r="CR342" s="112" t="s">
        <v>1454</v>
      </c>
      <c r="CS342" s="112" t="s">
        <v>525</v>
      </c>
      <c r="CT342" s="112" t="s">
        <v>1452</v>
      </c>
      <c r="CU342" s="112" t="s">
        <v>527</v>
      </c>
      <c r="CV342" s="113" t="s">
        <v>528</v>
      </c>
      <c r="CX342" s="36">
        <v>1</v>
      </c>
    </row>
    <row r="343" spans="91:102" ht="21" customHeight="1" x14ac:dyDescent="0.25">
      <c r="CM343" s="102"/>
      <c r="CN343" s="112" t="s">
        <v>1455</v>
      </c>
      <c r="CO343" s="112" t="s">
        <v>540</v>
      </c>
      <c r="CP343" s="112" t="s">
        <v>523</v>
      </c>
      <c r="CQ343" s="112" t="s">
        <v>1456</v>
      </c>
      <c r="CR343" s="112" t="s">
        <v>1457</v>
      </c>
      <c r="CS343" s="112" t="s">
        <v>525</v>
      </c>
      <c r="CT343" s="112" t="s">
        <v>1452</v>
      </c>
      <c r="CU343" s="112" t="s">
        <v>527</v>
      </c>
      <c r="CV343" s="113" t="s">
        <v>528</v>
      </c>
      <c r="CX343" s="36">
        <v>1</v>
      </c>
    </row>
    <row r="344" spans="91:102" ht="21" customHeight="1" x14ac:dyDescent="0.25">
      <c r="CM344" s="102"/>
      <c r="CN344" s="112" t="s">
        <v>1458</v>
      </c>
      <c r="CO344" s="112" t="s">
        <v>540</v>
      </c>
      <c r="CP344" s="112" t="s">
        <v>523</v>
      </c>
      <c r="CQ344" s="112" t="s">
        <v>1459</v>
      </c>
      <c r="CR344" s="112" t="s">
        <v>1460</v>
      </c>
      <c r="CS344" s="112" t="s">
        <v>525</v>
      </c>
      <c r="CT344" s="112" t="s">
        <v>1452</v>
      </c>
      <c r="CU344" s="112" t="s">
        <v>527</v>
      </c>
      <c r="CV344" s="113" t="s">
        <v>528</v>
      </c>
      <c r="CX344" s="36">
        <v>1</v>
      </c>
    </row>
    <row r="345" spans="91:102" ht="21" customHeight="1" x14ac:dyDescent="0.25">
      <c r="CM345" s="102"/>
      <c r="CN345" s="112" t="s">
        <v>1461</v>
      </c>
      <c r="CO345" s="112" t="s">
        <v>540</v>
      </c>
      <c r="CP345" s="112" t="s">
        <v>523</v>
      </c>
      <c r="CQ345" s="112" t="s">
        <v>1462</v>
      </c>
      <c r="CR345" s="112" t="s">
        <v>1463</v>
      </c>
      <c r="CS345" s="112" t="s">
        <v>525</v>
      </c>
      <c r="CT345" s="112" t="s">
        <v>1452</v>
      </c>
      <c r="CU345" s="112" t="s">
        <v>527</v>
      </c>
      <c r="CV345" s="113" t="s">
        <v>528</v>
      </c>
      <c r="CX345" s="36">
        <v>1</v>
      </c>
    </row>
    <row r="346" spans="91:102" ht="21" customHeight="1" x14ac:dyDescent="0.25">
      <c r="CM346" s="102"/>
      <c r="CN346" s="112" t="s">
        <v>1464</v>
      </c>
      <c r="CO346" s="112" t="s">
        <v>540</v>
      </c>
      <c r="CP346" s="112" t="s">
        <v>523</v>
      </c>
      <c r="CQ346" s="112" t="s">
        <v>1465</v>
      </c>
      <c r="CR346" s="112" t="s">
        <v>1466</v>
      </c>
      <c r="CS346" s="112" t="s">
        <v>525</v>
      </c>
      <c r="CT346" s="112" t="s">
        <v>1452</v>
      </c>
      <c r="CU346" s="112" t="s">
        <v>527</v>
      </c>
      <c r="CV346" s="113" t="s">
        <v>528</v>
      </c>
      <c r="CX346" s="36">
        <v>1</v>
      </c>
    </row>
    <row r="347" spans="91:102" ht="21" customHeight="1" x14ac:dyDescent="0.25">
      <c r="CM347" s="102"/>
      <c r="CN347" s="112" t="s">
        <v>1467</v>
      </c>
      <c r="CO347" s="112" t="s">
        <v>540</v>
      </c>
      <c r="CP347" s="112" t="s">
        <v>523</v>
      </c>
      <c r="CQ347" s="112" t="s">
        <v>1468</v>
      </c>
      <c r="CR347" s="112" t="s">
        <v>1468</v>
      </c>
      <c r="CS347" s="112" t="s">
        <v>525</v>
      </c>
      <c r="CT347" s="112" t="s">
        <v>1452</v>
      </c>
      <c r="CU347" s="112" t="s">
        <v>527</v>
      </c>
      <c r="CV347" s="113" t="s">
        <v>528</v>
      </c>
      <c r="CX347" s="36">
        <v>1</v>
      </c>
    </row>
    <row r="348" spans="91:102" ht="21" customHeight="1" x14ac:dyDescent="0.25">
      <c r="CM348" s="102"/>
      <c r="CN348" s="112" t="s">
        <v>1469</v>
      </c>
      <c r="CO348" s="112" t="s">
        <v>540</v>
      </c>
      <c r="CP348" s="112" t="s">
        <v>523</v>
      </c>
      <c r="CQ348" s="112" t="s">
        <v>1470</v>
      </c>
      <c r="CR348" s="112" t="s">
        <v>1470</v>
      </c>
      <c r="CS348" s="112" t="s">
        <v>525</v>
      </c>
      <c r="CT348" s="112" t="s">
        <v>1452</v>
      </c>
      <c r="CU348" s="112" t="s">
        <v>527</v>
      </c>
      <c r="CV348" s="113" t="s">
        <v>528</v>
      </c>
      <c r="CX348" s="36">
        <v>1</v>
      </c>
    </row>
    <row r="349" spans="91:102" ht="21" customHeight="1" x14ac:dyDescent="0.25">
      <c r="CM349" s="102"/>
      <c r="CN349" s="112" t="s">
        <v>1471</v>
      </c>
      <c r="CO349" s="112" t="s">
        <v>540</v>
      </c>
      <c r="CP349" s="112" t="s">
        <v>523</v>
      </c>
      <c r="CQ349" s="112" t="s">
        <v>1472</v>
      </c>
      <c r="CR349" s="112" t="s">
        <v>1472</v>
      </c>
      <c r="CS349" s="112" t="s">
        <v>525</v>
      </c>
      <c r="CT349" s="112" t="s">
        <v>1452</v>
      </c>
      <c r="CU349" s="112" t="s">
        <v>527</v>
      </c>
      <c r="CV349" s="113" t="s">
        <v>528</v>
      </c>
      <c r="CX349" s="36">
        <v>1</v>
      </c>
    </row>
    <row r="350" spans="91:102" ht="21" customHeight="1" x14ac:dyDescent="0.25">
      <c r="CM350" s="102"/>
      <c r="CN350" s="112" t="s">
        <v>1473</v>
      </c>
      <c r="CO350" s="112" t="s">
        <v>540</v>
      </c>
      <c r="CP350" s="112" t="s">
        <v>523</v>
      </c>
      <c r="CQ350" s="112" t="s">
        <v>1474</v>
      </c>
      <c r="CR350" s="112" t="s">
        <v>1475</v>
      </c>
      <c r="CS350" s="112" t="s">
        <v>525</v>
      </c>
      <c r="CT350" s="112" t="s">
        <v>1452</v>
      </c>
      <c r="CU350" s="112" t="s">
        <v>527</v>
      </c>
      <c r="CV350" s="113" t="s">
        <v>528</v>
      </c>
      <c r="CX350" s="36">
        <v>1</v>
      </c>
    </row>
    <row r="351" spans="91:102" ht="21" customHeight="1" x14ac:dyDescent="0.25">
      <c r="CM351" s="102"/>
      <c r="CN351" s="112" t="s">
        <v>1476</v>
      </c>
      <c r="CO351" s="112" t="s">
        <v>540</v>
      </c>
      <c r="CP351" s="112" t="s">
        <v>523</v>
      </c>
      <c r="CQ351" s="112" t="s">
        <v>1477</v>
      </c>
      <c r="CR351" s="112" t="s">
        <v>1478</v>
      </c>
      <c r="CS351" s="112" t="s">
        <v>525</v>
      </c>
      <c r="CT351" s="112" t="s">
        <v>1452</v>
      </c>
      <c r="CU351" s="112" t="s">
        <v>527</v>
      </c>
      <c r="CV351" s="113" t="s">
        <v>528</v>
      </c>
      <c r="CX351" s="36">
        <v>1</v>
      </c>
    </row>
    <row r="352" spans="91:102" ht="21" customHeight="1" x14ac:dyDescent="0.25">
      <c r="CM352" s="102"/>
      <c r="CN352" s="112" t="s">
        <v>1479</v>
      </c>
      <c r="CO352" s="112" t="s">
        <v>540</v>
      </c>
      <c r="CP352" s="112" t="s">
        <v>523</v>
      </c>
      <c r="CQ352" s="112" t="s">
        <v>1480</v>
      </c>
      <c r="CR352" s="112" t="s">
        <v>1481</v>
      </c>
      <c r="CS352" s="112" t="s">
        <v>525</v>
      </c>
      <c r="CT352" s="112" t="s">
        <v>1452</v>
      </c>
      <c r="CU352" s="112" t="s">
        <v>527</v>
      </c>
      <c r="CV352" s="113" t="s">
        <v>528</v>
      </c>
      <c r="CX352" s="36">
        <v>1</v>
      </c>
    </row>
    <row r="353" spans="91:102" ht="21" customHeight="1" x14ac:dyDescent="0.25">
      <c r="CM353" s="102"/>
      <c r="CN353" s="112" t="s">
        <v>1482</v>
      </c>
      <c r="CO353" s="112" t="s">
        <v>540</v>
      </c>
      <c r="CP353" s="112" t="s">
        <v>523</v>
      </c>
      <c r="CQ353" s="112" t="s">
        <v>1483</v>
      </c>
      <c r="CR353" s="112" t="s">
        <v>1484</v>
      </c>
      <c r="CS353" s="112" t="s">
        <v>525</v>
      </c>
      <c r="CT353" s="112" t="s">
        <v>1452</v>
      </c>
      <c r="CU353" s="112" t="s">
        <v>527</v>
      </c>
      <c r="CV353" s="113" t="s">
        <v>528</v>
      </c>
      <c r="CX353" s="36">
        <v>1</v>
      </c>
    </row>
    <row r="354" spans="91:102" ht="21" customHeight="1" x14ac:dyDescent="0.25">
      <c r="CM354" s="102"/>
      <c r="CN354" s="112" t="s">
        <v>1485</v>
      </c>
      <c r="CO354" s="112" t="s">
        <v>540</v>
      </c>
      <c r="CP354" s="112" t="s">
        <v>523</v>
      </c>
      <c r="CQ354" s="112" t="s">
        <v>1486</v>
      </c>
      <c r="CR354" s="112" t="s">
        <v>1487</v>
      </c>
      <c r="CS354" s="112" t="s">
        <v>525</v>
      </c>
      <c r="CT354" s="112" t="s">
        <v>1452</v>
      </c>
      <c r="CU354" s="112" t="s">
        <v>527</v>
      </c>
      <c r="CV354" s="113" t="s">
        <v>528</v>
      </c>
      <c r="CX354" s="36">
        <v>1</v>
      </c>
    </row>
    <row r="355" spans="91:102" ht="21" customHeight="1" x14ac:dyDescent="0.25">
      <c r="CM355" s="102"/>
      <c r="CN355" s="112" t="s">
        <v>1488</v>
      </c>
      <c r="CO355" s="112" t="s">
        <v>540</v>
      </c>
      <c r="CP355" s="112" t="s">
        <v>523</v>
      </c>
      <c r="CQ355" s="112" t="s">
        <v>1489</v>
      </c>
      <c r="CR355" s="112" t="s">
        <v>1490</v>
      </c>
      <c r="CS355" s="112" t="s">
        <v>525</v>
      </c>
      <c r="CT355" s="112" t="s">
        <v>1452</v>
      </c>
      <c r="CU355" s="112" t="s">
        <v>527</v>
      </c>
      <c r="CV355" s="113" t="s">
        <v>528</v>
      </c>
      <c r="CX355" s="36">
        <v>1</v>
      </c>
    </row>
    <row r="356" spans="91:102" ht="21" customHeight="1" x14ac:dyDescent="0.25">
      <c r="CM356" s="102"/>
      <c r="CN356" s="112" t="s">
        <v>1491</v>
      </c>
      <c r="CO356" s="112" t="s">
        <v>540</v>
      </c>
      <c r="CP356" s="112" t="s">
        <v>523</v>
      </c>
      <c r="CQ356" s="112" t="s">
        <v>1492</v>
      </c>
      <c r="CR356" s="112" t="s">
        <v>1493</v>
      </c>
      <c r="CS356" s="112" t="s">
        <v>525</v>
      </c>
      <c r="CT356" s="112" t="s">
        <v>1452</v>
      </c>
      <c r="CU356" s="112" t="s">
        <v>527</v>
      </c>
      <c r="CV356" s="113" t="s">
        <v>528</v>
      </c>
      <c r="CX356" s="36">
        <v>1</v>
      </c>
    </row>
    <row r="357" spans="91:102" ht="21" customHeight="1" x14ac:dyDescent="0.25">
      <c r="CM357" s="102"/>
      <c r="CN357" s="112" t="s">
        <v>1494</v>
      </c>
      <c r="CO357" s="112" t="s">
        <v>540</v>
      </c>
      <c r="CP357" s="112" t="s">
        <v>523</v>
      </c>
      <c r="CQ357" s="112" t="s">
        <v>1495</v>
      </c>
      <c r="CR357" s="112" t="s">
        <v>1495</v>
      </c>
      <c r="CS357" s="112" t="s">
        <v>610</v>
      </c>
      <c r="CT357" s="112" t="s">
        <v>611</v>
      </c>
      <c r="CU357" s="112" t="s">
        <v>527</v>
      </c>
      <c r="CV357" s="113" t="s">
        <v>612</v>
      </c>
      <c r="CX357" s="36">
        <v>1</v>
      </c>
    </row>
    <row r="358" spans="91:102" ht="21" customHeight="1" x14ac:dyDescent="0.25">
      <c r="CM358" s="102"/>
      <c r="CN358" s="112" t="s">
        <v>1496</v>
      </c>
      <c r="CO358" s="112" t="s">
        <v>540</v>
      </c>
      <c r="CP358" s="112" t="s">
        <v>523</v>
      </c>
      <c r="CQ358" s="112" t="s">
        <v>1497</v>
      </c>
      <c r="CR358" s="112" t="s">
        <v>1497</v>
      </c>
      <c r="CS358" s="112" t="s">
        <v>610</v>
      </c>
      <c r="CT358" s="112" t="s">
        <v>611</v>
      </c>
      <c r="CU358" s="112" t="s">
        <v>527</v>
      </c>
      <c r="CV358" s="113" t="s">
        <v>612</v>
      </c>
      <c r="CX358" s="36">
        <v>1</v>
      </c>
    </row>
    <row r="359" spans="91:102" ht="21" customHeight="1" x14ac:dyDescent="0.25">
      <c r="CM359" s="102"/>
      <c r="CN359" s="112" t="s">
        <v>1498</v>
      </c>
      <c r="CO359" s="112" t="s">
        <v>540</v>
      </c>
      <c r="CP359" s="112" t="s">
        <v>523</v>
      </c>
      <c r="CQ359" s="112" t="s">
        <v>1499</v>
      </c>
      <c r="CR359" s="112" t="s">
        <v>1499</v>
      </c>
      <c r="CS359" s="112" t="s">
        <v>610</v>
      </c>
      <c r="CT359" s="112" t="s">
        <v>611</v>
      </c>
      <c r="CU359" s="112" t="s">
        <v>527</v>
      </c>
      <c r="CV359" s="113" t="s">
        <v>612</v>
      </c>
      <c r="CX359" s="36">
        <v>1</v>
      </c>
    </row>
    <row r="360" spans="91:102" ht="21" customHeight="1" x14ac:dyDescent="0.25">
      <c r="CM360" s="102"/>
      <c r="CN360" s="112" t="s">
        <v>1500</v>
      </c>
      <c r="CO360" s="112" t="s">
        <v>540</v>
      </c>
      <c r="CP360" s="112" t="s">
        <v>523</v>
      </c>
      <c r="CQ360" s="112" t="s">
        <v>1501</v>
      </c>
      <c r="CR360" s="112" t="s">
        <v>1501</v>
      </c>
      <c r="CS360" s="112" t="s">
        <v>610</v>
      </c>
      <c r="CT360" s="112" t="s">
        <v>611</v>
      </c>
      <c r="CU360" s="112" t="s">
        <v>527</v>
      </c>
      <c r="CV360" s="113" t="s">
        <v>612</v>
      </c>
      <c r="CX360" s="36">
        <v>1</v>
      </c>
    </row>
    <row r="361" spans="91:102" ht="21" customHeight="1" x14ac:dyDescent="0.25">
      <c r="CM361" s="102"/>
      <c r="CN361" s="112" t="s">
        <v>1502</v>
      </c>
      <c r="CO361" s="112" t="s">
        <v>540</v>
      </c>
      <c r="CP361" s="112" t="s">
        <v>523</v>
      </c>
      <c r="CQ361" s="112" t="s">
        <v>1503</v>
      </c>
      <c r="CR361" s="112" t="s">
        <v>1503</v>
      </c>
      <c r="CS361" s="112" t="s">
        <v>610</v>
      </c>
      <c r="CT361" s="112" t="s">
        <v>611</v>
      </c>
      <c r="CU361" s="112" t="s">
        <v>527</v>
      </c>
      <c r="CV361" s="113" t="s">
        <v>612</v>
      </c>
      <c r="CX361" s="36">
        <v>1</v>
      </c>
    </row>
    <row r="362" spans="91:102" ht="21" customHeight="1" x14ac:dyDescent="0.25">
      <c r="CM362" s="102"/>
      <c r="CN362" s="112" t="s">
        <v>1504</v>
      </c>
      <c r="CO362" s="112" t="s">
        <v>540</v>
      </c>
      <c r="CP362" s="112" t="s">
        <v>523</v>
      </c>
      <c r="CQ362" s="112" t="s">
        <v>1505</v>
      </c>
      <c r="CR362" s="112" t="s">
        <v>1505</v>
      </c>
      <c r="CS362" s="112" t="s">
        <v>610</v>
      </c>
      <c r="CT362" s="112" t="s">
        <v>611</v>
      </c>
      <c r="CU362" s="112" t="s">
        <v>527</v>
      </c>
      <c r="CV362" s="113" t="s">
        <v>612</v>
      </c>
      <c r="CX362" s="36">
        <v>1</v>
      </c>
    </row>
    <row r="363" spans="91:102" ht="21" customHeight="1" x14ac:dyDescent="0.25">
      <c r="CM363" s="102"/>
      <c r="CN363" s="112" t="s">
        <v>1506</v>
      </c>
      <c r="CO363" s="112" t="s">
        <v>540</v>
      </c>
      <c r="CP363" s="112" t="s">
        <v>523</v>
      </c>
      <c r="CQ363" s="112" t="s">
        <v>1507</v>
      </c>
      <c r="CR363" s="112" t="s">
        <v>1507</v>
      </c>
      <c r="CS363" s="112" t="s">
        <v>525</v>
      </c>
      <c r="CT363" s="112" t="s">
        <v>1452</v>
      </c>
      <c r="CU363" s="112" t="s">
        <v>527</v>
      </c>
      <c r="CV363" s="113" t="s">
        <v>528</v>
      </c>
      <c r="CX363" s="36">
        <v>1</v>
      </c>
    </row>
    <row r="364" spans="91:102" ht="21" customHeight="1" x14ac:dyDescent="0.25">
      <c r="CM364" s="102"/>
      <c r="CN364" s="112" t="s">
        <v>1508</v>
      </c>
      <c r="CO364" s="112" t="s">
        <v>540</v>
      </c>
      <c r="CP364" s="112" t="s">
        <v>523</v>
      </c>
      <c r="CQ364" s="112" t="s">
        <v>754</v>
      </c>
      <c r="CR364" s="112" t="s">
        <v>755</v>
      </c>
      <c r="CS364" s="112" t="s">
        <v>525</v>
      </c>
      <c r="CT364" s="112" t="s">
        <v>1452</v>
      </c>
      <c r="CU364" s="112" t="s">
        <v>527</v>
      </c>
      <c r="CV364" s="113" t="s">
        <v>528</v>
      </c>
      <c r="CX364" s="36">
        <v>1</v>
      </c>
    </row>
    <row r="365" spans="91:102" ht="21" customHeight="1" x14ac:dyDescent="0.25">
      <c r="CM365" s="102"/>
      <c r="CN365" s="112" t="s">
        <v>1509</v>
      </c>
      <c r="CO365" s="112" t="s">
        <v>540</v>
      </c>
      <c r="CP365" s="112" t="s">
        <v>523</v>
      </c>
      <c r="CQ365" s="112" t="s">
        <v>1510</v>
      </c>
      <c r="CR365" s="112" t="s">
        <v>1510</v>
      </c>
      <c r="CS365" s="112" t="s">
        <v>525</v>
      </c>
      <c r="CT365" s="112" t="s">
        <v>1452</v>
      </c>
      <c r="CU365" s="112" t="s">
        <v>527</v>
      </c>
      <c r="CV365" s="113" t="s">
        <v>528</v>
      </c>
      <c r="CX365" s="36">
        <v>1</v>
      </c>
    </row>
    <row r="366" spans="91:102" ht="21" customHeight="1" x14ac:dyDescent="0.25">
      <c r="CM366" s="102"/>
      <c r="CN366" s="112" t="s">
        <v>1511</v>
      </c>
      <c r="CO366" s="112" t="s">
        <v>540</v>
      </c>
      <c r="CP366" s="112" t="s">
        <v>523</v>
      </c>
      <c r="CQ366" s="112" t="s">
        <v>1512</v>
      </c>
      <c r="CR366" s="112" t="s">
        <v>1513</v>
      </c>
      <c r="CS366" s="112" t="s">
        <v>525</v>
      </c>
      <c r="CT366" s="112" t="s">
        <v>1452</v>
      </c>
      <c r="CU366" s="112" t="s">
        <v>527</v>
      </c>
      <c r="CV366" s="113" t="s">
        <v>528</v>
      </c>
      <c r="CX366" s="36">
        <v>1</v>
      </c>
    </row>
    <row r="367" spans="91:102" ht="21" customHeight="1" x14ac:dyDescent="0.25">
      <c r="CM367" s="102"/>
      <c r="CN367" s="112" t="s">
        <v>1514</v>
      </c>
      <c r="CO367" s="112" t="s">
        <v>540</v>
      </c>
      <c r="CP367" s="112" t="s">
        <v>523</v>
      </c>
      <c r="CQ367" s="112" t="s">
        <v>1515</v>
      </c>
      <c r="CR367" s="112" t="s">
        <v>1516</v>
      </c>
      <c r="CS367" s="112" t="s">
        <v>525</v>
      </c>
      <c r="CT367" s="112" t="s">
        <v>1452</v>
      </c>
      <c r="CU367" s="112" t="s">
        <v>527</v>
      </c>
      <c r="CV367" s="113" t="s">
        <v>528</v>
      </c>
      <c r="CX367" s="36">
        <v>1</v>
      </c>
    </row>
    <row r="368" spans="91:102" ht="21" customHeight="1" x14ac:dyDescent="0.25">
      <c r="CM368" s="102"/>
      <c r="CN368" s="112" t="s">
        <v>1517</v>
      </c>
      <c r="CO368" s="112" t="s">
        <v>540</v>
      </c>
      <c r="CP368" s="112" t="s">
        <v>523</v>
      </c>
      <c r="CQ368" s="112" t="s">
        <v>1518</v>
      </c>
      <c r="CR368" s="112" t="s">
        <v>1519</v>
      </c>
      <c r="CS368" s="112" t="s">
        <v>525</v>
      </c>
      <c r="CT368" s="112" t="s">
        <v>1452</v>
      </c>
      <c r="CU368" s="112" t="s">
        <v>527</v>
      </c>
      <c r="CV368" s="113" t="s">
        <v>528</v>
      </c>
      <c r="CX368" s="36">
        <v>1</v>
      </c>
    </row>
    <row r="369" spans="91:102" ht="21" customHeight="1" x14ac:dyDescent="0.25">
      <c r="CM369" s="102"/>
      <c r="CN369" s="112" t="s">
        <v>1520</v>
      </c>
      <c r="CO369" s="112" t="s">
        <v>540</v>
      </c>
      <c r="CP369" s="112" t="s">
        <v>523</v>
      </c>
      <c r="CQ369" s="112" t="s">
        <v>1521</v>
      </c>
      <c r="CR369" s="112" t="s">
        <v>1522</v>
      </c>
      <c r="CS369" s="112" t="s">
        <v>525</v>
      </c>
      <c r="CT369" s="112" t="s">
        <v>1452</v>
      </c>
      <c r="CU369" s="112" t="s">
        <v>527</v>
      </c>
      <c r="CV369" s="113" t="s">
        <v>528</v>
      </c>
      <c r="CX369" s="36">
        <v>1</v>
      </c>
    </row>
    <row r="370" spans="91:102" ht="21" customHeight="1" x14ac:dyDescent="0.25">
      <c r="CM370" s="102"/>
      <c r="CN370" s="112" t="s">
        <v>1523</v>
      </c>
      <c r="CO370" s="112" t="s">
        <v>540</v>
      </c>
      <c r="CP370" s="112" t="s">
        <v>523</v>
      </c>
      <c r="CQ370" s="112" t="s">
        <v>1524</v>
      </c>
      <c r="CR370" s="112" t="s">
        <v>1524</v>
      </c>
      <c r="CS370" s="112" t="s">
        <v>525</v>
      </c>
      <c r="CT370" s="112" t="s">
        <v>1452</v>
      </c>
      <c r="CU370" s="112" t="s">
        <v>527</v>
      </c>
      <c r="CV370" s="113" t="s">
        <v>528</v>
      </c>
      <c r="CX370" s="36">
        <v>1</v>
      </c>
    </row>
    <row r="371" spans="91:102" ht="21" customHeight="1" x14ac:dyDescent="0.25">
      <c r="CM371" s="102"/>
      <c r="CN371" s="112" t="s">
        <v>1525</v>
      </c>
      <c r="CO371" s="112" t="s">
        <v>540</v>
      </c>
      <c r="CP371" s="112" t="s">
        <v>523</v>
      </c>
      <c r="CQ371" s="112" t="s">
        <v>1526</v>
      </c>
      <c r="CR371" s="112" t="s">
        <v>1526</v>
      </c>
      <c r="CS371" s="112" t="s">
        <v>525</v>
      </c>
      <c r="CT371" s="112" t="s">
        <v>1452</v>
      </c>
      <c r="CU371" s="112" t="s">
        <v>527</v>
      </c>
      <c r="CV371" s="113" t="s">
        <v>528</v>
      </c>
      <c r="CX371" s="36">
        <v>1</v>
      </c>
    </row>
    <row r="372" spans="91:102" ht="21" customHeight="1" x14ac:dyDescent="0.25">
      <c r="CM372" s="102"/>
      <c r="CN372" s="112" t="s">
        <v>1527</v>
      </c>
      <c r="CO372" s="112" t="s">
        <v>540</v>
      </c>
      <c r="CP372" s="112" t="s">
        <v>523</v>
      </c>
      <c r="CQ372" s="112" t="s">
        <v>456</v>
      </c>
      <c r="CR372" s="112" t="s">
        <v>456</v>
      </c>
      <c r="CS372" s="112" t="s">
        <v>525</v>
      </c>
      <c r="CT372" s="112" t="s">
        <v>1452</v>
      </c>
      <c r="CU372" s="112" t="s">
        <v>527</v>
      </c>
      <c r="CV372" s="113" t="s">
        <v>528</v>
      </c>
      <c r="CX372" s="36">
        <v>1</v>
      </c>
    </row>
    <row r="373" spans="91:102" ht="21" customHeight="1" x14ac:dyDescent="0.25">
      <c r="CM373" s="102"/>
      <c r="CN373" s="112" t="s">
        <v>1528</v>
      </c>
      <c r="CO373" s="112" t="s">
        <v>540</v>
      </c>
      <c r="CP373" s="112" t="s">
        <v>523</v>
      </c>
      <c r="CQ373" s="112" t="s">
        <v>1529</v>
      </c>
      <c r="CR373" s="112" t="s">
        <v>1529</v>
      </c>
      <c r="CS373" s="112" t="s">
        <v>525</v>
      </c>
      <c r="CT373" s="112" t="s">
        <v>1452</v>
      </c>
      <c r="CU373" s="112" t="s">
        <v>527</v>
      </c>
      <c r="CV373" s="113" t="s">
        <v>528</v>
      </c>
      <c r="CX373" s="36">
        <v>1</v>
      </c>
    </row>
    <row r="374" spans="91:102" ht="21" customHeight="1" x14ac:dyDescent="0.25">
      <c r="CM374" s="102"/>
      <c r="CN374" s="112" t="s">
        <v>1530</v>
      </c>
      <c r="CO374" s="112" t="s">
        <v>540</v>
      </c>
      <c r="CP374" s="112" t="s">
        <v>523</v>
      </c>
      <c r="CQ374" s="112" t="s">
        <v>1531</v>
      </c>
      <c r="CR374" s="112" t="s">
        <v>1531</v>
      </c>
      <c r="CS374" s="112" t="s">
        <v>525</v>
      </c>
      <c r="CT374" s="112" t="s">
        <v>1452</v>
      </c>
      <c r="CU374" s="112" t="s">
        <v>527</v>
      </c>
      <c r="CV374" s="113" t="s">
        <v>528</v>
      </c>
      <c r="CX374" s="36">
        <v>1</v>
      </c>
    </row>
    <row r="375" spans="91:102" ht="21" customHeight="1" x14ac:dyDescent="0.25">
      <c r="CM375" s="102"/>
      <c r="CN375" s="112" t="s">
        <v>1532</v>
      </c>
      <c r="CO375" s="112" t="s">
        <v>540</v>
      </c>
      <c r="CP375" s="112" t="s">
        <v>523</v>
      </c>
      <c r="CQ375" s="112" t="s">
        <v>1533</v>
      </c>
      <c r="CR375" s="112" t="s">
        <v>1534</v>
      </c>
      <c r="CS375" s="112" t="s">
        <v>525</v>
      </c>
      <c r="CT375" s="112" t="s">
        <v>1452</v>
      </c>
      <c r="CU375" s="112" t="s">
        <v>527</v>
      </c>
      <c r="CV375" s="113" t="s">
        <v>528</v>
      </c>
      <c r="CX375" s="36">
        <v>1</v>
      </c>
    </row>
    <row r="376" spans="91:102" ht="21" customHeight="1" x14ac:dyDescent="0.25">
      <c r="CM376" s="102"/>
      <c r="CN376" s="112" t="s">
        <v>1535</v>
      </c>
      <c r="CO376" s="112" t="s">
        <v>540</v>
      </c>
      <c r="CP376" s="112" t="s">
        <v>523</v>
      </c>
      <c r="CQ376" s="112" t="s">
        <v>1536</v>
      </c>
      <c r="CR376" s="112" t="s">
        <v>1537</v>
      </c>
      <c r="CS376" s="112" t="s">
        <v>525</v>
      </c>
      <c r="CT376" s="112" t="s">
        <v>1452</v>
      </c>
      <c r="CU376" s="112" t="s">
        <v>527</v>
      </c>
      <c r="CV376" s="113" t="s">
        <v>528</v>
      </c>
      <c r="CX376" s="36">
        <v>1</v>
      </c>
    </row>
    <row r="377" spans="91:102" ht="21" customHeight="1" x14ac:dyDescent="0.25">
      <c r="CM377" s="102"/>
      <c r="CN377" s="112" t="s">
        <v>1538</v>
      </c>
      <c r="CO377" s="112" t="s">
        <v>540</v>
      </c>
      <c r="CP377" s="112" t="s">
        <v>523</v>
      </c>
      <c r="CQ377" s="112" t="s">
        <v>1539</v>
      </c>
      <c r="CR377" s="112" t="s">
        <v>1540</v>
      </c>
      <c r="CS377" s="112" t="s">
        <v>525</v>
      </c>
      <c r="CT377" s="112" t="s">
        <v>1452</v>
      </c>
      <c r="CU377" s="112" t="s">
        <v>527</v>
      </c>
      <c r="CV377" s="113" t="s">
        <v>528</v>
      </c>
      <c r="CX377" s="36">
        <v>1</v>
      </c>
    </row>
    <row r="378" spans="91:102" ht="21" customHeight="1" x14ac:dyDescent="0.25">
      <c r="CM378" s="102"/>
      <c r="CN378" s="112" t="s">
        <v>1541</v>
      </c>
      <c r="CO378" s="112" t="s">
        <v>540</v>
      </c>
      <c r="CP378" s="112" t="s">
        <v>523</v>
      </c>
      <c r="CQ378" s="112" t="s">
        <v>1542</v>
      </c>
      <c r="CR378" s="112" t="s">
        <v>1543</v>
      </c>
      <c r="CS378" s="112" t="s">
        <v>525</v>
      </c>
      <c r="CT378" s="112" t="s">
        <v>1452</v>
      </c>
      <c r="CU378" s="112" t="s">
        <v>527</v>
      </c>
      <c r="CV378" s="113" t="s">
        <v>528</v>
      </c>
      <c r="CX378" s="36">
        <v>1</v>
      </c>
    </row>
    <row r="379" spans="91:102" ht="21" customHeight="1" x14ac:dyDescent="0.25">
      <c r="CM379" s="102"/>
      <c r="CN379" s="112" t="s">
        <v>1544</v>
      </c>
      <c r="CO379" s="112" t="s">
        <v>540</v>
      </c>
      <c r="CP379" s="112" t="s">
        <v>523</v>
      </c>
      <c r="CQ379" s="112" t="s">
        <v>1545</v>
      </c>
      <c r="CR379" s="112" t="s">
        <v>1546</v>
      </c>
      <c r="CS379" s="112" t="s">
        <v>525</v>
      </c>
      <c r="CT379" s="112" t="s">
        <v>1452</v>
      </c>
      <c r="CU379" s="112" t="s">
        <v>527</v>
      </c>
      <c r="CV379" s="113" t="s">
        <v>528</v>
      </c>
      <c r="CX379" s="36">
        <v>1</v>
      </c>
    </row>
    <row r="380" spans="91:102" ht="21" customHeight="1" x14ac:dyDescent="0.25">
      <c r="CM380" s="102"/>
      <c r="CN380" s="112" t="s">
        <v>1547</v>
      </c>
      <c r="CO380" s="112" t="s">
        <v>540</v>
      </c>
      <c r="CP380" s="112" t="s">
        <v>523</v>
      </c>
      <c r="CQ380" s="112" t="s">
        <v>1548</v>
      </c>
      <c r="CR380" s="112" t="s">
        <v>1549</v>
      </c>
      <c r="CS380" s="112" t="s">
        <v>525</v>
      </c>
      <c r="CT380" s="112" t="s">
        <v>1452</v>
      </c>
      <c r="CU380" s="112" t="s">
        <v>527</v>
      </c>
      <c r="CV380" s="113" t="s">
        <v>528</v>
      </c>
      <c r="CX380" s="36">
        <v>1</v>
      </c>
    </row>
    <row r="381" spans="91:102" ht="21" customHeight="1" x14ac:dyDescent="0.25">
      <c r="CM381" s="102"/>
      <c r="CN381" s="112" t="s">
        <v>1550</v>
      </c>
      <c r="CO381" s="112" t="s">
        <v>540</v>
      </c>
      <c r="CP381" s="112" t="s">
        <v>523</v>
      </c>
      <c r="CQ381" s="112" t="s">
        <v>1551</v>
      </c>
      <c r="CR381" s="112" t="s">
        <v>1552</v>
      </c>
      <c r="CS381" s="112" t="s">
        <v>525</v>
      </c>
      <c r="CT381" s="112" t="s">
        <v>1452</v>
      </c>
      <c r="CU381" s="112" t="s">
        <v>527</v>
      </c>
      <c r="CV381" s="113" t="s">
        <v>528</v>
      </c>
      <c r="CX381" s="36">
        <v>1</v>
      </c>
    </row>
    <row r="382" spans="91:102" ht="21" customHeight="1" x14ac:dyDescent="0.25">
      <c r="CM382" s="102"/>
      <c r="CN382" s="112" t="s">
        <v>1553</v>
      </c>
      <c r="CO382" s="112" t="s">
        <v>540</v>
      </c>
      <c r="CP382" s="112" t="s">
        <v>523</v>
      </c>
      <c r="CQ382" s="112" t="s">
        <v>1554</v>
      </c>
      <c r="CR382" s="112" t="s">
        <v>1554</v>
      </c>
      <c r="CS382" s="112" t="s">
        <v>525</v>
      </c>
      <c r="CT382" s="112" t="s">
        <v>1452</v>
      </c>
      <c r="CU382" s="112" t="s">
        <v>527</v>
      </c>
      <c r="CV382" s="113" t="s">
        <v>528</v>
      </c>
      <c r="CX382" s="36">
        <v>1</v>
      </c>
    </row>
    <row r="383" spans="91:102" ht="21" customHeight="1" x14ac:dyDescent="0.25">
      <c r="CM383" s="102"/>
      <c r="CN383" s="112" t="s">
        <v>1555</v>
      </c>
      <c r="CO383" s="112" t="s">
        <v>540</v>
      </c>
      <c r="CP383" s="112" t="s">
        <v>523</v>
      </c>
      <c r="CQ383" s="112" t="s">
        <v>1556</v>
      </c>
      <c r="CR383" s="112" t="s">
        <v>1556</v>
      </c>
      <c r="CS383" s="112" t="s">
        <v>525</v>
      </c>
      <c r="CT383" s="112" t="s">
        <v>1452</v>
      </c>
      <c r="CU383" s="112" t="s">
        <v>527</v>
      </c>
      <c r="CV383" s="113" t="s">
        <v>528</v>
      </c>
      <c r="CX383" s="36">
        <v>1</v>
      </c>
    </row>
    <row r="384" spans="91:102" ht="21" customHeight="1" x14ac:dyDescent="0.25">
      <c r="CM384" s="102"/>
      <c r="CN384" s="112" t="s">
        <v>1557</v>
      </c>
      <c r="CO384" s="112" t="s">
        <v>540</v>
      </c>
      <c r="CP384" s="112" t="s">
        <v>523</v>
      </c>
      <c r="CQ384" s="112" t="s">
        <v>1558</v>
      </c>
      <c r="CR384" s="112" t="s">
        <v>1558</v>
      </c>
      <c r="CS384" s="112" t="s">
        <v>525</v>
      </c>
      <c r="CT384" s="112" t="s">
        <v>1452</v>
      </c>
      <c r="CU384" s="112" t="s">
        <v>527</v>
      </c>
      <c r="CV384" s="113" t="s">
        <v>528</v>
      </c>
      <c r="CX384" s="36">
        <v>1</v>
      </c>
    </row>
    <row r="385" spans="91:102" ht="21" customHeight="1" x14ac:dyDescent="0.25">
      <c r="CM385" s="102"/>
      <c r="CN385" s="112" t="s">
        <v>1559</v>
      </c>
      <c r="CO385" s="112" t="s">
        <v>540</v>
      </c>
      <c r="CP385" s="112" t="s">
        <v>523</v>
      </c>
      <c r="CQ385" s="112" t="s">
        <v>1560</v>
      </c>
      <c r="CR385" s="112" t="s">
        <v>1561</v>
      </c>
      <c r="CS385" s="112" t="s">
        <v>525</v>
      </c>
      <c r="CT385" s="112" t="s">
        <v>1452</v>
      </c>
      <c r="CU385" s="112" t="s">
        <v>527</v>
      </c>
      <c r="CV385" s="113" t="s">
        <v>528</v>
      </c>
      <c r="CX385" s="36">
        <v>1</v>
      </c>
    </row>
    <row r="386" spans="91:102" ht="21" customHeight="1" x14ac:dyDescent="0.25">
      <c r="CM386" s="102"/>
      <c r="CN386" s="112" t="s">
        <v>1562</v>
      </c>
      <c r="CO386" s="112" t="s">
        <v>540</v>
      </c>
      <c r="CP386" s="112" t="s">
        <v>523</v>
      </c>
      <c r="CQ386" s="112" t="s">
        <v>1563</v>
      </c>
      <c r="CR386" s="112" t="s">
        <v>1563</v>
      </c>
      <c r="CS386" s="112" t="s">
        <v>525</v>
      </c>
      <c r="CT386" s="112" t="s">
        <v>1452</v>
      </c>
      <c r="CU386" s="112" t="s">
        <v>527</v>
      </c>
      <c r="CV386" s="113" t="s">
        <v>528</v>
      </c>
      <c r="CX386" s="36">
        <v>1</v>
      </c>
    </row>
    <row r="387" spans="91:102" ht="21" customHeight="1" x14ac:dyDescent="0.25">
      <c r="CM387" s="102"/>
      <c r="CN387" s="112" t="s">
        <v>1564</v>
      </c>
      <c r="CO387" s="112" t="s">
        <v>540</v>
      </c>
      <c r="CP387" s="112" t="s">
        <v>523</v>
      </c>
      <c r="CQ387" s="112" t="s">
        <v>1565</v>
      </c>
      <c r="CR387" s="112" t="s">
        <v>1565</v>
      </c>
      <c r="CS387" s="112" t="s">
        <v>525</v>
      </c>
      <c r="CT387" s="112" t="s">
        <v>1452</v>
      </c>
      <c r="CU387" s="112" t="s">
        <v>527</v>
      </c>
      <c r="CV387" s="113" t="s">
        <v>528</v>
      </c>
      <c r="CX387" s="36">
        <v>1</v>
      </c>
    </row>
    <row r="388" spans="91:102" ht="21" customHeight="1" x14ac:dyDescent="0.25">
      <c r="CM388" s="102"/>
      <c r="CN388" s="112" t="s">
        <v>1566</v>
      </c>
      <c r="CO388" s="112" t="s">
        <v>540</v>
      </c>
      <c r="CP388" s="112" t="s">
        <v>523</v>
      </c>
      <c r="CQ388" s="112" t="s">
        <v>1567</v>
      </c>
      <c r="CR388" s="112" t="s">
        <v>1568</v>
      </c>
      <c r="CS388" s="112" t="s">
        <v>525</v>
      </c>
      <c r="CT388" s="112" t="s">
        <v>1452</v>
      </c>
      <c r="CU388" s="112" t="s">
        <v>527</v>
      </c>
      <c r="CV388" s="113" t="s">
        <v>528</v>
      </c>
      <c r="CX388" s="36">
        <v>1</v>
      </c>
    </row>
    <row r="389" spans="91:102" ht="21" customHeight="1" x14ac:dyDescent="0.25">
      <c r="CM389" s="102"/>
      <c r="CN389" s="112" t="s">
        <v>1569</v>
      </c>
      <c r="CO389" s="112" t="s">
        <v>540</v>
      </c>
      <c r="CP389" s="112" t="s">
        <v>523</v>
      </c>
      <c r="CQ389" s="112" t="s">
        <v>876</v>
      </c>
      <c r="CR389" s="112" t="s">
        <v>877</v>
      </c>
      <c r="CS389" s="112" t="s">
        <v>525</v>
      </c>
      <c r="CT389" s="112" t="s">
        <v>1452</v>
      </c>
      <c r="CU389" s="112" t="s">
        <v>527</v>
      </c>
      <c r="CV389" s="113" t="s">
        <v>528</v>
      </c>
      <c r="CX389" s="36">
        <v>1</v>
      </c>
    </row>
    <row r="390" spans="91:102" ht="21" customHeight="1" x14ac:dyDescent="0.25">
      <c r="CM390" s="102"/>
      <c r="CN390" s="112" t="s">
        <v>1570</v>
      </c>
      <c r="CO390" s="112" t="s">
        <v>540</v>
      </c>
      <c r="CP390" s="112" t="s">
        <v>523</v>
      </c>
      <c r="CQ390" s="112" t="s">
        <v>1571</v>
      </c>
      <c r="CR390" s="112" t="s">
        <v>1572</v>
      </c>
      <c r="CS390" s="112" t="s">
        <v>525</v>
      </c>
      <c r="CT390" s="112" t="s">
        <v>1452</v>
      </c>
      <c r="CU390" s="112" t="s">
        <v>527</v>
      </c>
      <c r="CV390" s="113" t="s">
        <v>528</v>
      </c>
      <c r="CX390" s="36">
        <v>1</v>
      </c>
    </row>
    <row r="391" spans="91:102" ht="21" customHeight="1" x14ac:dyDescent="0.25">
      <c r="CM391" s="102"/>
      <c r="CN391" s="112" t="s">
        <v>1573</v>
      </c>
      <c r="CO391" s="112" t="s">
        <v>540</v>
      </c>
      <c r="CP391" s="112" t="s">
        <v>523</v>
      </c>
      <c r="CQ391" s="112" t="s">
        <v>971</v>
      </c>
      <c r="CR391" s="112" t="s">
        <v>971</v>
      </c>
      <c r="CS391" s="112" t="s">
        <v>525</v>
      </c>
      <c r="CT391" s="112" t="s">
        <v>1452</v>
      </c>
      <c r="CU391" s="112" t="s">
        <v>527</v>
      </c>
      <c r="CV391" s="113" t="s">
        <v>528</v>
      </c>
      <c r="CX391" s="36">
        <v>1</v>
      </c>
    </row>
    <row r="392" spans="91:102" ht="21" customHeight="1" x14ac:dyDescent="0.25">
      <c r="CM392" s="102"/>
      <c r="CN392" s="112" t="s">
        <v>1574</v>
      </c>
      <c r="CO392" s="112" t="s">
        <v>540</v>
      </c>
      <c r="CP392" s="112" t="s">
        <v>523</v>
      </c>
      <c r="CQ392" s="112" t="s">
        <v>1575</v>
      </c>
      <c r="CR392" s="112" t="s">
        <v>1575</v>
      </c>
      <c r="CS392" s="112" t="s">
        <v>525</v>
      </c>
      <c r="CT392" s="112" t="s">
        <v>1452</v>
      </c>
      <c r="CU392" s="112" t="s">
        <v>527</v>
      </c>
      <c r="CV392" s="113" t="s">
        <v>528</v>
      </c>
      <c r="CX392" s="36">
        <v>1</v>
      </c>
    </row>
    <row r="393" spans="91:102" ht="21" customHeight="1" x14ac:dyDescent="0.25">
      <c r="CM393" s="102"/>
      <c r="CN393" s="112" t="s">
        <v>1576</v>
      </c>
      <c r="CO393" s="112" t="s">
        <v>540</v>
      </c>
      <c r="CP393" s="112" t="s">
        <v>523</v>
      </c>
      <c r="CQ393" s="112" t="s">
        <v>1577</v>
      </c>
      <c r="CR393" s="112" t="s">
        <v>1577</v>
      </c>
      <c r="CS393" s="112" t="s">
        <v>525</v>
      </c>
      <c r="CT393" s="112" t="s">
        <v>1452</v>
      </c>
      <c r="CU393" s="112" t="s">
        <v>527</v>
      </c>
      <c r="CV393" s="113" t="s">
        <v>528</v>
      </c>
      <c r="CX393" s="36">
        <v>1</v>
      </c>
    </row>
    <row r="394" spans="91:102" ht="21" customHeight="1" x14ac:dyDescent="0.25">
      <c r="CM394" s="102"/>
      <c r="CN394" s="112" t="s">
        <v>1578</v>
      </c>
      <c r="CO394" s="112" t="s">
        <v>540</v>
      </c>
      <c r="CP394" s="112" t="s">
        <v>523</v>
      </c>
      <c r="CQ394" s="112" t="s">
        <v>1579</v>
      </c>
      <c r="CR394" s="112" t="s">
        <v>1579</v>
      </c>
      <c r="CS394" s="112" t="s">
        <v>525</v>
      </c>
      <c r="CT394" s="112" t="s">
        <v>1452</v>
      </c>
      <c r="CU394" s="112" t="s">
        <v>527</v>
      </c>
      <c r="CV394" s="113" t="s">
        <v>528</v>
      </c>
      <c r="CX394" s="36">
        <v>1</v>
      </c>
    </row>
    <row r="395" spans="91:102" ht="21" customHeight="1" x14ac:dyDescent="0.25">
      <c r="CM395" s="102"/>
      <c r="CN395" s="112" t="s">
        <v>1580</v>
      </c>
      <c r="CO395" s="112" t="s">
        <v>540</v>
      </c>
      <c r="CP395" s="112" t="s">
        <v>523</v>
      </c>
      <c r="CQ395" s="112" t="s">
        <v>1581</v>
      </c>
      <c r="CR395" s="112" t="s">
        <v>1582</v>
      </c>
      <c r="CS395" s="112" t="s">
        <v>525</v>
      </c>
      <c r="CT395" s="112" t="s">
        <v>1452</v>
      </c>
      <c r="CU395" s="112" t="s">
        <v>527</v>
      </c>
      <c r="CV395" s="113" t="s">
        <v>528</v>
      </c>
      <c r="CX395" s="36">
        <v>1</v>
      </c>
    </row>
    <row r="396" spans="91:102" ht="21" customHeight="1" x14ac:dyDescent="0.25">
      <c r="CM396" s="102"/>
      <c r="CN396" s="112" t="s">
        <v>1583</v>
      </c>
      <c r="CO396" s="112" t="s">
        <v>540</v>
      </c>
      <c r="CP396" s="112" t="s">
        <v>523</v>
      </c>
      <c r="CQ396" s="112" t="s">
        <v>1584</v>
      </c>
      <c r="CR396" s="112" t="s">
        <v>1584</v>
      </c>
      <c r="CS396" s="112" t="s">
        <v>525</v>
      </c>
      <c r="CT396" s="112" t="s">
        <v>1452</v>
      </c>
      <c r="CU396" s="112" t="s">
        <v>527</v>
      </c>
      <c r="CV396" s="113" t="s">
        <v>528</v>
      </c>
      <c r="CX396" s="36">
        <v>1</v>
      </c>
    </row>
    <row r="397" spans="91:102" ht="21" customHeight="1" x14ac:dyDescent="0.25">
      <c r="CM397" s="102"/>
      <c r="CN397" s="112" t="s">
        <v>1585</v>
      </c>
      <c r="CO397" s="112" t="s">
        <v>540</v>
      </c>
      <c r="CP397" s="112" t="s">
        <v>523</v>
      </c>
      <c r="CQ397" s="112" t="s">
        <v>1586</v>
      </c>
      <c r="CR397" s="112" t="s">
        <v>1587</v>
      </c>
      <c r="CS397" s="112" t="s">
        <v>525</v>
      </c>
      <c r="CT397" s="112" t="s">
        <v>1452</v>
      </c>
      <c r="CU397" s="112" t="s">
        <v>527</v>
      </c>
      <c r="CV397" s="113" t="s">
        <v>528</v>
      </c>
      <c r="CX397" s="36">
        <v>1</v>
      </c>
    </row>
    <row r="398" spans="91:102" ht="21" customHeight="1" x14ac:dyDescent="0.25">
      <c r="CM398" s="102"/>
      <c r="CN398" s="112" t="s">
        <v>1588</v>
      </c>
      <c r="CO398" s="112" t="s">
        <v>540</v>
      </c>
      <c r="CP398" s="112" t="s">
        <v>523</v>
      </c>
      <c r="CQ398" s="112" t="s">
        <v>1589</v>
      </c>
      <c r="CR398" s="112" t="s">
        <v>1589</v>
      </c>
      <c r="CS398" s="112" t="s">
        <v>525</v>
      </c>
      <c r="CT398" s="112" t="s">
        <v>1452</v>
      </c>
      <c r="CU398" s="112" t="s">
        <v>527</v>
      </c>
      <c r="CV398" s="113" t="s">
        <v>528</v>
      </c>
      <c r="CX398" s="36">
        <v>1</v>
      </c>
    </row>
    <row r="399" spans="91:102" ht="21" customHeight="1" x14ac:dyDescent="0.25">
      <c r="CM399" s="102"/>
      <c r="CN399" s="112" t="s">
        <v>1590</v>
      </c>
      <c r="CO399" s="112" t="s">
        <v>540</v>
      </c>
      <c r="CP399" s="112" t="s">
        <v>1119</v>
      </c>
      <c r="CQ399" s="112" t="s">
        <v>1591</v>
      </c>
      <c r="CR399" s="112" t="s">
        <v>1591</v>
      </c>
      <c r="CS399" s="112" t="s">
        <v>525</v>
      </c>
      <c r="CT399" s="112" t="s">
        <v>1592</v>
      </c>
      <c r="CU399" s="112" t="s">
        <v>527</v>
      </c>
      <c r="CV399" s="113" t="s">
        <v>528</v>
      </c>
      <c r="CX399" s="36">
        <v>1</v>
      </c>
    </row>
    <row r="400" spans="91:102" ht="21" customHeight="1" x14ac:dyDescent="0.25">
      <c r="CM400" s="102"/>
      <c r="CN400" s="112" t="s">
        <v>1593</v>
      </c>
      <c r="CO400" s="112" t="s">
        <v>540</v>
      </c>
      <c r="CP400" s="112" t="s">
        <v>1119</v>
      </c>
      <c r="CQ400" s="112" t="s">
        <v>1594</v>
      </c>
      <c r="CR400" s="112" t="s">
        <v>1594</v>
      </c>
      <c r="CS400" s="112" t="s">
        <v>525</v>
      </c>
      <c r="CT400" s="112" t="s">
        <v>1592</v>
      </c>
      <c r="CU400" s="112" t="s">
        <v>527</v>
      </c>
      <c r="CV400" s="113" t="s">
        <v>528</v>
      </c>
      <c r="CX400" s="36">
        <v>1</v>
      </c>
    </row>
    <row r="401" spans="91:102" ht="21" customHeight="1" x14ac:dyDescent="0.25">
      <c r="CM401" s="102"/>
      <c r="CN401" s="112" t="s">
        <v>1595</v>
      </c>
      <c r="CO401" s="112" t="s">
        <v>540</v>
      </c>
      <c r="CP401" s="112" t="s">
        <v>1119</v>
      </c>
      <c r="CQ401" s="112" t="s">
        <v>1120</v>
      </c>
      <c r="CR401" s="112" t="s">
        <v>1120</v>
      </c>
      <c r="CS401" s="112" t="s">
        <v>525</v>
      </c>
      <c r="CT401" s="112" t="s">
        <v>1592</v>
      </c>
      <c r="CU401" s="112" t="s">
        <v>527</v>
      </c>
      <c r="CV401" s="113" t="s">
        <v>528</v>
      </c>
      <c r="CX401" s="36">
        <v>1</v>
      </c>
    </row>
    <row r="402" spans="91:102" ht="21" customHeight="1" x14ac:dyDescent="0.25">
      <c r="CM402" s="102"/>
      <c r="CN402" s="112" t="s">
        <v>1596</v>
      </c>
      <c r="CO402" s="112" t="s">
        <v>540</v>
      </c>
      <c r="CP402" s="112" t="s">
        <v>1119</v>
      </c>
      <c r="CQ402" s="112" t="s">
        <v>652</v>
      </c>
      <c r="CR402" s="112" t="s">
        <v>652</v>
      </c>
      <c r="CS402" s="112" t="s">
        <v>525</v>
      </c>
      <c r="CT402" s="112" t="s">
        <v>1592</v>
      </c>
      <c r="CU402" s="112" t="s">
        <v>527</v>
      </c>
      <c r="CV402" s="113" t="s">
        <v>528</v>
      </c>
      <c r="CX402" s="36">
        <v>1</v>
      </c>
    </row>
    <row r="403" spans="91:102" ht="21" customHeight="1" x14ac:dyDescent="0.25">
      <c r="CM403" s="102"/>
      <c r="CN403" s="112" t="s">
        <v>1597</v>
      </c>
      <c r="CO403" s="112" t="s">
        <v>540</v>
      </c>
      <c r="CP403" s="112" t="s">
        <v>1119</v>
      </c>
      <c r="CQ403" s="112" t="s">
        <v>1598</v>
      </c>
      <c r="CR403" s="112" t="s">
        <v>1598</v>
      </c>
      <c r="CS403" s="112" t="s">
        <v>525</v>
      </c>
      <c r="CT403" s="112" t="s">
        <v>1592</v>
      </c>
      <c r="CU403" s="112" t="s">
        <v>527</v>
      </c>
      <c r="CV403" s="113" t="s">
        <v>528</v>
      </c>
      <c r="CX403" s="36">
        <v>1</v>
      </c>
    </row>
    <row r="404" spans="91:102" ht="21" customHeight="1" x14ac:dyDescent="0.25">
      <c r="CM404" s="102"/>
      <c r="CN404" s="112" t="s">
        <v>1599</v>
      </c>
      <c r="CO404" s="112" t="s">
        <v>540</v>
      </c>
      <c r="CP404" s="112" t="s">
        <v>1119</v>
      </c>
      <c r="CQ404" s="112" t="s">
        <v>1125</v>
      </c>
      <c r="CR404" s="112" t="s">
        <v>1125</v>
      </c>
      <c r="CS404" s="112" t="s">
        <v>610</v>
      </c>
      <c r="CT404" s="112" t="s">
        <v>1126</v>
      </c>
      <c r="CU404" s="112" t="s">
        <v>527</v>
      </c>
      <c r="CV404" s="113" t="s">
        <v>612</v>
      </c>
      <c r="CX404" s="36">
        <v>1</v>
      </c>
    </row>
    <row r="405" spans="91:102" ht="21" customHeight="1" x14ac:dyDescent="0.25">
      <c r="CM405" s="102"/>
      <c r="CN405" s="112" t="s">
        <v>1600</v>
      </c>
      <c r="CO405" s="112" t="s">
        <v>540</v>
      </c>
      <c r="CP405" s="112" t="s">
        <v>1119</v>
      </c>
      <c r="CQ405" s="112" t="s">
        <v>1128</v>
      </c>
      <c r="CR405" s="112" t="s">
        <v>1128</v>
      </c>
      <c r="CS405" s="112" t="s">
        <v>610</v>
      </c>
      <c r="CT405" s="112" t="s">
        <v>1126</v>
      </c>
      <c r="CU405" s="112" t="s">
        <v>527</v>
      </c>
      <c r="CV405" s="113" t="s">
        <v>612</v>
      </c>
      <c r="CX405" s="36">
        <v>1</v>
      </c>
    </row>
    <row r="406" spans="91:102" ht="21" customHeight="1" x14ac:dyDescent="0.25">
      <c r="CM406" s="102"/>
      <c r="CN406" s="112" t="s">
        <v>1601</v>
      </c>
      <c r="CO406" s="112" t="s">
        <v>540</v>
      </c>
      <c r="CP406" s="112" t="s">
        <v>1119</v>
      </c>
      <c r="CQ406" s="112" t="s">
        <v>1602</v>
      </c>
      <c r="CR406" s="112" t="s">
        <v>1602</v>
      </c>
      <c r="CS406" s="112" t="s">
        <v>525</v>
      </c>
      <c r="CT406" s="112" t="s">
        <v>1592</v>
      </c>
      <c r="CU406" s="112" t="s">
        <v>527</v>
      </c>
      <c r="CV406" s="113" t="s">
        <v>528</v>
      </c>
      <c r="CX406" s="36">
        <v>1</v>
      </c>
    </row>
    <row r="407" spans="91:102" ht="21" customHeight="1" x14ac:dyDescent="0.25">
      <c r="CM407" s="102"/>
      <c r="CN407" s="112" t="s">
        <v>1603</v>
      </c>
      <c r="CO407" s="112" t="s">
        <v>540</v>
      </c>
      <c r="CP407" s="112" t="s">
        <v>1119</v>
      </c>
      <c r="CQ407" s="112" t="s">
        <v>1132</v>
      </c>
      <c r="CR407" s="112" t="s">
        <v>1132</v>
      </c>
      <c r="CS407" s="112" t="s">
        <v>525</v>
      </c>
      <c r="CT407" s="112" t="s">
        <v>1592</v>
      </c>
      <c r="CU407" s="112" t="s">
        <v>527</v>
      </c>
      <c r="CV407" s="113" t="s">
        <v>528</v>
      </c>
      <c r="CX407" s="36">
        <v>1</v>
      </c>
    </row>
    <row r="408" spans="91:102" ht="21" customHeight="1" x14ac:dyDescent="0.25">
      <c r="CM408" s="102"/>
      <c r="CN408" s="112" t="s">
        <v>1604</v>
      </c>
      <c r="CO408" s="112" t="s">
        <v>540</v>
      </c>
      <c r="CP408" s="112" t="s">
        <v>1119</v>
      </c>
      <c r="CQ408" s="112" t="s">
        <v>1605</v>
      </c>
      <c r="CR408" s="112" t="s">
        <v>1606</v>
      </c>
      <c r="CS408" s="112" t="s">
        <v>525</v>
      </c>
      <c r="CT408" s="112" t="s">
        <v>1592</v>
      </c>
      <c r="CU408" s="112" t="s">
        <v>527</v>
      </c>
      <c r="CV408" s="113" t="s">
        <v>528</v>
      </c>
      <c r="CX408" s="36">
        <v>1</v>
      </c>
    </row>
    <row r="409" spans="91:102" ht="21" customHeight="1" x14ac:dyDescent="0.25">
      <c r="CM409" s="102"/>
      <c r="CN409" s="112" t="s">
        <v>1607</v>
      </c>
      <c r="CO409" s="112" t="s">
        <v>540</v>
      </c>
      <c r="CP409" s="112" t="s">
        <v>1119</v>
      </c>
      <c r="CQ409" s="112" t="s">
        <v>1608</v>
      </c>
      <c r="CR409" s="112" t="s">
        <v>1608</v>
      </c>
      <c r="CS409" s="112" t="s">
        <v>525</v>
      </c>
      <c r="CT409" s="112" t="s">
        <v>1592</v>
      </c>
      <c r="CU409" s="112" t="s">
        <v>527</v>
      </c>
      <c r="CV409" s="113" t="s">
        <v>528</v>
      </c>
      <c r="CX409" s="36">
        <v>1</v>
      </c>
    </row>
    <row r="410" spans="91:102" ht="21" customHeight="1" x14ac:dyDescent="0.25">
      <c r="CM410" s="102"/>
      <c r="CN410" s="112" t="s">
        <v>1609</v>
      </c>
      <c r="CO410" s="112" t="s">
        <v>540</v>
      </c>
      <c r="CP410" s="112" t="s">
        <v>1119</v>
      </c>
      <c r="CQ410" s="112" t="s">
        <v>1610</v>
      </c>
      <c r="CR410" s="112" t="s">
        <v>1610</v>
      </c>
      <c r="CS410" s="112" t="s">
        <v>525</v>
      </c>
      <c r="CT410" s="112" t="s">
        <v>1592</v>
      </c>
      <c r="CU410" s="112" t="s">
        <v>527</v>
      </c>
      <c r="CV410" s="113" t="s">
        <v>528</v>
      </c>
      <c r="CX410" s="36">
        <v>1</v>
      </c>
    </row>
    <row r="411" spans="91:102" ht="21" customHeight="1" x14ac:dyDescent="0.25">
      <c r="CM411" s="102"/>
      <c r="CN411" s="112" t="s">
        <v>1611</v>
      </c>
      <c r="CO411" s="112" t="s">
        <v>540</v>
      </c>
      <c r="CP411" s="112" t="s">
        <v>1119</v>
      </c>
      <c r="CQ411" s="112" t="s">
        <v>1612</v>
      </c>
      <c r="CR411" s="112" t="s">
        <v>1612</v>
      </c>
      <c r="CS411" s="112" t="s">
        <v>525</v>
      </c>
      <c r="CT411" s="112" t="s">
        <v>1592</v>
      </c>
      <c r="CU411" s="112" t="s">
        <v>527</v>
      </c>
      <c r="CV411" s="113" t="s">
        <v>528</v>
      </c>
      <c r="CX411" s="36">
        <v>1</v>
      </c>
    </row>
    <row r="412" spans="91:102" ht="21" customHeight="1" x14ac:dyDescent="0.25">
      <c r="CM412" s="102"/>
      <c r="CN412" s="112" t="s">
        <v>1613</v>
      </c>
      <c r="CO412" s="112" t="s">
        <v>540</v>
      </c>
      <c r="CP412" s="112" t="s">
        <v>1119</v>
      </c>
      <c r="CQ412" s="112" t="s">
        <v>1614</v>
      </c>
      <c r="CR412" s="112" t="s">
        <v>1614</v>
      </c>
      <c r="CS412" s="112" t="s">
        <v>525</v>
      </c>
      <c r="CT412" s="112" t="s">
        <v>1592</v>
      </c>
      <c r="CU412" s="112" t="s">
        <v>527</v>
      </c>
      <c r="CV412" s="113" t="s">
        <v>528</v>
      </c>
      <c r="CX412" s="36">
        <v>1</v>
      </c>
    </row>
    <row r="413" spans="91:102" ht="21" customHeight="1" x14ac:dyDescent="0.25">
      <c r="CM413" s="102"/>
      <c r="CN413" s="112" t="s">
        <v>1615</v>
      </c>
      <c r="CO413" s="112" t="s">
        <v>540</v>
      </c>
      <c r="CP413" s="112" t="s">
        <v>1119</v>
      </c>
      <c r="CQ413" s="112" t="s">
        <v>1616</v>
      </c>
      <c r="CR413" s="112" t="s">
        <v>1617</v>
      </c>
      <c r="CS413" s="112" t="s">
        <v>525</v>
      </c>
      <c r="CT413" s="112" t="s">
        <v>1592</v>
      </c>
      <c r="CU413" s="112" t="s">
        <v>527</v>
      </c>
      <c r="CV413" s="113" t="s">
        <v>528</v>
      </c>
      <c r="CX413" s="36">
        <v>1</v>
      </c>
    </row>
    <row r="414" spans="91:102" ht="21" customHeight="1" x14ac:dyDescent="0.25">
      <c r="CM414" s="102"/>
      <c r="CN414" s="112" t="s">
        <v>1618</v>
      </c>
      <c r="CO414" s="112" t="s">
        <v>540</v>
      </c>
      <c r="CP414" s="112" t="s">
        <v>1119</v>
      </c>
      <c r="CQ414" s="112" t="s">
        <v>1619</v>
      </c>
      <c r="CR414" s="112" t="s">
        <v>1620</v>
      </c>
      <c r="CS414" s="112" t="s">
        <v>525</v>
      </c>
      <c r="CT414" s="112" t="s">
        <v>1592</v>
      </c>
      <c r="CU414" s="112" t="s">
        <v>527</v>
      </c>
      <c r="CV414" s="113" t="s">
        <v>528</v>
      </c>
      <c r="CX414" s="36">
        <v>1</v>
      </c>
    </row>
    <row r="415" spans="91:102" ht="21" customHeight="1" x14ac:dyDescent="0.25">
      <c r="CM415" s="102"/>
      <c r="CN415" s="112" t="s">
        <v>1621</v>
      </c>
      <c r="CO415" s="112" t="s">
        <v>540</v>
      </c>
      <c r="CP415" s="112" t="s">
        <v>1119</v>
      </c>
      <c r="CQ415" s="112" t="s">
        <v>868</v>
      </c>
      <c r="CR415" s="112" t="s">
        <v>868</v>
      </c>
      <c r="CS415" s="112" t="s">
        <v>525</v>
      </c>
      <c r="CT415" s="112" t="s">
        <v>1592</v>
      </c>
      <c r="CU415" s="112" t="s">
        <v>527</v>
      </c>
      <c r="CV415" s="113" t="s">
        <v>528</v>
      </c>
      <c r="CX415" s="36">
        <v>1</v>
      </c>
    </row>
    <row r="416" spans="91:102" ht="21" customHeight="1" x14ac:dyDescent="0.25">
      <c r="CM416" s="102"/>
      <c r="CN416" s="112" t="s">
        <v>1622</v>
      </c>
      <c r="CO416" s="112" t="s">
        <v>540</v>
      </c>
      <c r="CP416" s="112" t="s">
        <v>1119</v>
      </c>
      <c r="CQ416" s="112" t="s">
        <v>1623</v>
      </c>
      <c r="CR416" s="112" t="s">
        <v>1624</v>
      </c>
      <c r="CS416" s="112" t="s">
        <v>525</v>
      </c>
      <c r="CT416" s="112" t="s">
        <v>1592</v>
      </c>
      <c r="CU416" s="112" t="s">
        <v>527</v>
      </c>
      <c r="CV416" s="113" t="s">
        <v>528</v>
      </c>
      <c r="CX416" s="36">
        <v>1</v>
      </c>
    </row>
    <row r="417" spans="91:102" ht="21" customHeight="1" x14ac:dyDescent="0.25">
      <c r="CM417" s="102"/>
      <c r="CN417" s="112" t="s">
        <v>1625</v>
      </c>
      <c r="CO417" s="112" t="s">
        <v>540</v>
      </c>
      <c r="CP417" s="112" t="s">
        <v>1119</v>
      </c>
      <c r="CQ417" s="112" t="s">
        <v>1626</v>
      </c>
      <c r="CR417" s="112" t="s">
        <v>1627</v>
      </c>
      <c r="CS417" s="112" t="s">
        <v>525</v>
      </c>
      <c r="CT417" s="112" t="s">
        <v>1592</v>
      </c>
      <c r="CU417" s="112" t="s">
        <v>527</v>
      </c>
      <c r="CV417" s="113" t="s">
        <v>528</v>
      </c>
      <c r="CX417" s="36">
        <v>1</v>
      </c>
    </row>
    <row r="418" spans="91:102" ht="21" customHeight="1" x14ac:dyDescent="0.25">
      <c r="CM418" s="102"/>
      <c r="CN418" s="112" t="s">
        <v>1628</v>
      </c>
      <c r="CO418" s="112" t="s">
        <v>540</v>
      </c>
      <c r="CP418" s="112" t="s">
        <v>1119</v>
      </c>
      <c r="CQ418" s="112" t="s">
        <v>1629</v>
      </c>
      <c r="CR418" s="112" t="s">
        <v>1629</v>
      </c>
      <c r="CS418" s="112" t="s">
        <v>525</v>
      </c>
      <c r="CT418" s="112" t="s">
        <v>1592</v>
      </c>
      <c r="CU418" s="112" t="s">
        <v>527</v>
      </c>
      <c r="CV418" s="113" t="s">
        <v>528</v>
      </c>
      <c r="CX418" s="36">
        <v>1</v>
      </c>
    </row>
    <row r="419" spans="91:102" ht="21" customHeight="1" x14ac:dyDescent="0.25">
      <c r="CM419" s="102"/>
      <c r="CN419" s="112" t="s">
        <v>1630</v>
      </c>
      <c r="CO419" s="112" t="s">
        <v>540</v>
      </c>
      <c r="CP419" s="112" t="s">
        <v>1119</v>
      </c>
      <c r="CQ419" s="112" t="s">
        <v>1142</v>
      </c>
      <c r="CR419" s="112" t="s">
        <v>1142</v>
      </c>
      <c r="CS419" s="112" t="s">
        <v>525</v>
      </c>
      <c r="CT419" s="112" t="s">
        <v>1592</v>
      </c>
      <c r="CU419" s="112" t="s">
        <v>527</v>
      </c>
      <c r="CV419" s="113" t="s">
        <v>528</v>
      </c>
      <c r="CX419" s="36">
        <v>1</v>
      </c>
    </row>
    <row r="420" spans="91:102" ht="21" customHeight="1" x14ac:dyDescent="0.25">
      <c r="CM420" s="102"/>
      <c r="CN420" s="112" t="s">
        <v>1631</v>
      </c>
      <c r="CO420" s="112" t="s">
        <v>540</v>
      </c>
      <c r="CP420" s="112" t="s">
        <v>1119</v>
      </c>
      <c r="CQ420" s="112" t="s">
        <v>1632</v>
      </c>
      <c r="CR420" s="112" t="s">
        <v>1632</v>
      </c>
      <c r="CS420" s="112" t="s">
        <v>525</v>
      </c>
      <c r="CT420" s="112" t="s">
        <v>1592</v>
      </c>
      <c r="CU420" s="112" t="s">
        <v>527</v>
      </c>
      <c r="CV420" s="113" t="s">
        <v>528</v>
      </c>
      <c r="CX420" s="36">
        <v>1</v>
      </c>
    </row>
    <row r="421" spans="91:102" ht="21" customHeight="1" x14ac:dyDescent="0.25">
      <c r="CM421" s="102"/>
      <c r="CN421" s="112" t="s">
        <v>1633</v>
      </c>
      <c r="CO421" s="112" t="s">
        <v>540</v>
      </c>
      <c r="CP421" s="112" t="s">
        <v>1119</v>
      </c>
      <c r="CQ421" s="112" t="s">
        <v>1144</v>
      </c>
      <c r="CR421" s="112" t="s">
        <v>1145</v>
      </c>
      <c r="CS421" s="112" t="s">
        <v>610</v>
      </c>
      <c r="CT421" s="112" t="s">
        <v>1126</v>
      </c>
      <c r="CU421" s="112" t="s">
        <v>527</v>
      </c>
      <c r="CV421" s="113" t="s">
        <v>612</v>
      </c>
      <c r="CX421" s="36">
        <v>1</v>
      </c>
    </row>
    <row r="422" spans="91:102" ht="21" customHeight="1" x14ac:dyDescent="0.25">
      <c r="CM422" s="102"/>
      <c r="CN422" s="112" t="s">
        <v>1634</v>
      </c>
      <c r="CO422" s="112" t="s">
        <v>540</v>
      </c>
      <c r="CP422" s="112" t="s">
        <v>1119</v>
      </c>
      <c r="CQ422" s="112" t="s">
        <v>1635</v>
      </c>
      <c r="CR422" s="112" t="s">
        <v>1635</v>
      </c>
      <c r="CS422" s="112" t="s">
        <v>525</v>
      </c>
      <c r="CT422" s="112" t="s">
        <v>1592</v>
      </c>
      <c r="CU422" s="112" t="s">
        <v>527</v>
      </c>
      <c r="CV422" s="113" t="s">
        <v>528</v>
      </c>
      <c r="CX422" s="36">
        <v>1</v>
      </c>
    </row>
    <row r="423" spans="91:102" ht="21" customHeight="1" x14ac:dyDescent="0.25">
      <c r="CM423" s="102"/>
      <c r="CN423" s="112" t="s">
        <v>1636</v>
      </c>
      <c r="CO423" s="112" t="s">
        <v>540</v>
      </c>
      <c r="CP423" s="112" t="s">
        <v>1119</v>
      </c>
      <c r="CQ423" s="112" t="s">
        <v>1022</v>
      </c>
      <c r="CR423" s="112" t="s">
        <v>1022</v>
      </c>
      <c r="CS423" s="112" t="s">
        <v>525</v>
      </c>
      <c r="CT423" s="112" t="s">
        <v>1592</v>
      </c>
      <c r="CU423" s="112" t="s">
        <v>527</v>
      </c>
      <c r="CV423" s="113" t="s">
        <v>528</v>
      </c>
      <c r="CX423" s="36">
        <v>1</v>
      </c>
    </row>
    <row r="424" spans="91:102" ht="21" customHeight="1" x14ac:dyDescent="0.25">
      <c r="CM424" s="102"/>
      <c r="CN424" s="112" t="s">
        <v>1637</v>
      </c>
      <c r="CO424" s="112" t="s">
        <v>540</v>
      </c>
      <c r="CP424" s="112" t="s">
        <v>1119</v>
      </c>
      <c r="CQ424" s="112" t="s">
        <v>1638</v>
      </c>
      <c r="CR424" s="112" t="s">
        <v>1638</v>
      </c>
      <c r="CS424" s="112" t="s">
        <v>525</v>
      </c>
      <c r="CT424" s="112" t="s">
        <v>1592</v>
      </c>
      <c r="CU424" s="112" t="s">
        <v>527</v>
      </c>
      <c r="CV424" s="113" t="s">
        <v>528</v>
      </c>
      <c r="CX424" s="36">
        <v>1</v>
      </c>
    </row>
    <row r="425" spans="91:102" ht="21" customHeight="1" x14ac:dyDescent="0.25">
      <c r="CM425" s="102"/>
      <c r="CN425" s="112" t="s">
        <v>1639</v>
      </c>
      <c r="CO425" s="112" t="s">
        <v>540</v>
      </c>
      <c r="CP425" s="112" t="s">
        <v>1119</v>
      </c>
      <c r="CQ425" s="112" t="s">
        <v>1035</v>
      </c>
      <c r="CR425" s="112" t="s">
        <v>1035</v>
      </c>
      <c r="CS425" s="112" t="s">
        <v>525</v>
      </c>
      <c r="CT425" s="112" t="s">
        <v>1592</v>
      </c>
      <c r="CU425" s="112" t="s">
        <v>527</v>
      </c>
      <c r="CV425" s="113" t="s">
        <v>528</v>
      </c>
      <c r="CX425" s="36">
        <v>1</v>
      </c>
    </row>
    <row r="426" spans="91:102" ht="21" customHeight="1" x14ac:dyDescent="0.25">
      <c r="CM426" s="102"/>
      <c r="CN426" s="112" t="s">
        <v>1640</v>
      </c>
      <c r="CO426" s="112" t="s">
        <v>540</v>
      </c>
      <c r="CP426" s="112" t="s">
        <v>1119</v>
      </c>
      <c r="CQ426" s="112" t="s">
        <v>1641</v>
      </c>
      <c r="CR426" s="112" t="s">
        <v>1641</v>
      </c>
      <c r="CS426" s="112" t="s">
        <v>525</v>
      </c>
      <c r="CT426" s="112" t="s">
        <v>1592</v>
      </c>
      <c r="CU426" s="112" t="s">
        <v>527</v>
      </c>
      <c r="CV426" s="113" t="s">
        <v>528</v>
      </c>
      <c r="CX426" s="36">
        <v>1</v>
      </c>
    </row>
    <row r="427" spans="91:102" ht="21" customHeight="1" x14ac:dyDescent="0.25">
      <c r="CM427" s="102"/>
      <c r="CN427" s="112" t="s">
        <v>1642</v>
      </c>
      <c r="CO427" s="112" t="s">
        <v>540</v>
      </c>
      <c r="CP427" s="112" t="s">
        <v>1643</v>
      </c>
      <c r="CQ427" s="112" t="s">
        <v>1644</v>
      </c>
      <c r="CR427" s="112" t="s">
        <v>1644</v>
      </c>
      <c r="CS427" s="112" t="s">
        <v>610</v>
      </c>
      <c r="CT427" s="112" t="s">
        <v>1645</v>
      </c>
      <c r="CU427" s="112" t="s">
        <v>527</v>
      </c>
      <c r="CV427" s="113" t="s">
        <v>612</v>
      </c>
      <c r="CX427" s="36">
        <v>1</v>
      </c>
    </row>
    <row r="428" spans="91:102" ht="21" customHeight="1" x14ac:dyDescent="0.25">
      <c r="CM428" s="102"/>
      <c r="CN428" s="112" t="s">
        <v>1646</v>
      </c>
      <c r="CO428" s="112" t="s">
        <v>540</v>
      </c>
      <c r="CP428" s="112" t="s">
        <v>1643</v>
      </c>
      <c r="CQ428" s="112" t="s">
        <v>1647</v>
      </c>
      <c r="CR428" s="112" t="s">
        <v>1648</v>
      </c>
      <c r="CS428" s="112" t="s">
        <v>610</v>
      </c>
      <c r="CT428" s="112" t="s">
        <v>1645</v>
      </c>
      <c r="CU428" s="112" t="s">
        <v>527</v>
      </c>
      <c r="CV428" s="113" t="s">
        <v>612</v>
      </c>
      <c r="CX428" s="36">
        <v>1</v>
      </c>
    </row>
    <row r="429" spans="91:102" ht="21" customHeight="1" x14ac:dyDescent="0.25">
      <c r="CM429" s="102"/>
      <c r="CN429" s="112" t="s">
        <v>1649</v>
      </c>
      <c r="CO429" s="112" t="s">
        <v>540</v>
      </c>
      <c r="CP429" s="112" t="s">
        <v>1643</v>
      </c>
      <c r="CQ429" s="112" t="s">
        <v>1650</v>
      </c>
      <c r="CR429" s="112" t="s">
        <v>1651</v>
      </c>
      <c r="CS429" s="112" t="s">
        <v>610</v>
      </c>
      <c r="CT429" s="112" t="s">
        <v>1645</v>
      </c>
      <c r="CU429" s="112" t="s">
        <v>527</v>
      </c>
      <c r="CV429" s="113" t="s">
        <v>612</v>
      </c>
      <c r="CX429" s="36">
        <v>1</v>
      </c>
    </row>
    <row r="430" spans="91:102" ht="21" customHeight="1" x14ac:dyDescent="0.25">
      <c r="CM430" s="102"/>
      <c r="CN430" s="112" t="s">
        <v>1652</v>
      </c>
      <c r="CO430" s="112" t="s">
        <v>540</v>
      </c>
      <c r="CP430" s="112" t="s">
        <v>1643</v>
      </c>
      <c r="CQ430" s="112" t="s">
        <v>1653</v>
      </c>
      <c r="CR430" s="112" t="s">
        <v>1654</v>
      </c>
      <c r="CS430" s="112" t="s">
        <v>610</v>
      </c>
      <c r="CT430" s="112" t="s">
        <v>1645</v>
      </c>
      <c r="CU430" s="112" t="s">
        <v>527</v>
      </c>
      <c r="CV430" s="113" t="s">
        <v>612</v>
      </c>
      <c r="CX430" s="36">
        <v>1</v>
      </c>
    </row>
    <row r="431" spans="91:102" ht="21" customHeight="1" x14ac:dyDescent="0.25">
      <c r="CM431" s="102"/>
      <c r="CN431" s="112" t="s">
        <v>1655</v>
      </c>
      <c r="CO431" s="112" t="s">
        <v>540</v>
      </c>
      <c r="CP431" s="112" t="s">
        <v>1643</v>
      </c>
      <c r="CQ431" s="112" t="s">
        <v>1079</v>
      </c>
      <c r="CR431" s="112" t="s">
        <v>1080</v>
      </c>
      <c r="CS431" s="112" t="s">
        <v>610</v>
      </c>
      <c r="CT431" s="112" t="s">
        <v>1645</v>
      </c>
      <c r="CU431" s="112" t="s">
        <v>527</v>
      </c>
      <c r="CV431" s="113" t="s">
        <v>612</v>
      </c>
      <c r="CX431" s="36">
        <v>1</v>
      </c>
    </row>
    <row r="432" spans="91:102" ht="21" customHeight="1" x14ac:dyDescent="0.25">
      <c r="CM432" s="102"/>
      <c r="CN432" s="112" t="s">
        <v>1656</v>
      </c>
      <c r="CO432" s="112" t="s">
        <v>540</v>
      </c>
      <c r="CP432" s="112" t="s">
        <v>1643</v>
      </c>
      <c r="CQ432" s="112" t="s">
        <v>1082</v>
      </c>
      <c r="CR432" s="112" t="s">
        <v>1083</v>
      </c>
      <c r="CS432" s="112" t="s">
        <v>610</v>
      </c>
      <c r="CT432" s="112" t="s">
        <v>1645</v>
      </c>
      <c r="CU432" s="112" t="s">
        <v>527</v>
      </c>
      <c r="CV432" s="113" t="s">
        <v>612</v>
      </c>
      <c r="CX432" s="36">
        <v>1</v>
      </c>
    </row>
    <row r="433" spans="91:102" ht="21" customHeight="1" x14ac:dyDescent="0.25">
      <c r="CM433" s="102"/>
      <c r="CN433" s="112" t="s">
        <v>1657</v>
      </c>
      <c r="CO433" s="112" t="s">
        <v>540</v>
      </c>
      <c r="CP433" s="112" t="s">
        <v>1643</v>
      </c>
      <c r="CQ433" s="112" t="s">
        <v>1091</v>
      </c>
      <c r="CR433" s="112" t="s">
        <v>1092</v>
      </c>
      <c r="CS433" s="112" t="s">
        <v>610</v>
      </c>
      <c r="CT433" s="112" t="s">
        <v>1645</v>
      </c>
      <c r="CU433" s="112" t="s">
        <v>527</v>
      </c>
      <c r="CV433" s="113" t="s">
        <v>612</v>
      </c>
      <c r="CX433" s="36">
        <v>1</v>
      </c>
    </row>
    <row r="434" spans="91:102" ht="21" customHeight="1" x14ac:dyDescent="0.25">
      <c r="CM434" s="102"/>
      <c r="CN434" s="112" t="s">
        <v>1658</v>
      </c>
      <c r="CO434" s="112" t="s">
        <v>540</v>
      </c>
      <c r="CP434" s="112" t="s">
        <v>1643</v>
      </c>
      <c r="CQ434" s="112" t="s">
        <v>1659</v>
      </c>
      <c r="CR434" s="112" t="s">
        <v>1659</v>
      </c>
      <c r="CS434" s="112" t="s">
        <v>610</v>
      </c>
      <c r="CT434" s="112" t="s">
        <v>1645</v>
      </c>
      <c r="CU434" s="112" t="s">
        <v>527</v>
      </c>
      <c r="CV434" s="113" t="s">
        <v>612</v>
      </c>
      <c r="CX434" s="36">
        <v>1</v>
      </c>
    </row>
    <row r="435" spans="91:102" ht="21" customHeight="1" x14ac:dyDescent="0.25">
      <c r="CM435" s="102"/>
      <c r="CN435" s="112" t="s">
        <v>1660</v>
      </c>
      <c r="CO435" s="112" t="s">
        <v>540</v>
      </c>
      <c r="CP435" s="112" t="s">
        <v>1643</v>
      </c>
      <c r="CQ435" s="112" t="s">
        <v>1661</v>
      </c>
      <c r="CR435" s="112" t="s">
        <v>1661</v>
      </c>
      <c r="CS435" s="112" t="s">
        <v>610</v>
      </c>
      <c r="CT435" s="112" t="s">
        <v>1645</v>
      </c>
      <c r="CU435" s="112" t="s">
        <v>527</v>
      </c>
      <c r="CV435" s="113" t="s">
        <v>612</v>
      </c>
      <c r="CX435" s="36">
        <v>1</v>
      </c>
    </row>
    <row r="436" spans="91:102" ht="21" customHeight="1" x14ac:dyDescent="0.25">
      <c r="CM436" s="102"/>
      <c r="CN436" s="112" t="s">
        <v>1662</v>
      </c>
      <c r="CO436" s="112" t="s">
        <v>541</v>
      </c>
      <c r="CP436" s="112" t="s">
        <v>523</v>
      </c>
      <c r="CQ436" s="112" t="s">
        <v>1663</v>
      </c>
      <c r="CR436" s="112" t="s">
        <v>1663</v>
      </c>
      <c r="CS436" s="112" t="s">
        <v>1168</v>
      </c>
      <c r="CT436" s="112" t="s">
        <v>1169</v>
      </c>
      <c r="CU436" s="112" t="s">
        <v>1664</v>
      </c>
      <c r="CV436" s="113" t="s">
        <v>1665</v>
      </c>
      <c r="CX436" s="36">
        <v>1</v>
      </c>
    </row>
    <row r="437" spans="91:102" ht="21" customHeight="1" x14ac:dyDescent="0.25">
      <c r="CM437" s="102"/>
      <c r="CN437" s="112" t="s">
        <v>1666</v>
      </c>
      <c r="CO437" s="112" t="s">
        <v>541</v>
      </c>
      <c r="CP437" s="112" t="s">
        <v>523</v>
      </c>
      <c r="CQ437" s="112" t="s">
        <v>1667</v>
      </c>
      <c r="CR437" s="112" t="s">
        <v>1667</v>
      </c>
      <c r="CS437" s="112" t="s">
        <v>1168</v>
      </c>
      <c r="CT437" s="112" t="s">
        <v>1169</v>
      </c>
      <c r="CU437" s="112" t="s">
        <v>1664</v>
      </c>
      <c r="CV437" s="113" t="s">
        <v>1665</v>
      </c>
      <c r="CX437" s="36">
        <v>1</v>
      </c>
    </row>
    <row r="438" spans="91:102" ht="21" customHeight="1" x14ac:dyDescent="0.25">
      <c r="CM438" s="102"/>
      <c r="CN438" s="112" t="s">
        <v>1668</v>
      </c>
      <c r="CO438" s="112" t="s">
        <v>541</v>
      </c>
      <c r="CP438" s="112" t="s">
        <v>523</v>
      </c>
      <c r="CQ438" s="112" t="s">
        <v>1669</v>
      </c>
      <c r="CR438" s="112" t="s">
        <v>1669</v>
      </c>
      <c r="CS438" s="112" t="s">
        <v>1168</v>
      </c>
      <c r="CT438" s="112" t="s">
        <v>1169</v>
      </c>
      <c r="CU438" s="112" t="s">
        <v>1664</v>
      </c>
      <c r="CV438" s="113" t="s">
        <v>1665</v>
      </c>
      <c r="CX438" s="36">
        <v>1</v>
      </c>
    </row>
    <row r="439" spans="91:102" ht="21" customHeight="1" x14ac:dyDescent="0.25">
      <c r="CM439" s="102"/>
      <c r="CN439" s="112" t="s">
        <v>1670</v>
      </c>
      <c r="CO439" s="112" t="s">
        <v>541</v>
      </c>
      <c r="CP439" s="112" t="s">
        <v>523</v>
      </c>
      <c r="CQ439" s="112" t="s">
        <v>1671</v>
      </c>
      <c r="CR439" s="112" t="s">
        <v>1671</v>
      </c>
      <c r="CS439" s="112" t="s">
        <v>1168</v>
      </c>
      <c r="CT439" s="112" t="s">
        <v>1169</v>
      </c>
      <c r="CU439" s="112" t="s">
        <v>1664</v>
      </c>
      <c r="CV439" s="113" t="s">
        <v>1665</v>
      </c>
      <c r="CX439" s="36">
        <v>1</v>
      </c>
    </row>
    <row r="440" spans="91:102" ht="21" customHeight="1" x14ac:dyDescent="0.25">
      <c r="CM440" s="102"/>
      <c r="CN440" s="112" t="s">
        <v>1672</v>
      </c>
      <c r="CO440" s="112" t="s">
        <v>541</v>
      </c>
      <c r="CP440" s="112" t="s">
        <v>523</v>
      </c>
      <c r="CQ440" s="112" t="s">
        <v>1673</v>
      </c>
      <c r="CR440" s="112" t="s">
        <v>1673</v>
      </c>
      <c r="CS440" s="112" t="s">
        <v>1168</v>
      </c>
      <c r="CT440" s="112" t="s">
        <v>1169</v>
      </c>
      <c r="CU440" s="112" t="s">
        <v>1664</v>
      </c>
      <c r="CV440" s="113" t="s">
        <v>1665</v>
      </c>
      <c r="CX440" s="36">
        <v>1</v>
      </c>
    </row>
    <row r="441" spans="91:102" ht="21" customHeight="1" x14ac:dyDescent="0.25">
      <c r="CM441" s="102"/>
      <c r="CN441" s="112" t="s">
        <v>1674</v>
      </c>
      <c r="CO441" s="112" t="s">
        <v>541</v>
      </c>
      <c r="CP441" s="112" t="s">
        <v>523</v>
      </c>
      <c r="CQ441" s="112" t="s">
        <v>1675</v>
      </c>
      <c r="CR441" s="112" t="s">
        <v>1675</v>
      </c>
      <c r="CS441" s="112" t="s">
        <v>1168</v>
      </c>
      <c r="CT441" s="112" t="s">
        <v>1169</v>
      </c>
      <c r="CU441" s="112" t="s">
        <v>1664</v>
      </c>
      <c r="CV441" s="113" t="s">
        <v>1665</v>
      </c>
      <c r="CX441" s="36">
        <v>1</v>
      </c>
    </row>
    <row r="442" spans="91:102" ht="21" customHeight="1" x14ac:dyDescent="0.25">
      <c r="CM442" s="102"/>
      <c r="CN442" s="112" t="s">
        <v>1676</v>
      </c>
      <c r="CO442" s="112" t="s">
        <v>541</v>
      </c>
      <c r="CP442" s="112" t="s">
        <v>523</v>
      </c>
      <c r="CQ442" s="112" t="s">
        <v>1677</v>
      </c>
      <c r="CR442" s="112" t="s">
        <v>1677</v>
      </c>
      <c r="CS442" s="112" t="s">
        <v>1168</v>
      </c>
      <c r="CT442" s="112" t="s">
        <v>1169</v>
      </c>
      <c r="CU442" s="112" t="s">
        <v>1664</v>
      </c>
      <c r="CV442" s="113" t="s">
        <v>1665</v>
      </c>
      <c r="CX442" s="36">
        <v>1</v>
      </c>
    </row>
    <row r="443" spans="91:102" ht="21" customHeight="1" x14ac:dyDescent="0.25">
      <c r="CM443" s="102"/>
      <c r="CN443" s="112" t="s">
        <v>1678</v>
      </c>
      <c r="CO443" s="112" t="s">
        <v>541</v>
      </c>
      <c r="CP443" s="112" t="s">
        <v>523</v>
      </c>
      <c r="CQ443" s="112" t="s">
        <v>1679</v>
      </c>
      <c r="CR443" s="112" t="s">
        <v>1679</v>
      </c>
      <c r="CS443" s="112" t="s">
        <v>1168</v>
      </c>
      <c r="CT443" s="112" t="s">
        <v>1169</v>
      </c>
      <c r="CU443" s="112" t="s">
        <v>1664</v>
      </c>
      <c r="CV443" s="113" t="s">
        <v>1665</v>
      </c>
      <c r="CX443" s="36">
        <v>1</v>
      </c>
    </row>
    <row r="444" spans="91:102" ht="21" customHeight="1" x14ac:dyDescent="0.25">
      <c r="CM444" s="102"/>
      <c r="CN444" s="112" t="s">
        <v>1680</v>
      </c>
      <c r="CO444" s="112" t="s">
        <v>541</v>
      </c>
      <c r="CP444" s="112" t="s">
        <v>523</v>
      </c>
      <c r="CQ444" s="112" t="s">
        <v>1681</v>
      </c>
      <c r="CR444" s="112" t="s">
        <v>1681</v>
      </c>
      <c r="CS444" s="112" t="s">
        <v>1168</v>
      </c>
      <c r="CT444" s="112" t="s">
        <v>1169</v>
      </c>
      <c r="CU444" s="112" t="s">
        <v>1664</v>
      </c>
      <c r="CV444" s="113" t="s">
        <v>1665</v>
      </c>
      <c r="CX444" s="36">
        <v>1</v>
      </c>
    </row>
    <row r="445" spans="91:102" ht="21" customHeight="1" x14ac:dyDescent="0.25">
      <c r="CM445" s="102"/>
      <c r="CN445" s="112" t="s">
        <v>1682</v>
      </c>
      <c r="CO445" s="112" t="s">
        <v>541</v>
      </c>
      <c r="CP445" s="112" t="s">
        <v>523</v>
      </c>
      <c r="CQ445" s="112" t="s">
        <v>1683</v>
      </c>
      <c r="CR445" s="112" t="s">
        <v>1683</v>
      </c>
      <c r="CS445" s="112" t="s">
        <v>1168</v>
      </c>
      <c r="CT445" s="112" t="s">
        <v>1169</v>
      </c>
      <c r="CU445" s="112" t="s">
        <v>1664</v>
      </c>
      <c r="CV445" s="113" t="s">
        <v>1665</v>
      </c>
      <c r="CX445" s="36">
        <v>1</v>
      </c>
    </row>
    <row r="446" spans="91:102" ht="21" customHeight="1" x14ac:dyDescent="0.25">
      <c r="CM446" s="102"/>
      <c r="CN446" s="112" t="s">
        <v>1684</v>
      </c>
      <c r="CO446" s="112" t="s">
        <v>541</v>
      </c>
      <c r="CP446" s="112" t="s">
        <v>523</v>
      </c>
      <c r="CQ446" s="112" t="s">
        <v>1685</v>
      </c>
      <c r="CR446" s="112" t="s">
        <v>1685</v>
      </c>
      <c r="CS446" s="112" t="s">
        <v>1168</v>
      </c>
      <c r="CT446" s="112" t="s">
        <v>1169</v>
      </c>
      <c r="CU446" s="112" t="s">
        <v>1664</v>
      </c>
      <c r="CV446" s="113" t="s">
        <v>1665</v>
      </c>
      <c r="CX446" s="36">
        <v>1</v>
      </c>
    </row>
    <row r="447" spans="91:102" ht="21" customHeight="1" x14ac:dyDescent="0.25">
      <c r="CM447" s="102"/>
      <c r="CN447" s="112" t="s">
        <v>1686</v>
      </c>
      <c r="CO447" s="112" t="s">
        <v>541</v>
      </c>
      <c r="CP447" s="112" t="s">
        <v>523</v>
      </c>
      <c r="CQ447" s="112" t="s">
        <v>1687</v>
      </c>
      <c r="CR447" s="112" t="s">
        <v>1687</v>
      </c>
      <c r="CS447" s="112" t="s">
        <v>1168</v>
      </c>
      <c r="CT447" s="112" t="s">
        <v>1169</v>
      </c>
      <c r="CU447" s="112" t="s">
        <v>1664</v>
      </c>
      <c r="CV447" s="113" t="s">
        <v>1665</v>
      </c>
      <c r="CX447" s="36">
        <v>1</v>
      </c>
    </row>
    <row r="448" spans="91:102" ht="21" customHeight="1" x14ac:dyDescent="0.25">
      <c r="CM448" s="102"/>
      <c r="CN448" s="112" t="s">
        <v>1688</v>
      </c>
      <c r="CO448" s="112" t="s">
        <v>541</v>
      </c>
      <c r="CP448" s="112" t="s">
        <v>523</v>
      </c>
      <c r="CQ448" s="112" t="s">
        <v>1689</v>
      </c>
      <c r="CR448" s="112" t="s">
        <v>1689</v>
      </c>
      <c r="CS448" s="112" t="s">
        <v>1168</v>
      </c>
      <c r="CT448" s="112" t="s">
        <v>1169</v>
      </c>
      <c r="CU448" s="112" t="s">
        <v>1664</v>
      </c>
      <c r="CV448" s="113" t="s">
        <v>1665</v>
      </c>
      <c r="CX448" s="36">
        <v>1</v>
      </c>
    </row>
    <row r="449" spans="91:102" ht="21" customHeight="1" x14ac:dyDescent="0.25">
      <c r="CM449" s="102"/>
      <c r="CN449" s="112" t="s">
        <v>1690</v>
      </c>
      <c r="CO449" s="112" t="s">
        <v>541</v>
      </c>
      <c r="CP449" s="112" t="s">
        <v>523</v>
      </c>
      <c r="CQ449" s="112" t="s">
        <v>1691</v>
      </c>
      <c r="CR449" s="112" t="s">
        <v>1691</v>
      </c>
      <c r="CS449" s="112" t="s">
        <v>1168</v>
      </c>
      <c r="CT449" s="112" t="s">
        <v>1169</v>
      </c>
      <c r="CU449" s="112" t="s">
        <v>1664</v>
      </c>
      <c r="CV449" s="113" t="s">
        <v>1665</v>
      </c>
      <c r="CX449" s="36">
        <v>1</v>
      </c>
    </row>
    <row r="450" spans="91:102" ht="21" customHeight="1" x14ac:dyDescent="0.25">
      <c r="CM450" s="102"/>
      <c r="CN450" s="112" t="s">
        <v>1692</v>
      </c>
      <c r="CO450" s="112" t="s">
        <v>541</v>
      </c>
      <c r="CP450" s="112" t="s">
        <v>523</v>
      </c>
      <c r="CQ450" s="112" t="s">
        <v>1693</v>
      </c>
      <c r="CR450" s="112" t="s">
        <v>1693</v>
      </c>
      <c r="CS450" s="112" t="s">
        <v>1168</v>
      </c>
      <c r="CT450" s="112" t="s">
        <v>1169</v>
      </c>
      <c r="CU450" s="112" t="s">
        <v>1664</v>
      </c>
      <c r="CV450" s="113" t="s">
        <v>1665</v>
      </c>
      <c r="CX450" s="36">
        <v>1</v>
      </c>
    </row>
    <row r="451" spans="91:102" ht="21" customHeight="1" x14ac:dyDescent="0.25">
      <c r="CM451" s="102"/>
      <c r="CN451" s="112" t="s">
        <v>1694</v>
      </c>
      <c r="CO451" s="112" t="s">
        <v>541</v>
      </c>
      <c r="CP451" s="112" t="s">
        <v>523</v>
      </c>
      <c r="CQ451" s="112" t="s">
        <v>1695</v>
      </c>
      <c r="CR451" s="112" t="s">
        <v>1695</v>
      </c>
      <c r="CS451" s="112" t="s">
        <v>1168</v>
      </c>
      <c r="CT451" s="112" t="s">
        <v>1169</v>
      </c>
      <c r="CU451" s="112" t="s">
        <v>1664</v>
      </c>
      <c r="CV451" s="113" t="s">
        <v>1665</v>
      </c>
      <c r="CX451" s="36">
        <v>1</v>
      </c>
    </row>
    <row r="452" spans="91:102" ht="21" customHeight="1" x14ac:dyDescent="0.25">
      <c r="CM452" s="102"/>
      <c r="CN452" s="112" t="s">
        <v>1696</v>
      </c>
      <c r="CO452" s="112" t="s">
        <v>541</v>
      </c>
      <c r="CP452" s="112" t="s">
        <v>523</v>
      </c>
      <c r="CQ452" s="112" t="s">
        <v>1697</v>
      </c>
      <c r="CR452" s="112" t="s">
        <v>1697</v>
      </c>
      <c r="CS452" s="112" t="s">
        <v>1168</v>
      </c>
      <c r="CT452" s="112" t="s">
        <v>1169</v>
      </c>
      <c r="CU452" s="112" t="s">
        <v>1664</v>
      </c>
      <c r="CV452" s="113" t="s">
        <v>1665</v>
      </c>
      <c r="CX452" s="36">
        <v>1</v>
      </c>
    </row>
    <row r="453" spans="91:102" ht="21" customHeight="1" x14ac:dyDescent="0.25">
      <c r="CM453" s="102"/>
      <c r="CN453" s="112" t="s">
        <v>1698</v>
      </c>
      <c r="CO453" s="112" t="s">
        <v>541</v>
      </c>
      <c r="CP453" s="112" t="s">
        <v>523</v>
      </c>
      <c r="CQ453" s="112" t="s">
        <v>1699</v>
      </c>
      <c r="CR453" s="112" t="s">
        <v>1699</v>
      </c>
      <c r="CS453" s="112" t="s">
        <v>1168</v>
      </c>
      <c r="CT453" s="112" t="s">
        <v>1169</v>
      </c>
      <c r="CU453" s="112" t="s">
        <v>1664</v>
      </c>
      <c r="CV453" s="113" t="s">
        <v>1665</v>
      </c>
      <c r="CX453" s="36">
        <v>1</v>
      </c>
    </row>
    <row r="454" spans="91:102" ht="21" customHeight="1" x14ac:dyDescent="0.25">
      <c r="CM454" s="102"/>
      <c r="CN454" s="112" t="s">
        <v>1700</v>
      </c>
      <c r="CO454" s="112" t="s">
        <v>541</v>
      </c>
      <c r="CP454" s="112" t="s">
        <v>523</v>
      </c>
      <c r="CQ454" s="112" t="s">
        <v>1701</v>
      </c>
      <c r="CR454" s="112" t="s">
        <v>1701</v>
      </c>
      <c r="CS454" s="112" t="s">
        <v>1168</v>
      </c>
      <c r="CT454" s="112" t="s">
        <v>1169</v>
      </c>
      <c r="CU454" s="112" t="s">
        <v>1664</v>
      </c>
      <c r="CV454" s="113" t="s">
        <v>1665</v>
      </c>
      <c r="CX454" s="36">
        <v>1</v>
      </c>
    </row>
    <row r="455" spans="91:102" ht="21" customHeight="1" x14ac:dyDescent="0.25">
      <c r="CM455" s="102"/>
      <c r="CN455" s="112" t="s">
        <v>1702</v>
      </c>
      <c r="CO455" s="112" t="s">
        <v>541</v>
      </c>
      <c r="CP455" s="112" t="s">
        <v>523</v>
      </c>
      <c r="CQ455" s="112" t="s">
        <v>1703</v>
      </c>
      <c r="CR455" s="112" t="s">
        <v>1703</v>
      </c>
      <c r="CS455" s="112" t="s">
        <v>1168</v>
      </c>
      <c r="CT455" s="112" t="s">
        <v>1169</v>
      </c>
      <c r="CU455" s="112" t="s">
        <v>1664</v>
      </c>
      <c r="CV455" s="113" t="s">
        <v>1665</v>
      </c>
      <c r="CX455" s="36">
        <v>1</v>
      </c>
    </row>
    <row r="456" spans="91:102" ht="21" customHeight="1" x14ac:dyDescent="0.25">
      <c r="CM456" s="102"/>
      <c r="CN456" s="112" t="s">
        <v>1704</v>
      </c>
      <c r="CO456" s="112" t="s">
        <v>541</v>
      </c>
      <c r="CP456" s="112" t="s">
        <v>523</v>
      </c>
      <c r="CQ456" s="112" t="s">
        <v>1705</v>
      </c>
      <c r="CR456" s="112" t="s">
        <v>1705</v>
      </c>
      <c r="CS456" s="112" t="s">
        <v>1168</v>
      </c>
      <c r="CT456" s="112" t="s">
        <v>1169</v>
      </c>
      <c r="CU456" s="112" t="s">
        <v>1664</v>
      </c>
      <c r="CV456" s="113" t="s">
        <v>1665</v>
      </c>
      <c r="CX456" s="36">
        <v>1</v>
      </c>
    </row>
    <row r="457" spans="91:102" ht="21" customHeight="1" x14ac:dyDescent="0.25">
      <c r="CM457" s="102"/>
      <c r="CN457" s="112" t="s">
        <v>1706</v>
      </c>
      <c r="CO457" s="112" t="s">
        <v>541</v>
      </c>
      <c r="CP457" s="112" t="s">
        <v>523</v>
      </c>
      <c r="CQ457" s="112" t="s">
        <v>1707</v>
      </c>
      <c r="CR457" s="112" t="s">
        <v>1707</v>
      </c>
      <c r="CS457" s="112" t="s">
        <v>1168</v>
      </c>
      <c r="CT457" s="112" t="s">
        <v>1169</v>
      </c>
      <c r="CU457" s="112" t="s">
        <v>1664</v>
      </c>
      <c r="CV457" s="113" t="s">
        <v>1665</v>
      </c>
      <c r="CX457" s="36">
        <v>1</v>
      </c>
    </row>
    <row r="458" spans="91:102" ht="21" customHeight="1" x14ac:dyDescent="0.25">
      <c r="CM458" s="102"/>
      <c r="CN458" s="112" t="s">
        <v>1708</v>
      </c>
      <c r="CO458" s="112" t="s">
        <v>541</v>
      </c>
      <c r="CP458" s="112" t="s">
        <v>523</v>
      </c>
      <c r="CQ458" s="112" t="s">
        <v>1709</v>
      </c>
      <c r="CR458" s="112" t="s">
        <v>1709</v>
      </c>
      <c r="CS458" s="112" t="s">
        <v>1168</v>
      </c>
      <c r="CT458" s="112" t="s">
        <v>1169</v>
      </c>
      <c r="CU458" s="112" t="s">
        <v>1664</v>
      </c>
      <c r="CV458" s="113" t="s">
        <v>1665</v>
      </c>
      <c r="CX458" s="36">
        <v>1</v>
      </c>
    </row>
    <row r="459" spans="91:102" ht="21" customHeight="1" x14ac:dyDescent="0.25">
      <c r="CM459" s="102"/>
      <c r="CN459" s="112" t="s">
        <v>1710</v>
      </c>
      <c r="CO459" s="112" t="s">
        <v>541</v>
      </c>
      <c r="CP459" s="112" t="s">
        <v>523</v>
      </c>
      <c r="CQ459" s="112" t="s">
        <v>1711</v>
      </c>
      <c r="CR459" s="112" t="s">
        <v>1711</v>
      </c>
      <c r="CS459" s="112" t="s">
        <v>1168</v>
      </c>
      <c r="CT459" s="112" t="s">
        <v>1169</v>
      </c>
      <c r="CU459" s="112" t="s">
        <v>1664</v>
      </c>
      <c r="CV459" s="113" t="s">
        <v>1665</v>
      </c>
      <c r="CX459" s="36">
        <v>1</v>
      </c>
    </row>
    <row r="460" spans="91:102" ht="21" customHeight="1" x14ac:dyDescent="0.25">
      <c r="CM460" s="102"/>
      <c r="CN460" s="112" t="s">
        <v>1712</v>
      </c>
      <c r="CO460" s="112" t="s">
        <v>541</v>
      </c>
      <c r="CP460" s="112" t="s">
        <v>523</v>
      </c>
      <c r="CQ460" s="112" t="s">
        <v>1713</v>
      </c>
      <c r="CR460" s="112" t="s">
        <v>1713</v>
      </c>
      <c r="CS460" s="112" t="s">
        <v>1168</v>
      </c>
      <c r="CT460" s="112" t="s">
        <v>1169</v>
      </c>
      <c r="CU460" s="112" t="s">
        <v>1664</v>
      </c>
      <c r="CV460" s="113" t="s">
        <v>1665</v>
      </c>
      <c r="CX460" s="36">
        <v>1</v>
      </c>
    </row>
    <row r="461" spans="91:102" ht="21" customHeight="1" x14ac:dyDescent="0.25">
      <c r="CM461" s="102"/>
      <c r="CN461" s="112" t="s">
        <v>1714</v>
      </c>
      <c r="CO461" s="112" t="s">
        <v>541</v>
      </c>
      <c r="CP461" s="112" t="s">
        <v>523</v>
      </c>
      <c r="CQ461" s="112" t="s">
        <v>1715</v>
      </c>
      <c r="CR461" s="112" t="s">
        <v>1715</v>
      </c>
      <c r="CS461" s="112" t="s">
        <v>1168</v>
      </c>
      <c r="CT461" s="112" t="s">
        <v>1169</v>
      </c>
      <c r="CU461" s="112" t="s">
        <v>1664</v>
      </c>
      <c r="CV461" s="113" t="s">
        <v>1665</v>
      </c>
      <c r="CX461" s="36">
        <v>1</v>
      </c>
    </row>
    <row r="462" spans="91:102" ht="21" customHeight="1" x14ac:dyDescent="0.25">
      <c r="CM462" s="102"/>
      <c r="CN462" s="112" t="s">
        <v>1716</v>
      </c>
      <c r="CO462" s="112" t="s">
        <v>541</v>
      </c>
      <c r="CP462" s="112" t="s">
        <v>523</v>
      </c>
      <c r="CQ462" s="112" t="s">
        <v>1717</v>
      </c>
      <c r="CR462" s="112" t="s">
        <v>1717</v>
      </c>
      <c r="CS462" s="112" t="s">
        <v>1168</v>
      </c>
      <c r="CT462" s="112" t="s">
        <v>1169</v>
      </c>
      <c r="CU462" s="112" t="s">
        <v>1664</v>
      </c>
      <c r="CV462" s="113" t="s">
        <v>1665</v>
      </c>
      <c r="CX462" s="36">
        <v>1</v>
      </c>
    </row>
    <row r="463" spans="91:102" ht="21" customHeight="1" x14ac:dyDescent="0.25">
      <c r="CM463" s="102"/>
      <c r="CN463" s="112" t="s">
        <v>1718</v>
      </c>
      <c r="CO463" s="112" t="s">
        <v>541</v>
      </c>
      <c r="CP463" s="112" t="s">
        <v>523</v>
      </c>
      <c r="CQ463" s="112" t="s">
        <v>1719</v>
      </c>
      <c r="CR463" s="112" t="s">
        <v>1719</v>
      </c>
      <c r="CS463" s="112" t="s">
        <v>1168</v>
      </c>
      <c r="CT463" s="112" t="s">
        <v>1169</v>
      </c>
      <c r="CU463" s="112" t="s">
        <v>1664</v>
      </c>
      <c r="CV463" s="113" t="s">
        <v>1665</v>
      </c>
      <c r="CX463" s="36">
        <v>1</v>
      </c>
    </row>
    <row r="464" spans="91:102" ht="21" customHeight="1" x14ac:dyDescent="0.25">
      <c r="CM464" s="102"/>
      <c r="CN464" s="112" t="s">
        <v>1720</v>
      </c>
      <c r="CO464" s="112" t="s">
        <v>541</v>
      </c>
      <c r="CP464" s="112" t="s">
        <v>523</v>
      </c>
      <c r="CQ464" s="112" t="s">
        <v>1721</v>
      </c>
      <c r="CR464" s="112" t="s">
        <v>1721</v>
      </c>
      <c r="CS464" s="112" t="s">
        <v>1168</v>
      </c>
      <c r="CT464" s="112" t="s">
        <v>1169</v>
      </c>
      <c r="CU464" s="112" t="s">
        <v>1664</v>
      </c>
      <c r="CV464" s="113" t="s">
        <v>1665</v>
      </c>
      <c r="CX464" s="36">
        <v>1</v>
      </c>
    </row>
    <row r="465" spans="91:102" ht="21" customHeight="1" x14ac:dyDescent="0.25">
      <c r="CM465" s="102"/>
      <c r="CN465" s="112" t="s">
        <v>1722</v>
      </c>
      <c r="CO465" s="112" t="s">
        <v>541</v>
      </c>
      <c r="CP465" s="112" t="s">
        <v>523</v>
      </c>
      <c r="CQ465" s="112" t="s">
        <v>1723</v>
      </c>
      <c r="CR465" s="112" t="s">
        <v>1723</v>
      </c>
      <c r="CS465" s="112" t="s">
        <v>1168</v>
      </c>
      <c r="CT465" s="112" t="s">
        <v>1169</v>
      </c>
      <c r="CU465" s="112" t="s">
        <v>1664</v>
      </c>
      <c r="CV465" s="113" t="s">
        <v>1665</v>
      </c>
      <c r="CX465" s="36">
        <v>1</v>
      </c>
    </row>
    <row r="466" spans="91:102" ht="21" customHeight="1" x14ac:dyDescent="0.25">
      <c r="CM466" s="102"/>
      <c r="CN466" s="112" t="s">
        <v>1724</v>
      </c>
      <c r="CO466" s="112" t="s">
        <v>541</v>
      </c>
      <c r="CP466" s="112" t="s">
        <v>523</v>
      </c>
      <c r="CQ466" s="112" t="s">
        <v>1725</v>
      </c>
      <c r="CR466" s="112" t="s">
        <v>1725</v>
      </c>
      <c r="CS466" s="112" t="s">
        <v>1168</v>
      </c>
      <c r="CT466" s="112" t="s">
        <v>1169</v>
      </c>
      <c r="CU466" s="112" t="s">
        <v>1664</v>
      </c>
      <c r="CV466" s="113" t="s">
        <v>1665</v>
      </c>
      <c r="CX466" s="36">
        <v>1</v>
      </c>
    </row>
    <row r="467" spans="91:102" ht="21" customHeight="1" x14ac:dyDescent="0.25">
      <c r="CM467" s="102"/>
      <c r="CN467" s="112" t="s">
        <v>1726</v>
      </c>
      <c r="CO467" s="112" t="s">
        <v>541</v>
      </c>
      <c r="CP467" s="112" t="s">
        <v>523</v>
      </c>
      <c r="CQ467" s="112" t="s">
        <v>1727</v>
      </c>
      <c r="CR467" s="112" t="s">
        <v>1727</v>
      </c>
      <c r="CS467" s="112" t="s">
        <v>1168</v>
      </c>
      <c r="CT467" s="112" t="s">
        <v>1169</v>
      </c>
      <c r="CU467" s="112" t="s">
        <v>1664</v>
      </c>
      <c r="CV467" s="113" t="s">
        <v>1665</v>
      </c>
      <c r="CX467" s="36">
        <v>1</v>
      </c>
    </row>
    <row r="468" spans="91:102" ht="21" customHeight="1" x14ac:dyDescent="0.25">
      <c r="CM468" s="102"/>
      <c r="CN468" s="112" t="s">
        <v>1728</v>
      </c>
      <c r="CO468" s="112" t="s">
        <v>541</v>
      </c>
      <c r="CP468" s="112" t="s">
        <v>523</v>
      </c>
      <c r="CQ468" s="112" t="s">
        <v>1729</v>
      </c>
      <c r="CR468" s="112" t="s">
        <v>1729</v>
      </c>
      <c r="CS468" s="112" t="s">
        <v>1168</v>
      </c>
      <c r="CT468" s="112" t="s">
        <v>1169</v>
      </c>
      <c r="CU468" s="112" t="s">
        <v>1664</v>
      </c>
      <c r="CV468" s="113" t="s">
        <v>1665</v>
      </c>
      <c r="CX468" s="36">
        <v>1</v>
      </c>
    </row>
    <row r="469" spans="91:102" ht="21" customHeight="1" x14ac:dyDescent="0.25">
      <c r="CM469" s="102"/>
      <c r="CN469" s="112" t="s">
        <v>1730</v>
      </c>
      <c r="CO469" s="112" t="s">
        <v>541</v>
      </c>
      <c r="CP469" s="112" t="s">
        <v>523</v>
      </c>
      <c r="CQ469" s="112" t="s">
        <v>1731</v>
      </c>
      <c r="CR469" s="112" t="s">
        <v>1731</v>
      </c>
      <c r="CS469" s="112" t="s">
        <v>1168</v>
      </c>
      <c r="CT469" s="112" t="s">
        <v>1169</v>
      </c>
      <c r="CU469" s="112" t="s">
        <v>1664</v>
      </c>
      <c r="CV469" s="113" t="s">
        <v>1665</v>
      </c>
      <c r="CX469" s="36">
        <v>1</v>
      </c>
    </row>
    <row r="470" spans="91:102" ht="21" customHeight="1" x14ac:dyDescent="0.25">
      <c r="CM470" s="102"/>
      <c r="CN470" s="112" t="s">
        <v>1732</v>
      </c>
      <c r="CO470" s="112" t="s">
        <v>541</v>
      </c>
      <c r="CP470" s="112" t="s">
        <v>523</v>
      </c>
      <c r="CQ470" s="112" t="s">
        <v>1733</v>
      </c>
      <c r="CR470" s="112" t="s">
        <v>1733</v>
      </c>
      <c r="CS470" s="112" t="s">
        <v>1168</v>
      </c>
      <c r="CT470" s="112" t="s">
        <v>1169</v>
      </c>
      <c r="CU470" s="112" t="s">
        <v>1664</v>
      </c>
      <c r="CV470" s="113" t="s">
        <v>1665</v>
      </c>
      <c r="CX470" s="36">
        <v>1</v>
      </c>
    </row>
    <row r="471" spans="91:102" ht="21" customHeight="1" x14ac:dyDescent="0.25">
      <c r="CM471" s="102"/>
      <c r="CN471" s="112" t="s">
        <v>1734</v>
      </c>
      <c r="CO471" s="112" t="s">
        <v>541</v>
      </c>
      <c r="CP471" s="112" t="s">
        <v>523</v>
      </c>
      <c r="CQ471" s="112" t="s">
        <v>1735</v>
      </c>
      <c r="CR471" s="112" t="s">
        <v>1735</v>
      </c>
      <c r="CS471" s="112" t="s">
        <v>1168</v>
      </c>
      <c r="CT471" s="112" t="s">
        <v>1169</v>
      </c>
      <c r="CU471" s="112" t="s">
        <v>1664</v>
      </c>
      <c r="CV471" s="113" t="s">
        <v>1665</v>
      </c>
      <c r="CX471" s="36">
        <v>1</v>
      </c>
    </row>
    <row r="472" spans="91:102" ht="21" customHeight="1" x14ac:dyDescent="0.25">
      <c r="CM472" s="102"/>
      <c r="CN472" s="112" t="s">
        <v>1736</v>
      </c>
      <c r="CO472" s="112" t="s">
        <v>541</v>
      </c>
      <c r="CP472" s="112" t="s">
        <v>523</v>
      </c>
      <c r="CQ472" s="112" t="s">
        <v>1737</v>
      </c>
      <c r="CR472" s="112" t="s">
        <v>1737</v>
      </c>
      <c r="CS472" s="112" t="s">
        <v>1168</v>
      </c>
      <c r="CT472" s="112" t="s">
        <v>1169</v>
      </c>
      <c r="CU472" s="112" t="s">
        <v>1664</v>
      </c>
      <c r="CV472" s="113" t="s">
        <v>1665</v>
      </c>
      <c r="CX472" s="36">
        <v>1</v>
      </c>
    </row>
    <row r="473" spans="91:102" ht="21" customHeight="1" x14ac:dyDescent="0.25">
      <c r="CM473" s="102"/>
      <c r="CN473" s="112" t="s">
        <v>1738</v>
      </c>
      <c r="CO473" s="112" t="s">
        <v>541</v>
      </c>
      <c r="CP473" s="112" t="s">
        <v>523</v>
      </c>
      <c r="CQ473" s="112" t="s">
        <v>1739</v>
      </c>
      <c r="CR473" s="112" t="s">
        <v>1739</v>
      </c>
      <c r="CS473" s="112" t="s">
        <v>1168</v>
      </c>
      <c r="CT473" s="112" t="s">
        <v>1169</v>
      </c>
      <c r="CU473" s="112" t="s">
        <v>1664</v>
      </c>
      <c r="CV473" s="113" t="s">
        <v>1665</v>
      </c>
      <c r="CX473" s="36">
        <v>1</v>
      </c>
    </row>
    <row r="474" spans="91:102" ht="21" customHeight="1" x14ac:dyDescent="0.25">
      <c r="CM474" s="102"/>
      <c r="CN474" s="112" t="s">
        <v>1740</v>
      </c>
      <c r="CO474" s="112" t="s">
        <v>541</v>
      </c>
      <c r="CP474" s="112" t="s">
        <v>523</v>
      </c>
      <c r="CQ474" s="112" t="s">
        <v>1741</v>
      </c>
      <c r="CR474" s="112" t="s">
        <v>1741</v>
      </c>
      <c r="CS474" s="112" t="s">
        <v>1168</v>
      </c>
      <c r="CT474" s="112" t="s">
        <v>1169</v>
      </c>
      <c r="CU474" s="112" t="s">
        <v>1664</v>
      </c>
      <c r="CV474" s="113" t="s">
        <v>1665</v>
      </c>
      <c r="CX474" s="36">
        <v>1</v>
      </c>
    </row>
    <row r="475" spans="91:102" ht="21" customHeight="1" x14ac:dyDescent="0.25">
      <c r="CM475" s="102"/>
      <c r="CN475" s="112" t="s">
        <v>1742</v>
      </c>
      <c r="CO475" s="112" t="s">
        <v>541</v>
      </c>
      <c r="CP475" s="112" t="s">
        <v>523</v>
      </c>
      <c r="CQ475" s="112" t="s">
        <v>1743</v>
      </c>
      <c r="CR475" s="112" t="s">
        <v>1743</v>
      </c>
      <c r="CS475" s="112" t="s">
        <v>1168</v>
      </c>
      <c r="CT475" s="112" t="s">
        <v>1169</v>
      </c>
      <c r="CU475" s="112" t="s">
        <v>1664</v>
      </c>
      <c r="CV475" s="113" t="s">
        <v>1665</v>
      </c>
      <c r="CX475" s="36">
        <v>1</v>
      </c>
    </row>
    <row r="476" spans="91:102" ht="21" customHeight="1" x14ac:dyDescent="0.25">
      <c r="CM476" s="102"/>
      <c r="CN476" s="112" t="s">
        <v>1744</v>
      </c>
      <c r="CO476" s="112" t="s">
        <v>541</v>
      </c>
      <c r="CP476" s="112" t="s">
        <v>523</v>
      </c>
      <c r="CQ476" s="112" t="s">
        <v>1745</v>
      </c>
      <c r="CR476" s="112" t="s">
        <v>1746</v>
      </c>
      <c r="CS476" s="112" t="s">
        <v>525</v>
      </c>
      <c r="CT476" s="112" t="s">
        <v>1747</v>
      </c>
      <c r="CU476" s="112" t="s">
        <v>527</v>
      </c>
      <c r="CV476" s="113" t="s">
        <v>528</v>
      </c>
      <c r="CX476" s="36">
        <v>1</v>
      </c>
    </row>
    <row r="477" spans="91:102" ht="21" customHeight="1" x14ac:dyDescent="0.25">
      <c r="CM477" s="102"/>
      <c r="CN477" s="112" t="s">
        <v>1748</v>
      </c>
      <c r="CO477" s="112" t="s">
        <v>541</v>
      </c>
      <c r="CP477" s="112" t="s">
        <v>523</v>
      </c>
      <c r="CQ477" s="112" t="s">
        <v>1749</v>
      </c>
      <c r="CR477" s="112" t="s">
        <v>1749</v>
      </c>
      <c r="CS477" s="112" t="s">
        <v>1168</v>
      </c>
      <c r="CT477" s="112" t="s">
        <v>1169</v>
      </c>
      <c r="CU477" s="112" t="s">
        <v>1664</v>
      </c>
      <c r="CV477" s="113" t="s">
        <v>1665</v>
      </c>
      <c r="CX477" s="36">
        <v>1</v>
      </c>
    </row>
    <row r="478" spans="91:102" ht="21" customHeight="1" x14ac:dyDescent="0.25">
      <c r="CM478" s="102"/>
      <c r="CN478" s="112" t="s">
        <v>1750</v>
      </c>
      <c r="CO478" s="112" t="s">
        <v>541</v>
      </c>
      <c r="CP478" s="112" t="s">
        <v>523</v>
      </c>
      <c r="CQ478" s="112" t="s">
        <v>1751</v>
      </c>
      <c r="CR478" s="112" t="s">
        <v>1751</v>
      </c>
      <c r="CS478" s="112" t="s">
        <v>1168</v>
      </c>
      <c r="CT478" s="112" t="s">
        <v>1169</v>
      </c>
      <c r="CU478" s="112" t="s">
        <v>1664</v>
      </c>
      <c r="CV478" s="113" t="s">
        <v>1665</v>
      </c>
      <c r="CX478" s="36">
        <v>1</v>
      </c>
    </row>
    <row r="479" spans="91:102" ht="21" customHeight="1" x14ac:dyDescent="0.25">
      <c r="CM479" s="102"/>
      <c r="CN479" s="112" t="s">
        <v>1752</v>
      </c>
      <c r="CO479" s="112" t="s">
        <v>541</v>
      </c>
      <c r="CP479" s="112" t="s">
        <v>523</v>
      </c>
      <c r="CQ479" s="112" t="s">
        <v>1753</v>
      </c>
      <c r="CR479" s="112" t="s">
        <v>1753</v>
      </c>
      <c r="CS479" s="112" t="s">
        <v>1168</v>
      </c>
      <c r="CT479" s="112" t="s">
        <v>1169</v>
      </c>
      <c r="CU479" s="112" t="s">
        <v>1664</v>
      </c>
      <c r="CV479" s="113" t="s">
        <v>1665</v>
      </c>
      <c r="CX479" s="36">
        <v>1</v>
      </c>
    </row>
    <row r="480" spans="91:102" ht="21" customHeight="1" x14ac:dyDescent="0.25">
      <c r="CM480" s="102"/>
      <c r="CN480" s="112" t="s">
        <v>1754</v>
      </c>
      <c r="CO480" s="112" t="s">
        <v>541</v>
      </c>
      <c r="CP480" s="112" t="s">
        <v>523</v>
      </c>
      <c r="CQ480" s="112" t="s">
        <v>1755</v>
      </c>
      <c r="CR480" s="112" t="s">
        <v>1755</v>
      </c>
      <c r="CS480" s="112" t="s">
        <v>1168</v>
      </c>
      <c r="CT480" s="112" t="s">
        <v>1169</v>
      </c>
      <c r="CU480" s="112" t="s">
        <v>1664</v>
      </c>
      <c r="CV480" s="113" t="s">
        <v>1665</v>
      </c>
      <c r="CX480" s="36">
        <v>1</v>
      </c>
    </row>
    <row r="481" spans="91:102" ht="21" customHeight="1" x14ac:dyDescent="0.25">
      <c r="CM481" s="102"/>
      <c r="CN481" s="112" t="s">
        <v>1756</v>
      </c>
      <c r="CO481" s="112" t="s">
        <v>541</v>
      </c>
      <c r="CP481" s="112" t="s">
        <v>523</v>
      </c>
      <c r="CQ481" s="112" t="s">
        <v>1757</v>
      </c>
      <c r="CR481" s="112" t="s">
        <v>1757</v>
      </c>
      <c r="CS481" s="112" t="s">
        <v>1168</v>
      </c>
      <c r="CT481" s="112" t="s">
        <v>1169</v>
      </c>
      <c r="CU481" s="112" t="s">
        <v>1664</v>
      </c>
      <c r="CV481" s="113" t="s">
        <v>1665</v>
      </c>
      <c r="CX481" s="36">
        <v>1</v>
      </c>
    </row>
    <row r="482" spans="91:102" ht="21" customHeight="1" x14ac:dyDescent="0.25">
      <c r="CM482" s="102"/>
      <c r="CN482" s="112" t="s">
        <v>1758</v>
      </c>
      <c r="CO482" s="112" t="s">
        <v>541</v>
      </c>
      <c r="CP482" s="112" t="s">
        <v>523</v>
      </c>
      <c r="CQ482" s="112" t="s">
        <v>1759</v>
      </c>
      <c r="CR482" s="112" t="s">
        <v>1759</v>
      </c>
      <c r="CS482" s="112" t="s">
        <v>1168</v>
      </c>
      <c r="CT482" s="112" t="s">
        <v>1169</v>
      </c>
      <c r="CU482" s="112" t="s">
        <v>1664</v>
      </c>
      <c r="CV482" s="113" t="s">
        <v>1665</v>
      </c>
      <c r="CX482" s="36">
        <v>1</v>
      </c>
    </row>
    <row r="483" spans="91:102" ht="21" customHeight="1" x14ac:dyDescent="0.25">
      <c r="CM483" s="102"/>
      <c r="CN483" s="112" t="s">
        <v>1760</v>
      </c>
      <c r="CO483" s="112" t="s">
        <v>541</v>
      </c>
      <c r="CP483" s="112" t="s">
        <v>523</v>
      </c>
      <c r="CQ483" s="112" t="s">
        <v>1761</v>
      </c>
      <c r="CR483" s="112" t="s">
        <v>1761</v>
      </c>
      <c r="CS483" s="112" t="s">
        <v>1168</v>
      </c>
      <c r="CT483" s="112" t="s">
        <v>1169</v>
      </c>
      <c r="CU483" s="112" t="s">
        <v>1664</v>
      </c>
      <c r="CV483" s="113" t="s">
        <v>1665</v>
      </c>
      <c r="CX483" s="36">
        <v>1</v>
      </c>
    </row>
    <row r="484" spans="91:102" ht="21" customHeight="1" x14ac:dyDescent="0.25">
      <c r="CM484" s="102"/>
      <c r="CN484" s="112" t="s">
        <v>1762</v>
      </c>
      <c r="CO484" s="112" t="s">
        <v>541</v>
      </c>
      <c r="CP484" s="112" t="s">
        <v>523</v>
      </c>
      <c r="CQ484" s="112" t="s">
        <v>1763</v>
      </c>
      <c r="CR484" s="112" t="s">
        <v>1763</v>
      </c>
      <c r="CS484" s="112" t="s">
        <v>610</v>
      </c>
      <c r="CT484" s="112" t="s">
        <v>611</v>
      </c>
      <c r="CU484" s="112" t="s">
        <v>527</v>
      </c>
      <c r="CV484" s="113" t="s">
        <v>612</v>
      </c>
      <c r="CX484" s="36">
        <v>1</v>
      </c>
    </row>
    <row r="485" spans="91:102" ht="21" customHeight="1" x14ac:dyDescent="0.25">
      <c r="CM485" s="102"/>
      <c r="CN485" s="112" t="s">
        <v>1764</v>
      </c>
      <c r="CO485" s="112" t="s">
        <v>541</v>
      </c>
      <c r="CP485" s="112" t="s">
        <v>523</v>
      </c>
      <c r="CQ485" s="112" t="s">
        <v>1765</v>
      </c>
      <c r="CR485" s="112" t="s">
        <v>1765</v>
      </c>
      <c r="CS485" s="112" t="s">
        <v>610</v>
      </c>
      <c r="CT485" s="112" t="s">
        <v>611</v>
      </c>
      <c r="CU485" s="112" t="s">
        <v>527</v>
      </c>
      <c r="CV485" s="113" t="s">
        <v>612</v>
      </c>
      <c r="CX485" s="36">
        <v>1</v>
      </c>
    </row>
    <row r="486" spans="91:102" ht="21" customHeight="1" x14ac:dyDescent="0.25">
      <c r="CM486" s="102"/>
      <c r="CN486" s="112" t="s">
        <v>1766</v>
      </c>
      <c r="CO486" s="112" t="s">
        <v>541</v>
      </c>
      <c r="CP486" s="112" t="s">
        <v>523</v>
      </c>
      <c r="CQ486" s="112" t="s">
        <v>1767</v>
      </c>
      <c r="CR486" s="112" t="s">
        <v>1767</v>
      </c>
      <c r="CS486" s="112" t="s">
        <v>1168</v>
      </c>
      <c r="CT486" s="112" t="s">
        <v>1169</v>
      </c>
      <c r="CU486" s="112" t="s">
        <v>1664</v>
      </c>
      <c r="CV486" s="113" t="s">
        <v>1665</v>
      </c>
      <c r="CX486" s="36">
        <v>1</v>
      </c>
    </row>
    <row r="487" spans="91:102" ht="21" customHeight="1" x14ac:dyDescent="0.25">
      <c r="CM487" s="102"/>
      <c r="CN487" s="112" t="s">
        <v>1768</v>
      </c>
      <c r="CO487" s="112" t="s">
        <v>541</v>
      </c>
      <c r="CP487" s="112" t="s">
        <v>523</v>
      </c>
      <c r="CQ487" s="112" t="s">
        <v>1769</v>
      </c>
      <c r="CR487" s="112" t="s">
        <v>1769</v>
      </c>
      <c r="CS487" s="112" t="s">
        <v>1168</v>
      </c>
      <c r="CT487" s="112" t="s">
        <v>1169</v>
      </c>
      <c r="CU487" s="112" t="s">
        <v>1664</v>
      </c>
      <c r="CV487" s="113" t="s">
        <v>1665</v>
      </c>
      <c r="CX487" s="36">
        <v>1</v>
      </c>
    </row>
    <row r="488" spans="91:102" ht="21" customHeight="1" x14ac:dyDescent="0.25">
      <c r="CM488" s="102"/>
      <c r="CN488" s="112" t="s">
        <v>1770</v>
      </c>
      <c r="CO488" s="112" t="s">
        <v>541</v>
      </c>
      <c r="CP488" s="112" t="s">
        <v>523</v>
      </c>
      <c r="CQ488" s="112" t="s">
        <v>1771</v>
      </c>
      <c r="CR488" s="112" t="s">
        <v>1771</v>
      </c>
      <c r="CS488" s="112" t="s">
        <v>1168</v>
      </c>
      <c r="CT488" s="112" t="s">
        <v>1169</v>
      </c>
      <c r="CU488" s="112" t="s">
        <v>1664</v>
      </c>
      <c r="CV488" s="113" t="s">
        <v>1665</v>
      </c>
      <c r="CX488" s="36">
        <v>1</v>
      </c>
    </row>
    <row r="489" spans="91:102" ht="21" customHeight="1" x14ac:dyDescent="0.25">
      <c r="CM489" s="102"/>
      <c r="CN489" s="112" t="s">
        <v>1772</v>
      </c>
      <c r="CO489" s="112" t="s">
        <v>541</v>
      </c>
      <c r="CP489" s="112" t="s">
        <v>523</v>
      </c>
      <c r="CQ489" s="112" t="s">
        <v>1773</v>
      </c>
      <c r="CR489" s="112" t="s">
        <v>1773</v>
      </c>
      <c r="CS489" s="112" t="s">
        <v>1168</v>
      </c>
      <c r="CT489" s="112" t="s">
        <v>1169</v>
      </c>
      <c r="CU489" s="112" t="s">
        <v>1664</v>
      </c>
      <c r="CV489" s="113" t="s">
        <v>1665</v>
      </c>
      <c r="CX489" s="36">
        <v>1</v>
      </c>
    </row>
    <row r="490" spans="91:102" ht="21" customHeight="1" x14ac:dyDescent="0.25">
      <c r="CM490" s="102"/>
      <c r="CN490" s="112" t="s">
        <v>1774</v>
      </c>
      <c r="CO490" s="112" t="s">
        <v>541</v>
      </c>
      <c r="CP490" s="112" t="s">
        <v>523</v>
      </c>
      <c r="CQ490" s="112" t="s">
        <v>1775</v>
      </c>
      <c r="CR490" s="112" t="s">
        <v>1775</v>
      </c>
      <c r="CS490" s="112" t="s">
        <v>1168</v>
      </c>
      <c r="CT490" s="112" t="s">
        <v>1169</v>
      </c>
      <c r="CU490" s="112" t="s">
        <v>1664</v>
      </c>
      <c r="CV490" s="113" t="s">
        <v>1665</v>
      </c>
      <c r="CX490" s="36">
        <v>1</v>
      </c>
    </row>
    <row r="491" spans="91:102" ht="21" customHeight="1" x14ac:dyDescent="0.25">
      <c r="CM491" s="102"/>
      <c r="CN491" s="112" t="s">
        <v>1776</v>
      </c>
      <c r="CO491" s="112" t="s">
        <v>541</v>
      </c>
      <c r="CP491" s="112" t="s">
        <v>523</v>
      </c>
      <c r="CQ491" s="112" t="s">
        <v>1777</v>
      </c>
      <c r="CR491" s="112" t="s">
        <v>1777</v>
      </c>
      <c r="CS491" s="112" t="s">
        <v>1168</v>
      </c>
      <c r="CT491" s="112" t="s">
        <v>1169</v>
      </c>
      <c r="CU491" s="112" t="s">
        <v>1664</v>
      </c>
      <c r="CV491" s="113" t="s">
        <v>1665</v>
      </c>
      <c r="CX491" s="36">
        <v>1</v>
      </c>
    </row>
    <row r="492" spans="91:102" ht="21" customHeight="1" x14ac:dyDescent="0.25">
      <c r="CM492" s="102"/>
      <c r="CN492" s="112" t="s">
        <v>1778</v>
      </c>
      <c r="CO492" s="112" t="s">
        <v>541</v>
      </c>
      <c r="CP492" s="112" t="s">
        <v>523</v>
      </c>
      <c r="CQ492" s="112" t="s">
        <v>1779</v>
      </c>
      <c r="CR492" s="112" t="s">
        <v>1779</v>
      </c>
      <c r="CS492" s="112" t="s">
        <v>1168</v>
      </c>
      <c r="CT492" s="112" t="s">
        <v>1169</v>
      </c>
      <c r="CU492" s="112" t="s">
        <v>1664</v>
      </c>
      <c r="CV492" s="113" t="s">
        <v>1665</v>
      </c>
      <c r="CX492" s="36">
        <v>1</v>
      </c>
    </row>
    <row r="493" spans="91:102" ht="21" customHeight="1" x14ac:dyDescent="0.25">
      <c r="CM493" s="102"/>
      <c r="CN493" s="112" t="s">
        <v>1780</v>
      </c>
      <c r="CO493" s="112" t="s">
        <v>541</v>
      </c>
      <c r="CP493" s="112" t="s">
        <v>523</v>
      </c>
      <c r="CQ493" s="112" t="s">
        <v>1781</v>
      </c>
      <c r="CR493" s="112" t="s">
        <v>1781</v>
      </c>
      <c r="CS493" s="112" t="s">
        <v>1168</v>
      </c>
      <c r="CT493" s="112" t="s">
        <v>1169</v>
      </c>
      <c r="CU493" s="112" t="s">
        <v>1664</v>
      </c>
      <c r="CV493" s="113" t="s">
        <v>1665</v>
      </c>
      <c r="CX493" s="36">
        <v>1</v>
      </c>
    </row>
    <row r="494" spans="91:102" ht="21" customHeight="1" x14ac:dyDescent="0.25">
      <c r="CM494" s="102"/>
      <c r="CN494" s="112" t="s">
        <v>1782</v>
      </c>
      <c r="CO494" s="112" t="s">
        <v>541</v>
      </c>
      <c r="CP494" s="112" t="s">
        <v>523</v>
      </c>
      <c r="CQ494" s="112" t="s">
        <v>1783</v>
      </c>
      <c r="CR494" s="112" t="s">
        <v>1783</v>
      </c>
      <c r="CS494" s="112" t="s">
        <v>1168</v>
      </c>
      <c r="CT494" s="112" t="s">
        <v>1169</v>
      </c>
      <c r="CU494" s="112" t="s">
        <v>1664</v>
      </c>
      <c r="CV494" s="113" t="s">
        <v>1665</v>
      </c>
      <c r="CX494" s="36">
        <v>1</v>
      </c>
    </row>
    <row r="495" spans="91:102" ht="21" customHeight="1" x14ac:dyDescent="0.25">
      <c r="CM495" s="102"/>
      <c r="CN495" s="112" t="s">
        <v>1784</v>
      </c>
      <c r="CO495" s="112" t="s">
        <v>541</v>
      </c>
      <c r="CP495" s="112" t="s">
        <v>523</v>
      </c>
      <c r="CQ495" s="112" t="s">
        <v>1785</v>
      </c>
      <c r="CR495" s="112" t="s">
        <v>1785</v>
      </c>
      <c r="CS495" s="112" t="s">
        <v>1168</v>
      </c>
      <c r="CT495" s="112" t="s">
        <v>1169</v>
      </c>
      <c r="CU495" s="112" t="s">
        <v>1664</v>
      </c>
      <c r="CV495" s="113" t="s">
        <v>1665</v>
      </c>
      <c r="CX495" s="36">
        <v>1</v>
      </c>
    </row>
    <row r="496" spans="91:102" ht="21" customHeight="1" x14ac:dyDescent="0.25">
      <c r="CM496" s="102"/>
      <c r="CN496" s="112" t="s">
        <v>1786</v>
      </c>
      <c r="CO496" s="112" t="s">
        <v>541</v>
      </c>
      <c r="CP496" s="112" t="s">
        <v>523</v>
      </c>
      <c r="CQ496" s="112" t="s">
        <v>1787</v>
      </c>
      <c r="CR496" s="112" t="s">
        <v>1787</v>
      </c>
      <c r="CS496" s="112" t="s">
        <v>1168</v>
      </c>
      <c r="CT496" s="112" t="s">
        <v>1169</v>
      </c>
      <c r="CU496" s="112" t="s">
        <v>1664</v>
      </c>
      <c r="CV496" s="113" t="s">
        <v>1665</v>
      </c>
      <c r="CX496" s="36">
        <v>1</v>
      </c>
    </row>
    <row r="497" spans="91:102" ht="21" customHeight="1" x14ac:dyDescent="0.25">
      <c r="CM497" s="102"/>
      <c r="CN497" s="112" t="s">
        <v>1788</v>
      </c>
      <c r="CO497" s="112" t="s">
        <v>541</v>
      </c>
      <c r="CP497" s="112" t="s">
        <v>523</v>
      </c>
      <c r="CQ497" s="112" t="s">
        <v>1789</v>
      </c>
      <c r="CR497" s="112" t="s">
        <v>1789</v>
      </c>
      <c r="CS497" s="112" t="s">
        <v>1168</v>
      </c>
      <c r="CT497" s="112" t="s">
        <v>1169</v>
      </c>
      <c r="CU497" s="112" t="s">
        <v>1664</v>
      </c>
      <c r="CV497" s="113" t="s">
        <v>1665</v>
      </c>
      <c r="CX497" s="36">
        <v>1</v>
      </c>
    </row>
    <row r="498" spans="91:102" ht="21" customHeight="1" x14ac:dyDescent="0.25">
      <c r="CM498" s="102"/>
      <c r="CN498" s="112" t="s">
        <v>1790</v>
      </c>
      <c r="CO498" s="112" t="s">
        <v>541</v>
      </c>
      <c r="CP498" s="112" t="s">
        <v>523</v>
      </c>
      <c r="CQ498" s="112" t="s">
        <v>1791</v>
      </c>
      <c r="CR498" s="112" t="s">
        <v>1791</v>
      </c>
      <c r="CS498" s="112" t="s">
        <v>1168</v>
      </c>
      <c r="CT498" s="112" t="s">
        <v>1169</v>
      </c>
      <c r="CU498" s="112" t="s">
        <v>1664</v>
      </c>
      <c r="CV498" s="113" t="s">
        <v>1665</v>
      </c>
      <c r="CX498" s="36">
        <v>1</v>
      </c>
    </row>
    <row r="499" spans="91:102" ht="21" customHeight="1" x14ac:dyDescent="0.25">
      <c r="CM499" s="102"/>
      <c r="CN499" s="112" t="s">
        <v>1792</v>
      </c>
      <c r="CO499" s="112" t="s">
        <v>541</v>
      </c>
      <c r="CP499" s="112" t="s">
        <v>523</v>
      </c>
      <c r="CQ499" s="112" t="s">
        <v>1793</v>
      </c>
      <c r="CR499" s="112" t="s">
        <v>1793</v>
      </c>
      <c r="CS499" s="112" t="s">
        <v>1168</v>
      </c>
      <c r="CT499" s="112" t="s">
        <v>1169</v>
      </c>
      <c r="CU499" s="112" t="s">
        <v>1664</v>
      </c>
      <c r="CV499" s="113" t="s">
        <v>1665</v>
      </c>
      <c r="CX499" s="36">
        <v>1</v>
      </c>
    </row>
    <row r="500" spans="91:102" ht="21" customHeight="1" x14ac:dyDescent="0.25">
      <c r="CM500" s="102"/>
      <c r="CN500" s="112" t="s">
        <v>1794</v>
      </c>
      <c r="CO500" s="112" t="s">
        <v>541</v>
      </c>
      <c r="CP500" s="112" t="s">
        <v>523</v>
      </c>
      <c r="CQ500" s="112" t="s">
        <v>1795</v>
      </c>
      <c r="CR500" s="112" t="s">
        <v>1795</v>
      </c>
      <c r="CS500" s="112" t="s">
        <v>1168</v>
      </c>
      <c r="CT500" s="112" t="s">
        <v>1169</v>
      </c>
      <c r="CU500" s="112" t="s">
        <v>1664</v>
      </c>
      <c r="CV500" s="113" t="s">
        <v>1665</v>
      </c>
      <c r="CX500" s="36">
        <v>1</v>
      </c>
    </row>
    <row r="501" spans="91:102" ht="21" customHeight="1" x14ac:dyDescent="0.25">
      <c r="CM501" s="102"/>
      <c r="CN501" s="112" t="s">
        <v>1796</v>
      </c>
      <c r="CO501" s="112" t="s">
        <v>541</v>
      </c>
      <c r="CP501" s="112" t="s">
        <v>523</v>
      </c>
      <c r="CQ501" s="112" t="s">
        <v>1797</v>
      </c>
      <c r="CR501" s="112" t="s">
        <v>1797</v>
      </c>
      <c r="CS501" s="112" t="s">
        <v>1168</v>
      </c>
      <c r="CT501" s="112" t="s">
        <v>1169</v>
      </c>
      <c r="CU501" s="112" t="s">
        <v>1664</v>
      </c>
      <c r="CV501" s="113" t="s">
        <v>1665</v>
      </c>
      <c r="CX501" s="36">
        <v>1</v>
      </c>
    </row>
    <row r="502" spans="91:102" ht="21" customHeight="1" x14ac:dyDescent="0.25">
      <c r="CM502" s="102"/>
      <c r="CN502" s="112" t="s">
        <v>1798</v>
      </c>
      <c r="CO502" s="112" t="s">
        <v>541</v>
      </c>
      <c r="CP502" s="112" t="s">
        <v>523</v>
      </c>
      <c r="CQ502" s="112" t="s">
        <v>1799</v>
      </c>
      <c r="CR502" s="112" t="s">
        <v>1799</v>
      </c>
      <c r="CS502" s="112" t="s">
        <v>1168</v>
      </c>
      <c r="CT502" s="112" t="s">
        <v>1169</v>
      </c>
      <c r="CU502" s="112" t="s">
        <v>1664</v>
      </c>
      <c r="CV502" s="113" t="s">
        <v>1665</v>
      </c>
      <c r="CX502" s="36">
        <v>1</v>
      </c>
    </row>
    <row r="503" spans="91:102" ht="21" customHeight="1" x14ac:dyDescent="0.25">
      <c r="CM503" s="102"/>
      <c r="CN503" s="112" t="s">
        <v>1800</v>
      </c>
      <c r="CO503" s="112" t="s">
        <v>541</v>
      </c>
      <c r="CP503" s="112" t="s">
        <v>523</v>
      </c>
      <c r="CQ503" s="112" t="s">
        <v>1801</v>
      </c>
      <c r="CR503" s="112" t="s">
        <v>1801</v>
      </c>
      <c r="CS503" s="112" t="s">
        <v>1168</v>
      </c>
      <c r="CT503" s="112" t="s">
        <v>1169</v>
      </c>
      <c r="CU503" s="112" t="s">
        <v>1664</v>
      </c>
      <c r="CV503" s="113" t="s">
        <v>1665</v>
      </c>
      <c r="CX503" s="36">
        <v>1</v>
      </c>
    </row>
    <row r="504" spans="91:102" ht="21" customHeight="1" x14ac:dyDescent="0.25">
      <c r="CM504" s="102"/>
      <c r="CN504" s="112" t="s">
        <v>1802</v>
      </c>
      <c r="CO504" s="112" t="s">
        <v>541</v>
      </c>
      <c r="CP504" s="112" t="s">
        <v>523</v>
      </c>
      <c r="CQ504" s="112" t="s">
        <v>1803</v>
      </c>
      <c r="CR504" s="112" t="s">
        <v>1803</v>
      </c>
      <c r="CS504" s="112" t="s">
        <v>1168</v>
      </c>
      <c r="CT504" s="112" t="s">
        <v>1169</v>
      </c>
      <c r="CU504" s="112" t="s">
        <v>1664</v>
      </c>
      <c r="CV504" s="113" t="s">
        <v>1665</v>
      </c>
      <c r="CX504" s="36">
        <v>1</v>
      </c>
    </row>
    <row r="505" spans="91:102" ht="21" customHeight="1" x14ac:dyDescent="0.25">
      <c r="CM505" s="102"/>
      <c r="CN505" s="112" t="s">
        <v>1804</v>
      </c>
      <c r="CO505" s="112" t="s">
        <v>541</v>
      </c>
      <c r="CP505" s="112" t="s">
        <v>523</v>
      </c>
      <c r="CQ505" s="112" t="s">
        <v>1805</v>
      </c>
      <c r="CR505" s="112" t="s">
        <v>1805</v>
      </c>
      <c r="CS505" s="112" t="s">
        <v>1168</v>
      </c>
      <c r="CT505" s="112" t="s">
        <v>1169</v>
      </c>
      <c r="CU505" s="112" t="s">
        <v>1664</v>
      </c>
      <c r="CV505" s="113" t="s">
        <v>1665</v>
      </c>
      <c r="CX505" s="36">
        <v>1</v>
      </c>
    </row>
    <row r="506" spans="91:102" ht="21" customHeight="1" x14ac:dyDescent="0.25">
      <c r="CM506" s="102"/>
      <c r="CN506" s="112" t="s">
        <v>1806</v>
      </c>
      <c r="CO506" s="112" t="s">
        <v>541</v>
      </c>
      <c r="CP506" s="112" t="s">
        <v>523</v>
      </c>
      <c r="CQ506" s="112" t="s">
        <v>1807</v>
      </c>
      <c r="CR506" s="112" t="s">
        <v>1807</v>
      </c>
      <c r="CS506" s="112" t="s">
        <v>1168</v>
      </c>
      <c r="CT506" s="112" t="s">
        <v>1169</v>
      </c>
      <c r="CU506" s="112" t="s">
        <v>1664</v>
      </c>
      <c r="CV506" s="113" t="s">
        <v>1665</v>
      </c>
      <c r="CX506" s="36">
        <v>1</v>
      </c>
    </row>
    <row r="507" spans="91:102" ht="21" customHeight="1" x14ac:dyDescent="0.25">
      <c r="CM507" s="102"/>
      <c r="CN507" s="112" t="s">
        <v>1808</v>
      </c>
      <c r="CO507" s="112" t="s">
        <v>541</v>
      </c>
      <c r="CP507" s="112" t="s">
        <v>523</v>
      </c>
      <c r="CQ507" s="112" t="s">
        <v>1809</v>
      </c>
      <c r="CR507" s="112" t="s">
        <v>1809</v>
      </c>
      <c r="CS507" s="112" t="s">
        <v>1168</v>
      </c>
      <c r="CT507" s="112" t="s">
        <v>1169</v>
      </c>
      <c r="CU507" s="112" t="s">
        <v>1664</v>
      </c>
      <c r="CV507" s="113" t="s">
        <v>1665</v>
      </c>
      <c r="CX507" s="36">
        <v>1</v>
      </c>
    </row>
    <row r="508" spans="91:102" ht="21" customHeight="1" x14ac:dyDescent="0.25">
      <c r="CM508" s="102"/>
      <c r="CN508" s="112" t="s">
        <v>1810</v>
      </c>
      <c r="CO508" s="112" t="s">
        <v>541</v>
      </c>
      <c r="CP508" s="112" t="s">
        <v>523</v>
      </c>
      <c r="CQ508" s="112" t="s">
        <v>1811</v>
      </c>
      <c r="CR508" s="112" t="s">
        <v>1811</v>
      </c>
      <c r="CS508" s="112" t="s">
        <v>1168</v>
      </c>
      <c r="CT508" s="112" t="s">
        <v>1169</v>
      </c>
      <c r="CU508" s="112" t="s">
        <v>1664</v>
      </c>
      <c r="CV508" s="113" t="s">
        <v>1665</v>
      </c>
      <c r="CX508" s="36">
        <v>1</v>
      </c>
    </row>
    <row r="509" spans="91:102" ht="21" customHeight="1" x14ac:dyDescent="0.25">
      <c r="CM509" s="102"/>
      <c r="CN509" s="112" t="s">
        <v>1812</v>
      </c>
      <c r="CO509" s="112" t="s">
        <v>541</v>
      </c>
      <c r="CP509" s="112" t="s">
        <v>523</v>
      </c>
      <c r="CQ509" s="112" t="s">
        <v>1813</v>
      </c>
      <c r="CR509" s="112" t="s">
        <v>1813</v>
      </c>
      <c r="CS509" s="112" t="s">
        <v>1168</v>
      </c>
      <c r="CT509" s="112" t="s">
        <v>1169</v>
      </c>
      <c r="CU509" s="112" t="s">
        <v>1664</v>
      </c>
      <c r="CV509" s="113" t="s">
        <v>1665</v>
      </c>
      <c r="CX509" s="36">
        <v>1</v>
      </c>
    </row>
    <row r="510" spans="91:102" ht="21" customHeight="1" x14ac:dyDescent="0.25">
      <c r="CM510" s="102"/>
      <c r="CN510" s="112" t="s">
        <v>1814</v>
      </c>
      <c r="CO510" s="112" t="s">
        <v>541</v>
      </c>
      <c r="CP510" s="112" t="s">
        <v>523</v>
      </c>
      <c r="CQ510" s="112" t="s">
        <v>1815</v>
      </c>
      <c r="CR510" s="112" t="s">
        <v>1815</v>
      </c>
      <c r="CS510" s="112" t="s">
        <v>1168</v>
      </c>
      <c r="CT510" s="112" t="s">
        <v>1169</v>
      </c>
      <c r="CU510" s="112" t="s">
        <v>1664</v>
      </c>
      <c r="CV510" s="113" t="s">
        <v>1665</v>
      </c>
      <c r="CX510" s="36">
        <v>1</v>
      </c>
    </row>
    <row r="511" spans="91:102" ht="21" customHeight="1" x14ac:dyDescent="0.25">
      <c r="CM511" s="102"/>
      <c r="CN511" s="112" t="s">
        <v>1816</v>
      </c>
      <c r="CO511" s="112" t="s">
        <v>541</v>
      </c>
      <c r="CP511" s="112" t="s">
        <v>523</v>
      </c>
      <c r="CQ511" s="112" t="s">
        <v>1817</v>
      </c>
      <c r="CR511" s="112" t="s">
        <v>1817</v>
      </c>
      <c r="CS511" s="112" t="s">
        <v>1168</v>
      </c>
      <c r="CT511" s="112" t="s">
        <v>1169</v>
      </c>
      <c r="CU511" s="112" t="s">
        <v>1664</v>
      </c>
      <c r="CV511" s="113" t="s">
        <v>1665</v>
      </c>
      <c r="CX511" s="36">
        <v>1</v>
      </c>
    </row>
    <row r="512" spans="91:102" ht="21" customHeight="1" x14ac:dyDescent="0.25">
      <c r="CM512" s="102"/>
      <c r="CN512" s="112" t="s">
        <v>1818</v>
      </c>
      <c r="CO512" s="112" t="s">
        <v>541</v>
      </c>
      <c r="CP512" s="112" t="s">
        <v>523</v>
      </c>
      <c r="CQ512" s="112" t="s">
        <v>1819</v>
      </c>
      <c r="CR512" s="112" t="s">
        <v>1819</v>
      </c>
      <c r="CS512" s="112" t="s">
        <v>1168</v>
      </c>
      <c r="CT512" s="112" t="s">
        <v>1169</v>
      </c>
      <c r="CU512" s="112" t="s">
        <v>1664</v>
      </c>
      <c r="CV512" s="113" t="s">
        <v>1665</v>
      </c>
      <c r="CX512" s="36">
        <v>1</v>
      </c>
    </row>
    <row r="513" spans="91:102" ht="21" customHeight="1" x14ac:dyDescent="0.25">
      <c r="CM513" s="102"/>
      <c r="CN513" s="112" t="s">
        <v>1820</v>
      </c>
      <c r="CO513" s="112" t="s">
        <v>541</v>
      </c>
      <c r="CP513" s="112" t="s">
        <v>523</v>
      </c>
      <c r="CQ513" s="112" t="s">
        <v>1821</v>
      </c>
      <c r="CR513" s="112" t="s">
        <v>1821</v>
      </c>
      <c r="CS513" s="112" t="s">
        <v>1168</v>
      </c>
      <c r="CT513" s="112" t="s">
        <v>1169</v>
      </c>
      <c r="CU513" s="112" t="s">
        <v>1664</v>
      </c>
      <c r="CV513" s="113" t="s">
        <v>1665</v>
      </c>
      <c r="CX513" s="36">
        <v>1</v>
      </c>
    </row>
    <row r="514" spans="91:102" ht="21" customHeight="1" x14ac:dyDescent="0.25">
      <c r="CM514" s="102"/>
      <c r="CN514" s="112" t="s">
        <v>1822</v>
      </c>
      <c r="CO514" s="112" t="s">
        <v>541</v>
      </c>
      <c r="CP514" s="112" t="s">
        <v>523</v>
      </c>
      <c r="CQ514" s="112" t="s">
        <v>1823</v>
      </c>
      <c r="CR514" s="112" t="s">
        <v>1823</v>
      </c>
      <c r="CS514" s="112" t="s">
        <v>1168</v>
      </c>
      <c r="CT514" s="112" t="s">
        <v>1169</v>
      </c>
      <c r="CU514" s="112" t="s">
        <v>1664</v>
      </c>
      <c r="CV514" s="113" t="s">
        <v>1665</v>
      </c>
      <c r="CX514" s="36">
        <v>1</v>
      </c>
    </row>
    <row r="515" spans="91:102" ht="21" customHeight="1" x14ac:dyDescent="0.25">
      <c r="CM515" s="102"/>
      <c r="CN515" s="112" t="s">
        <v>1824</v>
      </c>
      <c r="CO515" s="112" t="s">
        <v>541</v>
      </c>
      <c r="CP515" s="112" t="s">
        <v>523</v>
      </c>
      <c r="CQ515" s="112" t="s">
        <v>1825</v>
      </c>
      <c r="CR515" s="112" t="s">
        <v>1825</v>
      </c>
      <c r="CS515" s="112" t="s">
        <v>1168</v>
      </c>
      <c r="CT515" s="112" t="s">
        <v>1169</v>
      </c>
      <c r="CU515" s="112" t="s">
        <v>1664</v>
      </c>
      <c r="CV515" s="113" t="s">
        <v>1665</v>
      </c>
      <c r="CX515" s="36">
        <v>1</v>
      </c>
    </row>
    <row r="516" spans="91:102" ht="21" customHeight="1" x14ac:dyDescent="0.25">
      <c r="CM516" s="102"/>
      <c r="CN516" s="112" t="s">
        <v>1826</v>
      </c>
      <c r="CO516" s="112" t="s">
        <v>541</v>
      </c>
      <c r="CP516" s="112" t="s">
        <v>523</v>
      </c>
      <c r="CQ516" s="112" t="s">
        <v>1827</v>
      </c>
      <c r="CR516" s="112" t="s">
        <v>1827</v>
      </c>
      <c r="CS516" s="112" t="s">
        <v>1168</v>
      </c>
      <c r="CT516" s="112" t="s">
        <v>1169</v>
      </c>
      <c r="CU516" s="112" t="s">
        <v>1664</v>
      </c>
      <c r="CV516" s="113" t="s">
        <v>1665</v>
      </c>
      <c r="CX516" s="36">
        <v>1</v>
      </c>
    </row>
    <row r="517" spans="91:102" ht="21" customHeight="1" x14ac:dyDescent="0.25">
      <c r="CM517" s="102"/>
      <c r="CN517" s="112" t="s">
        <v>1828</v>
      </c>
      <c r="CO517" s="112" t="s">
        <v>541</v>
      </c>
      <c r="CP517" s="112" t="s">
        <v>523</v>
      </c>
      <c r="CQ517" s="112" t="s">
        <v>1829</v>
      </c>
      <c r="CR517" s="112" t="s">
        <v>1829</v>
      </c>
      <c r="CS517" s="112" t="s">
        <v>1168</v>
      </c>
      <c r="CT517" s="112" t="s">
        <v>1169</v>
      </c>
      <c r="CU517" s="112" t="s">
        <v>1664</v>
      </c>
      <c r="CV517" s="113" t="s">
        <v>1665</v>
      </c>
      <c r="CX517" s="36">
        <v>1</v>
      </c>
    </row>
    <row r="518" spans="91:102" ht="21" customHeight="1" x14ac:dyDescent="0.25">
      <c r="CM518" s="102"/>
      <c r="CN518" s="112" t="s">
        <v>1830</v>
      </c>
      <c r="CO518" s="112" t="s">
        <v>541</v>
      </c>
      <c r="CP518" s="112" t="s">
        <v>523</v>
      </c>
      <c r="CQ518" s="112" t="s">
        <v>1831</v>
      </c>
      <c r="CR518" s="112" t="s">
        <v>1831</v>
      </c>
      <c r="CS518" s="112" t="s">
        <v>1168</v>
      </c>
      <c r="CT518" s="112" t="s">
        <v>1169</v>
      </c>
      <c r="CU518" s="112" t="s">
        <v>1664</v>
      </c>
      <c r="CV518" s="113" t="s">
        <v>1665</v>
      </c>
      <c r="CX518" s="36">
        <v>1</v>
      </c>
    </row>
    <row r="519" spans="91:102" ht="21" customHeight="1" x14ac:dyDescent="0.25">
      <c r="CM519" s="102"/>
      <c r="CN519" s="112" t="s">
        <v>1832</v>
      </c>
      <c r="CO519" s="112" t="s">
        <v>541</v>
      </c>
      <c r="CP519" s="112" t="s">
        <v>523</v>
      </c>
      <c r="CQ519" s="112" t="s">
        <v>1833</v>
      </c>
      <c r="CR519" s="112" t="s">
        <v>1833</v>
      </c>
      <c r="CS519" s="112" t="s">
        <v>1168</v>
      </c>
      <c r="CT519" s="112" t="s">
        <v>1169</v>
      </c>
      <c r="CU519" s="112" t="s">
        <v>1664</v>
      </c>
      <c r="CV519" s="113" t="s">
        <v>1665</v>
      </c>
      <c r="CX519" s="36">
        <v>1</v>
      </c>
    </row>
    <row r="520" spans="91:102" ht="21" customHeight="1" x14ac:dyDescent="0.25">
      <c r="CM520" s="102"/>
      <c r="CN520" s="112" t="s">
        <v>1834</v>
      </c>
      <c r="CO520" s="112" t="s">
        <v>541</v>
      </c>
      <c r="CP520" s="112" t="s">
        <v>523</v>
      </c>
      <c r="CQ520" s="112" t="s">
        <v>1835</v>
      </c>
      <c r="CR520" s="112" t="s">
        <v>1835</v>
      </c>
      <c r="CS520" s="112" t="s">
        <v>1168</v>
      </c>
      <c r="CT520" s="112" t="s">
        <v>1169</v>
      </c>
      <c r="CU520" s="112" t="s">
        <v>1664</v>
      </c>
      <c r="CV520" s="113" t="s">
        <v>1665</v>
      </c>
      <c r="CX520" s="36">
        <v>1</v>
      </c>
    </row>
    <row r="521" spans="91:102" ht="21" customHeight="1" x14ac:dyDescent="0.25">
      <c r="CM521" s="102"/>
      <c r="CN521" s="112" t="s">
        <v>1836</v>
      </c>
      <c r="CO521" s="112" t="s">
        <v>541</v>
      </c>
      <c r="CP521" s="112" t="s">
        <v>523</v>
      </c>
      <c r="CQ521" s="112" t="s">
        <v>1837</v>
      </c>
      <c r="CR521" s="112" t="s">
        <v>1837</v>
      </c>
      <c r="CS521" s="112" t="s">
        <v>1168</v>
      </c>
      <c r="CT521" s="112" t="s">
        <v>1169</v>
      </c>
      <c r="CU521" s="112" t="s">
        <v>1664</v>
      </c>
      <c r="CV521" s="113" t="s">
        <v>1665</v>
      </c>
      <c r="CX521" s="36">
        <v>1</v>
      </c>
    </row>
    <row r="522" spans="91:102" ht="21" customHeight="1" x14ac:dyDescent="0.25">
      <c r="CM522" s="102"/>
      <c r="CN522" s="112" t="s">
        <v>1838</v>
      </c>
      <c r="CO522" s="112" t="s">
        <v>541</v>
      </c>
      <c r="CP522" s="112" t="s">
        <v>523</v>
      </c>
      <c r="CQ522" s="112" t="s">
        <v>1839</v>
      </c>
      <c r="CR522" s="112" t="s">
        <v>1839</v>
      </c>
      <c r="CS522" s="112" t="s">
        <v>1168</v>
      </c>
      <c r="CT522" s="112" t="s">
        <v>1169</v>
      </c>
      <c r="CU522" s="112" t="s">
        <v>1664</v>
      </c>
      <c r="CV522" s="113" t="s">
        <v>1665</v>
      </c>
      <c r="CX522" s="36">
        <v>1</v>
      </c>
    </row>
    <row r="523" spans="91:102" ht="21" customHeight="1" x14ac:dyDescent="0.25">
      <c r="CM523" s="102"/>
      <c r="CN523" s="112" t="s">
        <v>1840</v>
      </c>
      <c r="CO523" s="112" t="s">
        <v>541</v>
      </c>
      <c r="CP523" s="112" t="s">
        <v>523</v>
      </c>
      <c r="CQ523" s="112" t="s">
        <v>1841</v>
      </c>
      <c r="CR523" s="112" t="s">
        <v>1841</v>
      </c>
      <c r="CS523" s="112" t="s">
        <v>1168</v>
      </c>
      <c r="CT523" s="112" t="s">
        <v>1169</v>
      </c>
      <c r="CU523" s="112" t="s">
        <v>1664</v>
      </c>
      <c r="CV523" s="113" t="s">
        <v>1665</v>
      </c>
      <c r="CX523" s="36">
        <v>1</v>
      </c>
    </row>
    <row r="524" spans="91:102" ht="21" customHeight="1" x14ac:dyDescent="0.25">
      <c r="CM524" s="102"/>
      <c r="CN524" s="112" t="s">
        <v>1842</v>
      </c>
      <c r="CO524" s="112" t="s">
        <v>541</v>
      </c>
      <c r="CP524" s="112" t="s">
        <v>523</v>
      </c>
      <c r="CQ524" s="112" t="s">
        <v>1843</v>
      </c>
      <c r="CR524" s="112" t="s">
        <v>1843</v>
      </c>
      <c r="CS524" s="112" t="s">
        <v>1168</v>
      </c>
      <c r="CT524" s="112" t="s">
        <v>1169</v>
      </c>
      <c r="CU524" s="112" t="s">
        <v>1664</v>
      </c>
      <c r="CV524" s="113" t="s">
        <v>1665</v>
      </c>
      <c r="CX524" s="36">
        <v>1</v>
      </c>
    </row>
    <row r="525" spans="91:102" ht="21" customHeight="1" x14ac:dyDescent="0.25">
      <c r="CM525" s="102"/>
      <c r="CN525" s="112" t="s">
        <v>1844</v>
      </c>
      <c r="CO525" s="112" t="s">
        <v>541</v>
      </c>
      <c r="CP525" s="112" t="s">
        <v>523</v>
      </c>
      <c r="CQ525" s="112" t="s">
        <v>1845</v>
      </c>
      <c r="CR525" s="112" t="s">
        <v>1845</v>
      </c>
      <c r="CS525" s="112" t="s">
        <v>1168</v>
      </c>
      <c r="CT525" s="112" t="s">
        <v>1169</v>
      </c>
      <c r="CU525" s="112" t="s">
        <v>1664</v>
      </c>
      <c r="CV525" s="113" t="s">
        <v>1665</v>
      </c>
      <c r="CX525" s="36">
        <v>1</v>
      </c>
    </row>
    <row r="526" spans="91:102" ht="21" customHeight="1" x14ac:dyDescent="0.25">
      <c r="CM526" s="102"/>
      <c r="CN526" s="112" t="s">
        <v>1846</v>
      </c>
      <c r="CO526" s="112" t="s">
        <v>541</v>
      </c>
      <c r="CP526" s="112" t="s">
        <v>523</v>
      </c>
      <c r="CQ526" s="112" t="s">
        <v>1847</v>
      </c>
      <c r="CR526" s="112" t="s">
        <v>1847</v>
      </c>
      <c r="CS526" s="112" t="s">
        <v>1168</v>
      </c>
      <c r="CT526" s="112" t="s">
        <v>1169</v>
      </c>
      <c r="CU526" s="112" t="s">
        <v>1664</v>
      </c>
      <c r="CV526" s="113" t="s">
        <v>1665</v>
      </c>
      <c r="CX526" s="36">
        <v>1</v>
      </c>
    </row>
    <row r="527" spans="91:102" ht="21" customHeight="1" x14ac:dyDescent="0.25">
      <c r="CM527" s="102"/>
      <c r="CN527" s="112" t="s">
        <v>1848</v>
      </c>
      <c r="CO527" s="112" t="s">
        <v>541</v>
      </c>
      <c r="CP527" s="112" t="s">
        <v>523</v>
      </c>
      <c r="CQ527" s="112" t="s">
        <v>1849</v>
      </c>
      <c r="CR527" s="112" t="s">
        <v>1849</v>
      </c>
      <c r="CS527" s="112" t="s">
        <v>1168</v>
      </c>
      <c r="CT527" s="112" t="s">
        <v>1169</v>
      </c>
      <c r="CU527" s="112" t="s">
        <v>1664</v>
      </c>
      <c r="CV527" s="113" t="s">
        <v>1665</v>
      </c>
      <c r="CX527" s="36">
        <v>1</v>
      </c>
    </row>
    <row r="528" spans="91:102" ht="21" customHeight="1" x14ac:dyDescent="0.25">
      <c r="CM528" s="102"/>
      <c r="CN528" s="112" t="s">
        <v>1850</v>
      </c>
      <c r="CO528" s="112" t="s">
        <v>541</v>
      </c>
      <c r="CP528" s="112" t="s">
        <v>523</v>
      </c>
      <c r="CQ528" s="112" t="s">
        <v>1851</v>
      </c>
      <c r="CR528" s="112" t="s">
        <v>1851</v>
      </c>
      <c r="CS528" s="112" t="s">
        <v>1168</v>
      </c>
      <c r="CT528" s="112" t="s">
        <v>1169</v>
      </c>
      <c r="CU528" s="112" t="s">
        <v>1664</v>
      </c>
      <c r="CV528" s="113" t="s">
        <v>1665</v>
      </c>
      <c r="CX528" s="36">
        <v>1</v>
      </c>
    </row>
    <row r="529" spans="91:102" ht="21" customHeight="1" x14ac:dyDescent="0.25">
      <c r="CM529" s="102"/>
      <c r="CN529" s="112" t="s">
        <v>1852</v>
      </c>
      <c r="CO529" s="112" t="s">
        <v>541</v>
      </c>
      <c r="CP529" s="112" t="s">
        <v>523</v>
      </c>
      <c r="CQ529" s="112" t="s">
        <v>1853</v>
      </c>
      <c r="CR529" s="112" t="s">
        <v>1853</v>
      </c>
      <c r="CS529" s="112" t="s">
        <v>1168</v>
      </c>
      <c r="CT529" s="112" t="s">
        <v>1169</v>
      </c>
      <c r="CU529" s="112" t="s">
        <v>1664</v>
      </c>
      <c r="CV529" s="113" t="s">
        <v>1665</v>
      </c>
      <c r="CX529" s="36">
        <v>1</v>
      </c>
    </row>
    <row r="530" spans="91:102" ht="21" customHeight="1" x14ac:dyDescent="0.25">
      <c r="CM530" s="102"/>
      <c r="CN530" s="112" t="s">
        <v>1854</v>
      </c>
      <c r="CO530" s="112" t="s">
        <v>541</v>
      </c>
      <c r="CP530" s="112" t="s">
        <v>523</v>
      </c>
      <c r="CQ530" s="112" t="s">
        <v>1855</v>
      </c>
      <c r="CR530" s="112" t="s">
        <v>1855</v>
      </c>
      <c r="CS530" s="112" t="s">
        <v>1168</v>
      </c>
      <c r="CT530" s="112" t="s">
        <v>1169</v>
      </c>
      <c r="CU530" s="112" t="s">
        <v>1664</v>
      </c>
      <c r="CV530" s="113" t="s">
        <v>1665</v>
      </c>
      <c r="CX530" s="36">
        <v>1</v>
      </c>
    </row>
    <row r="531" spans="91:102" ht="21" customHeight="1" x14ac:dyDescent="0.25">
      <c r="CM531" s="102"/>
      <c r="CN531" s="112" t="s">
        <v>1856</v>
      </c>
      <c r="CO531" s="112" t="s">
        <v>541</v>
      </c>
      <c r="CP531" s="112" t="s">
        <v>523</v>
      </c>
      <c r="CQ531" s="112" t="s">
        <v>1857</v>
      </c>
      <c r="CR531" s="112" t="s">
        <v>1857</v>
      </c>
      <c r="CS531" s="112" t="s">
        <v>1168</v>
      </c>
      <c r="CT531" s="112" t="s">
        <v>1169</v>
      </c>
      <c r="CU531" s="112" t="s">
        <v>1664</v>
      </c>
      <c r="CV531" s="113" t="s">
        <v>1665</v>
      </c>
      <c r="CX531" s="36">
        <v>1</v>
      </c>
    </row>
    <row r="532" spans="91:102" ht="21" customHeight="1" x14ac:dyDescent="0.25">
      <c r="CM532" s="102"/>
      <c r="CN532" s="112" t="s">
        <v>1858</v>
      </c>
      <c r="CO532" s="112" t="s">
        <v>541</v>
      </c>
      <c r="CP532" s="112" t="s">
        <v>523</v>
      </c>
      <c r="CQ532" s="112" t="s">
        <v>1859</v>
      </c>
      <c r="CR532" s="112" t="s">
        <v>1859</v>
      </c>
      <c r="CS532" s="112" t="s">
        <v>1168</v>
      </c>
      <c r="CT532" s="112" t="s">
        <v>1169</v>
      </c>
      <c r="CU532" s="112" t="s">
        <v>1664</v>
      </c>
      <c r="CV532" s="113" t="s">
        <v>1665</v>
      </c>
      <c r="CX532" s="36">
        <v>1</v>
      </c>
    </row>
    <row r="533" spans="91:102" ht="21" customHeight="1" x14ac:dyDescent="0.25">
      <c r="CM533" s="102"/>
      <c r="CN533" s="112" t="s">
        <v>1860</v>
      </c>
      <c r="CO533" s="112" t="s">
        <v>541</v>
      </c>
      <c r="CP533" s="112" t="s">
        <v>523</v>
      </c>
      <c r="CQ533" s="112" t="s">
        <v>1861</v>
      </c>
      <c r="CR533" s="112" t="s">
        <v>1861</v>
      </c>
      <c r="CS533" s="112" t="s">
        <v>1168</v>
      </c>
      <c r="CT533" s="112" t="s">
        <v>1169</v>
      </c>
      <c r="CU533" s="112" t="s">
        <v>1664</v>
      </c>
      <c r="CV533" s="113" t="s">
        <v>1665</v>
      </c>
      <c r="CX533" s="36">
        <v>1</v>
      </c>
    </row>
    <row r="534" spans="91:102" ht="21" customHeight="1" x14ac:dyDescent="0.25">
      <c r="CM534" s="102"/>
      <c r="CN534" s="112" t="s">
        <v>1862</v>
      </c>
      <c r="CO534" s="112" t="s">
        <v>541</v>
      </c>
      <c r="CP534" s="112" t="s">
        <v>523</v>
      </c>
      <c r="CQ534" s="112" t="s">
        <v>1863</v>
      </c>
      <c r="CR534" s="112" t="s">
        <v>1863</v>
      </c>
      <c r="CS534" s="112" t="s">
        <v>1168</v>
      </c>
      <c r="CT534" s="112" t="s">
        <v>1169</v>
      </c>
      <c r="CU534" s="112" t="s">
        <v>1664</v>
      </c>
      <c r="CV534" s="113" t="s">
        <v>1665</v>
      </c>
      <c r="CX534" s="36">
        <v>1</v>
      </c>
    </row>
    <row r="535" spans="91:102" ht="21" customHeight="1" x14ac:dyDescent="0.25">
      <c r="CM535" s="102"/>
      <c r="CN535" s="112" t="s">
        <v>1864</v>
      </c>
      <c r="CO535" s="112" t="s">
        <v>541</v>
      </c>
      <c r="CP535" s="112" t="s">
        <v>523</v>
      </c>
      <c r="CQ535" s="112" t="s">
        <v>1865</v>
      </c>
      <c r="CR535" s="112" t="s">
        <v>1865</v>
      </c>
      <c r="CS535" s="112" t="s">
        <v>1168</v>
      </c>
      <c r="CT535" s="112" t="s">
        <v>1169</v>
      </c>
      <c r="CU535" s="112" t="s">
        <v>1664</v>
      </c>
      <c r="CV535" s="113" t="s">
        <v>1665</v>
      </c>
      <c r="CX535" s="36">
        <v>1</v>
      </c>
    </row>
    <row r="536" spans="91:102" ht="21" customHeight="1" x14ac:dyDescent="0.25">
      <c r="CM536" s="102"/>
      <c r="CN536" s="112" t="s">
        <v>1866</v>
      </c>
      <c r="CO536" s="112" t="s">
        <v>541</v>
      </c>
      <c r="CP536" s="112" t="s">
        <v>523</v>
      </c>
      <c r="CQ536" s="112" t="s">
        <v>1867</v>
      </c>
      <c r="CR536" s="112" t="s">
        <v>1867</v>
      </c>
      <c r="CS536" s="112" t="s">
        <v>1168</v>
      </c>
      <c r="CT536" s="112" t="s">
        <v>1169</v>
      </c>
      <c r="CU536" s="112" t="s">
        <v>1664</v>
      </c>
      <c r="CV536" s="113" t="s">
        <v>1665</v>
      </c>
      <c r="CX536" s="36">
        <v>1</v>
      </c>
    </row>
    <row r="537" spans="91:102" ht="21" customHeight="1" x14ac:dyDescent="0.25">
      <c r="CM537" s="102"/>
      <c r="CN537" s="112" t="s">
        <v>1868</v>
      </c>
      <c r="CO537" s="112" t="s">
        <v>541</v>
      </c>
      <c r="CP537" s="112" t="s">
        <v>523</v>
      </c>
      <c r="CQ537" s="112" t="s">
        <v>1869</v>
      </c>
      <c r="CR537" s="112" t="s">
        <v>1869</v>
      </c>
      <c r="CS537" s="112" t="s">
        <v>1168</v>
      </c>
      <c r="CT537" s="112" t="s">
        <v>1169</v>
      </c>
      <c r="CU537" s="112" t="s">
        <v>1664</v>
      </c>
      <c r="CV537" s="113" t="s">
        <v>1665</v>
      </c>
      <c r="CX537" s="36">
        <v>1</v>
      </c>
    </row>
    <row r="538" spans="91:102" ht="21" customHeight="1" x14ac:dyDescent="0.25">
      <c r="CM538" s="102"/>
      <c r="CN538" s="112" t="s">
        <v>1870</v>
      </c>
      <c r="CO538" s="112" t="s">
        <v>541</v>
      </c>
      <c r="CP538" s="112" t="s">
        <v>523</v>
      </c>
      <c r="CQ538" s="112" t="s">
        <v>1871</v>
      </c>
      <c r="CR538" s="112" t="s">
        <v>1871</v>
      </c>
      <c r="CS538" s="112" t="s">
        <v>1168</v>
      </c>
      <c r="CT538" s="112" t="s">
        <v>1169</v>
      </c>
      <c r="CU538" s="112" t="s">
        <v>1664</v>
      </c>
      <c r="CV538" s="113" t="s">
        <v>1665</v>
      </c>
      <c r="CX538" s="36">
        <v>1</v>
      </c>
    </row>
    <row r="539" spans="91:102" ht="21" customHeight="1" x14ac:dyDescent="0.25">
      <c r="CM539" s="102"/>
      <c r="CN539" s="112" t="s">
        <v>1872</v>
      </c>
      <c r="CO539" s="112" t="s">
        <v>541</v>
      </c>
      <c r="CP539" s="112" t="s">
        <v>523</v>
      </c>
      <c r="CQ539" s="112" t="s">
        <v>1873</v>
      </c>
      <c r="CR539" s="112" t="s">
        <v>1873</v>
      </c>
      <c r="CS539" s="112" t="s">
        <v>1168</v>
      </c>
      <c r="CT539" s="112" t="s">
        <v>1169</v>
      </c>
      <c r="CU539" s="112" t="s">
        <v>1664</v>
      </c>
      <c r="CV539" s="113" t="s">
        <v>1665</v>
      </c>
      <c r="CX539" s="36">
        <v>1</v>
      </c>
    </row>
    <row r="540" spans="91:102" ht="21" customHeight="1" x14ac:dyDescent="0.25">
      <c r="CM540" s="102"/>
      <c r="CN540" s="112" t="s">
        <v>1874</v>
      </c>
      <c r="CO540" s="112" t="s">
        <v>541</v>
      </c>
      <c r="CP540" s="112" t="s">
        <v>523</v>
      </c>
      <c r="CQ540" s="112" t="s">
        <v>1875</v>
      </c>
      <c r="CR540" s="112" t="s">
        <v>1875</v>
      </c>
      <c r="CS540" s="112" t="s">
        <v>1168</v>
      </c>
      <c r="CT540" s="112" t="s">
        <v>1169</v>
      </c>
      <c r="CU540" s="112" t="s">
        <v>1664</v>
      </c>
      <c r="CV540" s="113" t="s">
        <v>1665</v>
      </c>
      <c r="CX540" s="36">
        <v>1</v>
      </c>
    </row>
    <row r="541" spans="91:102" ht="21" customHeight="1" x14ac:dyDescent="0.25">
      <c r="CM541" s="102"/>
      <c r="CN541" s="112" t="s">
        <v>1876</v>
      </c>
      <c r="CO541" s="112" t="s">
        <v>541</v>
      </c>
      <c r="CP541" s="112" t="s">
        <v>523</v>
      </c>
      <c r="CQ541" s="112" t="s">
        <v>1877</v>
      </c>
      <c r="CR541" s="112" t="s">
        <v>1877</v>
      </c>
      <c r="CS541" s="112" t="s">
        <v>1168</v>
      </c>
      <c r="CT541" s="112" t="s">
        <v>1169</v>
      </c>
      <c r="CU541" s="112" t="s">
        <v>1664</v>
      </c>
      <c r="CV541" s="113" t="s">
        <v>1665</v>
      </c>
      <c r="CX541" s="36">
        <v>1</v>
      </c>
    </row>
    <row r="542" spans="91:102" ht="21" customHeight="1" x14ac:dyDescent="0.25">
      <c r="CM542" s="102"/>
      <c r="CN542" s="112" t="s">
        <v>1878</v>
      </c>
      <c r="CO542" s="112" t="s">
        <v>541</v>
      </c>
      <c r="CP542" s="112" t="s">
        <v>523</v>
      </c>
      <c r="CQ542" s="112" t="s">
        <v>1879</v>
      </c>
      <c r="CR542" s="112" t="s">
        <v>1879</v>
      </c>
      <c r="CS542" s="112" t="s">
        <v>1168</v>
      </c>
      <c r="CT542" s="112" t="s">
        <v>1169</v>
      </c>
      <c r="CU542" s="112" t="s">
        <v>1664</v>
      </c>
      <c r="CV542" s="113" t="s">
        <v>1665</v>
      </c>
      <c r="CX542" s="36">
        <v>1</v>
      </c>
    </row>
    <row r="543" spans="91:102" ht="21" customHeight="1" x14ac:dyDescent="0.25">
      <c r="CM543" s="102"/>
      <c r="CN543" s="112" t="s">
        <v>1880</v>
      </c>
      <c r="CO543" s="112" t="s">
        <v>541</v>
      </c>
      <c r="CP543" s="112" t="s">
        <v>523</v>
      </c>
      <c r="CQ543" s="112" t="s">
        <v>1881</v>
      </c>
      <c r="CR543" s="112" t="s">
        <v>1881</v>
      </c>
      <c r="CS543" s="112" t="s">
        <v>525</v>
      </c>
      <c r="CT543" s="112" t="s">
        <v>1747</v>
      </c>
      <c r="CU543" s="112" t="s">
        <v>527</v>
      </c>
      <c r="CV543" s="113" t="s">
        <v>528</v>
      </c>
      <c r="CX543" s="36">
        <v>1</v>
      </c>
    </row>
    <row r="544" spans="91:102" ht="21" customHeight="1" x14ac:dyDescent="0.25">
      <c r="CM544" s="102"/>
      <c r="CN544" s="112" t="s">
        <v>1882</v>
      </c>
      <c r="CO544" s="112" t="s">
        <v>541</v>
      </c>
      <c r="CP544" s="112" t="s">
        <v>523</v>
      </c>
      <c r="CQ544" s="112" t="s">
        <v>1883</v>
      </c>
      <c r="CR544" s="112" t="s">
        <v>1883</v>
      </c>
      <c r="CS544" s="112" t="s">
        <v>525</v>
      </c>
      <c r="CT544" s="112" t="s">
        <v>1747</v>
      </c>
      <c r="CU544" s="112" t="s">
        <v>527</v>
      </c>
      <c r="CV544" s="113" t="s">
        <v>528</v>
      </c>
      <c r="CX544" s="36">
        <v>1</v>
      </c>
    </row>
    <row r="545" spans="91:102" ht="21" customHeight="1" x14ac:dyDescent="0.25">
      <c r="CM545" s="102"/>
      <c r="CN545" s="112" t="s">
        <v>1884</v>
      </c>
      <c r="CO545" s="112" t="s">
        <v>541</v>
      </c>
      <c r="CP545" s="112" t="s">
        <v>523</v>
      </c>
      <c r="CQ545" s="112" t="s">
        <v>1885</v>
      </c>
      <c r="CR545" s="112" t="s">
        <v>1885</v>
      </c>
      <c r="CS545" s="112" t="s">
        <v>525</v>
      </c>
      <c r="CT545" s="112" t="s">
        <v>1747</v>
      </c>
      <c r="CU545" s="112" t="s">
        <v>527</v>
      </c>
      <c r="CV545" s="113" t="s">
        <v>528</v>
      </c>
      <c r="CX545" s="36">
        <v>1</v>
      </c>
    </row>
    <row r="546" spans="91:102" ht="21" customHeight="1" x14ac:dyDescent="0.25">
      <c r="CM546" s="102"/>
      <c r="CN546" s="112" t="s">
        <v>1886</v>
      </c>
      <c r="CO546" s="112" t="s">
        <v>541</v>
      </c>
      <c r="CP546" s="112" t="s">
        <v>523</v>
      </c>
      <c r="CQ546" s="112" t="s">
        <v>1887</v>
      </c>
      <c r="CR546" s="112" t="s">
        <v>1887</v>
      </c>
      <c r="CS546" s="112" t="s">
        <v>1168</v>
      </c>
      <c r="CT546" s="112" t="s">
        <v>1169</v>
      </c>
      <c r="CU546" s="112" t="s">
        <v>1664</v>
      </c>
      <c r="CV546" s="113" t="s">
        <v>1665</v>
      </c>
      <c r="CX546" s="36">
        <v>1</v>
      </c>
    </row>
    <row r="547" spans="91:102" ht="21" customHeight="1" x14ac:dyDescent="0.25">
      <c r="CM547" s="102"/>
      <c r="CN547" s="112" t="s">
        <v>1888</v>
      </c>
      <c r="CO547" s="112" t="s">
        <v>541</v>
      </c>
      <c r="CP547" s="112" t="s">
        <v>523</v>
      </c>
      <c r="CQ547" s="112" t="s">
        <v>1889</v>
      </c>
      <c r="CR547" s="112" t="s">
        <v>1889</v>
      </c>
      <c r="CS547" s="112" t="s">
        <v>1168</v>
      </c>
      <c r="CT547" s="112" t="s">
        <v>1169</v>
      </c>
      <c r="CU547" s="112" t="s">
        <v>1664</v>
      </c>
      <c r="CV547" s="113" t="s">
        <v>1665</v>
      </c>
      <c r="CX547" s="36">
        <v>1</v>
      </c>
    </row>
    <row r="548" spans="91:102" ht="21" customHeight="1" x14ac:dyDescent="0.25">
      <c r="CM548" s="102"/>
      <c r="CN548" s="112" t="s">
        <v>1890</v>
      </c>
      <c r="CO548" s="112" t="s">
        <v>541</v>
      </c>
      <c r="CP548" s="112" t="s">
        <v>523</v>
      </c>
      <c r="CQ548" s="112" t="s">
        <v>1891</v>
      </c>
      <c r="CR548" s="112" t="s">
        <v>1891</v>
      </c>
      <c r="CS548" s="112" t="s">
        <v>1168</v>
      </c>
      <c r="CT548" s="112" t="s">
        <v>1169</v>
      </c>
      <c r="CU548" s="112" t="s">
        <v>1664</v>
      </c>
      <c r="CV548" s="113" t="s">
        <v>1665</v>
      </c>
      <c r="CX548" s="36">
        <v>1</v>
      </c>
    </row>
    <row r="549" spans="91:102" ht="21" customHeight="1" x14ac:dyDescent="0.25">
      <c r="CM549" s="102"/>
      <c r="CN549" s="112" t="s">
        <v>1892</v>
      </c>
      <c r="CO549" s="112" t="s">
        <v>541</v>
      </c>
      <c r="CP549" s="112" t="s">
        <v>523</v>
      </c>
      <c r="CQ549" s="112" t="s">
        <v>1893</v>
      </c>
      <c r="CR549" s="112" t="s">
        <v>1893</v>
      </c>
      <c r="CS549" s="112" t="s">
        <v>1168</v>
      </c>
      <c r="CT549" s="112" t="s">
        <v>1169</v>
      </c>
      <c r="CU549" s="112" t="s">
        <v>1664</v>
      </c>
      <c r="CV549" s="113" t="s">
        <v>1665</v>
      </c>
      <c r="CX549" s="36">
        <v>1</v>
      </c>
    </row>
    <row r="550" spans="91:102" ht="21" customHeight="1" x14ac:dyDescent="0.25">
      <c r="CM550" s="102"/>
      <c r="CN550" s="112" t="s">
        <v>1894</v>
      </c>
      <c r="CO550" s="112" t="s">
        <v>541</v>
      </c>
      <c r="CP550" s="112" t="s">
        <v>523</v>
      </c>
      <c r="CQ550" s="112" t="s">
        <v>1895</v>
      </c>
      <c r="CR550" s="112" t="s">
        <v>1895</v>
      </c>
      <c r="CS550" s="112" t="s">
        <v>1168</v>
      </c>
      <c r="CT550" s="112" t="s">
        <v>1169</v>
      </c>
      <c r="CU550" s="112" t="s">
        <v>1664</v>
      </c>
      <c r="CV550" s="113" t="s">
        <v>1665</v>
      </c>
      <c r="CX550" s="36">
        <v>1</v>
      </c>
    </row>
    <row r="551" spans="91:102" ht="21" customHeight="1" x14ac:dyDescent="0.25">
      <c r="CM551" s="102"/>
      <c r="CN551" s="112" t="s">
        <v>1896</v>
      </c>
      <c r="CO551" s="112" t="s">
        <v>541</v>
      </c>
      <c r="CP551" s="112" t="s">
        <v>523</v>
      </c>
      <c r="CQ551" s="112" t="s">
        <v>1897</v>
      </c>
      <c r="CR551" s="112" t="s">
        <v>1897</v>
      </c>
      <c r="CS551" s="112" t="s">
        <v>525</v>
      </c>
      <c r="CT551" s="112" t="s">
        <v>1747</v>
      </c>
      <c r="CU551" s="112" t="s">
        <v>527</v>
      </c>
      <c r="CV551" s="113" t="s">
        <v>528</v>
      </c>
      <c r="CX551" s="36">
        <v>1</v>
      </c>
    </row>
    <row r="552" spans="91:102" ht="21" customHeight="1" x14ac:dyDescent="0.25">
      <c r="CM552" s="102"/>
      <c r="CN552" s="112" t="s">
        <v>1898</v>
      </c>
      <c r="CO552" s="112" t="s">
        <v>541</v>
      </c>
      <c r="CP552" s="112" t="s">
        <v>523</v>
      </c>
      <c r="CQ552" s="112" t="s">
        <v>1899</v>
      </c>
      <c r="CR552" s="112" t="s">
        <v>1899</v>
      </c>
      <c r="CS552" s="112" t="s">
        <v>525</v>
      </c>
      <c r="CT552" s="112" t="s">
        <v>1747</v>
      </c>
      <c r="CU552" s="112" t="s">
        <v>527</v>
      </c>
      <c r="CV552" s="113" t="s">
        <v>528</v>
      </c>
      <c r="CX552" s="36">
        <v>1</v>
      </c>
    </row>
    <row r="553" spans="91:102" ht="21" customHeight="1" x14ac:dyDescent="0.25">
      <c r="CM553" s="102"/>
      <c r="CN553" s="112" t="s">
        <v>1900</v>
      </c>
      <c r="CO553" s="112" t="s">
        <v>541</v>
      </c>
      <c r="CP553" s="112" t="s">
        <v>523</v>
      </c>
      <c r="CQ553" s="112" t="s">
        <v>1901</v>
      </c>
      <c r="CR553" s="112" t="s">
        <v>1901</v>
      </c>
      <c r="CS553" s="112" t="s">
        <v>1168</v>
      </c>
      <c r="CT553" s="112" t="s">
        <v>1169</v>
      </c>
      <c r="CU553" s="112" t="s">
        <v>1664</v>
      </c>
      <c r="CV553" s="113" t="s">
        <v>1665</v>
      </c>
      <c r="CX553" s="36">
        <v>1</v>
      </c>
    </row>
    <row r="554" spans="91:102" ht="21" customHeight="1" x14ac:dyDescent="0.25">
      <c r="CM554" s="102"/>
      <c r="CN554" s="112" t="s">
        <v>1902</v>
      </c>
      <c r="CO554" s="112" t="s">
        <v>541</v>
      </c>
      <c r="CP554" s="112" t="s">
        <v>523</v>
      </c>
      <c r="CQ554" s="112" t="s">
        <v>1903</v>
      </c>
      <c r="CR554" s="112" t="s">
        <v>1903</v>
      </c>
      <c r="CS554" s="112" t="s">
        <v>1168</v>
      </c>
      <c r="CT554" s="112" t="s">
        <v>1169</v>
      </c>
      <c r="CU554" s="112" t="s">
        <v>1664</v>
      </c>
      <c r="CV554" s="113" t="s">
        <v>1665</v>
      </c>
      <c r="CX554" s="36">
        <v>1</v>
      </c>
    </row>
    <row r="555" spans="91:102" ht="21" customHeight="1" x14ac:dyDescent="0.25">
      <c r="CM555" s="102"/>
      <c r="CN555" s="112" t="s">
        <v>1904</v>
      </c>
      <c r="CO555" s="112" t="s">
        <v>541</v>
      </c>
      <c r="CP555" s="112" t="s">
        <v>523</v>
      </c>
      <c r="CQ555" s="112" t="s">
        <v>1905</v>
      </c>
      <c r="CR555" s="112" t="s">
        <v>1905</v>
      </c>
      <c r="CS555" s="112" t="s">
        <v>1168</v>
      </c>
      <c r="CT555" s="112" t="s">
        <v>1169</v>
      </c>
      <c r="CU555" s="112" t="s">
        <v>1664</v>
      </c>
      <c r="CV555" s="113" t="s">
        <v>1665</v>
      </c>
      <c r="CX555" s="36">
        <v>1</v>
      </c>
    </row>
    <row r="556" spans="91:102" ht="21" customHeight="1" x14ac:dyDescent="0.25">
      <c r="CM556" s="102"/>
      <c r="CN556" s="112" t="s">
        <v>1906</v>
      </c>
      <c r="CO556" s="112" t="s">
        <v>541</v>
      </c>
      <c r="CP556" s="112" t="s">
        <v>523</v>
      </c>
      <c r="CQ556" s="112" t="s">
        <v>1907</v>
      </c>
      <c r="CR556" s="112" t="s">
        <v>1907</v>
      </c>
      <c r="CS556" s="112" t="s">
        <v>1168</v>
      </c>
      <c r="CT556" s="112" t="s">
        <v>1169</v>
      </c>
      <c r="CU556" s="112" t="s">
        <v>1664</v>
      </c>
      <c r="CV556" s="113" t="s">
        <v>1665</v>
      </c>
      <c r="CX556" s="36">
        <v>1</v>
      </c>
    </row>
    <row r="557" spans="91:102" ht="21" customHeight="1" x14ac:dyDescent="0.25">
      <c r="CM557" s="102"/>
      <c r="CN557" s="112" t="s">
        <v>1908</v>
      </c>
      <c r="CO557" s="112" t="s">
        <v>541</v>
      </c>
      <c r="CP557" s="112" t="s">
        <v>523</v>
      </c>
      <c r="CQ557" s="112" t="s">
        <v>1909</v>
      </c>
      <c r="CR557" s="112" t="s">
        <v>1909</v>
      </c>
      <c r="CS557" s="112" t="s">
        <v>1168</v>
      </c>
      <c r="CT557" s="112" t="s">
        <v>1169</v>
      </c>
      <c r="CU557" s="112" t="s">
        <v>1664</v>
      </c>
      <c r="CV557" s="113" t="s">
        <v>1665</v>
      </c>
      <c r="CX557" s="36">
        <v>1</v>
      </c>
    </row>
    <row r="558" spans="91:102" ht="21" customHeight="1" x14ac:dyDescent="0.25">
      <c r="CM558" s="102"/>
      <c r="CN558" s="112" t="s">
        <v>1910</v>
      </c>
      <c r="CO558" s="112" t="s">
        <v>541</v>
      </c>
      <c r="CP558" s="112" t="s">
        <v>523</v>
      </c>
      <c r="CQ558" s="112" t="s">
        <v>1911</v>
      </c>
      <c r="CR558" s="112" t="s">
        <v>1911</v>
      </c>
      <c r="CS558" s="112" t="s">
        <v>1168</v>
      </c>
      <c r="CT558" s="112" t="s">
        <v>1169</v>
      </c>
      <c r="CU558" s="112" t="s">
        <v>1664</v>
      </c>
      <c r="CV558" s="113" t="s">
        <v>1665</v>
      </c>
      <c r="CX558" s="36">
        <v>1</v>
      </c>
    </row>
    <row r="559" spans="91:102" ht="21" customHeight="1" x14ac:dyDescent="0.25">
      <c r="CM559" s="102"/>
      <c r="CN559" s="112" t="s">
        <v>1912</v>
      </c>
      <c r="CO559" s="112" t="s">
        <v>541</v>
      </c>
      <c r="CP559" s="112" t="s">
        <v>523</v>
      </c>
      <c r="CQ559" s="112" t="s">
        <v>1913</v>
      </c>
      <c r="CR559" s="112" t="s">
        <v>1913</v>
      </c>
      <c r="CS559" s="112" t="s">
        <v>1168</v>
      </c>
      <c r="CT559" s="112" t="s">
        <v>1169</v>
      </c>
      <c r="CU559" s="112" t="s">
        <v>1664</v>
      </c>
      <c r="CV559" s="113" t="s">
        <v>1665</v>
      </c>
      <c r="CX559" s="36">
        <v>1</v>
      </c>
    </row>
    <row r="560" spans="91:102" ht="21" customHeight="1" x14ac:dyDescent="0.25">
      <c r="CM560" s="102"/>
      <c r="CN560" s="112" t="s">
        <v>1914</v>
      </c>
      <c r="CO560" s="112" t="s">
        <v>541</v>
      </c>
      <c r="CP560" s="112" t="s">
        <v>523</v>
      </c>
      <c r="CQ560" s="112" t="s">
        <v>1915</v>
      </c>
      <c r="CR560" s="112" t="s">
        <v>1915</v>
      </c>
      <c r="CS560" s="112" t="s">
        <v>1168</v>
      </c>
      <c r="CT560" s="112" t="s">
        <v>1169</v>
      </c>
      <c r="CU560" s="112" t="s">
        <v>1664</v>
      </c>
      <c r="CV560" s="113" t="s">
        <v>1665</v>
      </c>
      <c r="CX560" s="36">
        <v>1</v>
      </c>
    </row>
    <row r="561" spans="91:102" ht="21" customHeight="1" x14ac:dyDescent="0.25">
      <c r="CM561" s="102"/>
      <c r="CN561" s="112" t="s">
        <v>1916</v>
      </c>
      <c r="CO561" s="112" t="s">
        <v>541</v>
      </c>
      <c r="CP561" s="112" t="s">
        <v>523</v>
      </c>
      <c r="CQ561" s="112" t="s">
        <v>1917</v>
      </c>
      <c r="CR561" s="112" t="s">
        <v>1917</v>
      </c>
      <c r="CS561" s="112" t="s">
        <v>1168</v>
      </c>
      <c r="CT561" s="112" t="s">
        <v>1169</v>
      </c>
      <c r="CU561" s="112" t="s">
        <v>1664</v>
      </c>
      <c r="CV561" s="113" t="s">
        <v>1665</v>
      </c>
      <c r="CX561" s="36">
        <v>1</v>
      </c>
    </row>
    <row r="562" spans="91:102" ht="21" customHeight="1" x14ac:dyDescent="0.25">
      <c r="CM562" s="102"/>
      <c r="CN562" s="112" t="s">
        <v>1918</v>
      </c>
      <c r="CO562" s="112" t="s">
        <v>541</v>
      </c>
      <c r="CP562" s="112" t="s">
        <v>523</v>
      </c>
      <c r="CQ562" s="112" t="s">
        <v>1919</v>
      </c>
      <c r="CR562" s="112" t="s">
        <v>1919</v>
      </c>
      <c r="CS562" s="112" t="s">
        <v>1168</v>
      </c>
      <c r="CT562" s="112" t="s">
        <v>1169</v>
      </c>
      <c r="CU562" s="112" t="s">
        <v>1664</v>
      </c>
      <c r="CV562" s="113" t="s">
        <v>1665</v>
      </c>
      <c r="CX562" s="36">
        <v>1</v>
      </c>
    </row>
    <row r="563" spans="91:102" ht="21" customHeight="1" x14ac:dyDescent="0.25">
      <c r="CM563" s="102"/>
      <c r="CN563" s="112" t="s">
        <v>1920</v>
      </c>
      <c r="CO563" s="112" t="s">
        <v>541</v>
      </c>
      <c r="CP563" s="112" t="s">
        <v>523</v>
      </c>
      <c r="CQ563" s="112" t="s">
        <v>1921</v>
      </c>
      <c r="CR563" s="112" t="s">
        <v>1921</v>
      </c>
      <c r="CS563" s="112" t="s">
        <v>1168</v>
      </c>
      <c r="CT563" s="112" t="s">
        <v>1169</v>
      </c>
      <c r="CU563" s="112" t="s">
        <v>1664</v>
      </c>
      <c r="CV563" s="113" t="s">
        <v>1665</v>
      </c>
      <c r="CX563" s="36">
        <v>1</v>
      </c>
    </row>
    <row r="564" spans="91:102" ht="21" customHeight="1" x14ac:dyDescent="0.25">
      <c r="CM564" s="102"/>
      <c r="CN564" s="112" t="s">
        <v>1922</v>
      </c>
      <c r="CO564" s="112" t="s">
        <v>541</v>
      </c>
      <c r="CP564" s="112" t="s">
        <v>523</v>
      </c>
      <c r="CQ564" s="112" t="s">
        <v>1923</v>
      </c>
      <c r="CR564" s="112" t="s">
        <v>1923</v>
      </c>
      <c r="CS564" s="112" t="s">
        <v>1168</v>
      </c>
      <c r="CT564" s="112" t="s">
        <v>1169</v>
      </c>
      <c r="CU564" s="112" t="s">
        <v>1664</v>
      </c>
      <c r="CV564" s="113" t="s">
        <v>1665</v>
      </c>
      <c r="CX564" s="36">
        <v>1</v>
      </c>
    </row>
    <row r="565" spans="91:102" ht="21" customHeight="1" x14ac:dyDescent="0.25">
      <c r="CM565" s="102"/>
      <c r="CN565" s="112" t="s">
        <v>1924</v>
      </c>
      <c r="CO565" s="112" t="s">
        <v>541</v>
      </c>
      <c r="CP565" s="112" t="s">
        <v>523</v>
      </c>
      <c r="CQ565" s="112" t="s">
        <v>1925</v>
      </c>
      <c r="CR565" s="112" t="s">
        <v>1925</v>
      </c>
      <c r="CS565" s="112" t="s">
        <v>1168</v>
      </c>
      <c r="CT565" s="112" t="s">
        <v>1169</v>
      </c>
      <c r="CU565" s="112" t="s">
        <v>1664</v>
      </c>
      <c r="CV565" s="113" t="s">
        <v>1665</v>
      </c>
      <c r="CX565" s="36">
        <v>1</v>
      </c>
    </row>
    <row r="566" spans="91:102" ht="21" customHeight="1" x14ac:dyDescent="0.25">
      <c r="CM566" s="102"/>
      <c r="CN566" s="112" t="s">
        <v>1926</v>
      </c>
      <c r="CO566" s="112" t="s">
        <v>541</v>
      </c>
      <c r="CP566" s="112" t="s">
        <v>523</v>
      </c>
      <c r="CQ566" s="112" t="s">
        <v>1927</v>
      </c>
      <c r="CR566" s="112" t="s">
        <v>1927</v>
      </c>
      <c r="CS566" s="112" t="s">
        <v>1168</v>
      </c>
      <c r="CT566" s="112" t="s">
        <v>1169</v>
      </c>
      <c r="CU566" s="112" t="s">
        <v>1664</v>
      </c>
      <c r="CV566" s="113" t="s">
        <v>1665</v>
      </c>
      <c r="CX566" s="36">
        <v>1</v>
      </c>
    </row>
    <row r="567" spans="91:102" ht="21" customHeight="1" x14ac:dyDescent="0.25">
      <c r="CM567" s="102"/>
      <c r="CN567" s="112" t="s">
        <v>1928</v>
      </c>
      <c r="CO567" s="112" t="s">
        <v>541</v>
      </c>
      <c r="CP567" s="112" t="s">
        <v>523</v>
      </c>
      <c r="CQ567" s="112" t="s">
        <v>1929</v>
      </c>
      <c r="CR567" s="112" t="s">
        <v>1929</v>
      </c>
      <c r="CS567" s="112" t="s">
        <v>1168</v>
      </c>
      <c r="CT567" s="112" t="s">
        <v>1169</v>
      </c>
      <c r="CU567" s="112" t="s">
        <v>1664</v>
      </c>
      <c r="CV567" s="113" t="s">
        <v>1665</v>
      </c>
      <c r="CX567" s="36">
        <v>1</v>
      </c>
    </row>
    <row r="568" spans="91:102" ht="21" customHeight="1" x14ac:dyDescent="0.25">
      <c r="CM568" s="102"/>
      <c r="CN568" s="112" t="s">
        <v>1930</v>
      </c>
      <c r="CO568" s="112" t="s">
        <v>541</v>
      </c>
      <c r="CP568" s="112" t="s">
        <v>523</v>
      </c>
      <c r="CQ568" s="112" t="s">
        <v>1931</v>
      </c>
      <c r="CR568" s="112" t="s">
        <v>1931</v>
      </c>
      <c r="CS568" s="112" t="s">
        <v>1168</v>
      </c>
      <c r="CT568" s="112" t="s">
        <v>1169</v>
      </c>
      <c r="CU568" s="112" t="s">
        <v>1664</v>
      </c>
      <c r="CV568" s="113" t="s">
        <v>1665</v>
      </c>
      <c r="CX568" s="36">
        <v>1</v>
      </c>
    </row>
    <row r="569" spans="91:102" ht="21" customHeight="1" x14ac:dyDescent="0.25">
      <c r="CM569" s="102"/>
      <c r="CN569" s="112" t="s">
        <v>1932</v>
      </c>
      <c r="CO569" s="112" t="s">
        <v>541</v>
      </c>
      <c r="CP569" s="112" t="s">
        <v>523</v>
      </c>
      <c r="CQ569" s="112" t="s">
        <v>1933</v>
      </c>
      <c r="CR569" s="112" t="s">
        <v>1933</v>
      </c>
      <c r="CS569" s="112" t="s">
        <v>1168</v>
      </c>
      <c r="CT569" s="112" t="s">
        <v>1169</v>
      </c>
      <c r="CU569" s="112" t="s">
        <v>1664</v>
      </c>
      <c r="CV569" s="113" t="s">
        <v>1665</v>
      </c>
      <c r="CX569" s="36">
        <v>1</v>
      </c>
    </row>
    <row r="570" spans="91:102" ht="21" customHeight="1" x14ac:dyDescent="0.25">
      <c r="CM570" s="102"/>
      <c r="CN570" s="112" t="s">
        <v>1934</v>
      </c>
      <c r="CO570" s="112" t="s">
        <v>541</v>
      </c>
      <c r="CP570" s="112" t="s">
        <v>523</v>
      </c>
      <c r="CQ570" s="112" t="s">
        <v>1935</v>
      </c>
      <c r="CR570" s="112" t="s">
        <v>1935</v>
      </c>
      <c r="CS570" s="112" t="s">
        <v>1168</v>
      </c>
      <c r="CT570" s="112" t="s">
        <v>1169</v>
      </c>
      <c r="CU570" s="112" t="s">
        <v>1664</v>
      </c>
      <c r="CV570" s="113" t="s">
        <v>1665</v>
      </c>
      <c r="CX570" s="36">
        <v>1</v>
      </c>
    </row>
    <row r="571" spans="91:102" ht="21" customHeight="1" x14ac:dyDescent="0.25">
      <c r="CM571" s="102"/>
      <c r="CN571" s="112" t="s">
        <v>1936</v>
      </c>
      <c r="CO571" s="112" t="s">
        <v>541</v>
      </c>
      <c r="CP571" s="112" t="s">
        <v>523</v>
      </c>
      <c r="CQ571" s="112" t="s">
        <v>1937</v>
      </c>
      <c r="CR571" s="112" t="s">
        <v>1937</v>
      </c>
      <c r="CS571" s="112" t="s">
        <v>1168</v>
      </c>
      <c r="CT571" s="112" t="s">
        <v>1169</v>
      </c>
      <c r="CU571" s="112" t="s">
        <v>1664</v>
      </c>
      <c r="CV571" s="113" t="s">
        <v>1665</v>
      </c>
      <c r="CX571" s="36">
        <v>1</v>
      </c>
    </row>
    <row r="572" spans="91:102" ht="21" customHeight="1" x14ac:dyDescent="0.25">
      <c r="CM572" s="102"/>
      <c r="CN572" s="112" t="s">
        <v>1938</v>
      </c>
      <c r="CO572" s="112" t="s">
        <v>541</v>
      </c>
      <c r="CP572" s="112" t="s">
        <v>523</v>
      </c>
      <c r="CQ572" s="112" t="s">
        <v>1939</v>
      </c>
      <c r="CR572" s="112" t="s">
        <v>1939</v>
      </c>
      <c r="CS572" s="112" t="s">
        <v>1168</v>
      </c>
      <c r="CT572" s="112" t="s">
        <v>1169</v>
      </c>
      <c r="CU572" s="112" t="s">
        <v>1664</v>
      </c>
      <c r="CV572" s="113" t="s">
        <v>1665</v>
      </c>
      <c r="CX572" s="36">
        <v>1</v>
      </c>
    </row>
    <row r="573" spans="91:102" ht="21" customHeight="1" x14ac:dyDescent="0.25">
      <c r="CM573" s="102"/>
      <c r="CN573" s="112" t="s">
        <v>1940</v>
      </c>
      <c r="CO573" s="112" t="s">
        <v>541</v>
      </c>
      <c r="CP573" s="112" t="s">
        <v>523</v>
      </c>
      <c r="CQ573" s="112" t="s">
        <v>1941</v>
      </c>
      <c r="CR573" s="112" t="s">
        <v>1941</v>
      </c>
      <c r="CS573" s="112" t="s">
        <v>1168</v>
      </c>
      <c r="CT573" s="112" t="s">
        <v>1169</v>
      </c>
      <c r="CU573" s="112" t="s">
        <v>1664</v>
      </c>
      <c r="CV573" s="113" t="s">
        <v>1665</v>
      </c>
      <c r="CX573" s="36">
        <v>1</v>
      </c>
    </row>
    <row r="574" spans="91:102" ht="21" customHeight="1" x14ac:dyDescent="0.25">
      <c r="CM574" s="102"/>
      <c r="CN574" s="112" t="s">
        <v>1942</v>
      </c>
      <c r="CO574" s="112" t="s">
        <v>541</v>
      </c>
      <c r="CP574" s="112" t="s">
        <v>523</v>
      </c>
      <c r="CQ574" s="112" t="s">
        <v>1943</v>
      </c>
      <c r="CR574" s="112" t="s">
        <v>1943</v>
      </c>
      <c r="CS574" s="112" t="s">
        <v>1168</v>
      </c>
      <c r="CT574" s="112" t="s">
        <v>1169</v>
      </c>
      <c r="CU574" s="112" t="s">
        <v>1664</v>
      </c>
      <c r="CV574" s="113" t="s">
        <v>1665</v>
      </c>
      <c r="CX574" s="36">
        <v>1</v>
      </c>
    </row>
    <row r="575" spans="91:102" ht="21" customHeight="1" x14ac:dyDescent="0.25">
      <c r="CM575" s="102"/>
      <c r="CN575" s="112" t="s">
        <v>1944</v>
      </c>
      <c r="CO575" s="112" t="s">
        <v>541</v>
      </c>
      <c r="CP575" s="112" t="s">
        <v>523</v>
      </c>
      <c r="CQ575" s="112" t="s">
        <v>1945</v>
      </c>
      <c r="CR575" s="112" t="s">
        <v>1945</v>
      </c>
      <c r="CS575" s="112" t="s">
        <v>1168</v>
      </c>
      <c r="CT575" s="112" t="s">
        <v>1169</v>
      </c>
      <c r="CU575" s="112" t="s">
        <v>1664</v>
      </c>
      <c r="CV575" s="113" t="s">
        <v>1665</v>
      </c>
      <c r="CX575" s="36">
        <v>1</v>
      </c>
    </row>
    <row r="576" spans="91:102" ht="21" customHeight="1" x14ac:dyDescent="0.25">
      <c r="CM576" s="102"/>
      <c r="CN576" s="112" t="s">
        <v>1946</v>
      </c>
      <c r="CO576" s="112" t="s">
        <v>541</v>
      </c>
      <c r="CP576" s="112" t="s">
        <v>523</v>
      </c>
      <c r="CQ576" s="112" t="s">
        <v>1947</v>
      </c>
      <c r="CR576" s="112" t="s">
        <v>1947</v>
      </c>
      <c r="CS576" s="112" t="s">
        <v>1168</v>
      </c>
      <c r="CT576" s="112" t="s">
        <v>1169</v>
      </c>
      <c r="CU576" s="112" t="s">
        <v>1664</v>
      </c>
      <c r="CV576" s="113" t="s">
        <v>1665</v>
      </c>
      <c r="CX576" s="36">
        <v>1</v>
      </c>
    </row>
    <row r="577" spans="91:102" ht="21" customHeight="1" x14ac:dyDescent="0.25">
      <c r="CM577" s="102"/>
      <c r="CN577" s="112" t="s">
        <v>1948</v>
      </c>
      <c r="CO577" s="112" t="s">
        <v>541</v>
      </c>
      <c r="CP577" s="112" t="s">
        <v>523</v>
      </c>
      <c r="CQ577" s="112" t="s">
        <v>1949</v>
      </c>
      <c r="CR577" s="112" t="s">
        <v>1949</v>
      </c>
      <c r="CS577" s="112" t="s">
        <v>1168</v>
      </c>
      <c r="CT577" s="112" t="s">
        <v>1169</v>
      </c>
      <c r="CU577" s="112" t="s">
        <v>1664</v>
      </c>
      <c r="CV577" s="113" t="s">
        <v>1665</v>
      </c>
      <c r="CX577" s="36">
        <v>1</v>
      </c>
    </row>
    <row r="578" spans="91:102" ht="21" customHeight="1" x14ac:dyDescent="0.25">
      <c r="CM578" s="102"/>
      <c r="CN578" s="112" t="s">
        <v>1950</v>
      </c>
      <c r="CO578" s="112" t="s">
        <v>541</v>
      </c>
      <c r="CP578" s="112" t="s">
        <v>523</v>
      </c>
      <c r="CQ578" s="112" t="s">
        <v>1951</v>
      </c>
      <c r="CR578" s="112" t="s">
        <v>1951</v>
      </c>
      <c r="CS578" s="112" t="s">
        <v>1168</v>
      </c>
      <c r="CT578" s="112" t="s">
        <v>1169</v>
      </c>
      <c r="CU578" s="112" t="s">
        <v>1664</v>
      </c>
      <c r="CV578" s="113" t="s">
        <v>1665</v>
      </c>
      <c r="CX578" s="36">
        <v>1</v>
      </c>
    </row>
    <row r="579" spans="91:102" ht="21" customHeight="1" x14ac:dyDescent="0.25">
      <c r="CM579" s="102"/>
      <c r="CN579" s="112" t="s">
        <v>1952</v>
      </c>
      <c r="CO579" s="112" t="s">
        <v>541</v>
      </c>
      <c r="CP579" s="112" t="s">
        <v>523</v>
      </c>
      <c r="CQ579" s="112" t="s">
        <v>1953</v>
      </c>
      <c r="CR579" s="112" t="s">
        <v>1953</v>
      </c>
      <c r="CS579" s="112" t="s">
        <v>1168</v>
      </c>
      <c r="CT579" s="112" t="s">
        <v>1169</v>
      </c>
      <c r="CU579" s="112" t="s">
        <v>1664</v>
      </c>
      <c r="CV579" s="113" t="s">
        <v>1665</v>
      </c>
      <c r="CX579" s="36">
        <v>1</v>
      </c>
    </row>
    <row r="580" spans="91:102" ht="21" customHeight="1" x14ac:dyDescent="0.25">
      <c r="CM580" s="102"/>
      <c r="CN580" s="112" t="s">
        <v>1954</v>
      </c>
      <c r="CO580" s="112" t="s">
        <v>541</v>
      </c>
      <c r="CP580" s="112" t="s">
        <v>523</v>
      </c>
      <c r="CQ580" s="112" t="s">
        <v>1955</v>
      </c>
      <c r="CR580" s="112" t="s">
        <v>1955</v>
      </c>
      <c r="CS580" s="112" t="s">
        <v>1168</v>
      </c>
      <c r="CT580" s="112" t="s">
        <v>1169</v>
      </c>
      <c r="CU580" s="112" t="s">
        <v>1664</v>
      </c>
      <c r="CV580" s="113" t="s">
        <v>1665</v>
      </c>
      <c r="CX580" s="36">
        <v>1</v>
      </c>
    </row>
    <row r="581" spans="91:102" ht="21" customHeight="1" x14ac:dyDescent="0.25">
      <c r="CM581" s="102"/>
      <c r="CN581" s="112" t="s">
        <v>1956</v>
      </c>
      <c r="CO581" s="112" t="s">
        <v>541</v>
      </c>
      <c r="CP581" s="112" t="s">
        <v>523</v>
      </c>
      <c r="CQ581" s="112" t="s">
        <v>1957</v>
      </c>
      <c r="CR581" s="112" t="s">
        <v>1957</v>
      </c>
      <c r="CS581" s="112" t="s">
        <v>1168</v>
      </c>
      <c r="CT581" s="112" t="s">
        <v>1169</v>
      </c>
      <c r="CU581" s="112" t="s">
        <v>1664</v>
      </c>
      <c r="CV581" s="113" t="s">
        <v>1665</v>
      </c>
      <c r="CX581" s="36">
        <v>1</v>
      </c>
    </row>
    <row r="582" spans="91:102" ht="21" customHeight="1" x14ac:dyDescent="0.25">
      <c r="CM582" s="102"/>
      <c r="CN582" s="112" t="s">
        <v>1958</v>
      </c>
      <c r="CO582" s="112" t="s">
        <v>541</v>
      </c>
      <c r="CP582" s="112" t="s">
        <v>523</v>
      </c>
      <c r="CQ582" s="112" t="s">
        <v>1959</v>
      </c>
      <c r="CR582" s="112" t="s">
        <v>1959</v>
      </c>
      <c r="CS582" s="112" t="s">
        <v>1168</v>
      </c>
      <c r="CT582" s="112" t="s">
        <v>1169</v>
      </c>
      <c r="CU582" s="112" t="s">
        <v>1664</v>
      </c>
      <c r="CV582" s="113" t="s">
        <v>1665</v>
      </c>
      <c r="CX582" s="36">
        <v>1</v>
      </c>
    </row>
    <row r="583" spans="91:102" ht="21" customHeight="1" x14ac:dyDescent="0.25">
      <c r="CM583" s="102"/>
      <c r="CN583" s="112" t="s">
        <v>1960</v>
      </c>
      <c r="CO583" s="112" t="s">
        <v>541</v>
      </c>
      <c r="CP583" s="112" t="s">
        <v>523</v>
      </c>
      <c r="CQ583" s="112" t="s">
        <v>1961</v>
      </c>
      <c r="CR583" s="112" t="s">
        <v>1961</v>
      </c>
      <c r="CS583" s="112" t="s">
        <v>1168</v>
      </c>
      <c r="CT583" s="112" t="s">
        <v>1169</v>
      </c>
      <c r="CU583" s="112" t="s">
        <v>1664</v>
      </c>
      <c r="CV583" s="113" t="s">
        <v>1665</v>
      </c>
      <c r="CX583" s="36">
        <v>1</v>
      </c>
    </row>
    <row r="584" spans="91:102" ht="21" customHeight="1" x14ac:dyDescent="0.25">
      <c r="CM584" s="102"/>
      <c r="CN584" s="112" t="s">
        <v>1962</v>
      </c>
      <c r="CO584" s="112" t="s">
        <v>541</v>
      </c>
      <c r="CP584" s="112" t="s">
        <v>523</v>
      </c>
      <c r="CQ584" s="112" t="s">
        <v>1963</v>
      </c>
      <c r="CR584" s="112" t="s">
        <v>1963</v>
      </c>
      <c r="CS584" s="112" t="s">
        <v>1168</v>
      </c>
      <c r="CT584" s="112" t="s">
        <v>1169</v>
      </c>
      <c r="CU584" s="112" t="s">
        <v>1664</v>
      </c>
      <c r="CV584" s="113" t="s">
        <v>1665</v>
      </c>
      <c r="CX584" s="36">
        <v>1</v>
      </c>
    </row>
    <row r="585" spans="91:102" ht="21" customHeight="1" x14ac:dyDescent="0.25">
      <c r="CM585" s="102"/>
      <c r="CN585" s="112" t="s">
        <v>1964</v>
      </c>
      <c r="CO585" s="112" t="s">
        <v>541</v>
      </c>
      <c r="CP585" s="112" t="s">
        <v>523</v>
      </c>
      <c r="CQ585" s="112" t="s">
        <v>1965</v>
      </c>
      <c r="CR585" s="112" t="s">
        <v>1965</v>
      </c>
      <c r="CS585" s="112" t="s">
        <v>1168</v>
      </c>
      <c r="CT585" s="112" t="s">
        <v>1169</v>
      </c>
      <c r="CU585" s="112" t="s">
        <v>1664</v>
      </c>
      <c r="CV585" s="113" t="s">
        <v>1665</v>
      </c>
      <c r="CX585" s="36">
        <v>1</v>
      </c>
    </row>
    <row r="586" spans="91:102" ht="21" customHeight="1" x14ac:dyDescent="0.25">
      <c r="CM586" s="102"/>
      <c r="CN586" s="112" t="s">
        <v>1966</v>
      </c>
      <c r="CO586" s="112" t="s">
        <v>541</v>
      </c>
      <c r="CP586" s="112" t="s">
        <v>523</v>
      </c>
      <c r="CQ586" s="112" t="s">
        <v>1967</v>
      </c>
      <c r="CR586" s="112" t="s">
        <v>1967</v>
      </c>
      <c r="CS586" s="112" t="s">
        <v>1168</v>
      </c>
      <c r="CT586" s="112" t="s">
        <v>1169</v>
      </c>
      <c r="CU586" s="112" t="s">
        <v>1664</v>
      </c>
      <c r="CV586" s="113" t="s">
        <v>1665</v>
      </c>
      <c r="CX586" s="36">
        <v>1</v>
      </c>
    </row>
    <row r="587" spans="91:102" ht="21" customHeight="1" x14ac:dyDescent="0.25">
      <c r="CM587" s="102"/>
      <c r="CN587" s="112" t="s">
        <v>1968</v>
      </c>
      <c r="CO587" s="112" t="s">
        <v>541</v>
      </c>
      <c r="CP587" s="112" t="s">
        <v>523</v>
      </c>
      <c r="CQ587" s="112" t="s">
        <v>1969</v>
      </c>
      <c r="CR587" s="112" t="s">
        <v>1969</v>
      </c>
      <c r="CS587" s="112" t="s">
        <v>1168</v>
      </c>
      <c r="CT587" s="112" t="s">
        <v>1169</v>
      </c>
      <c r="CU587" s="112" t="s">
        <v>1664</v>
      </c>
      <c r="CV587" s="113" t="s">
        <v>1665</v>
      </c>
      <c r="CX587" s="36">
        <v>1</v>
      </c>
    </row>
    <row r="588" spans="91:102" ht="21" customHeight="1" x14ac:dyDescent="0.25">
      <c r="CM588" s="102"/>
      <c r="CN588" s="112" t="s">
        <v>1970</v>
      </c>
      <c r="CO588" s="112" t="s">
        <v>541</v>
      </c>
      <c r="CP588" s="112" t="s">
        <v>523</v>
      </c>
      <c r="CQ588" s="112" t="s">
        <v>1971</v>
      </c>
      <c r="CR588" s="112" t="s">
        <v>1971</v>
      </c>
      <c r="CS588" s="112" t="s">
        <v>1168</v>
      </c>
      <c r="CT588" s="112" t="s">
        <v>1169</v>
      </c>
      <c r="CU588" s="112" t="s">
        <v>1664</v>
      </c>
      <c r="CV588" s="113" t="s">
        <v>1665</v>
      </c>
      <c r="CX588" s="36">
        <v>1</v>
      </c>
    </row>
    <row r="589" spans="91:102" ht="21" customHeight="1" x14ac:dyDescent="0.25">
      <c r="CM589" s="102"/>
      <c r="CN589" s="112" t="s">
        <v>1972</v>
      </c>
      <c r="CO589" s="112" t="s">
        <v>541</v>
      </c>
      <c r="CP589" s="112" t="s">
        <v>523</v>
      </c>
      <c r="CQ589" s="112" t="s">
        <v>1973</v>
      </c>
      <c r="CR589" s="112" t="s">
        <v>1973</v>
      </c>
      <c r="CS589" s="112" t="s">
        <v>1168</v>
      </c>
      <c r="CT589" s="112" t="s">
        <v>1169</v>
      </c>
      <c r="CU589" s="112" t="s">
        <v>1664</v>
      </c>
      <c r="CV589" s="113" t="s">
        <v>1665</v>
      </c>
      <c r="CX589" s="36">
        <v>1</v>
      </c>
    </row>
    <row r="590" spans="91:102" ht="21" customHeight="1" x14ac:dyDescent="0.25">
      <c r="CM590" s="102"/>
      <c r="CN590" s="112" t="s">
        <v>1974</v>
      </c>
      <c r="CO590" s="112" t="s">
        <v>541</v>
      </c>
      <c r="CP590" s="112" t="s">
        <v>523</v>
      </c>
      <c r="CQ590" s="112" t="s">
        <v>1975</v>
      </c>
      <c r="CR590" s="112" t="s">
        <v>1975</v>
      </c>
      <c r="CS590" s="112" t="s">
        <v>1168</v>
      </c>
      <c r="CT590" s="112" t="s">
        <v>1169</v>
      </c>
      <c r="CU590" s="112" t="s">
        <v>1664</v>
      </c>
      <c r="CV590" s="113" t="s">
        <v>1665</v>
      </c>
      <c r="CX590" s="36">
        <v>1</v>
      </c>
    </row>
    <row r="591" spans="91:102" ht="21" customHeight="1" x14ac:dyDescent="0.25">
      <c r="CM591" s="102"/>
      <c r="CN591" s="112" t="s">
        <v>1976</v>
      </c>
      <c r="CO591" s="112" t="s">
        <v>541</v>
      </c>
      <c r="CP591" s="112" t="s">
        <v>523</v>
      </c>
      <c r="CQ591" s="112" t="s">
        <v>1977</v>
      </c>
      <c r="CR591" s="112" t="s">
        <v>1977</v>
      </c>
      <c r="CS591" s="112" t="s">
        <v>1168</v>
      </c>
      <c r="CT591" s="112" t="s">
        <v>1169</v>
      </c>
      <c r="CU591" s="112" t="s">
        <v>1664</v>
      </c>
      <c r="CV591" s="113" t="s">
        <v>1665</v>
      </c>
      <c r="CX591" s="36">
        <v>1</v>
      </c>
    </row>
    <row r="592" spans="91:102" ht="21" customHeight="1" x14ac:dyDescent="0.25">
      <c r="CM592" s="102"/>
      <c r="CN592" s="112" t="s">
        <v>1978</v>
      </c>
      <c r="CO592" s="112" t="s">
        <v>541</v>
      </c>
      <c r="CP592" s="112" t="s">
        <v>523</v>
      </c>
      <c r="CQ592" s="112" t="s">
        <v>1979</v>
      </c>
      <c r="CR592" s="112" t="s">
        <v>1979</v>
      </c>
      <c r="CS592" s="112" t="s">
        <v>1168</v>
      </c>
      <c r="CT592" s="112" t="s">
        <v>1169</v>
      </c>
      <c r="CU592" s="112" t="s">
        <v>1664</v>
      </c>
      <c r="CV592" s="113" t="s">
        <v>1665</v>
      </c>
      <c r="CX592" s="36">
        <v>1</v>
      </c>
    </row>
    <row r="593" spans="91:102" ht="21" customHeight="1" x14ac:dyDescent="0.25">
      <c r="CM593" s="102"/>
      <c r="CN593" s="112" t="s">
        <v>1980</v>
      </c>
      <c r="CO593" s="112" t="s">
        <v>541</v>
      </c>
      <c r="CP593" s="112" t="s">
        <v>523</v>
      </c>
      <c r="CQ593" s="112" t="s">
        <v>1981</v>
      </c>
      <c r="CR593" s="112" t="s">
        <v>1981</v>
      </c>
      <c r="CS593" s="112" t="s">
        <v>525</v>
      </c>
      <c r="CT593" s="112" t="s">
        <v>1747</v>
      </c>
      <c r="CU593" s="112" t="s">
        <v>527</v>
      </c>
      <c r="CV593" s="113" t="s">
        <v>528</v>
      </c>
      <c r="CX593" s="36">
        <v>1</v>
      </c>
    </row>
    <row r="594" spans="91:102" ht="21" customHeight="1" x14ac:dyDescent="0.25">
      <c r="CM594" s="102"/>
      <c r="CN594" s="112" t="s">
        <v>1982</v>
      </c>
      <c r="CO594" s="112" t="s">
        <v>541</v>
      </c>
      <c r="CP594" s="112" t="s">
        <v>523</v>
      </c>
      <c r="CQ594" s="112" t="s">
        <v>1983</v>
      </c>
      <c r="CR594" s="112" t="s">
        <v>1983</v>
      </c>
      <c r="CS594" s="112" t="s">
        <v>1168</v>
      </c>
      <c r="CT594" s="112" t="s">
        <v>1169</v>
      </c>
      <c r="CU594" s="112" t="s">
        <v>1664</v>
      </c>
      <c r="CV594" s="113" t="s">
        <v>1665</v>
      </c>
      <c r="CX594" s="36">
        <v>1</v>
      </c>
    </row>
    <row r="595" spans="91:102" ht="21" customHeight="1" x14ac:dyDescent="0.25">
      <c r="CM595" s="102"/>
      <c r="CN595" s="112" t="s">
        <v>1984</v>
      </c>
      <c r="CO595" s="112" t="s">
        <v>541</v>
      </c>
      <c r="CP595" s="112" t="s">
        <v>523</v>
      </c>
      <c r="CQ595" s="112" t="s">
        <v>1985</v>
      </c>
      <c r="CR595" s="112" t="s">
        <v>1985</v>
      </c>
      <c r="CS595" s="112" t="s">
        <v>1168</v>
      </c>
      <c r="CT595" s="112" t="s">
        <v>1169</v>
      </c>
      <c r="CU595" s="112" t="s">
        <v>1664</v>
      </c>
      <c r="CV595" s="113" t="s">
        <v>1665</v>
      </c>
      <c r="CX595" s="36">
        <v>1</v>
      </c>
    </row>
    <row r="596" spans="91:102" ht="21" customHeight="1" x14ac:dyDescent="0.25">
      <c r="CM596" s="102"/>
      <c r="CN596" s="112" t="s">
        <v>1986</v>
      </c>
      <c r="CO596" s="112" t="s">
        <v>541</v>
      </c>
      <c r="CP596" s="112" t="s">
        <v>523</v>
      </c>
      <c r="CQ596" s="112" t="s">
        <v>1987</v>
      </c>
      <c r="CR596" s="112" t="s">
        <v>1987</v>
      </c>
      <c r="CS596" s="112" t="s">
        <v>1168</v>
      </c>
      <c r="CT596" s="112" t="s">
        <v>1169</v>
      </c>
      <c r="CU596" s="112" t="s">
        <v>1664</v>
      </c>
      <c r="CV596" s="113" t="s">
        <v>1665</v>
      </c>
      <c r="CX596" s="36">
        <v>1</v>
      </c>
    </row>
    <row r="597" spans="91:102" ht="21" customHeight="1" x14ac:dyDescent="0.25">
      <c r="CM597" s="102"/>
      <c r="CN597" s="112" t="s">
        <v>1988</v>
      </c>
      <c r="CO597" s="112" t="s">
        <v>541</v>
      </c>
      <c r="CP597" s="112" t="s">
        <v>523</v>
      </c>
      <c r="CQ597" s="112" t="s">
        <v>1989</v>
      </c>
      <c r="CR597" s="112" t="s">
        <v>1989</v>
      </c>
      <c r="CS597" s="112" t="s">
        <v>1168</v>
      </c>
      <c r="CT597" s="112" t="s">
        <v>1169</v>
      </c>
      <c r="CU597" s="112" t="s">
        <v>1664</v>
      </c>
      <c r="CV597" s="113" t="s">
        <v>1665</v>
      </c>
      <c r="CX597" s="36">
        <v>1</v>
      </c>
    </row>
    <row r="598" spans="91:102" ht="21" customHeight="1" x14ac:dyDescent="0.25">
      <c r="CM598" s="102"/>
      <c r="CN598" s="112" t="s">
        <v>1990</v>
      </c>
      <c r="CO598" s="112" t="s">
        <v>541</v>
      </c>
      <c r="CP598" s="112" t="s">
        <v>523</v>
      </c>
      <c r="CQ598" s="112" t="s">
        <v>1991</v>
      </c>
      <c r="CR598" s="112" t="s">
        <v>1991</v>
      </c>
      <c r="CS598" s="112" t="s">
        <v>1168</v>
      </c>
      <c r="CT598" s="112" t="s">
        <v>1169</v>
      </c>
      <c r="CU598" s="112" t="s">
        <v>1664</v>
      </c>
      <c r="CV598" s="113" t="s">
        <v>1665</v>
      </c>
      <c r="CX598" s="36">
        <v>1</v>
      </c>
    </row>
    <row r="599" spans="91:102" ht="21" customHeight="1" x14ac:dyDescent="0.25">
      <c r="CM599" s="102"/>
      <c r="CN599" s="112" t="s">
        <v>1992</v>
      </c>
      <c r="CO599" s="112" t="s">
        <v>541</v>
      </c>
      <c r="CP599" s="112" t="s">
        <v>523</v>
      </c>
      <c r="CQ599" s="112" t="s">
        <v>1993</v>
      </c>
      <c r="CR599" s="112" t="s">
        <v>1993</v>
      </c>
      <c r="CS599" s="112" t="s">
        <v>1168</v>
      </c>
      <c r="CT599" s="112" t="s">
        <v>1169</v>
      </c>
      <c r="CU599" s="112" t="s">
        <v>1664</v>
      </c>
      <c r="CV599" s="113" t="s">
        <v>1665</v>
      </c>
      <c r="CX599" s="36">
        <v>1</v>
      </c>
    </row>
    <row r="600" spans="91:102" ht="21" customHeight="1" x14ac:dyDescent="0.25">
      <c r="CM600" s="102"/>
      <c r="CN600" s="112" t="s">
        <v>1994</v>
      </c>
      <c r="CO600" s="112" t="s">
        <v>541</v>
      </c>
      <c r="CP600" s="112" t="s">
        <v>523</v>
      </c>
      <c r="CQ600" s="112" t="s">
        <v>1995</v>
      </c>
      <c r="CR600" s="112" t="s">
        <v>1995</v>
      </c>
      <c r="CS600" s="112" t="s">
        <v>1168</v>
      </c>
      <c r="CT600" s="112" t="s">
        <v>1169</v>
      </c>
      <c r="CU600" s="112" t="s">
        <v>1664</v>
      </c>
      <c r="CV600" s="113" t="s">
        <v>1665</v>
      </c>
      <c r="CX600" s="36">
        <v>1</v>
      </c>
    </row>
    <row r="601" spans="91:102" ht="21" customHeight="1" x14ac:dyDescent="0.25">
      <c r="CM601" s="102"/>
      <c r="CN601" s="112" t="s">
        <v>1996</v>
      </c>
      <c r="CO601" s="112" t="s">
        <v>541</v>
      </c>
      <c r="CP601" s="112" t="s">
        <v>523</v>
      </c>
      <c r="CQ601" s="112" t="s">
        <v>1997</v>
      </c>
      <c r="CR601" s="112" t="s">
        <v>1997</v>
      </c>
      <c r="CS601" s="112" t="s">
        <v>1168</v>
      </c>
      <c r="CT601" s="112" t="s">
        <v>1169</v>
      </c>
      <c r="CU601" s="112" t="s">
        <v>1664</v>
      </c>
      <c r="CV601" s="113" t="s">
        <v>1665</v>
      </c>
      <c r="CX601" s="36">
        <v>1</v>
      </c>
    </row>
    <row r="602" spans="91:102" ht="21" customHeight="1" x14ac:dyDescent="0.25">
      <c r="CM602" s="102"/>
      <c r="CN602" s="112" t="s">
        <v>1998</v>
      </c>
      <c r="CO602" s="112" t="s">
        <v>541</v>
      </c>
      <c r="CP602" s="112" t="s">
        <v>523</v>
      </c>
      <c r="CQ602" s="112" t="s">
        <v>1999</v>
      </c>
      <c r="CR602" s="112" t="s">
        <v>1999</v>
      </c>
      <c r="CS602" s="112" t="s">
        <v>1168</v>
      </c>
      <c r="CT602" s="112" t="s">
        <v>1169</v>
      </c>
      <c r="CU602" s="112" t="s">
        <v>1664</v>
      </c>
      <c r="CV602" s="113" t="s">
        <v>1665</v>
      </c>
      <c r="CX602" s="36">
        <v>1</v>
      </c>
    </row>
    <row r="603" spans="91:102" ht="21" customHeight="1" x14ac:dyDescent="0.25">
      <c r="CM603" s="102"/>
      <c r="CN603" s="112" t="s">
        <v>2000</v>
      </c>
      <c r="CO603" s="112" t="s">
        <v>541</v>
      </c>
      <c r="CP603" s="112" t="s">
        <v>523</v>
      </c>
      <c r="CQ603" s="112" t="s">
        <v>2001</v>
      </c>
      <c r="CR603" s="112" t="s">
        <v>2001</v>
      </c>
      <c r="CS603" s="112" t="s">
        <v>1168</v>
      </c>
      <c r="CT603" s="112" t="s">
        <v>1169</v>
      </c>
      <c r="CU603" s="112" t="s">
        <v>1664</v>
      </c>
      <c r="CV603" s="113" t="s">
        <v>1665</v>
      </c>
      <c r="CX603" s="36">
        <v>1</v>
      </c>
    </row>
    <row r="604" spans="91:102" ht="21" customHeight="1" x14ac:dyDescent="0.25">
      <c r="CM604" s="102"/>
      <c r="CN604" s="112" t="s">
        <v>2002</v>
      </c>
      <c r="CO604" s="112" t="s">
        <v>541</v>
      </c>
      <c r="CP604" s="112" t="s">
        <v>523</v>
      </c>
      <c r="CQ604" s="112" t="s">
        <v>2003</v>
      </c>
      <c r="CR604" s="112" t="s">
        <v>2003</v>
      </c>
      <c r="CS604" s="112" t="s">
        <v>1168</v>
      </c>
      <c r="CT604" s="112" t="s">
        <v>1169</v>
      </c>
      <c r="CU604" s="112" t="s">
        <v>1664</v>
      </c>
      <c r="CV604" s="113" t="s">
        <v>1665</v>
      </c>
      <c r="CX604" s="36">
        <v>1</v>
      </c>
    </row>
    <row r="605" spans="91:102" ht="21" customHeight="1" x14ac:dyDescent="0.25">
      <c r="CM605" s="102"/>
      <c r="CN605" s="112" t="s">
        <v>2004</v>
      </c>
      <c r="CO605" s="112" t="s">
        <v>541</v>
      </c>
      <c r="CP605" s="112" t="s">
        <v>523</v>
      </c>
      <c r="CQ605" s="112" t="s">
        <v>2005</v>
      </c>
      <c r="CR605" s="112" t="s">
        <v>2005</v>
      </c>
      <c r="CS605" s="112" t="s">
        <v>1168</v>
      </c>
      <c r="CT605" s="112" t="s">
        <v>1169</v>
      </c>
      <c r="CU605" s="112" t="s">
        <v>1664</v>
      </c>
      <c r="CV605" s="113" t="s">
        <v>1665</v>
      </c>
      <c r="CX605" s="36">
        <v>1</v>
      </c>
    </row>
    <row r="606" spans="91:102" ht="21" customHeight="1" x14ac:dyDescent="0.25">
      <c r="CM606" s="102"/>
      <c r="CN606" s="112" t="s">
        <v>2006</v>
      </c>
      <c r="CO606" s="112" t="s">
        <v>541</v>
      </c>
      <c r="CP606" s="112" t="s">
        <v>523</v>
      </c>
      <c r="CQ606" s="112" t="s">
        <v>2007</v>
      </c>
      <c r="CR606" s="112" t="s">
        <v>2007</v>
      </c>
      <c r="CS606" s="112" t="s">
        <v>1168</v>
      </c>
      <c r="CT606" s="112" t="s">
        <v>1169</v>
      </c>
      <c r="CU606" s="112" t="s">
        <v>1664</v>
      </c>
      <c r="CV606" s="113" t="s">
        <v>1665</v>
      </c>
      <c r="CX606" s="36">
        <v>1</v>
      </c>
    </row>
    <row r="607" spans="91:102" ht="21" customHeight="1" x14ac:dyDescent="0.25">
      <c r="CM607" s="102"/>
      <c r="CN607" s="112" t="s">
        <v>2008</v>
      </c>
      <c r="CO607" s="112" t="s">
        <v>541</v>
      </c>
      <c r="CP607" s="112" t="s">
        <v>523</v>
      </c>
      <c r="CQ607" s="112" t="s">
        <v>2009</v>
      </c>
      <c r="CR607" s="112" t="s">
        <v>2009</v>
      </c>
      <c r="CS607" s="112" t="s">
        <v>1168</v>
      </c>
      <c r="CT607" s="112" t="s">
        <v>1169</v>
      </c>
      <c r="CU607" s="112" t="s">
        <v>1664</v>
      </c>
      <c r="CV607" s="113" t="s">
        <v>1665</v>
      </c>
      <c r="CX607" s="36">
        <v>1</v>
      </c>
    </row>
    <row r="608" spans="91:102" ht="21" customHeight="1" x14ac:dyDescent="0.25">
      <c r="CM608" s="102"/>
      <c r="CN608" s="112" t="s">
        <v>2010</v>
      </c>
      <c r="CO608" s="112" t="s">
        <v>541</v>
      </c>
      <c r="CP608" s="112" t="s">
        <v>523</v>
      </c>
      <c r="CQ608" s="112" t="s">
        <v>2011</v>
      </c>
      <c r="CR608" s="112" t="s">
        <v>2011</v>
      </c>
      <c r="CS608" s="112" t="s">
        <v>1168</v>
      </c>
      <c r="CT608" s="112" t="s">
        <v>1169</v>
      </c>
      <c r="CU608" s="112" t="s">
        <v>1664</v>
      </c>
      <c r="CV608" s="113" t="s">
        <v>1665</v>
      </c>
      <c r="CX608" s="36">
        <v>1</v>
      </c>
    </row>
    <row r="609" spans="91:102" ht="21" customHeight="1" x14ac:dyDescent="0.25">
      <c r="CM609" s="102"/>
      <c r="CN609" s="112" t="s">
        <v>2012</v>
      </c>
      <c r="CO609" s="112" t="s">
        <v>541</v>
      </c>
      <c r="CP609" s="112" t="s">
        <v>523</v>
      </c>
      <c r="CQ609" s="112" t="s">
        <v>2013</v>
      </c>
      <c r="CR609" s="112" t="s">
        <v>2013</v>
      </c>
      <c r="CS609" s="112" t="s">
        <v>1168</v>
      </c>
      <c r="CT609" s="112" t="s">
        <v>1169</v>
      </c>
      <c r="CU609" s="112" t="s">
        <v>1664</v>
      </c>
      <c r="CV609" s="113" t="s">
        <v>1665</v>
      </c>
      <c r="CX609" s="36">
        <v>1</v>
      </c>
    </row>
    <row r="610" spans="91:102" ht="21" customHeight="1" x14ac:dyDescent="0.25">
      <c r="CM610" s="102"/>
      <c r="CN610" s="112" t="s">
        <v>2014</v>
      </c>
      <c r="CO610" s="112" t="s">
        <v>541</v>
      </c>
      <c r="CP610" s="112" t="s">
        <v>523</v>
      </c>
      <c r="CQ610" s="112" t="s">
        <v>2015</v>
      </c>
      <c r="CR610" s="112" t="s">
        <v>2015</v>
      </c>
      <c r="CS610" s="112" t="s">
        <v>610</v>
      </c>
      <c r="CT610" s="112" t="s">
        <v>611</v>
      </c>
      <c r="CU610" s="112" t="s">
        <v>527</v>
      </c>
      <c r="CV610" s="113" t="s">
        <v>612</v>
      </c>
      <c r="CX610" s="36">
        <v>1</v>
      </c>
    </row>
    <row r="611" spans="91:102" ht="21" customHeight="1" x14ac:dyDescent="0.25">
      <c r="CM611" s="102"/>
      <c r="CN611" s="112" t="s">
        <v>2016</v>
      </c>
      <c r="CO611" s="112" t="s">
        <v>541</v>
      </c>
      <c r="CP611" s="112" t="s">
        <v>523</v>
      </c>
      <c r="CQ611" s="112" t="s">
        <v>2017</v>
      </c>
      <c r="CR611" s="112" t="s">
        <v>2017</v>
      </c>
      <c r="CS611" s="112" t="s">
        <v>1168</v>
      </c>
      <c r="CT611" s="112" t="s">
        <v>1169</v>
      </c>
      <c r="CU611" s="112" t="s">
        <v>1664</v>
      </c>
      <c r="CV611" s="113" t="s">
        <v>1665</v>
      </c>
      <c r="CX611" s="36">
        <v>1</v>
      </c>
    </row>
    <row r="612" spans="91:102" ht="21" customHeight="1" x14ac:dyDescent="0.25">
      <c r="CM612" s="102"/>
      <c r="CN612" s="112" t="s">
        <v>2018</v>
      </c>
      <c r="CO612" s="112" t="s">
        <v>541</v>
      </c>
      <c r="CP612" s="112" t="s">
        <v>523</v>
      </c>
      <c r="CQ612" s="112" t="s">
        <v>2019</v>
      </c>
      <c r="CR612" s="112" t="s">
        <v>2019</v>
      </c>
      <c r="CS612" s="112" t="s">
        <v>1168</v>
      </c>
      <c r="CT612" s="112" t="s">
        <v>1169</v>
      </c>
      <c r="CU612" s="112" t="s">
        <v>1664</v>
      </c>
      <c r="CV612" s="113" t="s">
        <v>1665</v>
      </c>
      <c r="CX612" s="36">
        <v>1</v>
      </c>
    </row>
    <row r="613" spans="91:102" ht="21" customHeight="1" x14ac:dyDescent="0.25">
      <c r="CM613" s="102"/>
      <c r="CN613" s="112" t="s">
        <v>2020</v>
      </c>
      <c r="CO613" s="112" t="s">
        <v>541</v>
      </c>
      <c r="CP613" s="112" t="s">
        <v>523</v>
      </c>
      <c r="CQ613" s="112" t="s">
        <v>2021</v>
      </c>
      <c r="CR613" s="112" t="s">
        <v>2021</v>
      </c>
      <c r="CS613" s="112" t="s">
        <v>1168</v>
      </c>
      <c r="CT613" s="112" t="s">
        <v>1169</v>
      </c>
      <c r="CU613" s="112" t="s">
        <v>1664</v>
      </c>
      <c r="CV613" s="113" t="s">
        <v>1665</v>
      </c>
      <c r="CX613" s="36">
        <v>1</v>
      </c>
    </row>
    <row r="614" spans="91:102" ht="21" customHeight="1" x14ac:dyDescent="0.25">
      <c r="CM614" s="102"/>
      <c r="CN614" s="112" t="s">
        <v>2022</v>
      </c>
      <c r="CO614" s="112" t="s">
        <v>541</v>
      </c>
      <c r="CP614" s="112" t="s">
        <v>523</v>
      </c>
      <c r="CQ614" s="112" t="s">
        <v>2023</v>
      </c>
      <c r="CR614" s="112" t="s">
        <v>2023</v>
      </c>
      <c r="CS614" s="112" t="s">
        <v>1168</v>
      </c>
      <c r="CT614" s="112" t="s">
        <v>1169</v>
      </c>
      <c r="CU614" s="112" t="s">
        <v>1664</v>
      </c>
      <c r="CV614" s="113" t="s">
        <v>1665</v>
      </c>
      <c r="CX614" s="36">
        <v>1</v>
      </c>
    </row>
    <row r="615" spans="91:102" ht="21" customHeight="1" x14ac:dyDescent="0.25">
      <c r="CM615" s="102"/>
      <c r="CN615" s="112" t="s">
        <v>2024</v>
      </c>
      <c r="CO615" s="112" t="s">
        <v>541</v>
      </c>
      <c r="CP615" s="112" t="s">
        <v>523</v>
      </c>
      <c r="CQ615" s="112" t="s">
        <v>2025</v>
      </c>
      <c r="CR615" s="112" t="s">
        <v>2025</v>
      </c>
      <c r="CS615" s="112" t="s">
        <v>1168</v>
      </c>
      <c r="CT615" s="112" t="s">
        <v>1169</v>
      </c>
      <c r="CU615" s="112" t="s">
        <v>1664</v>
      </c>
      <c r="CV615" s="113" t="s">
        <v>1665</v>
      </c>
      <c r="CX615" s="36">
        <v>1</v>
      </c>
    </row>
    <row r="616" spans="91:102" ht="21" customHeight="1" x14ac:dyDescent="0.25">
      <c r="CM616" s="102"/>
      <c r="CN616" s="112" t="s">
        <v>2026</v>
      </c>
      <c r="CO616" s="112" t="s">
        <v>541</v>
      </c>
      <c r="CP616" s="112" t="s">
        <v>523</v>
      </c>
      <c r="CQ616" s="112" t="s">
        <v>2027</v>
      </c>
      <c r="CR616" s="112" t="s">
        <v>2027</v>
      </c>
      <c r="CS616" s="112" t="s">
        <v>1168</v>
      </c>
      <c r="CT616" s="112" t="s">
        <v>1169</v>
      </c>
      <c r="CU616" s="112" t="s">
        <v>1664</v>
      </c>
      <c r="CV616" s="113" t="s">
        <v>1665</v>
      </c>
      <c r="CX616" s="36">
        <v>1</v>
      </c>
    </row>
    <row r="617" spans="91:102" ht="21" customHeight="1" x14ac:dyDescent="0.25">
      <c r="CM617" s="102"/>
      <c r="CN617" s="112" t="s">
        <v>2028</v>
      </c>
      <c r="CO617" s="112" t="s">
        <v>541</v>
      </c>
      <c r="CP617" s="112" t="s">
        <v>523</v>
      </c>
      <c r="CQ617" s="112" t="s">
        <v>2029</v>
      </c>
      <c r="CR617" s="112" t="s">
        <v>2029</v>
      </c>
      <c r="CS617" s="112" t="s">
        <v>1168</v>
      </c>
      <c r="CT617" s="112" t="s">
        <v>1169</v>
      </c>
      <c r="CU617" s="112" t="s">
        <v>1664</v>
      </c>
      <c r="CV617" s="113" t="s">
        <v>1665</v>
      </c>
      <c r="CX617" s="36">
        <v>1</v>
      </c>
    </row>
    <row r="618" spans="91:102" ht="21" customHeight="1" x14ac:dyDescent="0.25">
      <c r="CM618" s="102"/>
      <c r="CN618" s="112" t="s">
        <v>2030</v>
      </c>
      <c r="CO618" s="112" t="s">
        <v>541</v>
      </c>
      <c r="CP618" s="112" t="s">
        <v>523</v>
      </c>
      <c r="CQ618" s="112" t="s">
        <v>2031</v>
      </c>
      <c r="CR618" s="112" t="s">
        <v>2031</v>
      </c>
      <c r="CS618" s="112" t="s">
        <v>1168</v>
      </c>
      <c r="CT618" s="112" t="s">
        <v>1169</v>
      </c>
      <c r="CU618" s="112" t="s">
        <v>1664</v>
      </c>
      <c r="CV618" s="113" t="s">
        <v>1665</v>
      </c>
      <c r="CX618" s="36">
        <v>1</v>
      </c>
    </row>
    <row r="619" spans="91:102" ht="21" customHeight="1" x14ac:dyDescent="0.25">
      <c r="CM619" s="102"/>
      <c r="CN619" s="112" t="s">
        <v>2032</v>
      </c>
      <c r="CO619" s="112" t="s">
        <v>541</v>
      </c>
      <c r="CP619" s="112" t="s">
        <v>523</v>
      </c>
      <c r="CQ619" s="112" t="s">
        <v>5886</v>
      </c>
      <c r="CR619" s="112" t="s">
        <v>5886</v>
      </c>
      <c r="CS619" s="112" t="s">
        <v>1168</v>
      </c>
      <c r="CT619" s="112" t="s">
        <v>5887</v>
      </c>
      <c r="CU619" s="112" t="s">
        <v>1664</v>
      </c>
      <c r="CV619" s="113" t="s">
        <v>1665</v>
      </c>
      <c r="CX619" s="36">
        <v>1</v>
      </c>
    </row>
    <row r="620" spans="91:102" ht="21" customHeight="1" x14ac:dyDescent="0.25">
      <c r="CM620" s="102"/>
      <c r="CN620" s="112" t="s">
        <v>2033</v>
      </c>
      <c r="CO620" s="112" t="s">
        <v>541</v>
      </c>
      <c r="CP620" s="112" t="s">
        <v>523</v>
      </c>
      <c r="CQ620" s="112" t="s">
        <v>2034</v>
      </c>
      <c r="CR620" s="112" t="s">
        <v>2034</v>
      </c>
      <c r="CS620" s="112" t="s">
        <v>1168</v>
      </c>
      <c r="CT620" s="112" t="s">
        <v>1169</v>
      </c>
      <c r="CU620" s="112" t="s">
        <v>1664</v>
      </c>
      <c r="CV620" s="113" t="s">
        <v>1665</v>
      </c>
      <c r="CX620" s="36">
        <v>1</v>
      </c>
    </row>
    <row r="621" spans="91:102" ht="21" customHeight="1" x14ac:dyDescent="0.25">
      <c r="CM621" s="102"/>
      <c r="CN621" s="112" t="s">
        <v>2035</v>
      </c>
      <c r="CO621" s="112" t="s">
        <v>541</v>
      </c>
      <c r="CP621" s="112" t="s">
        <v>523</v>
      </c>
      <c r="CQ621" s="112" t="s">
        <v>2036</v>
      </c>
      <c r="CR621" s="112" t="s">
        <v>2036</v>
      </c>
      <c r="CS621" s="112" t="s">
        <v>1168</v>
      </c>
      <c r="CT621" s="112" t="s">
        <v>1169</v>
      </c>
      <c r="CU621" s="112" t="s">
        <v>1664</v>
      </c>
      <c r="CV621" s="113" t="s">
        <v>1665</v>
      </c>
      <c r="CX621" s="36">
        <v>1</v>
      </c>
    </row>
    <row r="622" spans="91:102" ht="21" customHeight="1" x14ac:dyDescent="0.25">
      <c r="CM622" s="102"/>
      <c r="CN622" s="112" t="s">
        <v>2037</v>
      </c>
      <c r="CO622" s="112" t="s">
        <v>541</v>
      </c>
      <c r="CP622" s="112" t="s">
        <v>523</v>
      </c>
      <c r="CQ622" s="112" t="s">
        <v>2038</v>
      </c>
      <c r="CR622" s="112" t="s">
        <v>2038</v>
      </c>
      <c r="CS622" s="112" t="s">
        <v>1168</v>
      </c>
      <c r="CT622" s="112" t="s">
        <v>1169</v>
      </c>
      <c r="CU622" s="112" t="s">
        <v>1664</v>
      </c>
      <c r="CV622" s="113" t="s">
        <v>1665</v>
      </c>
      <c r="CX622" s="36">
        <v>1</v>
      </c>
    </row>
    <row r="623" spans="91:102" ht="21" customHeight="1" x14ac:dyDescent="0.25">
      <c r="CM623" s="102"/>
      <c r="CN623" s="112" t="s">
        <v>2039</v>
      </c>
      <c r="CO623" s="112" t="s">
        <v>541</v>
      </c>
      <c r="CP623" s="112" t="s">
        <v>523</v>
      </c>
      <c r="CQ623" s="112" t="s">
        <v>2040</v>
      </c>
      <c r="CR623" s="112" t="s">
        <v>2040</v>
      </c>
      <c r="CS623" s="112" t="s">
        <v>1168</v>
      </c>
      <c r="CT623" s="112" t="s">
        <v>1169</v>
      </c>
      <c r="CU623" s="112" t="s">
        <v>1664</v>
      </c>
      <c r="CV623" s="113" t="s">
        <v>1665</v>
      </c>
      <c r="CX623" s="36">
        <v>1</v>
      </c>
    </row>
    <row r="624" spans="91:102" ht="21" customHeight="1" x14ac:dyDescent="0.25">
      <c r="CM624" s="102"/>
      <c r="CN624" s="112" t="s">
        <v>2041</v>
      </c>
      <c r="CO624" s="112" t="s">
        <v>541</v>
      </c>
      <c r="CP624" s="112" t="s">
        <v>523</v>
      </c>
      <c r="CQ624" s="112" t="s">
        <v>2042</v>
      </c>
      <c r="CR624" s="112" t="s">
        <v>2042</v>
      </c>
      <c r="CS624" s="112" t="s">
        <v>1168</v>
      </c>
      <c r="CT624" s="112" t="s">
        <v>1169</v>
      </c>
      <c r="CU624" s="112" t="s">
        <v>1664</v>
      </c>
      <c r="CV624" s="113" t="s">
        <v>1665</v>
      </c>
      <c r="CX624" s="36">
        <v>1</v>
      </c>
    </row>
    <row r="625" spans="91:102" ht="21" customHeight="1" x14ac:dyDescent="0.25">
      <c r="CM625" s="102"/>
      <c r="CN625" s="112" t="s">
        <v>2043</v>
      </c>
      <c r="CO625" s="112" t="s">
        <v>541</v>
      </c>
      <c r="CP625" s="112" t="s">
        <v>523</v>
      </c>
      <c r="CQ625" s="112" t="s">
        <v>2044</v>
      </c>
      <c r="CR625" s="112" t="s">
        <v>2044</v>
      </c>
      <c r="CS625" s="112" t="s">
        <v>1168</v>
      </c>
      <c r="CT625" s="112" t="s">
        <v>1169</v>
      </c>
      <c r="CU625" s="112" t="s">
        <v>1664</v>
      </c>
      <c r="CV625" s="113" t="s">
        <v>1665</v>
      </c>
      <c r="CX625" s="36">
        <v>1</v>
      </c>
    </row>
    <row r="626" spans="91:102" ht="21" customHeight="1" x14ac:dyDescent="0.25">
      <c r="CM626" s="102"/>
      <c r="CN626" s="112" t="s">
        <v>2045</v>
      </c>
      <c r="CO626" s="112" t="s">
        <v>541</v>
      </c>
      <c r="CP626" s="112" t="s">
        <v>523</v>
      </c>
      <c r="CQ626" s="112" t="s">
        <v>2046</v>
      </c>
      <c r="CR626" s="112" t="s">
        <v>2046</v>
      </c>
      <c r="CS626" s="112" t="s">
        <v>1168</v>
      </c>
      <c r="CT626" s="112" t="s">
        <v>1169</v>
      </c>
      <c r="CU626" s="112" t="s">
        <v>1664</v>
      </c>
      <c r="CV626" s="113" t="s">
        <v>1665</v>
      </c>
      <c r="CX626" s="36">
        <v>1</v>
      </c>
    </row>
    <row r="627" spans="91:102" ht="21" customHeight="1" x14ac:dyDescent="0.25">
      <c r="CM627" s="102"/>
      <c r="CN627" s="112" t="s">
        <v>2047</v>
      </c>
      <c r="CO627" s="112" t="s">
        <v>541</v>
      </c>
      <c r="CP627" s="112" t="s">
        <v>523</v>
      </c>
      <c r="CQ627" s="112" t="s">
        <v>2048</v>
      </c>
      <c r="CR627" s="112" t="s">
        <v>2048</v>
      </c>
      <c r="CS627" s="112" t="s">
        <v>1168</v>
      </c>
      <c r="CT627" s="112" t="s">
        <v>1169</v>
      </c>
      <c r="CU627" s="112" t="s">
        <v>1664</v>
      </c>
      <c r="CV627" s="113" t="s">
        <v>1665</v>
      </c>
      <c r="CX627" s="36">
        <v>1</v>
      </c>
    </row>
    <row r="628" spans="91:102" ht="21" customHeight="1" x14ac:dyDescent="0.25">
      <c r="CM628" s="102"/>
      <c r="CN628" s="112" t="s">
        <v>2049</v>
      </c>
      <c r="CO628" s="112" t="s">
        <v>541</v>
      </c>
      <c r="CP628" s="112" t="s">
        <v>523</v>
      </c>
      <c r="CQ628" s="112" t="s">
        <v>2050</v>
      </c>
      <c r="CR628" s="112" t="s">
        <v>2050</v>
      </c>
      <c r="CS628" s="112" t="s">
        <v>1168</v>
      </c>
      <c r="CT628" s="112" t="s">
        <v>1169</v>
      </c>
      <c r="CU628" s="112" t="s">
        <v>1664</v>
      </c>
      <c r="CV628" s="113" t="s">
        <v>1665</v>
      </c>
      <c r="CX628" s="36">
        <v>1</v>
      </c>
    </row>
    <row r="629" spans="91:102" ht="21" customHeight="1" x14ac:dyDescent="0.25">
      <c r="CM629" s="102"/>
      <c r="CN629" s="112" t="s">
        <v>2051</v>
      </c>
      <c r="CO629" s="112" t="s">
        <v>541</v>
      </c>
      <c r="CP629" s="112" t="s">
        <v>523</v>
      </c>
      <c r="CQ629" s="112" t="s">
        <v>2052</v>
      </c>
      <c r="CR629" s="112" t="s">
        <v>2052</v>
      </c>
      <c r="CS629" s="112" t="s">
        <v>1168</v>
      </c>
      <c r="CT629" s="112" t="s">
        <v>1169</v>
      </c>
      <c r="CU629" s="112" t="s">
        <v>1664</v>
      </c>
      <c r="CV629" s="113" t="s">
        <v>1665</v>
      </c>
      <c r="CX629" s="36">
        <v>1</v>
      </c>
    </row>
    <row r="630" spans="91:102" ht="21" customHeight="1" x14ac:dyDescent="0.25">
      <c r="CM630" s="102"/>
      <c r="CN630" s="112" t="s">
        <v>2053</v>
      </c>
      <c r="CO630" s="112" t="s">
        <v>541</v>
      </c>
      <c r="CP630" s="112" t="s">
        <v>523</v>
      </c>
      <c r="CQ630" s="112" t="s">
        <v>2054</v>
      </c>
      <c r="CR630" s="112" t="s">
        <v>2054</v>
      </c>
      <c r="CS630" s="112" t="s">
        <v>1168</v>
      </c>
      <c r="CT630" s="112" t="s">
        <v>1169</v>
      </c>
      <c r="CU630" s="112" t="s">
        <v>1664</v>
      </c>
      <c r="CV630" s="113" t="s">
        <v>1665</v>
      </c>
      <c r="CX630" s="36">
        <v>1</v>
      </c>
    </row>
    <row r="631" spans="91:102" ht="21" customHeight="1" x14ac:dyDescent="0.25">
      <c r="CM631" s="102"/>
      <c r="CN631" s="112" t="s">
        <v>2055</v>
      </c>
      <c r="CO631" s="112" t="s">
        <v>541</v>
      </c>
      <c r="CP631" s="112" t="s">
        <v>523</v>
      </c>
      <c r="CQ631" s="112" t="s">
        <v>2056</v>
      </c>
      <c r="CR631" s="112" t="s">
        <v>2056</v>
      </c>
      <c r="CS631" s="112" t="s">
        <v>1168</v>
      </c>
      <c r="CT631" s="112" t="s">
        <v>1169</v>
      </c>
      <c r="CU631" s="112" t="s">
        <v>1664</v>
      </c>
      <c r="CV631" s="113" t="s">
        <v>1665</v>
      </c>
      <c r="CX631" s="36">
        <v>1</v>
      </c>
    </row>
    <row r="632" spans="91:102" ht="21" customHeight="1" x14ac:dyDescent="0.25">
      <c r="CM632" s="102"/>
      <c r="CN632" s="112" t="s">
        <v>2057</v>
      </c>
      <c r="CO632" s="112" t="s">
        <v>541</v>
      </c>
      <c r="CP632" s="112" t="s">
        <v>523</v>
      </c>
      <c r="CQ632" s="112" t="s">
        <v>2058</v>
      </c>
      <c r="CR632" s="112" t="s">
        <v>2058</v>
      </c>
      <c r="CS632" s="112" t="s">
        <v>1168</v>
      </c>
      <c r="CT632" s="112" t="s">
        <v>1169</v>
      </c>
      <c r="CU632" s="112" t="s">
        <v>1664</v>
      </c>
      <c r="CV632" s="113" t="s">
        <v>1665</v>
      </c>
      <c r="CX632" s="36">
        <v>1</v>
      </c>
    </row>
    <row r="633" spans="91:102" ht="21" customHeight="1" x14ac:dyDescent="0.25">
      <c r="CM633" s="102"/>
      <c r="CN633" s="112" t="s">
        <v>2059</v>
      </c>
      <c r="CO633" s="112" t="s">
        <v>541</v>
      </c>
      <c r="CP633" s="112" t="s">
        <v>523</v>
      </c>
      <c r="CQ633" s="112" t="s">
        <v>2060</v>
      </c>
      <c r="CR633" s="112" t="s">
        <v>2060</v>
      </c>
      <c r="CS633" s="112" t="s">
        <v>1168</v>
      </c>
      <c r="CT633" s="112" t="s">
        <v>1169</v>
      </c>
      <c r="CU633" s="112" t="s">
        <v>1664</v>
      </c>
      <c r="CV633" s="113" t="s">
        <v>1665</v>
      </c>
      <c r="CX633" s="36">
        <v>1</v>
      </c>
    </row>
    <row r="634" spans="91:102" ht="21" customHeight="1" x14ac:dyDescent="0.25">
      <c r="CM634" s="102"/>
      <c r="CN634" s="112" t="s">
        <v>2061</v>
      </c>
      <c r="CO634" s="112" t="s">
        <v>541</v>
      </c>
      <c r="CP634" s="112" t="s">
        <v>523</v>
      </c>
      <c r="CQ634" s="112" t="s">
        <v>2062</v>
      </c>
      <c r="CR634" s="112" t="s">
        <v>2062</v>
      </c>
      <c r="CS634" s="112" t="s">
        <v>1168</v>
      </c>
      <c r="CT634" s="112" t="s">
        <v>1169</v>
      </c>
      <c r="CU634" s="112" t="s">
        <v>1664</v>
      </c>
      <c r="CV634" s="113" t="s">
        <v>1665</v>
      </c>
      <c r="CX634" s="36">
        <v>1</v>
      </c>
    </row>
    <row r="635" spans="91:102" ht="21" customHeight="1" x14ac:dyDescent="0.25">
      <c r="CM635" s="102"/>
      <c r="CN635" s="112" t="s">
        <v>2063</v>
      </c>
      <c r="CO635" s="112" t="s">
        <v>541</v>
      </c>
      <c r="CP635" s="112" t="s">
        <v>523</v>
      </c>
      <c r="CQ635" s="112" t="s">
        <v>2064</v>
      </c>
      <c r="CR635" s="112" t="s">
        <v>2064</v>
      </c>
      <c r="CS635" s="112" t="s">
        <v>1168</v>
      </c>
      <c r="CT635" s="112" t="s">
        <v>1169</v>
      </c>
      <c r="CU635" s="112" t="s">
        <v>1664</v>
      </c>
      <c r="CV635" s="113" t="s">
        <v>1665</v>
      </c>
      <c r="CX635" s="36">
        <v>1</v>
      </c>
    </row>
    <row r="636" spans="91:102" ht="21" customHeight="1" x14ac:dyDescent="0.25">
      <c r="CM636" s="102"/>
      <c r="CN636" s="112" t="s">
        <v>2065</v>
      </c>
      <c r="CO636" s="112" t="s">
        <v>541</v>
      </c>
      <c r="CP636" s="112" t="s">
        <v>523</v>
      </c>
      <c r="CQ636" s="112" t="s">
        <v>2066</v>
      </c>
      <c r="CR636" s="112" t="s">
        <v>2066</v>
      </c>
      <c r="CS636" s="112" t="s">
        <v>1168</v>
      </c>
      <c r="CT636" s="112" t="s">
        <v>1169</v>
      </c>
      <c r="CU636" s="112" t="s">
        <v>1664</v>
      </c>
      <c r="CV636" s="113" t="s">
        <v>1665</v>
      </c>
      <c r="CX636" s="36">
        <v>1</v>
      </c>
    </row>
    <row r="637" spans="91:102" ht="21" customHeight="1" x14ac:dyDescent="0.25">
      <c r="CM637" s="102"/>
      <c r="CN637" s="112" t="s">
        <v>2067</v>
      </c>
      <c r="CO637" s="112" t="s">
        <v>541</v>
      </c>
      <c r="CP637" s="112" t="s">
        <v>523</v>
      </c>
      <c r="CQ637" s="112" t="s">
        <v>2068</v>
      </c>
      <c r="CR637" s="112" t="s">
        <v>2068</v>
      </c>
      <c r="CS637" s="112" t="s">
        <v>1168</v>
      </c>
      <c r="CT637" s="112" t="s">
        <v>1169</v>
      </c>
      <c r="CU637" s="112" t="s">
        <v>1664</v>
      </c>
      <c r="CV637" s="113" t="s">
        <v>1665</v>
      </c>
      <c r="CX637" s="36">
        <v>1</v>
      </c>
    </row>
    <row r="638" spans="91:102" ht="21" customHeight="1" x14ac:dyDescent="0.25">
      <c r="CM638" s="102"/>
      <c r="CN638" s="112" t="s">
        <v>2069</v>
      </c>
      <c r="CO638" s="112" t="s">
        <v>541</v>
      </c>
      <c r="CP638" s="112" t="s">
        <v>523</v>
      </c>
      <c r="CQ638" s="112" t="s">
        <v>2070</v>
      </c>
      <c r="CR638" s="112" t="s">
        <v>2070</v>
      </c>
      <c r="CS638" s="112" t="s">
        <v>1168</v>
      </c>
      <c r="CT638" s="112" t="s">
        <v>1169</v>
      </c>
      <c r="CU638" s="112" t="s">
        <v>1664</v>
      </c>
      <c r="CV638" s="113" t="s">
        <v>1665</v>
      </c>
      <c r="CX638" s="36">
        <v>1</v>
      </c>
    </row>
    <row r="639" spans="91:102" ht="21" customHeight="1" x14ac:dyDescent="0.25">
      <c r="CM639" s="102"/>
      <c r="CN639" s="112" t="s">
        <v>2071</v>
      </c>
      <c r="CO639" s="112" t="s">
        <v>541</v>
      </c>
      <c r="CP639" s="112" t="s">
        <v>523</v>
      </c>
      <c r="CQ639" s="112" t="s">
        <v>2072</v>
      </c>
      <c r="CR639" s="112" t="s">
        <v>2072</v>
      </c>
      <c r="CS639" s="112" t="s">
        <v>1168</v>
      </c>
      <c r="CT639" s="112" t="s">
        <v>1169</v>
      </c>
      <c r="CU639" s="112" t="s">
        <v>1664</v>
      </c>
      <c r="CV639" s="113" t="s">
        <v>1665</v>
      </c>
      <c r="CX639" s="36">
        <v>1</v>
      </c>
    </row>
    <row r="640" spans="91:102" ht="21" customHeight="1" x14ac:dyDescent="0.25">
      <c r="CM640" s="102"/>
      <c r="CN640" s="112" t="s">
        <v>2073</v>
      </c>
      <c r="CO640" s="112" t="s">
        <v>541</v>
      </c>
      <c r="CP640" s="112" t="s">
        <v>523</v>
      </c>
      <c r="CQ640" s="112" t="s">
        <v>2074</v>
      </c>
      <c r="CR640" s="112" t="s">
        <v>2074</v>
      </c>
      <c r="CS640" s="112" t="s">
        <v>1168</v>
      </c>
      <c r="CT640" s="112" t="s">
        <v>1169</v>
      </c>
      <c r="CU640" s="112" t="s">
        <v>1664</v>
      </c>
      <c r="CV640" s="113" t="s">
        <v>1665</v>
      </c>
      <c r="CX640" s="36">
        <v>1</v>
      </c>
    </row>
    <row r="641" spans="91:102" ht="21" customHeight="1" x14ac:dyDescent="0.25">
      <c r="CM641" s="102"/>
      <c r="CN641" s="112" t="s">
        <v>2075</v>
      </c>
      <c r="CO641" s="112" t="s">
        <v>541</v>
      </c>
      <c r="CP641" s="112" t="s">
        <v>523</v>
      </c>
      <c r="CQ641" s="112" t="s">
        <v>2076</v>
      </c>
      <c r="CR641" s="112" t="s">
        <v>2076</v>
      </c>
      <c r="CS641" s="112" t="s">
        <v>1168</v>
      </c>
      <c r="CT641" s="112" t="s">
        <v>1169</v>
      </c>
      <c r="CU641" s="112" t="s">
        <v>1664</v>
      </c>
      <c r="CV641" s="113" t="s">
        <v>1665</v>
      </c>
      <c r="CX641" s="36">
        <v>1</v>
      </c>
    </row>
    <row r="642" spans="91:102" ht="21" customHeight="1" x14ac:dyDescent="0.25">
      <c r="CM642" s="102"/>
      <c r="CN642" s="112" t="s">
        <v>2077</v>
      </c>
      <c r="CO642" s="112" t="s">
        <v>541</v>
      </c>
      <c r="CP642" s="112" t="s">
        <v>523</v>
      </c>
      <c r="CQ642" s="112" t="s">
        <v>2078</v>
      </c>
      <c r="CR642" s="112" t="s">
        <v>2078</v>
      </c>
      <c r="CS642" s="112" t="s">
        <v>1168</v>
      </c>
      <c r="CT642" s="112" t="s">
        <v>1169</v>
      </c>
      <c r="CU642" s="112" t="s">
        <v>1664</v>
      </c>
      <c r="CV642" s="113" t="s">
        <v>1665</v>
      </c>
      <c r="CX642" s="36">
        <v>1</v>
      </c>
    </row>
    <row r="643" spans="91:102" ht="21" customHeight="1" x14ac:dyDescent="0.25">
      <c r="CM643" s="102"/>
      <c r="CN643" s="112" t="s">
        <v>2079</v>
      </c>
      <c r="CO643" s="112" t="s">
        <v>541</v>
      </c>
      <c r="CP643" s="112" t="s">
        <v>523</v>
      </c>
      <c r="CQ643" s="112" t="s">
        <v>2080</v>
      </c>
      <c r="CR643" s="112" t="s">
        <v>2080</v>
      </c>
      <c r="CS643" s="112" t="s">
        <v>1168</v>
      </c>
      <c r="CT643" s="112" t="s">
        <v>1169</v>
      </c>
      <c r="CU643" s="112" t="s">
        <v>1664</v>
      </c>
      <c r="CV643" s="113" t="s">
        <v>1665</v>
      </c>
      <c r="CX643" s="36">
        <v>1</v>
      </c>
    </row>
    <row r="644" spans="91:102" ht="21" customHeight="1" x14ac:dyDescent="0.25">
      <c r="CM644" s="102"/>
      <c r="CN644" s="112" t="s">
        <v>2081</v>
      </c>
      <c r="CO644" s="112" t="s">
        <v>541</v>
      </c>
      <c r="CP644" s="112" t="s">
        <v>523</v>
      </c>
      <c r="CQ644" s="112" t="s">
        <v>2082</v>
      </c>
      <c r="CR644" s="112" t="s">
        <v>2082</v>
      </c>
      <c r="CS644" s="112" t="s">
        <v>1168</v>
      </c>
      <c r="CT644" s="112" t="s">
        <v>1169</v>
      </c>
      <c r="CU644" s="112" t="s">
        <v>1664</v>
      </c>
      <c r="CV644" s="113" t="s">
        <v>1665</v>
      </c>
      <c r="CX644" s="36">
        <v>1</v>
      </c>
    </row>
    <row r="645" spans="91:102" ht="21" customHeight="1" x14ac:dyDescent="0.25">
      <c r="CM645" s="102"/>
      <c r="CN645" s="112" t="s">
        <v>2083</v>
      </c>
      <c r="CO645" s="112" t="s">
        <v>541</v>
      </c>
      <c r="CP645" s="112" t="s">
        <v>523</v>
      </c>
      <c r="CQ645" s="112" t="s">
        <v>2084</v>
      </c>
      <c r="CR645" s="112" t="s">
        <v>2084</v>
      </c>
      <c r="CS645" s="112" t="s">
        <v>1168</v>
      </c>
      <c r="CT645" s="112" t="s">
        <v>1169</v>
      </c>
      <c r="CU645" s="112" t="s">
        <v>1664</v>
      </c>
      <c r="CV645" s="113" t="s">
        <v>1665</v>
      </c>
      <c r="CX645" s="36">
        <v>1</v>
      </c>
    </row>
    <row r="646" spans="91:102" ht="21" customHeight="1" x14ac:dyDescent="0.25">
      <c r="CM646" s="102"/>
      <c r="CN646" s="112" t="s">
        <v>2085</v>
      </c>
      <c r="CO646" s="112" t="s">
        <v>541</v>
      </c>
      <c r="CP646" s="112" t="s">
        <v>523</v>
      </c>
      <c r="CQ646" s="112" t="s">
        <v>2086</v>
      </c>
      <c r="CR646" s="112" t="s">
        <v>2086</v>
      </c>
      <c r="CS646" s="112" t="s">
        <v>1168</v>
      </c>
      <c r="CT646" s="112" t="s">
        <v>1169</v>
      </c>
      <c r="CU646" s="112" t="s">
        <v>1664</v>
      </c>
      <c r="CV646" s="113" t="s">
        <v>1665</v>
      </c>
      <c r="CX646" s="36">
        <v>1</v>
      </c>
    </row>
    <row r="647" spans="91:102" ht="21" customHeight="1" x14ac:dyDescent="0.25">
      <c r="CM647" s="102"/>
      <c r="CN647" s="112" t="s">
        <v>2087</v>
      </c>
      <c r="CO647" s="112" t="s">
        <v>541</v>
      </c>
      <c r="CP647" s="112" t="s">
        <v>523</v>
      </c>
      <c r="CQ647" s="112" t="s">
        <v>2088</v>
      </c>
      <c r="CR647" s="112" t="s">
        <v>2088</v>
      </c>
      <c r="CS647" s="112" t="s">
        <v>1168</v>
      </c>
      <c r="CT647" s="112" t="s">
        <v>1169</v>
      </c>
      <c r="CU647" s="112" t="s">
        <v>1664</v>
      </c>
      <c r="CV647" s="113" t="s">
        <v>1665</v>
      </c>
      <c r="CX647" s="36">
        <v>1</v>
      </c>
    </row>
    <row r="648" spans="91:102" ht="21" customHeight="1" x14ac:dyDescent="0.25">
      <c r="CM648" s="102"/>
      <c r="CN648" s="112" t="s">
        <v>2089</v>
      </c>
      <c r="CO648" s="112" t="s">
        <v>541</v>
      </c>
      <c r="CP648" s="112" t="s">
        <v>523</v>
      </c>
      <c r="CQ648" s="112" t="s">
        <v>2090</v>
      </c>
      <c r="CR648" s="112" t="s">
        <v>2090</v>
      </c>
      <c r="CS648" s="112" t="s">
        <v>1168</v>
      </c>
      <c r="CT648" s="112" t="s">
        <v>1169</v>
      </c>
      <c r="CU648" s="112" t="s">
        <v>1664</v>
      </c>
      <c r="CV648" s="113" t="s">
        <v>1665</v>
      </c>
      <c r="CX648" s="36">
        <v>1</v>
      </c>
    </row>
    <row r="649" spans="91:102" ht="21" customHeight="1" x14ac:dyDescent="0.25">
      <c r="CM649" s="102"/>
      <c r="CN649" s="112" t="s">
        <v>2091</v>
      </c>
      <c r="CO649" s="112" t="s">
        <v>541</v>
      </c>
      <c r="CP649" s="112" t="s">
        <v>523</v>
      </c>
      <c r="CQ649" s="112" t="s">
        <v>2092</v>
      </c>
      <c r="CR649" s="112" t="s">
        <v>2092</v>
      </c>
      <c r="CS649" s="112" t="s">
        <v>1168</v>
      </c>
      <c r="CT649" s="112" t="s">
        <v>1169</v>
      </c>
      <c r="CU649" s="112" t="s">
        <v>1664</v>
      </c>
      <c r="CV649" s="113" t="s">
        <v>1665</v>
      </c>
      <c r="CX649" s="36">
        <v>1</v>
      </c>
    </row>
    <row r="650" spans="91:102" ht="21" customHeight="1" x14ac:dyDescent="0.25">
      <c r="CM650" s="102"/>
      <c r="CN650" s="112" t="s">
        <v>2093</v>
      </c>
      <c r="CO650" s="112" t="s">
        <v>541</v>
      </c>
      <c r="CP650" s="112" t="s">
        <v>523</v>
      </c>
      <c r="CQ650" s="112" t="s">
        <v>2094</v>
      </c>
      <c r="CR650" s="112" t="s">
        <v>2094</v>
      </c>
      <c r="CS650" s="112" t="s">
        <v>1168</v>
      </c>
      <c r="CT650" s="112" t="s">
        <v>1169</v>
      </c>
      <c r="CU650" s="112" t="s">
        <v>1664</v>
      </c>
      <c r="CV650" s="113" t="s">
        <v>1665</v>
      </c>
      <c r="CX650" s="36">
        <v>1</v>
      </c>
    </row>
    <row r="651" spans="91:102" ht="21" customHeight="1" x14ac:dyDescent="0.25">
      <c r="CM651" s="102"/>
      <c r="CN651" s="112" t="s">
        <v>2095</v>
      </c>
      <c r="CO651" s="112" t="s">
        <v>541</v>
      </c>
      <c r="CP651" s="112" t="s">
        <v>523</v>
      </c>
      <c r="CQ651" s="112" t="s">
        <v>2096</v>
      </c>
      <c r="CR651" s="112" t="s">
        <v>2096</v>
      </c>
      <c r="CS651" s="112" t="s">
        <v>1168</v>
      </c>
      <c r="CT651" s="112" t="s">
        <v>1169</v>
      </c>
      <c r="CU651" s="112" t="s">
        <v>1664</v>
      </c>
      <c r="CV651" s="113" t="s">
        <v>1665</v>
      </c>
      <c r="CX651" s="36">
        <v>1</v>
      </c>
    </row>
    <row r="652" spans="91:102" ht="21" customHeight="1" x14ac:dyDescent="0.25">
      <c r="CM652" s="102"/>
      <c r="CN652" s="112" t="s">
        <v>2097</v>
      </c>
      <c r="CO652" s="112" t="s">
        <v>541</v>
      </c>
      <c r="CP652" s="112" t="s">
        <v>523</v>
      </c>
      <c r="CQ652" s="112" t="s">
        <v>2098</v>
      </c>
      <c r="CR652" s="112" t="s">
        <v>2098</v>
      </c>
      <c r="CS652" s="112" t="s">
        <v>1168</v>
      </c>
      <c r="CT652" s="112" t="s">
        <v>1169</v>
      </c>
      <c r="CU652" s="112" t="s">
        <v>1664</v>
      </c>
      <c r="CV652" s="113" t="s">
        <v>1665</v>
      </c>
      <c r="CX652" s="36">
        <v>1</v>
      </c>
    </row>
    <row r="653" spans="91:102" ht="21" customHeight="1" x14ac:dyDescent="0.25">
      <c r="CM653" s="102"/>
      <c r="CN653" s="112" t="s">
        <v>2099</v>
      </c>
      <c r="CO653" s="112" t="s">
        <v>541</v>
      </c>
      <c r="CP653" s="112" t="s">
        <v>523</v>
      </c>
      <c r="CQ653" s="112" t="s">
        <v>2100</v>
      </c>
      <c r="CR653" s="112" t="s">
        <v>2100</v>
      </c>
      <c r="CS653" s="112" t="s">
        <v>1168</v>
      </c>
      <c r="CT653" s="112" t="s">
        <v>1169</v>
      </c>
      <c r="CU653" s="112" t="s">
        <v>1664</v>
      </c>
      <c r="CV653" s="113" t="s">
        <v>1665</v>
      </c>
      <c r="CX653" s="36">
        <v>1</v>
      </c>
    </row>
    <row r="654" spans="91:102" ht="21" customHeight="1" x14ac:dyDescent="0.25">
      <c r="CM654" s="102"/>
      <c r="CN654" s="112" t="s">
        <v>2101</v>
      </c>
      <c r="CO654" s="112" t="s">
        <v>541</v>
      </c>
      <c r="CP654" s="112" t="s">
        <v>523</v>
      </c>
      <c r="CQ654" s="112" t="s">
        <v>2102</v>
      </c>
      <c r="CR654" s="112" t="s">
        <v>2102</v>
      </c>
      <c r="CS654" s="112" t="s">
        <v>1168</v>
      </c>
      <c r="CT654" s="112" t="s">
        <v>1169</v>
      </c>
      <c r="CU654" s="112" t="s">
        <v>1664</v>
      </c>
      <c r="CV654" s="113" t="s">
        <v>1665</v>
      </c>
      <c r="CX654" s="36">
        <v>1</v>
      </c>
    </row>
    <row r="655" spans="91:102" ht="21" customHeight="1" x14ac:dyDescent="0.25">
      <c r="CM655" s="102"/>
      <c r="CN655" s="112" t="s">
        <v>2103</v>
      </c>
      <c r="CO655" s="112" t="s">
        <v>541</v>
      </c>
      <c r="CP655" s="112" t="s">
        <v>523</v>
      </c>
      <c r="CQ655" s="112" t="s">
        <v>2104</v>
      </c>
      <c r="CR655" s="112" t="s">
        <v>2104</v>
      </c>
      <c r="CS655" s="112" t="s">
        <v>1168</v>
      </c>
      <c r="CT655" s="112" t="s">
        <v>1169</v>
      </c>
      <c r="CU655" s="112" t="s">
        <v>1664</v>
      </c>
      <c r="CV655" s="113" t="s">
        <v>1665</v>
      </c>
      <c r="CX655" s="36">
        <v>1</v>
      </c>
    </row>
    <row r="656" spans="91:102" ht="21" customHeight="1" x14ac:dyDescent="0.25">
      <c r="CM656" s="102"/>
      <c r="CN656" s="112" t="s">
        <v>2105</v>
      </c>
      <c r="CO656" s="112" t="s">
        <v>541</v>
      </c>
      <c r="CP656" s="112" t="s">
        <v>523</v>
      </c>
      <c r="CQ656" s="112" t="s">
        <v>2106</v>
      </c>
      <c r="CR656" s="112" t="s">
        <v>2106</v>
      </c>
      <c r="CS656" s="112" t="s">
        <v>1168</v>
      </c>
      <c r="CT656" s="112" t="s">
        <v>1169</v>
      </c>
      <c r="CU656" s="112" t="s">
        <v>1664</v>
      </c>
      <c r="CV656" s="113" t="s">
        <v>1665</v>
      </c>
      <c r="CX656" s="36">
        <v>1</v>
      </c>
    </row>
    <row r="657" spans="91:102" ht="21" customHeight="1" x14ac:dyDescent="0.25">
      <c r="CM657" s="102"/>
      <c r="CN657" s="112" t="s">
        <v>2107</v>
      </c>
      <c r="CO657" s="112" t="s">
        <v>541</v>
      </c>
      <c r="CP657" s="112" t="s">
        <v>523</v>
      </c>
      <c r="CQ657" s="112" t="s">
        <v>2108</v>
      </c>
      <c r="CR657" s="112" t="s">
        <v>2108</v>
      </c>
      <c r="CS657" s="112" t="s">
        <v>1168</v>
      </c>
      <c r="CT657" s="112" t="s">
        <v>1169</v>
      </c>
      <c r="CU657" s="112" t="s">
        <v>1664</v>
      </c>
      <c r="CV657" s="113" t="s">
        <v>1665</v>
      </c>
      <c r="CX657" s="36">
        <v>1</v>
      </c>
    </row>
    <row r="658" spans="91:102" ht="21" customHeight="1" x14ac:dyDescent="0.25">
      <c r="CM658" s="102"/>
      <c r="CN658" s="112" t="s">
        <v>2109</v>
      </c>
      <c r="CO658" s="112" t="s">
        <v>541</v>
      </c>
      <c r="CP658" s="112" t="s">
        <v>523</v>
      </c>
      <c r="CQ658" s="112" t="s">
        <v>2110</v>
      </c>
      <c r="CR658" s="112" t="s">
        <v>2110</v>
      </c>
      <c r="CS658" s="112" t="s">
        <v>1168</v>
      </c>
      <c r="CT658" s="112" t="s">
        <v>1169</v>
      </c>
      <c r="CU658" s="112" t="s">
        <v>1664</v>
      </c>
      <c r="CV658" s="113" t="s">
        <v>1665</v>
      </c>
      <c r="CX658" s="36">
        <v>1</v>
      </c>
    </row>
    <row r="659" spans="91:102" ht="21" customHeight="1" x14ac:dyDescent="0.25">
      <c r="CM659" s="102"/>
      <c r="CN659" s="112" t="s">
        <v>2111</v>
      </c>
      <c r="CO659" s="112" t="s">
        <v>541</v>
      </c>
      <c r="CP659" s="112" t="s">
        <v>523</v>
      </c>
      <c r="CQ659" s="112" t="s">
        <v>2112</v>
      </c>
      <c r="CR659" s="112" t="s">
        <v>2112</v>
      </c>
      <c r="CS659" s="112" t="s">
        <v>1168</v>
      </c>
      <c r="CT659" s="112" t="s">
        <v>1169</v>
      </c>
      <c r="CU659" s="112" t="s">
        <v>1664</v>
      </c>
      <c r="CV659" s="113" t="s">
        <v>1665</v>
      </c>
      <c r="CX659" s="36">
        <v>1</v>
      </c>
    </row>
    <row r="660" spans="91:102" ht="21" customHeight="1" x14ac:dyDescent="0.25">
      <c r="CM660" s="102"/>
      <c r="CN660" s="112" t="s">
        <v>2113</v>
      </c>
      <c r="CO660" s="112" t="s">
        <v>541</v>
      </c>
      <c r="CP660" s="112" t="s">
        <v>523</v>
      </c>
      <c r="CQ660" s="112" t="s">
        <v>2114</v>
      </c>
      <c r="CR660" s="112" t="s">
        <v>2114</v>
      </c>
      <c r="CS660" s="112" t="s">
        <v>1168</v>
      </c>
      <c r="CT660" s="112" t="s">
        <v>1169</v>
      </c>
      <c r="CU660" s="112" t="s">
        <v>1664</v>
      </c>
      <c r="CV660" s="113" t="s">
        <v>1665</v>
      </c>
      <c r="CX660" s="36">
        <v>1</v>
      </c>
    </row>
    <row r="661" spans="91:102" ht="21" customHeight="1" x14ac:dyDescent="0.25">
      <c r="CM661" s="102"/>
      <c r="CN661" s="112" t="s">
        <v>2115</v>
      </c>
      <c r="CO661" s="112" t="s">
        <v>541</v>
      </c>
      <c r="CP661" s="112" t="s">
        <v>523</v>
      </c>
      <c r="CQ661" s="112" t="s">
        <v>2116</v>
      </c>
      <c r="CR661" s="112" t="s">
        <v>2116</v>
      </c>
      <c r="CS661" s="112" t="s">
        <v>1168</v>
      </c>
      <c r="CT661" s="112" t="s">
        <v>1169</v>
      </c>
      <c r="CU661" s="112" t="s">
        <v>1664</v>
      </c>
      <c r="CV661" s="113" t="s">
        <v>1665</v>
      </c>
      <c r="CX661" s="36">
        <v>1</v>
      </c>
    </row>
    <row r="662" spans="91:102" ht="21" customHeight="1" x14ac:dyDescent="0.25">
      <c r="CM662" s="102"/>
      <c r="CN662" s="112" t="s">
        <v>2117</v>
      </c>
      <c r="CO662" s="112" t="s">
        <v>541</v>
      </c>
      <c r="CP662" s="112" t="s">
        <v>523</v>
      </c>
      <c r="CQ662" s="112" t="s">
        <v>2118</v>
      </c>
      <c r="CR662" s="112" t="s">
        <v>2118</v>
      </c>
      <c r="CS662" s="112" t="s">
        <v>1168</v>
      </c>
      <c r="CT662" s="112" t="s">
        <v>1169</v>
      </c>
      <c r="CU662" s="112" t="s">
        <v>1664</v>
      </c>
      <c r="CV662" s="113" t="s">
        <v>1665</v>
      </c>
      <c r="CX662" s="36">
        <v>1</v>
      </c>
    </row>
    <row r="663" spans="91:102" ht="21" customHeight="1" x14ac:dyDescent="0.25">
      <c r="CM663" s="102"/>
      <c r="CN663" s="112" t="s">
        <v>2119</v>
      </c>
      <c r="CO663" s="112" t="s">
        <v>541</v>
      </c>
      <c r="CP663" s="112" t="s">
        <v>523</v>
      </c>
      <c r="CQ663" s="112" t="s">
        <v>2120</v>
      </c>
      <c r="CR663" s="112" t="s">
        <v>2120</v>
      </c>
      <c r="CS663" s="112" t="s">
        <v>1168</v>
      </c>
      <c r="CT663" s="112" t="s">
        <v>1169</v>
      </c>
      <c r="CU663" s="112" t="s">
        <v>1664</v>
      </c>
      <c r="CV663" s="113" t="s">
        <v>1665</v>
      </c>
      <c r="CX663" s="36">
        <v>1</v>
      </c>
    </row>
    <row r="664" spans="91:102" ht="21" customHeight="1" x14ac:dyDescent="0.25">
      <c r="CM664" s="102"/>
      <c r="CN664" s="112" t="s">
        <v>2121</v>
      </c>
      <c r="CO664" s="112" t="s">
        <v>541</v>
      </c>
      <c r="CP664" s="112" t="s">
        <v>523</v>
      </c>
      <c r="CQ664" s="112" t="s">
        <v>2122</v>
      </c>
      <c r="CR664" s="112" t="s">
        <v>2122</v>
      </c>
      <c r="CS664" s="112" t="s">
        <v>1168</v>
      </c>
      <c r="CT664" s="112" t="s">
        <v>1169</v>
      </c>
      <c r="CU664" s="112" t="s">
        <v>1664</v>
      </c>
      <c r="CV664" s="113" t="s">
        <v>1665</v>
      </c>
      <c r="CX664" s="36">
        <v>1</v>
      </c>
    </row>
    <row r="665" spans="91:102" ht="21" customHeight="1" x14ac:dyDescent="0.25">
      <c r="CM665" s="102"/>
      <c r="CN665" s="112" t="s">
        <v>2123</v>
      </c>
      <c r="CO665" s="112" t="s">
        <v>541</v>
      </c>
      <c r="CP665" s="112" t="s">
        <v>523</v>
      </c>
      <c r="CQ665" s="112" t="s">
        <v>2124</v>
      </c>
      <c r="CR665" s="112" t="s">
        <v>2124</v>
      </c>
      <c r="CS665" s="112" t="s">
        <v>1168</v>
      </c>
      <c r="CT665" s="112" t="s">
        <v>1169</v>
      </c>
      <c r="CU665" s="112" t="s">
        <v>1664</v>
      </c>
      <c r="CV665" s="113" t="s">
        <v>1665</v>
      </c>
      <c r="CX665" s="36">
        <v>1</v>
      </c>
    </row>
    <row r="666" spans="91:102" ht="21" customHeight="1" x14ac:dyDescent="0.25">
      <c r="CM666" s="102"/>
      <c r="CN666" s="112" t="s">
        <v>2125</v>
      </c>
      <c r="CO666" s="112" t="s">
        <v>541</v>
      </c>
      <c r="CP666" s="112" t="s">
        <v>523</v>
      </c>
      <c r="CQ666" s="112" t="s">
        <v>2126</v>
      </c>
      <c r="CR666" s="112" t="s">
        <v>2126</v>
      </c>
      <c r="CS666" s="112" t="s">
        <v>1168</v>
      </c>
      <c r="CT666" s="112" t="s">
        <v>1169</v>
      </c>
      <c r="CU666" s="112" t="s">
        <v>1664</v>
      </c>
      <c r="CV666" s="113" t="s">
        <v>1665</v>
      </c>
      <c r="CX666" s="36">
        <v>1</v>
      </c>
    </row>
    <row r="667" spans="91:102" ht="21" customHeight="1" x14ac:dyDescent="0.25">
      <c r="CM667" s="102"/>
      <c r="CN667" s="112" t="s">
        <v>2127</v>
      </c>
      <c r="CO667" s="112" t="s">
        <v>541</v>
      </c>
      <c r="CP667" s="112" t="s">
        <v>523</v>
      </c>
      <c r="CQ667" s="112" t="s">
        <v>2128</v>
      </c>
      <c r="CR667" s="112" t="s">
        <v>2128</v>
      </c>
      <c r="CS667" s="112" t="s">
        <v>1168</v>
      </c>
      <c r="CT667" s="112" t="s">
        <v>1169</v>
      </c>
      <c r="CU667" s="112" t="s">
        <v>1664</v>
      </c>
      <c r="CV667" s="113" t="s">
        <v>1665</v>
      </c>
      <c r="CX667" s="36">
        <v>1</v>
      </c>
    </row>
    <row r="668" spans="91:102" ht="21" customHeight="1" x14ac:dyDescent="0.25">
      <c r="CM668" s="102"/>
      <c r="CN668" s="112" t="s">
        <v>2129</v>
      </c>
      <c r="CO668" s="112" t="s">
        <v>541</v>
      </c>
      <c r="CP668" s="112" t="s">
        <v>523</v>
      </c>
      <c r="CQ668" s="112" t="s">
        <v>2130</v>
      </c>
      <c r="CR668" s="112" t="s">
        <v>2130</v>
      </c>
      <c r="CS668" s="112" t="s">
        <v>1168</v>
      </c>
      <c r="CT668" s="112" t="s">
        <v>1169</v>
      </c>
      <c r="CU668" s="112" t="s">
        <v>1664</v>
      </c>
      <c r="CV668" s="113" t="s">
        <v>1665</v>
      </c>
      <c r="CX668" s="36">
        <v>1</v>
      </c>
    </row>
    <row r="669" spans="91:102" ht="21" customHeight="1" x14ac:dyDescent="0.25">
      <c r="CM669" s="102"/>
      <c r="CN669" s="112" t="s">
        <v>2131</v>
      </c>
      <c r="CO669" s="112" t="s">
        <v>541</v>
      </c>
      <c r="CP669" s="112" t="s">
        <v>523</v>
      </c>
      <c r="CQ669" s="112" t="s">
        <v>2132</v>
      </c>
      <c r="CR669" s="112" t="s">
        <v>2132</v>
      </c>
      <c r="CS669" s="112" t="s">
        <v>1168</v>
      </c>
      <c r="CT669" s="112" t="s">
        <v>1169</v>
      </c>
      <c r="CU669" s="112" t="s">
        <v>1664</v>
      </c>
      <c r="CV669" s="113" t="s">
        <v>1665</v>
      </c>
      <c r="CX669" s="36">
        <v>1</v>
      </c>
    </row>
    <row r="670" spans="91:102" ht="21" customHeight="1" x14ac:dyDescent="0.25">
      <c r="CM670" s="102"/>
      <c r="CN670" s="112" t="s">
        <v>2133</v>
      </c>
      <c r="CO670" s="112" t="s">
        <v>541</v>
      </c>
      <c r="CP670" s="112" t="s">
        <v>523</v>
      </c>
      <c r="CQ670" s="112" t="s">
        <v>2134</v>
      </c>
      <c r="CR670" s="112" t="s">
        <v>2134</v>
      </c>
      <c r="CS670" s="112" t="s">
        <v>1168</v>
      </c>
      <c r="CT670" s="112" t="s">
        <v>1169</v>
      </c>
      <c r="CU670" s="112" t="s">
        <v>1664</v>
      </c>
      <c r="CV670" s="113" t="s">
        <v>1665</v>
      </c>
      <c r="CX670" s="36">
        <v>1</v>
      </c>
    </row>
    <row r="671" spans="91:102" ht="21" customHeight="1" x14ac:dyDescent="0.25">
      <c r="CM671" s="102"/>
      <c r="CN671" s="112" t="s">
        <v>2135</v>
      </c>
      <c r="CO671" s="112" t="s">
        <v>541</v>
      </c>
      <c r="CP671" s="112" t="s">
        <v>523</v>
      </c>
      <c r="CQ671" s="112" t="s">
        <v>2136</v>
      </c>
      <c r="CR671" s="112" t="s">
        <v>2136</v>
      </c>
      <c r="CS671" s="112" t="s">
        <v>1168</v>
      </c>
      <c r="CT671" s="112" t="s">
        <v>1169</v>
      </c>
      <c r="CU671" s="112" t="s">
        <v>1664</v>
      </c>
      <c r="CV671" s="113" t="s">
        <v>1665</v>
      </c>
      <c r="CX671" s="36">
        <v>1</v>
      </c>
    </row>
    <row r="672" spans="91:102" ht="21" customHeight="1" x14ac:dyDescent="0.25">
      <c r="CM672" s="102"/>
      <c r="CN672" s="112" t="s">
        <v>2137</v>
      </c>
      <c r="CO672" s="112" t="s">
        <v>541</v>
      </c>
      <c r="CP672" s="112" t="s">
        <v>523</v>
      </c>
      <c r="CQ672" s="112" t="s">
        <v>2138</v>
      </c>
      <c r="CR672" s="112" t="s">
        <v>2138</v>
      </c>
      <c r="CS672" s="112" t="s">
        <v>1168</v>
      </c>
      <c r="CT672" s="112" t="s">
        <v>1169</v>
      </c>
      <c r="CU672" s="112" t="s">
        <v>1664</v>
      </c>
      <c r="CV672" s="113" t="s">
        <v>1665</v>
      </c>
      <c r="CX672" s="36">
        <v>1</v>
      </c>
    </row>
    <row r="673" spans="91:102" ht="21" customHeight="1" x14ac:dyDescent="0.25">
      <c r="CM673" s="102"/>
      <c r="CN673" s="112" t="s">
        <v>2139</v>
      </c>
      <c r="CO673" s="112" t="s">
        <v>541</v>
      </c>
      <c r="CP673" s="112" t="s">
        <v>523</v>
      </c>
      <c r="CQ673" s="112" t="s">
        <v>2140</v>
      </c>
      <c r="CR673" s="112" t="s">
        <v>2140</v>
      </c>
      <c r="CS673" s="112" t="s">
        <v>1168</v>
      </c>
      <c r="CT673" s="112" t="s">
        <v>1169</v>
      </c>
      <c r="CU673" s="112" t="s">
        <v>1664</v>
      </c>
      <c r="CV673" s="113" t="s">
        <v>1665</v>
      </c>
      <c r="CX673" s="36">
        <v>1</v>
      </c>
    </row>
    <row r="674" spans="91:102" ht="21" customHeight="1" x14ac:dyDescent="0.25">
      <c r="CM674" s="102"/>
      <c r="CN674" s="112" t="s">
        <v>2141</v>
      </c>
      <c r="CO674" s="112" t="s">
        <v>541</v>
      </c>
      <c r="CP674" s="112" t="s">
        <v>523</v>
      </c>
      <c r="CQ674" s="112" t="s">
        <v>2142</v>
      </c>
      <c r="CR674" s="112" t="s">
        <v>2142</v>
      </c>
      <c r="CS674" s="112" t="s">
        <v>1168</v>
      </c>
      <c r="CT674" s="112" t="s">
        <v>1169</v>
      </c>
      <c r="CU674" s="112" t="s">
        <v>1664</v>
      </c>
      <c r="CV674" s="113" t="s">
        <v>1665</v>
      </c>
      <c r="CX674" s="36">
        <v>1</v>
      </c>
    </row>
    <row r="675" spans="91:102" ht="21" customHeight="1" x14ac:dyDescent="0.25">
      <c r="CM675" s="102"/>
      <c r="CN675" s="112" t="s">
        <v>2143</v>
      </c>
      <c r="CO675" s="112" t="s">
        <v>541</v>
      </c>
      <c r="CP675" s="112" t="s">
        <v>523</v>
      </c>
      <c r="CQ675" s="112" t="s">
        <v>2144</v>
      </c>
      <c r="CR675" s="112" t="s">
        <v>2144</v>
      </c>
      <c r="CS675" s="112" t="s">
        <v>1168</v>
      </c>
      <c r="CT675" s="112" t="s">
        <v>1169</v>
      </c>
      <c r="CU675" s="112" t="s">
        <v>1664</v>
      </c>
      <c r="CV675" s="113" t="s">
        <v>1665</v>
      </c>
      <c r="CX675" s="36">
        <v>1</v>
      </c>
    </row>
    <row r="676" spans="91:102" ht="21" customHeight="1" x14ac:dyDescent="0.25">
      <c r="CM676" s="102"/>
      <c r="CN676" s="112" t="s">
        <v>2145</v>
      </c>
      <c r="CO676" s="112" t="s">
        <v>541</v>
      </c>
      <c r="CP676" s="112" t="s">
        <v>523</v>
      </c>
      <c r="CQ676" s="112" t="s">
        <v>2146</v>
      </c>
      <c r="CR676" s="112" t="s">
        <v>2146</v>
      </c>
      <c r="CS676" s="112" t="s">
        <v>1168</v>
      </c>
      <c r="CT676" s="112" t="s">
        <v>1169</v>
      </c>
      <c r="CU676" s="112" t="s">
        <v>1664</v>
      </c>
      <c r="CV676" s="113" t="s">
        <v>1665</v>
      </c>
      <c r="CX676" s="36">
        <v>1</v>
      </c>
    </row>
    <row r="677" spans="91:102" ht="21" customHeight="1" x14ac:dyDescent="0.25">
      <c r="CM677" s="102"/>
      <c r="CN677" s="112" t="s">
        <v>2147</v>
      </c>
      <c r="CO677" s="112" t="s">
        <v>541</v>
      </c>
      <c r="CP677" s="112" t="s">
        <v>523</v>
      </c>
      <c r="CQ677" s="112" t="s">
        <v>2148</v>
      </c>
      <c r="CR677" s="112" t="s">
        <v>2148</v>
      </c>
      <c r="CS677" s="112" t="s">
        <v>1168</v>
      </c>
      <c r="CT677" s="112" t="s">
        <v>1169</v>
      </c>
      <c r="CU677" s="112" t="s">
        <v>1664</v>
      </c>
      <c r="CV677" s="113" t="s">
        <v>1665</v>
      </c>
      <c r="CX677" s="36">
        <v>1</v>
      </c>
    </row>
    <row r="678" spans="91:102" ht="21" customHeight="1" x14ac:dyDescent="0.25">
      <c r="CM678" s="102"/>
      <c r="CN678" s="112" t="s">
        <v>2149</v>
      </c>
      <c r="CO678" s="112" t="s">
        <v>541</v>
      </c>
      <c r="CP678" s="112" t="s">
        <v>523</v>
      </c>
      <c r="CQ678" s="112" t="s">
        <v>2150</v>
      </c>
      <c r="CR678" s="112" t="s">
        <v>2150</v>
      </c>
      <c r="CS678" s="112" t="s">
        <v>1168</v>
      </c>
      <c r="CT678" s="112" t="s">
        <v>1169</v>
      </c>
      <c r="CU678" s="112" t="s">
        <v>1664</v>
      </c>
      <c r="CV678" s="113" t="s">
        <v>1665</v>
      </c>
      <c r="CX678" s="36">
        <v>1</v>
      </c>
    </row>
    <row r="679" spans="91:102" ht="21" customHeight="1" x14ac:dyDescent="0.25">
      <c r="CM679" s="102"/>
      <c r="CN679" s="112" t="s">
        <v>2151</v>
      </c>
      <c r="CO679" s="112" t="s">
        <v>541</v>
      </c>
      <c r="CP679" s="112" t="s">
        <v>523</v>
      </c>
      <c r="CQ679" s="112" t="s">
        <v>2152</v>
      </c>
      <c r="CR679" s="112" t="s">
        <v>2152</v>
      </c>
      <c r="CS679" s="112" t="s">
        <v>1168</v>
      </c>
      <c r="CT679" s="112" t="s">
        <v>1169</v>
      </c>
      <c r="CU679" s="112" t="s">
        <v>1664</v>
      </c>
      <c r="CV679" s="113" t="s">
        <v>1665</v>
      </c>
      <c r="CX679" s="36">
        <v>1</v>
      </c>
    </row>
    <row r="680" spans="91:102" ht="21" customHeight="1" x14ac:dyDescent="0.25">
      <c r="CM680" s="102"/>
      <c r="CN680" s="112" t="s">
        <v>2153</v>
      </c>
      <c r="CO680" s="112" t="s">
        <v>541</v>
      </c>
      <c r="CP680" s="112" t="s">
        <v>523</v>
      </c>
      <c r="CQ680" s="112" t="s">
        <v>2154</v>
      </c>
      <c r="CR680" s="112" t="s">
        <v>2154</v>
      </c>
      <c r="CS680" s="112" t="s">
        <v>1168</v>
      </c>
      <c r="CT680" s="112" t="s">
        <v>1169</v>
      </c>
      <c r="CU680" s="112" t="s">
        <v>1664</v>
      </c>
      <c r="CV680" s="113" t="s">
        <v>1665</v>
      </c>
      <c r="CX680" s="36">
        <v>1</v>
      </c>
    </row>
    <row r="681" spans="91:102" ht="21" customHeight="1" x14ac:dyDescent="0.25">
      <c r="CM681" s="102"/>
      <c r="CN681" s="112" t="s">
        <v>2155</v>
      </c>
      <c r="CO681" s="112" t="s">
        <v>541</v>
      </c>
      <c r="CP681" s="112" t="s">
        <v>523</v>
      </c>
      <c r="CQ681" s="112" t="s">
        <v>2156</v>
      </c>
      <c r="CR681" s="112" t="s">
        <v>2156</v>
      </c>
      <c r="CS681" s="112" t="s">
        <v>1168</v>
      </c>
      <c r="CT681" s="112" t="s">
        <v>1169</v>
      </c>
      <c r="CU681" s="112" t="s">
        <v>1664</v>
      </c>
      <c r="CV681" s="113" t="s">
        <v>1665</v>
      </c>
      <c r="CX681" s="36">
        <v>1</v>
      </c>
    </row>
    <row r="682" spans="91:102" ht="21" customHeight="1" x14ac:dyDescent="0.25">
      <c r="CM682" s="102"/>
      <c r="CN682" s="112" t="s">
        <v>2157</v>
      </c>
      <c r="CO682" s="112" t="s">
        <v>541</v>
      </c>
      <c r="CP682" s="112" t="s">
        <v>523</v>
      </c>
      <c r="CQ682" s="112" t="s">
        <v>2158</v>
      </c>
      <c r="CR682" s="112" t="s">
        <v>2158</v>
      </c>
      <c r="CS682" s="112" t="s">
        <v>1168</v>
      </c>
      <c r="CT682" s="112" t="s">
        <v>1169</v>
      </c>
      <c r="CU682" s="112" t="s">
        <v>1664</v>
      </c>
      <c r="CV682" s="113" t="s">
        <v>1665</v>
      </c>
      <c r="CX682" s="36">
        <v>1</v>
      </c>
    </row>
    <row r="683" spans="91:102" ht="21" customHeight="1" x14ac:dyDescent="0.25">
      <c r="CM683" s="102"/>
      <c r="CN683" s="112" t="s">
        <v>2159</v>
      </c>
      <c r="CO683" s="112" t="s">
        <v>541</v>
      </c>
      <c r="CP683" s="112" t="s">
        <v>523</v>
      </c>
      <c r="CQ683" s="112" t="s">
        <v>2160</v>
      </c>
      <c r="CR683" s="112" t="s">
        <v>2160</v>
      </c>
      <c r="CS683" s="112" t="s">
        <v>1168</v>
      </c>
      <c r="CT683" s="112" t="s">
        <v>1169</v>
      </c>
      <c r="CU683" s="112" t="s">
        <v>1664</v>
      </c>
      <c r="CV683" s="113" t="s">
        <v>1665</v>
      </c>
      <c r="CX683" s="36">
        <v>1</v>
      </c>
    </row>
    <row r="684" spans="91:102" ht="21" customHeight="1" x14ac:dyDescent="0.25">
      <c r="CM684" s="102"/>
      <c r="CN684" s="112" t="s">
        <v>2161</v>
      </c>
      <c r="CO684" s="112" t="s">
        <v>541</v>
      </c>
      <c r="CP684" s="112" t="s">
        <v>523</v>
      </c>
      <c r="CQ684" s="112" t="s">
        <v>2162</v>
      </c>
      <c r="CR684" s="112" t="s">
        <v>2162</v>
      </c>
      <c r="CS684" s="112" t="s">
        <v>1168</v>
      </c>
      <c r="CT684" s="112" t="s">
        <v>1169</v>
      </c>
      <c r="CU684" s="112" t="s">
        <v>1664</v>
      </c>
      <c r="CV684" s="113" t="s">
        <v>1665</v>
      </c>
      <c r="CX684" s="36">
        <v>1</v>
      </c>
    </row>
    <row r="685" spans="91:102" ht="21" customHeight="1" x14ac:dyDescent="0.25">
      <c r="CM685" s="102"/>
      <c r="CN685" s="112" t="s">
        <v>2163</v>
      </c>
      <c r="CO685" s="112" t="s">
        <v>541</v>
      </c>
      <c r="CP685" s="112" t="s">
        <v>523</v>
      </c>
      <c r="CQ685" s="112" t="s">
        <v>2164</v>
      </c>
      <c r="CR685" s="112" t="s">
        <v>2164</v>
      </c>
      <c r="CS685" s="112" t="s">
        <v>1168</v>
      </c>
      <c r="CT685" s="112" t="s">
        <v>1169</v>
      </c>
      <c r="CU685" s="112" t="s">
        <v>1664</v>
      </c>
      <c r="CV685" s="113" t="s">
        <v>1665</v>
      </c>
      <c r="CX685" s="36">
        <v>1</v>
      </c>
    </row>
    <row r="686" spans="91:102" ht="21" customHeight="1" x14ac:dyDescent="0.25">
      <c r="CM686" s="102"/>
      <c r="CN686" s="112" t="s">
        <v>2165</v>
      </c>
      <c r="CO686" s="112" t="s">
        <v>541</v>
      </c>
      <c r="CP686" s="112" t="s">
        <v>523</v>
      </c>
      <c r="CQ686" s="112" t="s">
        <v>2166</v>
      </c>
      <c r="CR686" s="112" t="s">
        <v>2166</v>
      </c>
      <c r="CS686" s="112" t="s">
        <v>1168</v>
      </c>
      <c r="CT686" s="112" t="s">
        <v>1169</v>
      </c>
      <c r="CU686" s="112" t="s">
        <v>1664</v>
      </c>
      <c r="CV686" s="113" t="s">
        <v>1665</v>
      </c>
      <c r="CX686" s="36">
        <v>1</v>
      </c>
    </row>
    <row r="687" spans="91:102" ht="21" customHeight="1" x14ac:dyDescent="0.25">
      <c r="CM687" s="102"/>
      <c r="CN687" s="112" t="s">
        <v>2167</v>
      </c>
      <c r="CO687" s="112" t="s">
        <v>541</v>
      </c>
      <c r="CP687" s="112" t="s">
        <v>523</v>
      </c>
      <c r="CQ687" s="112" t="s">
        <v>2168</v>
      </c>
      <c r="CR687" s="112" t="s">
        <v>2168</v>
      </c>
      <c r="CS687" s="112" t="s">
        <v>1168</v>
      </c>
      <c r="CT687" s="112" t="s">
        <v>1169</v>
      </c>
      <c r="CU687" s="112" t="s">
        <v>1664</v>
      </c>
      <c r="CV687" s="113" t="s">
        <v>1665</v>
      </c>
      <c r="CX687" s="36">
        <v>1</v>
      </c>
    </row>
    <row r="688" spans="91:102" ht="21" customHeight="1" x14ac:dyDescent="0.25">
      <c r="CM688" s="102"/>
      <c r="CN688" s="112" t="s">
        <v>2169</v>
      </c>
      <c r="CO688" s="112" t="s">
        <v>541</v>
      </c>
      <c r="CP688" s="112" t="s">
        <v>523</v>
      </c>
      <c r="CQ688" s="112" t="s">
        <v>2170</v>
      </c>
      <c r="CR688" s="112" t="s">
        <v>2170</v>
      </c>
      <c r="CS688" s="112" t="s">
        <v>1168</v>
      </c>
      <c r="CT688" s="112" t="s">
        <v>1169</v>
      </c>
      <c r="CU688" s="112" t="s">
        <v>1664</v>
      </c>
      <c r="CV688" s="113" t="s">
        <v>1665</v>
      </c>
      <c r="CX688" s="36">
        <v>1</v>
      </c>
    </row>
    <row r="689" spans="91:102" ht="21" customHeight="1" x14ac:dyDescent="0.25">
      <c r="CM689" s="102"/>
      <c r="CN689" s="112" t="s">
        <v>2171</v>
      </c>
      <c r="CO689" s="112" t="s">
        <v>541</v>
      </c>
      <c r="CP689" s="112" t="s">
        <v>523</v>
      </c>
      <c r="CQ689" s="112" t="s">
        <v>2172</v>
      </c>
      <c r="CR689" s="112" t="s">
        <v>2172</v>
      </c>
      <c r="CS689" s="112" t="s">
        <v>1168</v>
      </c>
      <c r="CT689" s="112" t="s">
        <v>1169</v>
      </c>
      <c r="CU689" s="112" t="s">
        <v>1664</v>
      </c>
      <c r="CV689" s="113" t="s">
        <v>1665</v>
      </c>
      <c r="CX689" s="36">
        <v>1</v>
      </c>
    </row>
    <row r="690" spans="91:102" ht="21" customHeight="1" x14ac:dyDescent="0.25">
      <c r="CM690" s="102"/>
      <c r="CN690" s="112" t="s">
        <v>2173</v>
      </c>
      <c r="CO690" s="112" t="s">
        <v>541</v>
      </c>
      <c r="CP690" s="112" t="s">
        <v>523</v>
      </c>
      <c r="CQ690" s="112" t="s">
        <v>2174</v>
      </c>
      <c r="CR690" s="112" t="s">
        <v>2174</v>
      </c>
      <c r="CS690" s="112" t="s">
        <v>1168</v>
      </c>
      <c r="CT690" s="112" t="s">
        <v>1169</v>
      </c>
      <c r="CU690" s="112" t="s">
        <v>1664</v>
      </c>
      <c r="CV690" s="113" t="s">
        <v>1665</v>
      </c>
      <c r="CX690" s="36">
        <v>1</v>
      </c>
    </row>
    <row r="691" spans="91:102" ht="21" customHeight="1" x14ac:dyDescent="0.25">
      <c r="CM691" s="102"/>
      <c r="CN691" s="112" t="s">
        <v>2175</v>
      </c>
      <c r="CO691" s="112" t="s">
        <v>541</v>
      </c>
      <c r="CP691" s="112" t="s">
        <v>523</v>
      </c>
      <c r="CQ691" s="112" t="s">
        <v>2176</v>
      </c>
      <c r="CR691" s="112" t="s">
        <v>2176</v>
      </c>
      <c r="CS691" s="112" t="s">
        <v>1168</v>
      </c>
      <c r="CT691" s="112" t="s">
        <v>1169</v>
      </c>
      <c r="CU691" s="112" t="s">
        <v>1664</v>
      </c>
      <c r="CV691" s="113" t="s">
        <v>1665</v>
      </c>
      <c r="CX691" s="36">
        <v>1</v>
      </c>
    </row>
    <row r="692" spans="91:102" ht="21" customHeight="1" x14ac:dyDescent="0.25">
      <c r="CM692" s="102"/>
      <c r="CN692" s="112" t="s">
        <v>2177</v>
      </c>
      <c r="CO692" s="112" t="s">
        <v>541</v>
      </c>
      <c r="CP692" s="112" t="s">
        <v>523</v>
      </c>
      <c r="CQ692" s="112" t="s">
        <v>2178</v>
      </c>
      <c r="CR692" s="112" t="s">
        <v>2178</v>
      </c>
      <c r="CS692" s="112" t="s">
        <v>1168</v>
      </c>
      <c r="CT692" s="112" t="s">
        <v>1169</v>
      </c>
      <c r="CU692" s="112" t="s">
        <v>1664</v>
      </c>
      <c r="CV692" s="113" t="s">
        <v>1665</v>
      </c>
      <c r="CX692" s="36">
        <v>1</v>
      </c>
    </row>
    <row r="693" spans="91:102" ht="21" customHeight="1" x14ac:dyDescent="0.25">
      <c r="CM693" s="102"/>
      <c r="CN693" s="112" t="s">
        <v>2179</v>
      </c>
      <c r="CO693" s="112" t="s">
        <v>541</v>
      </c>
      <c r="CP693" s="112" t="s">
        <v>523</v>
      </c>
      <c r="CQ693" s="112" t="s">
        <v>2180</v>
      </c>
      <c r="CR693" s="112" t="s">
        <v>2180</v>
      </c>
      <c r="CS693" s="112" t="s">
        <v>1168</v>
      </c>
      <c r="CT693" s="112" t="s">
        <v>1169</v>
      </c>
      <c r="CU693" s="112" t="s">
        <v>1664</v>
      </c>
      <c r="CV693" s="113" t="s">
        <v>1665</v>
      </c>
      <c r="CX693" s="36">
        <v>1</v>
      </c>
    </row>
    <row r="694" spans="91:102" ht="21" customHeight="1" x14ac:dyDescent="0.25">
      <c r="CM694" s="102"/>
      <c r="CN694" s="112" t="s">
        <v>2181</v>
      </c>
      <c r="CO694" s="112" t="s">
        <v>541</v>
      </c>
      <c r="CP694" s="112" t="s">
        <v>523</v>
      </c>
      <c r="CQ694" s="112" t="s">
        <v>2182</v>
      </c>
      <c r="CR694" s="112" t="s">
        <v>2182</v>
      </c>
      <c r="CS694" s="112" t="s">
        <v>1168</v>
      </c>
      <c r="CT694" s="112" t="s">
        <v>1169</v>
      </c>
      <c r="CU694" s="112" t="s">
        <v>1664</v>
      </c>
      <c r="CV694" s="113" t="s">
        <v>1665</v>
      </c>
      <c r="CX694" s="36">
        <v>1</v>
      </c>
    </row>
    <row r="695" spans="91:102" ht="21" customHeight="1" x14ac:dyDescent="0.25">
      <c r="CM695" s="102"/>
      <c r="CN695" s="112" t="s">
        <v>2183</v>
      </c>
      <c r="CO695" s="112" t="s">
        <v>541</v>
      </c>
      <c r="CP695" s="112" t="s">
        <v>523</v>
      </c>
      <c r="CQ695" s="112" t="s">
        <v>2184</v>
      </c>
      <c r="CR695" s="112" t="s">
        <v>2184</v>
      </c>
      <c r="CS695" s="112" t="s">
        <v>1168</v>
      </c>
      <c r="CT695" s="112" t="s">
        <v>1169</v>
      </c>
      <c r="CU695" s="112" t="s">
        <v>1664</v>
      </c>
      <c r="CV695" s="113" t="s">
        <v>1665</v>
      </c>
      <c r="CX695" s="36">
        <v>1</v>
      </c>
    </row>
    <row r="696" spans="91:102" ht="21" customHeight="1" x14ac:dyDescent="0.25">
      <c r="CM696" s="102"/>
      <c r="CN696" s="112" t="s">
        <v>2185</v>
      </c>
      <c r="CO696" s="112" t="s">
        <v>541</v>
      </c>
      <c r="CP696" s="112" t="s">
        <v>523</v>
      </c>
      <c r="CQ696" s="112" t="s">
        <v>2186</v>
      </c>
      <c r="CR696" s="112" t="s">
        <v>2186</v>
      </c>
      <c r="CS696" s="112" t="s">
        <v>1168</v>
      </c>
      <c r="CT696" s="112" t="s">
        <v>1169</v>
      </c>
      <c r="CU696" s="112" t="s">
        <v>1664</v>
      </c>
      <c r="CV696" s="113" t="s">
        <v>1665</v>
      </c>
      <c r="CX696" s="36">
        <v>1</v>
      </c>
    </row>
    <row r="697" spans="91:102" ht="21" customHeight="1" x14ac:dyDescent="0.25">
      <c r="CM697" s="102"/>
      <c r="CN697" s="112" t="s">
        <v>2187</v>
      </c>
      <c r="CO697" s="112" t="s">
        <v>541</v>
      </c>
      <c r="CP697" s="112" t="s">
        <v>523</v>
      </c>
      <c r="CQ697" s="112" t="s">
        <v>2188</v>
      </c>
      <c r="CR697" s="112" t="s">
        <v>2188</v>
      </c>
      <c r="CS697" s="112" t="s">
        <v>1168</v>
      </c>
      <c r="CT697" s="112" t="s">
        <v>1169</v>
      </c>
      <c r="CU697" s="112" t="s">
        <v>1664</v>
      </c>
      <c r="CV697" s="113" t="s">
        <v>1665</v>
      </c>
      <c r="CX697" s="36">
        <v>1</v>
      </c>
    </row>
    <row r="698" spans="91:102" ht="21" customHeight="1" x14ac:dyDescent="0.25">
      <c r="CM698" s="102"/>
      <c r="CN698" s="112" t="s">
        <v>2189</v>
      </c>
      <c r="CO698" s="112" t="s">
        <v>541</v>
      </c>
      <c r="CP698" s="112" t="s">
        <v>523</v>
      </c>
      <c r="CQ698" s="112" t="s">
        <v>2190</v>
      </c>
      <c r="CR698" s="112" t="s">
        <v>2190</v>
      </c>
      <c r="CS698" s="112" t="s">
        <v>1168</v>
      </c>
      <c r="CT698" s="112" t="s">
        <v>1169</v>
      </c>
      <c r="CU698" s="112" t="s">
        <v>1664</v>
      </c>
      <c r="CV698" s="113" t="s">
        <v>1665</v>
      </c>
      <c r="CX698" s="36">
        <v>1</v>
      </c>
    </row>
    <row r="699" spans="91:102" ht="21" customHeight="1" x14ac:dyDescent="0.25">
      <c r="CM699" s="102"/>
      <c r="CN699" s="112" t="s">
        <v>2191</v>
      </c>
      <c r="CO699" s="112" t="s">
        <v>541</v>
      </c>
      <c r="CP699" s="112" t="s">
        <v>523</v>
      </c>
      <c r="CQ699" s="112" t="s">
        <v>2192</v>
      </c>
      <c r="CR699" s="112" t="s">
        <v>2192</v>
      </c>
      <c r="CS699" s="112" t="s">
        <v>1168</v>
      </c>
      <c r="CT699" s="112" t="s">
        <v>1169</v>
      </c>
      <c r="CU699" s="112" t="s">
        <v>1664</v>
      </c>
      <c r="CV699" s="113" t="s">
        <v>1665</v>
      </c>
      <c r="CX699" s="36">
        <v>1</v>
      </c>
    </row>
    <row r="700" spans="91:102" ht="21" customHeight="1" x14ac:dyDescent="0.25">
      <c r="CM700" s="102"/>
      <c r="CN700" s="112" t="s">
        <v>2193</v>
      </c>
      <c r="CO700" s="112" t="s">
        <v>541</v>
      </c>
      <c r="CP700" s="112" t="s">
        <v>523</v>
      </c>
      <c r="CQ700" s="112" t="s">
        <v>2194</v>
      </c>
      <c r="CR700" s="112" t="s">
        <v>2194</v>
      </c>
      <c r="CS700" s="112" t="s">
        <v>1168</v>
      </c>
      <c r="CT700" s="112" t="s">
        <v>1169</v>
      </c>
      <c r="CU700" s="112" t="s">
        <v>1664</v>
      </c>
      <c r="CV700" s="113" t="s">
        <v>1665</v>
      </c>
      <c r="CX700" s="36">
        <v>1</v>
      </c>
    </row>
    <row r="701" spans="91:102" ht="21" customHeight="1" x14ac:dyDescent="0.25">
      <c r="CM701" s="102"/>
      <c r="CN701" s="112" t="s">
        <v>2195</v>
      </c>
      <c r="CO701" s="112" t="s">
        <v>541</v>
      </c>
      <c r="CP701" s="112" t="s">
        <v>523</v>
      </c>
      <c r="CQ701" s="112" t="s">
        <v>2196</v>
      </c>
      <c r="CR701" s="112" t="s">
        <v>2196</v>
      </c>
      <c r="CS701" s="112" t="s">
        <v>1168</v>
      </c>
      <c r="CT701" s="112" t="s">
        <v>1169</v>
      </c>
      <c r="CU701" s="112" t="s">
        <v>1664</v>
      </c>
      <c r="CV701" s="113" t="s">
        <v>1665</v>
      </c>
      <c r="CX701" s="36">
        <v>1</v>
      </c>
    </row>
    <row r="702" spans="91:102" ht="21" customHeight="1" x14ac:dyDescent="0.25">
      <c r="CM702" s="102"/>
      <c r="CN702" s="112" t="s">
        <v>2197</v>
      </c>
      <c r="CO702" s="112" t="s">
        <v>541</v>
      </c>
      <c r="CP702" s="112" t="s">
        <v>523</v>
      </c>
      <c r="CQ702" s="112" t="s">
        <v>2198</v>
      </c>
      <c r="CR702" s="112" t="s">
        <v>2198</v>
      </c>
      <c r="CS702" s="112" t="s">
        <v>1168</v>
      </c>
      <c r="CT702" s="112" t="s">
        <v>1169</v>
      </c>
      <c r="CU702" s="112" t="s">
        <v>1664</v>
      </c>
      <c r="CV702" s="113" t="s">
        <v>1665</v>
      </c>
      <c r="CX702" s="36">
        <v>1</v>
      </c>
    </row>
    <row r="703" spans="91:102" ht="21" customHeight="1" x14ac:dyDescent="0.25">
      <c r="CM703" s="102"/>
      <c r="CN703" s="112" t="s">
        <v>2199</v>
      </c>
      <c r="CO703" s="112" t="s">
        <v>541</v>
      </c>
      <c r="CP703" s="112" t="s">
        <v>523</v>
      </c>
      <c r="CQ703" s="112" t="s">
        <v>2200</v>
      </c>
      <c r="CR703" s="112" t="s">
        <v>2200</v>
      </c>
      <c r="CS703" s="112" t="s">
        <v>1168</v>
      </c>
      <c r="CT703" s="112" t="s">
        <v>1169</v>
      </c>
      <c r="CU703" s="112" t="s">
        <v>1664</v>
      </c>
      <c r="CV703" s="113" t="s">
        <v>1665</v>
      </c>
      <c r="CX703" s="36">
        <v>1</v>
      </c>
    </row>
    <row r="704" spans="91:102" ht="21" customHeight="1" x14ac:dyDescent="0.25">
      <c r="CM704" s="102"/>
      <c r="CN704" s="112" t="s">
        <v>2201</v>
      </c>
      <c r="CO704" s="112" t="s">
        <v>541</v>
      </c>
      <c r="CP704" s="112" t="s">
        <v>523</v>
      </c>
      <c r="CQ704" s="112" t="s">
        <v>2202</v>
      </c>
      <c r="CR704" s="112" t="s">
        <v>2202</v>
      </c>
      <c r="CS704" s="112" t="s">
        <v>1168</v>
      </c>
      <c r="CT704" s="112" t="s">
        <v>1169</v>
      </c>
      <c r="CU704" s="112" t="s">
        <v>1664</v>
      </c>
      <c r="CV704" s="113" t="s">
        <v>1665</v>
      </c>
      <c r="CX704" s="36">
        <v>1</v>
      </c>
    </row>
    <row r="705" spans="91:102" ht="21" customHeight="1" x14ac:dyDescent="0.25">
      <c r="CM705" s="102"/>
      <c r="CN705" s="112" t="s">
        <v>2203</v>
      </c>
      <c r="CO705" s="112" t="s">
        <v>541</v>
      </c>
      <c r="CP705" s="112" t="s">
        <v>523</v>
      </c>
      <c r="CQ705" s="112" t="s">
        <v>2204</v>
      </c>
      <c r="CR705" s="112" t="s">
        <v>2204</v>
      </c>
      <c r="CS705" s="112" t="s">
        <v>1168</v>
      </c>
      <c r="CT705" s="112" t="s">
        <v>1169</v>
      </c>
      <c r="CU705" s="112" t="s">
        <v>1664</v>
      </c>
      <c r="CV705" s="113" t="s">
        <v>1665</v>
      </c>
      <c r="CX705" s="36">
        <v>1</v>
      </c>
    </row>
    <row r="706" spans="91:102" ht="21" customHeight="1" x14ac:dyDescent="0.25">
      <c r="CM706" s="102"/>
      <c r="CN706" s="112" t="s">
        <v>2205</v>
      </c>
      <c r="CO706" s="112" t="s">
        <v>541</v>
      </c>
      <c r="CP706" s="112" t="s">
        <v>523</v>
      </c>
      <c r="CQ706" s="112" t="s">
        <v>2206</v>
      </c>
      <c r="CR706" s="112" t="s">
        <v>2206</v>
      </c>
      <c r="CS706" s="112" t="s">
        <v>1168</v>
      </c>
      <c r="CT706" s="112" t="s">
        <v>1169</v>
      </c>
      <c r="CU706" s="112" t="s">
        <v>1664</v>
      </c>
      <c r="CV706" s="113" t="s">
        <v>1665</v>
      </c>
      <c r="CX706" s="36">
        <v>1</v>
      </c>
    </row>
    <row r="707" spans="91:102" ht="21" customHeight="1" x14ac:dyDescent="0.25">
      <c r="CM707" s="102"/>
      <c r="CN707" s="112" t="s">
        <v>2207</v>
      </c>
      <c r="CO707" s="112" t="s">
        <v>541</v>
      </c>
      <c r="CP707" s="112" t="s">
        <v>523</v>
      </c>
      <c r="CQ707" s="112" t="s">
        <v>2208</v>
      </c>
      <c r="CR707" s="112" t="s">
        <v>2208</v>
      </c>
      <c r="CS707" s="112" t="s">
        <v>1168</v>
      </c>
      <c r="CT707" s="112" t="s">
        <v>1169</v>
      </c>
      <c r="CU707" s="112" t="s">
        <v>1664</v>
      </c>
      <c r="CV707" s="113" t="s">
        <v>1665</v>
      </c>
      <c r="CX707" s="36">
        <v>1</v>
      </c>
    </row>
    <row r="708" spans="91:102" ht="21" customHeight="1" x14ac:dyDescent="0.25">
      <c r="CM708" s="102"/>
      <c r="CN708" s="112" t="s">
        <v>2209</v>
      </c>
      <c r="CO708" s="112" t="s">
        <v>541</v>
      </c>
      <c r="CP708" s="112" t="s">
        <v>523</v>
      </c>
      <c r="CQ708" s="112" t="s">
        <v>2210</v>
      </c>
      <c r="CR708" s="112" t="s">
        <v>2210</v>
      </c>
      <c r="CS708" s="112" t="s">
        <v>1168</v>
      </c>
      <c r="CT708" s="112" t="s">
        <v>1169</v>
      </c>
      <c r="CU708" s="112" t="s">
        <v>1664</v>
      </c>
      <c r="CV708" s="113" t="s">
        <v>1665</v>
      </c>
      <c r="CX708" s="36">
        <v>1</v>
      </c>
    </row>
    <row r="709" spans="91:102" ht="21" customHeight="1" x14ac:dyDescent="0.25">
      <c r="CM709" s="102"/>
      <c r="CN709" s="112" t="s">
        <v>2211</v>
      </c>
      <c r="CO709" s="112" t="s">
        <v>541</v>
      </c>
      <c r="CP709" s="112" t="s">
        <v>523</v>
      </c>
      <c r="CQ709" s="112" t="s">
        <v>2212</v>
      </c>
      <c r="CR709" s="112" t="s">
        <v>2212</v>
      </c>
      <c r="CS709" s="112" t="s">
        <v>1168</v>
      </c>
      <c r="CT709" s="112" t="s">
        <v>1169</v>
      </c>
      <c r="CU709" s="112" t="s">
        <v>1664</v>
      </c>
      <c r="CV709" s="113" t="s">
        <v>1665</v>
      </c>
      <c r="CX709" s="36">
        <v>1</v>
      </c>
    </row>
    <row r="710" spans="91:102" ht="21" customHeight="1" x14ac:dyDescent="0.25">
      <c r="CM710" s="102"/>
      <c r="CN710" s="112" t="s">
        <v>2213</v>
      </c>
      <c r="CO710" s="112" t="s">
        <v>541</v>
      </c>
      <c r="CP710" s="112" t="s">
        <v>523</v>
      </c>
      <c r="CQ710" s="112" t="s">
        <v>2214</v>
      </c>
      <c r="CR710" s="112" t="s">
        <v>2214</v>
      </c>
      <c r="CS710" s="112" t="s">
        <v>1168</v>
      </c>
      <c r="CT710" s="112" t="s">
        <v>1169</v>
      </c>
      <c r="CU710" s="112" t="s">
        <v>1664</v>
      </c>
      <c r="CV710" s="113" t="s">
        <v>1665</v>
      </c>
      <c r="CX710" s="36">
        <v>1</v>
      </c>
    </row>
    <row r="711" spans="91:102" ht="21" customHeight="1" x14ac:dyDescent="0.25">
      <c r="CM711" s="102"/>
      <c r="CN711" s="112" t="s">
        <v>2215</v>
      </c>
      <c r="CO711" s="112" t="s">
        <v>541</v>
      </c>
      <c r="CP711" s="112" t="s">
        <v>523</v>
      </c>
      <c r="CQ711" s="112" t="s">
        <v>2216</v>
      </c>
      <c r="CR711" s="112" t="s">
        <v>2216</v>
      </c>
      <c r="CS711" s="112" t="s">
        <v>1168</v>
      </c>
      <c r="CT711" s="112" t="s">
        <v>1169</v>
      </c>
      <c r="CU711" s="112" t="s">
        <v>1664</v>
      </c>
      <c r="CV711" s="113" t="s">
        <v>1665</v>
      </c>
      <c r="CX711" s="36">
        <v>1</v>
      </c>
    </row>
    <row r="712" spans="91:102" ht="21" customHeight="1" x14ac:dyDescent="0.25">
      <c r="CM712" s="102"/>
      <c r="CN712" s="112" t="s">
        <v>2217</v>
      </c>
      <c r="CO712" s="112" t="s">
        <v>541</v>
      </c>
      <c r="CP712" s="112" t="s">
        <v>523</v>
      </c>
      <c r="CQ712" s="112" t="s">
        <v>2218</v>
      </c>
      <c r="CR712" s="112" t="s">
        <v>2218</v>
      </c>
      <c r="CS712" s="112" t="s">
        <v>1168</v>
      </c>
      <c r="CT712" s="112" t="s">
        <v>1169</v>
      </c>
      <c r="CU712" s="112" t="s">
        <v>1664</v>
      </c>
      <c r="CV712" s="113" t="s">
        <v>1665</v>
      </c>
      <c r="CX712" s="36">
        <v>1</v>
      </c>
    </row>
    <row r="713" spans="91:102" ht="21" customHeight="1" x14ac:dyDescent="0.25">
      <c r="CM713" s="102"/>
      <c r="CN713" s="112" t="s">
        <v>2219</v>
      </c>
      <c r="CO713" s="112" t="s">
        <v>541</v>
      </c>
      <c r="CP713" s="112" t="s">
        <v>523</v>
      </c>
      <c r="CQ713" s="112" t="s">
        <v>2220</v>
      </c>
      <c r="CR713" s="112" t="s">
        <v>2220</v>
      </c>
      <c r="CS713" s="112" t="s">
        <v>1168</v>
      </c>
      <c r="CT713" s="112" t="s">
        <v>1169</v>
      </c>
      <c r="CU713" s="112" t="s">
        <v>1664</v>
      </c>
      <c r="CV713" s="113" t="s">
        <v>1665</v>
      </c>
      <c r="CX713" s="36">
        <v>1</v>
      </c>
    </row>
    <row r="714" spans="91:102" ht="21" customHeight="1" x14ac:dyDescent="0.25">
      <c r="CM714" s="102"/>
      <c r="CN714" s="112" t="s">
        <v>2221</v>
      </c>
      <c r="CO714" s="112" t="s">
        <v>541</v>
      </c>
      <c r="CP714" s="112" t="s">
        <v>523</v>
      </c>
      <c r="CQ714" s="112" t="s">
        <v>2222</v>
      </c>
      <c r="CR714" s="112" t="s">
        <v>2222</v>
      </c>
      <c r="CS714" s="112" t="s">
        <v>1168</v>
      </c>
      <c r="CT714" s="112" t="s">
        <v>1169</v>
      </c>
      <c r="CU714" s="112" t="s">
        <v>1664</v>
      </c>
      <c r="CV714" s="113" t="s">
        <v>1665</v>
      </c>
      <c r="CX714" s="36">
        <v>1</v>
      </c>
    </row>
    <row r="715" spans="91:102" ht="21" customHeight="1" x14ac:dyDescent="0.25">
      <c r="CM715" s="102"/>
      <c r="CN715" s="112" t="s">
        <v>2223</v>
      </c>
      <c r="CO715" s="112" t="s">
        <v>541</v>
      </c>
      <c r="CP715" s="112" t="s">
        <v>523</v>
      </c>
      <c r="CQ715" s="112" t="s">
        <v>2224</v>
      </c>
      <c r="CR715" s="112" t="s">
        <v>2224</v>
      </c>
      <c r="CS715" s="112" t="s">
        <v>1168</v>
      </c>
      <c r="CT715" s="112" t="s">
        <v>1169</v>
      </c>
      <c r="CU715" s="112" t="s">
        <v>1664</v>
      </c>
      <c r="CV715" s="113" t="s">
        <v>1665</v>
      </c>
      <c r="CX715" s="36">
        <v>1</v>
      </c>
    </row>
    <row r="716" spans="91:102" ht="21" customHeight="1" x14ac:dyDescent="0.25">
      <c r="CM716" s="102"/>
      <c r="CN716" s="112" t="s">
        <v>2225</v>
      </c>
      <c r="CO716" s="112" t="s">
        <v>541</v>
      </c>
      <c r="CP716" s="112" t="s">
        <v>523</v>
      </c>
      <c r="CQ716" s="112" t="s">
        <v>2226</v>
      </c>
      <c r="CR716" s="112" t="s">
        <v>2226</v>
      </c>
      <c r="CS716" s="112" t="s">
        <v>1168</v>
      </c>
      <c r="CT716" s="112" t="s">
        <v>1169</v>
      </c>
      <c r="CU716" s="112" t="s">
        <v>1664</v>
      </c>
      <c r="CV716" s="113" t="s">
        <v>1665</v>
      </c>
      <c r="CX716" s="36">
        <v>1</v>
      </c>
    </row>
    <row r="717" spans="91:102" ht="21" customHeight="1" x14ac:dyDescent="0.25">
      <c r="CM717" s="102"/>
      <c r="CN717" s="112" t="s">
        <v>2227</v>
      </c>
      <c r="CO717" s="112" t="s">
        <v>541</v>
      </c>
      <c r="CP717" s="112" t="s">
        <v>523</v>
      </c>
      <c r="CQ717" s="112" t="s">
        <v>2228</v>
      </c>
      <c r="CR717" s="112" t="s">
        <v>2228</v>
      </c>
      <c r="CS717" s="112" t="s">
        <v>1168</v>
      </c>
      <c r="CT717" s="112" t="s">
        <v>1169</v>
      </c>
      <c r="CU717" s="112" t="s">
        <v>1664</v>
      </c>
      <c r="CV717" s="113" t="s">
        <v>1665</v>
      </c>
      <c r="CX717" s="36">
        <v>1</v>
      </c>
    </row>
    <row r="718" spans="91:102" ht="21" customHeight="1" x14ac:dyDescent="0.25">
      <c r="CM718" s="102"/>
      <c r="CN718" s="112" t="s">
        <v>2229</v>
      </c>
      <c r="CO718" s="112" t="s">
        <v>541</v>
      </c>
      <c r="CP718" s="112" t="s">
        <v>523</v>
      </c>
      <c r="CQ718" s="112" t="s">
        <v>2230</v>
      </c>
      <c r="CR718" s="112" t="s">
        <v>2230</v>
      </c>
      <c r="CS718" s="112" t="s">
        <v>1168</v>
      </c>
      <c r="CT718" s="112" t="s">
        <v>1169</v>
      </c>
      <c r="CU718" s="112" t="s">
        <v>1664</v>
      </c>
      <c r="CV718" s="113" t="s">
        <v>1665</v>
      </c>
      <c r="CX718" s="36">
        <v>1</v>
      </c>
    </row>
    <row r="719" spans="91:102" ht="21" customHeight="1" x14ac:dyDescent="0.25">
      <c r="CM719" s="102"/>
      <c r="CN719" s="112" t="s">
        <v>2231</v>
      </c>
      <c r="CO719" s="112" t="s">
        <v>541</v>
      </c>
      <c r="CP719" s="112" t="s">
        <v>523</v>
      </c>
      <c r="CQ719" s="112" t="s">
        <v>2232</v>
      </c>
      <c r="CR719" s="112" t="s">
        <v>2232</v>
      </c>
      <c r="CS719" s="112" t="s">
        <v>1168</v>
      </c>
      <c r="CT719" s="112" t="s">
        <v>1169</v>
      </c>
      <c r="CU719" s="112" t="s">
        <v>1664</v>
      </c>
      <c r="CV719" s="113" t="s">
        <v>1665</v>
      </c>
      <c r="CX719" s="36">
        <v>1</v>
      </c>
    </row>
    <row r="720" spans="91:102" ht="21" customHeight="1" x14ac:dyDescent="0.25">
      <c r="CM720" s="102"/>
      <c r="CN720" s="112" t="s">
        <v>2233</v>
      </c>
      <c r="CO720" s="112" t="s">
        <v>541</v>
      </c>
      <c r="CP720" s="112" t="s">
        <v>523</v>
      </c>
      <c r="CQ720" s="112" t="s">
        <v>2234</v>
      </c>
      <c r="CR720" s="112" t="s">
        <v>2234</v>
      </c>
      <c r="CS720" s="112" t="s">
        <v>1168</v>
      </c>
      <c r="CT720" s="112" t="s">
        <v>1169</v>
      </c>
      <c r="CU720" s="112" t="s">
        <v>1664</v>
      </c>
      <c r="CV720" s="113" t="s">
        <v>1665</v>
      </c>
      <c r="CX720" s="36">
        <v>1</v>
      </c>
    </row>
    <row r="721" spans="91:102" ht="21" customHeight="1" x14ac:dyDescent="0.25">
      <c r="CM721" s="102"/>
      <c r="CN721" s="112" t="s">
        <v>2235</v>
      </c>
      <c r="CO721" s="112" t="s">
        <v>541</v>
      </c>
      <c r="CP721" s="112" t="s">
        <v>523</v>
      </c>
      <c r="CQ721" s="112" t="s">
        <v>2236</v>
      </c>
      <c r="CR721" s="112" t="s">
        <v>2236</v>
      </c>
      <c r="CS721" s="112" t="s">
        <v>1168</v>
      </c>
      <c r="CT721" s="112" t="s">
        <v>1169</v>
      </c>
      <c r="CU721" s="112" t="s">
        <v>1664</v>
      </c>
      <c r="CV721" s="113" t="s">
        <v>1665</v>
      </c>
      <c r="CX721" s="36">
        <v>1</v>
      </c>
    </row>
    <row r="722" spans="91:102" ht="21" customHeight="1" x14ac:dyDescent="0.25">
      <c r="CM722" s="102"/>
      <c r="CN722" s="112" t="s">
        <v>2237</v>
      </c>
      <c r="CO722" s="112" t="s">
        <v>541</v>
      </c>
      <c r="CP722" s="112" t="s">
        <v>523</v>
      </c>
      <c r="CQ722" s="112" t="s">
        <v>2238</v>
      </c>
      <c r="CR722" s="112" t="s">
        <v>2238</v>
      </c>
      <c r="CS722" s="112" t="s">
        <v>1168</v>
      </c>
      <c r="CT722" s="112" t="s">
        <v>1169</v>
      </c>
      <c r="CU722" s="112" t="s">
        <v>1664</v>
      </c>
      <c r="CV722" s="113" t="s">
        <v>1665</v>
      </c>
      <c r="CX722" s="36">
        <v>1</v>
      </c>
    </row>
    <row r="723" spans="91:102" ht="21" customHeight="1" x14ac:dyDescent="0.25">
      <c r="CM723" s="102"/>
      <c r="CN723" s="112" t="s">
        <v>2239</v>
      </c>
      <c r="CO723" s="112" t="s">
        <v>541</v>
      </c>
      <c r="CP723" s="112" t="s">
        <v>523</v>
      </c>
      <c r="CQ723" s="112" t="s">
        <v>2240</v>
      </c>
      <c r="CR723" s="112" t="s">
        <v>2240</v>
      </c>
      <c r="CS723" s="112" t="s">
        <v>1168</v>
      </c>
      <c r="CT723" s="112" t="s">
        <v>1169</v>
      </c>
      <c r="CU723" s="112" t="s">
        <v>1664</v>
      </c>
      <c r="CV723" s="113" t="s">
        <v>1665</v>
      </c>
      <c r="CX723" s="36">
        <v>1</v>
      </c>
    </row>
    <row r="724" spans="91:102" ht="21" customHeight="1" x14ac:dyDescent="0.25">
      <c r="CM724" s="102"/>
      <c r="CN724" s="112" t="s">
        <v>2241</v>
      </c>
      <c r="CO724" s="112" t="s">
        <v>541</v>
      </c>
      <c r="CP724" s="112" t="s">
        <v>523</v>
      </c>
      <c r="CQ724" s="112" t="s">
        <v>2242</v>
      </c>
      <c r="CR724" s="112" t="s">
        <v>2242</v>
      </c>
      <c r="CS724" s="112" t="s">
        <v>1168</v>
      </c>
      <c r="CT724" s="112" t="s">
        <v>1169</v>
      </c>
      <c r="CU724" s="112" t="s">
        <v>1664</v>
      </c>
      <c r="CV724" s="113" t="s">
        <v>1665</v>
      </c>
      <c r="CX724" s="36">
        <v>1</v>
      </c>
    </row>
    <row r="725" spans="91:102" ht="21" customHeight="1" x14ac:dyDescent="0.25">
      <c r="CM725" s="102"/>
      <c r="CN725" s="112" t="s">
        <v>2243</v>
      </c>
      <c r="CO725" s="112" t="s">
        <v>541</v>
      </c>
      <c r="CP725" s="112" t="s">
        <v>523</v>
      </c>
      <c r="CQ725" s="112" t="s">
        <v>2244</v>
      </c>
      <c r="CR725" s="112" t="s">
        <v>2244</v>
      </c>
      <c r="CS725" s="112" t="s">
        <v>1168</v>
      </c>
      <c r="CT725" s="112" t="s">
        <v>1169</v>
      </c>
      <c r="CU725" s="112" t="s">
        <v>1664</v>
      </c>
      <c r="CV725" s="113" t="s">
        <v>1665</v>
      </c>
      <c r="CX725" s="36">
        <v>1</v>
      </c>
    </row>
    <row r="726" spans="91:102" ht="21" customHeight="1" x14ac:dyDescent="0.25">
      <c r="CM726" s="102"/>
      <c r="CN726" s="112" t="s">
        <v>2245</v>
      </c>
      <c r="CO726" s="112" t="s">
        <v>541</v>
      </c>
      <c r="CP726" s="112" t="s">
        <v>523</v>
      </c>
      <c r="CQ726" s="112" t="s">
        <v>2246</v>
      </c>
      <c r="CR726" s="112" t="s">
        <v>2246</v>
      </c>
      <c r="CS726" s="112" t="s">
        <v>1168</v>
      </c>
      <c r="CT726" s="112" t="s">
        <v>1169</v>
      </c>
      <c r="CU726" s="112" t="s">
        <v>1664</v>
      </c>
      <c r="CV726" s="113" t="s">
        <v>1665</v>
      </c>
      <c r="CX726" s="36">
        <v>1</v>
      </c>
    </row>
    <row r="727" spans="91:102" ht="21" customHeight="1" x14ac:dyDescent="0.25">
      <c r="CM727" s="102"/>
      <c r="CN727" s="112" t="s">
        <v>2247</v>
      </c>
      <c r="CO727" s="112" t="s">
        <v>541</v>
      </c>
      <c r="CP727" s="112" t="s">
        <v>523</v>
      </c>
      <c r="CQ727" s="112" t="s">
        <v>2248</v>
      </c>
      <c r="CR727" s="112" t="s">
        <v>2248</v>
      </c>
      <c r="CS727" s="112" t="s">
        <v>1168</v>
      </c>
      <c r="CT727" s="112" t="s">
        <v>1169</v>
      </c>
      <c r="CU727" s="112" t="s">
        <v>1664</v>
      </c>
      <c r="CV727" s="113" t="s">
        <v>1665</v>
      </c>
      <c r="CX727" s="36">
        <v>1</v>
      </c>
    </row>
    <row r="728" spans="91:102" ht="21" customHeight="1" x14ac:dyDescent="0.25">
      <c r="CM728" s="102"/>
      <c r="CN728" s="112" t="s">
        <v>2249</v>
      </c>
      <c r="CO728" s="112" t="s">
        <v>541</v>
      </c>
      <c r="CP728" s="112" t="s">
        <v>523</v>
      </c>
      <c r="CQ728" s="112" t="s">
        <v>2250</v>
      </c>
      <c r="CR728" s="112" t="s">
        <v>2250</v>
      </c>
      <c r="CS728" s="112" t="s">
        <v>1168</v>
      </c>
      <c r="CT728" s="112" t="s">
        <v>1169</v>
      </c>
      <c r="CU728" s="112" t="s">
        <v>1664</v>
      </c>
      <c r="CV728" s="113" t="s">
        <v>1665</v>
      </c>
      <c r="CX728" s="36">
        <v>1</v>
      </c>
    </row>
    <row r="729" spans="91:102" ht="21" customHeight="1" x14ac:dyDescent="0.25">
      <c r="CM729" s="102"/>
      <c r="CN729" s="112" t="s">
        <v>2251</v>
      </c>
      <c r="CO729" s="112" t="s">
        <v>541</v>
      </c>
      <c r="CP729" s="112" t="s">
        <v>523</v>
      </c>
      <c r="CQ729" s="112" t="s">
        <v>2252</v>
      </c>
      <c r="CR729" s="112" t="s">
        <v>2252</v>
      </c>
      <c r="CS729" s="112" t="s">
        <v>525</v>
      </c>
      <c r="CT729" s="112" t="s">
        <v>1747</v>
      </c>
      <c r="CU729" s="112" t="s">
        <v>527</v>
      </c>
      <c r="CV729" s="113" t="s">
        <v>528</v>
      </c>
      <c r="CX729" s="36">
        <v>1</v>
      </c>
    </row>
    <row r="730" spans="91:102" ht="21" customHeight="1" x14ac:dyDescent="0.25">
      <c r="CM730" s="102"/>
      <c r="CN730" s="112" t="s">
        <v>2253</v>
      </c>
      <c r="CO730" s="112" t="s">
        <v>541</v>
      </c>
      <c r="CP730" s="112" t="s">
        <v>523</v>
      </c>
      <c r="CQ730" s="112" t="s">
        <v>2254</v>
      </c>
      <c r="CR730" s="112" t="s">
        <v>2254</v>
      </c>
      <c r="CS730" s="112" t="s">
        <v>1168</v>
      </c>
      <c r="CT730" s="112" t="s">
        <v>1169</v>
      </c>
      <c r="CU730" s="112" t="s">
        <v>1664</v>
      </c>
      <c r="CV730" s="113" t="s">
        <v>1665</v>
      </c>
      <c r="CX730" s="36">
        <v>1</v>
      </c>
    </row>
    <row r="731" spans="91:102" ht="21" customHeight="1" x14ac:dyDescent="0.25">
      <c r="CM731" s="102"/>
      <c r="CN731" s="112" t="s">
        <v>2255</v>
      </c>
      <c r="CO731" s="112" t="s">
        <v>541</v>
      </c>
      <c r="CP731" s="112" t="s">
        <v>523</v>
      </c>
      <c r="CQ731" s="112" t="s">
        <v>2256</v>
      </c>
      <c r="CR731" s="112" t="s">
        <v>2256</v>
      </c>
      <c r="CS731" s="112" t="s">
        <v>1168</v>
      </c>
      <c r="CT731" s="112" t="s">
        <v>1169</v>
      </c>
      <c r="CU731" s="112" t="s">
        <v>1664</v>
      </c>
      <c r="CV731" s="113" t="s">
        <v>1665</v>
      </c>
      <c r="CX731" s="36">
        <v>1</v>
      </c>
    </row>
    <row r="732" spans="91:102" ht="21" customHeight="1" x14ac:dyDescent="0.25">
      <c r="CM732" s="102"/>
      <c r="CN732" s="112" t="s">
        <v>2257</v>
      </c>
      <c r="CO732" s="112" t="s">
        <v>541</v>
      </c>
      <c r="CP732" s="112" t="s">
        <v>523</v>
      </c>
      <c r="CQ732" s="112" t="s">
        <v>2258</v>
      </c>
      <c r="CR732" s="112" t="s">
        <v>2258</v>
      </c>
      <c r="CS732" s="112" t="s">
        <v>1168</v>
      </c>
      <c r="CT732" s="112" t="s">
        <v>1169</v>
      </c>
      <c r="CU732" s="112" t="s">
        <v>1664</v>
      </c>
      <c r="CV732" s="113" t="s">
        <v>1665</v>
      </c>
      <c r="CX732" s="36">
        <v>1</v>
      </c>
    </row>
    <row r="733" spans="91:102" ht="21" customHeight="1" x14ac:dyDescent="0.25">
      <c r="CM733" s="102"/>
      <c r="CN733" s="112" t="s">
        <v>2259</v>
      </c>
      <c r="CO733" s="112" t="s">
        <v>541</v>
      </c>
      <c r="CP733" s="112" t="s">
        <v>523</v>
      </c>
      <c r="CQ733" s="112" t="s">
        <v>2260</v>
      </c>
      <c r="CR733" s="112" t="s">
        <v>2260</v>
      </c>
      <c r="CS733" s="112" t="s">
        <v>1168</v>
      </c>
      <c r="CT733" s="112" t="s">
        <v>1169</v>
      </c>
      <c r="CU733" s="112" t="s">
        <v>1664</v>
      </c>
      <c r="CV733" s="113" t="s">
        <v>1665</v>
      </c>
      <c r="CX733" s="36">
        <v>1</v>
      </c>
    </row>
    <row r="734" spans="91:102" ht="21" customHeight="1" x14ac:dyDescent="0.25">
      <c r="CM734" s="102"/>
      <c r="CN734" s="112" t="s">
        <v>2261</v>
      </c>
      <c r="CO734" s="112" t="s">
        <v>541</v>
      </c>
      <c r="CP734" s="112" t="s">
        <v>523</v>
      </c>
      <c r="CQ734" s="112" t="s">
        <v>2262</v>
      </c>
      <c r="CR734" s="112" t="s">
        <v>2262</v>
      </c>
      <c r="CS734" s="112" t="s">
        <v>1168</v>
      </c>
      <c r="CT734" s="112" t="s">
        <v>1169</v>
      </c>
      <c r="CU734" s="112" t="s">
        <v>1664</v>
      </c>
      <c r="CV734" s="113" t="s">
        <v>1665</v>
      </c>
      <c r="CX734" s="36">
        <v>1</v>
      </c>
    </row>
    <row r="735" spans="91:102" ht="21" customHeight="1" x14ac:dyDescent="0.25">
      <c r="CM735" s="102"/>
      <c r="CN735" s="112" t="s">
        <v>2263</v>
      </c>
      <c r="CO735" s="112" t="s">
        <v>541</v>
      </c>
      <c r="CP735" s="112" t="s">
        <v>523</v>
      </c>
      <c r="CQ735" s="112" t="s">
        <v>2264</v>
      </c>
      <c r="CR735" s="112" t="s">
        <v>2264</v>
      </c>
      <c r="CS735" s="112" t="s">
        <v>525</v>
      </c>
      <c r="CT735" s="112" t="s">
        <v>1747</v>
      </c>
      <c r="CU735" s="112" t="s">
        <v>527</v>
      </c>
      <c r="CV735" s="113" t="s">
        <v>528</v>
      </c>
      <c r="CX735" s="36">
        <v>1</v>
      </c>
    </row>
    <row r="736" spans="91:102" ht="21" customHeight="1" x14ac:dyDescent="0.25">
      <c r="CM736" s="102"/>
      <c r="CN736" s="112" t="s">
        <v>2265</v>
      </c>
      <c r="CO736" s="112" t="s">
        <v>541</v>
      </c>
      <c r="CP736" s="112" t="s">
        <v>523</v>
      </c>
      <c r="CQ736" s="112" t="s">
        <v>2266</v>
      </c>
      <c r="CR736" s="112" t="s">
        <v>2266</v>
      </c>
      <c r="CS736" s="112" t="s">
        <v>610</v>
      </c>
      <c r="CT736" s="112" t="s">
        <v>611</v>
      </c>
      <c r="CU736" s="112" t="s">
        <v>527</v>
      </c>
      <c r="CV736" s="113" t="s">
        <v>612</v>
      </c>
      <c r="CX736" s="36">
        <v>1</v>
      </c>
    </row>
    <row r="737" spans="91:102" ht="21" customHeight="1" x14ac:dyDescent="0.25">
      <c r="CM737" s="102"/>
      <c r="CN737" s="112" t="s">
        <v>2267</v>
      </c>
      <c r="CO737" s="112" t="s">
        <v>541</v>
      </c>
      <c r="CP737" s="112" t="s">
        <v>523</v>
      </c>
      <c r="CQ737" s="112" t="s">
        <v>2268</v>
      </c>
      <c r="CR737" s="112" t="s">
        <v>2268</v>
      </c>
      <c r="CS737" s="112" t="s">
        <v>525</v>
      </c>
      <c r="CT737" s="112" t="s">
        <v>1747</v>
      </c>
      <c r="CU737" s="112" t="s">
        <v>527</v>
      </c>
      <c r="CV737" s="113" t="s">
        <v>528</v>
      </c>
      <c r="CX737" s="36">
        <v>1</v>
      </c>
    </row>
    <row r="738" spans="91:102" ht="21" customHeight="1" x14ac:dyDescent="0.25">
      <c r="CM738" s="102"/>
      <c r="CN738" s="112" t="s">
        <v>2269</v>
      </c>
      <c r="CO738" s="112" t="s">
        <v>541</v>
      </c>
      <c r="CP738" s="112" t="s">
        <v>523</v>
      </c>
      <c r="CQ738" s="112" t="s">
        <v>2270</v>
      </c>
      <c r="CR738" s="112" t="s">
        <v>2270</v>
      </c>
      <c r="CS738" s="112" t="s">
        <v>1168</v>
      </c>
      <c r="CT738" s="112" t="s">
        <v>1169</v>
      </c>
      <c r="CU738" s="112" t="s">
        <v>1664</v>
      </c>
      <c r="CV738" s="113" t="s">
        <v>1665</v>
      </c>
      <c r="CX738" s="36">
        <v>1</v>
      </c>
    </row>
    <row r="739" spans="91:102" ht="21" customHeight="1" x14ac:dyDescent="0.25">
      <c r="CM739" s="102"/>
      <c r="CN739" s="112" t="s">
        <v>2271</v>
      </c>
      <c r="CO739" s="112" t="s">
        <v>541</v>
      </c>
      <c r="CP739" s="112" t="s">
        <v>523</v>
      </c>
      <c r="CQ739" s="112" t="s">
        <v>2272</v>
      </c>
      <c r="CR739" s="112" t="s">
        <v>2272</v>
      </c>
      <c r="CS739" s="112" t="s">
        <v>1168</v>
      </c>
      <c r="CT739" s="112" t="s">
        <v>1169</v>
      </c>
      <c r="CU739" s="112" t="s">
        <v>1664</v>
      </c>
      <c r="CV739" s="113" t="s">
        <v>1665</v>
      </c>
      <c r="CX739" s="36">
        <v>1</v>
      </c>
    </row>
    <row r="740" spans="91:102" ht="21" customHeight="1" x14ac:dyDescent="0.25">
      <c r="CM740" s="102"/>
      <c r="CN740" s="112" t="s">
        <v>2273</v>
      </c>
      <c r="CO740" s="112" t="s">
        <v>541</v>
      </c>
      <c r="CP740" s="112" t="s">
        <v>523</v>
      </c>
      <c r="CQ740" s="112" t="s">
        <v>2274</v>
      </c>
      <c r="CR740" s="112" t="s">
        <v>2274</v>
      </c>
      <c r="CS740" s="112" t="s">
        <v>1168</v>
      </c>
      <c r="CT740" s="112" t="s">
        <v>1169</v>
      </c>
      <c r="CU740" s="112" t="s">
        <v>1664</v>
      </c>
      <c r="CV740" s="113" t="s">
        <v>1665</v>
      </c>
      <c r="CX740" s="36">
        <v>1</v>
      </c>
    </row>
    <row r="741" spans="91:102" ht="21" customHeight="1" x14ac:dyDescent="0.25">
      <c r="CM741" s="102"/>
      <c r="CN741" s="112" t="s">
        <v>2275</v>
      </c>
      <c r="CO741" s="112" t="s">
        <v>541</v>
      </c>
      <c r="CP741" s="112" t="s">
        <v>523</v>
      </c>
      <c r="CQ741" s="112" t="s">
        <v>2276</v>
      </c>
      <c r="CR741" s="112" t="s">
        <v>2276</v>
      </c>
      <c r="CS741" s="112" t="s">
        <v>1168</v>
      </c>
      <c r="CT741" s="112" t="s">
        <v>1169</v>
      </c>
      <c r="CU741" s="112" t="s">
        <v>1664</v>
      </c>
      <c r="CV741" s="113" t="s">
        <v>1665</v>
      </c>
      <c r="CX741" s="36">
        <v>1</v>
      </c>
    </row>
    <row r="742" spans="91:102" ht="21" customHeight="1" x14ac:dyDescent="0.25">
      <c r="CM742" s="102"/>
      <c r="CN742" s="112" t="s">
        <v>2277</v>
      </c>
      <c r="CO742" s="112" t="s">
        <v>541</v>
      </c>
      <c r="CP742" s="112" t="s">
        <v>523</v>
      </c>
      <c r="CQ742" s="112" t="s">
        <v>2278</v>
      </c>
      <c r="CR742" s="112" t="s">
        <v>2278</v>
      </c>
      <c r="CS742" s="112" t="s">
        <v>1168</v>
      </c>
      <c r="CT742" s="112" t="s">
        <v>1169</v>
      </c>
      <c r="CU742" s="112" t="s">
        <v>1664</v>
      </c>
      <c r="CV742" s="113" t="s">
        <v>1665</v>
      </c>
      <c r="CX742" s="36">
        <v>1</v>
      </c>
    </row>
    <row r="743" spans="91:102" ht="21" customHeight="1" x14ac:dyDescent="0.25">
      <c r="CM743" s="102"/>
      <c r="CN743" s="112" t="s">
        <v>2279</v>
      </c>
      <c r="CO743" s="112" t="s">
        <v>541</v>
      </c>
      <c r="CP743" s="112" t="s">
        <v>523</v>
      </c>
      <c r="CQ743" s="112" t="s">
        <v>2280</v>
      </c>
      <c r="CR743" s="112" t="s">
        <v>2280</v>
      </c>
      <c r="CS743" s="112" t="s">
        <v>1168</v>
      </c>
      <c r="CT743" s="112" t="s">
        <v>1169</v>
      </c>
      <c r="CU743" s="112" t="s">
        <v>1664</v>
      </c>
      <c r="CV743" s="113" t="s">
        <v>1665</v>
      </c>
      <c r="CX743" s="36">
        <v>1</v>
      </c>
    </row>
    <row r="744" spans="91:102" ht="21" customHeight="1" x14ac:dyDescent="0.25">
      <c r="CM744" s="102"/>
      <c r="CN744" s="112" t="s">
        <v>2281</v>
      </c>
      <c r="CO744" s="112" t="s">
        <v>541</v>
      </c>
      <c r="CP744" s="112" t="s">
        <v>523</v>
      </c>
      <c r="CQ744" s="112" t="s">
        <v>2282</v>
      </c>
      <c r="CR744" s="112" t="s">
        <v>2282</v>
      </c>
      <c r="CS744" s="112" t="s">
        <v>1168</v>
      </c>
      <c r="CT744" s="112" t="s">
        <v>1169</v>
      </c>
      <c r="CU744" s="112" t="s">
        <v>1664</v>
      </c>
      <c r="CV744" s="113" t="s">
        <v>1665</v>
      </c>
      <c r="CX744" s="36">
        <v>1</v>
      </c>
    </row>
    <row r="745" spans="91:102" ht="21" customHeight="1" x14ac:dyDescent="0.25">
      <c r="CM745" s="102"/>
      <c r="CN745" s="112" t="s">
        <v>2283</v>
      </c>
      <c r="CO745" s="112" t="s">
        <v>541</v>
      </c>
      <c r="CP745" s="112" t="s">
        <v>523</v>
      </c>
      <c r="CQ745" s="112" t="s">
        <v>2284</v>
      </c>
      <c r="CR745" s="112" t="s">
        <v>2284</v>
      </c>
      <c r="CS745" s="112" t="s">
        <v>525</v>
      </c>
      <c r="CT745" s="112" t="s">
        <v>1747</v>
      </c>
      <c r="CU745" s="112" t="s">
        <v>527</v>
      </c>
      <c r="CV745" s="113" t="s">
        <v>528</v>
      </c>
      <c r="CX745" s="36">
        <v>1</v>
      </c>
    </row>
    <row r="746" spans="91:102" ht="21" customHeight="1" x14ac:dyDescent="0.25">
      <c r="CM746" s="102"/>
      <c r="CN746" s="112" t="s">
        <v>2285</v>
      </c>
      <c r="CO746" s="112" t="s">
        <v>541</v>
      </c>
      <c r="CP746" s="112" t="s">
        <v>523</v>
      </c>
      <c r="CQ746" s="112" t="s">
        <v>2286</v>
      </c>
      <c r="CR746" s="112" t="s">
        <v>2286</v>
      </c>
      <c r="CS746" s="112" t="s">
        <v>1168</v>
      </c>
      <c r="CT746" s="112" t="s">
        <v>1169</v>
      </c>
      <c r="CU746" s="112" t="s">
        <v>1664</v>
      </c>
      <c r="CV746" s="113" t="s">
        <v>1665</v>
      </c>
      <c r="CX746" s="36">
        <v>1</v>
      </c>
    </row>
    <row r="747" spans="91:102" ht="21" customHeight="1" x14ac:dyDescent="0.25">
      <c r="CM747" s="102"/>
      <c r="CN747" s="112" t="s">
        <v>2287</v>
      </c>
      <c r="CO747" s="112" t="s">
        <v>541</v>
      </c>
      <c r="CP747" s="112" t="s">
        <v>523</v>
      </c>
      <c r="CQ747" s="112" t="s">
        <v>2288</v>
      </c>
      <c r="CR747" s="112" t="s">
        <v>2288</v>
      </c>
      <c r="CS747" s="112" t="s">
        <v>1168</v>
      </c>
      <c r="CT747" s="112" t="s">
        <v>1169</v>
      </c>
      <c r="CU747" s="112" t="s">
        <v>1664</v>
      </c>
      <c r="CV747" s="113" t="s">
        <v>1665</v>
      </c>
      <c r="CX747" s="36">
        <v>1</v>
      </c>
    </row>
    <row r="748" spans="91:102" ht="21" customHeight="1" x14ac:dyDescent="0.25">
      <c r="CM748" s="102"/>
      <c r="CN748" s="112" t="s">
        <v>2289</v>
      </c>
      <c r="CO748" s="112" t="s">
        <v>541</v>
      </c>
      <c r="CP748" s="112" t="s">
        <v>523</v>
      </c>
      <c r="CQ748" s="112" t="s">
        <v>2290</v>
      </c>
      <c r="CR748" s="112" t="s">
        <v>2290</v>
      </c>
      <c r="CS748" s="112" t="s">
        <v>1168</v>
      </c>
      <c r="CT748" s="112" t="s">
        <v>1169</v>
      </c>
      <c r="CU748" s="112" t="s">
        <v>1664</v>
      </c>
      <c r="CV748" s="113" t="s">
        <v>1665</v>
      </c>
      <c r="CX748" s="36">
        <v>1</v>
      </c>
    </row>
    <row r="749" spans="91:102" ht="21" customHeight="1" x14ac:dyDescent="0.25">
      <c r="CM749" s="102"/>
      <c r="CN749" s="112" t="s">
        <v>2291</v>
      </c>
      <c r="CO749" s="112" t="s">
        <v>541</v>
      </c>
      <c r="CP749" s="112" t="s">
        <v>523</v>
      </c>
      <c r="CQ749" s="112" t="s">
        <v>2292</v>
      </c>
      <c r="CR749" s="112" t="s">
        <v>2292</v>
      </c>
      <c r="CS749" s="112" t="s">
        <v>525</v>
      </c>
      <c r="CT749" s="112" t="s">
        <v>1747</v>
      </c>
      <c r="CU749" s="112" t="s">
        <v>527</v>
      </c>
      <c r="CV749" s="113" t="s">
        <v>528</v>
      </c>
      <c r="CX749" s="36">
        <v>1</v>
      </c>
    </row>
    <row r="750" spans="91:102" ht="21" customHeight="1" x14ac:dyDescent="0.25">
      <c r="CM750" s="102"/>
      <c r="CN750" s="112" t="s">
        <v>2293</v>
      </c>
      <c r="CO750" s="112" t="s">
        <v>541</v>
      </c>
      <c r="CP750" s="112" t="s">
        <v>523</v>
      </c>
      <c r="CQ750" s="112" t="s">
        <v>2294</v>
      </c>
      <c r="CR750" s="112" t="s">
        <v>2294</v>
      </c>
      <c r="CS750" s="112" t="s">
        <v>1168</v>
      </c>
      <c r="CT750" s="112" t="s">
        <v>1169</v>
      </c>
      <c r="CU750" s="112" t="s">
        <v>1664</v>
      </c>
      <c r="CV750" s="113" t="s">
        <v>1665</v>
      </c>
      <c r="CX750" s="36">
        <v>1</v>
      </c>
    </row>
    <row r="751" spans="91:102" ht="21" customHeight="1" x14ac:dyDescent="0.25">
      <c r="CM751" s="102"/>
      <c r="CN751" s="112" t="s">
        <v>2295</v>
      </c>
      <c r="CO751" s="112" t="s">
        <v>541</v>
      </c>
      <c r="CP751" s="112" t="s">
        <v>523</v>
      </c>
      <c r="CQ751" s="112" t="s">
        <v>2296</v>
      </c>
      <c r="CR751" s="112" t="s">
        <v>2296</v>
      </c>
      <c r="CS751" s="112" t="s">
        <v>1168</v>
      </c>
      <c r="CT751" s="112" t="s">
        <v>1169</v>
      </c>
      <c r="CU751" s="112" t="s">
        <v>1664</v>
      </c>
      <c r="CV751" s="113" t="s">
        <v>1665</v>
      </c>
      <c r="CX751" s="36">
        <v>1</v>
      </c>
    </row>
    <row r="752" spans="91:102" ht="21" customHeight="1" x14ac:dyDescent="0.25">
      <c r="CM752" s="102"/>
      <c r="CN752" s="112" t="s">
        <v>2297</v>
      </c>
      <c r="CO752" s="112" t="s">
        <v>541</v>
      </c>
      <c r="CP752" s="112" t="s">
        <v>523</v>
      </c>
      <c r="CQ752" s="112" t="s">
        <v>2298</v>
      </c>
      <c r="CR752" s="112" t="s">
        <v>2298</v>
      </c>
      <c r="CS752" s="112" t="s">
        <v>1168</v>
      </c>
      <c r="CT752" s="112" t="s">
        <v>1169</v>
      </c>
      <c r="CU752" s="112" t="s">
        <v>1664</v>
      </c>
      <c r="CV752" s="113" t="s">
        <v>1665</v>
      </c>
      <c r="CX752" s="36">
        <v>1</v>
      </c>
    </row>
    <row r="753" spans="91:102" ht="21" customHeight="1" x14ac:dyDescent="0.25">
      <c r="CM753" s="102"/>
      <c r="CN753" s="112" t="s">
        <v>2299</v>
      </c>
      <c r="CO753" s="112" t="s">
        <v>541</v>
      </c>
      <c r="CP753" s="112" t="s">
        <v>523</v>
      </c>
      <c r="CQ753" s="112" t="s">
        <v>2300</v>
      </c>
      <c r="CR753" s="112" t="s">
        <v>2300</v>
      </c>
      <c r="CS753" s="112" t="s">
        <v>1168</v>
      </c>
      <c r="CT753" s="112" t="s">
        <v>1169</v>
      </c>
      <c r="CU753" s="112" t="s">
        <v>1664</v>
      </c>
      <c r="CV753" s="113" t="s">
        <v>1665</v>
      </c>
      <c r="CX753" s="36">
        <v>1</v>
      </c>
    </row>
    <row r="754" spans="91:102" ht="21" customHeight="1" x14ac:dyDescent="0.25">
      <c r="CM754" s="102"/>
      <c r="CN754" s="112" t="s">
        <v>2301</v>
      </c>
      <c r="CO754" s="112" t="s">
        <v>541</v>
      </c>
      <c r="CP754" s="112" t="s">
        <v>523</v>
      </c>
      <c r="CQ754" s="112" t="s">
        <v>2302</v>
      </c>
      <c r="CR754" s="112" t="s">
        <v>2302</v>
      </c>
      <c r="CS754" s="112" t="s">
        <v>1168</v>
      </c>
      <c r="CT754" s="112" t="s">
        <v>1169</v>
      </c>
      <c r="CU754" s="112" t="s">
        <v>1664</v>
      </c>
      <c r="CV754" s="113" t="s">
        <v>1665</v>
      </c>
      <c r="CX754" s="36">
        <v>1</v>
      </c>
    </row>
    <row r="755" spans="91:102" ht="21" customHeight="1" x14ac:dyDescent="0.25">
      <c r="CM755" s="102"/>
      <c r="CN755" s="112" t="s">
        <v>2303</v>
      </c>
      <c r="CO755" s="112" t="s">
        <v>541</v>
      </c>
      <c r="CP755" s="112" t="s">
        <v>523</v>
      </c>
      <c r="CQ755" s="112" t="s">
        <v>2304</v>
      </c>
      <c r="CR755" s="112" t="s">
        <v>2304</v>
      </c>
      <c r="CS755" s="112" t="s">
        <v>1168</v>
      </c>
      <c r="CT755" s="112" t="s">
        <v>1169</v>
      </c>
      <c r="CU755" s="112" t="s">
        <v>1664</v>
      </c>
      <c r="CV755" s="113" t="s">
        <v>1665</v>
      </c>
      <c r="CX755" s="36">
        <v>1</v>
      </c>
    </row>
    <row r="756" spans="91:102" ht="21" customHeight="1" x14ac:dyDescent="0.25">
      <c r="CM756" s="102"/>
      <c r="CN756" s="112" t="s">
        <v>2305</v>
      </c>
      <c r="CO756" s="112" t="s">
        <v>541</v>
      </c>
      <c r="CP756" s="112" t="s">
        <v>523</v>
      </c>
      <c r="CQ756" s="112" t="s">
        <v>2306</v>
      </c>
      <c r="CR756" s="112" t="s">
        <v>2306</v>
      </c>
      <c r="CS756" s="112" t="s">
        <v>1168</v>
      </c>
      <c r="CT756" s="112" t="s">
        <v>1169</v>
      </c>
      <c r="CU756" s="112" t="s">
        <v>1664</v>
      </c>
      <c r="CV756" s="113" t="s">
        <v>1665</v>
      </c>
      <c r="CX756" s="36">
        <v>1</v>
      </c>
    </row>
    <row r="757" spans="91:102" ht="21" customHeight="1" x14ac:dyDescent="0.25">
      <c r="CM757" s="102"/>
      <c r="CN757" s="112" t="s">
        <v>2307</v>
      </c>
      <c r="CO757" s="112" t="s">
        <v>541</v>
      </c>
      <c r="CP757" s="112" t="s">
        <v>523</v>
      </c>
      <c r="CQ757" s="112" t="s">
        <v>2308</v>
      </c>
      <c r="CR757" s="112" t="s">
        <v>2308</v>
      </c>
      <c r="CS757" s="112" t="s">
        <v>1168</v>
      </c>
      <c r="CT757" s="112" t="s">
        <v>1169</v>
      </c>
      <c r="CU757" s="112" t="s">
        <v>1664</v>
      </c>
      <c r="CV757" s="113" t="s">
        <v>1665</v>
      </c>
      <c r="CX757" s="36">
        <v>1</v>
      </c>
    </row>
    <row r="758" spans="91:102" ht="21" customHeight="1" x14ac:dyDescent="0.25">
      <c r="CM758" s="102"/>
      <c r="CN758" s="112" t="s">
        <v>2309</v>
      </c>
      <c r="CO758" s="112" t="s">
        <v>541</v>
      </c>
      <c r="CP758" s="112" t="s">
        <v>523</v>
      </c>
      <c r="CQ758" s="112" t="s">
        <v>2310</v>
      </c>
      <c r="CR758" s="112" t="s">
        <v>2310</v>
      </c>
      <c r="CS758" s="112" t="s">
        <v>1168</v>
      </c>
      <c r="CT758" s="112" t="s">
        <v>1169</v>
      </c>
      <c r="CU758" s="112" t="s">
        <v>1664</v>
      </c>
      <c r="CV758" s="113" t="s">
        <v>1665</v>
      </c>
      <c r="CX758" s="36">
        <v>1</v>
      </c>
    </row>
    <row r="759" spans="91:102" ht="21" customHeight="1" x14ac:dyDescent="0.25">
      <c r="CM759" s="102"/>
      <c r="CN759" s="112" t="s">
        <v>2311</v>
      </c>
      <c r="CO759" s="112" t="s">
        <v>541</v>
      </c>
      <c r="CP759" s="112" t="s">
        <v>523</v>
      </c>
      <c r="CQ759" s="112" t="s">
        <v>2312</v>
      </c>
      <c r="CR759" s="112" t="s">
        <v>2312</v>
      </c>
      <c r="CS759" s="112" t="s">
        <v>1168</v>
      </c>
      <c r="CT759" s="112" t="s">
        <v>1169</v>
      </c>
      <c r="CU759" s="112" t="s">
        <v>1664</v>
      </c>
      <c r="CV759" s="113" t="s">
        <v>1665</v>
      </c>
      <c r="CX759" s="36">
        <v>1</v>
      </c>
    </row>
    <row r="760" spans="91:102" ht="21" customHeight="1" x14ac:dyDescent="0.25">
      <c r="CM760" s="102"/>
      <c r="CN760" s="112" t="s">
        <v>2313</v>
      </c>
      <c r="CO760" s="112" t="s">
        <v>541</v>
      </c>
      <c r="CP760" s="112" t="s">
        <v>523</v>
      </c>
      <c r="CQ760" s="112" t="s">
        <v>2314</v>
      </c>
      <c r="CR760" s="112" t="s">
        <v>2314</v>
      </c>
      <c r="CS760" s="112" t="s">
        <v>1168</v>
      </c>
      <c r="CT760" s="112" t="s">
        <v>1169</v>
      </c>
      <c r="CU760" s="112" t="s">
        <v>1664</v>
      </c>
      <c r="CV760" s="113" t="s">
        <v>1665</v>
      </c>
      <c r="CX760" s="36">
        <v>1</v>
      </c>
    </row>
    <row r="761" spans="91:102" ht="21" customHeight="1" x14ac:dyDescent="0.25">
      <c r="CM761" s="102"/>
      <c r="CN761" s="112" t="s">
        <v>2315</v>
      </c>
      <c r="CO761" s="112" t="s">
        <v>541</v>
      </c>
      <c r="CP761" s="112" t="s">
        <v>523</v>
      </c>
      <c r="CQ761" s="112" t="s">
        <v>2316</v>
      </c>
      <c r="CR761" s="112" t="s">
        <v>2316</v>
      </c>
      <c r="CS761" s="112" t="s">
        <v>1168</v>
      </c>
      <c r="CT761" s="112" t="s">
        <v>1169</v>
      </c>
      <c r="CU761" s="112" t="s">
        <v>1664</v>
      </c>
      <c r="CV761" s="113" t="s">
        <v>1665</v>
      </c>
      <c r="CX761" s="36">
        <v>1</v>
      </c>
    </row>
    <row r="762" spans="91:102" ht="21" customHeight="1" x14ac:dyDescent="0.25">
      <c r="CM762" s="102"/>
      <c r="CN762" s="112" t="s">
        <v>2317</v>
      </c>
      <c r="CO762" s="112" t="s">
        <v>541</v>
      </c>
      <c r="CP762" s="112" t="s">
        <v>523</v>
      </c>
      <c r="CQ762" s="112" t="s">
        <v>2318</v>
      </c>
      <c r="CR762" s="112" t="s">
        <v>2318</v>
      </c>
      <c r="CS762" s="112" t="s">
        <v>1168</v>
      </c>
      <c r="CT762" s="112" t="s">
        <v>1169</v>
      </c>
      <c r="CU762" s="112" t="s">
        <v>1664</v>
      </c>
      <c r="CV762" s="113" t="s">
        <v>1665</v>
      </c>
      <c r="CX762" s="36">
        <v>1</v>
      </c>
    </row>
    <row r="763" spans="91:102" ht="21" customHeight="1" x14ac:dyDescent="0.25">
      <c r="CM763" s="102"/>
      <c r="CN763" s="112" t="s">
        <v>2319</v>
      </c>
      <c r="CO763" s="112" t="s">
        <v>541</v>
      </c>
      <c r="CP763" s="112" t="s">
        <v>523</v>
      </c>
      <c r="CQ763" s="112" t="s">
        <v>2320</v>
      </c>
      <c r="CR763" s="112" t="s">
        <v>2320</v>
      </c>
      <c r="CS763" s="112" t="s">
        <v>525</v>
      </c>
      <c r="CT763" s="112" t="s">
        <v>1747</v>
      </c>
      <c r="CU763" s="112" t="s">
        <v>527</v>
      </c>
      <c r="CV763" s="113" t="s">
        <v>528</v>
      </c>
      <c r="CX763" s="36">
        <v>1</v>
      </c>
    </row>
    <row r="764" spans="91:102" ht="21" customHeight="1" x14ac:dyDescent="0.25">
      <c r="CM764" s="102"/>
      <c r="CN764" s="112" t="s">
        <v>2321</v>
      </c>
      <c r="CO764" s="112" t="s">
        <v>541</v>
      </c>
      <c r="CP764" s="112" t="s">
        <v>523</v>
      </c>
      <c r="CQ764" s="112" t="s">
        <v>2322</v>
      </c>
      <c r="CR764" s="112" t="s">
        <v>2323</v>
      </c>
      <c r="CS764" s="112" t="s">
        <v>525</v>
      </c>
      <c r="CT764" s="112" t="s">
        <v>1747</v>
      </c>
      <c r="CU764" s="112" t="s">
        <v>527</v>
      </c>
      <c r="CV764" s="113" t="s">
        <v>528</v>
      </c>
      <c r="CX764" s="36">
        <v>1</v>
      </c>
    </row>
    <row r="765" spans="91:102" ht="21" customHeight="1" x14ac:dyDescent="0.25">
      <c r="CM765" s="102"/>
      <c r="CN765" s="112" t="s">
        <v>2324</v>
      </c>
      <c r="CO765" s="112" t="s">
        <v>541</v>
      </c>
      <c r="CP765" s="112" t="s">
        <v>523</v>
      </c>
      <c r="CQ765" s="112" t="s">
        <v>2325</v>
      </c>
      <c r="CR765" s="112" t="s">
        <v>2326</v>
      </c>
      <c r="CS765" s="112" t="s">
        <v>525</v>
      </c>
      <c r="CT765" s="112" t="s">
        <v>1747</v>
      </c>
      <c r="CU765" s="112" t="s">
        <v>527</v>
      </c>
      <c r="CV765" s="113" t="s">
        <v>528</v>
      </c>
      <c r="CX765" s="36">
        <v>1</v>
      </c>
    </row>
    <row r="766" spans="91:102" ht="21" customHeight="1" x14ac:dyDescent="0.25">
      <c r="CM766" s="102"/>
      <c r="CN766" s="112" t="s">
        <v>2327</v>
      </c>
      <c r="CO766" s="112" t="s">
        <v>541</v>
      </c>
      <c r="CP766" s="112" t="s">
        <v>523</v>
      </c>
      <c r="CQ766" s="112" t="s">
        <v>2328</v>
      </c>
      <c r="CR766" s="112" t="s">
        <v>2328</v>
      </c>
      <c r="CS766" s="112" t="s">
        <v>1168</v>
      </c>
      <c r="CT766" s="112" t="s">
        <v>1169</v>
      </c>
      <c r="CU766" s="112" t="s">
        <v>1664</v>
      </c>
      <c r="CV766" s="113" t="s">
        <v>1665</v>
      </c>
      <c r="CX766" s="36">
        <v>1</v>
      </c>
    </row>
    <row r="767" spans="91:102" ht="21" customHeight="1" x14ac:dyDescent="0.25">
      <c r="CM767" s="102"/>
      <c r="CN767" s="112" t="s">
        <v>2329</v>
      </c>
      <c r="CO767" s="112" t="s">
        <v>541</v>
      </c>
      <c r="CP767" s="112" t="s">
        <v>523</v>
      </c>
      <c r="CQ767" s="112" t="s">
        <v>2330</v>
      </c>
      <c r="CR767" s="112" t="s">
        <v>2330</v>
      </c>
      <c r="CS767" s="112" t="s">
        <v>1168</v>
      </c>
      <c r="CT767" s="112" t="s">
        <v>1169</v>
      </c>
      <c r="CU767" s="112" t="s">
        <v>1664</v>
      </c>
      <c r="CV767" s="113" t="s">
        <v>1665</v>
      </c>
      <c r="CX767" s="36">
        <v>1</v>
      </c>
    </row>
    <row r="768" spans="91:102" ht="21" customHeight="1" x14ac:dyDescent="0.25">
      <c r="CM768" s="102"/>
      <c r="CN768" s="112" t="s">
        <v>2331</v>
      </c>
      <c r="CO768" s="112" t="s">
        <v>541</v>
      </c>
      <c r="CP768" s="112" t="s">
        <v>523</v>
      </c>
      <c r="CQ768" s="112" t="s">
        <v>2332</v>
      </c>
      <c r="CR768" s="112" t="s">
        <v>2332</v>
      </c>
      <c r="CS768" s="112" t="s">
        <v>1168</v>
      </c>
      <c r="CT768" s="112" t="s">
        <v>1169</v>
      </c>
      <c r="CU768" s="112" t="s">
        <v>1664</v>
      </c>
      <c r="CV768" s="113" t="s">
        <v>1665</v>
      </c>
      <c r="CX768" s="36">
        <v>1</v>
      </c>
    </row>
    <row r="769" spans="91:102" ht="21" customHeight="1" x14ac:dyDescent="0.25">
      <c r="CM769" s="102"/>
      <c r="CN769" s="112" t="s">
        <v>2333</v>
      </c>
      <c r="CO769" s="112" t="s">
        <v>541</v>
      </c>
      <c r="CP769" s="112" t="s">
        <v>523</v>
      </c>
      <c r="CQ769" s="112" t="s">
        <v>2334</v>
      </c>
      <c r="CR769" s="112" t="s">
        <v>2334</v>
      </c>
      <c r="CS769" s="112" t="s">
        <v>1168</v>
      </c>
      <c r="CT769" s="112" t="s">
        <v>1169</v>
      </c>
      <c r="CU769" s="112" t="s">
        <v>1664</v>
      </c>
      <c r="CV769" s="113" t="s">
        <v>1665</v>
      </c>
      <c r="CX769" s="36">
        <v>1</v>
      </c>
    </row>
    <row r="770" spans="91:102" ht="21" customHeight="1" x14ac:dyDescent="0.25">
      <c r="CM770" s="102"/>
      <c r="CN770" s="112" t="s">
        <v>2335</v>
      </c>
      <c r="CO770" s="112" t="s">
        <v>541</v>
      </c>
      <c r="CP770" s="112" t="s">
        <v>523</v>
      </c>
      <c r="CQ770" s="112" t="s">
        <v>2336</v>
      </c>
      <c r="CR770" s="112" t="s">
        <v>2336</v>
      </c>
      <c r="CS770" s="112" t="s">
        <v>1168</v>
      </c>
      <c r="CT770" s="112" t="s">
        <v>1169</v>
      </c>
      <c r="CU770" s="112" t="s">
        <v>1664</v>
      </c>
      <c r="CV770" s="113" t="s">
        <v>1665</v>
      </c>
      <c r="CX770" s="36">
        <v>1</v>
      </c>
    </row>
    <row r="771" spans="91:102" ht="21" customHeight="1" x14ac:dyDescent="0.25">
      <c r="CM771" s="102"/>
      <c r="CN771" s="112" t="s">
        <v>2337</v>
      </c>
      <c r="CO771" s="112" t="s">
        <v>541</v>
      </c>
      <c r="CP771" s="112" t="s">
        <v>523</v>
      </c>
      <c r="CQ771" s="112" t="s">
        <v>2338</v>
      </c>
      <c r="CR771" s="112" t="s">
        <v>2338</v>
      </c>
      <c r="CS771" s="112" t="s">
        <v>1168</v>
      </c>
      <c r="CT771" s="112" t="s">
        <v>1169</v>
      </c>
      <c r="CU771" s="112" t="s">
        <v>1664</v>
      </c>
      <c r="CV771" s="113" t="s">
        <v>1665</v>
      </c>
      <c r="CX771" s="36">
        <v>1</v>
      </c>
    </row>
    <row r="772" spans="91:102" ht="21" customHeight="1" x14ac:dyDescent="0.25">
      <c r="CM772" s="102"/>
      <c r="CN772" s="112" t="s">
        <v>2339</v>
      </c>
      <c r="CO772" s="112" t="s">
        <v>541</v>
      </c>
      <c r="CP772" s="112" t="s">
        <v>523</v>
      </c>
      <c r="CQ772" s="112" t="s">
        <v>2340</v>
      </c>
      <c r="CR772" s="112" t="s">
        <v>2340</v>
      </c>
      <c r="CS772" s="112" t="s">
        <v>1168</v>
      </c>
      <c r="CT772" s="112" t="s">
        <v>1169</v>
      </c>
      <c r="CU772" s="112" t="s">
        <v>1664</v>
      </c>
      <c r="CV772" s="113" t="s">
        <v>1665</v>
      </c>
      <c r="CX772" s="36">
        <v>1</v>
      </c>
    </row>
    <row r="773" spans="91:102" ht="21" customHeight="1" x14ac:dyDescent="0.25">
      <c r="CM773" s="102"/>
      <c r="CN773" s="112" t="s">
        <v>2341</v>
      </c>
      <c r="CO773" s="112" t="s">
        <v>541</v>
      </c>
      <c r="CP773" s="112" t="s">
        <v>523</v>
      </c>
      <c r="CQ773" s="112" t="s">
        <v>2342</v>
      </c>
      <c r="CR773" s="112" t="s">
        <v>2342</v>
      </c>
      <c r="CS773" s="112" t="s">
        <v>1168</v>
      </c>
      <c r="CT773" s="112" t="s">
        <v>1169</v>
      </c>
      <c r="CU773" s="112" t="s">
        <v>1664</v>
      </c>
      <c r="CV773" s="113" t="s">
        <v>1665</v>
      </c>
      <c r="CX773" s="36">
        <v>1</v>
      </c>
    </row>
    <row r="774" spans="91:102" ht="21" customHeight="1" x14ac:dyDescent="0.25">
      <c r="CM774" s="102"/>
      <c r="CN774" s="112" t="s">
        <v>2343</v>
      </c>
      <c r="CO774" s="112" t="s">
        <v>541</v>
      </c>
      <c r="CP774" s="112" t="s">
        <v>523</v>
      </c>
      <c r="CQ774" s="112" t="s">
        <v>2344</v>
      </c>
      <c r="CR774" s="112" t="s">
        <v>2344</v>
      </c>
      <c r="CS774" s="112" t="s">
        <v>1168</v>
      </c>
      <c r="CT774" s="112" t="s">
        <v>1169</v>
      </c>
      <c r="CU774" s="112" t="s">
        <v>1664</v>
      </c>
      <c r="CV774" s="113" t="s">
        <v>1665</v>
      </c>
      <c r="CX774" s="36">
        <v>1</v>
      </c>
    </row>
    <row r="775" spans="91:102" ht="21" customHeight="1" x14ac:dyDescent="0.25">
      <c r="CM775" s="102"/>
      <c r="CN775" s="112" t="s">
        <v>2345</v>
      </c>
      <c r="CO775" s="112" t="s">
        <v>541</v>
      </c>
      <c r="CP775" s="112" t="s">
        <v>523</v>
      </c>
      <c r="CQ775" s="112" t="s">
        <v>2346</v>
      </c>
      <c r="CR775" s="112" t="s">
        <v>2346</v>
      </c>
      <c r="CS775" s="112" t="s">
        <v>1168</v>
      </c>
      <c r="CT775" s="112" t="s">
        <v>1169</v>
      </c>
      <c r="CU775" s="112" t="s">
        <v>1664</v>
      </c>
      <c r="CV775" s="113" t="s">
        <v>1665</v>
      </c>
      <c r="CX775" s="36">
        <v>1</v>
      </c>
    </row>
    <row r="776" spans="91:102" ht="21" customHeight="1" x14ac:dyDescent="0.25">
      <c r="CM776" s="102"/>
      <c r="CN776" s="112" t="s">
        <v>2347</v>
      </c>
      <c r="CO776" s="112" t="s">
        <v>541</v>
      </c>
      <c r="CP776" s="112" t="s">
        <v>523</v>
      </c>
      <c r="CQ776" s="112" t="s">
        <v>2348</v>
      </c>
      <c r="CR776" s="112" t="s">
        <v>2348</v>
      </c>
      <c r="CS776" s="112" t="s">
        <v>1168</v>
      </c>
      <c r="CT776" s="112" t="s">
        <v>1169</v>
      </c>
      <c r="CU776" s="112" t="s">
        <v>1664</v>
      </c>
      <c r="CV776" s="113" t="s">
        <v>1665</v>
      </c>
      <c r="CX776" s="36">
        <v>1</v>
      </c>
    </row>
    <row r="777" spans="91:102" ht="21" customHeight="1" x14ac:dyDescent="0.25">
      <c r="CM777" s="102"/>
      <c r="CN777" s="112" t="s">
        <v>2349</v>
      </c>
      <c r="CO777" s="112" t="s">
        <v>541</v>
      </c>
      <c r="CP777" s="112" t="s">
        <v>523</v>
      </c>
      <c r="CQ777" s="112" t="s">
        <v>2350</v>
      </c>
      <c r="CR777" s="112" t="s">
        <v>2350</v>
      </c>
      <c r="CS777" s="112" t="s">
        <v>1168</v>
      </c>
      <c r="CT777" s="112" t="s">
        <v>1169</v>
      </c>
      <c r="CU777" s="112" t="s">
        <v>1664</v>
      </c>
      <c r="CV777" s="113" t="s">
        <v>1665</v>
      </c>
      <c r="CX777" s="36">
        <v>1</v>
      </c>
    </row>
    <row r="778" spans="91:102" ht="21" customHeight="1" x14ac:dyDescent="0.25">
      <c r="CM778" s="102"/>
      <c r="CN778" s="112" t="s">
        <v>2351</v>
      </c>
      <c r="CO778" s="112" t="s">
        <v>541</v>
      </c>
      <c r="CP778" s="112" t="s">
        <v>523</v>
      </c>
      <c r="CQ778" s="112" t="s">
        <v>2352</v>
      </c>
      <c r="CR778" s="112" t="s">
        <v>2352</v>
      </c>
      <c r="CS778" s="112" t="s">
        <v>1168</v>
      </c>
      <c r="CT778" s="112" t="s">
        <v>1169</v>
      </c>
      <c r="CU778" s="112" t="s">
        <v>1664</v>
      </c>
      <c r="CV778" s="113" t="s">
        <v>1665</v>
      </c>
      <c r="CX778" s="36">
        <v>1</v>
      </c>
    </row>
    <row r="779" spans="91:102" ht="21" customHeight="1" x14ac:dyDescent="0.25">
      <c r="CM779" s="102"/>
      <c r="CN779" s="112" t="s">
        <v>2353</v>
      </c>
      <c r="CO779" s="112" t="s">
        <v>541</v>
      </c>
      <c r="CP779" s="112" t="s">
        <v>523</v>
      </c>
      <c r="CQ779" s="112" t="s">
        <v>2354</v>
      </c>
      <c r="CR779" s="112" t="s">
        <v>2354</v>
      </c>
      <c r="CS779" s="112" t="s">
        <v>1168</v>
      </c>
      <c r="CT779" s="112" t="s">
        <v>1169</v>
      </c>
      <c r="CU779" s="112" t="s">
        <v>1664</v>
      </c>
      <c r="CV779" s="113" t="s">
        <v>1665</v>
      </c>
      <c r="CX779" s="36">
        <v>1</v>
      </c>
    </row>
    <row r="780" spans="91:102" ht="21" customHeight="1" x14ac:dyDescent="0.25">
      <c r="CM780" s="102"/>
      <c r="CN780" s="112" t="s">
        <v>2355</v>
      </c>
      <c r="CO780" s="112" t="s">
        <v>541</v>
      </c>
      <c r="CP780" s="112" t="s">
        <v>523</v>
      </c>
      <c r="CQ780" s="112" t="s">
        <v>2356</v>
      </c>
      <c r="CR780" s="112" t="s">
        <v>2356</v>
      </c>
      <c r="CS780" s="112" t="s">
        <v>1168</v>
      </c>
      <c r="CT780" s="112" t="s">
        <v>1169</v>
      </c>
      <c r="CU780" s="112" t="s">
        <v>1664</v>
      </c>
      <c r="CV780" s="113" t="s">
        <v>1665</v>
      </c>
      <c r="CX780" s="36">
        <v>1</v>
      </c>
    </row>
    <row r="781" spans="91:102" ht="21" customHeight="1" x14ac:dyDescent="0.25">
      <c r="CM781" s="102"/>
      <c r="CN781" s="112" t="s">
        <v>2357</v>
      </c>
      <c r="CO781" s="112" t="s">
        <v>541</v>
      </c>
      <c r="CP781" s="112" t="s">
        <v>523</v>
      </c>
      <c r="CQ781" s="112" t="s">
        <v>2358</v>
      </c>
      <c r="CR781" s="112" t="s">
        <v>2358</v>
      </c>
      <c r="CS781" s="112" t="s">
        <v>1168</v>
      </c>
      <c r="CT781" s="112" t="s">
        <v>1169</v>
      </c>
      <c r="CU781" s="112" t="s">
        <v>1664</v>
      </c>
      <c r="CV781" s="113" t="s">
        <v>1665</v>
      </c>
      <c r="CX781" s="36">
        <v>1</v>
      </c>
    </row>
    <row r="782" spans="91:102" ht="21" customHeight="1" x14ac:dyDescent="0.25">
      <c r="CM782" s="102"/>
      <c r="CN782" s="112" t="s">
        <v>2359</v>
      </c>
      <c r="CO782" s="112" t="s">
        <v>541</v>
      </c>
      <c r="CP782" s="112" t="s">
        <v>523</v>
      </c>
      <c r="CQ782" s="112" t="s">
        <v>2360</v>
      </c>
      <c r="CR782" s="112" t="s">
        <v>2360</v>
      </c>
      <c r="CS782" s="112" t="s">
        <v>1168</v>
      </c>
      <c r="CT782" s="112" t="s">
        <v>1169</v>
      </c>
      <c r="CU782" s="112" t="s">
        <v>1664</v>
      </c>
      <c r="CV782" s="113" t="s">
        <v>1665</v>
      </c>
      <c r="CX782" s="36">
        <v>1</v>
      </c>
    </row>
    <row r="783" spans="91:102" ht="21" customHeight="1" x14ac:dyDescent="0.25">
      <c r="CM783" s="102"/>
      <c r="CN783" s="112" t="s">
        <v>2361</v>
      </c>
      <c r="CO783" s="112" t="s">
        <v>541</v>
      </c>
      <c r="CP783" s="112" t="s">
        <v>523</v>
      </c>
      <c r="CQ783" s="112" t="s">
        <v>2362</v>
      </c>
      <c r="CR783" s="112" t="s">
        <v>2362</v>
      </c>
      <c r="CS783" s="112" t="s">
        <v>1168</v>
      </c>
      <c r="CT783" s="112" t="s">
        <v>1169</v>
      </c>
      <c r="CU783" s="112" t="s">
        <v>1664</v>
      </c>
      <c r="CV783" s="113" t="s">
        <v>1665</v>
      </c>
      <c r="CX783" s="36">
        <v>1</v>
      </c>
    </row>
    <row r="784" spans="91:102" ht="21" customHeight="1" x14ac:dyDescent="0.25">
      <c r="CM784" s="102"/>
      <c r="CN784" s="112" t="s">
        <v>2363</v>
      </c>
      <c r="CO784" s="112" t="s">
        <v>541</v>
      </c>
      <c r="CP784" s="112" t="s">
        <v>523</v>
      </c>
      <c r="CQ784" s="112" t="s">
        <v>2364</v>
      </c>
      <c r="CR784" s="112" t="s">
        <v>2364</v>
      </c>
      <c r="CS784" s="112" t="s">
        <v>1168</v>
      </c>
      <c r="CT784" s="112" t="s">
        <v>1169</v>
      </c>
      <c r="CU784" s="112" t="s">
        <v>1664</v>
      </c>
      <c r="CV784" s="113" t="s">
        <v>1665</v>
      </c>
      <c r="CX784" s="36">
        <v>1</v>
      </c>
    </row>
    <row r="785" spans="91:102" ht="21" customHeight="1" x14ac:dyDescent="0.25">
      <c r="CM785" s="102"/>
      <c r="CN785" s="112" t="s">
        <v>2365</v>
      </c>
      <c r="CO785" s="112" t="s">
        <v>541</v>
      </c>
      <c r="CP785" s="112" t="s">
        <v>523</v>
      </c>
      <c r="CQ785" s="112" t="s">
        <v>2366</v>
      </c>
      <c r="CR785" s="112" t="s">
        <v>2366</v>
      </c>
      <c r="CS785" s="112" t="s">
        <v>1168</v>
      </c>
      <c r="CT785" s="112" t="s">
        <v>1169</v>
      </c>
      <c r="CU785" s="112" t="s">
        <v>1664</v>
      </c>
      <c r="CV785" s="113" t="s">
        <v>1665</v>
      </c>
      <c r="CX785" s="36">
        <v>1</v>
      </c>
    </row>
    <row r="786" spans="91:102" ht="21" customHeight="1" x14ac:dyDescent="0.25">
      <c r="CM786" s="102"/>
      <c r="CN786" s="112" t="s">
        <v>2367</v>
      </c>
      <c r="CO786" s="112" t="s">
        <v>541</v>
      </c>
      <c r="CP786" s="112" t="s">
        <v>523</v>
      </c>
      <c r="CQ786" s="112" t="s">
        <v>2368</v>
      </c>
      <c r="CR786" s="112" t="s">
        <v>2368</v>
      </c>
      <c r="CS786" s="112" t="s">
        <v>1168</v>
      </c>
      <c r="CT786" s="112" t="s">
        <v>1169</v>
      </c>
      <c r="CU786" s="112" t="s">
        <v>1664</v>
      </c>
      <c r="CV786" s="113" t="s">
        <v>1665</v>
      </c>
      <c r="CX786" s="36">
        <v>1</v>
      </c>
    </row>
    <row r="787" spans="91:102" ht="21" customHeight="1" x14ac:dyDescent="0.25">
      <c r="CM787" s="102"/>
      <c r="CN787" s="112" t="s">
        <v>2369</v>
      </c>
      <c r="CO787" s="112" t="s">
        <v>541</v>
      </c>
      <c r="CP787" s="112" t="s">
        <v>523</v>
      </c>
      <c r="CQ787" s="112" t="s">
        <v>2370</v>
      </c>
      <c r="CR787" s="112" t="s">
        <v>2370</v>
      </c>
      <c r="CS787" s="112" t="s">
        <v>1168</v>
      </c>
      <c r="CT787" s="112" t="s">
        <v>1169</v>
      </c>
      <c r="CU787" s="112" t="s">
        <v>1664</v>
      </c>
      <c r="CV787" s="113" t="s">
        <v>1665</v>
      </c>
      <c r="CX787" s="36">
        <v>1</v>
      </c>
    </row>
    <row r="788" spans="91:102" ht="21" customHeight="1" x14ac:dyDescent="0.25">
      <c r="CM788" s="102"/>
      <c r="CN788" s="112" t="s">
        <v>2371</v>
      </c>
      <c r="CO788" s="112" t="s">
        <v>541</v>
      </c>
      <c r="CP788" s="112" t="s">
        <v>523</v>
      </c>
      <c r="CQ788" s="112" t="s">
        <v>2372</v>
      </c>
      <c r="CR788" s="112" t="s">
        <v>2372</v>
      </c>
      <c r="CS788" s="112" t="s">
        <v>1168</v>
      </c>
      <c r="CT788" s="112" t="s">
        <v>1169</v>
      </c>
      <c r="CU788" s="112" t="s">
        <v>1664</v>
      </c>
      <c r="CV788" s="113" t="s">
        <v>1665</v>
      </c>
      <c r="CX788" s="36">
        <v>1</v>
      </c>
    </row>
    <row r="789" spans="91:102" ht="21" customHeight="1" x14ac:dyDescent="0.25">
      <c r="CM789" s="102"/>
      <c r="CN789" s="112" t="s">
        <v>2373</v>
      </c>
      <c r="CO789" s="112" t="s">
        <v>541</v>
      </c>
      <c r="CP789" s="112" t="s">
        <v>523</v>
      </c>
      <c r="CQ789" s="112" t="s">
        <v>2374</v>
      </c>
      <c r="CR789" s="112" t="s">
        <v>2374</v>
      </c>
      <c r="CS789" s="112" t="s">
        <v>1168</v>
      </c>
      <c r="CT789" s="112" t="s">
        <v>1169</v>
      </c>
      <c r="CU789" s="112" t="s">
        <v>1664</v>
      </c>
      <c r="CV789" s="113" t="s">
        <v>1665</v>
      </c>
      <c r="CX789" s="36">
        <v>1</v>
      </c>
    </row>
    <row r="790" spans="91:102" ht="21" customHeight="1" x14ac:dyDescent="0.25">
      <c r="CM790" s="102"/>
      <c r="CN790" s="112" t="s">
        <v>2375</v>
      </c>
      <c r="CO790" s="112" t="s">
        <v>541</v>
      </c>
      <c r="CP790" s="112" t="s">
        <v>523</v>
      </c>
      <c r="CQ790" s="112" t="s">
        <v>2376</v>
      </c>
      <c r="CR790" s="112" t="s">
        <v>2376</v>
      </c>
      <c r="CS790" s="112" t="s">
        <v>1168</v>
      </c>
      <c r="CT790" s="112" t="s">
        <v>1169</v>
      </c>
      <c r="CU790" s="112" t="s">
        <v>1664</v>
      </c>
      <c r="CV790" s="113" t="s">
        <v>1665</v>
      </c>
      <c r="CX790" s="36">
        <v>1</v>
      </c>
    </row>
    <row r="791" spans="91:102" ht="21" customHeight="1" x14ac:dyDescent="0.25">
      <c r="CM791" s="102"/>
      <c r="CN791" s="112" t="s">
        <v>2377</v>
      </c>
      <c r="CO791" s="112" t="s">
        <v>541</v>
      </c>
      <c r="CP791" s="112" t="s">
        <v>523</v>
      </c>
      <c r="CQ791" s="112" t="s">
        <v>2378</v>
      </c>
      <c r="CR791" s="112" t="s">
        <v>2378</v>
      </c>
      <c r="CS791" s="112" t="s">
        <v>1168</v>
      </c>
      <c r="CT791" s="112" t="s">
        <v>1169</v>
      </c>
      <c r="CU791" s="112" t="s">
        <v>1664</v>
      </c>
      <c r="CV791" s="113" t="s">
        <v>1665</v>
      </c>
      <c r="CX791" s="36">
        <v>1</v>
      </c>
    </row>
    <row r="792" spans="91:102" ht="21" customHeight="1" x14ac:dyDescent="0.25">
      <c r="CM792" s="102"/>
      <c r="CN792" s="112" t="s">
        <v>2379</v>
      </c>
      <c r="CO792" s="112" t="s">
        <v>541</v>
      </c>
      <c r="CP792" s="112" t="s">
        <v>523</v>
      </c>
      <c r="CQ792" s="112" t="s">
        <v>2380</v>
      </c>
      <c r="CR792" s="112" t="s">
        <v>2380</v>
      </c>
      <c r="CS792" s="112" t="s">
        <v>1168</v>
      </c>
      <c r="CT792" s="112" t="s">
        <v>1169</v>
      </c>
      <c r="CU792" s="112" t="s">
        <v>1664</v>
      </c>
      <c r="CV792" s="113" t="s">
        <v>1665</v>
      </c>
      <c r="CX792" s="36">
        <v>1</v>
      </c>
    </row>
    <row r="793" spans="91:102" ht="21" customHeight="1" x14ac:dyDescent="0.25">
      <c r="CM793" s="102"/>
      <c r="CN793" s="112" t="s">
        <v>2381</v>
      </c>
      <c r="CO793" s="112" t="s">
        <v>541</v>
      </c>
      <c r="CP793" s="112" t="s">
        <v>523</v>
      </c>
      <c r="CQ793" s="112" t="s">
        <v>2382</v>
      </c>
      <c r="CR793" s="112" t="s">
        <v>2382</v>
      </c>
      <c r="CS793" s="112" t="s">
        <v>1168</v>
      </c>
      <c r="CT793" s="112" t="s">
        <v>1169</v>
      </c>
      <c r="CU793" s="112" t="s">
        <v>1664</v>
      </c>
      <c r="CV793" s="113" t="s">
        <v>1665</v>
      </c>
      <c r="CX793" s="36">
        <v>1</v>
      </c>
    </row>
    <row r="794" spans="91:102" ht="21" customHeight="1" x14ac:dyDescent="0.25">
      <c r="CM794" s="102"/>
      <c r="CN794" s="112" t="s">
        <v>2383</v>
      </c>
      <c r="CO794" s="112" t="s">
        <v>541</v>
      </c>
      <c r="CP794" s="112" t="s">
        <v>523</v>
      </c>
      <c r="CQ794" s="112" t="s">
        <v>2384</v>
      </c>
      <c r="CR794" s="112" t="s">
        <v>2384</v>
      </c>
      <c r="CS794" s="112" t="s">
        <v>1168</v>
      </c>
      <c r="CT794" s="112" t="s">
        <v>1169</v>
      </c>
      <c r="CU794" s="112" t="s">
        <v>1664</v>
      </c>
      <c r="CV794" s="113" t="s">
        <v>1665</v>
      </c>
      <c r="CX794" s="36">
        <v>1</v>
      </c>
    </row>
    <row r="795" spans="91:102" ht="21" customHeight="1" x14ac:dyDescent="0.25">
      <c r="CM795" s="102"/>
      <c r="CN795" s="112" t="s">
        <v>2385</v>
      </c>
      <c r="CO795" s="112" t="s">
        <v>541</v>
      </c>
      <c r="CP795" s="112" t="s">
        <v>523</v>
      </c>
      <c r="CQ795" s="112" t="s">
        <v>2386</v>
      </c>
      <c r="CR795" s="112" t="s">
        <v>2386</v>
      </c>
      <c r="CS795" s="112" t="s">
        <v>1168</v>
      </c>
      <c r="CT795" s="112" t="s">
        <v>1169</v>
      </c>
      <c r="CU795" s="112" t="s">
        <v>1664</v>
      </c>
      <c r="CV795" s="113" t="s">
        <v>1665</v>
      </c>
      <c r="CX795" s="36">
        <v>1</v>
      </c>
    </row>
    <row r="796" spans="91:102" ht="21" customHeight="1" x14ac:dyDescent="0.25">
      <c r="CM796" s="102"/>
      <c r="CN796" s="112" t="s">
        <v>2387</v>
      </c>
      <c r="CO796" s="112" t="s">
        <v>541</v>
      </c>
      <c r="CP796" s="112" t="s">
        <v>523</v>
      </c>
      <c r="CQ796" s="112" t="s">
        <v>2388</v>
      </c>
      <c r="CR796" s="112" t="s">
        <v>2388</v>
      </c>
      <c r="CS796" s="112" t="s">
        <v>1168</v>
      </c>
      <c r="CT796" s="112" t="s">
        <v>1169</v>
      </c>
      <c r="CU796" s="112" t="s">
        <v>1664</v>
      </c>
      <c r="CV796" s="113" t="s">
        <v>1665</v>
      </c>
      <c r="CX796" s="36">
        <v>1</v>
      </c>
    </row>
    <row r="797" spans="91:102" ht="21" customHeight="1" x14ac:dyDescent="0.25">
      <c r="CM797" s="102"/>
      <c r="CN797" s="112" t="s">
        <v>2389</v>
      </c>
      <c r="CO797" s="112" t="s">
        <v>541</v>
      </c>
      <c r="CP797" s="112" t="s">
        <v>523</v>
      </c>
      <c r="CQ797" s="112" t="s">
        <v>2390</v>
      </c>
      <c r="CR797" s="112" t="s">
        <v>2390</v>
      </c>
      <c r="CS797" s="112" t="s">
        <v>1168</v>
      </c>
      <c r="CT797" s="112" t="s">
        <v>1169</v>
      </c>
      <c r="CU797" s="112" t="s">
        <v>1664</v>
      </c>
      <c r="CV797" s="113" t="s">
        <v>1665</v>
      </c>
      <c r="CX797" s="36">
        <v>1</v>
      </c>
    </row>
    <row r="798" spans="91:102" ht="21" customHeight="1" x14ac:dyDescent="0.25">
      <c r="CM798" s="102"/>
      <c r="CN798" s="112" t="s">
        <v>2391</v>
      </c>
      <c r="CO798" s="112" t="s">
        <v>541</v>
      </c>
      <c r="CP798" s="112" t="s">
        <v>523</v>
      </c>
      <c r="CQ798" s="112" t="s">
        <v>2392</v>
      </c>
      <c r="CR798" s="112" t="s">
        <v>2392</v>
      </c>
      <c r="CS798" s="112" t="s">
        <v>1168</v>
      </c>
      <c r="CT798" s="112" t="s">
        <v>1169</v>
      </c>
      <c r="CU798" s="112" t="s">
        <v>1664</v>
      </c>
      <c r="CV798" s="113" t="s">
        <v>1665</v>
      </c>
      <c r="CX798" s="36">
        <v>1</v>
      </c>
    </row>
    <row r="799" spans="91:102" ht="21" customHeight="1" x14ac:dyDescent="0.25">
      <c r="CM799" s="102"/>
      <c r="CN799" s="112" t="s">
        <v>2393</v>
      </c>
      <c r="CO799" s="112" t="s">
        <v>541</v>
      </c>
      <c r="CP799" s="112" t="s">
        <v>523</v>
      </c>
      <c r="CQ799" s="112" t="s">
        <v>2394</v>
      </c>
      <c r="CR799" s="112" t="s">
        <v>2394</v>
      </c>
      <c r="CS799" s="112" t="s">
        <v>1168</v>
      </c>
      <c r="CT799" s="112" t="s">
        <v>1169</v>
      </c>
      <c r="CU799" s="112" t="s">
        <v>1664</v>
      </c>
      <c r="CV799" s="113" t="s">
        <v>1665</v>
      </c>
      <c r="CX799" s="36">
        <v>1</v>
      </c>
    </row>
    <row r="800" spans="91:102" ht="21" customHeight="1" x14ac:dyDescent="0.25">
      <c r="CM800" s="102"/>
      <c r="CN800" s="112" t="s">
        <v>2395</v>
      </c>
      <c r="CO800" s="112" t="s">
        <v>541</v>
      </c>
      <c r="CP800" s="112" t="s">
        <v>523</v>
      </c>
      <c r="CQ800" s="112" t="s">
        <v>2396</v>
      </c>
      <c r="CR800" s="112" t="s">
        <v>2396</v>
      </c>
      <c r="CS800" s="112" t="s">
        <v>1168</v>
      </c>
      <c r="CT800" s="112" t="s">
        <v>1169</v>
      </c>
      <c r="CU800" s="112" t="s">
        <v>1664</v>
      </c>
      <c r="CV800" s="113" t="s">
        <v>1665</v>
      </c>
      <c r="CX800" s="36">
        <v>1</v>
      </c>
    </row>
    <row r="801" spans="91:102" ht="21" customHeight="1" x14ac:dyDescent="0.25">
      <c r="CM801" s="102"/>
      <c r="CN801" s="112" t="s">
        <v>2397</v>
      </c>
      <c r="CO801" s="112" t="s">
        <v>541</v>
      </c>
      <c r="CP801" s="112" t="s">
        <v>523</v>
      </c>
      <c r="CQ801" s="112" t="s">
        <v>2398</v>
      </c>
      <c r="CR801" s="112" t="s">
        <v>2398</v>
      </c>
      <c r="CS801" s="112" t="s">
        <v>1168</v>
      </c>
      <c r="CT801" s="112" t="s">
        <v>1169</v>
      </c>
      <c r="CU801" s="112" t="s">
        <v>1664</v>
      </c>
      <c r="CV801" s="113" t="s">
        <v>1665</v>
      </c>
      <c r="CX801" s="36">
        <v>1</v>
      </c>
    </row>
    <row r="802" spans="91:102" ht="21" customHeight="1" x14ac:dyDescent="0.25">
      <c r="CM802" s="102"/>
      <c r="CN802" s="112" t="s">
        <v>2399</v>
      </c>
      <c r="CO802" s="112" t="s">
        <v>541</v>
      </c>
      <c r="CP802" s="112" t="s">
        <v>523</v>
      </c>
      <c r="CQ802" s="112" t="s">
        <v>2400</v>
      </c>
      <c r="CR802" s="112" t="s">
        <v>2400</v>
      </c>
      <c r="CS802" s="112" t="s">
        <v>1168</v>
      </c>
      <c r="CT802" s="112" t="s">
        <v>1169</v>
      </c>
      <c r="CU802" s="112" t="s">
        <v>1664</v>
      </c>
      <c r="CV802" s="113" t="s">
        <v>1665</v>
      </c>
      <c r="CX802" s="36">
        <v>1</v>
      </c>
    </row>
    <row r="803" spans="91:102" ht="21" customHeight="1" x14ac:dyDescent="0.25">
      <c r="CM803" s="102"/>
      <c r="CN803" s="112" t="s">
        <v>2401</v>
      </c>
      <c r="CO803" s="112" t="s">
        <v>541</v>
      </c>
      <c r="CP803" s="112" t="s">
        <v>523</v>
      </c>
      <c r="CQ803" s="112" t="s">
        <v>2402</v>
      </c>
      <c r="CR803" s="112" t="s">
        <v>2402</v>
      </c>
      <c r="CS803" s="112" t="s">
        <v>1168</v>
      </c>
      <c r="CT803" s="112" t="s">
        <v>1169</v>
      </c>
      <c r="CU803" s="112" t="s">
        <v>1664</v>
      </c>
      <c r="CV803" s="113" t="s">
        <v>1665</v>
      </c>
      <c r="CX803" s="36">
        <v>1</v>
      </c>
    </row>
    <row r="804" spans="91:102" ht="21" customHeight="1" x14ac:dyDescent="0.25">
      <c r="CM804" s="102"/>
      <c r="CN804" s="112" t="s">
        <v>2403</v>
      </c>
      <c r="CO804" s="112" t="s">
        <v>541</v>
      </c>
      <c r="CP804" s="112" t="s">
        <v>523</v>
      </c>
      <c r="CQ804" s="112" t="s">
        <v>2404</v>
      </c>
      <c r="CR804" s="112" t="s">
        <v>2404</v>
      </c>
      <c r="CS804" s="112" t="s">
        <v>1168</v>
      </c>
      <c r="CT804" s="112" t="s">
        <v>1169</v>
      </c>
      <c r="CU804" s="112" t="s">
        <v>1664</v>
      </c>
      <c r="CV804" s="113" t="s">
        <v>1665</v>
      </c>
      <c r="CX804" s="36">
        <v>1</v>
      </c>
    </row>
    <row r="805" spans="91:102" ht="21" customHeight="1" x14ac:dyDescent="0.25">
      <c r="CM805" s="102"/>
      <c r="CN805" s="112" t="s">
        <v>2405</v>
      </c>
      <c r="CO805" s="112" t="s">
        <v>541</v>
      </c>
      <c r="CP805" s="112" t="s">
        <v>523</v>
      </c>
      <c r="CQ805" s="112" t="s">
        <v>2406</v>
      </c>
      <c r="CR805" s="112" t="s">
        <v>2406</v>
      </c>
      <c r="CS805" s="112" t="s">
        <v>1168</v>
      </c>
      <c r="CT805" s="112" t="s">
        <v>1169</v>
      </c>
      <c r="CU805" s="112" t="s">
        <v>1664</v>
      </c>
      <c r="CV805" s="113" t="s">
        <v>1665</v>
      </c>
      <c r="CX805" s="36">
        <v>1</v>
      </c>
    </row>
    <row r="806" spans="91:102" ht="21" customHeight="1" x14ac:dyDescent="0.25">
      <c r="CM806" s="102"/>
      <c r="CN806" s="112" t="s">
        <v>2407</v>
      </c>
      <c r="CO806" s="112" t="s">
        <v>541</v>
      </c>
      <c r="CP806" s="112" t="s">
        <v>523</v>
      </c>
      <c r="CQ806" s="112" t="s">
        <v>2408</v>
      </c>
      <c r="CR806" s="112" t="s">
        <v>2408</v>
      </c>
      <c r="CS806" s="112" t="s">
        <v>610</v>
      </c>
      <c r="CT806" s="112" t="s">
        <v>611</v>
      </c>
      <c r="CU806" s="112" t="s">
        <v>527</v>
      </c>
      <c r="CV806" s="113" t="s">
        <v>612</v>
      </c>
      <c r="CX806" s="36">
        <v>1</v>
      </c>
    </row>
    <row r="807" spans="91:102" ht="21" customHeight="1" x14ac:dyDescent="0.25">
      <c r="CM807" s="102"/>
      <c r="CN807" s="112" t="s">
        <v>2409</v>
      </c>
      <c r="CO807" s="112" t="s">
        <v>541</v>
      </c>
      <c r="CP807" s="112" t="s">
        <v>523</v>
      </c>
      <c r="CQ807" s="112" t="s">
        <v>2410</v>
      </c>
      <c r="CR807" s="112" t="s">
        <v>2410</v>
      </c>
      <c r="CS807" s="112" t="s">
        <v>610</v>
      </c>
      <c r="CT807" s="112" t="s">
        <v>611</v>
      </c>
      <c r="CU807" s="112" t="s">
        <v>527</v>
      </c>
      <c r="CV807" s="113" t="s">
        <v>612</v>
      </c>
      <c r="CX807" s="36">
        <v>1</v>
      </c>
    </row>
    <row r="808" spans="91:102" ht="21" customHeight="1" x14ac:dyDescent="0.25">
      <c r="CM808" s="102"/>
      <c r="CN808" s="112" t="s">
        <v>2411</v>
      </c>
      <c r="CO808" s="112" t="s">
        <v>541</v>
      </c>
      <c r="CP808" s="112" t="s">
        <v>523</v>
      </c>
      <c r="CQ808" s="112" t="s">
        <v>2412</v>
      </c>
      <c r="CR808" s="112" t="s">
        <v>2412</v>
      </c>
      <c r="CS808" s="112" t="s">
        <v>1168</v>
      </c>
      <c r="CT808" s="112" t="s">
        <v>1169</v>
      </c>
      <c r="CU808" s="112" t="s">
        <v>1664</v>
      </c>
      <c r="CV808" s="113" t="s">
        <v>1665</v>
      </c>
      <c r="CX808" s="36">
        <v>1</v>
      </c>
    </row>
    <row r="809" spans="91:102" ht="21" customHeight="1" x14ac:dyDescent="0.25">
      <c r="CM809" s="102"/>
      <c r="CN809" s="112" t="s">
        <v>2413</v>
      </c>
      <c r="CO809" s="112" t="s">
        <v>541</v>
      </c>
      <c r="CP809" s="112" t="s">
        <v>523</v>
      </c>
      <c r="CQ809" s="112" t="s">
        <v>2414</v>
      </c>
      <c r="CR809" s="112" t="s">
        <v>2414</v>
      </c>
      <c r="CS809" s="112" t="s">
        <v>1168</v>
      </c>
      <c r="CT809" s="112" t="s">
        <v>1169</v>
      </c>
      <c r="CU809" s="112" t="s">
        <v>1664</v>
      </c>
      <c r="CV809" s="113" t="s">
        <v>1665</v>
      </c>
      <c r="CX809" s="36">
        <v>1</v>
      </c>
    </row>
    <row r="810" spans="91:102" ht="21" customHeight="1" x14ac:dyDescent="0.25">
      <c r="CM810" s="102"/>
      <c r="CN810" s="112" t="s">
        <v>2415</v>
      </c>
      <c r="CO810" s="112" t="s">
        <v>541</v>
      </c>
      <c r="CP810" s="112" t="s">
        <v>523</v>
      </c>
      <c r="CQ810" s="112" t="s">
        <v>2416</v>
      </c>
      <c r="CR810" s="112" t="s">
        <v>2416</v>
      </c>
      <c r="CS810" s="112" t="s">
        <v>1168</v>
      </c>
      <c r="CT810" s="112" t="s">
        <v>1169</v>
      </c>
      <c r="CU810" s="112" t="s">
        <v>1664</v>
      </c>
      <c r="CV810" s="113" t="s">
        <v>1665</v>
      </c>
      <c r="CX810" s="36">
        <v>1</v>
      </c>
    </row>
    <row r="811" spans="91:102" ht="21" customHeight="1" x14ac:dyDescent="0.25">
      <c r="CM811" s="102"/>
      <c r="CN811" s="112" t="s">
        <v>2417</v>
      </c>
      <c r="CO811" s="112" t="s">
        <v>541</v>
      </c>
      <c r="CP811" s="112" t="s">
        <v>523</v>
      </c>
      <c r="CQ811" s="112" t="s">
        <v>2418</v>
      </c>
      <c r="CR811" s="112" t="s">
        <v>2418</v>
      </c>
      <c r="CS811" s="112" t="s">
        <v>1168</v>
      </c>
      <c r="CT811" s="112" t="s">
        <v>1169</v>
      </c>
      <c r="CU811" s="112" t="s">
        <v>1664</v>
      </c>
      <c r="CV811" s="113" t="s">
        <v>1665</v>
      </c>
      <c r="CX811" s="36">
        <v>1</v>
      </c>
    </row>
    <row r="812" spans="91:102" ht="21" customHeight="1" x14ac:dyDescent="0.25">
      <c r="CM812" s="102"/>
      <c r="CN812" s="112" t="s">
        <v>2419</v>
      </c>
      <c r="CO812" s="112" t="s">
        <v>541</v>
      </c>
      <c r="CP812" s="112" t="s">
        <v>523</v>
      </c>
      <c r="CQ812" s="112" t="s">
        <v>2420</v>
      </c>
      <c r="CR812" s="112" t="s">
        <v>2420</v>
      </c>
      <c r="CS812" s="112" t="s">
        <v>1168</v>
      </c>
      <c r="CT812" s="112" t="s">
        <v>1169</v>
      </c>
      <c r="CU812" s="112" t="s">
        <v>1664</v>
      </c>
      <c r="CV812" s="113" t="s">
        <v>1665</v>
      </c>
      <c r="CX812" s="36">
        <v>1</v>
      </c>
    </row>
    <row r="813" spans="91:102" ht="21" customHeight="1" x14ac:dyDescent="0.25">
      <c r="CM813" s="102"/>
      <c r="CN813" s="112" t="s">
        <v>2421</v>
      </c>
      <c r="CO813" s="112" t="s">
        <v>541</v>
      </c>
      <c r="CP813" s="112" t="s">
        <v>523</v>
      </c>
      <c r="CQ813" s="112" t="s">
        <v>2422</v>
      </c>
      <c r="CR813" s="112" t="s">
        <v>2422</v>
      </c>
      <c r="CS813" s="112" t="s">
        <v>1168</v>
      </c>
      <c r="CT813" s="112" t="s">
        <v>1169</v>
      </c>
      <c r="CU813" s="112" t="s">
        <v>1664</v>
      </c>
      <c r="CV813" s="113" t="s">
        <v>1665</v>
      </c>
      <c r="CX813" s="36">
        <v>1</v>
      </c>
    </row>
    <row r="814" spans="91:102" ht="21" customHeight="1" x14ac:dyDescent="0.25">
      <c r="CM814" s="102"/>
      <c r="CN814" s="112" t="s">
        <v>2423</v>
      </c>
      <c r="CO814" s="112" t="s">
        <v>541</v>
      </c>
      <c r="CP814" s="112" t="s">
        <v>523</v>
      </c>
      <c r="CQ814" s="112" t="s">
        <v>2424</v>
      </c>
      <c r="CR814" s="112" t="s">
        <v>2424</v>
      </c>
      <c r="CS814" s="112" t="s">
        <v>1168</v>
      </c>
      <c r="CT814" s="112" t="s">
        <v>1169</v>
      </c>
      <c r="CU814" s="112" t="s">
        <v>1664</v>
      </c>
      <c r="CV814" s="113" t="s">
        <v>1665</v>
      </c>
      <c r="CX814" s="36">
        <v>1</v>
      </c>
    </row>
    <row r="815" spans="91:102" ht="21" customHeight="1" x14ac:dyDescent="0.25">
      <c r="CM815" s="102"/>
      <c r="CN815" s="112" t="s">
        <v>2425</v>
      </c>
      <c r="CO815" s="112" t="s">
        <v>541</v>
      </c>
      <c r="CP815" s="112" t="s">
        <v>523</v>
      </c>
      <c r="CQ815" s="112" t="s">
        <v>2426</v>
      </c>
      <c r="CR815" s="112" t="s">
        <v>2426</v>
      </c>
      <c r="CS815" s="112" t="s">
        <v>1168</v>
      </c>
      <c r="CT815" s="112" t="s">
        <v>1169</v>
      </c>
      <c r="CU815" s="112" t="s">
        <v>1664</v>
      </c>
      <c r="CV815" s="113" t="s">
        <v>1665</v>
      </c>
      <c r="CX815" s="36">
        <v>1</v>
      </c>
    </row>
    <row r="816" spans="91:102" ht="21" customHeight="1" x14ac:dyDescent="0.25">
      <c r="CM816" s="102"/>
      <c r="CN816" s="112" t="s">
        <v>2427</v>
      </c>
      <c r="CO816" s="112" t="s">
        <v>541</v>
      </c>
      <c r="CP816" s="112" t="s">
        <v>523</v>
      </c>
      <c r="CQ816" s="112" t="s">
        <v>2428</v>
      </c>
      <c r="CR816" s="112" t="s">
        <v>2428</v>
      </c>
      <c r="CS816" s="112" t="s">
        <v>525</v>
      </c>
      <c r="CT816" s="112" t="s">
        <v>1747</v>
      </c>
      <c r="CU816" s="112" t="s">
        <v>527</v>
      </c>
      <c r="CV816" s="113" t="s">
        <v>528</v>
      </c>
      <c r="CX816" s="36">
        <v>1</v>
      </c>
    </row>
    <row r="817" spans="91:102" ht="21" customHeight="1" x14ac:dyDescent="0.25">
      <c r="CM817" s="102"/>
      <c r="CN817" s="112" t="s">
        <v>2429</v>
      </c>
      <c r="CO817" s="112" t="s">
        <v>541</v>
      </c>
      <c r="CP817" s="112" t="s">
        <v>523</v>
      </c>
      <c r="CQ817" s="112" t="s">
        <v>2430</v>
      </c>
      <c r="CR817" s="112" t="s">
        <v>2430</v>
      </c>
      <c r="CS817" s="112" t="s">
        <v>1168</v>
      </c>
      <c r="CT817" s="112" t="s">
        <v>1169</v>
      </c>
      <c r="CU817" s="112" t="s">
        <v>1664</v>
      </c>
      <c r="CV817" s="113" t="s">
        <v>1665</v>
      </c>
      <c r="CX817" s="36">
        <v>1</v>
      </c>
    </row>
    <row r="818" spans="91:102" ht="21" customHeight="1" x14ac:dyDescent="0.25">
      <c r="CM818" s="102"/>
      <c r="CN818" s="112" t="s">
        <v>2431</v>
      </c>
      <c r="CO818" s="112" t="s">
        <v>541</v>
      </c>
      <c r="CP818" s="112" t="s">
        <v>523</v>
      </c>
      <c r="CQ818" s="112" t="s">
        <v>2432</v>
      </c>
      <c r="CR818" s="112" t="s">
        <v>2432</v>
      </c>
      <c r="CS818" s="112" t="s">
        <v>1168</v>
      </c>
      <c r="CT818" s="112" t="s">
        <v>1169</v>
      </c>
      <c r="CU818" s="112" t="s">
        <v>1664</v>
      </c>
      <c r="CV818" s="113" t="s">
        <v>1665</v>
      </c>
      <c r="CX818" s="36">
        <v>1</v>
      </c>
    </row>
    <row r="819" spans="91:102" ht="21" customHeight="1" x14ac:dyDescent="0.25">
      <c r="CM819" s="102"/>
      <c r="CN819" s="112" t="s">
        <v>2433</v>
      </c>
      <c r="CO819" s="112" t="s">
        <v>541</v>
      </c>
      <c r="CP819" s="112" t="s">
        <v>523</v>
      </c>
      <c r="CQ819" s="112" t="s">
        <v>2434</v>
      </c>
      <c r="CR819" s="112" t="s">
        <v>2434</v>
      </c>
      <c r="CS819" s="112" t="s">
        <v>1168</v>
      </c>
      <c r="CT819" s="112" t="s">
        <v>1169</v>
      </c>
      <c r="CU819" s="112" t="s">
        <v>1664</v>
      </c>
      <c r="CV819" s="113" t="s">
        <v>1665</v>
      </c>
      <c r="CX819" s="36">
        <v>1</v>
      </c>
    </row>
    <row r="820" spans="91:102" ht="21" customHeight="1" x14ac:dyDescent="0.25">
      <c r="CM820" s="102"/>
      <c r="CN820" s="112" t="s">
        <v>2435</v>
      </c>
      <c r="CO820" s="112" t="s">
        <v>541</v>
      </c>
      <c r="CP820" s="112" t="s">
        <v>523</v>
      </c>
      <c r="CQ820" s="112" t="s">
        <v>2436</v>
      </c>
      <c r="CR820" s="112" t="s">
        <v>2436</v>
      </c>
      <c r="CS820" s="112" t="s">
        <v>1168</v>
      </c>
      <c r="CT820" s="112" t="s">
        <v>1169</v>
      </c>
      <c r="CU820" s="112" t="s">
        <v>1664</v>
      </c>
      <c r="CV820" s="113" t="s">
        <v>1665</v>
      </c>
      <c r="CX820" s="36">
        <v>1</v>
      </c>
    </row>
    <row r="821" spans="91:102" ht="21" customHeight="1" x14ac:dyDescent="0.25">
      <c r="CM821" s="102"/>
      <c r="CN821" s="112" t="s">
        <v>2437</v>
      </c>
      <c r="CO821" s="112" t="s">
        <v>541</v>
      </c>
      <c r="CP821" s="112" t="s">
        <v>523</v>
      </c>
      <c r="CQ821" s="112" t="s">
        <v>2438</v>
      </c>
      <c r="CR821" s="112" t="s">
        <v>2438</v>
      </c>
      <c r="CS821" s="112" t="s">
        <v>1168</v>
      </c>
      <c r="CT821" s="112" t="s">
        <v>1169</v>
      </c>
      <c r="CU821" s="112" t="s">
        <v>1664</v>
      </c>
      <c r="CV821" s="113" t="s">
        <v>1665</v>
      </c>
      <c r="CX821" s="36">
        <v>1</v>
      </c>
    </row>
    <row r="822" spans="91:102" ht="21" customHeight="1" x14ac:dyDescent="0.25">
      <c r="CM822" s="102"/>
      <c r="CN822" s="112" t="s">
        <v>2439</v>
      </c>
      <c r="CO822" s="112" t="s">
        <v>541</v>
      </c>
      <c r="CP822" s="112" t="s">
        <v>523</v>
      </c>
      <c r="CQ822" s="112" t="s">
        <v>2440</v>
      </c>
      <c r="CR822" s="112" t="s">
        <v>2440</v>
      </c>
      <c r="CS822" s="112" t="s">
        <v>1168</v>
      </c>
      <c r="CT822" s="112" t="s">
        <v>1169</v>
      </c>
      <c r="CU822" s="112" t="s">
        <v>1664</v>
      </c>
      <c r="CV822" s="113" t="s">
        <v>1665</v>
      </c>
      <c r="CX822" s="36">
        <v>1</v>
      </c>
    </row>
    <row r="823" spans="91:102" ht="21" customHeight="1" x14ac:dyDescent="0.25">
      <c r="CM823" s="102"/>
      <c r="CN823" s="112" t="s">
        <v>2441</v>
      </c>
      <c r="CO823" s="112" t="s">
        <v>541</v>
      </c>
      <c r="CP823" s="112" t="s">
        <v>523</v>
      </c>
      <c r="CQ823" s="112" t="s">
        <v>2442</v>
      </c>
      <c r="CR823" s="112" t="s">
        <v>2442</v>
      </c>
      <c r="CS823" s="112" t="s">
        <v>1168</v>
      </c>
      <c r="CT823" s="112" t="s">
        <v>1169</v>
      </c>
      <c r="CU823" s="112" t="s">
        <v>1664</v>
      </c>
      <c r="CV823" s="113" t="s">
        <v>1665</v>
      </c>
      <c r="CX823" s="36">
        <v>1</v>
      </c>
    </row>
    <row r="824" spans="91:102" ht="21" customHeight="1" x14ac:dyDescent="0.25">
      <c r="CM824" s="102"/>
      <c r="CN824" s="112" t="s">
        <v>2443</v>
      </c>
      <c r="CO824" s="112" t="s">
        <v>541</v>
      </c>
      <c r="CP824" s="112" t="s">
        <v>523</v>
      </c>
      <c r="CQ824" s="112" t="s">
        <v>2444</v>
      </c>
      <c r="CR824" s="112" t="s">
        <v>2444</v>
      </c>
      <c r="CS824" s="112" t="s">
        <v>1168</v>
      </c>
      <c r="CT824" s="112" t="s">
        <v>1169</v>
      </c>
      <c r="CU824" s="112" t="s">
        <v>1664</v>
      </c>
      <c r="CV824" s="113" t="s">
        <v>1665</v>
      </c>
      <c r="CX824" s="36">
        <v>1</v>
      </c>
    </row>
    <row r="825" spans="91:102" ht="21" customHeight="1" x14ac:dyDescent="0.25">
      <c r="CM825" s="102"/>
      <c r="CN825" s="112" t="s">
        <v>2445</v>
      </c>
      <c r="CO825" s="112" t="s">
        <v>541</v>
      </c>
      <c r="CP825" s="112" t="s">
        <v>523</v>
      </c>
      <c r="CQ825" s="112" t="s">
        <v>2446</v>
      </c>
      <c r="CR825" s="112" t="s">
        <v>2446</v>
      </c>
      <c r="CS825" s="112" t="s">
        <v>1168</v>
      </c>
      <c r="CT825" s="112" t="s">
        <v>1169</v>
      </c>
      <c r="CU825" s="112" t="s">
        <v>1664</v>
      </c>
      <c r="CV825" s="113" t="s">
        <v>1665</v>
      </c>
      <c r="CX825" s="36">
        <v>1</v>
      </c>
    </row>
    <row r="826" spans="91:102" ht="21" customHeight="1" x14ac:dyDescent="0.25">
      <c r="CM826" s="102"/>
      <c r="CN826" s="112" t="s">
        <v>2447</v>
      </c>
      <c r="CO826" s="112" t="s">
        <v>541</v>
      </c>
      <c r="CP826" s="112" t="s">
        <v>523</v>
      </c>
      <c r="CQ826" s="112" t="s">
        <v>2448</v>
      </c>
      <c r="CR826" s="112" t="s">
        <v>2448</v>
      </c>
      <c r="CS826" s="112" t="s">
        <v>1168</v>
      </c>
      <c r="CT826" s="112" t="s">
        <v>1169</v>
      </c>
      <c r="CU826" s="112" t="s">
        <v>1664</v>
      </c>
      <c r="CV826" s="113" t="s">
        <v>1665</v>
      </c>
      <c r="CX826" s="36">
        <v>1</v>
      </c>
    </row>
    <row r="827" spans="91:102" ht="21" customHeight="1" x14ac:dyDescent="0.25">
      <c r="CM827" s="102"/>
      <c r="CN827" s="112" t="s">
        <v>2449</v>
      </c>
      <c r="CO827" s="112" t="s">
        <v>541</v>
      </c>
      <c r="CP827" s="112" t="s">
        <v>523</v>
      </c>
      <c r="CQ827" s="112" t="s">
        <v>2450</v>
      </c>
      <c r="CR827" s="112" t="s">
        <v>2450</v>
      </c>
      <c r="CS827" s="112" t="s">
        <v>1168</v>
      </c>
      <c r="CT827" s="112" t="s">
        <v>1169</v>
      </c>
      <c r="CU827" s="112" t="s">
        <v>1664</v>
      </c>
      <c r="CV827" s="113" t="s">
        <v>1665</v>
      </c>
      <c r="CX827" s="36">
        <v>1</v>
      </c>
    </row>
    <row r="828" spans="91:102" ht="21" customHeight="1" x14ac:dyDescent="0.25">
      <c r="CM828" s="102"/>
      <c r="CN828" s="112" t="s">
        <v>2451</v>
      </c>
      <c r="CO828" s="112" t="s">
        <v>541</v>
      </c>
      <c r="CP828" s="112" t="s">
        <v>523</v>
      </c>
      <c r="CQ828" s="112" t="s">
        <v>2452</v>
      </c>
      <c r="CR828" s="112" t="s">
        <v>2452</v>
      </c>
      <c r="CS828" s="112" t="s">
        <v>1168</v>
      </c>
      <c r="CT828" s="112" t="s">
        <v>1169</v>
      </c>
      <c r="CU828" s="112" t="s">
        <v>1664</v>
      </c>
      <c r="CV828" s="113" t="s">
        <v>1665</v>
      </c>
      <c r="CX828" s="36">
        <v>1</v>
      </c>
    </row>
    <row r="829" spans="91:102" ht="21" customHeight="1" x14ac:dyDescent="0.25">
      <c r="CM829" s="102"/>
      <c r="CN829" s="112" t="s">
        <v>2453</v>
      </c>
      <c r="CO829" s="112" t="s">
        <v>541</v>
      </c>
      <c r="CP829" s="112" t="s">
        <v>523</v>
      </c>
      <c r="CQ829" s="112" t="s">
        <v>2454</v>
      </c>
      <c r="CR829" s="112" t="s">
        <v>2454</v>
      </c>
      <c r="CS829" s="112" t="s">
        <v>1168</v>
      </c>
      <c r="CT829" s="112" t="s">
        <v>1169</v>
      </c>
      <c r="CU829" s="112" t="s">
        <v>1664</v>
      </c>
      <c r="CV829" s="113" t="s">
        <v>1665</v>
      </c>
      <c r="CX829" s="36">
        <v>1</v>
      </c>
    </row>
    <row r="830" spans="91:102" ht="21" customHeight="1" x14ac:dyDescent="0.25">
      <c r="CM830" s="102"/>
      <c r="CN830" s="112" t="s">
        <v>2455</v>
      </c>
      <c r="CO830" s="112" t="s">
        <v>541</v>
      </c>
      <c r="CP830" s="112" t="s">
        <v>523</v>
      </c>
      <c r="CQ830" s="112" t="s">
        <v>2456</v>
      </c>
      <c r="CR830" s="112" t="s">
        <v>2456</v>
      </c>
      <c r="CS830" s="112" t="s">
        <v>1168</v>
      </c>
      <c r="CT830" s="112" t="s">
        <v>1169</v>
      </c>
      <c r="CU830" s="112" t="s">
        <v>1664</v>
      </c>
      <c r="CV830" s="113" t="s">
        <v>1665</v>
      </c>
      <c r="CX830" s="36">
        <v>1</v>
      </c>
    </row>
    <row r="831" spans="91:102" ht="21" customHeight="1" x14ac:dyDescent="0.25">
      <c r="CM831" s="102"/>
      <c r="CN831" s="112" t="s">
        <v>2457</v>
      </c>
      <c r="CO831" s="112" t="s">
        <v>541</v>
      </c>
      <c r="CP831" s="112" t="s">
        <v>523</v>
      </c>
      <c r="CQ831" s="112" t="s">
        <v>2458</v>
      </c>
      <c r="CR831" s="112" t="s">
        <v>2458</v>
      </c>
      <c r="CS831" s="112" t="s">
        <v>1168</v>
      </c>
      <c r="CT831" s="112" t="s">
        <v>1169</v>
      </c>
      <c r="CU831" s="112" t="s">
        <v>1664</v>
      </c>
      <c r="CV831" s="113" t="s">
        <v>1665</v>
      </c>
      <c r="CX831" s="36">
        <v>1</v>
      </c>
    </row>
    <row r="832" spans="91:102" ht="21" customHeight="1" x14ac:dyDescent="0.25">
      <c r="CM832" s="102"/>
      <c r="CN832" s="112" t="s">
        <v>2459</v>
      </c>
      <c r="CO832" s="112" t="s">
        <v>541</v>
      </c>
      <c r="CP832" s="112" t="s">
        <v>523</v>
      </c>
      <c r="CQ832" s="112" t="s">
        <v>2460</v>
      </c>
      <c r="CR832" s="112" t="s">
        <v>2460</v>
      </c>
      <c r="CS832" s="112" t="s">
        <v>1168</v>
      </c>
      <c r="CT832" s="112" t="s">
        <v>1169</v>
      </c>
      <c r="CU832" s="112" t="s">
        <v>1664</v>
      </c>
      <c r="CV832" s="113" t="s">
        <v>1665</v>
      </c>
      <c r="CX832" s="36">
        <v>1</v>
      </c>
    </row>
    <row r="833" spans="91:102" ht="21" customHeight="1" x14ac:dyDescent="0.25">
      <c r="CM833" s="102"/>
      <c r="CN833" s="112" t="s">
        <v>2461</v>
      </c>
      <c r="CO833" s="112" t="s">
        <v>541</v>
      </c>
      <c r="CP833" s="112" t="s">
        <v>523</v>
      </c>
      <c r="CQ833" s="112" t="s">
        <v>2462</v>
      </c>
      <c r="CR833" s="112" t="s">
        <v>2462</v>
      </c>
      <c r="CS833" s="112" t="s">
        <v>1168</v>
      </c>
      <c r="CT833" s="112" t="s">
        <v>1169</v>
      </c>
      <c r="CU833" s="112" t="s">
        <v>1664</v>
      </c>
      <c r="CV833" s="113" t="s">
        <v>1665</v>
      </c>
      <c r="CX833" s="36">
        <v>1</v>
      </c>
    </row>
    <row r="834" spans="91:102" ht="21" customHeight="1" x14ac:dyDescent="0.25">
      <c r="CM834" s="102"/>
      <c r="CN834" s="112" t="s">
        <v>2463</v>
      </c>
      <c r="CO834" s="112" t="s">
        <v>541</v>
      </c>
      <c r="CP834" s="112" t="s">
        <v>523</v>
      </c>
      <c r="CQ834" s="112" t="s">
        <v>2464</v>
      </c>
      <c r="CR834" s="112" t="s">
        <v>2464</v>
      </c>
      <c r="CS834" s="112" t="s">
        <v>1168</v>
      </c>
      <c r="CT834" s="112" t="s">
        <v>1169</v>
      </c>
      <c r="CU834" s="112" t="s">
        <v>1664</v>
      </c>
      <c r="CV834" s="113" t="s">
        <v>1665</v>
      </c>
      <c r="CX834" s="36">
        <v>1</v>
      </c>
    </row>
    <row r="835" spans="91:102" ht="21" customHeight="1" x14ac:dyDescent="0.25">
      <c r="CM835" s="102"/>
      <c r="CN835" s="112" t="s">
        <v>2465</v>
      </c>
      <c r="CO835" s="112" t="s">
        <v>541</v>
      </c>
      <c r="CP835" s="112" t="s">
        <v>523</v>
      </c>
      <c r="CQ835" s="112" t="s">
        <v>2466</v>
      </c>
      <c r="CR835" s="112" t="s">
        <v>2466</v>
      </c>
      <c r="CS835" s="112" t="s">
        <v>1168</v>
      </c>
      <c r="CT835" s="112" t="s">
        <v>1169</v>
      </c>
      <c r="CU835" s="112" t="s">
        <v>1664</v>
      </c>
      <c r="CV835" s="113" t="s">
        <v>1665</v>
      </c>
      <c r="CX835" s="36">
        <v>1</v>
      </c>
    </row>
    <row r="836" spans="91:102" ht="21" customHeight="1" x14ac:dyDescent="0.25">
      <c r="CM836" s="102"/>
      <c r="CN836" s="112" t="s">
        <v>2467</v>
      </c>
      <c r="CO836" s="112" t="s">
        <v>541</v>
      </c>
      <c r="CP836" s="112" t="s">
        <v>523</v>
      </c>
      <c r="CQ836" s="112" t="s">
        <v>2468</v>
      </c>
      <c r="CR836" s="112" t="s">
        <v>2468</v>
      </c>
      <c r="CS836" s="112" t="s">
        <v>1168</v>
      </c>
      <c r="CT836" s="112" t="s">
        <v>1169</v>
      </c>
      <c r="CU836" s="112" t="s">
        <v>1664</v>
      </c>
      <c r="CV836" s="113" t="s">
        <v>1665</v>
      </c>
      <c r="CX836" s="36">
        <v>1</v>
      </c>
    </row>
    <row r="837" spans="91:102" ht="21" customHeight="1" x14ac:dyDescent="0.25">
      <c r="CM837" s="102"/>
      <c r="CN837" s="112" t="s">
        <v>2469</v>
      </c>
      <c r="CO837" s="112" t="s">
        <v>541</v>
      </c>
      <c r="CP837" s="112" t="s">
        <v>523</v>
      </c>
      <c r="CQ837" s="112" t="s">
        <v>2470</v>
      </c>
      <c r="CR837" s="112" t="s">
        <v>2470</v>
      </c>
      <c r="CS837" s="112" t="s">
        <v>1168</v>
      </c>
      <c r="CT837" s="112" t="s">
        <v>1169</v>
      </c>
      <c r="CU837" s="112" t="s">
        <v>1664</v>
      </c>
      <c r="CV837" s="113" t="s">
        <v>1665</v>
      </c>
      <c r="CX837" s="36">
        <v>1</v>
      </c>
    </row>
    <row r="838" spans="91:102" ht="21" customHeight="1" x14ac:dyDescent="0.25">
      <c r="CM838" s="102"/>
      <c r="CN838" s="112" t="s">
        <v>2471</v>
      </c>
      <c r="CO838" s="112" t="s">
        <v>541</v>
      </c>
      <c r="CP838" s="112" t="s">
        <v>523</v>
      </c>
      <c r="CQ838" s="112" t="s">
        <v>2472</v>
      </c>
      <c r="CR838" s="112" t="s">
        <v>2472</v>
      </c>
      <c r="CS838" s="112" t="s">
        <v>1168</v>
      </c>
      <c r="CT838" s="112" t="s">
        <v>1169</v>
      </c>
      <c r="CU838" s="112" t="s">
        <v>1664</v>
      </c>
      <c r="CV838" s="113" t="s">
        <v>1665</v>
      </c>
      <c r="CX838" s="36">
        <v>1</v>
      </c>
    </row>
    <row r="839" spans="91:102" ht="21" customHeight="1" x14ac:dyDescent="0.25">
      <c r="CM839" s="102"/>
      <c r="CN839" s="112" t="s">
        <v>2473</v>
      </c>
      <c r="CO839" s="112" t="s">
        <v>541</v>
      </c>
      <c r="CP839" s="112" t="s">
        <v>523</v>
      </c>
      <c r="CQ839" s="112" t="s">
        <v>2474</v>
      </c>
      <c r="CR839" s="112" t="s">
        <v>2474</v>
      </c>
      <c r="CS839" s="112" t="s">
        <v>1168</v>
      </c>
      <c r="CT839" s="112" t="s">
        <v>1169</v>
      </c>
      <c r="CU839" s="112" t="s">
        <v>1664</v>
      </c>
      <c r="CV839" s="113" t="s">
        <v>1665</v>
      </c>
      <c r="CX839" s="36">
        <v>1</v>
      </c>
    </row>
    <row r="840" spans="91:102" ht="21" customHeight="1" x14ac:dyDescent="0.25">
      <c r="CM840" s="102"/>
      <c r="CN840" s="112" t="s">
        <v>2475</v>
      </c>
      <c r="CO840" s="112" t="s">
        <v>541</v>
      </c>
      <c r="CP840" s="112" t="s">
        <v>523</v>
      </c>
      <c r="CQ840" s="112" t="s">
        <v>2476</v>
      </c>
      <c r="CR840" s="112" t="s">
        <v>2476</v>
      </c>
      <c r="CS840" s="112" t="s">
        <v>1168</v>
      </c>
      <c r="CT840" s="112" t="s">
        <v>1169</v>
      </c>
      <c r="CU840" s="112" t="s">
        <v>1664</v>
      </c>
      <c r="CV840" s="113" t="s">
        <v>1665</v>
      </c>
      <c r="CX840" s="36">
        <v>1</v>
      </c>
    </row>
    <row r="841" spans="91:102" ht="21" customHeight="1" x14ac:dyDescent="0.25">
      <c r="CM841" s="102"/>
      <c r="CN841" s="112" t="s">
        <v>2477</v>
      </c>
      <c r="CO841" s="112" t="s">
        <v>541</v>
      </c>
      <c r="CP841" s="112" t="s">
        <v>523</v>
      </c>
      <c r="CQ841" s="112" t="s">
        <v>2478</v>
      </c>
      <c r="CR841" s="112" t="s">
        <v>2478</v>
      </c>
      <c r="CS841" s="112" t="s">
        <v>1168</v>
      </c>
      <c r="CT841" s="112" t="s">
        <v>1169</v>
      </c>
      <c r="CU841" s="112" t="s">
        <v>1664</v>
      </c>
      <c r="CV841" s="113" t="s">
        <v>1665</v>
      </c>
      <c r="CX841" s="36">
        <v>1</v>
      </c>
    </row>
    <row r="842" spans="91:102" ht="21" customHeight="1" x14ac:dyDescent="0.25">
      <c r="CM842" s="102"/>
      <c r="CN842" s="112" t="s">
        <v>2479</v>
      </c>
      <c r="CO842" s="112" t="s">
        <v>541</v>
      </c>
      <c r="CP842" s="112" t="s">
        <v>523</v>
      </c>
      <c r="CQ842" s="112" t="s">
        <v>2480</v>
      </c>
      <c r="CR842" s="112" t="s">
        <v>2480</v>
      </c>
      <c r="CS842" s="112" t="s">
        <v>1168</v>
      </c>
      <c r="CT842" s="112" t="s">
        <v>1169</v>
      </c>
      <c r="CU842" s="112" t="s">
        <v>1664</v>
      </c>
      <c r="CV842" s="113" t="s">
        <v>1665</v>
      </c>
      <c r="CX842" s="36">
        <v>1</v>
      </c>
    </row>
    <row r="843" spans="91:102" ht="21" customHeight="1" x14ac:dyDescent="0.25">
      <c r="CM843" s="102"/>
      <c r="CN843" s="112" t="s">
        <v>2481</v>
      </c>
      <c r="CO843" s="112" t="s">
        <v>541</v>
      </c>
      <c r="CP843" s="112" t="s">
        <v>523</v>
      </c>
      <c r="CQ843" s="112" t="s">
        <v>2482</v>
      </c>
      <c r="CR843" s="112" t="s">
        <v>2482</v>
      </c>
      <c r="CS843" s="112" t="s">
        <v>1168</v>
      </c>
      <c r="CT843" s="112" t="s">
        <v>1169</v>
      </c>
      <c r="CU843" s="112" t="s">
        <v>1664</v>
      </c>
      <c r="CV843" s="113" t="s">
        <v>1665</v>
      </c>
      <c r="CX843" s="36">
        <v>1</v>
      </c>
    </row>
    <row r="844" spans="91:102" ht="21" customHeight="1" x14ac:dyDescent="0.25">
      <c r="CM844" s="102"/>
      <c r="CN844" s="112" t="s">
        <v>2483</v>
      </c>
      <c r="CO844" s="112" t="s">
        <v>541</v>
      </c>
      <c r="CP844" s="112" t="s">
        <v>523</v>
      </c>
      <c r="CQ844" s="112" t="s">
        <v>2484</v>
      </c>
      <c r="CR844" s="112" t="s">
        <v>2484</v>
      </c>
      <c r="CS844" s="112" t="s">
        <v>1168</v>
      </c>
      <c r="CT844" s="112" t="s">
        <v>1169</v>
      </c>
      <c r="CU844" s="112" t="s">
        <v>1664</v>
      </c>
      <c r="CV844" s="113" t="s">
        <v>1665</v>
      </c>
      <c r="CX844" s="36">
        <v>1</v>
      </c>
    </row>
    <row r="845" spans="91:102" ht="21" customHeight="1" x14ac:dyDescent="0.25">
      <c r="CM845" s="102"/>
      <c r="CN845" s="112" t="s">
        <v>2485</v>
      </c>
      <c r="CO845" s="112" t="s">
        <v>541</v>
      </c>
      <c r="CP845" s="112" t="s">
        <v>523</v>
      </c>
      <c r="CQ845" s="112" t="s">
        <v>2486</v>
      </c>
      <c r="CR845" s="112" t="s">
        <v>2486</v>
      </c>
      <c r="CS845" s="112" t="s">
        <v>1168</v>
      </c>
      <c r="CT845" s="112" t="s">
        <v>1169</v>
      </c>
      <c r="CU845" s="112" t="s">
        <v>1664</v>
      </c>
      <c r="CV845" s="113" t="s">
        <v>1665</v>
      </c>
      <c r="CX845" s="36">
        <v>1</v>
      </c>
    </row>
    <row r="846" spans="91:102" ht="21" customHeight="1" x14ac:dyDescent="0.25">
      <c r="CM846" s="102"/>
      <c r="CN846" s="112" t="s">
        <v>2487</v>
      </c>
      <c r="CO846" s="112" t="s">
        <v>541</v>
      </c>
      <c r="CP846" s="112" t="s">
        <v>523</v>
      </c>
      <c r="CQ846" s="112" t="s">
        <v>2488</v>
      </c>
      <c r="CR846" s="112" t="s">
        <v>2488</v>
      </c>
      <c r="CS846" s="112" t="s">
        <v>1168</v>
      </c>
      <c r="CT846" s="112" t="s">
        <v>1169</v>
      </c>
      <c r="CU846" s="112" t="s">
        <v>1664</v>
      </c>
      <c r="CV846" s="113" t="s">
        <v>1665</v>
      </c>
      <c r="CX846" s="36">
        <v>1</v>
      </c>
    </row>
    <row r="847" spans="91:102" ht="21" customHeight="1" x14ac:dyDescent="0.25">
      <c r="CM847" s="102"/>
      <c r="CN847" s="112" t="s">
        <v>2489</v>
      </c>
      <c r="CO847" s="112" t="s">
        <v>541</v>
      </c>
      <c r="CP847" s="112" t="s">
        <v>523</v>
      </c>
      <c r="CQ847" s="112" t="s">
        <v>2490</v>
      </c>
      <c r="CR847" s="112" t="s">
        <v>2490</v>
      </c>
      <c r="CS847" s="112" t="s">
        <v>1168</v>
      </c>
      <c r="CT847" s="112" t="s">
        <v>1169</v>
      </c>
      <c r="CU847" s="112" t="s">
        <v>1664</v>
      </c>
      <c r="CV847" s="113" t="s">
        <v>1665</v>
      </c>
      <c r="CX847" s="36">
        <v>1</v>
      </c>
    </row>
    <row r="848" spans="91:102" ht="21" customHeight="1" x14ac:dyDescent="0.25">
      <c r="CM848" s="102"/>
      <c r="CN848" s="112" t="s">
        <v>2491</v>
      </c>
      <c r="CO848" s="112" t="s">
        <v>541</v>
      </c>
      <c r="CP848" s="112" t="s">
        <v>523</v>
      </c>
      <c r="CQ848" s="112" t="s">
        <v>2492</v>
      </c>
      <c r="CR848" s="112" t="s">
        <v>2492</v>
      </c>
      <c r="CS848" s="112" t="s">
        <v>1168</v>
      </c>
      <c r="CT848" s="112" t="s">
        <v>1169</v>
      </c>
      <c r="CU848" s="112" t="s">
        <v>1664</v>
      </c>
      <c r="CV848" s="113" t="s">
        <v>1665</v>
      </c>
      <c r="CX848" s="36">
        <v>1</v>
      </c>
    </row>
    <row r="849" spans="91:102" ht="21" customHeight="1" x14ac:dyDescent="0.25">
      <c r="CM849" s="102"/>
      <c r="CN849" s="112" t="s">
        <v>2493</v>
      </c>
      <c r="CO849" s="112" t="s">
        <v>541</v>
      </c>
      <c r="CP849" s="112" t="s">
        <v>523</v>
      </c>
      <c r="CQ849" s="112" t="s">
        <v>2494</v>
      </c>
      <c r="CR849" s="112" t="s">
        <v>2494</v>
      </c>
      <c r="CS849" s="112" t="s">
        <v>1168</v>
      </c>
      <c r="CT849" s="112" t="s">
        <v>1169</v>
      </c>
      <c r="CU849" s="112" t="s">
        <v>1664</v>
      </c>
      <c r="CV849" s="113" t="s">
        <v>1665</v>
      </c>
      <c r="CX849" s="36">
        <v>1</v>
      </c>
    </row>
    <row r="850" spans="91:102" ht="21" customHeight="1" x14ac:dyDescent="0.25">
      <c r="CM850" s="102"/>
      <c r="CN850" s="112" t="s">
        <v>2495</v>
      </c>
      <c r="CO850" s="112" t="s">
        <v>541</v>
      </c>
      <c r="CP850" s="112" t="s">
        <v>523</v>
      </c>
      <c r="CQ850" s="112" t="s">
        <v>2496</v>
      </c>
      <c r="CR850" s="112" t="s">
        <v>2496</v>
      </c>
      <c r="CS850" s="112" t="s">
        <v>1168</v>
      </c>
      <c r="CT850" s="112" t="s">
        <v>1169</v>
      </c>
      <c r="CU850" s="112" t="s">
        <v>1664</v>
      </c>
      <c r="CV850" s="113" t="s">
        <v>1665</v>
      </c>
      <c r="CX850" s="36">
        <v>1</v>
      </c>
    </row>
    <row r="851" spans="91:102" ht="21" customHeight="1" x14ac:dyDescent="0.25">
      <c r="CM851" s="102"/>
      <c r="CN851" s="112" t="s">
        <v>2497</v>
      </c>
      <c r="CO851" s="112" t="s">
        <v>541</v>
      </c>
      <c r="CP851" s="112" t="s">
        <v>523</v>
      </c>
      <c r="CQ851" s="112" t="s">
        <v>2498</v>
      </c>
      <c r="CR851" s="112" t="s">
        <v>2498</v>
      </c>
      <c r="CS851" s="112" t="s">
        <v>1168</v>
      </c>
      <c r="CT851" s="112" t="s">
        <v>1169</v>
      </c>
      <c r="CU851" s="112" t="s">
        <v>1664</v>
      </c>
      <c r="CV851" s="113" t="s">
        <v>1665</v>
      </c>
      <c r="CX851" s="36">
        <v>1</v>
      </c>
    </row>
    <row r="852" spans="91:102" ht="21" customHeight="1" x14ac:dyDescent="0.25">
      <c r="CM852" s="102"/>
      <c r="CN852" s="112" t="s">
        <v>2499</v>
      </c>
      <c r="CO852" s="112" t="s">
        <v>541</v>
      </c>
      <c r="CP852" s="112" t="s">
        <v>523</v>
      </c>
      <c r="CQ852" s="112" t="s">
        <v>2500</v>
      </c>
      <c r="CR852" s="112" t="s">
        <v>2500</v>
      </c>
      <c r="CS852" s="112" t="s">
        <v>1168</v>
      </c>
      <c r="CT852" s="112" t="s">
        <v>1169</v>
      </c>
      <c r="CU852" s="112" t="s">
        <v>1664</v>
      </c>
      <c r="CV852" s="113" t="s">
        <v>1665</v>
      </c>
      <c r="CX852" s="36">
        <v>1</v>
      </c>
    </row>
    <row r="853" spans="91:102" ht="21" customHeight="1" x14ac:dyDescent="0.25">
      <c r="CM853" s="102"/>
      <c r="CN853" s="112" t="s">
        <v>2501</v>
      </c>
      <c r="CO853" s="112" t="s">
        <v>541</v>
      </c>
      <c r="CP853" s="112" t="s">
        <v>523</v>
      </c>
      <c r="CQ853" s="112" t="s">
        <v>2502</v>
      </c>
      <c r="CR853" s="112" t="s">
        <v>2502</v>
      </c>
      <c r="CS853" s="112" t="s">
        <v>1168</v>
      </c>
      <c r="CT853" s="112" t="s">
        <v>1169</v>
      </c>
      <c r="CU853" s="112" t="s">
        <v>1664</v>
      </c>
      <c r="CV853" s="113" t="s">
        <v>1665</v>
      </c>
      <c r="CX853" s="36">
        <v>1</v>
      </c>
    </row>
    <row r="854" spans="91:102" ht="21" customHeight="1" x14ac:dyDescent="0.25">
      <c r="CM854" s="102"/>
      <c r="CN854" s="112" t="s">
        <v>2503</v>
      </c>
      <c r="CO854" s="112" t="s">
        <v>541</v>
      </c>
      <c r="CP854" s="112" t="s">
        <v>523</v>
      </c>
      <c r="CQ854" s="112" t="s">
        <v>2504</v>
      </c>
      <c r="CR854" s="112" t="s">
        <v>2504</v>
      </c>
      <c r="CS854" s="112" t="s">
        <v>1168</v>
      </c>
      <c r="CT854" s="112" t="s">
        <v>1169</v>
      </c>
      <c r="CU854" s="112" t="s">
        <v>1664</v>
      </c>
      <c r="CV854" s="113" t="s">
        <v>1665</v>
      </c>
      <c r="CX854" s="36">
        <v>1</v>
      </c>
    </row>
    <row r="855" spans="91:102" ht="21" customHeight="1" x14ac:dyDescent="0.25">
      <c r="CM855" s="102"/>
      <c r="CN855" s="112" t="s">
        <v>2505</v>
      </c>
      <c r="CO855" s="112" t="s">
        <v>541</v>
      </c>
      <c r="CP855" s="112" t="s">
        <v>523</v>
      </c>
      <c r="CQ855" s="112" t="s">
        <v>2506</v>
      </c>
      <c r="CR855" s="112" t="s">
        <v>2506</v>
      </c>
      <c r="CS855" s="112" t="s">
        <v>1168</v>
      </c>
      <c r="CT855" s="112" t="s">
        <v>1169</v>
      </c>
      <c r="CU855" s="112" t="s">
        <v>1664</v>
      </c>
      <c r="CV855" s="113" t="s">
        <v>1665</v>
      </c>
      <c r="CX855" s="36">
        <v>1</v>
      </c>
    </row>
    <row r="856" spans="91:102" ht="21" customHeight="1" x14ac:dyDescent="0.25">
      <c r="CM856" s="102"/>
      <c r="CN856" s="112" t="s">
        <v>2507</v>
      </c>
      <c r="CO856" s="112" t="s">
        <v>541</v>
      </c>
      <c r="CP856" s="112" t="s">
        <v>523</v>
      </c>
      <c r="CQ856" s="112" t="s">
        <v>2508</v>
      </c>
      <c r="CR856" s="112" t="s">
        <v>2508</v>
      </c>
      <c r="CS856" s="112" t="s">
        <v>1168</v>
      </c>
      <c r="CT856" s="112" t="s">
        <v>1169</v>
      </c>
      <c r="CU856" s="112" t="s">
        <v>1664</v>
      </c>
      <c r="CV856" s="113" t="s">
        <v>1665</v>
      </c>
      <c r="CX856" s="36">
        <v>1</v>
      </c>
    </row>
    <row r="857" spans="91:102" ht="21" customHeight="1" x14ac:dyDescent="0.25">
      <c r="CM857" s="102"/>
      <c r="CN857" s="112" t="s">
        <v>2509</v>
      </c>
      <c r="CO857" s="112" t="s">
        <v>541</v>
      </c>
      <c r="CP857" s="112" t="s">
        <v>523</v>
      </c>
      <c r="CQ857" s="112" t="s">
        <v>2510</v>
      </c>
      <c r="CR857" s="112" t="s">
        <v>2510</v>
      </c>
      <c r="CS857" s="112" t="s">
        <v>1168</v>
      </c>
      <c r="CT857" s="112" t="s">
        <v>1169</v>
      </c>
      <c r="CU857" s="112" t="s">
        <v>1664</v>
      </c>
      <c r="CV857" s="113" t="s">
        <v>1665</v>
      </c>
      <c r="CX857" s="36">
        <v>1</v>
      </c>
    </row>
    <row r="858" spans="91:102" ht="21" customHeight="1" x14ac:dyDescent="0.25">
      <c r="CM858" s="102"/>
      <c r="CN858" s="112" t="s">
        <v>2511</v>
      </c>
      <c r="CO858" s="112" t="s">
        <v>541</v>
      </c>
      <c r="CP858" s="112" t="s">
        <v>523</v>
      </c>
      <c r="CQ858" s="112" t="s">
        <v>2512</v>
      </c>
      <c r="CR858" s="112" t="s">
        <v>2512</v>
      </c>
      <c r="CS858" s="112" t="s">
        <v>1168</v>
      </c>
      <c r="CT858" s="112" t="s">
        <v>1169</v>
      </c>
      <c r="CU858" s="112" t="s">
        <v>1664</v>
      </c>
      <c r="CV858" s="113" t="s">
        <v>1665</v>
      </c>
      <c r="CX858" s="36">
        <v>1</v>
      </c>
    </row>
    <row r="859" spans="91:102" ht="21" customHeight="1" x14ac:dyDescent="0.25">
      <c r="CM859" s="102"/>
      <c r="CN859" s="112" t="s">
        <v>2513</v>
      </c>
      <c r="CO859" s="112" t="s">
        <v>541</v>
      </c>
      <c r="CP859" s="112" t="s">
        <v>523</v>
      </c>
      <c r="CQ859" s="112" t="s">
        <v>2514</v>
      </c>
      <c r="CR859" s="112" t="s">
        <v>2514</v>
      </c>
      <c r="CS859" s="112" t="s">
        <v>1168</v>
      </c>
      <c r="CT859" s="112" t="s">
        <v>1169</v>
      </c>
      <c r="CU859" s="112" t="s">
        <v>1664</v>
      </c>
      <c r="CV859" s="113" t="s">
        <v>1665</v>
      </c>
      <c r="CX859" s="36">
        <v>1</v>
      </c>
    </row>
    <row r="860" spans="91:102" ht="21" customHeight="1" x14ac:dyDescent="0.25">
      <c r="CM860" s="102"/>
      <c r="CN860" s="112" t="s">
        <v>2515</v>
      </c>
      <c r="CO860" s="112" t="s">
        <v>541</v>
      </c>
      <c r="CP860" s="112" t="s">
        <v>523</v>
      </c>
      <c r="CQ860" s="112" t="s">
        <v>2516</v>
      </c>
      <c r="CR860" s="112" t="s">
        <v>2516</v>
      </c>
      <c r="CS860" s="112" t="s">
        <v>1168</v>
      </c>
      <c r="CT860" s="112" t="s">
        <v>1169</v>
      </c>
      <c r="CU860" s="112" t="s">
        <v>1664</v>
      </c>
      <c r="CV860" s="113" t="s">
        <v>1665</v>
      </c>
      <c r="CX860" s="36">
        <v>1</v>
      </c>
    </row>
    <row r="861" spans="91:102" ht="21" customHeight="1" x14ac:dyDescent="0.25">
      <c r="CM861" s="102"/>
      <c r="CN861" s="112" t="s">
        <v>2517</v>
      </c>
      <c r="CO861" s="112" t="s">
        <v>541</v>
      </c>
      <c r="CP861" s="112" t="s">
        <v>523</v>
      </c>
      <c r="CQ861" s="112" t="s">
        <v>2518</v>
      </c>
      <c r="CR861" s="112" t="s">
        <v>2518</v>
      </c>
      <c r="CS861" s="112" t="s">
        <v>1168</v>
      </c>
      <c r="CT861" s="112" t="s">
        <v>1169</v>
      </c>
      <c r="CU861" s="112" t="s">
        <v>1664</v>
      </c>
      <c r="CV861" s="113" t="s">
        <v>1665</v>
      </c>
      <c r="CX861" s="36">
        <v>1</v>
      </c>
    </row>
    <row r="862" spans="91:102" ht="21" customHeight="1" x14ac:dyDescent="0.25">
      <c r="CM862" s="102"/>
      <c r="CN862" s="112" t="s">
        <v>2519</v>
      </c>
      <c r="CO862" s="112" t="s">
        <v>541</v>
      </c>
      <c r="CP862" s="112" t="s">
        <v>523</v>
      </c>
      <c r="CQ862" s="112" t="s">
        <v>2520</v>
      </c>
      <c r="CR862" s="112" t="s">
        <v>2520</v>
      </c>
      <c r="CS862" s="112" t="s">
        <v>1168</v>
      </c>
      <c r="CT862" s="112" t="s">
        <v>1169</v>
      </c>
      <c r="CU862" s="112" t="s">
        <v>1664</v>
      </c>
      <c r="CV862" s="113" t="s">
        <v>1665</v>
      </c>
      <c r="CX862" s="36">
        <v>1</v>
      </c>
    </row>
    <row r="863" spans="91:102" ht="21" customHeight="1" x14ac:dyDescent="0.25">
      <c r="CM863" s="102"/>
      <c r="CN863" s="112" t="s">
        <v>2521</v>
      </c>
      <c r="CO863" s="112" t="s">
        <v>541</v>
      </c>
      <c r="CP863" s="112" t="s">
        <v>523</v>
      </c>
      <c r="CQ863" s="112" t="s">
        <v>2522</v>
      </c>
      <c r="CR863" s="112" t="s">
        <v>2522</v>
      </c>
      <c r="CS863" s="112" t="s">
        <v>1168</v>
      </c>
      <c r="CT863" s="112" t="s">
        <v>1169</v>
      </c>
      <c r="CU863" s="112" t="s">
        <v>1664</v>
      </c>
      <c r="CV863" s="113" t="s">
        <v>1665</v>
      </c>
      <c r="CX863" s="36">
        <v>1</v>
      </c>
    </row>
    <row r="864" spans="91:102" ht="21" customHeight="1" x14ac:dyDescent="0.25">
      <c r="CM864" s="102"/>
      <c r="CN864" s="112" t="s">
        <v>2523</v>
      </c>
      <c r="CO864" s="112" t="s">
        <v>541</v>
      </c>
      <c r="CP864" s="112" t="s">
        <v>523</v>
      </c>
      <c r="CQ864" s="112" t="s">
        <v>2524</v>
      </c>
      <c r="CR864" s="112" t="s">
        <v>2524</v>
      </c>
      <c r="CS864" s="112" t="s">
        <v>1168</v>
      </c>
      <c r="CT864" s="112" t="s">
        <v>1169</v>
      </c>
      <c r="CU864" s="112" t="s">
        <v>1664</v>
      </c>
      <c r="CV864" s="113" t="s">
        <v>1665</v>
      </c>
      <c r="CX864" s="36">
        <v>1</v>
      </c>
    </row>
    <row r="865" spans="91:102" ht="21" customHeight="1" x14ac:dyDescent="0.25">
      <c r="CM865" s="102"/>
      <c r="CN865" s="112" t="s">
        <v>2525</v>
      </c>
      <c r="CO865" s="112" t="s">
        <v>541</v>
      </c>
      <c r="CP865" s="112" t="s">
        <v>523</v>
      </c>
      <c r="CQ865" s="112" t="s">
        <v>2526</v>
      </c>
      <c r="CR865" s="112" t="s">
        <v>2526</v>
      </c>
      <c r="CS865" s="112" t="s">
        <v>1168</v>
      </c>
      <c r="CT865" s="112" t="s">
        <v>1169</v>
      </c>
      <c r="CU865" s="112" t="s">
        <v>1664</v>
      </c>
      <c r="CV865" s="113" t="s">
        <v>1665</v>
      </c>
      <c r="CX865" s="36">
        <v>1</v>
      </c>
    </row>
    <row r="866" spans="91:102" ht="21" customHeight="1" x14ac:dyDescent="0.25">
      <c r="CM866" s="102"/>
      <c r="CN866" s="112" t="s">
        <v>2527</v>
      </c>
      <c r="CO866" s="112" t="s">
        <v>541</v>
      </c>
      <c r="CP866" s="112" t="s">
        <v>523</v>
      </c>
      <c r="CQ866" s="112" t="s">
        <v>2528</v>
      </c>
      <c r="CR866" s="112" t="s">
        <v>2528</v>
      </c>
      <c r="CS866" s="112" t="s">
        <v>1168</v>
      </c>
      <c r="CT866" s="112" t="s">
        <v>1169</v>
      </c>
      <c r="CU866" s="112" t="s">
        <v>1664</v>
      </c>
      <c r="CV866" s="113" t="s">
        <v>1665</v>
      </c>
      <c r="CX866" s="36">
        <v>1</v>
      </c>
    </row>
    <row r="867" spans="91:102" ht="21" customHeight="1" x14ac:dyDescent="0.25">
      <c r="CM867" s="102"/>
      <c r="CN867" s="112" t="s">
        <v>2529</v>
      </c>
      <c r="CO867" s="112" t="s">
        <v>541</v>
      </c>
      <c r="CP867" s="112" t="s">
        <v>523</v>
      </c>
      <c r="CQ867" s="112" t="s">
        <v>2530</v>
      </c>
      <c r="CR867" s="112" t="s">
        <v>2530</v>
      </c>
      <c r="CS867" s="112" t="s">
        <v>1168</v>
      </c>
      <c r="CT867" s="112" t="s">
        <v>1169</v>
      </c>
      <c r="CU867" s="112" t="s">
        <v>1664</v>
      </c>
      <c r="CV867" s="113" t="s">
        <v>1665</v>
      </c>
      <c r="CX867" s="36">
        <v>1</v>
      </c>
    </row>
    <row r="868" spans="91:102" ht="21" customHeight="1" x14ac:dyDescent="0.25">
      <c r="CM868" s="102"/>
      <c r="CN868" s="112" t="s">
        <v>2531</v>
      </c>
      <c r="CO868" s="112" t="s">
        <v>541</v>
      </c>
      <c r="CP868" s="112" t="s">
        <v>523</v>
      </c>
      <c r="CQ868" s="112" t="s">
        <v>2532</v>
      </c>
      <c r="CR868" s="112" t="s">
        <v>2532</v>
      </c>
      <c r="CS868" s="112" t="s">
        <v>1168</v>
      </c>
      <c r="CT868" s="112" t="s">
        <v>1169</v>
      </c>
      <c r="CU868" s="112" t="s">
        <v>1664</v>
      </c>
      <c r="CV868" s="113" t="s">
        <v>1665</v>
      </c>
      <c r="CX868" s="36">
        <v>1</v>
      </c>
    </row>
    <row r="869" spans="91:102" ht="21" customHeight="1" x14ac:dyDescent="0.25">
      <c r="CM869" s="102"/>
      <c r="CN869" s="112" t="s">
        <v>2533</v>
      </c>
      <c r="CO869" s="112" t="s">
        <v>541</v>
      </c>
      <c r="CP869" s="112" t="s">
        <v>523</v>
      </c>
      <c r="CQ869" s="112" t="s">
        <v>2534</v>
      </c>
      <c r="CR869" s="112" t="s">
        <v>2534</v>
      </c>
      <c r="CS869" s="112" t="s">
        <v>1168</v>
      </c>
      <c r="CT869" s="112" t="s">
        <v>1169</v>
      </c>
      <c r="CU869" s="112" t="s">
        <v>1664</v>
      </c>
      <c r="CV869" s="113" t="s">
        <v>1665</v>
      </c>
      <c r="CX869" s="36">
        <v>1</v>
      </c>
    </row>
    <row r="870" spans="91:102" ht="21" customHeight="1" x14ac:dyDescent="0.25">
      <c r="CM870" s="102"/>
      <c r="CN870" s="112" t="s">
        <v>2535</v>
      </c>
      <c r="CO870" s="112" t="s">
        <v>541</v>
      </c>
      <c r="CP870" s="112" t="s">
        <v>523</v>
      </c>
      <c r="CQ870" s="112" t="s">
        <v>2536</v>
      </c>
      <c r="CR870" s="112" t="s">
        <v>2536</v>
      </c>
      <c r="CS870" s="112" t="s">
        <v>1168</v>
      </c>
      <c r="CT870" s="112" t="s">
        <v>1169</v>
      </c>
      <c r="CU870" s="112" t="s">
        <v>1664</v>
      </c>
      <c r="CV870" s="113" t="s">
        <v>1665</v>
      </c>
      <c r="CX870" s="36">
        <v>1</v>
      </c>
    </row>
    <row r="871" spans="91:102" ht="21" customHeight="1" x14ac:dyDescent="0.25">
      <c r="CM871" s="102"/>
      <c r="CN871" s="112" t="s">
        <v>2537</v>
      </c>
      <c r="CO871" s="112" t="s">
        <v>541</v>
      </c>
      <c r="CP871" s="112" t="s">
        <v>523</v>
      </c>
      <c r="CQ871" s="112" t="s">
        <v>2538</v>
      </c>
      <c r="CR871" s="112" t="s">
        <v>2538</v>
      </c>
      <c r="CS871" s="112" t="s">
        <v>1168</v>
      </c>
      <c r="CT871" s="112" t="s">
        <v>1169</v>
      </c>
      <c r="CU871" s="112" t="s">
        <v>1664</v>
      </c>
      <c r="CV871" s="113" t="s">
        <v>1665</v>
      </c>
      <c r="CX871" s="36">
        <v>1</v>
      </c>
    </row>
    <row r="872" spans="91:102" ht="21" customHeight="1" x14ac:dyDescent="0.25">
      <c r="CM872" s="102"/>
      <c r="CN872" s="112" t="s">
        <v>2539</v>
      </c>
      <c r="CO872" s="112" t="s">
        <v>541</v>
      </c>
      <c r="CP872" s="112" t="s">
        <v>523</v>
      </c>
      <c r="CQ872" s="112" t="s">
        <v>2540</v>
      </c>
      <c r="CR872" s="112" t="s">
        <v>2540</v>
      </c>
      <c r="CS872" s="112" t="s">
        <v>1168</v>
      </c>
      <c r="CT872" s="112" t="s">
        <v>1169</v>
      </c>
      <c r="CU872" s="112" t="s">
        <v>1664</v>
      </c>
      <c r="CV872" s="113" t="s">
        <v>1665</v>
      </c>
      <c r="CX872" s="36">
        <v>1</v>
      </c>
    </row>
    <row r="873" spans="91:102" ht="21" customHeight="1" x14ac:dyDescent="0.25">
      <c r="CM873" s="102"/>
      <c r="CN873" s="112" t="s">
        <v>2541</v>
      </c>
      <c r="CO873" s="112" t="s">
        <v>541</v>
      </c>
      <c r="CP873" s="112" t="s">
        <v>523</v>
      </c>
      <c r="CQ873" s="112" t="s">
        <v>2542</v>
      </c>
      <c r="CR873" s="112" t="s">
        <v>2542</v>
      </c>
      <c r="CS873" s="112" t="s">
        <v>1168</v>
      </c>
      <c r="CT873" s="112" t="s">
        <v>1169</v>
      </c>
      <c r="CU873" s="112" t="s">
        <v>1664</v>
      </c>
      <c r="CV873" s="113" t="s">
        <v>1665</v>
      </c>
      <c r="CX873" s="36">
        <v>1</v>
      </c>
    </row>
    <row r="874" spans="91:102" ht="21" customHeight="1" x14ac:dyDescent="0.25">
      <c r="CM874" s="102"/>
      <c r="CN874" s="112" t="s">
        <v>2543</v>
      </c>
      <c r="CO874" s="112" t="s">
        <v>541</v>
      </c>
      <c r="CP874" s="112" t="s">
        <v>523</v>
      </c>
      <c r="CQ874" s="112" t="s">
        <v>2544</v>
      </c>
      <c r="CR874" s="112" t="s">
        <v>2544</v>
      </c>
      <c r="CS874" s="112" t="s">
        <v>1168</v>
      </c>
      <c r="CT874" s="112" t="s">
        <v>1169</v>
      </c>
      <c r="CU874" s="112" t="s">
        <v>1664</v>
      </c>
      <c r="CV874" s="113" t="s">
        <v>1665</v>
      </c>
      <c r="CX874" s="36">
        <v>1</v>
      </c>
    </row>
    <row r="875" spans="91:102" ht="21" customHeight="1" x14ac:dyDescent="0.25">
      <c r="CM875" s="102"/>
      <c r="CN875" s="112" t="s">
        <v>2545</v>
      </c>
      <c r="CO875" s="112" t="s">
        <v>541</v>
      </c>
      <c r="CP875" s="112" t="s">
        <v>523</v>
      </c>
      <c r="CQ875" s="112" t="s">
        <v>2546</v>
      </c>
      <c r="CR875" s="112" t="s">
        <v>2546</v>
      </c>
      <c r="CS875" s="112" t="s">
        <v>1168</v>
      </c>
      <c r="CT875" s="112" t="s">
        <v>1169</v>
      </c>
      <c r="CU875" s="112" t="s">
        <v>1664</v>
      </c>
      <c r="CV875" s="113" t="s">
        <v>1665</v>
      </c>
      <c r="CX875" s="36">
        <v>1</v>
      </c>
    </row>
    <row r="876" spans="91:102" ht="21" customHeight="1" x14ac:dyDescent="0.25">
      <c r="CM876" s="102"/>
      <c r="CN876" s="112" t="s">
        <v>2547</v>
      </c>
      <c r="CO876" s="112" t="s">
        <v>541</v>
      </c>
      <c r="CP876" s="112" t="s">
        <v>523</v>
      </c>
      <c r="CQ876" s="112" t="s">
        <v>2548</v>
      </c>
      <c r="CR876" s="112" t="s">
        <v>2548</v>
      </c>
      <c r="CS876" s="112" t="s">
        <v>1168</v>
      </c>
      <c r="CT876" s="112" t="s">
        <v>1169</v>
      </c>
      <c r="CU876" s="112" t="s">
        <v>1664</v>
      </c>
      <c r="CV876" s="113" t="s">
        <v>1665</v>
      </c>
      <c r="CX876" s="36">
        <v>1</v>
      </c>
    </row>
    <row r="877" spans="91:102" ht="21" customHeight="1" x14ac:dyDescent="0.25">
      <c r="CM877" s="102"/>
      <c r="CN877" s="112" t="s">
        <v>2549</v>
      </c>
      <c r="CO877" s="112" t="s">
        <v>541</v>
      </c>
      <c r="CP877" s="112" t="s">
        <v>523</v>
      </c>
      <c r="CQ877" s="112" t="s">
        <v>2550</v>
      </c>
      <c r="CR877" s="112" t="s">
        <v>2550</v>
      </c>
      <c r="CS877" s="112" t="s">
        <v>1168</v>
      </c>
      <c r="CT877" s="112" t="s">
        <v>1169</v>
      </c>
      <c r="CU877" s="112" t="s">
        <v>1664</v>
      </c>
      <c r="CV877" s="113" t="s">
        <v>1665</v>
      </c>
      <c r="CX877" s="36">
        <v>1</v>
      </c>
    </row>
    <row r="878" spans="91:102" ht="21" customHeight="1" x14ac:dyDescent="0.25">
      <c r="CM878" s="102"/>
      <c r="CN878" s="112" t="s">
        <v>2551</v>
      </c>
      <c r="CO878" s="112" t="s">
        <v>541</v>
      </c>
      <c r="CP878" s="112" t="s">
        <v>523</v>
      </c>
      <c r="CQ878" s="112" t="s">
        <v>2552</v>
      </c>
      <c r="CR878" s="112" t="s">
        <v>2552</v>
      </c>
      <c r="CS878" s="112" t="s">
        <v>1168</v>
      </c>
      <c r="CT878" s="112" t="s">
        <v>1169</v>
      </c>
      <c r="CU878" s="112" t="s">
        <v>1664</v>
      </c>
      <c r="CV878" s="113" t="s">
        <v>1665</v>
      </c>
      <c r="CX878" s="36">
        <v>1</v>
      </c>
    </row>
    <row r="879" spans="91:102" ht="21" customHeight="1" x14ac:dyDescent="0.25">
      <c r="CM879" s="102"/>
      <c r="CN879" s="112" t="s">
        <v>2553</v>
      </c>
      <c r="CO879" s="112" t="s">
        <v>541</v>
      </c>
      <c r="CP879" s="112" t="s">
        <v>523</v>
      </c>
      <c r="CQ879" s="112" t="s">
        <v>2554</v>
      </c>
      <c r="CR879" s="112" t="s">
        <v>2554</v>
      </c>
      <c r="CS879" s="112" t="s">
        <v>1168</v>
      </c>
      <c r="CT879" s="112" t="s">
        <v>1169</v>
      </c>
      <c r="CU879" s="112" t="s">
        <v>1664</v>
      </c>
      <c r="CV879" s="113" t="s">
        <v>1665</v>
      </c>
      <c r="CX879" s="36">
        <v>1</v>
      </c>
    </row>
    <row r="880" spans="91:102" ht="21" customHeight="1" x14ac:dyDescent="0.25">
      <c r="CM880" s="102"/>
      <c r="CN880" s="112" t="s">
        <v>2555</v>
      </c>
      <c r="CO880" s="112" t="s">
        <v>541</v>
      </c>
      <c r="CP880" s="112" t="s">
        <v>523</v>
      </c>
      <c r="CQ880" s="112" t="s">
        <v>2556</v>
      </c>
      <c r="CR880" s="112" t="s">
        <v>2556</v>
      </c>
      <c r="CS880" s="112" t="s">
        <v>1168</v>
      </c>
      <c r="CT880" s="112" t="s">
        <v>1169</v>
      </c>
      <c r="CU880" s="112" t="s">
        <v>1664</v>
      </c>
      <c r="CV880" s="113" t="s">
        <v>1665</v>
      </c>
      <c r="CX880" s="36">
        <v>1</v>
      </c>
    </row>
    <row r="881" spans="91:102" ht="21" customHeight="1" x14ac:dyDescent="0.25">
      <c r="CM881" s="102"/>
      <c r="CN881" s="112" t="s">
        <v>2557</v>
      </c>
      <c r="CO881" s="112" t="s">
        <v>541</v>
      </c>
      <c r="CP881" s="112" t="s">
        <v>523</v>
      </c>
      <c r="CQ881" s="112" t="s">
        <v>2558</v>
      </c>
      <c r="CR881" s="112" t="s">
        <v>2558</v>
      </c>
      <c r="CS881" s="112" t="s">
        <v>1168</v>
      </c>
      <c r="CT881" s="112" t="s">
        <v>1169</v>
      </c>
      <c r="CU881" s="112" t="s">
        <v>1664</v>
      </c>
      <c r="CV881" s="113" t="s">
        <v>1665</v>
      </c>
      <c r="CX881" s="36">
        <v>1</v>
      </c>
    </row>
    <row r="882" spans="91:102" ht="21" customHeight="1" x14ac:dyDescent="0.25">
      <c r="CM882" s="102"/>
      <c r="CN882" s="112" t="s">
        <v>2559</v>
      </c>
      <c r="CO882" s="112" t="s">
        <v>541</v>
      </c>
      <c r="CP882" s="112" t="s">
        <v>523</v>
      </c>
      <c r="CQ882" s="112" t="s">
        <v>2560</v>
      </c>
      <c r="CR882" s="112" t="s">
        <v>2560</v>
      </c>
      <c r="CS882" s="112" t="s">
        <v>1168</v>
      </c>
      <c r="CT882" s="112" t="s">
        <v>1169</v>
      </c>
      <c r="CU882" s="112" t="s">
        <v>1664</v>
      </c>
      <c r="CV882" s="113" t="s">
        <v>1665</v>
      </c>
      <c r="CX882" s="36">
        <v>1</v>
      </c>
    </row>
    <row r="883" spans="91:102" ht="21" customHeight="1" x14ac:dyDescent="0.25">
      <c r="CM883" s="102"/>
      <c r="CN883" s="112" t="s">
        <v>2561</v>
      </c>
      <c r="CO883" s="112" t="s">
        <v>541</v>
      </c>
      <c r="CP883" s="112" t="s">
        <v>523</v>
      </c>
      <c r="CQ883" s="112" t="s">
        <v>2562</v>
      </c>
      <c r="CR883" s="112" t="s">
        <v>2562</v>
      </c>
      <c r="CS883" s="112" t="s">
        <v>1168</v>
      </c>
      <c r="CT883" s="112" t="s">
        <v>1169</v>
      </c>
      <c r="CU883" s="112" t="s">
        <v>1664</v>
      </c>
      <c r="CV883" s="113" t="s">
        <v>1665</v>
      </c>
      <c r="CX883" s="36">
        <v>1</v>
      </c>
    </row>
    <row r="884" spans="91:102" ht="21" customHeight="1" x14ac:dyDescent="0.25">
      <c r="CM884" s="102"/>
      <c r="CN884" s="112" t="s">
        <v>2563</v>
      </c>
      <c r="CO884" s="112" t="s">
        <v>541</v>
      </c>
      <c r="CP884" s="112" t="s">
        <v>523</v>
      </c>
      <c r="CQ884" s="112" t="s">
        <v>2564</v>
      </c>
      <c r="CR884" s="112" t="s">
        <v>2564</v>
      </c>
      <c r="CS884" s="112" t="s">
        <v>1168</v>
      </c>
      <c r="CT884" s="112" t="s">
        <v>1169</v>
      </c>
      <c r="CU884" s="112" t="s">
        <v>1664</v>
      </c>
      <c r="CV884" s="113" t="s">
        <v>1665</v>
      </c>
      <c r="CX884" s="36">
        <v>1</v>
      </c>
    </row>
    <row r="885" spans="91:102" ht="21" customHeight="1" x14ac:dyDescent="0.25">
      <c r="CM885" s="102"/>
      <c r="CN885" s="112" t="s">
        <v>2565</v>
      </c>
      <c r="CO885" s="112" t="s">
        <v>541</v>
      </c>
      <c r="CP885" s="112" t="s">
        <v>523</v>
      </c>
      <c r="CQ885" s="112" t="s">
        <v>2566</v>
      </c>
      <c r="CR885" s="112" t="s">
        <v>2566</v>
      </c>
      <c r="CS885" s="112" t="s">
        <v>1168</v>
      </c>
      <c r="CT885" s="112" t="s">
        <v>1169</v>
      </c>
      <c r="CU885" s="112" t="s">
        <v>1664</v>
      </c>
      <c r="CV885" s="113" t="s">
        <v>1665</v>
      </c>
      <c r="CX885" s="36">
        <v>1</v>
      </c>
    </row>
    <row r="886" spans="91:102" ht="21" customHeight="1" x14ac:dyDescent="0.25">
      <c r="CM886" s="102"/>
      <c r="CN886" s="112" t="s">
        <v>2567</v>
      </c>
      <c r="CO886" s="112" t="s">
        <v>541</v>
      </c>
      <c r="CP886" s="112" t="s">
        <v>523</v>
      </c>
      <c r="CQ886" s="112" t="s">
        <v>2568</v>
      </c>
      <c r="CR886" s="112" t="s">
        <v>2568</v>
      </c>
      <c r="CS886" s="112" t="s">
        <v>1168</v>
      </c>
      <c r="CT886" s="112" t="s">
        <v>1169</v>
      </c>
      <c r="CU886" s="112" t="s">
        <v>1664</v>
      </c>
      <c r="CV886" s="113" t="s">
        <v>1665</v>
      </c>
      <c r="CX886" s="36">
        <v>1</v>
      </c>
    </row>
    <row r="887" spans="91:102" ht="21" customHeight="1" x14ac:dyDescent="0.25">
      <c r="CM887" s="102"/>
      <c r="CN887" s="112" t="s">
        <v>2569</v>
      </c>
      <c r="CO887" s="112" t="s">
        <v>541</v>
      </c>
      <c r="CP887" s="112" t="s">
        <v>523</v>
      </c>
      <c r="CQ887" s="112" t="s">
        <v>2570</v>
      </c>
      <c r="CR887" s="112" t="s">
        <v>2570</v>
      </c>
      <c r="CS887" s="112" t="s">
        <v>610</v>
      </c>
      <c r="CT887" s="112" t="s">
        <v>611</v>
      </c>
      <c r="CU887" s="112" t="s">
        <v>527</v>
      </c>
      <c r="CV887" s="113" t="s">
        <v>612</v>
      </c>
      <c r="CX887" s="36">
        <v>1</v>
      </c>
    </row>
    <row r="888" spans="91:102" ht="21" customHeight="1" x14ac:dyDescent="0.25">
      <c r="CM888" s="102"/>
      <c r="CN888" s="112" t="s">
        <v>2571</v>
      </c>
      <c r="CO888" s="112" t="s">
        <v>541</v>
      </c>
      <c r="CP888" s="112" t="s">
        <v>523</v>
      </c>
      <c r="CQ888" s="112" t="s">
        <v>2572</v>
      </c>
      <c r="CR888" s="112" t="s">
        <v>2572</v>
      </c>
      <c r="CS888" s="112" t="s">
        <v>1168</v>
      </c>
      <c r="CT888" s="112" t="s">
        <v>1169</v>
      </c>
      <c r="CU888" s="112" t="s">
        <v>1664</v>
      </c>
      <c r="CV888" s="113" t="s">
        <v>1665</v>
      </c>
      <c r="CX888" s="36">
        <v>1</v>
      </c>
    </row>
    <row r="889" spans="91:102" ht="21" customHeight="1" x14ac:dyDescent="0.25">
      <c r="CM889" s="102"/>
      <c r="CN889" s="112" t="s">
        <v>2573</v>
      </c>
      <c r="CO889" s="112" t="s">
        <v>541</v>
      </c>
      <c r="CP889" s="112" t="s">
        <v>523</v>
      </c>
      <c r="CQ889" s="112" t="s">
        <v>2574</v>
      </c>
      <c r="CR889" s="112" t="s">
        <v>2574</v>
      </c>
      <c r="CS889" s="112" t="s">
        <v>1168</v>
      </c>
      <c r="CT889" s="112" t="s">
        <v>1169</v>
      </c>
      <c r="CU889" s="112" t="s">
        <v>1664</v>
      </c>
      <c r="CV889" s="113" t="s">
        <v>1665</v>
      </c>
      <c r="CX889" s="36">
        <v>1</v>
      </c>
    </row>
    <row r="890" spans="91:102" ht="21" customHeight="1" x14ac:dyDescent="0.25">
      <c r="CM890" s="102"/>
      <c r="CN890" s="112" t="s">
        <v>2575</v>
      </c>
      <c r="CO890" s="112" t="s">
        <v>541</v>
      </c>
      <c r="CP890" s="112" t="s">
        <v>523</v>
      </c>
      <c r="CQ890" s="112" t="s">
        <v>2576</v>
      </c>
      <c r="CR890" s="112" t="s">
        <v>2576</v>
      </c>
      <c r="CS890" s="112" t="s">
        <v>1168</v>
      </c>
      <c r="CT890" s="112" t="s">
        <v>1169</v>
      </c>
      <c r="CU890" s="112" t="s">
        <v>1664</v>
      </c>
      <c r="CV890" s="113" t="s">
        <v>1665</v>
      </c>
      <c r="CX890" s="36">
        <v>1</v>
      </c>
    </row>
    <row r="891" spans="91:102" ht="21" customHeight="1" x14ac:dyDescent="0.25">
      <c r="CM891" s="102"/>
      <c r="CN891" s="112" t="s">
        <v>2577</v>
      </c>
      <c r="CO891" s="112" t="s">
        <v>541</v>
      </c>
      <c r="CP891" s="112" t="s">
        <v>523</v>
      </c>
      <c r="CQ891" s="112" t="s">
        <v>2578</v>
      </c>
      <c r="CR891" s="112" t="s">
        <v>2578</v>
      </c>
      <c r="CS891" s="112" t="s">
        <v>1168</v>
      </c>
      <c r="CT891" s="112" t="s">
        <v>1169</v>
      </c>
      <c r="CU891" s="112" t="s">
        <v>1664</v>
      </c>
      <c r="CV891" s="113" t="s">
        <v>1665</v>
      </c>
      <c r="CX891" s="36">
        <v>1</v>
      </c>
    </row>
    <row r="892" spans="91:102" ht="21" customHeight="1" x14ac:dyDescent="0.25">
      <c r="CM892" s="102"/>
      <c r="CN892" s="112" t="s">
        <v>2579</v>
      </c>
      <c r="CO892" s="112" t="s">
        <v>541</v>
      </c>
      <c r="CP892" s="112" t="s">
        <v>523</v>
      </c>
      <c r="CQ892" s="112" t="s">
        <v>2580</v>
      </c>
      <c r="CR892" s="112" t="s">
        <v>2580</v>
      </c>
      <c r="CS892" s="112" t="s">
        <v>1168</v>
      </c>
      <c r="CT892" s="112" t="s">
        <v>1169</v>
      </c>
      <c r="CU892" s="112" t="s">
        <v>1664</v>
      </c>
      <c r="CV892" s="113" t="s">
        <v>1665</v>
      </c>
      <c r="CX892" s="36">
        <v>1</v>
      </c>
    </row>
    <row r="893" spans="91:102" ht="21" customHeight="1" x14ac:dyDescent="0.25">
      <c r="CM893" s="102"/>
      <c r="CN893" s="112" t="s">
        <v>2581</v>
      </c>
      <c r="CO893" s="112" t="s">
        <v>541</v>
      </c>
      <c r="CP893" s="112" t="s">
        <v>523</v>
      </c>
      <c r="CQ893" s="112" t="s">
        <v>2582</v>
      </c>
      <c r="CR893" s="112" t="s">
        <v>2582</v>
      </c>
      <c r="CS893" s="112" t="s">
        <v>1168</v>
      </c>
      <c r="CT893" s="112" t="s">
        <v>1169</v>
      </c>
      <c r="CU893" s="112" t="s">
        <v>1664</v>
      </c>
      <c r="CV893" s="113" t="s">
        <v>1665</v>
      </c>
      <c r="CX893" s="36">
        <v>1</v>
      </c>
    </row>
    <row r="894" spans="91:102" ht="21" customHeight="1" x14ac:dyDescent="0.25">
      <c r="CM894" s="102"/>
      <c r="CN894" s="112" t="s">
        <v>2583</v>
      </c>
      <c r="CO894" s="112" t="s">
        <v>541</v>
      </c>
      <c r="CP894" s="112" t="s">
        <v>523</v>
      </c>
      <c r="CQ894" s="112" t="s">
        <v>2584</v>
      </c>
      <c r="CR894" s="112" t="s">
        <v>2584</v>
      </c>
      <c r="CS894" s="112" t="s">
        <v>1168</v>
      </c>
      <c r="CT894" s="112" t="s">
        <v>1169</v>
      </c>
      <c r="CU894" s="112" t="s">
        <v>1664</v>
      </c>
      <c r="CV894" s="113" t="s">
        <v>1665</v>
      </c>
      <c r="CX894" s="36">
        <v>1</v>
      </c>
    </row>
    <row r="895" spans="91:102" ht="21" customHeight="1" x14ac:dyDescent="0.25">
      <c r="CM895" s="102"/>
      <c r="CN895" s="112" t="s">
        <v>2585</v>
      </c>
      <c r="CO895" s="112" t="s">
        <v>541</v>
      </c>
      <c r="CP895" s="112" t="s">
        <v>523</v>
      </c>
      <c r="CQ895" s="112" t="s">
        <v>2586</v>
      </c>
      <c r="CR895" s="112" t="s">
        <v>2586</v>
      </c>
      <c r="CS895" s="112" t="s">
        <v>1168</v>
      </c>
      <c r="CT895" s="112" t="s">
        <v>1169</v>
      </c>
      <c r="CU895" s="112" t="s">
        <v>1664</v>
      </c>
      <c r="CV895" s="113" t="s">
        <v>1665</v>
      </c>
      <c r="CX895" s="36">
        <v>1</v>
      </c>
    </row>
    <row r="896" spans="91:102" ht="21" customHeight="1" x14ac:dyDescent="0.25">
      <c r="CM896" s="102"/>
      <c r="CN896" s="112" t="s">
        <v>2587</v>
      </c>
      <c r="CO896" s="112" t="s">
        <v>541</v>
      </c>
      <c r="CP896" s="112" t="s">
        <v>523</v>
      </c>
      <c r="CQ896" s="112" t="s">
        <v>2588</v>
      </c>
      <c r="CR896" s="112" t="s">
        <v>2588</v>
      </c>
      <c r="CS896" s="112" t="s">
        <v>1168</v>
      </c>
      <c r="CT896" s="112" t="s">
        <v>1169</v>
      </c>
      <c r="CU896" s="112" t="s">
        <v>1664</v>
      </c>
      <c r="CV896" s="113" t="s">
        <v>1665</v>
      </c>
      <c r="CX896" s="36">
        <v>1</v>
      </c>
    </row>
    <row r="897" spans="91:102" ht="21" customHeight="1" x14ac:dyDescent="0.25">
      <c r="CM897" s="102"/>
      <c r="CN897" s="112" t="s">
        <v>2589</v>
      </c>
      <c r="CO897" s="112" t="s">
        <v>541</v>
      </c>
      <c r="CP897" s="112" t="s">
        <v>523</v>
      </c>
      <c r="CQ897" s="112" t="s">
        <v>2590</v>
      </c>
      <c r="CR897" s="112" t="s">
        <v>2590</v>
      </c>
      <c r="CS897" s="112" t="s">
        <v>1168</v>
      </c>
      <c r="CT897" s="112" t="s">
        <v>1169</v>
      </c>
      <c r="CU897" s="112" t="s">
        <v>1664</v>
      </c>
      <c r="CV897" s="113" t="s">
        <v>1665</v>
      </c>
      <c r="CX897" s="36">
        <v>1</v>
      </c>
    </row>
    <row r="898" spans="91:102" ht="21" customHeight="1" x14ac:dyDescent="0.25">
      <c r="CM898" s="102"/>
      <c r="CN898" s="112" t="s">
        <v>2591</v>
      </c>
      <c r="CO898" s="112" t="s">
        <v>541</v>
      </c>
      <c r="CP898" s="112" t="s">
        <v>523</v>
      </c>
      <c r="CQ898" s="112" t="s">
        <v>2592</v>
      </c>
      <c r="CR898" s="112" t="s">
        <v>2592</v>
      </c>
      <c r="CS898" s="112" t="s">
        <v>1168</v>
      </c>
      <c r="CT898" s="112" t="s">
        <v>1169</v>
      </c>
      <c r="CU898" s="112" t="s">
        <v>1664</v>
      </c>
      <c r="CV898" s="113" t="s">
        <v>1665</v>
      </c>
      <c r="CX898" s="36">
        <v>1</v>
      </c>
    </row>
    <row r="899" spans="91:102" ht="21" customHeight="1" x14ac:dyDescent="0.25">
      <c r="CM899" s="102"/>
      <c r="CN899" s="112" t="s">
        <v>2593</v>
      </c>
      <c r="CO899" s="112" t="s">
        <v>541</v>
      </c>
      <c r="CP899" s="112" t="s">
        <v>523</v>
      </c>
      <c r="CQ899" s="112" t="s">
        <v>2594</v>
      </c>
      <c r="CR899" s="112" t="s">
        <v>2594</v>
      </c>
      <c r="CS899" s="112" t="s">
        <v>1168</v>
      </c>
      <c r="CT899" s="112" t="s">
        <v>1169</v>
      </c>
      <c r="CU899" s="112" t="s">
        <v>1664</v>
      </c>
      <c r="CV899" s="113" t="s">
        <v>1665</v>
      </c>
      <c r="CX899" s="36">
        <v>1</v>
      </c>
    </row>
    <row r="900" spans="91:102" ht="21" customHeight="1" x14ac:dyDescent="0.25">
      <c r="CM900" s="102"/>
      <c r="CN900" s="112" t="s">
        <v>2595</v>
      </c>
      <c r="CO900" s="112" t="s">
        <v>541</v>
      </c>
      <c r="CP900" s="112" t="s">
        <v>523</v>
      </c>
      <c r="CQ900" s="112" t="s">
        <v>2596</v>
      </c>
      <c r="CR900" s="112" t="s">
        <v>2596</v>
      </c>
      <c r="CS900" s="112" t="s">
        <v>1168</v>
      </c>
      <c r="CT900" s="112" t="s">
        <v>1169</v>
      </c>
      <c r="CU900" s="112" t="s">
        <v>1664</v>
      </c>
      <c r="CV900" s="113" t="s">
        <v>1665</v>
      </c>
      <c r="CX900" s="36">
        <v>1</v>
      </c>
    </row>
    <row r="901" spans="91:102" ht="21" customHeight="1" x14ac:dyDescent="0.25">
      <c r="CM901" s="102"/>
      <c r="CN901" s="112" t="s">
        <v>2597</v>
      </c>
      <c r="CO901" s="112" t="s">
        <v>541</v>
      </c>
      <c r="CP901" s="112" t="s">
        <v>523</v>
      </c>
      <c r="CQ901" s="112" t="s">
        <v>2598</v>
      </c>
      <c r="CR901" s="112" t="s">
        <v>2598</v>
      </c>
      <c r="CS901" s="112" t="s">
        <v>1168</v>
      </c>
      <c r="CT901" s="112" t="s">
        <v>1169</v>
      </c>
      <c r="CU901" s="112" t="s">
        <v>1664</v>
      </c>
      <c r="CV901" s="113" t="s">
        <v>1665</v>
      </c>
      <c r="CX901" s="36">
        <v>1</v>
      </c>
    </row>
    <row r="902" spans="91:102" ht="21" customHeight="1" x14ac:dyDescent="0.25">
      <c r="CM902" s="102"/>
      <c r="CN902" s="112" t="s">
        <v>2599</v>
      </c>
      <c r="CO902" s="112" t="s">
        <v>541</v>
      </c>
      <c r="CP902" s="112" t="s">
        <v>523</v>
      </c>
      <c r="CQ902" s="112" t="s">
        <v>2600</v>
      </c>
      <c r="CR902" s="112" t="s">
        <v>2600</v>
      </c>
      <c r="CS902" s="112" t="s">
        <v>1168</v>
      </c>
      <c r="CT902" s="112" t="s">
        <v>1169</v>
      </c>
      <c r="CU902" s="112" t="s">
        <v>1664</v>
      </c>
      <c r="CV902" s="113" t="s">
        <v>1665</v>
      </c>
      <c r="CX902" s="36">
        <v>1</v>
      </c>
    </row>
    <row r="903" spans="91:102" ht="21" customHeight="1" x14ac:dyDescent="0.25">
      <c r="CM903" s="102"/>
      <c r="CN903" s="112" t="s">
        <v>2601</v>
      </c>
      <c r="CO903" s="112" t="s">
        <v>541</v>
      </c>
      <c r="CP903" s="112" t="s">
        <v>523</v>
      </c>
      <c r="CQ903" s="112" t="s">
        <v>2602</v>
      </c>
      <c r="CR903" s="112" t="s">
        <v>2602</v>
      </c>
      <c r="CS903" s="112" t="s">
        <v>1168</v>
      </c>
      <c r="CT903" s="112" t="s">
        <v>1169</v>
      </c>
      <c r="CU903" s="112" t="s">
        <v>1664</v>
      </c>
      <c r="CV903" s="113" t="s">
        <v>1665</v>
      </c>
      <c r="CX903" s="36">
        <v>1</v>
      </c>
    </row>
    <row r="904" spans="91:102" ht="21" customHeight="1" x14ac:dyDescent="0.25">
      <c r="CM904" s="102"/>
      <c r="CN904" s="112" t="s">
        <v>2603</v>
      </c>
      <c r="CO904" s="112" t="s">
        <v>541</v>
      </c>
      <c r="CP904" s="112" t="s">
        <v>523</v>
      </c>
      <c r="CQ904" s="112" t="s">
        <v>2604</v>
      </c>
      <c r="CR904" s="112" t="s">
        <v>2604</v>
      </c>
      <c r="CS904" s="112" t="s">
        <v>1168</v>
      </c>
      <c r="CT904" s="112" t="s">
        <v>1169</v>
      </c>
      <c r="CU904" s="112" t="s">
        <v>1664</v>
      </c>
      <c r="CV904" s="113" t="s">
        <v>1665</v>
      </c>
      <c r="CX904" s="36">
        <v>1</v>
      </c>
    </row>
    <row r="905" spans="91:102" ht="21" customHeight="1" x14ac:dyDescent="0.25">
      <c r="CM905" s="102"/>
      <c r="CN905" s="112" t="s">
        <v>2605</v>
      </c>
      <c r="CO905" s="112" t="s">
        <v>541</v>
      </c>
      <c r="CP905" s="112" t="s">
        <v>523</v>
      </c>
      <c r="CQ905" s="112" t="s">
        <v>2606</v>
      </c>
      <c r="CR905" s="112" t="s">
        <v>2606</v>
      </c>
      <c r="CS905" s="112" t="s">
        <v>1168</v>
      </c>
      <c r="CT905" s="112" t="s">
        <v>1169</v>
      </c>
      <c r="CU905" s="112" t="s">
        <v>1664</v>
      </c>
      <c r="CV905" s="113" t="s">
        <v>1665</v>
      </c>
      <c r="CX905" s="36">
        <v>1</v>
      </c>
    </row>
    <row r="906" spans="91:102" ht="21" customHeight="1" x14ac:dyDescent="0.25">
      <c r="CM906" s="102"/>
      <c r="CN906" s="112" t="s">
        <v>2607</v>
      </c>
      <c r="CO906" s="112" t="s">
        <v>541</v>
      </c>
      <c r="CP906" s="112" t="s">
        <v>523</v>
      </c>
      <c r="CQ906" s="112" t="s">
        <v>2608</v>
      </c>
      <c r="CR906" s="112" t="s">
        <v>2608</v>
      </c>
      <c r="CS906" s="112" t="s">
        <v>1168</v>
      </c>
      <c r="CT906" s="112" t="s">
        <v>1169</v>
      </c>
      <c r="CU906" s="112" t="s">
        <v>1664</v>
      </c>
      <c r="CV906" s="113" t="s">
        <v>1665</v>
      </c>
      <c r="CX906" s="36">
        <v>1</v>
      </c>
    </row>
    <row r="907" spans="91:102" ht="21" customHeight="1" x14ac:dyDescent="0.25">
      <c r="CM907" s="102"/>
      <c r="CN907" s="112" t="s">
        <v>2609</v>
      </c>
      <c r="CO907" s="112" t="s">
        <v>541</v>
      </c>
      <c r="CP907" s="112" t="s">
        <v>523</v>
      </c>
      <c r="CQ907" s="112" t="s">
        <v>2610</v>
      </c>
      <c r="CR907" s="112" t="s">
        <v>2610</v>
      </c>
      <c r="CS907" s="112" t="s">
        <v>1168</v>
      </c>
      <c r="CT907" s="112" t="s">
        <v>1169</v>
      </c>
      <c r="CU907" s="112" t="s">
        <v>1664</v>
      </c>
      <c r="CV907" s="113" t="s">
        <v>1665</v>
      </c>
      <c r="CX907" s="36">
        <v>1</v>
      </c>
    </row>
    <row r="908" spans="91:102" ht="21" customHeight="1" x14ac:dyDescent="0.25">
      <c r="CM908" s="102"/>
      <c r="CN908" s="112" t="s">
        <v>2611</v>
      </c>
      <c r="CO908" s="112" t="s">
        <v>541</v>
      </c>
      <c r="CP908" s="112" t="s">
        <v>523</v>
      </c>
      <c r="CQ908" s="112" t="s">
        <v>2612</v>
      </c>
      <c r="CR908" s="112" t="s">
        <v>2612</v>
      </c>
      <c r="CS908" s="112" t="s">
        <v>1168</v>
      </c>
      <c r="CT908" s="112" t="s">
        <v>1169</v>
      </c>
      <c r="CU908" s="112" t="s">
        <v>1664</v>
      </c>
      <c r="CV908" s="113" t="s">
        <v>1665</v>
      </c>
      <c r="CX908" s="36">
        <v>1</v>
      </c>
    </row>
    <row r="909" spans="91:102" ht="21" customHeight="1" x14ac:dyDescent="0.25">
      <c r="CM909" s="102"/>
      <c r="CN909" s="112" t="s">
        <v>2613</v>
      </c>
      <c r="CO909" s="112" t="s">
        <v>541</v>
      </c>
      <c r="CP909" s="112" t="s">
        <v>523</v>
      </c>
      <c r="CQ909" s="112" t="s">
        <v>2614</v>
      </c>
      <c r="CR909" s="112" t="s">
        <v>2614</v>
      </c>
      <c r="CS909" s="112" t="s">
        <v>1168</v>
      </c>
      <c r="CT909" s="112" t="s">
        <v>1169</v>
      </c>
      <c r="CU909" s="112" t="s">
        <v>1664</v>
      </c>
      <c r="CV909" s="113" t="s">
        <v>1665</v>
      </c>
      <c r="CX909" s="36">
        <v>1</v>
      </c>
    </row>
    <row r="910" spans="91:102" ht="21" customHeight="1" x14ac:dyDescent="0.25">
      <c r="CM910" s="102"/>
      <c r="CN910" s="112" t="s">
        <v>2615</v>
      </c>
      <c r="CO910" s="112" t="s">
        <v>541</v>
      </c>
      <c r="CP910" s="112" t="s">
        <v>523</v>
      </c>
      <c r="CQ910" s="112" t="s">
        <v>2616</v>
      </c>
      <c r="CR910" s="112" t="s">
        <v>2616</v>
      </c>
      <c r="CS910" s="112" t="s">
        <v>1168</v>
      </c>
      <c r="CT910" s="112" t="s">
        <v>1169</v>
      </c>
      <c r="CU910" s="112" t="s">
        <v>1664</v>
      </c>
      <c r="CV910" s="113" t="s">
        <v>1665</v>
      </c>
      <c r="CX910" s="36">
        <v>1</v>
      </c>
    </row>
    <row r="911" spans="91:102" ht="21" customHeight="1" x14ac:dyDescent="0.25">
      <c r="CM911" s="102"/>
      <c r="CN911" s="112" t="s">
        <v>2617</v>
      </c>
      <c r="CO911" s="112" t="s">
        <v>541</v>
      </c>
      <c r="CP911" s="112" t="s">
        <v>523</v>
      </c>
      <c r="CQ911" s="112" t="s">
        <v>2618</v>
      </c>
      <c r="CR911" s="112" t="s">
        <v>2618</v>
      </c>
      <c r="CS911" s="112" t="s">
        <v>1168</v>
      </c>
      <c r="CT911" s="112" t="s">
        <v>1169</v>
      </c>
      <c r="CU911" s="112" t="s">
        <v>1664</v>
      </c>
      <c r="CV911" s="113" t="s">
        <v>1665</v>
      </c>
      <c r="CX911" s="36">
        <v>1</v>
      </c>
    </row>
    <row r="912" spans="91:102" ht="21" customHeight="1" x14ac:dyDescent="0.25">
      <c r="CM912" s="102"/>
      <c r="CN912" s="112" t="s">
        <v>2619</v>
      </c>
      <c r="CO912" s="112" t="s">
        <v>541</v>
      </c>
      <c r="CP912" s="112" t="s">
        <v>523</v>
      </c>
      <c r="CQ912" s="112" t="s">
        <v>2620</v>
      </c>
      <c r="CR912" s="112" t="s">
        <v>2620</v>
      </c>
      <c r="CS912" s="112" t="s">
        <v>1168</v>
      </c>
      <c r="CT912" s="112" t="s">
        <v>1169</v>
      </c>
      <c r="CU912" s="112" t="s">
        <v>1664</v>
      </c>
      <c r="CV912" s="113" t="s">
        <v>1665</v>
      </c>
      <c r="CX912" s="36">
        <v>1</v>
      </c>
    </row>
    <row r="913" spans="91:102" ht="21" customHeight="1" x14ac:dyDescent="0.25">
      <c r="CM913" s="102"/>
      <c r="CN913" s="112" t="s">
        <v>2621</v>
      </c>
      <c r="CO913" s="112" t="s">
        <v>541</v>
      </c>
      <c r="CP913" s="112" t="s">
        <v>523</v>
      </c>
      <c r="CQ913" s="112" t="s">
        <v>2622</v>
      </c>
      <c r="CR913" s="112" t="s">
        <v>2622</v>
      </c>
      <c r="CS913" s="112" t="s">
        <v>525</v>
      </c>
      <c r="CT913" s="112" t="s">
        <v>1747</v>
      </c>
      <c r="CU913" s="112" t="s">
        <v>527</v>
      </c>
      <c r="CV913" s="113" t="s">
        <v>528</v>
      </c>
      <c r="CX913" s="36">
        <v>1</v>
      </c>
    </row>
    <row r="914" spans="91:102" ht="21" customHeight="1" x14ac:dyDescent="0.25">
      <c r="CM914" s="102"/>
      <c r="CN914" s="112" t="s">
        <v>2623</v>
      </c>
      <c r="CO914" s="112" t="s">
        <v>541</v>
      </c>
      <c r="CP914" s="112" t="s">
        <v>523</v>
      </c>
      <c r="CQ914" s="112" t="s">
        <v>2624</v>
      </c>
      <c r="CR914" s="112" t="s">
        <v>2624</v>
      </c>
      <c r="CS914" s="112" t="s">
        <v>1168</v>
      </c>
      <c r="CT914" s="112" t="s">
        <v>1169</v>
      </c>
      <c r="CU914" s="112" t="s">
        <v>1664</v>
      </c>
      <c r="CV914" s="113" t="s">
        <v>1665</v>
      </c>
      <c r="CX914" s="36">
        <v>1</v>
      </c>
    </row>
    <row r="915" spans="91:102" ht="21" customHeight="1" x14ac:dyDescent="0.25">
      <c r="CM915" s="102"/>
      <c r="CN915" s="112" t="s">
        <v>2625</v>
      </c>
      <c r="CO915" s="112" t="s">
        <v>541</v>
      </c>
      <c r="CP915" s="112" t="s">
        <v>523</v>
      </c>
      <c r="CQ915" s="112" t="s">
        <v>2626</v>
      </c>
      <c r="CR915" s="112" t="s">
        <v>2626</v>
      </c>
      <c r="CS915" s="112" t="s">
        <v>1168</v>
      </c>
      <c r="CT915" s="112" t="s">
        <v>1169</v>
      </c>
      <c r="CU915" s="112" t="s">
        <v>1664</v>
      </c>
      <c r="CV915" s="113" t="s">
        <v>1665</v>
      </c>
      <c r="CX915" s="36">
        <v>1</v>
      </c>
    </row>
    <row r="916" spans="91:102" ht="21" customHeight="1" x14ac:dyDescent="0.25">
      <c r="CM916" s="102"/>
      <c r="CN916" s="112" t="s">
        <v>2627</v>
      </c>
      <c r="CO916" s="112" t="s">
        <v>541</v>
      </c>
      <c r="CP916" s="112" t="s">
        <v>523</v>
      </c>
      <c r="CQ916" s="112" t="s">
        <v>2628</v>
      </c>
      <c r="CR916" s="112" t="s">
        <v>2628</v>
      </c>
      <c r="CS916" s="112" t="s">
        <v>1168</v>
      </c>
      <c r="CT916" s="112" t="s">
        <v>1169</v>
      </c>
      <c r="CU916" s="112" t="s">
        <v>1664</v>
      </c>
      <c r="CV916" s="113" t="s">
        <v>1665</v>
      </c>
      <c r="CX916" s="36">
        <v>1</v>
      </c>
    </row>
    <row r="917" spans="91:102" ht="21" customHeight="1" x14ac:dyDescent="0.25">
      <c r="CM917" s="102"/>
      <c r="CN917" s="112" t="s">
        <v>2629</v>
      </c>
      <c r="CO917" s="112" t="s">
        <v>541</v>
      </c>
      <c r="CP917" s="112" t="s">
        <v>523</v>
      </c>
      <c r="CQ917" s="112" t="s">
        <v>2630</v>
      </c>
      <c r="CR917" s="112" t="s">
        <v>2630</v>
      </c>
      <c r="CS917" s="112" t="s">
        <v>1168</v>
      </c>
      <c r="CT917" s="112" t="s">
        <v>1169</v>
      </c>
      <c r="CU917" s="112" t="s">
        <v>1664</v>
      </c>
      <c r="CV917" s="113" t="s">
        <v>1665</v>
      </c>
      <c r="CX917" s="36">
        <v>1</v>
      </c>
    </row>
    <row r="918" spans="91:102" ht="21" customHeight="1" x14ac:dyDescent="0.25">
      <c r="CM918" s="102"/>
      <c r="CN918" s="112" t="s">
        <v>2631</v>
      </c>
      <c r="CO918" s="112" t="s">
        <v>541</v>
      </c>
      <c r="CP918" s="112" t="s">
        <v>523</v>
      </c>
      <c r="CQ918" s="112" t="s">
        <v>2632</v>
      </c>
      <c r="CR918" s="112" t="s">
        <v>2632</v>
      </c>
      <c r="CS918" s="112" t="s">
        <v>1168</v>
      </c>
      <c r="CT918" s="112" t="s">
        <v>1169</v>
      </c>
      <c r="CU918" s="112" t="s">
        <v>1664</v>
      </c>
      <c r="CV918" s="113" t="s">
        <v>1665</v>
      </c>
      <c r="CX918" s="36">
        <v>1</v>
      </c>
    </row>
    <row r="919" spans="91:102" ht="21" customHeight="1" x14ac:dyDescent="0.25">
      <c r="CM919" s="102"/>
      <c r="CN919" s="112" t="s">
        <v>2633</v>
      </c>
      <c r="CO919" s="112" t="s">
        <v>541</v>
      </c>
      <c r="CP919" s="112" t="s">
        <v>523</v>
      </c>
      <c r="CQ919" s="112" t="s">
        <v>2634</v>
      </c>
      <c r="CR919" s="112" t="s">
        <v>2634</v>
      </c>
      <c r="CS919" s="112" t="s">
        <v>1168</v>
      </c>
      <c r="CT919" s="112" t="s">
        <v>1169</v>
      </c>
      <c r="CU919" s="112" t="s">
        <v>1664</v>
      </c>
      <c r="CV919" s="113" t="s">
        <v>1665</v>
      </c>
      <c r="CX919" s="36">
        <v>1</v>
      </c>
    </row>
    <row r="920" spans="91:102" ht="21" customHeight="1" x14ac:dyDescent="0.25">
      <c r="CM920" s="102"/>
      <c r="CN920" s="112" t="s">
        <v>2635</v>
      </c>
      <c r="CO920" s="112" t="s">
        <v>541</v>
      </c>
      <c r="CP920" s="112" t="s">
        <v>523</v>
      </c>
      <c r="CQ920" s="112" t="s">
        <v>2636</v>
      </c>
      <c r="CR920" s="112" t="s">
        <v>2636</v>
      </c>
      <c r="CS920" s="112" t="s">
        <v>1168</v>
      </c>
      <c r="CT920" s="112" t="s">
        <v>1169</v>
      </c>
      <c r="CU920" s="112" t="s">
        <v>1664</v>
      </c>
      <c r="CV920" s="113" t="s">
        <v>1665</v>
      </c>
      <c r="CX920" s="36">
        <v>1</v>
      </c>
    </row>
    <row r="921" spans="91:102" ht="21" customHeight="1" x14ac:dyDescent="0.25">
      <c r="CM921" s="102"/>
      <c r="CN921" s="112" t="s">
        <v>2637</v>
      </c>
      <c r="CO921" s="112" t="s">
        <v>541</v>
      </c>
      <c r="CP921" s="112" t="s">
        <v>523</v>
      </c>
      <c r="CQ921" s="112" t="s">
        <v>2638</v>
      </c>
      <c r="CR921" s="112" t="s">
        <v>2638</v>
      </c>
      <c r="CS921" s="112" t="s">
        <v>1168</v>
      </c>
      <c r="CT921" s="112" t="s">
        <v>1169</v>
      </c>
      <c r="CU921" s="112" t="s">
        <v>1664</v>
      </c>
      <c r="CV921" s="113" t="s">
        <v>1665</v>
      </c>
      <c r="CX921" s="36">
        <v>1</v>
      </c>
    </row>
    <row r="922" spans="91:102" ht="21" customHeight="1" x14ac:dyDescent="0.25">
      <c r="CM922" s="102"/>
      <c r="CN922" s="112" t="s">
        <v>2639</v>
      </c>
      <c r="CO922" s="112" t="s">
        <v>541</v>
      </c>
      <c r="CP922" s="112" t="s">
        <v>523</v>
      </c>
      <c r="CQ922" s="112" t="s">
        <v>2640</v>
      </c>
      <c r="CR922" s="112" t="s">
        <v>2640</v>
      </c>
      <c r="CS922" s="112" t="s">
        <v>1168</v>
      </c>
      <c r="CT922" s="112" t="s">
        <v>1169</v>
      </c>
      <c r="CU922" s="112" t="s">
        <v>1664</v>
      </c>
      <c r="CV922" s="113" t="s">
        <v>1665</v>
      </c>
      <c r="CX922" s="36">
        <v>1</v>
      </c>
    </row>
    <row r="923" spans="91:102" ht="21" customHeight="1" x14ac:dyDescent="0.25">
      <c r="CM923" s="102"/>
      <c r="CN923" s="112" t="s">
        <v>2641</v>
      </c>
      <c r="CO923" s="112" t="s">
        <v>541</v>
      </c>
      <c r="CP923" s="112" t="s">
        <v>523</v>
      </c>
      <c r="CQ923" s="112" t="s">
        <v>2642</v>
      </c>
      <c r="CR923" s="112" t="s">
        <v>2642</v>
      </c>
      <c r="CS923" s="112" t="s">
        <v>1168</v>
      </c>
      <c r="CT923" s="112" t="s">
        <v>1169</v>
      </c>
      <c r="CU923" s="112" t="s">
        <v>1664</v>
      </c>
      <c r="CV923" s="113" t="s">
        <v>1665</v>
      </c>
      <c r="CX923" s="36">
        <v>1</v>
      </c>
    </row>
    <row r="924" spans="91:102" ht="21" customHeight="1" x14ac:dyDescent="0.25">
      <c r="CM924" s="102"/>
      <c r="CN924" s="112" t="s">
        <v>2643</v>
      </c>
      <c r="CO924" s="112" t="s">
        <v>541</v>
      </c>
      <c r="CP924" s="112" t="s">
        <v>523</v>
      </c>
      <c r="CQ924" s="112" t="s">
        <v>2644</v>
      </c>
      <c r="CR924" s="112" t="s">
        <v>2644</v>
      </c>
      <c r="CS924" s="112" t="s">
        <v>1168</v>
      </c>
      <c r="CT924" s="112" t="s">
        <v>1169</v>
      </c>
      <c r="CU924" s="112" t="s">
        <v>1664</v>
      </c>
      <c r="CV924" s="113" t="s">
        <v>1665</v>
      </c>
      <c r="CX924" s="36">
        <v>1</v>
      </c>
    </row>
    <row r="925" spans="91:102" ht="21" customHeight="1" x14ac:dyDescent="0.25">
      <c r="CM925" s="102"/>
      <c r="CN925" s="112" t="s">
        <v>2645</v>
      </c>
      <c r="CO925" s="112" t="s">
        <v>541</v>
      </c>
      <c r="CP925" s="112" t="s">
        <v>523</v>
      </c>
      <c r="CQ925" s="112" t="s">
        <v>2646</v>
      </c>
      <c r="CR925" s="112" t="s">
        <v>2646</v>
      </c>
      <c r="CS925" s="112" t="s">
        <v>1168</v>
      </c>
      <c r="CT925" s="112" t="s">
        <v>1169</v>
      </c>
      <c r="CU925" s="112" t="s">
        <v>1664</v>
      </c>
      <c r="CV925" s="113" t="s">
        <v>1665</v>
      </c>
      <c r="CX925" s="36">
        <v>1</v>
      </c>
    </row>
    <row r="926" spans="91:102" ht="21" customHeight="1" x14ac:dyDescent="0.25">
      <c r="CM926" s="102"/>
      <c r="CN926" s="112" t="s">
        <v>2647</v>
      </c>
      <c r="CO926" s="112" t="s">
        <v>541</v>
      </c>
      <c r="CP926" s="112" t="s">
        <v>523</v>
      </c>
      <c r="CQ926" s="112" t="s">
        <v>2648</v>
      </c>
      <c r="CR926" s="112" t="s">
        <v>2648</v>
      </c>
      <c r="CS926" s="112" t="s">
        <v>1168</v>
      </c>
      <c r="CT926" s="112" t="s">
        <v>1169</v>
      </c>
      <c r="CU926" s="112" t="s">
        <v>1664</v>
      </c>
      <c r="CV926" s="113" t="s">
        <v>1665</v>
      </c>
      <c r="CX926" s="36">
        <v>1</v>
      </c>
    </row>
    <row r="927" spans="91:102" ht="21" customHeight="1" x14ac:dyDescent="0.25">
      <c r="CM927" s="102"/>
      <c r="CN927" s="112" t="s">
        <v>2649</v>
      </c>
      <c r="CO927" s="112" t="s">
        <v>541</v>
      </c>
      <c r="CP927" s="112" t="s">
        <v>523</v>
      </c>
      <c r="CQ927" s="112" t="s">
        <v>2650</v>
      </c>
      <c r="CR927" s="112" t="s">
        <v>2650</v>
      </c>
      <c r="CS927" s="112" t="s">
        <v>1168</v>
      </c>
      <c r="CT927" s="112" t="s">
        <v>1169</v>
      </c>
      <c r="CU927" s="112" t="s">
        <v>1664</v>
      </c>
      <c r="CV927" s="113" t="s">
        <v>1665</v>
      </c>
      <c r="CX927" s="36">
        <v>1</v>
      </c>
    </row>
    <row r="928" spans="91:102" ht="21" customHeight="1" x14ac:dyDescent="0.25">
      <c r="CM928" s="102"/>
      <c r="CN928" s="112" t="s">
        <v>2651</v>
      </c>
      <c r="CO928" s="112" t="s">
        <v>541</v>
      </c>
      <c r="CP928" s="112" t="s">
        <v>523</v>
      </c>
      <c r="CQ928" s="112" t="s">
        <v>2652</v>
      </c>
      <c r="CR928" s="112" t="s">
        <v>2652</v>
      </c>
      <c r="CS928" s="112" t="s">
        <v>1168</v>
      </c>
      <c r="CT928" s="112" t="s">
        <v>1169</v>
      </c>
      <c r="CU928" s="112" t="s">
        <v>1664</v>
      </c>
      <c r="CV928" s="113" t="s">
        <v>1665</v>
      </c>
      <c r="CX928" s="36">
        <v>1</v>
      </c>
    </row>
    <row r="929" spans="91:102" ht="21" customHeight="1" x14ac:dyDescent="0.25">
      <c r="CM929" s="102"/>
      <c r="CN929" s="112" t="s">
        <v>2653</v>
      </c>
      <c r="CO929" s="112" t="s">
        <v>541</v>
      </c>
      <c r="CP929" s="112" t="s">
        <v>523</v>
      </c>
      <c r="CQ929" s="112" t="s">
        <v>2654</v>
      </c>
      <c r="CR929" s="112" t="s">
        <v>2654</v>
      </c>
      <c r="CS929" s="112" t="s">
        <v>1168</v>
      </c>
      <c r="CT929" s="112" t="s">
        <v>1169</v>
      </c>
      <c r="CU929" s="112" t="s">
        <v>1664</v>
      </c>
      <c r="CV929" s="113" t="s">
        <v>1665</v>
      </c>
      <c r="CX929" s="36">
        <v>1</v>
      </c>
    </row>
    <row r="930" spans="91:102" ht="21" customHeight="1" x14ac:dyDescent="0.25">
      <c r="CM930" s="102"/>
      <c r="CN930" s="112" t="s">
        <v>2655</v>
      </c>
      <c r="CO930" s="112" t="s">
        <v>541</v>
      </c>
      <c r="CP930" s="112" t="s">
        <v>523</v>
      </c>
      <c r="CQ930" s="112" t="s">
        <v>2656</v>
      </c>
      <c r="CR930" s="112" t="s">
        <v>2656</v>
      </c>
      <c r="CS930" s="112" t="s">
        <v>1168</v>
      </c>
      <c r="CT930" s="112" t="s">
        <v>1169</v>
      </c>
      <c r="CU930" s="112" t="s">
        <v>1664</v>
      </c>
      <c r="CV930" s="113" t="s">
        <v>1665</v>
      </c>
      <c r="CX930" s="36">
        <v>1</v>
      </c>
    </row>
    <row r="931" spans="91:102" ht="21" customHeight="1" x14ac:dyDescent="0.25">
      <c r="CM931" s="102"/>
      <c r="CN931" s="112" t="s">
        <v>2657</v>
      </c>
      <c r="CO931" s="112" t="s">
        <v>541</v>
      </c>
      <c r="CP931" s="112" t="s">
        <v>523</v>
      </c>
      <c r="CQ931" s="112" t="s">
        <v>2658</v>
      </c>
      <c r="CR931" s="112" t="s">
        <v>2658</v>
      </c>
      <c r="CS931" s="112" t="s">
        <v>1168</v>
      </c>
      <c r="CT931" s="112" t="s">
        <v>1169</v>
      </c>
      <c r="CU931" s="112" t="s">
        <v>1664</v>
      </c>
      <c r="CV931" s="113" t="s">
        <v>1665</v>
      </c>
      <c r="CX931" s="36">
        <v>1</v>
      </c>
    </row>
    <row r="932" spans="91:102" ht="21" customHeight="1" x14ac:dyDescent="0.25">
      <c r="CM932" s="102"/>
      <c r="CN932" s="112" t="s">
        <v>2659</v>
      </c>
      <c r="CO932" s="112" t="s">
        <v>541</v>
      </c>
      <c r="CP932" s="112" t="s">
        <v>523</v>
      </c>
      <c r="CQ932" s="112" t="s">
        <v>2660</v>
      </c>
      <c r="CR932" s="112" t="s">
        <v>2660</v>
      </c>
      <c r="CS932" s="112" t="s">
        <v>1168</v>
      </c>
      <c r="CT932" s="112" t="s">
        <v>1169</v>
      </c>
      <c r="CU932" s="112" t="s">
        <v>1664</v>
      </c>
      <c r="CV932" s="113" t="s">
        <v>1665</v>
      </c>
      <c r="CX932" s="36">
        <v>1</v>
      </c>
    </row>
    <row r="933" spans="91:102" ht="21" customHeight="1" x14ac:dyDescent="0.25">
      <c r="CM933" s="102"/>
      <c r="CN933" s="112" t="s">
        <v>2661</v>
      </c>
      <c r="CO933" s="112" t="s">
        <v>541</v>
      </c>
      <c r="CP933" s="112" t="s">
        <v>523</v>
      </c>
      <c r="CQ933" s="112" t="s">
        <v>2662</v>
      </c>
      <c r="CR933" s="112" t="s">
        <v>2662</v>
      </c>
      <c r="CS933" s="112" t="s">
        <v>1168</v>
      </c>
      <c r="CT933" s="112" t="s">
        <v>1169</v>
      </c>
      <c r="CU933" s="112" t="s">
        <v>1664</v>
      </c>
      <c r="CV933" s="113" t="s">
        <v>1665</v>
      </c>
      <c r="CX933" s="36">
        <v>1</v>
      </c>
    </row>
    <row r="934" spans="91:102" ht="21" customHeight="1" x14ac:dyDescent="0.25">
      <c r="CM934" s="102"/>
      <c r="CN934" s="112" t="s">
        <v>2663</v>
      </c>
      <c r="CO934" s="112" t="s">
        <v>541</v>
      </c>
      <c r="CP934" s="112" t="s">
        <v>523</v>
      </c>
      <c r="CQ934" s="112" t="s">
        <v>2664</v>
      </c>
      <c r="CR934" s="112" t="s">
        <v>2664</v>
      </c>
      <c r="CS934" s="112" t="s">
        <v>1168</v>
      </c>
      <c r="CT934" s="112" t="s">
        <v>1169</v>
      </c>
      <c r="CU934" s="112" t="s">
        <v>1664</v>
      </c>
      <c r="CV934" s="113" t="s">
        <v>1665</v>
      </c>
      <c r="CX934" s="36">
        <v>1</v>
      </c>
    </row>
    <row r="935" spans="91:102" ht="21" customHeight="1" x14ac:dyDescent="0.25">
      <c r="CM935" s="102"/>
      <c r="CN935" s="112" t="s">
        <v>2665</v>
      </c>
      <c r="CO935" s="112" t="s">
        <v>541</v>
      </c>
      <c r="CP935" s="112" t="s">
        <v>523</v>
      </c>
      <c r="CQ935" s="112" t="s">
        <v>2666</v>
      </c>
      <c r="CR935" s="112" t="s">
        <v>2666</v>
      </c>
      <c r="CS935" s="112" t="s">
        <v>1168</v>
      </c>
      <c r="CT935" s="112" t="s">
        <v>1169</v>
      </c>
      <c r="CU935" s="112" t="s">
        <v>1664</v>
      </c>
      <c r="CV935" s="113" t="s">
        <v>1665</v>
      </c>
      <c r="CX935" s="36">
        <v>1</v>
      </c>
    </row>
    <row r="936" spans="91:102" ht="21" customHeight="1" x14ac:dyDescent="0.25">
      <c r="CM936" s="102"/>
      <c r="CN936" s="112" t="s">
        <v>2667</v>
      </c>
      <c r="CO936" s="112" t="s">
        <v>541</v>
      </c>
      <c r="CP936" s="112" t="s">
        <v>523</v>
      </c>
      <c r="CQ936" s="112" t="s">
        <v>2668</v>
      </c>
      <c r="CR936" s="112" t="s">
        <v>2668</v>
      </c>
      <c r="CS936" s="112" t="s">
        <v>1168</v>
      </c>
      <c r="CT936" s="112" t="s">
        <v>1169</v>
      </c>
      <c r="CU936" s="112" t="s">
        <v>1664</v>
      </c>
      <c r="CV936" s="113" t="s">
        <v>1665</v>
      </c>
      <c r="CX936" s="36">
        <v>1</v>
      </c>
    </row>
    <row r="937" spans="91:102" ht="21" customHeight="1" x14ac:dyDescent="0.25">
      <c r="CM937" s="102"/>
      <c r="CN937" s="112" t="s">
        <v>2669</v>
      </c>
      <c r="CO937" s="112" t="s">
        <v>541</v>
      </c>
      <c r="CP937" s="112" t="s">
        <v>523</v>
      </c>
      <c r="CQ937" s="112" t="s">
        <v>2670</v>
      </c>
      <c r="CR937" s="112" t="s">
        <v>2670</v>
      </c>
      <c r="CS937" s="112" t="s">
        <v>1168</v>
      </c>
      <c r="CT937" s="112" t="s">
        <v>1169</v>
      </c>
      <c r="CU937" s="112" t="s">
        <v>1664</v>
      </c>
      <c r="CV937" s="113" t="s">
        <v>1665</v>
      </c>
      <c r="CX937" s="36">
        <v>1</v>
      </c>
    </row>
    <row r="938" spans="91:102" ht="21" customHeight="1" x14ac:dyDescent="0.25">
      <c r="CM938" s="102"/>
      <c r="CN938" s="112" t="s">
        <v>2671</v>
      </c>
      <c r="CO938" s="112" t="s">
        <v>541</v>
      </c>
      <c r="CP938" s="112" t="s">
        <v>523</v>
      </c>
      <c r="CQ938" s="112" t="s">
        <v>2672</v>
      </c>
      <c r="CR938" s="112" t="s">
        <v>2672</v>
      </c>
      <c r="CS938" s="112" t="s">
        <v>1168</v>
      </c>
      <c r="CT938" s="112" t="s">
        <v>1169</v>
      </c>
      <c r="CU938" s="112" t="s">
        <v>1664</v>
      </c>
      <c r="CV938" s="113" t="s">
        <v>1665</v>
      </c>
      <c r="CX938" s="36">
        <v>1</v>
      </c>
    </row>
    <row r="939" spans="91:102" ht="21" customHeight="1" x14ac:dyDescent="0.25">
      <c r="CM939" s="102"/>
      <c r="CN939" s="112" t="s">
        <v>2673</v>
      </c>
      <c r="CO939" s="112" t="s">
        <v>541</v>
      </c>
      <c r="CP939" s="112" t="s">
        <v>523</v>
      </c>
      <c r="CQ939" s="112" t="s">
        <v>2674</v>
      </c>
      <c r="CR939" s="112" t="s">
        <v>2674</v>
      </c>
      <c r="CS939" s="112" t="s">
        <v>1168</v>
      </c>
      <c r="CT939" s="112" t="s">
        <v>1169</v>
      </c>
      <c r="CU939" s="112" t="s">
        <v>1664</v>
      </c>
      <c r="CV939" s="113" t="s">
        <v>1665</v>
      </c>
      <c r="CX939" s="36">
        <v>1</v>
      </c>
    </row>
    <row r="940" spans="91:102" ht="21" customHeight="1" x14ac:dyDescent="0.25">
      <c r="CM940" s="102"/>
      <c r="CN940" s="112" t="s">
        <v>2675</v>
      </c>
      <c r="CO940" s="112" t="s">
        <v>541</v>
      </c>
      <c r="CP940" s="112" t="s">
        <v>523</v>
      </c>
      <c r="CQ940" s="112" t="s">
        <v>2676</v>
      </c>
      <c r="CR940" s="112" t="s">
        <v>2676</v>
      </c>
      <c r="CS940" s="112" t="s">
        <v>1168</v>
      </c>
      <c r="CT940" s="112" t="s">
        <v>1169</v>
      </c>
      <c r="CU940" s="112" t="s">
        <v>1664</v>
      </c>
      <c r="CV940" s="113" t="s">
        <v>1665</v>
      </c>
      <c r="CX940" s="36">
        <v>1</v>
      </c>
    </row>
    <row r="941" spans="91:102" ht="21" customHeight="1" x14ac:dyDescent="0.25">
      <c r="CM941" s="102"/>
      <c r="CN941" s="112" t="s">
        <v>2677</v>
      </c>
      <c r="CO941" s="112" t="s">
        <v>541</v>
      </c>
      <c r="CP941" s="112" t="s">
        <v>523</v>
      </c>
      <c r="CQ941" s="112" t="s">
        <v>2678</v>
      </c>
      <c r="CR941" s="112" t="s">
        <v>2678</v>
      </c>
      <c r="CS941" s="112" t="s">
        <v>1168</v>
      </c>
      <c r="CT941" s="112" t="s">
        <v>1169</v>
      </c>
      <c r="CU941" s="112" t="s">
        <v>1664</v>
      </c>
      <c r="CV941" s="113" t="s">
        <v>1665</v>
      </c>
      <c r="CX941" s="36">
        <v>1</v>
      </c>
    </row>
    <row r="942" spans="91:102" ht="21" customHeight="1" x14ac:dyDescent="0.25">
      <c r="CM942" s="102"/>
      <c r="CN942" s="112" t="s">
        <v>2679</v>
      </c>
      <c r="CO942" s="112" t="s">
        <v>541</v>
      </c>
      <c r="CP942" s="112" t="s">
        <v>523</v>
      </c>
      <c r="CQ942" s="112" t="s">
        <v>2680</v>
      </c>
      <c r="CR942" s="112" t="s">
        <v>2680</v>
      </c>
      <c r="CS942" s="112" t="s">
        <v>1168</v>
      </c>
      <c r="CT942" s="112" t="s">
        <v>1169</v>
      </c>
      <c r="CU942" s="112" t="s">
        <v>1664</v>
      </c>
      <c r="CV942" s="113" t="s">
        <v>1665</v>
      </c>
      <c r="CX942" s="36">
        <v>1</v>
      </c>
    </row>
    <row r="943" spans="91:102" ht="21" customHeight="1" x14ac:dyDescent="0.25">
      <c r="CM943" s="102"/>
      <c r="CN943" s="112" t="s">
        <v>2681</v>
      </c>
      <c r="CO943" s="112" t="s">
        <v>541</v>
      </c>
      <c r="CP943" s="112" t="s">
        <v>523</v>
      </c>
      <c r="CQ943" s="112" t="s">
        <v>2682</v>
      </c>
      <c r="CR943" s="112" t="s">
        <v>2682</v>
      </c>
      <c r="CS943" s="112" t="s">
        <v>1168</v>
      </c>
      <c r="CT943" s="112" t="s">
        <v>1169</v>
      </c>
      <c r="CU943" s="112" t="s">
        <v>1664</v>
      </c>
      <c r="CV943" s="113" t="s">
        <v>1665</v>
      </c>
      <c r="CX943" s="36">
        <v>1</v>
      </c>
    </row>
    <row r="944" spans="91:102" ht="21" customHeight="1" x14ac:dyDescent="0.25">
      <c r="CM944" s="102"/>
      <c r="CN944" s="112" t="s">
        <v>2683</v>
      </c>
      <c r="CO944" s="112" t="s">
        <v>541</v>
      </c>
      <c r="CP944" s="112" t="s">
        <v>523</v>
      </c>
      <c r="CQ944" s="112" t="s">
        <v>2684</v>
      </c>
      <c r="CR944" s="112" t="s">
        <v>2684</v>
      </c>
      <c r="CS944" s="112" t="s">
        <v>1168</v>
      </c>
      <c r="CT944" s="112" t="s">
        <v>1169</v>
      </c>
      <c r="CU944" s="112" t="s">
        <v>1664</v>
      </c>
      <c r="CV944" s="113" t="s">
        <v>1665</v>
      </c>
      <c r="CX944" s="36">
        <v>1</v>
      </c>
    </row>
    <row r="945" spans="91:102" ht="21" customHeight="1" x14ac:dyDescent="0.25">
      <c r="CM945" s="102"/>
      <c r="CN945" s="112" t="s">
        <v>2685</v>
      </c>
      <c r="CO945" s="112" t="s">
        <v>541</v>
      </c>
      <c r="CP945" s="112" t="s">
        <v>523</v>
      </c>
      <c r="CQ945" s="112" t="s">
        <v>2686</v>
      </c>
      <c r="CR945" s="112" t="s">
        <v>2686</v>
      </c>
      <c r="CS945" s="112" t="s">
        <v>1168</v>
      </c>
      <c r="CT945" s="112" t="s">
        <v>1169</v>
      </c>
      <c r="CU945" s="112" t="s">
        <v>1664</v>
      </c>
      <c r="CV945" s="113" t="s">
        <v>1665</v>
      </c>
      <c r="CX945" s="36">
        <v>1</v>
      </c>
    </row>
    <row r="946" spans="91:102" ht="21" customHeight="1" x14ac:dyDescent="0.25">
      <c r="CM946" s="102"/>
      <c r="CN946" s="112" t="s">
        <v>2687</v>
      </c>
      <c r="CO946" s="112" t="s">
        <v>541</v>
      </c>
      <c r="CP946" s="112" t="s">
        <v>523</v>
      </c>
      <c r="CQ946" s="112" t="s">
        <v>2688</v>
      </c>
      <c r="CR946" s="112" t="s">
        <v>2688</v>
      </c>
      <c r="CS946" s="112" t="s">
        <v>1168</v>
      </c>
      <c r="CT946" s="112" t="s">
        <v>1169</v>
      </c>
      <c r="CU946" s="112" t="s">
        <v>1664</v>
      </c>
      <c r="CV946" s="113" t="s">
        <v>1665</v>
      </c>
      <c r="CX946" s="36">
        <v>1</v>
      </c>
    </row>
    <row r="947" spans="91:102" ht="21" customHeight="1" x14ac:dyDescent="0.25">
      <c r="CM947" s="102"/>
      <c r="CN947" s="112" t="s">
        <v>2689</v>
      </c>
      <c r="CO947" s="112" t="s">
        <v>541</v>
      </c>
      <c r="CP947" s="112" t="s">
        <v>523</v>
      </c>
      <c r="CQ947" s="112" t="s">
        <v>2690</v>
      </c>
      <c r="CR947" s="112" t="s">
        <v>2690</v>
      </c>
      <c r="CS947" s="112" t="s">
        <v>1168</v>
      </c>
      <c r="CT947" s="112" t="s">
        <v>1169</v>
      </c>
      <c r="CU947" s="112" t="s">
        <v>1664</v>
      </c>
      <c r="CV947" s="113" t="s">
        <v>1665</v>
      </c>
      <c r="CX947" s="36">
        <v>1</v>
      </c>
    </row>
    <row r="948" spans="91:102" ht="21" customHeight="1" x14ac:dyDescent="0.25">
      <c r="CM948" s="102"/>
      <c r="CN948" s="112" t="s">
        <v>2691</v>
      </c>
      <c r="CO948" s="112" t="s">
        <v>541</v>
      </c>
      <c r="CP948" s="112" t="s">
        <v>523</v>
      </c>
      <c r="CQ948" s="112" t="s">
        <v>2692</v>
      </c>
      <c r="CR948" s="112" t="s">
        <v>2692</v>
      </c>
      <c r="CS948" s="112" t="s">
        <v>1168</v>
      </c>
      <c r="CT948" s="112" t="s">
        <v>1169</v>
      </c>
      <c r="CU948" s="112" t="s">
        <v>1664</v>
      </c>
      <c r="CV948" s="113" t="s">
        <v>1665</v>
      </c>
      <c r="CX948" s="36">
        <v>1</v>
      </c>
    </row>
    <row r="949" spans="91:102" ht="21" customHeight="1" x14ac:dyDescent="0.25">
      <c r="CM949" s="102"/>
      <c r="CN949" s="112" t="s">
        <v>2693</v>
      </c>
      <c r="CO949" s="112" t="s">
        <v>541</v>
      </c>
      <c r="CP949" s="112" t="s">
        <v>523</v>
      </c>
      <c r="CQ949" s="112" t="s">
        <v>2694</v>
      </c>
      <c r="CR949" s="112" t="s">
        <v>2694</v>
      </c>
      <c r="CS949" s="112" t="s">
        <v>1168</v>
      </c>
      <c r="CT949" s="112" t="s">
        <v>1169</v>
      </c>
      <c r="CU949" s="112" t="s">
        <v>1664</v>
      </c>
      <c r="CV949" s="113" t="s">
        <v>1665</v>
      </c>
      <c r="CX949" s="36">
        <v>1</v>
      </c>
    </row>
    <row r="950" spans="91:102" ht="21" customHeight="1" x14ac:dyDescent="0.25">
      <c r="CM950" s="102"/>
      <c r="CN950" s="112" t="s">
        <v>2695</v>
      </c>
      <c r="CO950" s="112" t="s">
        <v>541</v>
      </c>
      <c r="CP950" s="112" t="s">
        <v>523</v>
      </c>
      <c r="CQ950" s="112" t="s">
        <v>2696</v>
      </c>
      <c r="CR950" s="112" t="s">
        <v>2696</v>
      </c>
      <c r="CS950" s="112" t="s">
        <v>1168</v>
      </c>
      <c r="CT950" s="112" t="s">
        <v>1169</v>
      </c>
      <c r="CU950" s="112" t="s">
        <v>1664</v>
      </c>
      <c r="CV950" s="113" t="s">
        <v>1665</v>
      </c>
      <c r="CX950" s="36">
        <v>1</v>
      </c>
    </row>
    <row r="951" spans="91:102" ht="21" customHeight="1" x14ac:dyDescent="0.25">
      <c r="CM951" s="102"/>
      <c r="CN951" s="112" t="s">
        <v>2697</v>
      </c>
      <c r="CO951" s="112" t="s">
        <v>541</v>
      </c>
      <c r="CP951" s="112" t="s">
        <v>523</v>
      </c>
      <c r="CQ951" s="112" t="s">
        <v>2698</v>
      </c>
      <c r="CR951" s="112" t="s">
        <v>2698</v>
      </c>
      <c r="CS951" s="112" t="s">
        <v>1168</v>
      </c>
      <c r="CT951" s="112" t="s">
        <v>1169</v>
      </c>
      <c r="CU951" s="112" t="s">
        <v>1664</v>
      </c>
      <c r="CV951" s="113" t="s">
        <v>1665</v>
      </c>
      <c r="CX951" s="36">
        <v>1</v>
      </c>
    </row>
    <row r="952" spans="91:102" ht="21" customHeight="1" x14ac:dyDescent="0.25">
      <c r="CM952" s="102"/>
      <c r="CN952" s="112" t="s">
        <v>2699</v>
      </c>
      <c r="CO952" s="112" t="s">
        <v>541</v>
      </c>
      <c r="CP952" s="112" t="s">
        <v>523</v>
      </c>
      <c r="CQ952" s="112" t="s">
        <v>2700</v>
      </c>
      <c r="CR952" s="112" t="s">
        <v>2700</v>
      </c>
      <c r="CS952" s="112" t="s">
        <v>1168</v>
      </c>
      <c r="CT952" s="112" t="s">
        <v>1169</v>
      </c>
      <c r="CU952" s="112" t="s">
        <v>1664</v>
      </c>
      <c r="CV952" s="113" t="s">
        <v>1665</v>
      </c>
      <c r="CX952" s="36">
        <v>1</v>
      </c>
    </row>
    <row r="953" spans="91:102" ht="21" customHeight="1" x14ac:dyDescent="0.25">
      <c r="CM953" s="102"/>
      <c r="CN953" s="112" t="s">
        <v>2701</v>
      </c>
      <c r="CO953" s="112" t="s">
        <v>541</v>
      </c>
      <c r="CP953" s="112" t="s">
        <v>523</v>
      </c>
      <c r="CQ953" s="112" t="s">
        <v>2702</v>
      </c>
      <c r="CR953" s="112" t="s">
        <v>2702</v>
      </c>
      <c r="CS953" s="112" t="s">
        <v>1168</v>
      </c>
      <c r="CT953" s="112" t="s">
        <v>1169</v>
      </c>
      <c r="CU953" s="112" t="s">
        <v>1664</v>
      </c>
      <c r="CV953" s="113" t="s">
        <v>1665</v>
      </c>
      <c r="CX953" s="36">
        <v>1</v>
      </c>
    </row>
    <row r="954" spans="91:102" ht="21" customHeight="1" x14ac:dyDescent="0.25">
      <c r="CM954" s="102"/>
      <c r="CN954" s="112" t="s">
        <v>2703</v>
      </c>
      <c r="CO954" s="112" t="s">
        <v>541</v>
      </c>
      <c r="CP954" s="112" t="s">
        <v>523</v>
      </c>
      <c r="CQ954" s="112" t="s">
        <v>2704</v>
      </c>
      <c r="CR954" s="112" t="s">
        <v>2704</v>
      </c>
      <c r="CS954" s="112" t="s">
        <v>1168</v>
      </c>
      <c r="CT954" s="112" t="s">
        <v>1169</v>
      </c>
      <c r="CU954" s="112" t="s">
        <v>1664</v>
      </c>
      <c r="CV954" s="113" t="s">
        <v>1665</v>
      </c>
      <c r="CX954" s="36">
        <v>1</v>
      </c>
    </row>
    <row r="955" spans="91:102" ht="21" customHeight="1" x14ac:dyDescent="0.25">
      <c r="CM955" s="102"/>
      <c r="CN955" s="112" t="s">
        <v>2705</v>
      </c>
      <c r="CO955" s="112" t="s">
        <v>541</v>
      </c>
      <c r="CP955" s="112" t="s">
        <v>523</v>
      </c>
      <c r="CQ955" s="112" t="s">
        <v>2706</v>
      </c>
      <c r="CR955" s="112" t="s">
        <v>2706</v>
      </c>
      <c r="CS955" s="112" t="s">
        <v>1168</v>
      </c>
      <c r="CT955" s="112" t="s">
        <v>1169</v>
      </c>
      <c r="CU955" s="112" t="s">
        <v>1664</v>
      </c>
      <c r="CV955" s="113" t="s">
        <v>1665</v>
      </c>
      <c r="CX955" s="36">
        <v>1</v>
      </c>
    </row>
    <row r="956" spans="91:102" ht="21" customHeight="1" x14ac:dyDescent="0.25">
      <c r="CM956" s="102"/>
      <c r="CN956" s="112" t="s">
        <v>2707</v>
      </c>
      <c r="CO956" s="112" t="s">
        <v>541</v>
      </c>
      <c r="CP956" s="112" t="s">
        <v>523</v>
      </c>
      <c r="CQ956" s="112" t="s">
        <v>2708</v>
      </c>
      <c r="CR956" s="112" t="s">
        <v>2708</v>
      </c>
      <c r="CS956" s="112" t="s">
        <v>1168</v>
      </c>
      <c r="CT956" s="112" t="s">
        <v>1169</v>
      </c>
      <c r="CU956" s="112" t="s">
        <v>1664</v>
      </c>
      <c r="CV956" s="113" t="s">
        <v>1665</v>
      </c>
      <c r="CX956" s="36">
        <v>1</v>
      </c>
    </row>
    <row r="957" spans="91:102" ht="21" customHeight="1" x14ac:dyDescent="0.25">
      <c r="CM957" s="102"/>
      <c r="CN957" s="112" t="s">
        <v>2709</v>
      </c>
      <c r="CO957" s="112" t="s">
        <v>541</v>
      </c>
      <c r="CP957" s="112" t="s">
        <v>523</v>
      </c>
      <c r="CQ957" s="112" t="s">
        <v>2710</v>
      </c>
      <c r="CR957" s="112" t="s">
        <v>2710</v>
      </c>
      <c r="CS957" s="112" t="s">
        <v>1168</v>
      </c>
      <c r="CT957" s="112" t="s">
        <v>1169</v>
      </c>
      <c r="CU957" s="112" t="s">
        <v>1664</v>
      </c>
      <c r="CV957" s="113" t="s">
        <v>1665</v>
      </c>
      <c r="CX957" s="36">
        <v>1</v>
      </c>
    </row>
    <row r="958" spans="91:102" ht="21" customHeight="1" x14ac:dyDescent="0.25">
      <c r="CM958" s="102"/>
      <c r="CN958" s="112" t="s">
        <v>2711</v>
      </c>
      <c r="CO958" s="112" t="s">
        <v>541</v>
      </c>
      <c r="CP958" s="112" t="s">
        <v>523</v>
      </c>
      <c r="CQ958" s="112" t="s">
        <v>2712</v>
      </c>
      <c r="CR958" s="112" t="s">
        <v>2712</v>
      </c>
      <c r="CS958" s="112" t="s">
        <v>1168</v>
      </c>
      <c r="CT958" s="112" t="s">
        <v>1169</v>
      </c>
      <c r="CU958" s="112" t="s">
        <v>1664</v>
      </c>
      <c r="CV958" s="113" t="s">
        <v>1665</v>
      </c>
      <c r="CX958" s="36">
        <v>1</v>
      </c>
    </row>
    <row r="959" spans="91:102" ht="21" customHeight="1" x14ac:dyDescent="0.25">
      <c r="CM959" s="102"/>
      <c r="CN959" s="112" t="s">
        <v>2713</v>
      </c>
      <c r="CO959" s="112" t="s">
        <v>541</v>
      </c>
      <c r="CP959" s="112" t="s">
        <v>523</v>
      </c>
      <c r="CQ959" s="112" t="s">
        <v>2714</v>
      </c>
      <c r="CR959" s="112" t="s">
        <v>2714</v>
      </c>
      <c r="CS959" s="112" t="s">
        <v>1168</v>
      </c>
      <c r="CT959" s="112" t="s">
        <v>1169</v>
      </c>
      <c r="CU959" s="112" t="s">
        <v>1664</v>
      </c>
      <c r="CV959" s="113" t="s">
        <v>1665</v>
      </c>
      <c r="CX959" s="36">
        <v>1</v>
      </c>
    </row>
    <row r="960" spans="91:102" ht="21" customHeight="1" x14ac:dyDescent="0.25">
      <c r="CM960" s="102"/>
      <c r="CN960" s="112" t="s">
        <v>2715</v>
      </c>
      <c r="CO960" s="112" t="s">
        <v>541</v>
      </c>
      <c r="CP960" s="112" t="s">
        <v>523</v>
      </c>
      <c r="CQ960" s="112" t="s">
        <v>2716</v>
      </c>
      <c r="CR960" s="112" t="s">
        <v>2716</v>
      </c>
      <c r="CS960" s="112" t="s">
        <v>1168</v>
      </c>
      <c r="CT960" s="112" t="s">
        <v>1169</v>
      </c>
      <c r="CU960" s="112" t="s">
        <v>1664</v>
      </c>
      <c r="CV960" s="113" t="s">
        <v>1665</v>
      </c>
      <c r="CX960" s="36">
        <v>1</v>
      </c>
    </row>
    <row r="961" spans="91:102" ht="21" customHeight="1" x14ac:dyDescent="0.25">
      <c r="CM961" s="102"/>
      <c r="CN961" s="112" t="s">
        <v>2717</v>
      </c>
      <c r="CO961" s="112" t="s">
        <v>541</v>
      </c>
      <c r="CP961" s="112" t="s">
        <v>523</v>
      </c>
      <c r="CQ961" s="112" t="s">
        <v>2718</v>
      </c>
      <c r="CR961" s="112" t="s">
        <v>2718</v>
      </c>
      <c r="CS961" s="112" t="s">
        <v>1168</v>
      </c>
      <c r="CT961" s="112" t="s">
        <v>1169</v>
      </c>
      <c r="CU961" s="112" t="s">
        <v>1664</v>
      </c>
      <c r="CV961" s="113" t="s">
        <v>1665</v>
      </c>
      <c r="CX961" s="36">
        <v>1</v>
      </c>
    </row>
    <row r="962" spans="91:102" ht="21" customHeight="1" x14ac:dyDescent="0.25">
      <c r="CM962" s="102"/>
      <c r="CN962" s="112" t="s">
        <v>2719</v>
      </c>
      <c r="CO962" s="112" t="s">
        <v>541</v>
      </c>
      <c r="CP962" s="112" t="s">
        <v>523</v>
      </c>
      <c r="CQ962" s="112" t="s">
        <v>2720</v>
      </c>
      <c r="CR962" s="112" t="s">
        <v>2720</v>
      </c>
      <c r="CS962" s="112" t="s">
        <v>1168</v>
      </c>
      <c r="CT962" s="112" t="s">
        <v>1169</v>
      </c>
      <c r="CU962" s="112" t="s">
        <v>1664</v>
      </c>
      <c r="CV962" s="113" t="s">
        <v>1665</v>
      </c>
      <c r="CX962" s="36">
        <v>1</v>
      </c>
    </row>
    <row r="963" spans="91:102" ht="21" customHeight="1" x14ac:dyDescent="0.25">
      <c r="CM963" s="102"/>
      <c r="CN963" s="112" t="s">
        <v>2721</v>
      </c>
      <c r="CO963" s="112" t="s">
        <v>541</v>
      </c>
      <c r="CP963" s="112" t="s">
        <v>523</v>
      </c>
      <c r="CQ963" s="112" t="s">
        <v>2722</v>
      </c>
      <c r="CR963" s="112" t="s">
        <v>2722</v>
      </c>
      <c r="CS963" s="112" t="s">
        <v>1168</v>
      </c>
      <c r="CT963" s="112" t="s">
        <v>1169</v>
      </c>
      <c r="CU963" s="112" t="s">
        <v>1664</v>
      </c>
      <c r="CV963" s="113" t="s">
        <v>1665</v>
      </c>
      <c r="CX963" s="36">
        <v>1</v>
      </c>
    </row>
    <row r="964" spans="91:102" ht="21" customHeight="1" x14ac:dyDescent="0.25">
      <c r="CM964" s="102"/>
      <c r="CN964" s="112" t="s">
        <v>2723</v>
      </c>
      <c r="CO964" s="112" t="s">
        <v>541</v>
      </c>
      <c r="CP964" s="112" t="s">
        <v>523</v>
      </c>
      <c r="CQ964" s="112" t="s">
        <v>2724</v>
      </c>
      <c r="CR964" s="112" t="s">
        <v>2724</v>
      </c>
      <c r="CS964" s="112" t="s">
        <v>1168</v>
      </c>
      <c r="CT964" s="112" t="s">
        <v>1169</v>
      </c>
      <c r="CU964" s="112" t="s">
        <v>1664</v>
      </c>
      <c r="CV964" s="113" t="s">
        <v>1665</v>
      </c>
      <c r="CX964" s="36">
        <v>1</v>
      </c>
    </row>
    <row r="965" spans="91:102" ht="21" customHeight="1" x14ac:dyDescent="0.25">
      <c r="CM965" s="102"/>
      <c r="CN965" s="112" t="s">
        <v>2725</v>
      </c>
      <c r="CO965" s="112" t="s">
        <v>541</v>
      </c>
      <c r="CP965" s="112" t="s">
        <v>523</v>
      </c>
      <c r="CQ965" s="112" t="s">
        <v>2726</v>
      </c>
      <c r="CR965" s="112" t="s">
        <v>2726</v>
      </c>
      <c r="CS965" s="112" t="s">
        <v>1168</v>
      </c>
      <c r="CT965" s="112" t="s">
        <v>1169</v>
      </c>
      <c r="CU965" s="112" t="s">
        <v>1664</v>
      </c>
      <c r="CV965" s="113" t="s">
        <v>1665</v>
      </c>
      <c r="CX965" s="36">
        <v>1</v>
      </c>
    </row>
    <row r="966" spans="91:102" ht="21" customHeight="1" x14ac:dyDescent="0.25">
      <c r="CM966" s="102"/>
      <c r="CN966" s="112" t="s">
        <v>2727</v>
      </c>
      <c r="CO966" s="112" t="s">
        <v>541</v>
      </c>
      <c r="CP966" s="112" t="s">
        <v>523</v>
      </c>
      <c r="CQ966" s="112" t="s">
        <v>2728</v>
      </c>
      <c r="CR966" s="112" t="s">
        <v>2728</v>
      </c>
      <c r="CS966" s="112" t="s">
        <v>1168</v>
      </c>
      <c r="CT966" s="112" t="s">
        <v>1169</v>
      </c>
      <c r="CU966" s="112" t="s">
        <v>1664</v>
      </c>
      <c r="CV966" s="113" t="s">
        <v>1665</v>
      </c>
      <c r="CX966" s="36">
        <v>1</v>
      </c>
    </row>
    <row r="967" spans="91:102" ht="21" customHeight="1" x14ac:dyDescent="0.25">
      <c r="CM967" s="102"/>
      <c r="CN967" s="112" t="s">
        <v>2729</v>
      </c>
      <c r="CO967" s="112" t="s">
        <v>541</v>
      </c>
      <c r="CP967" s="112" t="s">
        <v>523</v>
      </c>
      <c r="CQ967" s="112" t="s">
        <v>2730</v>
      </c>
      <c r="CR967" s="112" t="s">
        <v>2730</v>
      </c>
      <c r="CS967" s="112" t="s">
        <v>1168</v>
      </c>
      <c r="CT967" s="112" t="s">
        <v>1169</v>
      </c>
      <c r="CU967" s="112" t="s">
        <v>1664</v>
      </c>
      <c r="CV967" s="113" t="s">
        <v>1665</v>
      </c>
      <c r="CX967" s="36">
        <v>1</v>
      </c>
    </row>
    <row r="968" spans="91:102" ht="21" customHeight="1" x14ac:dyDescent="0.25">
      <c r="CM968" s="102"/>
      <c r="CN968" s="112" t="s">
        <v>2731</v>
      </c>
      <c r="CO968" s="112" t="s">
        <v>541</v>
      </c>
      <c r="CP968" s="112" t="s">
        <v>523</v>
      </c>
      <c r="CQ968" s="112" t="s">
        <v>2732</v>
      </c>
      <c r="CR968" s="112" t="s">
        <v>2732</v>
      </c>
      <c r="CS968" s="112" t="s">
        <v>1168</v>
      </c>
      <c r="CT968" s="112" t="s">
        <v>1169</v>
      </c>
      <c r="CU968" s="112" t="s">
        <v>1664</v>
      </c>
      <c r="CV968" s="113" t="s">
        <v>1665</v>
      </c>
      <c r="CX968" s="36">
        <v>1</v>
      </c>
    </row>
    <row r="969" spans="91:102" ht="21" customHeight="1" x14ac:dyDescent="0.25">
      <c r="CM969" s="102"/>
      <c r="CN969" s="112" t="s">
        <v>2733</v>
      </c>
      <c r="CO969" s="112" t="s">
        <v>541</v>
      </c>
      <c r="CP969" s="112" t="s">
        <v>523</v>
      </c>
      <c r="CQ969" s="112" t="s">
        <v>2734</v>
      </c>
      <c r="CR969" s="112" t="s">
        <v>2734</v>
      </c>
      <c r="CS969" s="112" t="s">
        <v>1168</v>
      </c>
      <c r="CT969" s="112" t="s">
        <v>1169</v>
      </c>
      <c r="CU969" s="112" t="s">
        <v>1664</v>
      </c>
      <c r="CV969" s="113" t="s">
        <v>1665</v>
      </c>
      <c r="CX969" s="36">
        <v>1</v>
      </c>
    </row>
    <row r="970" spans="91:102" ht="21" customHeight="1" x14ac:dyDescent="0.25">
      <c r="CM970" s="102"/>
      <c r="CN970" s="112" t="s">
        <v>2735</v>
      </c>
      <c r="CO970" s="112" t="s">
        <v>541</v>
      </c>
      <c r="CP970" s="112" t="s">
        <v>523</v>
      </c>
      <c r="CQ970" s="112" t="s">
        <v>2736</v>
      </c>
      <c r="CR970" s="112" t="s">
        <v>2736</v>
      </c>
      <c r="CS970" s="112" t="s">
        <v>1168</v>
      </c>
      <c r="CT970" s="112" t="s">
        <v>1169</v>
      </c>
      <c r="CU970" s="112" t="s">
        <v>1664</v>
      </c>
      <c r="CV970" s="113" t="s">
        <v>1665</v>
      </c>
      <c r="CX970" s="36">
        <v>1</v>
      </c>
    </row>
    <row r="971" spans="91:102" ht="21" customHeight="1" x14ac:dyDescent="0.25">
      <c r="CM971" s="102"/>
      <c r="CN971" s="112" t="s">
        <v>2737</v>
      </c>
      <c r="CO971" s="112" t="s">
        <v>541</v>
      </c>
      <c r="CP971" s="112" t="s">
        <v>523</v>
      </c>
      <c r="CQ971" s="112" t="s">
        <v>2738</v>
      </c>
      <c r="CR971" s="112" t="s">
        <v>2738</v>
      </c>
      <c r="CS971" s="112" t="s">
        <v>1168</v>
      </c>
      <c r="CT971" s="112" t="s">
        <v>1169</v>
      </c>
      <c r="CU971" s="112" t="s">
        <v>1664</v>
      </c>
      <c r="CV971" s="113" t="s">
        <v>1665</v>
      </c>
      <c r="CX971" s="36">
        <v>1</v>
      </c>
    </row>
    <row r="972" spans="91:102" ht="21" customHeight="1" x14ac:dyDescent="0.25">
      <c r="CM972" s="102"/>
      <c r="CN972" s="112" t="s">
        <v>2739</v>
      </c>
      <c r="CO972" s="112" t="s">
        <v>541</v>
      </c>
      <c r="CP972" s="112" t="s">
        <v>523</v>
      </c>
      <c r="CQ972" s="112" t="s">
        <v>2740</v>
      </c>
      <c r="CR972" s="112" t="s">
        <v>2740</v>
      </c>
      <c r="CS972" s="112" t="s">
        <v>610</v>
      </c>
      <c r="CT972" s="112" t="s">
        <v>611</v>
      </c>
      <c r="CU972" s="112" t="s">
        <v>527</v>
      </c>
      <c r="CV972" s="113" t="s">
        <v>612</v>
      </c>
      <c r="CX972" s="36">
        <v>1</v>
      </c>
    </row>
    <row r="973" spans="91:102" ht="21" customHeight="1" x14ac:dyDescent="0.25">
      <c r="CM973" s="102"/>
      <c r="CN973" s="112" t="s">
        <v>2741</v>
      </c>
      <c r="CO973" s="112" t="s">
        <v>541</v>
      </c>
      <c r="CP973" s="112" t="s">
        <v>523</v>
      </c>
      <c r="CQ973" s="112" t="s">
        <v>2742</v>
      </c>
      <c r="CR973" s="112" t="s">
        <v>2742</v>
      </c>
      <c r="CS973" s="112" t="s">
        <v>1168</v>
      </c>
      <c r="CT973" s="112" t="s">
        <v>1169</v>
      </c>
      <c r="CU973" s="112" t="s">
        <v>1664</v>
      </c>
      <c r="CV973" s="113" t="s">
        <v>1665</v>
      </c>
      <c r="CX973" s="36">
        <v>1</v>
      </c>
    </row>
    <row r="974" spans="91:102" ht="21" customHeight="1" x14ac:dyDescent="0.25">
      <c r="CM974" s="102"/>
      <c r="CN974" s="112" t="s">
        <v>2743</v>
      </c>
      <c r="CO974" s="112" t="s">
        <v>541</v>
      </c>
      <c r="CP974" s="112" t="s">
        <v>523</v>
      </c>
      <c r="CQ974" s="112" t="s">
        <v>2744</v>
      </c>
      <c r="CR974" s="112" t="s">
        <v>2744</v>
      </c>
      <c r="CS974" s="112" t="s">
        <v>1168</v>
      </c>
      <c r="CT974" s="112" t="s">
        <v>1169</v>
      </c>
      <c r="CU974" s="112" t="s">
        <v>1664</v>
      </c>
      <c r="CV974" s="113" t="s">
        <v>1665</v>
      </c>
      <c r="CX974" s="36">
        <v>1</v>
      </c>
    </row>
    <row r="975" spans="91:102" ht="21" customHeight="1" x14ac:dyDescent="0.25">
      <c r="CM975" s="102"/>
      <c r="CN975" s="112" t="s">
        <v>2745</v>
      </c>
      <c r="CO975" s="112" t="s">
        <v>541</v>
      </c>
      <c r="CP975" s="112" t="s">
        <v>523</v>
      </c>
      <c r="CQ975" s="112" t="s">
        <v>2746</v>
      </c>
      <c r="CR975" s="112" t="s">
        <v>2746</v>
      </c>
      <c r="CS975" s="112" t="s">
        <v>1168</v>
      </c>
      <c r="CT975" s="112" t="s">
        <v>1169</v>
      </c>
      <c r="CU975" s="112" t="s">
        <v>1664</v>
      </c>
      <c r="CV975" s="113" t="s">
        <v>1665</v>
      </c>
      <c r="CX975" s="36">
        <v>1</v>
      </c>
    </row>
    <row r="976" spans="91:102" ht="21" customHeight="1" x14ac:dyDescent="0.25">
      <c r="CM976" s="102"/>
      <c r="CN976" s="112" t="s">
        <v>2747</v>
      </c>
      <c r="CO976" s="112" t="s">
        <v>541</v>
      </c>
      <c r="CP976" s="112" t="s">
        <v>523</v>
      </c>
      <c r="CQ976" s="112" t="s">
        <v>2748</v>
      </c>
      <c r="CR976" s="112" t="s">
        <v>2748</v>
      </c>
      <c r="CS976" s="112" t="s">
        <v>1168</v>
      </c>
      <c r="CT976" s="112" t="s">
        <v>1169</v>
      </c>
      <c r="CU976" s="112" t="s">
        <v>1664</v>
      </c>
      <c r="CV976" s="113" t="s">
        <v>1665</v>
      </c>
      <c r="CX976" s="36">
        <v>1</v>
      </c>
    </row>
    <row r="977" spans="91:102" ht="21" customHeight="1" x14ac:dyDescent="0.25">
      <c r="CM977" s="102"/>
      <c r="CN977" s="112" t="s">
        <v>2749</v>
      </c>
      <c r="CO977" s="112" t="s">
        <v>541</v>
      </c>
      <c r="CP977" s="112" t="s">
        <v>523</v>
      </c>
      <c r="CQ977" s="112" t="s">
        <v>2750</v>
      </c>
      <c r="CR977" s="112" t="s">
        <v>2750</v>
      </c>
      <c r="CS977" s="112" t="s">
        <v>1168</v>
      </c>
      <c r="CT977" s="112" t="s">
        <v>1169</v>
      </c>
      <c r="CU977" s="112" t="s">
        <v>1664</v>
      </c>
      <c r="CV977" s="113" t="s">
        <v>1665</v>
      </c>
      <c r="CX977" s="36">
        <v>1</v>
      </c>
    </row>
    <row r="978" spans="91:102" ht="21" customHeight="1" x14ac:dyDescent="0.25">
      <c r="CM978" s="102"/>
      <c r="CN978" s="112" t="s">
        <v>2751</v>
      </c>
      <c r="CO978" s="112" t="s">
        <v>541</v>
      </c>
      <c r="CP978" s="112" t="s">
        <v>523</v>
      </c>
      <c r="CQ978" s="112" t="s">
        <v>2752</v>
      </c>
      <c r="CR978" s="112" t="s">
        <v>2752</v>
      </c>
      <c r="CS978" s="112" t="s">
        <v>1168</v>
      </c>
      <c r="CT978" s="112" t="s">
        <v>1169</v>
      </c>
      <c r="CU978" s="112" t="s">
        <v>1664</v>
      </c>
      <c r="CV978" s="113" t="s">
        <v>1665</v>
      </c>
      <c r="CX978" s="36">
        <v>1</v>
      </c>
    </row>
    <row r="979" spans="91:102" ht="21" customHeight="1" x14ac:dyDescent="0.25">
      <c r="CM979" s="102"/>
      <c r="CN979" s="112" t="s">
        <v>2753</v>
      </c>
      <c r="CO979" s="112" t="s">
        <v>541</v>
      </c>
      <c r="CP979" s="112" t="s">
        <v>523</v>
      </c>
      <c r="CQ979" s="112" t="s">
        <v>2754</v>
      </c>
      <c r="CR979" s="112" t="s">
        <v>2754</v>
      </c>
      <c r="CS979" s="112" t="s">
        <v>1168</v>
      </c>
      <c r="CT979" s="112" t="s">
        <v>1169</v>
      </c>
      <c r="CU979" s="112" t="s">
        <v>1664</v>
      </c>
      <c r="CV979" s="113" t="s">
        <v>1665</v>
      </c>
      <c r="CX979" s="36">
        <v>1</v>
      </c>
    </row>
    <row r="980" spans="91:102" ht="21" customHeight="1" x14ac:dyDescent="0.25">
      <c r="CM980" s="102"/>
      <c r="CN980" s="112" t="s">
        <v>2755</v>
      </c>
      <c r="CO980" s="112" t="s">
        <v>541</v>
      </c>
      <c r="CP980" s="112" t="s">
        <v>523</v>
      </c>
      <c r="CQ980" s="112" t="s">
        <v>2756</v>
      </c>
      <c r="CR980" s="112" t="s">
        <v>2756</v>
      </c>
      <c r="CS980" s="112" t="s">
        <v>1168</v>
      </c>
      <c r="CT980" s="112" t="s">
        <v>1169</v>
      </c>
      <c r="CU980" s="112" t="s">
        <v>1664</v>
      </c>
      <c r="CV980" s="113" t="s">
        <v>1665</v>
      </c>
      <c r="CX980" s="36">
        <v>1</v>
      </c>
    </row>
    <row r="981" spans="91:102" ht="21" customHeight="1" x14ac:dyDescent="0.25">
      <c r="CM981" s="102"/>
      <c r="CN981" s="112" t="s">
        <v>2757</v>
      </c>
      <c r="CO981" s="112" t="s">
        <v>541</v>
      </c>
      <c r="CP981" s="112" t="s">
        <v>523</v>
      </c>
      <c r="CQ981" s="112" t="s">
        <v>2758</v>
      </c>
      <c r="CR981" s="112" t="s">
        <v>2758</v>
      </c>
      <c r="CS981" s="112" t="s">
        <v>1168</v>
      </c>
      <c r="CT981" s="112" t="s">
        <v>1169</v>
      </c>
      <c r="CU981" s="112" t="s">
        <v>1664</v>
      </c>
      <c r="CV981" s="113" t="s">
        <v>1665</v>
      </c>
      <c r="CX981" s="36">
        <v>1</v>
      </c>
    </row>
    <row r="982" spans="91:102" ht="21" customHeight="1" x14ac:dyDescent="0.25">
      <c r="CM982" s="102"/>
      <c r="CN982" s="112" t="s">
        <v>2759</v>
      </c>
      <c r="CO982" s="112" t="s">
        <v>541</v>
      </c>
      <c r="CP982" s="112" t="s">
        <v>523</v>
      </c>
      <c r="CQ982" s="112" t="s">
        <v>2760</v>
      </c>
      <c r="CR982" s="112" t="s">
        <v>2760</v>
      </c>
      <c r="CS982" s="112" t="s">
        <v>1168</v>
      </c>
      <c r="CT982" s="112" t="s">
        <v>1169</v>
      </c>
      <c r="CU982" s="112" t="s">
        <v>1664</v>
      </c>
      <c r="CV982" s="113" t="s">
        <v>1665</v>
      </c>
      <c r="CX982" s="36">
        <v>1</v>
      </c>
    </row>
    <row r="983" spans="91:102" ht="21" customHeight="1" x14ac:dyDescent="0.25">
      <c r="CM983" s="102"/>
      <c r="CN983" s="112" t="s">
        <v>2761</v>
      </c>
      <c r="CO983" s="112" t="s">
        <v>541</v>
      </c>
      <c r="CP983" s="112" t="s">
        <v>523</v>
      </c>
      <c r="CQ983" s="112" t="s">
        <v>2762</v>
      </c>
      <c r="CR983" s="112" t="s">
        <v>2762</v>
      </c>
      <c r="CS983" s="112" t="s">
        <v>1168</v>
      </c>
      <c r="CT983" s="112" t="s">
        <v>1169</v>
      </c>
      <c r="CU983" s="112" t="s">
        <v>1664</v>
      </c>
      <c r="CV983" s="113" t="s">
        <v>1665</v>
      </c>
      <c r="CX983" s="36">
        <v>1</v>
      </c>
    </row>
    <row r="984" spans="91:102" ht="21" customHeight="1" x14ac:dyDescent="0.25">
      <c r="CM984" s="102"/>
      <c r="CN984" s="112" t="s">
        <v>2763</v>
      </c>
      <c r="CO984" s="112" t="s">
        <v>541</v>
      </c>
      <c r="CP984" s="112" t="s">
        <v>523</v>
      </c>
      <c r="CQ984" s="112" t="s">
        <v>2764</v>
      </c>
      <c r="CR984" s="112" t="s">
        <v>2764</v>
      </c>
      <c r="CS984" s="112" t="s">
        <v>1168</v>
      </c>
      <c r="CT984" s="112" t="s">
        <v>1169</v>
      </c>
      <c r="CU984" s="112" t="s">
        <v>1664</v>
      </c>
      <c r="CV984" s="113" t="s">
        <v>1665</v>
      </c>
      <c r="CX984" s="36">
        <v>1</v>
      </c>
    </row>
    <row r="985" spans="91:102" ht="21" customHeight="1" x14ac:dyDescent="0.25">
      <c r="CM985" s="102"/>
      <c r="CN985" s="112" t="s">
        <v>2765</v>
      </c>
      <c r="CO985" s="112" t="s">
        <v>541</v>
      </c>
      <c r="CP985" s="112" t="s">
        <v>523</v>
      </c>
      <c r="CQ985" s="112" t="s">
        <v>2766</v>
      </c>
      <c r="CR985" s="112" t="s">
        <v>2766</v>
      </c>
      <c r="CS985" s="112" t="s">
        <v>1168</v>
      </c>
      <c r="CT985" s="112" t="s">
        <v>1169</v>
      </c>
      <c r="CU985" s="112" t="s">
        <v>1664</v>
      </c>
      <c r="CV985" s="113" t="s">
        <v>1665</v>
      </c>
      <c r="CX985" s="36">
        <v>1</v>
      </c>
    </row>
    <row r="986" spans="91:102" ht="21" customHeight="1" x14ac:dyDescent="0.25">
      <c r="CM986" s="102"/>
      <c r="CN986" s="112" t="s">
        <v>2767</v>
      </c>
      <c r="CO986" s="112" t="s">
        <v>541</v>
      </c>
      <c r="CP986" s="112" t="s">
        <v>523</v>
      </c>
      <c r="CQ986" s="112" t="s">
        <v>2768</v>
      </c>
      <c r="CR986" s="112" t="s">
        <v>2768</v>
      </c>
      <c r="CS986" s="112" t="s">
        <v>1168</v>
      </c>
      <c r="CT986" s="112" t="s">
        <v>1169</v>
      </c>
      <c r="CU986" s="112" t="s">
        <v>1664</v>
      </c>
      <c r="CV986" s="113" t="s">
        <v>1665</v>
      </c>
      <c r="CX986" s="36">
        <v>1</v>
      </c>
    </row>
    <row r="987" spans="91:102" ht="21" customHeight="1" x14ac:dyDescent="0.25">
      <c r="CM987" s="102"/>
      <c r="CN987" s="112" t="s">
        <v>2769</v>
      </c>
      <c r="CO987" s="112" t="s">
        <v>541</v>
      </c>
      <c r="CP987" s="112" t="s">
        <v>523</v>
      </c>
      <c r="CQ987" s="112" t="s">
        <v>2770</v>
      </c>
      <c r="CR987" s="112" t="s">
        <v>2770</v>
      </c>
      <c r="CS987" s="112" t="s">
        <v>1168</v>
      </c>
      <c r="CT987" s="112" t="s">
        <v>1169</v>
      </c>
      <c r="CU987" s="112" t="s">
        <v>1664</v>
      </c>
      <c r="CV987" s="113" t="s">
        <v>1665</v>
      </c>
      <c r="CX987" s="36">
        <v>1</v>
      </c>
    </row>
    <row r="988" spans="91:102" ht="21" customHeight="1" x14ac:dyDescent="0.25">
      <c r="CM988" s="102"/>
      <c r="CN988" s="112" t="s">
        <v>2771</v>
      </c>
      <c r="CO988" s="112" t="s">
        <v>541</v>
      </c>
      <c r="CP988" s="112" t="s">
        <v>523</v>
      </c>
      <c r="CQ988" s="112" t="s">
        <v>2772</v>
      </c>
      <c r="CR988" s="112" t="s">
        <v>2772</v>
      </c>
      <c r="CS988" s="112" t="s">
        <v>1168</v>
      </c>
      <c r="CT988" s="112" t="s">
        <v>1169</v>
      </c>
      <c r="CU988" s="112" t="s">
        <v>1664</v>
      </c>
      <c r="CV988" s="113" t="s">
        <v>1665</v>
      </c>
      <c r="CX988" s="36">
        <v>1</v>
      </c>
    </row>
    <row r="989" spans="91:102" ht="21" customHeight="1" x14ac:dyDescent="0.25">
      <c r="CM989" s="102"/>
      <c r="CN989" s="112" t="s">
        <v>2773</v>
      </c>
      <c r="CO989" s="112" t="s">
        <v>541</v>
      </c>
      <c r="CP989" s="112" t="s">
        <v>523</v>
      </c>
      <c r="CQ989" s="112" t="s">
        <v>2774</v>
      </c>
      <c r="CR989" s="112" t="s">
        <v>2774</v>
      </c>
      <c r="CS989" s="112" t="s">
        <v>1168</v>
      </c>
      <c r="CT989" s="112" t="s">
        <v>1169</v>
      </c>
      <c r="CU989" s="112" t="s">
        <v>1664</v>
      </c>
      <c r="CV989" s="113" t="s">
        <v>1665</v>
      </c>
      <c r="CX989" s="36">
        <v>1</v>
      </c>
    </row>
    <row r="990" spans="91:102" ht="21" customHeight="1" x14ac:dyDescent="0.25">
      <c r="CM990" s="102"/>
      <c r="CN990" s="112" t="s">
        <v>2775</v>
      </c>
      <c r="CO990" s="112" t="s">
        <v>541</v>
      </c>
      <c r="CP990" s="112" t="s">
        <v>523</v>
      </c>
      <c r="CQ990" s="112" t="s">
        <v>2776</v>
      </c>
      <c r="CR990" s="112" t="s">
        <v>2776</v>
      </c>
      <c r="CS990" s="112" t="s">
        <v>1168</v>
      </c>
      <c r="CT990" s="112" t="s">
        <v>1169</v>
      </c>
      <c r="CU990" s="112" t="s">
        <v>1664</v>
      </c>
      <c r="CV990" s="113" t="s">
        <v>1665</v>
      </c>
      <c r="CX990" s="36">
        <v>1</v>
      </c>
    </row>
    <row r="991" spans="91:102" ht="21" customHeight="1" x14ac:dyDescent="0.25">
      <c r="CM991" s="102"/>
      <c r="CN991" s="112" t="s">
        <v>2777</v>
      </c>
      <c r="CO991" s="112" t="s">
        <v>541</v>
      </c>
      <c r="CP991" s="112" t="s">
        <v>523</v>
      </c>
      <c r="CQ991" s="112" t="s">
        <v>2778</v>
      </c>
      <c r="CR991" s="112" t="s">
        <v>2778</v>
      </c>
      <c r="CS991" s="112" t="s">
        <v>1168</v>
      </c>
      <c r="CT991" s="112" t="s">
        <v>1169</v>
      </c>
      <c r="CU991" s="112" t="s">
        <v>1664</v>
      </c>
      <c r="CV991" s="113" t="s">
        <v>1665</v>
      </c>
      <c r="CX991" s="36">
        <v>1</v>
      </c>
    </row>
    <row r="992" spans="91:102" ht="21" customHeight="1" x14ac:dyDescent="0.25">
      <c r="CM992" s="102"/>
      <c r="CN992" s="112" t="s">
        <v>2779</v>
      </c>
      <c r="CO992" s="112" t="s">
        <v>541</v>
      </c>
      <c r="CP992" s="112" t="s">
        <v>523</v>
      </c>
      <c r="CQ992" s="112" t="s">
        <v>2780</v>
      </c>
      <c r="CR992" s="112" t="s">
        <v>2780</v>
      </c>
      <c r="CS992" s="112" t="s">
        <v>1168</v>
      </c>
      <c r="CT992" s="112" t="s">
        <v>1169</v>
      </c>
      <c r="CU992" s="112" t="s">
        <v>1664</v>
      </c>
      <c r="CV992" s="113" t="s">
        <v>1665</v>
      </c>
      <c r="CX992" s="36">
        <v>1</v>
      </c>
    </row>
    <row r="993" spans="91:102" ht="21" customHeight="1" x14ac:dyDescent="0.25">
      <c r="CM993" s="102"/>
      <c r="CN993" s="112" t="s">
        <v>2781</v>
      </c>
      <c r="CO993" s="112" t="s">
        <v>541</v>
      </c>
      <c r="CP993" s="112" t="s">
        <v>523</v>
      </c>
      <c r="CQ993" s="112" t="s">
        <v>2782</v>
      </c>
      <c r="CR993" s="112" t="s">
        <v>2782</v>
      </c>
      <c r="CS993" s="112" t="s">
        <v>1168</v>
      </c>
      <c r="CT993" s="112" t="s">
        <v>1169</v>
      </c>
      <c r="CU993" s="112" t="s">
        <v>1664</v>
      </c>
      <c r="CV993" s="113" t="s">
        <v>1665</v>
      </c>
      <c r="CX993" s="36">
        <v>1</v>
      </c>
    </row>
    <row r="994" spans="91:102" ht="21" customHeight="1" x14ac:dyDescent="0.25">
      <c r="CM994" s="102"/>
      <c r="CN994" s="112" t="s">
        <v>2783</v>
      </c>
      <c r="CO994" s="112" t="s">
        <v>541</v>
      </c>
      <c r="CP994" s="112" t="s">
        <v>523</v>
      </c>
      <c r="CQ994" s="112" t="s">
        <v>2784</v>
      </c>
      <c r="CR994" s="112" t="s">
        <v>2784</v>
      </c>
      <c r="CS994" s="112" t="s">
        <v>1168</v>
      </c>
      <c r="CT994" s="112" t="s">
        <v>1169</v>
      </c>
      <c r="CU994" s="112" t="s">
        <v>1664</v>
      </c>
      <c r="CV994" s="113" t="s">
        <v>1665</v>
      </c>
      <c r="CX994" s="36">
        <v>1</v>
      </c>
    </row>
    <row r="995" spans="91:102" ht="21" customHeight="1" x14ac:dyDescent="0.25">
      <c r="CM995" s="102"/>
      <c r="CN995" s="112" t="s">
        <v>2785</v>
      </c>
      <c r="CO995" s="112" t="s">
        <v>541</v>
      </c>
      <c r="CP995" s="112" t="s">
        <v>523</v>
      </c>
      <c r="CQ995" s="112" t="s">
        <v>2786</v>
      </c>
      <c r="CR995" s="112" t="s">
        <v>2786</v>
      </c>
      <c r="CS995" s="112" t="s">
        <v>525</v>
      </c>
      <c r="CT995" s="112" t="s">
        <v>1747</v>
      </c>
      <c r="CU995" s="112" t="s">
        <v>527</v>
      </c>
      <c r="CV995" s="113" t="s">
        <v>528</v>
      </c>
      <c r="CX995" s="36">
        <v>1</v>
      </c>
    </row>
    <row r="996" spans="91:102" ht="21" customHeight="1" x14ac:dyDescent="0.25">
      <c r="CM996" s="102"/>
      <c r="CN996" s="112" t="s">
        <v>2787</v>
      </c>
      <c r="CO996" s="112" t="s">
        <v>541</v>
      </c>
      <c r="CP996" s="112" t="s">
        <v>523</v>
      </c>
      <c r="CQ996" s="112" t="s">
        <v>2788</v>
      </c>
      <c r="CR996" s="112" t="s">
        <v>2788</v>
      </c>
      <c r="CS996" s="112" t="s">
        <v>1168</v>
      </c>
      <c r="CT996" s="112" t="s">
        <v>1169</v>
      </c>
      <c r="CU996" s="112" t="s">
        <v>1664</v>
      </c>
      <c r="CV996" s="113" t="s">
        <v>1665</v>
      </c>
      <c r="CX996" s="36">
        <v>1</v>
      </c>
    </row>
    <row r="997" spans="91:102" ht="21" customHeight="1" x14ac:dyDescent="0.25">
      <c r="CM997" s="102"/>
      <c r="CN997" s="112" t="s">
        <v>2789</v>
      </c>
      <c r="CO997" s="112" t="s">
        <v>541</v>
      </c>
      <c r="CP997" s="112" t="s">
        <v>523</v>
      </c>
      <c r="CQ997" s="112" t="s">
        <v>2790</v>
      </c>
      <c r="CR997" s="112" t="s">
        <v>2790</v>
      </c>
      <c r="CS997" s="112" t="s">
        <v>1168</v>
      </c>
      <c r="CT997" s="112" t="s">
        <v>1169</v>
      </c>
      <c r="CU997" s="112" t="s">
        <v>1664</v>
      </c>
      <c r="CV997" s="113" t="s">
        <v>1665</v>
      </c>
      <c r="CX997" s="36">
        <v>1</v>
      </c>
    </row>
    <row r="998" spans="91:102" ht="21" customHeight="1" x14ac:dyDescent="0.25">
      <c r="CM998" s="102"/>
      <c r="CN998" s="112" t="s">
        <v>2791</v>
      </c>
      <c r="CO998" s="112" t="s">
        <v>541</v>
      </c>
      <c r="CP998" s="112" t="s">
        <v>523</v>
      </c>
      <c r="CQ998" s="112" t="s">
        <v>2792</v>
      </c>
      <c r="CR998" s="112" t="s">
        <v>2792</v>
      </c>
      <c r="CS998" s="112" t="s">
        <v>1168</v>
      </c>
      <c r="CT998" s="112" t="s">
        <v>1169</v>
      </c>
      <c r="CU998" s="112" t="s">
        <v>1664</v>
      </c>
      <c r="CV998" s="113" t="s">
        <v>1665</v>
      </c>
      <c r="CX998" s="36">
        <v>1</v>
      </c>
    </row>
    <row r="999" spans="91:102" ht="21" customHeight="1" x14ac:dyDescent="0.25">
      <c r="CM999" s="102"/>
      <c r="CN999" s="112" t="s">
        <v>2793</v>
      </c>
      <c r="CO999" s="112" t="s">
        <v>541</v>
      </c>
      <c r="CP999" s="112" t="s">
        <v>523</v>
      </c>
      <c r="CQ999" s="112" t="s">
        <v>2794</v>
      </c>
      <c r="CR999" s="112" t="s">
        <v>2794</v>
      </c>
      <c r="CS999" s="112" t="s">
        <v>1168</v>
      </c>
      <c r="CT999" s="112" t="s">
        <v>1169</v>
      </c>
      <c r="CU999" s="112" t="s">
        <v>1664</v>
      </c>
      <c r="CV999" s="113" t="s">
        <v>1665</v>
      </c>
      <c r="CX999" s="36">
        <v>1</v>
      </c>
    </row>
    <row r="1000" spans="91:102" ht="21" customHeight="1" x14ac:dyDescent="0.25">
      <c r="CM1000" s="102"/>
      <c r="CN1000" s="112" t="s">
        <v>2795</v>
      </c>
      <c r="CO1000" s="112" t="s">
        <v>541</v>
      </c>
      <c r="CP1000" s="112" t="s">
        <v>523</v>
      </c>
      <c r="CQ1000" s="112" t="s">
        <v>2796</v>
      </c>
      <c r="CR1000" s="112" t="s">
        <v>2796</v>
      </c>
      <c r="CS1000" s="112" t="s">
        <v>1168</v>
      </c>
      <c r="CT1000" s="112" t="s">
        <v>1169</v>
      </c>
      <c r="CU1000" s="112" t="s">
        <v>1664</v>
      </c>
      <c r="CV1000" s="113" t="s">
        <v>1665</v>
      </c>
      <c r="CX1000" s="36">
        <v>1</v>
      </c>
    </row>
    <row r="1001" spans="91:102" ht="21" customHeight="1" x14ac:dyDescent="0.25">
      <c r="CM1001" s="102"/>
      <c r="CN1001" s="112" t="s">
        <v>2797</v>
      </c>
      <c r="CO1001" s="112" t="s">
        <v>541</v>
      </c>
      <c r="CP1001" s="112" t="s">
        <v>523</v>
      </c>
      <c r="CQ1001" s="112" t="s">
        <v>2798</v>
      </c>
      <c r="CR1001" s="112" t="s">
        <v>2798</v>
      </c>
      <c r="CS1001" s="112" t="s">
        <v>525</v>
      </c>
      <c r="CT1001" s="112" t="s">
        <v>1747</v>
      </c>
      <c r="CU1001" s="112" t="s">
        <v>527</v>
      </c>
      <c r="CV1001" s="113" t="s">
        <v>528</v>
      </c>
      <c r="CX1001" s="36">
        <v>1</v>
      </c>
    </row>
    <row r="1002" spans="91:102" ht="21" customHeight="1" x14ac:dyDescent="0.25">
      <c r="CM1002" s="102"/>
      <c r="CN1002" s="112" t="s">
        <v>2799</v>
      </c>
      <c r="CO1002" s="112" t="s">
        <v>541</v>
      </c>
      <c r="CP1002" s="112" t="s">
        <v>523</v>
      </c>
      <c r="CQ1002" s="112" t="s">
        <v>2800</v>
      </c>
      <c r="CR1002" s="112" t="s">
        <v>2801</v>
      </c>
      <c r="CS1002" s="112" t="s">
        <v>525</v>
      </c>
      <c r="CT1002" s="112" t="s">
        <v>1747</v>
      </c>
      <c r="CU1002" s="112" t="s">
        <v>527</v>
      </c>
      <c r="CV1002" s="113" t="s">
        <v>528</v>
      </c>
      <c r="CX1002" s="36">
        <v>1</v>
      </c>
    </row>
    <row r="1003" spans="91:102" ht="21" customHeight="1" x14ac:dyDescent="0.25">
      <c r="CM1003" s="102"/>
      <c r="CN1003" s="112" t="s">
        <v>2802</v>
      </c>
      <c r="CO1003" s="112" t="s">
        <v>541</v>
      </c>
      <c r="CP1003" s="112" t="s">
        <v>523</v>
      </c>
      <c r="CQ1003" s="112" t="s">
        <v>2803</v>
      </c>
      <c r="CR1003" s="112" t="s">
        <v>2804</v>
      </c>
      <c r="CS1003" s="112" t="s">
        <v>525</v>
      </c>
      <c r="CT1003" s="112" t="s">
        <v>1747</v>
      </c>
      <c r="CU1003" s="112" t="s">
        <v>527</v>
      </c>
      <c r="CV1003" s="113" t="s">
        <v>528</v>
      </c>
      <c r="CX1003" s="36">
        <v>1</v>
      </c>
    </row>
    <row r="1004" spans="91:102" ht="21" customHeight="1" x14ac:dyDescent="0.25">
      <c r="CM1004" s="102"/>
      <c r="CN1004" s="112" t="s">
        <v>2805</v>
      </c>
      <c r="CO1004" s="112" t="s">
        <v>541</v>
      </c>
      <c r="CP1004" s="112" t="s">
        <v>523</v>
      </c>
      <c r="CQ1004" s="112" t="s">
        <v>2806</v>
      </c>
      <c r="CR1004" s="112" t="s">
        <v>2807</v>
      </c>
      <c r="CS1004" s="112" t="s">
        <v>525</v>
      </c>
      <c r="CT1004" s="112" t="s">
        <v>1747</v>
      </c>
      <c r="CU1004" s="112" t="s">
        <v>527</v>
      </c>
      <c r="CV1004" s="113" t="s">
        <v>528</v>
      </c>
      <c r="CX1004" s="36">
        <v>1</v>
      </c>
    </row>
    <row r="1005" spans="91:102" ht="21" customHeight="1" x14ac:dyDescent="0.25">
      <c r="CM1005" s="102"/>
      <c r="CN1005" s="112" t="s">
        <v>2808</v>
      </c>
      <c r="CO1005" s="112" t="s">
        <v>541</v>
      </c>
      <c r="CP1005" s="112" t="s">
        <v>523</v>
      </c>
      <c r="CQ1005" s="112" t="s">
        <v>2809</v>
      </c>
      <c r="CR1005" s="112" t="s">
        <v>2810</v>
      </c>
      <c r="CS1005" s="112" t="s">
        <v>525</v>
      </c>
      <c r="CT1005" s="112" t="s">
        <v>1747</v>
      </c>
      <c r="CU1005" s="112" t="s">
        <v>527</v>
      </c>
      <c r="CV1005" s="113" t="s">
        <v>528</v>
      </c>
      <c r="CX1005" s="36">
        <v>1</v>
      </c>
    </row>
    <row r="1006" spans="91:102" ht="21" customHeight="1" x14ac:dyDescent="0.25">
      <c r="CM1006" s="102"/>
      <c r="CN1006" s="112" t="s">
        <v>2811</v>
      </c>
      <c r="CO1006" s="112" t="s">
        <v>541</v>
      </c>
      <c r="CP1006" s="112" t="s">
        <v>523</v>
      </c>
      <c r="CQ1006" s="112" t="s">
        <v>2812</v>
      </c>
      <c r="CR1006" s="112" t="s">
        <v>2812</v>
      </c>
      <c r="CS1006" s="112" t="s">
        <v>1168</v>
      </c>
      <c r="CT1006" s="112" t="s">
        <v>1169</v>
      </c>
      <c r="CU1006" s="112" t="s">
        <v>1664</v>
      </c>
      <c r="CV1006" s="113" t="s">
        <v>1665</v>
      </c>
      <c r="CX1006" s="36">
        <v>1</v>
      </c>
    </row>
    <row r="1007" spans="91:102" ht="21" customHeight="1" x14ac:dyDescent="0.25">
      <c r="CM1007" s="102"/>
      <c r="CN1007" s="112" t="s">
        <v>2813</v>
      </c>
      <c r="CO1007" s="112" t="s">
        <v>541</v>
      </c>
      <c r="CP1007" s="112" t="s">
        <v>523</v>
      </c>
      <c r="CQ1007" s="112" t="s">
        <v>2814</v>
      </c>
      <c r="CR1007" s="112" t="s">
        <v>2814</v>
      </c>
      <c r="CS1007" s="112" t="s">
        <v>1168</v>
      </c>
      <c r="CT1007" s="112" t="s">
        <v>1169</v>
      </c>
      <c r="CU1007" s="112" t="s">
        <v>1664</v>
      </c>
      <c r="CV1007" s="113" t="s">
        <v>1665</v>
      </c>
      <c r="CX1007" s="36">
        <v>1</v>
      </c>
    </row>
    <row r="1008" spans="91:102" ht="21" customHeight="1" x14ac:dyDescent="0.25">
      <c r="CM1008" s="102"/>
      <c r="CN1008" s="112" t="s">
        <v>2815</v>
      </c>
      <c r="CO1008" s="112" t="s">
        <v>541</v>
      </c>
      <c r="CP1008" s="112" t="s">
        <v>523</v>
      </c>
      <c r="CQ1008" s="112" t="s">
        <v>2816</v>
      </c>
      <c r="CR1008" s="112" t="s">
        <v>2816</v>
      </c>
      <c r="CS1008" s="112" t="s">
        <v>1168</v>
      </c>
      <c r="CT1008" s="112" t="s">
        <v>1169</v>
      </c>
      <c r="CU1008" s="112" t="s">
        <v>1664</v>
      </c>
      <c r="CV1008" s="113" t="s">
        <v>1665</v>
      </c>
      <c r="CX1008" s="36">
        <v>1</v>
      </c>
    </row>
    <row r="1009" spans="91:102" ht="21" customHeight="1" x14ac:dyDescent="0.25">
      <c r="CM1009" s="102"/>
      <c r="CN1009" s="112" t="s">
        <v>2817</v>
      </c>
      <c r="CO1009" s="112" t="s">
        <v>541</v>
      </c>
      <c r="CP1009" s="112" t="s">
        <v>523</v>
      </c>
      <c r="CQ1009" s="112" t="s">
        <v>2818</v>
      </c>
      <c r="CR1009" s="112" t="s">
        <v>2818</v>
      </c>
      <c r="CS1009" s="112" t="s">
        <v>1168</v>
      </c>
      <c r="CT1009" s="112" t="s">
        <v>1169</v>
      </c>
      <c r="CU1009" s="112" t="s">
        <v>1664</v>
      </c>
      <c r="CV1009" s="113" t="s">
        <v>1665</v>
      </c>
      <c r="CX1009" s="36">
        <v>1</v>
      </c>
    </row>
    <row r="1010" spans="91:102" ht="21" customHeight="1" x14ac:dyDescent="0.25">
      <c r="CM1010" s="102"/>
      <c r="CN1010" s="112" t="s">
        <v>2819</v>
      </c>
      <c r="CO1010" s="112" t="s">
        <v>541</v>
      </c>
      <c r="CP1010" s="112" t="s">
        <v>523</v>
      </c>
      <c r="CQ1010" s="112" t="s">
        <v>2820</v>
      </c>
      <c r="CR1010" s="112" t="s">
        <v>2820</v>
      </c>
      <c r="CS1010" s="112" t="s">
        <v>1168</v>
      </c>
      <c r="CT1010" s="112" t="s">
        <v>1169</v>
      </c>
      <c r="CU1010" s="112" t="s">
        <v>1664</v>
      </c>
      <c r="CV1010" s="113" t="s">
        <v>1665</v>
      </c>
      <c r="CX1010" s="36">
        <v>1</v>
      </c>
    </row>
    <row r="1011" spans="91:102" ht="21" customHeight="1" x14ac:dyDescent="0.25">
      <c r="CM1011" s="102"/>
      <c r="CN1011" s="112" t="s">
        <v>2821</v>
      </c>
      <c r="CO1011" s="112" t="s">
        <v>541</v>
      </c>
      <c r="CP1011" s="112" t="s">
        <v>523</v>
      </c>
      <c r="CQ1011" s="112" t="s">
        <v>2822</v>
      </c>
      <c r="CR1011" s="112" t="s">
        <v>2822</v>
      </c>
      <c r="CS1011" s="112" t="s">
        <v>1168</v>
      </c>
      <c r="CT1011" s="112" t="s">
        <v>1169</v>
      </c>
      <c r="CU1011" s="112" t="s">
        <v>1664</v>
      </c>
      <c r="CV1011" s="113" t="s">
        <v>1665</v>
      </c>
      <c r="CX1011" s="36">
        <v>1</v>
      </c>
    </row>
    <row r="1012" spans="91:102" ht="21" customHeight="1" x14ac:dyDescent="0.25">
      <c r="CM1012" s="102"/>
      <c r="CN1012" s="112" t="s">
        <v>2823</v>
      </c>
      <c r="CO1012" s="112" t="s">
        <v>541</v>
      </c>
      <c r="CP1012" s="112" t="s">
        <v>523</v>
      </c>
      <c r="CQ1012" s="112" t="s">
        <v>2824</v>
      </c>
      <c r="CR1012" s="112" t="s">
        <v>2824</v>
      </c>
      <c r="CS1012" s="112" t="s">
        <v>1168</v>
      </c>
      <c r="CT1012" s="112" t="s">
        <v>1169</v>
      </c>
      <c r="CU1012" s="112" t="s">
        <v>1664</v>
      </c>
      <c r="CV1012" s="113" t="s">
        <v>1665</v>
      </c>
      <c r="CX1012" s="36">
        <v>1</v>
      </c>
    </row>
    <row r="1013" spans="91:102" ht="21" customHeight="1" x14ac:dyDescent="0.25">
      <c r="CM1013" s="102"/>
      <c r="CN1013" s="112" t="s">
        <v>2825</v>
      </c>
      <c r="CO1013" s="112" t="s">
        <v>541</v>
      </c>
      <c r="CP1013" s="112" t="s">
        <v>523</v>
      </c>
      <c r="CQ1013" s="112" t="s">
        <v>2826</v>
      </c>
      <c r="CR1013" s="112" t="s">
        <v>2826</v>
      </c>
      <c r="CS1013" s="112" t="s">
        <v>1168</v>
      </c>
      <c r="CT1013" s="112" t="s">
        <v>1169</v>
      </c>
      <c r="CU1013" s="112" t="s">
        <v>1664</v>
      </c>
      <c r="CV1013" s="113" t="s">
        <v>1665</v>
      </c>
      <c r="CX1013" s="36">
        <v>1</v>
      </c>
    </row>
    <row r="1014" spans="91:102" ht="21" customHeight="1" x14ac:dyDescent="0.25">
      <c r="CM1014" s="102"/>
      <c r="CN1014" s="112" t="s">
        <v>2827</v>
      </c>
      <c r="CO1014" s="112" t="s">
        <v>541</v>
      </c>
      <c r="CP1014" s="112" t="s">
        <v>523</v>
      </c>
      <c r="CQ1014" s="112" t="s">
        <v>2828</v>
      </c>
      <c r="CR1014" s="112" t="s">
        <v>2828</v>
      </c>
      <c r="CS1014" s="112" t="s">
        <v>1168</v>
      </c>
      <c r="CT1014" s="112" t="s">
        <v>1169</v>
      </c>
      <c r="CU1014" s="112" t="s">
        <v>1664</v>
      </c>
      <c r="CV1014" s="113" t="s">
        <v>1665</v>
      </c>
      <c r="CX1014" s="36">
        <v>1</v>
      </c>
    </row>
    <row r="1015" spans="91:102" ht="21" customHeight="1" x14ac:dyDescent="0.25">
      <c r="CM1015" s="102"/>
      <c r="CN1015" s="112" t="s">
        <v>2829</v>
      </c>
      <c r="CO1015" s="112" t="s">
        <v>541</v>
      </c>
      <c r="CP1015" s="112" t="s">
        <v>523</v>
      </c>
      <c r="CQ1015" s="112" t="s">
        <v>2830</v>
      </c>
      <c r="CR1015" s="112" t="s">
        <v>2830</v>
      </c>
      <c r="CS1015" s="112" t="s">
        <v>1168</v>
      </c>
      <c r="CT1015" s="112" t="s">
        <v>1169</v>
      </c>
      <c r="CU1015" s="112" t="s">
        <v>1664</v>
      </c>
      <c r="CV1015" s="113" t="s">
        <v>1665</v>
      </c>
      <c r="CX1015" s="36">
        <v>1</v>
      </c>
    </row>
    <row r="1016" spans="91:102" ht="21" customHeight="1" x14ac:dyDescent="0.25">
      <c r="CM1016" s="102"/>
      <c r="CN1016" s="112" t="s">
        <v>2831</v>
      </c>
      <c r="CO1016" s="112" t="s">
        <v>541</v>
      </c>
      <c r="CP1016" s="112" t="s">
        <v>523</v>
      </c>
      <c r="CQ1016" s="112" t="s">
        <v>2832</v>
      </c>
      <c r="CR1016" s="112" t="s">
        <v>2832</v>
      </c>
      <c r="CS1016" s="112" t="s">
        <v>1168</v>
      </c>
      <c r="CT1016" s="112" t="s">
        <v>1169</v>
      </c>
      <c r="CU1016" s="112" t="s">
        <v>1664</v>
      </c>
      <c r="CV1016" s="113" t="s">
        <v>1665</v>
      </c>
      <c r="CX1016" s="36">
        <v>1</v>
      </c>
    </row>
    <row r="1017" spans="91:102" ht="21" customHeight="1" x14ac:dyDescent="0.25">
      <c r="CM1017" s="102"/>
      <c r="CN1017" s="112" t="s">
        <v>2833</v>
      </c>
      <c r="CO1017" s="112" t="s">
        <v>541</v>
      </c>
      <c r="CP1017" s="112" t="s">
        <v>523</v>
      </c>
      <c r="CQ1017" s="112" t="s">
        <v>2834</v>
      </c>
      <c r="CR1017" s="112" t="s">
        <v>2834</v>
      </c>
      <c r="CS1017" s="112" t="s">
        <v>1168</v>
      </c>
      <c r="CT1017" s="112" t="s">
        <v>1169</v>
      </c>
      <c r="CU1017" s="112" t="s">
        <v>1664</v>
      </c>
      <c r="CV1017" s="113" t="s">
        <v>1665</v>
      </c>
      <c r="CX1017" s="36">
        <v>1</v>
      </c>
    </row>
    <row r="1018" spans="91:102" ht="21" customHeight="1" x14ac:dyDescent="0.25">
      <c r="CM1018" s="102"/>
      <c r="CN1018" s="112" t="s">
        <v>2835</v>
      </c>
      <c r="CO1018" s="112" t="s">
        <v>541</v>
      </c>
      <c r="CP1018" s="112" t="s">
        <v>523</v>
      </c>
      <c r="CQ1018" s="112" t="s">
        <v>2836</v>
      </c>
      <c r="CR1018" s="112" t="s">
        <v>2836</v>
      </c>
      <c r="CS1018" s="112" t="s">
        <v>1168</v>
      </c>
      <c r="CT1018" s="112" t="s">
        <v>1169</v>
      </c>
      <c r="CU1018" s="112" t="s">
        <v>1664</v>
      </c>
      <c r="CV1018" s="113" t="s">
        <v>1665</v>
      </c>
      <c r="CX1018" s="36">
        <v>1</v>
      </c>
    </row>
    <row r="1019" spans="91:102" ht="21" customHeight="1" x14ac:dyDescent="0.25">
      <c r="CM1019" s="102"/>
      <c r="CN1019" s="112" t="s">
        <v>2837</v>
      </c>
      <c r="CO1019" s="112" t="s">
        <v>541</v>
      </c>
      <c r="CP1019" s="112" t="s">
        <v>523</v>
      </c>
      <c r="CQ1019" s="112" t="s">
        <v>2838</v>
      </c>
      <c r="CR1019" s="112" t="s">
        <v>2838</v>
      </c>
      <c r="CS1019" s="112" t="s">
        <v>1168</v>
      </c>
      <c r="CT1019" s="112" t="s">
        <v>1169</v>
      </c>
      <c r="CU1019" s="112" t="s">
        <v>1664</v>
      </c>
      <c r="CV1019" s="113" t="s">
        <v>1665</v>
      </c>
      <c r="CX1019" s="36">
        <v>1</v>
      </c>
    </row>
    <row r="1020" spans="91:102" ht="21" customHeight="1" x14ac:dyDescent="0.25">
      <c r="CM1020" s="102"/>
      <c r="CN1020" s="112" t="s">
        <v>2839</v>
      </c>
      <c r="CO1020" s="112" t="s">
        <v>541</v>
      </c>
      <c r="CP1020" s="112" t="s">
        <v>523</v>
      </c>
      <c r="CQ1020" s="112" t="s">
        <v>2840</v>
      </c>
      <c r="CR1020" s="112" t="s">
        <v>2840</v>
      </c>
      <c r="CS1020" s="112" t="s">
        <v>1168</v>
      </c>
      <c r="CT1020" s="112" t="s">
        <v>1169</v>
      </c>
      <c r="CU1020" s="112" t="s">
        <v>1664</v>
      </c>
      <c r="CV1020" s="113" t="s">
        <v>1665</v>
      </c>
      <c r="CX1020" s="36">
        <v>1</v>
      </c>
    </row>
    <row r="1021" spans="91:102" ht="21" customHeight="1" x14ac:dyDescent="0.25">
      <c r="CM1021" s="102"/>
      <c r="CN1021" s="112" t="s">
        <v>2841</v>
      </c>
      <c r="CO1021" s="112" t="s">
        <v>541</v>
      </c>
      <c r="CP1021" s="112" t="s">
        <v>523</v>
      </c>
      <c r="CQ1021" s="112" t="s">
        <v>2842</v>
      </c>
      <c r="CR1021" s="112" t="s">
        <v>2842</v>
      </c>
      <c r="CS1021" s="112" t="s">
        <v>1168</v>
      </c>
      <c r="CT1021" s="112" t="s">
        <v>1169</v>
      </c>
      <c r="CU1021" s="112" t="s">
        <v>1664</v>
      </c>
      <c r="CV1021" s="113" t="s">
        <v>1665</v>
      </c>
      <c r="CX1021" s="36">
        <v>1</v>
      </c>
    </row>
    <row r="1022" spans="91:102" ht="21" customHeight="1" x14ac:dyDescent="0.25">
      <c r="CM1022" s="102"/>
      <c r="CN1022" s="112" t="s">
        <v>2843</v>
      </c>
      <c r="CO1022" s="112" t="s">
        <v>541</v>
      </c>
      <c r="CP1022" s="112" t="s">
        <v>523</v>
      </c>
      <c r="CQ1022" s="112" t="s">
        <v>2844</v>
      </c>
      <c r="CR1022" s="112" t="s">
        <v>2844</v>
      </c>
      <c r="CS1022" s="112" t="s">
        <v>1168</v>
      </c>
      <c r="CT1022" s="112" t="s">
        <v>1169</v>
      </c>
      <c r="CU1022" s="112" t="s">
        <v>1664</v>
      </c>
      <c r="CV1022" s="113" t="s">
        <v>1665</v>
      </c>
      <c r="CX1022" s="36">
        <v>1</v>
      </c>
    </row>
    <row r="1023" spans="91:102" ht="21" customHeight="1" x14ac:dyDescent="0.25">
      <c r="CM1023" s="102"/>
      <c r="CN1023" s="112" t="s">
        <v>2845</v>
      </c>
      <c r="CO1023" s="112" t="s">
        <v>541</v>
      </c>
      <c r="CP1023" s="112" t="s">
        <v>523</v>
      </c>
      <c r="CQ1023" s="112" t="s">
        <v>2846</v>
      </c>
      <c r="CR1023" s="112" t="s">
        <v>2846</v>
      </c>
      <c r="CS1023" s="112" t="s">
        <v>1168</v>
      </c>
      <c r="CT1023" s="112" t="s">
        <v>1169</v>
      </c>
      <c r="CU1023" s="112" t="s">
        <v>1664</v>
      </c>
      <c r="CV1023" s="113" t="s">
        <v>1665</v>
      </c>
      <c r="CX1023" s="36">
        <v>1</v>
      </c>
    </row>
    <row r="1024" spans="91:102" ht="21" customHeight="1" x14ac:dyDescent="0.25">
      <c r="CM1024" s="102"/>
      <c r="CN1024" s="112" t="s">
        <v>2847</v>
      </c>
      <c r="CO1024" s="112" t="s">
        <v>541</v>
      </c>
      <c r="CP1024" s="112" t="s">
        <v>523</v>
      </c>
      <c r="CQ1024" s="112" t="s">
        <v>2848</v>
      </c>
      <c r="CR1024" s="112" t="s">
        <v>2848</v>
      </c>
      <c r="CS1024" s="112" t="s">
        <v>1168</v>
      </c>
      <c r="CT1024" s="112" t="s">
        <v>1169</v>
      </c>
      <c r="CU1024" s="112" t="s">
        <v>1664</v>
      </c>
      <c r="CV1024" s="113" t="s">
        <v>1665</v>
      </c>
      <c r="CX1024" s="36">
        <v>1</v>
      </c>
    </row>
    <row r="1025" spans="91:102" ht="21" customHeight="1" x14ac:dyDescent="0.25">
      <c r="CM1025" s="102"/>
      <c r="CN1025" s="112" t="s">
        <v>2849</v>
      </c>
      <c r="CO1025" s="112" t="s">
        <v>541</v>
      </c>
      <c r="CP1025" s="112" t="s">
        <v>523</v>
      </c>
      <c r="CQ1025" s="112" t="s">
        <v>2850</v>
      </c>
      <c r="CR1025" s="112" t="s">
        <v>2850</v>
      </c>
      <c r="CS1025" s="112" t="s">
        <v>1168</v>
      </c>
      <c r="CT1025" s="112" t="s">
        <v>1169</v>
      </c>
      <c r="CU1025" s="112" t="s">
        <v>1664</v>
      </c>
      <c r="CV1025" s="113" t="s">
        <v>1665</v>
      </c>
      <c r="CX1025" s="36">
        <v>1</v>
      </c>
    </row>
    <row r="1026" spans="91:102" ht="21" customHeight="1" x14ac:dyDescent="0.25">
      <c r="CM1026" s="102"/>
      <c r="CN1026" s="112" t="s">
        <v>2851</v>
      </c>
      <c r="CO1026" s="112" t="s">
        <v>541</v>
      </c>
      <c r="CP1026" s="112" t="s">
        <v>523</v>
      </c>
      <c r="CQ1026" s="112" t="s">
        <v>2852</v>
      </c>
      <c r="CR1026" s="112" t="s">
        <v>2852</v>
      </c>
      <c r="CS1026" s="112" t="s">
        <v>1168</v>
      </c>
      <c r="CT1026" s="112" t="s">
        <v>1169</v>
      </c>
      <c r="CU1026" s="112" t="s">
        <v>1664</v>
      </c>
      <c r="CV1026" s="113" t="s">
        <v>1665</v>
      </c>
      <c r="CX1026" s="36">
        <v>1</v>
      </c>
    </row>
    <row r="1027" spans="91:102" ht="21" customHeight="1" x14ac:dyDescent="0.25">
      <c r="CM1027" s="102"/>
      <c r="CN1027" s="112" t="s">
        <v>2853</v>
      </c>
      <c r="CO1027" s="112" t="s">
        <v>541</v>
      </c>
      <c r="CP1027" s="112" t="s">
        <v>523</v>
      </c>
      <c r="CQ1027" s="112" t="s">
        <v>2854</v>
      </c>
      <c r="CR1027" s="112" t="s">
        <v>2854</v>
      </c>
      <c r="CS1027" s="112" t="s">
        <v>1168</v>
      </c>
      <c r="CT1027" s="112" t="s">
        <v>1169</v>
      </c>
      <c r="CU1027" s="112" t="s">
        <v>1664</v>
      </c>
      <c r="CV1027" s="113" t="s">
        <v>1665</v>
      </c>
      <c r="CX1027" s="36">
        <v>1</v>
      </c>
    </row>
    <row r="1028" spans="91:102" ht="21" customHeight="1" x14ac:dyDescent="0.25">
      <c r="CM1028" s="102"/>
      <c r="CN1028" s="112" t="s">
        <v>2855</v>
      </c>
      <c r="CO1028" s="112" t="s">
        <v>541</v>
      </c>
      <c r="CP1028" s="112" t="s">
        <v>523</v>
      </c>
      <c r="CQ1028" s="112" t="s">
        <v>2856</v>
      </c>
      <c r="CR1028" s="112" t="s">
        <v>2856</v>
      </c>
      <c r="CS1028" s="112" t="s">
        <v>1168</v>
      </c>
      <c r="CT1028" s="112" t="s">
        <v>1169</v>
      </c>
      <c r="CU1028" s="112" t="s">
        <v>1664</v>
      </c>
      <c r="CV1028" s="113" t="s">
        <v>1665</v>
      </c>
      <c r="CX1028" s="36">
        <v>1</v>
      </c>
    </row>
    <row r="1029" spans="91:102" ht="21" customHeight="1" x14ac:dyDescent="0.25">
      <c r="CM1029" s="102"/>
      <c r="CN1029" s="112" t="s">
        <v>2857</v>
      </c>
      <c r="CO1029" s="112" t="s">
        <v>541</v>
      </c>
      <c r="CP1029" s="112" t="s">
        <v>523</v>
      </c>
      <c r="CQ1029" s="112" t="s">
        <v>2858</v>
      </c>
      <c r="CR1029" s="112" t="s">
        <v>2858</v>
      </c>
      <c r="CS1029" s="112" t="s">
        <v>1168</v>
      </c>
      <c r="CT1029" s="112" t="s">
        <v>1169</v>
      </c>
      <c r="CU1029" s="112" t="s">
        <v>1664</v>
      </c>
      <c r="CV1029" s="113" t="s">
        <v>1665</v>
      </c>
      <c r="CX1029" s="36">
        <v>1</v>
      </c>
    </row>
    <row r="1030" spans="91:102" ht="21" customHeight="1" x14ac:dyDescent="0.25">
      <c r="CM1030" s="102"/>
      <c r="CN1030" s="112" t="s">
        <v>2859</v>
      </c>
      <c r="CO1030" s="112" t="s">
        <v>541</v>
      </c>
      <c r="CP1030" s="112" t="s">
        <v>523</v>
      </c>
      <c r="CQ1030" s="112" t="s">
        <v>2860</v>
      </c>
      <c r="CR1030" s="112" t="s">
        <v>2860</v>
      </c>
      <c r="CS1030" s="112" t="s">
        <v>1168</v>
      </c>
      <c r="CT1030" s="112" t="s">
        <v>1169</v>
      </c>
      <c r="CU1030" s="112" t="s">
        <v>1664</v>
      </c>
      <c r="CV1030" s="113" t="s">
        <v>1665</v>
      </c>
      <c r="CX1030" s="36">
        <v>1</v>
      </c>
    </row>
    <row r="1031" spans="91:102" ht="21" customHeight="1" x14ac:dyDescent="0.25">
      <c r="CM1031" s="102"/>
      <c r="CN1031" s="112" t="s">
        <v>2861</v>
      </c>
      <c r="CO1031" s="112" t="s">
        <v>541</v>
      </c>
      <c r="CP1031" s="112" t="s">
        <v>523</v>
      </c>
      <c r="CQ1031" s="112" t="s">
        <v>2862</v>
      </c>
      <c r="CR1031" s="112" t="s">
        <v>2862</v>
      </c>
      <c r="CS1031" s="112" t="s">
        <v>1168</v>
      </c>
      <c r="CT1031" s="112" t="s">
        <v>1169</v>
      </c>
      <c r="CU1031" s="112" t="s">
        <v>1664</v>
      </c>
      <c r="CV1031" s="113" t="s">
        <v>1665</v>
      </c>
      <c r="CX1031" s="36">
        <v>1</v>
      </c>
    </row>
    <row r="1032" spans="91:102" ht="21" customHeight="1" x14ac:dyDescent="0.25">
      <c r="CM1032" s="102"/>
      <c r="CN1032" s="112" t="s">
        <v>2863</v>
      </c>
      <c r="CO1032" s="112" t="s">
        <v>541</v>
      </c>
      <c r="CP1032" s="112" t="s">
        <v>523</v>
      </c>
      <c r="CQ1032" s="112" t="s">
        <v>2864</v>
      </c>
      <c r="CR1032" s="112" t="s">
        <v>2864</v>
      </c>
      <c r="CS1032" s="112" t="s">
        <v>1168</v>
      </c>
      <c r="CT1032" s="112" t="s">
        <v>1169</v>
      </c>
      <c r="CU1032" s="112" t="s">
        <v>1664</v>
      </c>
      <c r="CV1032" s="113" t="s">
        <v>1665</v>
      </c>
      <c r="CX1032" s="36">
        <v>1</v>
      </c>
    </row>
    <row r="1033" spans="91:102" ht="21" customHeight="1" x14ac:dyDescent="0.25">
      <c r="CM1033" s="102"/>
      <c r="CN1033" s="112" t="s">
        <v>2865</v>
      </c>
      <c r="CO1033" s="112" t="s">
        <v>541</v>
      </c>
      <c r="CP1033" s="112" t="s">
        <v>523</v>
      </c>
      <c r="CQ1033" s="112" t="s">
        <v>2866</v>
      </c>
      <c r="CR1033" s="112" t="s">
        <v>2866</v>
      </c>
      <c r="CS1033" s="112" t="s">
        <v>1168</v>
      </c>
      <c r="CT1033" s="112" t="s">
        <v>1169</v>
      </c>
      <c r="CU1033" s="112" t="s">
        <v>1664</v>
      </c>
      <c r="CV1033" s="113" t="s">
        <v>1665</v>
      </c>
      <c r="CX1033" s="36">
        <v>1</v>
      </c>
    </row>
    <row r="1034" spans="91:102" ht="21" customHeight="1" x14ac:dyDescent="0.25">
      <c r="CM1034" s="102"/>
      <c r="CN1034" s="112" t="s">
        <v>2867</v>
      </c>
      <c r="CO1034" s="112" t="s">
        <v>541</v>
      </c>
      <c r="CP1034" s="112" t="s">
        <v>523</v>
      </c>
      <c r="CQ1034" s="112" t="s">
        <v>2868</v>
      </c>
      <c r="CR1034" s="112" t="s">
        <v>2868</v>
      </c>
      <c r="CS1034" s="112" t="s">
        <v>1168</v>
      </c>
      <c r="CT1034" s="112" t="s">
        <v>1169</v>
      </c>
      <c r="CU1034" s="112" t="s">
        <v>1664</v>
      </c>
      <c r="CV1034" s="113" t="s">
        <v>1665</v>
      </c>
      <c r="CX1034" s="36">
        <v>1</v>
      </c>
    </row>
    <row r="1035" spans="91:102" ht="21" customHeight="1" x14ac:dyDescent="0.25">
      <c r="CM1035" s="102"/>
      <c r="CN1035" s="112" t="s">
        <v>2869</v>
      </c>
      <c r="CO1035" s="112" t="s">
        <v>541</v>
      </c>
      <c r="CP1035" s="112" t="s">
        <v>523</v>
      </c>
      <c r="CQ1035" s="112" t="s">
        <v>2870</v>
      </c>
      <c r="CR1035" s="112" t="s">
        <v>2870</v>
      </c>
      <c r="CS1035" s="112" t="s">
        <v>1168</v>
      </c>
      <c r="CT1035" s="112" t="s">
        <v>1169</v>
      </c>
      <c r="CU1035" s="112" t="s">
        <v>1664</v>
      </c>
      <c r="CV1035" s="113" t="s">
        <v>1665</v>
      </c>
      <c r="CX1035" s="36">
        <v>1</v>
      </c>
    </row>
    <row r="1036" spans="91:102" ht="21" customHeight="1" x14ac:dyDescent="0.25">
      <c r="CM1036" s="102"/>
      <c r="CN1036" s="112" t="s">
        <v>2871</v>
      </c>
      <c r="CO1036" s="112" t="s">
        <v>541</v>
      </c>
      <c r="CP1036" s="112" t="s">
        <v>523</v>
      </c>
      <c r="CQ1036" s="112" t="s">
        <v>2872</v>
      </c>
      <c r="CR1036" s="112" t="s">
        <v>2872</v>
      </c>
      <c r="CS1036" s="112" t="s">
        <v>1168</v>
      </c>
      <c r="CT1036" s="112" t="s">
        <v>1169</v>
      </c>
      <c r="CU1036" s="112" t="s">
        <v>1664</v>
      </c>
      <c r="CV1036" s="113" t="s">
        <v>1665</v>
      </c>
      <c r="CX1036" s="36">
        <v>1</v>
      </c>
    </row>
    <row r="1037" spans="91:102" ht="21" customHeight="1" x14ac:dyDescent="0.25">
      <c r="CM1037" s="102"/>
      <c r="CN1037" s="112" t="s">
        <v>2873</v>
      </c>
      <c r="CO1037" s="112" t="s">
        <v>541</v>
      </c>
      <c r="CP1037" s="112" t="s">
        <v>523</v>
      </c>
      <c r="CQ1037" s="112" t="s">
        <v>2874</v>
      </c>
      <c r="CR1037" s="112" t="s">
        <v>2874</v>
      </c>
      <c r="CS1037" s="112" t="s">
        <v>1168</v>
      </c>
      <c r="CT1037" s="112" t="s">
        <v>1169</v>
      </c>
      <c r="CU1037" s="112" t="s">
        <v>1664</v>
      </c>
      <c r="CV1037" s="113" t="s">
        <v>1665</v>
      </c>
      <c r="CX1037" s="36">
        <v>1</v>
      </c>
    </row>
    <row r="1038" spans="91:102" ht="21" customHeight="1" x14ac:dyDescent="0.25">
      <c r="CM1038" s="102"/>
      <c r="CN1038" s="112" t="s">
        <v>2875</v>
      </c>
      <c r="CO1038" s="112" t="s">
        <v>541</v>
      </c>
      <c r="CP1038" s="112" t="s">
        <v>523</v>
      </c>
      <c r="CQ1038" s="112" t="s">
        <v>2876</v>
      </c>
      <c r="CR1038" s="112" t="s">
        <v>2876</v>
      </c>
      <c r="CS1038" s="112" t="s">
        <v>1168</v>
      </c>
      <c r="CT1038" s="112" t="s">
        <v>1169</v>
      </c>
      <c r="CU1038" s="112" t="s">
        <v>1664</v>
      </c>
      <c r="CV1038" s="113" t="s">
        <v>1665</v>
      </c>
      <c r="CX1038" s="36">
        <v>1</v>
      </c>
    </row>
    <row r="1039" spans="91:102" ht="21" customHeight="1" x14ac:dyDescent="0.25">
      <c r="CM1039" s="102"/>
      <c r="CN1039" s="112" t="s">
        <v>2877</v>
      </c>
      <c r="CO1039" s="112" t="s">
        <v>541</v>
      </c>
      <c r="CP1039" s="112" t="s">
        <v>523</v>
      </c>
      <c r="CQ1039" s="112" t="s">
        <v>2878</v>
      </c>
      <c r="CR1039" s="112" t="s">
        <v>2878</v>
      </c>
      <c r="CS1039" s="112" t="s">
        <v>1168</v>
      </c>
      <c r="CT1039" s="112" t="s">
        <v>1169</v>
      </c>
      <c r="CU1039" s="112" t="s">
        <v>1664</v>
      </c>
      <c r="CV1039" s="113" t="s">
        <v>1665</v>
      </c>
      <c r="CX1039" s="36">
        <v>1</v>
      </c>
    </row>
    <row r="1040" spans="91:102" ht="21" customHeight="1" x14ac:dyDescent="0.25">
      <c r="CM1040" s="102"/>
      <c r="CN1040" s="112" t="s">
        <v>2879</v>
      </c>
      <c r="CO1040" s="112" t="s">
        <v>541</v>
      </c>
      <c r="CP1040" s="112" t="s">
        <v>523</v>
      </c>
      <c r="CQ1040" s="112" t="s">
        <v>2880</v>
      </c>
      <c r="CR1040" s="112" t="s">
        <v>2880</v>
      </c>
      <c r="CS1040" s="112" t="s">
        <v>1168</v>
      </c>
      <c r="CT1040" s="112" t="s">
        <v>1169</v>
      </c>
      <c r="CU1040" s="112" t="s">
        <v>1664</v>
      </c>
      <c r="CV1040" s="113" t="s">
        <v>1665</v>
      </c>
      <c r="CX1040" s="36">
        <v>1</v>
      </c>
    </row>
    <row r="1041" spans="91:102" ht="21" customHeight="1" x14ac:dyDescent="0.25">
      <c r="CM1041" s="102"/>
      <c r="CN1041" s="112" t="s">
        <v>2881</v>
      </c>
      <c r="CO1041" s="112" t="s">
        <v>541</v>
      </c>
      <c r="CP1041" s="112" t="s">
        <v>523</v>
      </c>
      <c r="CQ1041" s="112" t="s">
        <v>2882</v>
      </c>
      <c r="CR1041" s="112" t="s">
        <v>2882</v>
      </c>
      <c r="CS1041" s="112" t="s">
        <v>1168</v>
      </c>
      <c r="CT1041" s="112" t="s">
        <v>1169</v>
      </c>
      <c r="CU1041" s="112" t="s">
        <v>1664</v>
      </c>
      <c r="CV1041" s="113" t="s">
        <v>1665</v>
      </c>
      <c r="CX1041" s="36">
        <v>1</v>
      </c>
    </row>
    <row r="1042" spans="91:102" ht="21" customHeight="1" x14ac:dyDescent="0.25">
      <c r="CM1042" s="102"/>
      <c r="CN1042" s="112" t="s">
        <v>2883</v>
      </c>
      <c r="CO1042" s="112" t="s">
        <v>541</v>
      </c>
      <c r="CP1042" s="112" t="s">
        <v>523</v>
      </c>
      <c r="CQ1042" s="112" t="s">
        <v>2884</v>
      </c>
      <c r="CR1042" s="112" t="s">
        <v>2884</v>
      </c>
      <c r="CS1042" s="112" t="s">
        <v>1168</v>
      </c>
      <c r="CT1042" s="112" t="s">
        <v>1169</v>
      </c>
      <c r="CU1042" s="112" t="s">
        <v>1664</v>
      </c>
      <c r="CV1042" s="113" t="s">
        <v>1665</v>
      </c>
      <c r="CX1042" s="36">
        <v>1</v>
      </c>
    </row>
    <row r="1043" spans="91:102" ht="21" customHeight="1" x14ac:dyDescent="0.25">
      <c r="CM1043" s="102"/>
      <c r="CN1043" s="112" t="s">
        <v>2885</v>
      </c>
      <c r="CO1043" s="112" t="s">
        <v>541</v>
      </c>
      <c r="CP1043" s="112" t="s">
        <v>523</v>
      </c>
      <c r="CQ1043" s="112" t="s">
        <v>2886</v>
      </c>
      <c r="CR1043" s="112" t="s">
        <v>2886</v>
      </c>
      <c r="CS1043" s="112" t="s">
        <v>1168</v>
      </c>
      <c r="CT1043" s="112" t="s">
        <v>1169</v>
      </c>
      <c r="CU1043" s="112" t="s">
        <v>1664</v>
      </c>
      <c r="CV1043" s="113" t="s">
        <v>1665</v>
      </c>
      <c r="CX1043" s="36">
        <v>1</v>
      </c>
    </row>
    <row r="1044" spans="91:102" ht="21" customHeight="1" x14ac:dyDescent="0.25">
      <c r="CM1044" s="102"/>
      <c r="CN1044" s="112" t="s">
        <v>2887</v>
      </c>
      <c r="CO1044" s="112" t="s">
        <v>541</v>
      </c>
      <c r="CP1044" s="112" t="s">
        <v>523</v>
      </c>
      <c r="CQ1044" s="112" t="s">
        <v>2888</v>
      </c>
      <c r="CR1044" s="112" t="s">
        <v>2888</v>
      </c>
      <c r="CS1044" s="112" t="s">
        <v>1168</v>
      </c>
      <c r="CT1044" s="112" t="s">
        <v>1169</v>
      </c>
      <c r="CU1044" s="112" t="s">
        <v>1664</v>
      </c>
      <c r="CV1044" s="113" t="s">
        <v>1665</v>
      </c>
      <c r="CX1044" s="36">
        <v>1</v>
      </c>
    </row>
    <row r="1045" spans="91:102" ht="21" customHeight="1" x14ac:dyDescent="0.25">
      <c r="CM1045" s="102"/>
      <c r="CN1045" s="112" t="s">
        <v>2889</v>
      </c>
      <c r="CO1045" s="112" t="s">
        <v>541</v>
      </c>
      <c r="CP1045" s="112" t="s">
        <v>523</v>
      </c>
      <c r="CQ1045" s="112" t="s">
        <v>2890</v>
      </c>
      <c r="CR1045" s="112" t="s">
        <v>2890</v>
      </c>
      <c r="CS1045" s="112" t="s">
        <v>1168</v>
      </c>
      <c r="CT1045" s="112" t="s">
        <v>1169</v>
      </c>
      <c r="CU1045" s="112" t="s">
        <v>1664</v>
      </c>
      <c r="CV1045" s="113" t="s">
        <v>1665</v>
      </c>
      <c r="CX1045" s="36">
        <v>1</v>
      </c>
    </row>
    <row r="1046" spans="91:102" ht="21" customHeight="1" x14ac:dyDescent="0.25">
      <c r="CM1046" s="102"/>
      <c r="CN1046" s="112" t="s">
        <v>2891</v>
      </c>
      <c r="CO1046" s="112" t="s">
        <v>541</v>
      </c>
      <c r="CP1046" s="112" t="s">
        <v>523</v>
      </c>
      <c r="CQ1046" s="112" t="s">
        <v>2892</v>
      </c>
      <c r="CR1046" s="112" t="s">
        <v>2892</v>
      </c>
      <c r="CS1046" s="112" t="s">
        <v>1168</v>
      </c>
      <c r="CT1046" s="112" t="s">
        <v>1169</v>
      </c>
      <c r="CU1046" s="112" t="s">
        <v>1664</v>
      </c>
      <c r="CV1046" s="113" t="s">
        <v>1665</v>
      </c>
      <c r="CX1046" s="36">
        <v>1</v>
      </c>
    </row>
    <row r="1047" spans="91:102" ht="21" customHeight="1" x14ac:dyDescent="0.25">
      <c r="CM1047" s="102"/>
      <c r="CN1047" s="112" t="s">
        <v>2893</v>
      </c>
      <c r="CO1047" s="112" t="s">
        <v>541</v>
      </c>
      <c r="CP1047" s="112" t="s">
        <v>523</v>
      </c>
      <c r="CQ1047" s="112" t="s">
        <v>2894</v>
      </c>
      <c r="CR1047" s="112" t="s">
        <v>2894</v>
      </c>
      <c r="CS1047" s="112" t="s">
        <v>1168</v>
      </c>
      <c r="CT1047" s="112" t="s">
        <v>1169</v>
      </c>
      <c r="CU1047" s="112" t="s">
        <v>1664</v>
      </c>
      <c r="CV1047" s="113" t="s">
        <v>1665</v>
      </c>
      <c r="CX1047" s="36">
        <v>1</v>
      </c>
    </row>
    <row r="1048" spans="91:102" ht="21" customHeight="1" x14ac:dyDescent="0.25">
      <c r="CM1048" s="102"/>
      <c r="CN1048" s="112" t="s">
        <v>2895</v>
      </c>
      <c r="CO1048" s="112" t="s">
        <v>541</v>
      </c>
      <c r="CP1048" s="112" t="s">
        <v>523</v>
      </c>
      <c r="CQ1048" s="112" t="s">
        <v>2896</v>
      </c>
      <c r="CR1048" s="112" t="s">
        <v>2896</v>
      </c>
      <c r="CS1048" s="112" t="s">
        <v>1168</v>
      </c>
      <c r="CT1048" s="112" t="s">
        <v>1169</v>
      </c>
      <c r="CU1048" s="112" t="s">
        <v>1664</v>
      </c>
      <c r="CV1048" s="113" t="s">
        <v>1665</v>
      </c>
      <c r="CX1048" s="36">
        <v>1</v>
      </c>
    </row>
    <row r="1049" spans="91:102" ht="21" customHeight="1" x14ac:dyDescent="0.25">
      <c r="CM1049" s="102"/>
      <c r="CN1049" s="112" t="s">
        <v>2897</v>
      </c>
      <c r="CO1049" s="112" t="s">
        <v>541</v>
      </c>
      <c r="CP1049" s="112" t="s">
        <v>523</v>
      </c>
      <c r="CQ1049" s="112" t="s">
        <v>2898</v>
      </c>
      <c r="CR1049" s="112" t="s">
        <v>2898</v>
      </c>
      <c r="CS1049" s="112" t="s">
        <v>1168</v>
      </c>
      <c r="CT1049" s="112" t="s">
        <v>1169</v>
      </c>
      <c r="CU1049" s="112" t="s">
        <v>1664</v>
      </c>
      <c r="CV1049" s="113" t="s">
        <v>1665</v>
      </c>
      <c r="CX1049" s="36">
        <v>1</v>
      </c>
    </row>
    <row r="1050" spans="91:102" ht="21" customHeight="1" x14ac:dyDescent="0.25">
      <c r="CM1050" s="102"/>
      <c r="CN1050" s="112" t="s">
        <v>2899</v>
      </c>
      <c r="CO1050" s="112" t="s">
        <v>541</v>
      </c>
      <c r="CP1050" s="112" t="s">
        <v>523</v>
      </c>
      <c r="CQ1050" s="112" t="s">
        <v>2900</v>
      </c>
      <c r="CR1050" s="112" t="s">
        <v>2900</v>
      </c>
      <c r="CS1050" s="112" t="s">
        <v>1168</v>
      </c>
      <c r="CT1050" s="112" t="s">
        <v>1169</v>
      </c>
      <c r="CU1050" s="112" t="s">
        <v>1664</v>
      </c>
      <c r="CV1050" s="113" t="s">
        <v>1665</v>
      </c>
      <c r="CX1050" s="36">
        <v>1</v>
      </c>
    </row>
    <row r="1051" spans="91:102" ht="21" customHeight="1" x14ac:dyDescent="0.25">
      <c r="CM1051" s="102"/>
      <c r="CN1051" s="112" t="s">
        <v>2901</v>
      </c>
      <c r="CO1051" s="112" t="s">
        <v>541</v>
      </c>
      <c r="CP1051" s="112" t="s">
        <v>523</v>
      </c>
      <c r="CQ1051" s="112" t="s">
        <v>2902</v>
      </c>
      <c r="CR1051" s="112" t="s">
        <v>2902</v>
      </c>
      <c r="CS1051" s="112" t="s">
        <v>1168</v>
      </c>
      <c r="CT1051" s="112" t="s">
        <v>1169</v>
      </c>
      <c r="CU1051" s="112" t="s">
        <v>1664</v>
      </c>
      <c r="CV1051" s="113" t="s">
        <v>1665</v>
      </c>
      <c r="CX1051" s="36">
        <v>1</v>
      </c>
    </row>
    <row r="1052" spans="91:102" ht="21" customHeight="1" x14ac:dyDescent="0.25">
      <c r="CM1052" s="102"/>
      <c r="CN1052" s="112" t="s">
        <v>2903</v>
      </c>
      <c r="CO1052" s="112" t="s">
        <v>541</v>
      </c>
      <c r="CP1052" s="112" t="s">
        <v>523</v>
      </c>
      <c r="CQ1052" s="112" t="s">
        <v>2904</v>
      </c>
      <c r="CR1052" s="112" t="s">
        <v>2904</v>
      </c>
      <c r="CS1052" s="112" t="s">
        <v>1168</v>
      </c>
      <c r="CT1052" s="112" t="s">
        <v>1169</v>
      </c>
      <c r="CU1052" s="112" t="s">
        <v>1664</v>
      </c>
      <c r="CV1052" s="113" t="s">
        <v>1665</v>
      </c>
      <c r="CX1052" s="36">
        <v>1</v>
      </c>
    </row>
    <row r="1053" spans="91:102" ht="21" customHeight="1" x14ac:dyDescent="0.25">
      <c r="CM1053" s="102"/>
      <c r="CN1053" s="112" t="s">
        <v>2905</v>
      </c>
      <c r="CO1053" s="112" t="s">
        <v>541</v>
      </c>
      <c r="CP1053" s="112" t="s">
        <v>523</v>
      </c>
      <c r="CQ1053" s="112" t="s">
        <v>2906</v>
      </c>
      <c r="CR1053" s="112" t="s">
        <v>2906</v>
      </c>
      <c r="CS1053" s="112" t="s">
        <v>1168</v>
      </c>
      <c r="CT1053" s="112" t="s">
        <v>1169</v>
      </c>
      <c r="CU1053" s="112" t="s">
        <v>1664</v>
      </c>
      <c r="CV1053" s="113" t="s">
        <v>1665</v>
      </c>
      <c r="CX1053" s="36">
        <v>1</v>
      </c>
    </row>
    <row r="1054" spans="91:102" ht="21" customHeight="1" x14ac:dyDescent="0.25">
      <c r="CM1054" s="102"/>
      <c r="CN1054" s="112" t="s">
        <v>2907</v>
      </c>
      <c r="CO1054" s="112" t="s">
        <v>541</v>
      </c>
      <c r="CP1054" s="112" t="s">
        <v>523</v>
      </c>
      <c r="CQ1054" s="112" t="s">
        <v>2908</v>
      </c>
      <c r="CR1054" s="112" t="s">
        <v>2908</v>
      </c>
      <c r="CS1054" s="112" t="s">
        <v>1168</v>
      </c>
      <c r="CT1054" s="112" t="s">
        <v>1169</v>
      </c>
      <c r="CU1054" s="112" t="s">
        <v>1664</v>
      </c>
      <c r="CV1054" s="113" t="s">
        <v>1665</v>
      </c>
      <c r="CX1054" s="36">
        <v>1</v>
      </c>
    </row>
    <row r="1055" spans="91:102" ht="21" customHeight="1" x14ac:dyDescent="0.25">
      <c r="CM1055" s="102"/>
      <c r="CN1055" s="112" t="s">
        <v>2909</v>
      </c>
      <c r="CO1055" s="112" t="s">
        <v>541</v>
      </c>
      <c r="CP1055" s="112" t="s">
        <v>523</v>
      </c>
      <c r="CQ1055" s="112" t="s">
        <v>2910</v>
      </c>
      <c r="CR1055" s="112" t="s">
        <v>2910</v>
      </c>
      <c r="CS1055" s="112" t="s">
        <v>1168</v>
      </c>
      <c r="CT1055" s="112" t="s">
        <v>1169</v>
      </c>
      <c r="CU1055" s="112" t="s">
        <v>1664</v>
      </c>
      <c r="CV1055" s="113" t="s">
        <v>1665</v>
      </c>
      <c r="CX1055" s="36">
        <v>1</v>
      </c>
    </row>
    <row r="1056" spans="91:102" ht="21" customHeight="1" x14ac:dyDescent="0.25">
      <c r="CM1056" s="102"/>
      <c r="CN1056" s="112" t="s">
        <v>2911</v>
      </c>
      <c r="CO1056" s="112" t="s">
        <v>541</v>
      </c>
      <c r="CP1056" s="112" t="s">
        <v>523</v>
      </c>
      <c r="CQ1056" s="112" t="s">
        <v>2912</v>
      </c>
      <c r="CR1056" s="112" t="s">
        <v>2912</v>
      </c>
      <c r="CS1056" s="112" t="s">
        <v>1168</v>
      </c>
      <c r="CT1056" s="112" t="s">
        <v>1169</v>
      </c>
      <c r="CU1056" s="112" t="s">
        <v>1664</v>
      </c>
      <c r="CV1056" s="113" t="s">
        <v>1665</v>
      </c>
      <c r="CX1056" s="36">
        <v>1</v>
      </c>
    </row>
    <row r="1057" spans="91:102" ht="21" customHeight="1" x14ac:dyDescent="0.25">
      <c r="CM1057" s="102"/>
      <c r="CN1057" s="112" t="s">
        <v>2913</v>
      </c>
      <c r="CO1057" s="112" t="s">
        <v>541</v>
      </c>
      <c r="CP1057" s="112" t="s">
        <v>523</v>
      </c>
      <c r="CQ1057" s="112" t="s">
        <v>2914</v>
      </c>
      <c r="CR1057" s="112" t="s">
        <v>2914</v>
      </c>
      <c r="CS1057" s="112" t="s">
        <v>1168</v>
      </c>
      <c r="CT1057" s="112" t="s">
        <v>1169</v>
      </c>
      <c r="CU1057" s="112" t="s">
        <v>1664</v>
      </c>
      <c r="CV1057" s="113" t="s">
        <v>1665</v>
      </c>
      <c r="CX1057" s="36">
        <v>1</v>
      </c>
    </row>
    <row r="1058" spans="91:102" ht="21" customHeight="1" x14ac:dyDescent="0.25">
      <c r="CM1058" s="102"/>
      <c r="CN1058" s="112" t="s">
        <v>2915</v>
      </c>
      <c r="CO1058" s="112" t="s">
        <v>541</v>
      </c>
      <c r="CP1058" s="112" t="s">
        <v>523</v>
      </c>
      <c r="CQ1058" s="112" t="s">
        <v>2916</v>
      </c>
      <c r="CR1058" s="112" t="s">
        <v>2916</v>
      </c>
      <c r="CS1058" s="112" t="s">
        <v>1168</v>
      </c>
      <c r="CT1058" s="112" t="s">
        <v>1169</v>
      </c>
      <c r="CU1058" s="112" t="s">
        <v>1664</v>
      </c>
      <c r="CV1058" s="113" t="s">
        <v>1665</v>
      </c>
      <c r="CX1058" s="36">
        <v>1</v>
      </c>
    </row>
    <row r="1059" spans="91:102" ht="21" customHeight="1" x14ac:dyDescent="0.25">
      <c r="CM1059" s="102"/>
      <c r="CN1059" s="112" t="s">
        <v>2917</v>
      </c>
      <c r="CO1059" s="112" t="s">
        <v>541</v>
      </c>
      <c r="CP1059" s="112" t="s">
        <v>523</v>
      </c>
      <c r="CQ1059" s="112" t="s">
        <v>2918</v>
      </c>
      <c r="CR1059" s="112" t="s">
        <v>2918</v>
      </c>
      <c r="CS1059" s="112" t="s">
        <v>1168</v>
      </c>
      <c r="CT1059" s="112" t="s">
        <v>1169</v>
      </c>
      <c r="CU1059" s="112" t="s">
        <v>1664</v>
      </c>
      <c r="CV1059" s="113" t="s">
        <v>1665</v>
      </c>
      <c r="CX1059" s="36">
        <v>1</v>
      </c>
    </row>
    <row r="1060" spans="91:102" ht="21" customHeight="1" x14ac:dyDescent="0.25">
      <c r="CM1060" s="102"/>
      <c r="CN1060" s="112" t="s">
        <v>2919</v>
      </c>
      <c r="CO1060" s="112" t="s">
        <v>541</v>
      </c>
      <c r="CP1060" s="112" t="s">
        <v>523</v>
      </c>
      <c r="CQ1060" s="112" t="s">
        <v>2920</v>
      </c>
      <c r="CR1060" s="112" t="s">
        <v>2920</v>
      </c>
      <c r="CS1060" s="112" t="s">
        <v>1168</v>
      </c>
      <c r="CT1060" s="112" t="s">
        <v>1169</v>
      </c>
      <c r="CU1060" s="112" t="s">
        <v>1664</v>
      </c>
      <c r="CV1060" s="113" t="s">
        <v>1665</v>
      </c>
      <c r="CX1060" s="36">
        <v>1</v>
      </c>
    </row>
    <row r="1061" spans="91:102" ht="21" customHeight="1" x14ac:dyDescent="0.25">
      <c r="CM1061" s="102"/>
      <c r="CN1061" s="112" t="s">
        <v>2921</v>
      </c>
      <c r="CO1061" s="112" t="s">
        <v>541</v>
      </c>
      <c r="CP1061" s="112" t="s">
        <v>523</v>
      </c>
      <c r="CQ1061" s="112" t="s">
        <v>2922</v>
      </c>
      <c r="CR1061" s="112" t="s">
        <v>2922</v>
      </c>
      <c r="CS1061" s="112" t="s">
        <v>1168</v>
      </c>
      <c r="CT1061" s="112" t="s">
        <v>1169</v>
      </c>
      <c r="CU1061" s="112" t="s">
        <v>1664</v>
      </c>
      <c r="CV1061" s="113" t="s">
        <v>1665</v>
      </c>
      <c r="CX1061" s="36">
        <v>1</v>
      </c>
    </row>
    <row r="1062" spans="91:102" ht="21" customHeight="1" x14ac:dyDescent="0.25">
      <c r="CM1062" s="102"/>
      <c r="CN1062" s="112" t="s">
        <v>2923</v>
      </c>
      <c r="CO1062" s="112" t="s">
        <v>541</v>
      </c>
      <c r="CP1062" s="112" t="s">
        <v>523</v>
      </c>
      <c r="CQ1062" s="112" t="s">
        <v>2924</v>
      </c>
      <c r="CR1062" s="112" t="s">
        <v>2924</v>
      </c>
      <c r="CS1062" s="112" t="s">
        <v>1168</v>
      </c>
      <c r="CT1062" s="112" t="s">
        <v>1169</v>
      </c>
      <c r="CU1062" s="112" t="s">
        <v>1664</v>
      </c>
      <c r="CV1062" s="113" t="s">
        <v>1665</v>
      </c>
      <c r="CX1062" s="36">
        <v>1</v>
      </c>
    </row>
    <row r="1063" spans="91:102" ht="21" customHeight="1" x14ac:dyDescent="0.25">
      <c r="CM1063" s="102"/>
      <c r="CN1063" s="112" t="s">
        <v>2925</v>
      </c>
      <c r="CO1063" s="112" t="s">
        <v>541</v>
      </c>
      <c r="CP1063" s="112" t="s">
        <v>523</v>
      </c>
      <c r="CQ1063" s="112" t="s">
        <v>2926</v>
      </c>
      <c r="CR1063" s="112" t="s">
        <v>2926</v>
      </c>
      <c r="CS1063" s="112" t="s">
        <v>1168</v>
      </c>
      <c r="CT1063" s="112" t="s">
        <v>1169</v>
      </c>
      <c r="CU1063" s="112" t="s">
        <v>1664</v>
      </c>
      <c r="CV1063" s="113" t="s">
        <v>1665</v>
      </c>
      <c r="CX1063" s="36">
        <v>1</v>
      </c>
    </row>
    <row r="1064" spans="91:102" ht="21" customHeight="1" x14ac:dyDescent="0.25">
      <c r="CM1064" s="102"/>
      <c r="CN1064" s="112" t="s">
        <v>2927</v>
      </c>
      <c r="CO1064" s="112" t="s">
        <v>541</v>
      </c>
      <c r="CP1064" s="112" t="s">
        <v>523</v>
      </c>
      <c r="CQ1064" s="112" t="s">
        <v>2928</v>
      </c>
      <c r="CR1064" s="112" t="s">
        <v>2928</v>
      </c>
      <c r="CS1064" s="112" t="s">
        <v>1168</v>
      </c>
      <c r="CT1064" s="112" t="s">
        <v>1169</v>
      </c>
      <c r="CU1064" s="112" t="s">
        <v>1664</v>
      </c>
      <c r="CV1064" s="113" t="s">
        <v>1665</v>
      </c>
      <c r="CX1064" s="36">
        <v>1</v>
      </c>
    </row>
    <row r="1065" spans="91:102" ht="21" customHeight="1" x14ac:dyDescent="0.25">
      <c r="CM1065" s="102"/>
      <c r="CN1065" s="112" t="s">
        <v>2929</v>
      </c>
      <c r="CO1065" s="112" t="s">
        <v>541</v>
      </c>
      <c r="CP1065" s="112" t="s">
        <v>523</v>
      </c>
      <c r="CQ1065" s="112" t="s">
        <v>2930</v>
      </c>
      <c r="CR1065" s="112" t="s">
        <v>2930</v>
      </c>
      <c r="CS1065" s="112" t="s">
        <v>1168</v>
      </c>
      <c r="CT1065" s="112" t="s">
        <v>1169</v>
      </c>
      <c r="CU1065" s="112" t="s">
        <v>1664</v>
      </c>
      <c r="CV1065" s="113" t="s">
        <v>1665</v>
      </c>
      <c r="CX1065" s="36">
        <v>1</v>
      </c>
    </row>
    <row r="1066" spans="91:102" ht="21" customHeight="1" x14ac:dyDescent="0.25">
      <c r="CM1066" s="102"/>
      <c r="CN1066" s="112" t="s">
        <v>2931</v>
      </c>
      <c r="CO1066" s="112" t="s">
        <v>541</v>
      </c>
      <c r="CP1066" s="112" t="s">
        <v>523</v>
      </c>
      <c r="CQ1066" s="112" t="s">
        <v>2932</v>
      </c>
      <c r="CR1066" s="112" t="s">
        <v>2932</v>
      </c>
      <c r="CS1066" s="112" t="s">
        <v>1168</v>
      </c>
      <c r="CT1066" s="112" t="s">
        <v>1169</v>
      </c>
      <c r="CU1066" s="112" t="s">
        <v>1664</v>
      </c>
      <c r="CV1066" s="113" t="s">
        <v>1665</v>
      </c>
      <c r="CX1066" s="36">
        <v>1</v>
      </c>
    </row>
    <row r="1067" spans="91:102" ht="21" customHeight="1" x14ac:dyDescent="0.25">
      <c r="CM1067" s="102"/>
      <c r="CN1067" s="112" t="s">
        <v>2933</v>
      </c>
      <c r="CO1067" s="112" t="s">
        <v>541</v>
      </c>
      <c r="CP1067" s="112" t="s">
        <v>523</v>
      </c>
      <c r="CQ1067" s="112" t="s">
        <v>2934</v>
      </c>
      <c r="CR1067" s="112" t="s">
        <v>2934</v>
      </c>
      <c r="CS1067" s="112" t="s">
        <v>1168</v>
      </c>
      <c r="CT1067" s="112" t="s">
        <v>1169</v>
      </c>
      <c r="CU1067" s="112" t="s">
        <v>1664</v>
      </c>
      <c r="CV1067" s="113" t="s">
        <v>1665</v>
      </c>
      <c r="CX1067" s="36">
        <v>1</v>
      </c>
    </row>
    <row r="1068" spans="91:102" ht="21" customHeight="1" x14ac:dyDescent="0.25">
      <c r="CM1068" s="102"/>
      <c r="CN1068" s="112" t="s">
        <v>2935</v>
      </c>
      <c r="CO1068" s="112" t="s">
        <v>541</v>
      </c>
      <c r="CP1068" s="112" t="s">
        <v>523</v>
      </c>
      <c r="CQ1068" s="112" t="s">
        <v>2936</v>
      </c>
      <c r="CR1068" s="112" t="s">
        <v>2936</v>
      </c>
      <c r="CS1068" s="112" t="s">
        <v>1168</v>
      </c>
      <c r="CT1068" s="112" t="s">
        <v>1169</v>
      </c>
      <c r="CU1068" s="112" t="s">
        <v>1664</v>
      </c>
      <c r="CV1068" s="113" t="s">
        <v>1665</v>
      </c>
      <c r="CX1068" s="36">
        <v>1</v>
      </c>
    </row>
    <row r="1069" spans="91:102" ht="21" customHeight="1" x14ac:dyDescent="0.25">
      <c r="CM1069" s="102"/>
      <c r="CN1069" s="112" t="s">
        <v>2937</v>
      </c>
      <c r="CO1069" s="112" t="s">
        <v>541</v>
      </c>
      <c r="CP1069" s="112" t="s">
        <v>523</v>
      </c>
      <c r="CQ1069" s="112" t="s">
        <v>2938</v>
      </c>
      <c r="CR1069" s="112" t="s">
        <v>2938</v>
      </c>
      <c r="CS1069" s="112" t="s">
        <v>1168</v>
      </c>
      <c r="CT1069" s="112" t="s">
        <v>1169</v>
      </c>
      <c r="CU1069" s="112" t="s">
        <v>1664</v>
      </c>
      <c r="CV1069" s="113" t="s">
        <v>1665</v>
      </c>
      <c r="CX1069" s="36">
        <v>1</v>
      </c>
    </row>
    <row r="1070" spans="91:102" ht="21" customHeight="1" x14ac:dyDescent="0.25">
      <c r="CM1070" s="102"/>
      <c r="CN1070" s="112" t="s">
        <v>2939</v>
      </c>
      <c r="CO1070" s="112" t="s">
        <v>541</v>
      </c>
      <c r="CP1070" s="112" t="s">
        <v>523</v>
      </c>
      <c r="CQ1070" s="112" t="s">
        <v>2940</v>
      </c>
      <c r="CR1070" s="112" t="s">
        <v>2940</v>
      </c>
      <c r="CS1070" s="112" t="s">
        <v>1168</v>
      </c>
      <c r="CT1070" s="112" t="s">
        <v>1169</v>
      </c>
      <c r="CU1070" s="112" t="s">
        <v>1664</v>
      </c>
      <c r="CV1070" s="113" t="s">
        <v>1665</v>
      </c>
      <c r="CX1070" s="36">
        <v>1</v>
      </c>
    </row>
    <row r="1071" spans="91:102" ht="21" customHeight="1" x14ac:dyDescent="0.25">
      <c r="CM1071" s="102"/>
      <c r="CN1071" s="112" t="s">
        <v>2941</v>
      </c>
      <c r="CO1071" s="112" t="s">
        <v>541</v>
      </c>
      <c r="CP1071" s="112" t="s">
        <v>523</v>
      </c>
      <c r="CQ1071" s="112" t="s">
        <v>2942</v>
      </c>
      <c r="CR1071" s="112" t="s">
        <v>2942</v>
      </c>
      <c r="CS1071" s="112" t="s">
        <v>1168</v>
      </c>
      <c r="CT1071" s="112" t="s">
        <v>1169</v>
      </c>
      <c r="CU1071" s="112" t="s">
        <v>1664</v>
      </c>
      <c r="CV1071" s="113" t="s">
        <v>1665</v>
      </c>
      <c r="CX1071" s="36">
        <v>1</v>
      </c>
    </row>
    <row r="1072" spans="91:102" ht="21" customHeight="1" x14ac:dyDescent="0.25">
      <c r="CM1072" s="102"/>
      <c r="CN1072" s="112" t="s">
        <v>2943</v>
      </c>
      <c r="CO1072" s="112" t="s">
        <v>541</v>
      </c>
      <c r="CP1072" s="112" t="s">
        <v>523</v>
      </c>
      <c r="CQ1072" s="112" t="s">
        <v>2944</v>
      </c>
      <c r="CR1072" s="112" t="s">
        <v>2944</v>
      </c>
      <c r="CS1072" s="112" t="s">
        <v>1168</v>
      </c>
      <c r="CT1072" s="112" t="s">
        <v>1169</v>
      </c>
      <c r="CU1072" s="112" t="s">
        <v>1664</v>
      </c>
      <c r="CV1072" s="113" t="s">
        <v>1665</v>
      </c>
      <c r="CX1072" s="36">
        <v>1</v>
      </c>
    </row>
    <row r="1073" spans="91:102" ht="21" customHeight="1" x14ac:dyDescent="0.25">
      <c r="CM1073" s="102"/>
      <c r="CN1073" s="112" t="s">
        <v>2945</v>
      </c>
      <c r="CO1073" s="112" t="s">
        <v>541</v>
      </c>
      <c r="CP1073" s="112" t="s">
        <v>523</v>
      </c>
      <c r="CQ1073" s="112" t="s">
        <v>2946</v>
      </c>
      <c r="CR1073" s="112" t="s">
        <v>2946</v>
      </c>
      <c r="CS1073" s="112" t="s">
        <v>1168</v>
      </c>
      <c r="CT1073" s="112" t="s">
        <v>1169</v>
      </c>
      <c r="CU1073" s="112" t="s">
        <v>1664</v>
      </c>
      <c r="CV1073" s="113" t="s">
        <v>1665</v>
      </c>
      <c r="CX1073" s="36">
        <v>1</v>
      </c>
    </row>
    <row r="1074" spans="91:102" ht="21" customHeight="1" x14ac:dyDescent="0.25">
      <c r="CM1074" s="102"/>
      <c r="CN1074" s="112" t="s">
        <v>2947</v>
      </c>
      <c r="CO1074" s="112" t="s">
        <v>541</v>
      </c>
      <c r="CP1074" s="112" t="s">
        <v>523</v>
      </c>
      <c r="CQ1074" s="112" t="s">
        <v>2948</v>
      </c>
      <c r="CR1074" s="112" t="s">
        <v>2948</v>
      </c>
      <c r="CS1074" s="112" t="s">
        <v>1168</v>
      </c>
      <c r="CT1074" s="112" t="s">
        <v>1169</v>
      </c>
      <c r="CU1074" s="112" t="s">
        <v>1664</v>
      </c>
      <c r="CV1074" s="113" t="s">
        <v>1665</v>
      </c>
      <c r="CX1074" s="36">
        <v>1</v>
      </c>
    </row>
    <row r="1075" spans="91:102" ht="21" customHeight="1" x14ac:dyDescent="0.25">
      <c r="CM1075" s="102"/>
      <c r="CN1075" s="112" t="s">
        <v>2949</v>
      </c>
      <c r="CO1075" s="112" t="s">
        <v>541</v>
      </c>
      <c r="CP1075" s="112" t="s">
        <v>523</v>
      </c>
      <c r="CQ1075" s="112" t="s">
        <v>2950</v>
      </c>
      <c r="CR1075" s="112" t="s">
        <v>2950</v>
      </c>
      <c r="CS1075" s="112" t="s">
        <v>1168</v>
      </c>
      <c r="CT1075" s="112" t="s">
        <v>1169</v>
      </c>
      <c r="CU1075" s="112" t="s">
        <v>1664</v>
      </c>
      <c r="CV1075" s="113" t="s">
        <v>1665</v>
      </c>
      <c r="CX1075" s="36">
        <v>1</v>
      </c>
    </row>
    <row r="1076" spans="91:102" ht="21" customHeight="1" x14ac:dyDescent="0.25">
      <c r="CM1076" s="102"/>
      <c r="CN1076" s="112" t="s">
        <v>2951</v>
      </c>
      <c r="CO1076" s="112" t="s">
        <v>541</v>
      </c>
      <c r="CP1076" s="112" t="s">
        <v>523</v>
      </c>
      <c r="CQ1076" s="112" t="s">
        <v>2952</v>
      </c>
      <c r="CR1076" s="112" t="s">
        <v>2952</v>
      </c>
      <c r="CS1076" s="112" t="s">
        <v>525</v>
      </c>
      <c r="CT1076" s="112" t="s">
        <v>1747</v>
      </c>
      <c r="CU1076" s="112" t="s">
        <v>527</v>
      </c>
      <c r="CV1076" s="113" t="s">
        <v>528</v>
      </c>
      <c r="CX1076" s="36">
        <v>1</v>
      </c>
    </row>
    <row r="1077" spans="91:102" ht="21" customHeight="1" x14ac:dyDescent="0.25">
      <c r="CM1077" s="102"/>
      <c r="CN1077" s="112" t="s">
        <v>2953</v>
      </c>
      <c r="CO1077" s="112" t="s">
        <v>541</v>
      </c>
      <c r="CP1077" s="112" t="s">
        <v>523</v>
      </c>
      <c r="CQ1077" s="112" t="s">
        <v>2954</v>
      </c>
      <c r="CR1077" s="112" t="s">
        <v>2954</v>
      </c>
      <c r="CS1077" s="112" t="s">
        <v>1168</v>
      </c>
      <c r="CT1077" s="112" t="s">
        <v>1169</v>
      </c>
      <c r="CU1077" s="112" t="s">
        <v>1664</v>
      </c>
      <c r="CV1077" s="113" t="s">
        <v>1665</v>
      </c>
      <c r="CX1077" s="36">
        <v>1</v>
      </c>
    </row>
    <row r="1078" spans="91:102" ht="21" customHeight="1" x14ac:dyDescent="0.25">
      <c r="CM1078" s="102"/>
      <c r="CN1078" s="112" t="s">
        <v>2955</v>
      </c>
      <c r="CO1078" s="112" t="s">
        <v>541</v>
      </c>
      <c r="CP1078" s="112" t="s">
        <v>523</v>
      </c>
      <c r="CQ1078" s="112" t="s">
        <v>2956</v>
      </c>
      <c r="CR1078" s="112" t="s">
        <v>2956</v>
      </c>
      <c r="CS1078" s="112" t="s">
        <v>1168</v>
      </c>
      <c r="CT1078" s="112" t="s">
        <v>1169</v>
      </c>
      <c r="CU1078" s="112" t="s">
        <v>1664</v>
      </c>
      <c r="CV1078" s="113" t="s">
        <v>1665</v>
      </c>
      <c r="CX1078" s="36">
        <v>1</v>
      </c>
    </row>
    <row r="1079" spans="91:102" ht="21" customHeight="1" x14ac:dyDescent="0.25">
      <c r="CM1079" s="102"/>
      <c r="CN1079" s="112" t="s">
        <v>2957</v>
      </c>
      <c r="CO1079" s="112" t="s">
        <v>541</v>
      </c>
      <c r="CP1079" s="112" t="s">
        <v>523</v>
      </c>
      <c r="CQ1079" s="112" t="s">
        <v>2958</v>
      </c>
      <c r="CR1079" s="112" t="s">
        <v>2958</v>
      </c>
      <c r="CS1079" s="112" t="s">
        <v>1168</v>
      </c>
      <c r="CT1079" s="112" t="s">
        <v>1169</v>
      </c>
      <c r="CU1079" s="112" t="s">
        <v>1664</v>
      </c>
      <c r="CV1079" s="113" t="s">
        <v>1665</v>
      </c>
      <c r="CX1079" s="36">
        <v>1</v>
      </c>
    </row>
    <row r="1080" spans="91:102" ht="21" customHeight="1" x14ac:dyDescent="0.25">
      <c r="CM1080" s="102"/>
      <c r="CN1080" s="112" t="s">
        <v>2959</v>
      </c>
      <c r="CO1080" s="112" t="s">
        <v>541</v>
      </c>
      <c r="CP1080" s="112" t="s">
        <v>523</v>
      </c>
      <c r="CQ1080" s="112" t="s">
        <v>2960</v>
      </c>
      <c r="CR1080" s="112" t="s">
        <v>2960</v>
      </c>
      <c r="CS1080" s="112" t="s">
        <v>1168</v>
      </c>
      <c r="CT1080" s="112" t="s">
        <v>1169</v>
      </c>
      <c r="CU1080" s="112" t="s">
        <v>1664</v>
      </c>
      <c r="CV1080" s="113" t="s">
        <v>1665</v>
      </c>
      <c r="CX1080" s="36">
        <v>1</v>
      </c>
    </row>
    <row r="1081" spans="91:102" ht="21" customHeight="1" x14ac:dyDescent="0.25">
      <c r="CM1081" s="102"/>
      <c r="CN1081" s="112" t="s">
        <v>2961</v>
      </c>
      <c r="CO1081" s="112" t="s">
        <v>541</v>
      </c>
      <c r="CP1081" s="112" t="s">
        <v>523</v>
      </c>
      <c r="CQ1081" s="112" t="s">
        <v>2962</v>
      </c>
      <c r="CR1081" s="112" t="s">
        <v>2962</v>
      </c>
      <c r="CS1081" s="112" t="s">
        <v>1168</v>
      </c>
      <c r="CT1081" s="112" t="s">
        <v>1169</v>
      </c>
      <c r="CU1081" s="112" t="s">
        <v>1664</v>
      </c>
      <c r="CV1081" s="113" t="s">
        <v>1665</v>
      </c>
      <c r="CX1081" s="36">
        <v>1</v>
      </c>
    </row>
    <row r="1082" spans="91:102" ht="21" customHeight="1" x14ac:dyDescent="0.25">
      <c r="CM1082" s="102"/>
      <c r="CN1082" s="112" t="s">
        <v>2963</v>
      </c>
      <c r="CO1082" s="112" t="s">
        <v>541</v>
      </c>
      <c r="CP1082" s="112" t="s">
        <v>523</v>
      </c>
      <c r="CQ1082" s="112" t="s">
        <v>2964</v>
      </c>
      <c r="CR1082" s="112" t="s">
        <v>2964</v>
      </c>
      <c r="CS1082" s="112" t="s">
        <v>1168</v>
      </c>
      <c r="CT1082" s="112" t="s">
        <v>1169</v>
      </c>
      <c r="CU1082" s="112" t="s">
        <v>1664</v>
      </c>
      <c r="CV1082" s="113" t="s">
        <v>1665</v>
      </c>
      <c r="CX1082" s="36">
        <v>1</v>
      </c>
    </row>
    <row r="1083" spans="91:102" ht="21" customHeight="1" x14ac:dyDescent="0.25">
      <c r="CM1083" s="102"/>
      <c r="CN1083" s="112" t="s">
        <v>2965</v>
      </c>
      <c r="CO1083" s="112" t="s">
        <v>541</v>
      </c>
      <c r="CP1083" s="112" t="s">
        <v>523</v>
      </c>
      <c r="CQ1083" s="112" t="s">
        <v>2966</v>
      </c>
      <c r="CR1083" s="112" t="s">
        <v>2966</v>
      </c>
      <c r="CS1083" s="112" t="s">
        <v>1168</v>
      </c>
      <c r="CT1083" s="112" t="s">
        <v>1169</v>
      </c>
      <c r="CU1083" s="112" t="s">
        <v>1664</v>
      </c>
      <c r="CV1083" s="113" t="s">
        <v>1665</v>
      </c>
      <c r="CX1083" s="36">
        <v>1</v>
      </c>
    </row>
    <row r="1084" spans="91:102" ht="21" customHeight="1" x14ac:dyDescent="0.25">
      <c r="CM1084" s="102"/>
      <c r="CN1084" s="112" t="s">
        <v>2967</v>
      </c>
      <c r="CO1084" s="112" t="s">
        <v>541</v>
      </c>
      <c r="CP1084" s="112" t="s">
        <v>523</v>
      </c>
      <c r="CQ1084" s="112" t="s">
        <v>2968</v>
      </c>
      <c r="CR1084" s="112" t="s">
        <v>2968</v>
      </c>
      <c r="CS1084" s="112" t="s">
        <v>1168</v>
      </c>
      <c r="CT1084" s="112" t="s">
        <v>1169</v>
      </c>
      <c r="CU1084" s="112" t="s">
        <v>1664</v>
      </c>
      <c r="CV1084" s="113" t="s">
        <v>1665</v>
      </c>
      <c r="CX1084" s="36">
        <v>1</v>
      </c>
    </row>
    <row r="1085" spans="91:102" ht="21" customHeight="1" x14ac:dyDescent="0.25">
      <c r="CM1085" s="102"/>
      <c r="CN1085" s="112" t="s">
        <v>2969</v>
      </c>
      <c r="CO1085" s="112" t="s">
        <v>541</v>
      </c>
      <c r="CP1085" s="112" t="s">
        <v>523</v>
      </c>
      <c r="CQ1085" s="112" t="s">
        <v>2970</v>
      </c>
      <c r="CR1085" s="112" t="s">
        <v>2970</v>
      </c>
      <c r="CS1085" s="112" t="s">
        <v>1168</v>
      </c>
      <c r="CT1085" s="112" t="s">
        <v>1169</v>
      </c>
      <c r="CU1085" s="112" t="s">
        <v>1664</v>
      </c>
      <c r="CV1085" s="113" t="s">
        <v>1665</v>
      </c>
      <c r="CX1085" s="36">
        <v>1</v>
      </c>
    </row>
    <row r="1086" spans="91:102" ht="21" customHeight="1" x14ac:dyDescent="0.25">
      <c r="CM1086" s="102"/>
      <c r="CN1086" s="112" t="s">
        <v>2971</v>
      </c>
      <c r="CO1086" s="112" t="s">
        <v>541</v>
      </c>
      <c r="CP1086" s="112" t="s">
        <v>523</v>
      </c>
      <c r="CQ1086" s="112" t="s">
        <v>2972</v>
      </c>
      <c r="CR1086" s="112" t="s">
        <v>2972</v>
      </c>
      <c r="CS1086" s="112" t="s">
        <v>1168</v>
      </c>
      <c r="CT1086" s="112" t="s">
        <v>1169</v>
      </c>
      <c r="CU1086" s="112" t="s">
        <v>1664</v>
      </c>
      <c r="CV1086" s="113" t="s">
        <v>1665</v>
      </c>
      <c r="CX1086" s="36">
        <v>1</v>
      </c>
    </row>
    <row r="1087" spans="91:102" ht="21" customHeight="1" x14ac:dyDescent="0.25">
      <c r="CM1087" s="102"/>
      <c r="CN1087" s="112" t="s">
        <v>2973</v>
      </c>
      <c r="CO1087" s="112" t="s">
        <v>541</v>
      </c>
      <c r="CP1087" s="112" t="s">
        <v>523</v>
      </c>
      <c r="CQ1087" s="112" t="s">
        <v>2974</v>
      </c>
      <c r="CR1087" s="112" t="s">
        <v>2974</v>
      </c>
      <c r="CS1087" s="112" t="s">
        <v>525</v>
      </c>
      <c r="CT1087" s="112" t="s">
        <v>1747</v>
      </c>
      <c r="CU1087" s="112" t="s">
        <v>527</v>
      </c>
      <c r="CV1087" s="113" t="s">
        <v>528</v>
      </c>
      <c r="CX1087" s="36">
        <v>1</v>
      </c>
    </row>
    <row r="1088" spans="91:102" ht="21" customHeight="1" x14ac:dyDescent="0.25">
      <c r="CM1088" s="102"/>
      <c r="CN1088" s="112" t="s">
        <v>2975</v>
      </c>
      <c r="CO1088" s="112" t="s">
        <v>541</v>
      </c>
      <c r="CP1088" s="112" t="s">
        <v>523</v>
      </c>
      <c r="CQ1088" s="112" t="s">
        <v>2976</v>
      </c>
      <c r="CR1088" s="112" t="s">
        <v>2976</v>
      </c>
      <c r="CS1088" s="112" t="s">
        <v>1168</v>
      </c>
      <c r="CT1088" s="112" t="s">
        <v>1169</v>
      </c>
      <c r="CU1088" s="112" t="s">
        <v>1664</v>
      </c>
      <c r="CV1088" s="113" t="s">
        <v>1665</v>
      </c>
      <c r="CX1088" s="36">
        <v>1</v>
      </c>
    </row>
    <row r="1089" spans="91:102" ht="21" customHeight="1" x14ac:dyDescent="0.25">
      <c r="CM1089" s="102"/>
      <c r="CN1089" s="112" t="s">
        <v>2977</v>
      </c>
      <c r="CO1089" s="112" t="s">
        <v>541</v>
      </c>
      <c r="CP1089" s="112" t="s">
        <v>523</v>
      </c>
      <c r="CQ1089" s="112" t="s">
        <v>2978</v>
      </c>
      <c r="CR1089" s="112" t="s">
        <v>2978</v>
      </c>
      <c r="CS1089" s="112" t="s">
        <v>1168</v>
      </c>
      <c r="CT1089" s="112" t="s">
        <v>1169</v>
      </c>
      <c r="CU1089" s="112" t="s">
        <v>1664</v>
      </c>
      <c r="CV1089" s="113" t="s">
        <v>1665</v>
      </c>
      <c r="CX1089" s="36">
        <v>1</v>
      </c>
    </row>
    <row r="1090" spans="91:102" ht="21" customHeight="1" x14ac:dyDescent="0.25">
      <c r="CM1090" s="102"/>
      <c r="CN1090" s="112" t="s">
        <v>2979</v>
      </c>
      <c r="CO1090" s="112" t="s">
        <v>541</v>
      </c>
      <c r="CP1090" s="112" t="s">
        <v>523</v>
      </c>
      <c r="CQ1090" s="112" t="s">
        <v>2980</v>
      </c>
      <c r="CR1090" s="112" t="s">
        <v>2980</v>
      </c>
      <c r="CS1090" s="112" t="s">
        <v>1168</v>
      </c>
      <c r="CT1090" s="112" t="s">
        <v>1169</v>
      </c>
      <c r="CU1090" s="112" t="s">
        <v>1664</v>
      </c>
      <c r="CV1090" s="113" t="s">
        <v>1665</v>
      </c>
      <c r="CX1090" s="36">
        <v>1</v>
      </c>
    </row>
    <row r="1091" spans="91:102" ht="21" customHeight="1" x14ac:dyDescent="0.25">
      <c r="CM1091" s="102"/>
      <c r="CN1091" s="112" t="s">
        <v>2981</v>
      </c>
      <c r="CO1091" s="112" t="s">
        <v>541</v>
      </c>
      <c r="CP1091" s="112" t="s">
        <v>523</v>
      </c>
      <c r="CQ1091" s="112" t="s">
        <v>2982</v>
      </c>
      <c r="CR1091" s="112" t="s">
        <v>2982</v>
      </c>
      <c r="CS1091" s="112" t="s">
        <v>525</v>
      </c>
      <c r="CT1091" s="112" t="s">
        <v>1747</v>
      </c>
      <c r="CU1091" s="112" t="s">
        <v>527</v>
      </c>
      <c r="CV1091" s="113" t="s">
        <v>528</v>
      </c>
      <c r="CX1091" s="36">
        <v>1</v>
      </c>
    </row>
    <row r="1092" spans="91:102" ht="21" customHeight="1" x14ac:dyDescent="0.25">
      <c r="CM1092" s="102"/>
      <c r="CN1092" s="112" t="s">
        <v>2983</v>
      </c>
      <c r="CO1092" s="112" t="s">
        <v>541</v>
      </c>
      <c r="CP1092" s="112" t="s">
        <v>523</v>
      </c>
      <c r="CQ1092" s="112" t="s">
        <v>2984</v>
      </c>
      <c r="CR1092" s="112" t="s">
        <v>2985</v>
      </c>
      <c r="CS1092" s="112" t="s">
        <v>525</v>
      </c>
      <c r="CT1092" s="112" t="s">
        <v>1747</v>
      </c>
      <c r="CU1092" s="112" t="s">
        <v>527</v>
      </c>
      <c r="CV1092" s="113" t="s">
        <v>528</v>
      </c>
      <c r="CX1092" s="36">
        <v>1</v>
      </c>
    </row>
    <row r="1093" spans="91:102" ht="21" customHeight="1" x14ac:dyDescent="0.25">
      <c r="CM1093" s="102"/>
      <c r="CN1093" s="112" t="s">
        <v>2986</v>
      </c>
      <c r="CO1093" s="112" t="s">
        <v>541</v>
      </c>
      <c r="CP1093" s="112" t="s">
        <v>523</v>
      </c>
      <c r="CQ1093" s="112" t="s">
        <v>2987</v>
      </c>
      <c r="CR1093" s="112" t="s">
        <v>2987</v>
      </c>
      <c r="CS1093" s="112" t="s">
        <v>525</v>
      </c>
      <c r="CT1093" s="112" t="s">
        <v>1747</v>
      </c>
      <c r="CU1093" s="112" t="s">
        <v>527</v>
      </c>
      <c r="CV1093" s="113" t="s">
        <v>528</v>
      </c>
      <c r="CX1093" s="36">
        <v>1</v>
      </c>
    </row>
    <row r="1094" spans="91:102" ht="21" customHeight="1" x14ac:dyDescent="0.25">
      <c r="CM1094" s="102"/>
      <c r="CN1094" s="112" t="s">
        <v>2988</v>
      </c>
      <c r="CO1094" s="112" t="s">
        <v>541</v>
      </c>
      <c r="CP1094" s="112" t="s">
        <v>523</v>
      </c>
      <c r="CQ1094" s="112" t="s">
        <v>2989</v>
      </c>
      <c r="CR1094" s="112" t="s">
        <v>2989</v>
      </c>
      <c r="CS1094" s="112" t="s">
        <v>1168</v>
      </c>
      <c r="CT1094" s="112" t="s">
        <v>1169</v>
      </c>
      <c r="CU1094" s="112" t="s">
        <v>1664</v>
      </c>
      <c r="CV1094" s="113" t="s">
        <v>1665</v>
      </c>
      <c r="CX1094" s="36">
        <v>1</v>
      </c>
    </row>
    <row r="1095" spans="91:102" ht="21" customHeight="1" x14ac:dyDescent="0.25">
      <c r="CM1095" s="102"/>
      <c r="CN1095" s="112" t="s">
        <v>2990</v>
      </c>
      <c r="CO1095" s="112" t="s">
        <v>541</v>
      </c>
      <c r="CP1095" s="112" t="s">
        <v>523</v>
      </c>
      <c r="CQ1095" s="112" t="s">
        <v>2991</v>
      </c>
      <c r="CR1095" s="112" t="s">
        <v>2991</v>
      </c>
      <c r="CS1095" s="112" t="s">
        <v>1168</v>
      </c>
      <c r="CT1095" s="112" t="s">
        <v>1169</v>
      </c>
      <c r="CU1095" s="112" t="s">
        <v>1664</v>
      </c>
      <c r="CV1095" s="113" t="s">
        <v>1665</v>
      </c>
      <c r="CX1095" s="36">
        <v>1</v>
      </c>
    </row>
    <row r="1096" spans="91:102" ht="21" customHeight="1" x14ac:dyDescent="0.25">
      <c r="CM1096" s="102"/>
      <c r="CN1096" s="112" t="s">
        <v>2992</v>
      </c>
      <c r="CO1096" s="112" t="s">
        <v>541</v>
      </c>
      <c r="CP1096" s="112" t="s">
        <v>523</v>
      </c>
      <c r="CQ1096" s="112" t="s">
        <v>2993</v>
      </c>
      <c r="CR1096" s="112" t="s">
        <v>2993</v>
      </c>
      <c r="CS1096" s="112" t="s">
        <v>1168</v>
      </c>
      <c r="CT1096" s="112" t="s">
        <v>1169</v>
      </c>
      <c r="CU1096" s="112" t="s">
        <v>1664</v>
      </c>
      <c r="CV1096" s="113" t="s">
        <v>1665</v>
      </c>
      <c r="CX1096" s="36">
        <v>1</v>
      </c>
    </row>
    <row r="1097" spans="91:102" ht="21" customHeight="1" x14ac:dyDescent="0.25">
      <c r="CM1097" s="102"/>
      <c r="CN1097" s="112" t="s">
        <v>2994</v>
      </c>
      <c r="CO1097" s="112" t="s">
        <v>541</v>
      </c>
      <c r="CP1097" s="112" t="s">
        <v>523</v>
      </c>
      <c r="CQ1097" s="112" t="s">
        <v>2995</v>
      </c>
      <c r="CR1097" s="112" t="s">
        <v>2995</v>
      </c>
      <c r="CS1097" s="112" t="s">
        <v>1168</v>
      </c>
      <c r="CT1097" s="112" t="s">
        <v>1169</v>
      </c>
      <c r="CU1097" s="112" t="s">
        <v>1664</v>
      </c>
      <c r="CV1097" s="113" t="s">
        <v>1665</v>
      </c>
      <c r="CX1097" s="36">
        <v>1</v>
      </c>
    </row>
    <row r="1098" spans="91:102" ht="21" customHeight="1" x14ac:dyDescent="0.25">
      <c r="CM1098" s="102"/>
      <c r="CN1098" s="112" t="s">
        <v>2996</v>
      </c>
      <c r="CO1098" s="112" t="s">
        <v>541</v>
      </c>
      <c r="CP1098" s="112" t="s">
        <v>523</v>
      </c>
      <c r="CQ1098" s="112" t="s">
        <v>2997</v>
      </c>
      <c r="CR1098" s="112" t="s">
        <v>2997</v>
      </c>
      <c r="CS1098" s="112" t="s">
        <v>1168</v>
      </c>
      <c r="CT1098" s="112" t="s">
        <v>1169</v>
      </c>
      <c r="CU1098" s="112" t="s">
        <v>1664</v>
      </c>
      <c r="CV1098" s="113" t="s">
        <v>1665</v>
      </c>
      <c r="CX1098" s="36">
        <v>1</v>
      </c>
    </row>
    <row r="1099" spans="91:102" ht="21" customHeight="1" x14ac:dyDescent="0.25">
      <c r="CM1099" s="102"/>
      <c r="CN1099" s="112" t="s">
        <v>2998</v>
      </c>
      <c r="CO1099" s="112" t="s">
        <v>541</v>
      </c>
      <c r="CP1099" s="112" t="s">
        <v>523</v>
      </c>
      <c r="CQ1099" s="112" t="s">
        <v>2999</v>
      </c>
      <c r="CR1099" s="112" t="s">
        <v>2999</v>
      </c>
      <c r="CS1099" s="112" t="s">
        <v>1168</v>
      </c>
      <c r="CT1099" s="112" t="s">
        <v>1169</v>
      </c>
      <c r="CU1099" s="112" t="s">
        <v>1664</v>
      </c>
      <c r="CV1099" s="113" t="s">
        <v>1665</v>
      </c>
      <c r="CX1099" s="36">
        <v>1</v>
      </c>
    </row>
    <row r="1100" spans="91:102" ht="21" customHeight="1" x14ac:dyDescent="0.25">
      <c r="CM1100" s="102"/>
      <c r="CN1100" s="112" t="s">
        <v>3000</v>
      </c>
      <c r="CO1100" s="112" t="s">
        <v>541</v>
      </c>
      <c r="CP1100" s="112" t="s">
        <v>523</v>
      </c>
      <c r="CQ1100" s="112" t="s">
        <v>3001</v>
      </c>
      <c r="CR1100" s="112" t="s">
        <v>3001</v>
      </c>
      <c r="CS1100" s="112" t="s">
        <v>1168</v>
      </c>
      <c r="CT1100" s="112" t="s">
        <v>1169</v>
      </c>
      <c r="CU1100" s="112" t="s">
        <v>1664</v>
      </c>
      <c r="CV1100" s="113" t="s">
        <v>1665</v>
      </c>
      <c r="CX1100" s="36">
        <v>1</v>
      </c>
    </row>
    <row r="1101" spans="91:102" ht="21" customHeight="1" x14ac:dyDescent="0.25">
      <c r="CM1101" s="102"/>
      <c r="CN1101" s="112" t="s">
        <v>3002</v>
      </c>
      <c r="CO1101" s="112" t="s">
        <v>541</v>
      </c>
      <c r="CP1101" s="112" t="s">
        <v>523</v>
      </c>
      <c r="CQ1101" s="112" t="s">
        <v>3003</v>
      </c>
      <c r="CR1101" s="112" t="s">
        <v>3003</v>
      </c>
      <c r="CS1101" s="112" t="s">
        <v>1168</v>
      </c>
      <c r="CT1101" s="112" t="s">
        <v>1169</v>
      </c>
      <c r="CU1101" s="112" t="s">
        <v>1664</v>
      </c>
      <c r="CV1101" s="113" t="s">
        <v>1665</v>
      </c>
      <c r="CX1101" s="36">
        <v>1</v>
      </c>
    </row>
    <row r="1102" spans="91:102" ht="21" customHeight="1" x14ac:dyDescent="0.25">
      <c r="CM1102" s="102"/>
      <c r="CN1102" s="112" t="s">
        <v>3004</v>
      </c>
      <c r="CO1102" s="112" t="s">
        <v>541</v>
      </c>
      <c r="CP1102" s="112" t="s">
        <v>523</v>
      </c>
      <c r="CQ1102" s="112" t="s">
        <v>3005</v>
      </c>
      <c r="CR1102" s="112" t="s">
        <v>3005</v>
      </c>
      <c r="CS1102" s="112" t="s">
        <v>1168</v>
      </c>
      <c r="CT1102" s="112" t="s">
        <v>1169</v>
      </c>
      <c r="CU1102" s="112" t="s">
        <v>1664</v>
      </c>
      <c r="CV1102" s="113" t="s">
        <v>1665</v>
      </c>
      <c r="CX1102" s="36">
        <v>1</v>
      </c>
    </row>
    <row r="1103" spans="91:102" ht="21" customHeight="1" x14ac:dyDescent="0.25">
      <c r="CM1103" s="102"/>
      <c r="CN1103" s="112" t="s">
        <v>3006</v>
      </c>
      <c r="CO1103" s="112" t="s">
        <v>541</v>
      </c>
      <c r="CP1103" s="112" t="s">
        <v>523</v>
      </c>
      <c r="CQ1103" s="112" t="s">
        <v>3007</v>
      </c>
      <c r="CR1103" s="112" t="s">
        <v>3007</v>
      </c>
      <c r="CS1103" s="112" t="s">
        <v>1168</v>
      </c>
      <c r="CT1103" s="112" t="s">
        <v>1169</v>
      </c>
      <c r="CU1103" s="112" t="s">
        <v>1664</v>
      </c>
      <c r="CV1103" s="113" t="s">
        <v>1665</v>
      </c>
      <c r="CX1103" s="36">
        <v>1</v>
      </c>
    </row>
    <row r="1104" spans="91:102" ht="21" customHeight="1" x14ac:dyDescent="0.25">
      <c r="CM1104" s="102"/>
      <c r="CN1104" s="112" t="s">
        <v>3008</v>
      </c>
      <c r="CO1104" s="112" t="s">
        <v>541</v>
      </c>
      <c r="CP1104" s="112" t="s">
        <v>523</v>
      </c>
      <c r="CQ1104" s="112" t="s">
        <v>3009</v>
      </c>
      <c r="CR1104" s="112" t="s">
        <v>3009</v>
      </c>
      <c r="CS1104" s="112" t="s">
        <v>1168</v>
      </c>
      <c r="CT1104" s="112" t="s">
        <v>1169</v>
      </c>
      <c r="CU1104" s="112" t="s">
        <v>1664</v>
      </c>
      <c r="CV1104" s="113" t="s">
        <v>1665</v>
      </c>
      <c r="CX1104" s="36">
        <v>1</v>
      </c>
    </row>
    <row r="1105" spans="91:102" ht="21" customHeight="1" x14ac:dyDescent="0.25">
      <c r="CM1105" s="102"/>
      <c r="CN1105" s="112" t="s">
        <v>3010</v>
      </c>
      <c r="CO1105" s="112" t="s">
        <v>541</v>
      </c>
      <c r="CP1105" s="112" t="s">
        <v>523</v>
      </c>
      <c r="CQ1105" s="112" t="s">
        <v>3011</v>
      </c>
      <c r="CR1105" s="112" t="s">
        <v>3011</v>
      </c>
      <c r="CS1105" s="112" t="s">
        <v>1168</v>
      </c>
      <c r="CT1105" s="112" t="s">
        <v>1169</v>
      </c>
      <c r="CU1105" s="112" t="s">
        <v>1664</v>
      </c>
      <c r="CV1105" s="113" t="s">
        <v>1665</v>
      </c>
      <c r="CX1105" s="36">
        <v>1</v>
      </c>
    </row>
    <row r="1106" spans="91:102" ht="21" customHeight="1" x14ac:dyDescent="0.25">
      <c r="CM1106" s="102"/>
      <c r="CN1106" s="112" t="s">
        <v>3012</v>
      </c>
      <c r="CO1106" s="112" t="s">
        <v>541</v>
      </c>
      <c r="CP1106" s="112" t="s">
        <v>523</v>
      </c>
      <c r="CQ1106" s="112" t="s">
        <v>3013</v>
      </c>
      <c r="CR1106" s="112" t="s">
        <v>3013</v>
      </c>
      <c r="CS1106" s="112" t="s">
        <v>1168</v>
      </c>
      <c r="CT1106" s="112" t="s">
        <v>1169</v>
      </c>
      <c r="CU1106" s="112" t="s">
        <v>1664</v>
      </c>
      <c r="CV1106" s="113" t="s">
        <v>1665</v>
      </c>
      <c r="CX1106" s="36">
        <v>1</v>
      </c>
    </row>
    <row r="1107" spans="91:102" ht="21" customHeight="1" x14ac:dyDescent="0.25">
      <c r="CM1107" s="102"/>
      <c r="CN1107" s="112" t="s">
        <v>3014</v>
      </c>
      <c r="CO1107" s="112" t="s">
        <v>541</v>
      </c>
      <c r="CP1107" s="112" t="s">
        <v>523</v>
      </c>
      <c r="CQ1107" s="112" t="s">
        <v>3015</v>
      </c>
      <c r="CR1107" s="112" t="s">
        <v>3015</v>
      </c>
      <c r="CS1107" s="112" t="s">
        <v>1168</v>
      </c>
      <c r="CT1107" s="112" t="s">
        <v>1169</v>
      </c>
      <c r="CU1107" s="112" t="s">
        <v>1664</v>
      </c>
      <c r="CV1107" s="113" t="s">
        <v>1665</v>
      </c>
      <c r="CX1107" s="36">
        <v>1</v>
      </c>
    </row>
    <row r="1108" spans="91:102" ht="21" customHeight="1" x14ac:dyDescent="0.25">
      <c r="CM1108" s="102"/>
      <c r="CN1108" s="112" t="s">
        <v>3016</v>
      </c>
      <c r="CO1108" s="112" t="s">
        <v>541</v>
      </c>
      <c r="CP1108" s="112" t="s">
        <v>523</v>
      </c>
      <c r="CQ1108" s="112" t="s">
        <v>3017</v>
      </c>
      <c r="CR1108" s="112" t="s">
        <v>3017</v>
      </c>
      <c r="CS1108" s="112" t="s">
        <v>1168</v>
      </c>
      <c r="CT1108" s="112" t="s">
        <v>1169</v>
      </c>
      <c r="CU1108" s="112" t="s">
        <v>1664</v>
      </c>
      <c r="CV1108" s="113" t="s">
        <v>1665</v>
      </c>
      <c r="CX1108" s="36">
        <v>1</v>
      </c>
    </row>
    <row r="1109" spans="91:102" ht="21" customHeight="1" x14ac:dyDescent="0.25">
      <c r="CM1109" s="102"/>
      <c r="CN1109" s="112" t="s">
        <v>3018</v>
      </c>
      <c r="CO1109" s="112" t="s">
        <v>541</v>
      </c>
      <c r="CP1109" s="112" t="s">
        <v>523</v>
      </c>
      <c r="CQ1109" s="112" t="s">
        <v>3019</v>
      </c>
      <c r="CR1109" s="112" t="s">
        <v>3019</v>
      </c>
      <c r="CS1109" s="112" t="s">
        <v>1168</v>
      </c>
      <c r="CT1109" s="112" t="s">
        <v>1169</v>
      </c>
      <c r="CU1109" s="112" t="s">
        <v>1664</v>
      </c>
      <c r="CV1109" s="113" t="s">
        <v>1665</v>
      </c>
      <c r="CX1109" s="36">
        <v>1</v>
      </c>
    </row>
    <row r="1110" spans="91:102" ht="21" customHeight="1" x14ac:dyDescent="0.25">
      <c r="CM1110" s="102"/>
      <c r="CN1110" s="112" t="s">
        <v>3020</v>
      </c>
      <c r="CO1110" s="112" t="s">
        <v>541</v>
      </c>
      <c r="CP1110" s="112" t="s">
        <v>523</v>
      </c>
      <c r="CQ1110" s="112" t="s">
        <v>3021</v>
      </c>
      <c r="CR1110" s="112" t="s">
        <v>3021</v>
      </c>
      <c r="CS1110" s="112" t="s">
        <v>1168</v>
      </c>
      <c r="CT1110" s="112" t="s">
        <v>1169</v>
      </c>
      <c r="CU1110" s="112" t="s">
        <v>1664</v>
      </c>
      <c r="CV1110" s="113" t="s">
        <v>1665</v>
      </c>
      <c r="CX1110" s="36">
        <v>1</v>
      </c>
    </row>
    <row r="1111" spans="91:102" ht="21" customHeight="1" x14ac:dyDescent="0.25">
      <c r="CM1111" s="102"/>
      <c r="CN1111" s="112" t="s">
        <v>3022</v>
      </c>
      <c r="CO1111" s="112" t="s">
        <v>541</v>
      </c>
      <c r="CP1111" s="112" t="s">
        <v>523</v>
      </c>
      <c r="CQ1111" s="112" t="s">
        <v>3023</v>
      </c>
      <c r="CR1111" s="112" t="s">
        <v>3023</v>
      </c>
      <c r="CS1111" s="112" t="s">
        <v>1168</v>
      </c>
      <c r="CT1111" s="112" t="s">
        <v>1169</v>
      </c>
      <c r="CU1111" s="112" t="s">
        <v>1664</v>
      </c>
      <c r="CV1111" s="113" t="s">
        <v>1665</v>
      </c>
      <c r="CX1111" s="36">
        <v>1</v>
      </c>
    </row>
    <row r="1112" spans="91:102" ht="21" customHeight="1" x14ac:dyDescent="0.25">
      <c r="CM1112" s="102"/>
      <c r="CN1112" s="112" t="s">
        <v>3024</v>
      </c>
      <c r="CO1112" s="112" t="s">
        <v>541</v>
      </c>
      <c r="CP1112" s="112" t="s">
        <v>523</v>
      </c>
      <c r="CQ1112" s="112" t="s">
        <v>3025</v>
      </c>
      <c r="CR1112" s="112" t="s">
        <v>3025</v>
      </c>
      <c r="CS1112" s="112" t="s">
        <v>1168</v>
      </c>
      <c r="CT1112" s="112" t="s">
        <v>1169</v>
      </c>
      <c r="CU1112" s="112" t="s">
        <v>1664</v>
      </c>
      <c r="CV1112" s="113" t="s">
        <v>1665</v>
      </c>
      <c r="CX1112" s="36">
        <v>1</v>
      </c>
    </row>
    <row r="1113" spans="91:102" ht="21" customHeight="1" x14ac:dyDescent="0.25">
      <c r="CM1113" s="102"/>
      <c r="CN1113" s="112" t="s">
        <v>3026</v>
      </c>
      <c r="CO1113" s="112" t="s">
        <v>541</v>
      </c>
      <c r="CP1113" s="112" t="s">
        <v>523</v>
      </c>
      <c r="CQ1113" s="112" t="s">
        <v>3027</v>
      </c>
      <c r="CR1113" s="112" t="s">
        <v>3027</v>
      </c>
      <c r="CS1113" s="112" t="s">
        <v>1168</v>
      </c>
      <c r="CT1113" s="112" t="s">
        <v>1169</v>
      </c>
      <c r="CU1113" s="112" t="s">
        <v>1664</v>
      </c>
      <c r="CV1113" s="113" t="s">
        <v>1665</v>
      </c>
      <c r="CX1113" s="36">
        <v>1</v>
      </c>
    </row>
    <row r="1114" spans="91:102" ht="21" customHeight="1" x14ac:dyDescent="0.25">
      <c r="CM1114" s="102"/>
      <c r="CN1114" s="112" t="s">
        <v>3028</v>
      </c>
      <c r="CO1114" s="112" t="s">
        <v>541</v>
      </c>
      <c r="CP1114" s="112" t="s">
        <v>523</v>
      </c>
      <c r="CQ1114" s="112" t="s">
        <v>3029</v>
      </c>
      <c r="CR1114" s="112" t="s">
        <v>3029</v>
      </c>
      <c r="CS1114" s="112" t="s">
        <v>1168</v>
      </c>
      <c r="CT1114" s="112" t="s">
        <v>1169</v>
      </c>
      <c r="CU1114" s="112" t="s">
        <v>1664</v>
      </c>
      <c r="CV1114" s="113" t="s">
        <v>1665</v>
      </c>
      <c r="CX1114" s="36">
        <v>1</v>
      </c>
    </row>
    <row r="1115" spans="91:102" ht="21" customHeight="1" x14ac:dyDescent="0.25">
      <c r="CM1115" s="102"/>
      <c r="CN1115" s="112" t="s">
        <v>3030</v>
      </c>
      <c r="CO1115" s="112" t="s">
        <v>541</v>
      </c>
      <c r="CP1115" s="112" t="s">
        <v>523</v>
      </c>
      <c r="CQ1115" s="112" t="s">
        <v>3031</v>
      </c>
      <c r="CR1115" s="112" t="s">
        <v>3031</v>
      </c>
      <c r="CS1115" s="112" t="s">
        <v>1168</v>
      </c>
      <c r="CT1115" s="112" t="s">
        <v>1169</v>
      </c>
      <c r="CU1115" s="112" t="s">
        <v>1664</v>
      </c>
      <c r="CV1115" s="113" t="s">
        <v>1665</v>
      </c>
      <c r="CX1115" s="36">
        <v>1</v>
      </c>
    </row>
    <row r="1116" spans="91:102" ht="21" customHeight="1" x14ac:dyDescent="0.25">
      <c r="CM1116" s="102"/>
      <c r="CN1116" s="112" t="s">
        <v>3032</v>
      </c>
      <c r="CO1116" s="112" t="s">
        <v>541</v>
      </c>
      <c r="CP1116" s="112" t="s">
        <v>523</v>
      </c>
      <c r="CQ1116" s="112" t="s">
        <v>3033</v>
      </c>
      <c r="CR1116" s="112" t="s">
        <v>3033</v>
      </c>
      <c r="CS1116" s="112" t="s">
        <v>1168</v>
      </c>
      <c r="CT1116" s="112" t="s">
        <v>1169</v>
      </c>
      <c r="CU1116" s="112" t="s">
        <v>1664</v>
      </c>
      <c r="CV1116" s="113" t="s">
        <v>1665</v>
      </c>
      <c r="CX1116" s="36">
        <v>1</v>
      </c>
    </row>
    <row r="1117" spans="91:102" ht="21" customHeight="1" x14ac:dyDescent="0.25">
      <c r="CM1117" s="102"/>
      <c r="CN1117" s="112" t="s">
        <v>3034</v>
      </c>
      <c r="CO1117" s="112" t="s">
        <v>541</v>
      </c>
      <c r="CP1117" s="112" t="s">
        <v>523</v>
      </c>
      <c r="CQ1117" s="112" t="s">
        <v>3035</v>
      </c>
      <c r="CR1117" s="112" t="s">
        <v>3035</v>
      </c>
      <c r="CS1117" s="112" t="s">
        <v>1168</v>
      </c>
      <c r="CT1117" s="112" t="s">
        <v>1169</v>
      </c>
      <c r="CU1117" s="112" t="s">
        <v>1664</v>
      </c>
      <c r="CV1117" s="113" t="s">
        <v>1665</v>
      </c>
      <c r="CX1117" s="36">
        <v>1</v>
      </c>
    </row>
    <row r="1118" spans="91:102" ht="21" customHeight="1" x14ac:dyDescent="0.25">
      <c r="CM1118" s="102"/>
      <c r="CN1118" s="112" t="s">
        <v>3036</v>
      </c>
      <c r="CO1118" s="112" t="s">
        <v>541</v>
      </c>
      <c r="CP1118" s="112" t="s">
        <v>523</v>
      </c>
      <c r="CQ1118" s="112" t="s">
        <v>3037</v>
      </c>
      <c r="CR1118" s="112" t="s">
        <v>3037</v>
      </c>
      <c r="CS1118" s="112" t="s">
        <v>1168</v>
      </c>
      <c r="CT1118" s="112" t="s">
        <v>1169</v>
      </c>
      <c r="CU1118" s="112" t="s">
        <v>1664</v>
      </c>
      <c r="CV1118" s="113" t="s">
        <v>1665</v>
      </c>
      <c r="CX1118" s="36">
        <v>1</v>
      </c>
    </row>
    <row r="1119" spans="91:102" ht="21" customHeight="1" x14ac:dyDescent="0.25">
      <c r="CM1119" s="102"/>
      <c r="CN1119" s="112" t="s">
        <v>3038</v>
      </c>
      <c r="CO1119" s="112" t="s">
        <v>541</v>
      </c>
      <c r="CP1119" s="112" t="s">
        <v>523</v>
      </c>
      <c r="CQ1119" s="112" t="s">
        <v>3039</v>
      </c>
      <c r="CR1119" s="112" t="s">
        <v>3039</v>
      </c>
      <c r="CS1119" s="112" t="s">
        <v>1168</v>
      </c>
      <c r="CT1119" s="112" t="s">
        <v>1169</v>
      </c>
      <c r="CU1119" s="112" t="s">
        <v>1664</v>
      </c>
      <c r="CV1119" s="113" t="s">
        <v>1665</v>
      </c>
      <c r="CX1119" s="36">
        <v>1</v>
      </c>
    </row>
    <row r="1120" spans="91:102" ht="21" customHeight="1" x14ac:dyDescent="0.25">
      <c r="CM1120" s="102"/>
      <c r="CN1120" s="112" t="s">
        <v>3040</v>
      </c>
      <c r="CO1120" s="112" t="s">
        <v>541</v>
      </c>
      <c r="CP1120" s="112" t="s">
        <v>523</v>
      </c>
      <c r="CQ1120" s="112" t="s">
        <v>3041</v>
      </c>
      <c r="CR1120" s="112" t="s">
        <v>3041</v>
      </c>
      <c r="CS1120" s="112" t="s">
        <v>1168</v>
      </c>
      <c r="CT1120" s="112" t="s">
        <v>1169</v>
      </c>
      <c r="CU1120" s="112" t="s">
        <v>1664</v>
      </c>
      <c r="CV1120" s="113" t="s">
        <v>1665</v>
      </c>
      <c r="CX1120" s="36">
        <v>1</v>
      </c>
    </row>
    <row r="1121" spans="91:102" ht="21" customHeight="1" x14ac:dyDescent="0.25">
      <c r="CM1121" s="102"/>
      <c r="CN1121" s="112" t="s">
        <v>3042</v>
      </c>
      <c r="CO1121" s="112" t="s">
        <v>541</v>
      </c>
      <c r="CP1121" s="112" t="s">
        <v>523</v>
      </c>
      <c r="CQ1121" s="112" t="s">
        <v>3043</v>
      </c>
      <c r="CR1121" s="112" t="s">
        <v>3043</v>
      </c>
      <c r="CS1121" s="112" t="s">
        <v>1168</v>
      </c>
      <c r="CT1121" s="112" t="s">
        <v>1169</v>
      </c>
      <c r="CU1121" s="112" t="s">
        <v>1664</v>
      </c>
      <c r="CV1121" s="113" t="s">
        <v>1665</v>
      </c>
      <c r="CX1121" s="36">
        <v>1</v>
      </c>
    </row>
    <row r="1122" spans="91:102" ht="21" customHeight="1" x14ac:dyDescent="0.25">
      <c r="CM1122" s="102"/>
      <c r="CN1122" s="112" t="s">
        <v>3044</v>
      </c>
      <c r="CO1122" s="112" t="s">
        <v>541</v>
      </c>
      <c r="CP1122" s="112" t="s">
        <v>523</v>
      </c>
      <c r="CQ1122" s="112" t="s">
        <v>3045</v>
      </c>
      <c r="CR1122" s="112" t="s">
        <v>3045</v>
      </c>
      <c r="CS1122" s="112" t="s">
        <v>1168</v>
      </c>
      <c r="CT1122" s="112" t="s">
        <v>1169</v>
      </c>
      <c r="CU1122" s="112" t="s">
        <v>1664</v>
      </c>
      <c r="CV1122" s="113" t="s">
        <v>1665</v>
      </c>
      <c r="CX1122" s="36">
        <v>1</v>
      </c>
    </row>
    <row r="1123" spans="91:102" ht="21" customHeight="1" x14ac:dyDescent="0.25">
      <c r="CM1123" s="102"/>
      <c r="CN1123" s="112" t="s">
        <v>3046</v>
      </c>
      <c r="CO1123" s="112" t="s">
        <v>541</v>
      </c>
      <c r="CP1123" s="112" t="s">
        <v>523</v>
      </c>
      <c r="CQ1123" s="112" t="s">
        <v>3047</v>
      </c>
      <c r="CR1123" s="112" t="s">
        <v>3047</v>
      </c>
      <c r="CS1123" s="112" t="s">
        <v>1168</v>
      </c>
      <c r="CT1123" s="112" t="s">
        <v>1169</v>
      </c>
      <c r="CU1123" s="112" t="s">
        <v>1664</v>
      </c>
      <c r="CV1123" s="113" t="s">
        <v>1665</v>
      </c>
      <c r="CX1123" s="36">
        <v>1</v>
      </c>
    </row>
    <row r="1124" spans="91:102" ht="21" customHeight="1" x14ac:dyDescent="0.25">
      <c r="CM1124" s="102"/>
      <c r="CN1124" s="112" t="s">
        <v>3048</v>
      </c>
      <c r="CO1124" s="112" t="s">
        <v>541</v>
      </c>
      <c r="CP1124" s="112" t="s">
        <v>523</v>
      </c>
      <c r="CQ1124" s="112" t="s">
        <v>3049</v>
      </c>
      <c r="CR1124" s="112" t="s">
        <v>3049</v>
      </c>
      <c r="CS1124" s="112" t="s">
        <v>1168</v>
      </c>
      <c r="CT1124" s="112" t="s">
        <v>1169</v>
      </c>
      <c r="CU1124" s="112" t="s">
        <v>1664</v>
      </c>
      <c r="CV1124" s="113" t="s">
        <v>1665</v>
      </c>
      <c r="CX1124" s="36">
        <v>1</v>
      </c>
    </row>
    <row r="1125" spans="91:102" ht="21" customHeight="1" x14ac:dyDescent="0.25">
      <c r="CM1125" s="102"/>
      <c r="CN1125" s="112" t="s">
        <v>3050</v>
      </c>
      <c r="CO1125" s="112" t="s">
        <v>541</v>
      </c>
      <c r="CP1125" s="112" t="s">
        <v>523</v>
      </c>
      <c r="CQ1125" s="112" t="s">
        <v>3051</v>
      </c>
      <c r="CR1125" s="112" t="s">
        <v>3051</v>
      </c>
      <c r="CS1125" s="112" t="s">
        <v>1168</v>
      </c>
      <c r="CT1125" s="112" t="s">
        <v>1169</v>
      </c>
      <c r="CU1125" s="112" t="s">
        <v>1664</v>
      </c>
      <c r="CV1125" s="113" t="s">
        <v>1665</v>
      </c>
      <c r="CX1125" s="36">
        <v>1</v>
      </c>
    </row>
    <row r="1126" spans="91:102" ht="21" customHeight="1" x14ac:dyDescent="0.25">
      <c r="CM1126" s="102"/>
      <c r="CN1126" s="112" t="s">
        <v>3052</v>
      </c>
      <c r="CO1126" s="112" t="s">
        <v>541</v>
      </c>
      <c r="CP1126" s="112" t="s">
        <v>523</v>
      </c>
      <c r="CQ1126" s="112" t="s">
        <v>3053</v>
      </c>
      <c r="CR1126" s="112" t="s">
        <v>3053</v>
      </c>
      <c r="CS1126" s="112" t="s">
        <v>1168</v>
      </c>
      <c r="CT1126" s="112" t="s">
        <v>1169</v>
      </c>
      <c r="CU1126" s="112" t="s">
        <v>1664</v>
      </c>
      <c r="CV1126" s="113" t="s">
        <v>1665</v>
      </c>
      <c r="CX1126" s="36">
        <v>1</v>
      </c>
    </row>
    <row r="1127" spans="91:102" ht="21" customHeight="1" x14ac:dyDescent="0.25">
      <c r="CM1127" s="102"/>
      <c r="CN1127" s="112" t="s">
        <v>3054</v>
      </c>
      <c r="CO1127" s="112" t="s">
        <v>541</v>
      </c>
      <c r="CP1127" s="112" t="s">
        <v>523</v>
      </c>
      <c r="CQ1127" s="112" t="s">
        <v>3055</v>
      </c>
      <c r="CR1127" s="112" t="s">
        <v>3055</v>
      </c>
      <c r="CS1127" s="112" t="s">
        <v>1168</v>
      </c>
      <c r="CT1127" s="112" t="s">
        <v>1169</v>
      </c>
      <c r="CU1127" s="112" t="s">
        <v>1664</v>
      </c>
      <c r="CV1127" s="113" t="s">
        <v>1665</v>
      </c>
      <c r="CX1127" s="36">
        <v>1</v>
      </c>
    </row>
    <row r="1128" spans="91:102" ht="21" customHeight="1" x14ac:dyDescent="0.25">
      <c r="CM1128" s="102"/>
      <c r="CN1128" s="112" t="s">
        <v>3056</v>
      </c>
      <c r="CO1128" s="112" t="s">
        <v>541</v>
      </c>
      <c r="CP1128" s="112" t="s">
        <v>523</v>
      </c>
      <c r="CQ1128" s="112" t="s">
        <v>3057</v>
      </c>
      <c r="CR1128" s="112" t="s">
        <v>3057</v>
      </c>
      <c r="CS1128" s="112" t="s">
        <v>1168</v>
      </c>
      <c r="CT1128" s="112" t="s">
        <v>1169</v>
      </c>
      <c r="CU1128" s="112" t="s">
        <v>1664</v>
      </c>
      <c r="CV1128" s="113" t="s">
        <v>1665</v>
      </c>
      <c r="CX1128" s="36">
        <v>1</v>
      </c>
    </row>
    <row r="1129" spans="91:102" ht="21" customHeight="1" x14ac:dyDescent="0.25">
      <c r="CM1129" s="102"/>
      <c r="CN1129" s="112" t="s">
        <v>3058</v>
      </c>
      <c r="CO1129" s="112" t="s">
        <v>541</v>
      </c>
      <c r="CP1129" s="112" t="s">
        <v>523</v>
      </c>
      <c r="CQ1129" s="112" t="s">
        <v>3059</v>
      </c>
      <c r="CR1129" s="112" t="s">
        <v>3059</v>
      </c>
      <c r="CS1129" s="112" t="s">
        <v>1168</v>
      </c>
      <c r="CT1129" s="112" t="s">
        <v>1169</v>
      </c>
      <c r="CU1129" s="112" t="s">
        <v>1664</v>
      </c>
      <c r="CV1129" s="113" t="s">
        <v>1665</v>
      </c>
      <c r="CX1129" s="36">
        <v>1</v>
      </c>
    </row>
    <row r="1130" spans="91:102" ht="21" customHeight="1" x14ac:dyDescent="0.25">
      <c r="CM1130" s="102"/>
      <c r="CN1130" s="112" t="s">
        <v>3060</v>
      </c>
      <c r="CO1130" s="112" t="s">
        <v>541</v>
      </c>
      <c r="CP1130" s="112" t="s">
        <v>523</v>
      </c>
      <c r="CQ1130" s="112" t="s">
        <v>3061</v>
      </c>
      <c r="CR1130" s="112" t="s">
        <v>3061</v>
      </c>
      <c r="CS1130" s="112" t="s">
        <v>1168</v>
      </c>
      <c r="CT1130" s="112" t="s">
        <v>1169</v>
      </c>
      <c r="CU1130" s="112" t="s">
        <v>1664</v>
      </c>
      <c r="CV1130" s="113" t="s">
        <v>1665</v>
      </c>
      <c r="CX1130" s="36">
        <v>1</v>
      </c>
    </row>
    <row r="1131" spans="91:102" ht="21" customHeight="1" x14ac:dyDescent="0.25">
      <c r="CM1131" s="102"/>
      <c r="CN1131" s="112" t="s">
        <v>3062</v>
      </c>
      <c r="CO1131" s="112" t="s">
        <v>541</v>
      </c>
      <c r="CP1131" s="112" t="s">
        <v>523</v>
      </c>
      <c r="CQ1131" s="112" t="s">
        <v>3063</v>
      </c>
      <c r="CR1131" s="112" t="s">
        <v>3063</v>
      </c>
      <c r="CS1131" s="112" t="s">
        <v>1168</v>
      </c>
      <c r="CT1131" s="112" t="s">
        <v>1169</v>
      </c>
      <c r="CU1131" s="112" t="s">
        <v>1664</v>
      </c>
      <c r="CV1131" s="113" t="s">
        <v>1665</v>
      </c>
      <c r="CX1131" s="36">
        <v>1</v>
      </c>
    </row>
    <row r="1132" spans="91:102" ht="21" customHeight="1" x14ac:dyDescent="0.25">
      <c r="CM1132" s="102"/>
      <c r="CN1132" s="112" t="s">
        <v>3064</v>
      </c>
      <c r="CO1132" s="112" t="s">
        <v>541</v>
      </c>
      <c r="CP1132" s="112" t="s">
        <v>523</v>
      </c>
      <c r="CQ1132" s="112" t="s">
        <v>3065</v>
      </c>
      <c r="CR1132" s="112" t="s">
        <v>3065</v>
      </c>
      <c r="CS1132" s="112" t="s">
        <v>1168</v>
      </c>
      <c r="CT1132" s="112" t="s">
        <v>1169</v>
      </c>
      <c r="CU1132" s="112" t="s">
        <v>1664</v>
      </c>
      <c r="CV1132" s="113" t="s">
        <v>1665</v>
      </c>
      <c r="CX1132" s="36">
        <v>1</v>
      </c>
    </row>
    <row r="1133" spans="91:102" ht="21" customHeight="1" x14ac:dyDescent="0.25">
      <c r="CM1133" s="102"/>
      <c r="CN1133" s="112" t="s">
        <v>3066</v>
      </c>
      <c r="CO1133" s="112" t="s">
        <v>541</v>
      </c>
      <c r="CP1133" s="112" t="s">
        <v>523</v>
      </c>
      <c r="CQ1133" s="112" t="s">
        <v>3067</v>
      </c>
      <c r="CR1133" s="112" t="s">
        <v>3067</v>
      </c>
      <c r="CS1133" s="112" t="s">
        <v>1168</v>
      </c>
      <c r="CT1133" s="112" t="s">
        <v>1169</v>
      </c>
      <c r="CU1133" s="112" t="s">
        <v>1664</v>
      </c>
      <c r="CV1133" s="113" t="s">
        <v>1665</v>
      </c>
      <c r="CX1133" s="36">
        <v>1</v>
      </c>
    </row>
    <row r="1134" spans="91:102" ht="21" customHeight="1" x14ac:dyDescent="0.25">
      <c r="CM1134" s="102"/>
      <c r="CN1134" s="112" t="s">
        <v>3068</v>
      </c>
      <c r="CO1134" s="112" t="s">
        <v>541</v>
      </c>
      <c r="CP1134" s="112" t="s">
        <v>523</v>
      </c>
      <c r="CQ1134" s="112" t="s">
        <v>3069</v>
      </c>
      <c r="CR1134" s="112" t="s">
        <v>3069</v>
      </c>
      <c r="CS1134" s="112" t="s">
        <v>1168</v>
      </c>
      <c r="CT1134" s="112" t="s">
        <v>1169</v>
      </c>
      <c r="CU1134" s="112" t="s">
        <v>1664</v>
      </c>
      <c r="CV1134" s="113" t="s">
        <v>1665</v>
      </c>
      <c r="CX1134" s="36">
        <v>1</v>
      </c>
    </row>
    <row r="1135" spans="91:102" ht="21" customHeight="1" x14ac:dyDescent="0.25">
      <c r="CM1135" s="102"/>
      <c r="CN1135" s="112" t="s">
        <v>3070</v>
      </c>
      <c r="CO1135" s="112" t="s">
        <v>541</v>
      </c>
      <c r="CP1135" s="112" t="s">
        <v>523</v>
      </c>
      <c r="CQ1135" s="112" t="s">
        <v>3071</v>
      </c>
      <c r="CR1135" s="112" t="s">
        <v>3071</v>
      </c>
      <c r="CS1135" s="112" t="s">
        <v>1168</v>
      </c>
      <c r="CT1135" s="112" t="s">
        <v>1169</v>
      </c>
      <c r="CU1135" s="112" t="s">
        <v>1664</v>
      </c>
      <c r="CV1135" s="113" t="s">
        <v>1665</v>
      </c>
      <c r="CX1135" s="36">
        <v>1</v>
      </c>
    </row>
    <row r="1136" spans="91:102" ht="21" customHeight="1" x14ac:dyDescent="0.25">
      <c r="CM1136" s="102"/>
      <c r="CN1136" s="112" t="s">
        <v>3072</v>
      </c>
      <c r="CO1136" s="112" t="s">
        <v>541</v>
      </c>
      <c r="CP1136" s="112" t="s">
        <v>523</v>
      </c>
      <c r="CQ1136" s="112" t="s">
        <v>3073</v>
      </c>
      <c r="CR1136" s="112" t="s">
        <v>3073</v>
      </c>
      <c r="CS1136" s="112" t="s">
        <v>1168</v>
      </c>
      <c r="CT1136" s="112" t="s">
        <v>1169</v>
      </c>
      <c r="CU1136" s="112" t="s">
        <v>1664</v>
      </c>
      <c r="CV1136" s="113" t="s">
        <v>1665</v>
      </c>
      <c r="CX1136" s="36">
        <v>1</v>
      </c>
    </row>
    <row r="1137" spans="91:102" ht="21" customHeight="1" x14ac:dyDescent="0.25">
      <c r="CM1137" s="102"/>
      <c r="CN1137" s="112" t="s">
        <v>3074</v>
      </c>
      <c r="CO1137" s="112" t="s">
        <v>541</v>
      </c>
      <c r="CP1137" s="112" t="s">
        <v>523</v>
      </c>
      <c r="CQ1137" s="112" t="s">
        <v>3075</v>
      </c>
      <c r="CR1137" s="112" t="s">
        <v>3075</v>
      </c>
      <c r="CS1137" s="112" t="s">
        <v>1168</v>
      </c>
      <c r="CT1137" s="112" t="s">
        <v>1169</v>
      </c>
      <c r="CU1137" s="112" t="s">
        <v>1664</v>
      </c>
      <c r="CV1137" s="113" t="s">
        <v>1665</v>
      </c>
      <c r="CX1137" s="36">
        <v>1</v>
      </c>
    </row>
    <row r="1138" spans="91:102" ht="21" customHeight="1" x14ac:dyDescent="0.25">
      <c r="CM1138" s="102"/>
      <c r="CN1138" s="112" t="s">
        <v>3076</v>
      </c>
      <c r="CO1138" s="112" t="s">
        <v>541</v>
      </c>
      <c r="CP1138" s="112" t="s">
        <v>523</v>
      </c>
      <c r="CQ1138" s="112" t="s">
        <v>3077</v>
      </c>
      <c r="CR1138" s="112" t="s">
        <v>3077</v>
      </c>
      <c r="CS1138" s="112" t="s">
        <v>1168</v>
      </c>
      <c r="CT1138" s="112" t="s">
        <v>1169</v>
      </c>
      <c r="CU1138" s="112" t="s">
        <v>1664</v>
      </c>
      <c r="CV1138" s="113" t="s">
        <v>1665</v>
      </c>
      <c r="CX1138" s="36">
        <v>1</v>
      </c>
    </row>
    <row r="1139" spans="91:102" ht="21" customHeight="1" x14ac:dyDescent="0.25">
      <c r="CM1139" s="102"/>
      <c r="CN1139" s="112" t="s">
        <v>3078</v>
      </c>
      <c r="CO1139" s="112" t="s">
        <v>541</v>
      </c>
      <c r="CP1139" s="112" t="s">
        <v>523</v>
      </c>
      <c r="CQ1139" s="112" t="s">
        <v>3079</v>
      </c>
      <c r="CR1139" s="112" t="s">
        <v>3079</v>
      </c>
      <c r="CS1139" s="112" t="s">
        <v>1168</v>
      </c>
      <c r="CT1139" s="112" t="s">
        <v>1169</v>
      </c>
      <c r="CU1139" s="112" t="s">
        <v>1664</v>
      </c>
      <c r="CV1139" s="113" t="s">
        <v>1665</v>
      </c>
      <c r="CX1139" s="36">
        <v>1</v>
      </c>
    </row>
    <row r="1140" spans="91:102" ht="21" customHeight="1" x14ac:dyDescent="0.25">
      <c r="CM1140" s="102"/>
      <c r="CN1140" s="112" t="s">
        <v>3080</v>
      </c>
      <c r="CO1140" s="112" t="s">
        <v>541</v>
      </c>
      <c r="CP1140" s="112" t="s">
        <v>523</v>
      </c>
      <c r="CQ1140" s="112" t="s">
        <v>3081</v>
      </c>
      <c r="CR1140" s="112" t="s">
        <v>3081</v>
      </c>
      <c r="CS1140" s="112" t="s">
        <v>1168</v>
      </c>
      <c r="CT1140" s="112" t="s">
        <v>1169</v>
      </c>
      <c r="CU1140" s="112" t="s">
        <v>1664</v>
      </c>
      <c r="CV1140" s="113" t="s">
        <v>1665</v>
      </c>
      <c r="CX1140" s="36">
        <v>1</v>
      </c>
    </row>
    <row r="1141" spans="91:102" ht="21" customHeight="1" x14ac:dyDescent="0.25">
      <c r="CM1141" s="102"/>
      <c r="CN1141" s="112" t="s">
        <v>3082</v>
      </c>
      <c r="CO1141" s="112" t="s">
        <v>541</v>
      </c>
      <c r="CP1141" s="112" t="s">
        <v>523</v>
      </c>
      <c r="CQ1141" s="112" t="s">
        <v>3083</v>
      </c>
      <c r="CR1141" s="112" t="s">
        <v>3083</v>
      </c>
      <c r="CS1141" s="112" t="s">
        <v>1168</v>
      </c>
      <c r="CT1141" s="112" t="s">
        <v>1169</v>
      </c>
      <c r="CU1141" s="112" t="s">
        <v>1664</v>
      </c>
      <c r="CV1141" s="113" t="s">
        <v>1665</v>
      </c>
      <c r="CX1141" s="36">
        <v>1</v>
      </c>
    </row>
    <row r="1142" spans="91:102" ht="21" customHeight="1" x14ac:dyDescent="0.25">
      <c r="CM1142" s="102"/>
      <c r="CN1142" s="112" t="s">
        <v>3084</v>
      </c>
      <c r="CO1142" s="112" t="s">
        <v>541</v>
      </c>
      <c r="CP1142" s="112" t="s">
        <v>523</v>
      </c>
      <c r="CQ1142" s="112" t="s">
        <v>3085</v>
      </c>
      <c r="CR1142" s="112" t="s">
        <v>3085</v>
      </c>
      <c r="CS1142" s="112" t="s">
        <v>1168</v>
      </c>
      <c r="CT1142" s="112" t="s">
        <v>1169</v>
      </c>
      <c r="CU1142" s="112" t="s">
        <v>1664</v>
      </c>
      <c r="CV1142" s="113" t="s">
        <v>1665</v>
      </c>
      <c r="CX1142" s="36">
        <v>1</v>
      </c>
    </row>
    <row r="1143" spans="91:102" ht="21" customHeight="1" x14ac:dyDescent="0.25">
      <c r="CM1143" s="102"/>
      <c r="CN1143" s="112" t="s">
        <v>3086</v>
      </c>
      <c r="CO1143" s="112" t="s">
        <v>541</v>
      </c>
      <c r="CP1143" s="112" t="s">
        <v>523</v>
      </c>
      <c r="CQ1143" s="112" t="s">
        <v>3087</v>
      </c>
      <c r="CR1143" s="112" t="s">
        <v>3087</v>
      </c>
      <c r="CS1143" s="112" t="s">
        <v>1168</v>
      </c>
      <c r="CT1143" s="112" t="s">
        <v>1169</v>
      </c>
      <c r="CU1143" s="112" t="s">
        <v>1664</v>
      </c>
      <c r="CV1143" s="113" t="s">
        <v>1665</v>
      </c>
      <c r="CX1143" s="36">
        <v>1</v>
      </c>
    </row>
    <row r="1144" spans="91:102" ht="21" customHeight="1" x14ac:dyDescent="0.25">
      <c r="CM1144" s="102"/>
      <c r="CN1144" s="112" t="s">
        <v>3088</v>
      </c>
      <c r="CO1144" s="112" t="s">
        <v>541</v>
      </c>
      <c r="CP1144" s="112" t="s">
        <v>523</v>
      </c>
      <c r="CQ1144" s="112" t="s">
        <v>3089</v>
      </c>
      <c r="CR1144" s="112" t="s">
        <v>3089</v>
      </c>
      <c r="CS1144" s="112" t="s">
        <v>1168</v>
      </c>
      <c r="CT1144" s="112" t="s">
        <v>1169</v>
      </c>
      <c r="CU1144" s="112" t="s">
        <v>1664</v>
      </c>
      <c r="CV1144" s="113" t="s">
        <v>1665</v>
      </c>
      <c r="CX1144" s="36">
        <v>1</v>
      </c>
    </row>
    <row r="1145" spans="91:102" ht="21" customHeight="1" x14ac:dyDescent="0.25">
      <c r="CM1145" s="102"/>
      <c r="CN1145" s="112" t="s">
        <v>3090</v>
      </c>
      <c r="CO1145" s="112" t="s">
        <v>541</v>
      </c>
      <c r="CP1145" s="112" t="s">
        <v>523</v>
      </c>
      <c r="CQ1145" s="112" t="s">
        <v>3091</v>
      </c>
      <c r="CR1145" s="112" t="s">
        <v>3091</v>
      </c>
      <c r="CS1145" s="112" t="s">
        <v>1168</v>
      </c>
      <c r="CT1145" s="112" t="s">
        <v>1169</v>
      </c>
      <c r="CU1145" s="112" t="s">
        <v>1664</v>
      </c>
      <c r="CV1145" s="113" t="s">
        <v>1665</v>
      </c>
      <c r="CX1145" s="36">
        <v>1</v>
      </c>
    </row>
    <row r="1146" spans="91:102" ht="21" customHeight="1" x14ac:dyDescent="0.25">
      <c r="CM1146" s="102"/>
      <c r="CN1146" s="112" t="s">
        <v>3092</v>
      </c>
      <c r="CO1146" s="112" t="s">
        <v>541</v>
      </c>
      <c r="CP1146" s="112" t="s">
        <v>523</v>
      </c>
      <c r="CQ1146" s="112" t="s">
        <v>3093</v>
      </c>
      <c r="CR1146" s="112" t="s">
        <v>3093</v>
      </c>
      <c r="CS1146" s="112" t="s">
        <v>1168</v>
      </c>
      <c r="CT1146" s="112" t="s">
        <v>1169</v>
      </c>
      <c r="CU1146" s="112" t="s">
        <v>1664</v>
      </c>
      <c r="CV1146" s="113" t="s">
        <v>1665</v>
      </c>
      <c r="CX1146" s="36">
        <v>1</v>
      </c>
    </row>
    <row r="1147" spans="91:102" ht="21" customHeight="1" x14ac:dyDescent="0.25">
      <c r="CM1147" s="102"/>
      <c r="CN1147" s="112" t="s">
        <v>3094</v>
      </c>
      <c r="CO1147" s="112" t="s">
        <v>541</v>
      </c>
      <c r="CP1147" s="112" t="s">
        <v>523</v>
      </c>
      <c r="CQ1147" s="112" t="s">
        <v>3095</v>
      </c>
      <c r="CR1147" s="112" t="s">
        <v>3095</v>
      </c>
      <c r="CS1147" s="112" t="s">
        <v>1168</v>
      </c>
      <c r="CT1147" s="112" t="s">
        <v>1169</v>
      </c>
      <c r="CU1147" s="112" t="s">
        <v>1664</v>
      </c>
      <c r="CV1147" s="113" t="s">
        <v>1665</v>
      </c>
      <c r="CX1147" s="36">
        <v>1</v>
      </c>
    </row>
    <row r="1148" spans="91:102" ht="21" customHeight="1" x14ac:dyDescent="0.25">
      <c r="CM1148" s="102"/>
      <c r="CN1148" s="112" t="s">
        <v>3096</v>
      </c>
      <c r="CO1148" s="112" t="s">
        <v>541</v>
      </c>
      <c r="CP1148" s="112" t="s">
        <v>523</v>
      </c>
      <c r="CQ1148" s="112" t="s">
        <v>3097</v>
      </c>
      <c r="CR1148" s="112" t="s">
        <v>3097</v>
      </c>
      <c r="CS1148" s="112" t="s">
        <v>1168</v>
      </c>
      <c r="CT1148" s="112" t="s">
        <v>1169</v>
      </c>
      <c r="CU1148" s="112" t="s">
        <v>1664</v>
      </c>
      <c r="CV1148" s="113" t="s">
        <v>1665</v>
      </c>
      <c r="CX1148" s="36">
        <v>1</v>
      </c>
    </row>
    <row r="1149" spans="91:102" ht="21" customHeight="1" x14ac:dyDescent="0.25">
      <c r="CM1149" s="102"/>
      <c r="CN1149" s="112" t="s">
        <v>3098</v>
      </c>
      <c r="CO1149" s="112" t="s">
        <v>541</v>
      </c>
      <c r="CP1149" s="112" t="s">
        <v>523</v>
      </c>
      <c r="CQ1149" s="112" t="s">
        <v>3099</v>
      </c>
      <c r="CR1149" s="112" t="s">
        <v>3099</v>
      </c>
      <c r="CS1149" s="112" t="s">
        <v>1168</v>
      </c>
      <c r="CT1149" s="112" t="s">
        <v>1169</v>
      </c>
      <c r="CU1149" s="112" t="s">
        <v>1664</v>
      </c>
      <c r="CV1149" s="113" t="s">
        <v>1665</v>
      </c>
      <c r="CX1149" s="36">
        <v>1</v>
      </c>
    </row>
    <row r="1150" spans="91:102" ht="21" customHeight="1" x14ac:dyDescent="0.25">
      <c r="CM1150" s="102"/>
      <c r="CN1150" s="112" t="s">
        <v>3100</v>
      </c>
      <c r="CO1150" s="112" t="s">
        <v>541</v>
      </c>
      <c r="CP1150" s="112" t="s">
        <v>523</v>
      </c>
      <c r="CQ1150" s="112" t="s">
        <v>3101</v>
      </c>
      <c r="CR1150" s="112" t="s">
        <v>3101</v>
      </c>
      <c r="CS1150" s="112" t="s">
        <v>525</v>
      </c>
      <c r="CT1150" s="112" t="s">
        <v>1747</v>
      </c>
      <c r="CU1150" s="112" t="s">
        <v>527</v>
      </c>
      <c r="CV1150" s="113" t="s">
        <v>528</v>
      </c>
      <c r="CX1150" s="36">
        <v>1</v>
      </c>
    </row>
    <row r="1151" spans="91:102" ht="21" customHeight="1" x14ac:dyDescent="0.25">
      <c r="CM1151" s="102"/>
      <c r="CN1151" s="112" t="s">
        <v>3102</v>
      </c>
      <c r="CO1151" s="112" t="s">
        <v>541</v>
      </c>
      <c r="CP1151" s="112" t="s">
        <v>523</v>
      </c>
      <c r="CQ1151" s="112" t="s">
        <v>3103</v>
      </c>
      <c r="CR1151" s="112" t="s">
        <v>3103</v>
      </c>
      <c r="CS1151" s="112" t="s">
        <v>1168</v>
      </c>
      <c r="CT1151" s="112" t="s">
        <v>1169</v>
      </c>
      <c r="CU1151" s="112" t="s">
        <v>1664</v>
      </c>
      <c r="CV1151" s="113" t="s">
        <v>1665</v>
      </c>
      <c r="CX1151" s="36">
        <v>1</v>
      </c>
    </row>
    <row r="1152" spans="91:102" ht="21" customHeight="1" x14ac:dyDescent="0.25">
      <c r="CM1152" s="102"/>
      <c r="CN1152" s="112" t="s">
        <v>3104</v>
      </c>
      <c r="CO1152" s="112" t="s">
        <v>541</v>
      </c>
      <c r="CP1152" s="112" t="s">
        <v>523</v>
      </c>
      <c r="CQ1152" s="112" t="s">
        <v>3105</v>
      </c>
      <c r="CR1152" s="112" t="s">
        <v>3105</v>
      </c>
      <c r="CS1152" s="112" t="s">
        <v>1168</v>
      </c>
      <c r="CT1152" s="112" t="s">
        <v>1169</v>
      </c>
      <c r="CU1152" s="112" t="s">
        <v>1664</v>
      </c>
      <c r="CV1152" s="113" t="s">
        <v>1665</v>
      </c>
      <c r="CX1152" s="36">
        <v>1</v>
      </c>
    </row>
    <row r="1153" spans="91:102" ht="21" customHeight="1" x14ac:dyDescent="0.25">
      <c r="CM1153" s="102"/>
      <c r="CN1153" s="112" t="s">
        <v>3106</v>
      </c>
      <c r="CO1153" s="112" t="s">
        <v>541</v>
      </c>
      <c r="CP1153" s="112" t="s">
        <v>523</v>
      </c>
      <c r="CQ1153" s="112" t="s">
        <v>3107</v>
      </c>
      <c r="CR1153" s="112" t="s">
        <v>3107</v>
      </c>
      <c r="CS1153" s="112" t="s">
        <v>1168</v>
      </c>
      <c r="CT1153" s="112" t="s">
        <v>1169</v>
      </c>
      <c r="CU1153" s="112" t="s">
        <v>1664</v>
      </c>
      <c r="CV1153" s="113" t="s">
        <v>1665</v>
      </c>
      <c r="CX1153" s="36">
        <v>1</v>
      </c>
    </row>
    <row r="1154" spans="91:102" ht="21" customHeight="1" x14ac:dyDescent="0.25">
      <c r="CM1154" s="102"/>
      <c r="CN1154" s="112" t="s">
        <v>3108</v>
      </c>
      <c r="CO1154" s="112" t="s">
        <v>541</v>
      </c>
      <c r="CP1154" s="112" t="s">
        <v>523</v>
      </c>
      <c r="CQ1154" s="112" t="s">
        <v>3109</v>
      </c>
      <c r="CR1154" s="112" t="s">
        <v>3109</v>
      </c>
      <c r="CS1154" s="112" t="s">
        <v>1168</v>
      </c>
      <c r="CT1154" s="112" t="s">
        <v>1169</v>
      </c>
      <c r="CU1154" s="112" t="s">
        <v>1664</v>
      </c>
      <c r="CV1154" s="113" t="s">
        <v>1665</v>
      </c>
      <c r="CX1154" s="36">
        <v>1</v>
      </c>
    </row>
    <row r="1155" spans="91:102" ht="21" customHeight="1" x14ac:dyDescent="0.25">
      <c r="CM1155" s="102"/>
      <c r="CN1155" s="112" t="s">
        <v>3110</v>
      </c>
      <c r="CO1155" s="112" t="s">
        <v>541</v>
      </c>
      <c r="CP1155" s="112" t="s">
        <v>523</v>
      </c>
      <c r="CQ1155" s="112" t="s">
        <v>3111</v>
      </c>
      <c r="CR1155" s="112" t="s">
        <v>3111</v>
      </c>
      <c r="CS1155" s="112" t="s">
        <v>1168</v>
      </c>
      <c r="CT1155" s="112" t="s">
        <v>1169</v>
      </c>
      <c r="CU1155" s="112" t="s">
        <v>1664</v>
      </c>
      <c r="CV1155" s="113" t="s">
        <v>1665</v>
      </c>
      <c r="CX1155" s="36">
        <v>1</v>
      </c>
    </row>
    <row r="1156" spans="91:102" ht="21" customHeight="1" x14ac:dyDescent="0.25">
      <c r="CM1156" s="102"/>
      <c r="CN1156" s="112" t="s">
        <v>3112</v>
      </c>
      <c r="CO1156" s="112" t="s">
        <v>541</v>
      </c>
      <c r="CP1156" s="112" t="s">
        <v>523</v>
      </c>
      <c r="CQ1156" s="112" t="s">
        <v>3113</v>
      </c>
      <c r="CR1156" s="112" t="s">
        <v>3113</v>
      </c>
      <c r="CS1156" s="112" t="s">
        <v>1168</v>
      </c>
      <c r="CT1156" s="112" t="s">
        <v>1169</v>
      </c>
      <c r="CU1156" s="112" t="s">
        <v>1664</v>
      </c>
      <c r="CV1156" s="113" t="s">
        <v>1665</v>
      </c>
      <c r="CX1156" s="36">
        <v>1</v>
      </c>
    </row>
    <row r="1157" spans="91:102" ht="21" customHeight="1" x14ac:dyDescent="0.25">
      <c r="CM1157" s="102"/>
      <c r="CN1157" s="112" t="s">
        <v>3114</v>
      </c>
      <c r="CO1157" s="112" t="s">
        <v>541</v>
      </c>
      <c r="CP1157" s="112" t="s">
        <v>523</v>
      </c>
      <c r="CQ1157" s="112" t="s">
        <v>3115</v>
      </c>
      <c r="CR1157" s="112" t="s">
        <v>3115</v>
      </c>
      <c r="CS1157" s="112" t="s">
        <v>1168</v>
      </c>
      <c r="CT1157" s="112" t="s">
        <v>1169</v>
      </c>
      <c r="CU1157" s="112" t="s">
        <v>1664</v>
      </c>
      <c r="CV1157" s="113" t="s">
        <v>1665</v>
      </c>
      <c r="CX1157" s="36">
        <v>1</v>
      </c>
    </row>
    <row r="1158" spans="91:102" ht="21" customHeight="1" x14ac:dyDescent="0.25">
      <c r="CM1158" s="102"/>
      <c r="CN1158" s="112" t="s">
        <v>3116</v>
      </c>
      <c r="CO1158" s="112" t="s">
        <v>541</v>
      </c>
      <c r="CP1158" s="112" t="s">
        <v>523</v>
      </c>
      <c r="CQ1158" s="112" t="s">
        <v>3117</v>
      </c>
      <c r="CR1158" s="112" t="s">
        <v>3117</v>
      </c>
      <c r="CS1158" s="112" t="s">
        <v>1168</v>
      </c>
      <c r="CT1158" s="112" t="s">
        <v>1169</v>
      </c>
      <c r="CU1158" s="112" t="s">
        <v>1664</v>
      </c>
      <c r="CV1158" s="113" t="s">
        <v>1665</v>
      </c>
      <c r="CX1158" s="36">
        <v>1</v>
      </c>
    </row>
    <row r="1159" spans="91:102" ht="21" customHeight="1" x14ac:dyDescent="0.25">
      <c r="CM1159" s="102"/>
      <c r="CN1159" s="112" t="s">
        <v>3118</v>
      </c>
      <c r="CO1159" s="112" t="s">
        <v>541</v>
      </c>
      <c r="CP1159" s="112" t="s">
        <v>523</v>
      </c>
      <c r="CQ1159" s="112" t="s">
        <v>3119</v>
      </c>
      <c r="CR1159" s="112" t="s">
        <v>3119</v>
      </c>
      <c r="CS1159" s="112" t="s">
        <v>1168</v>
      </c>
      <c r="CT1159" s="112" t="s">
        <v>1169</v>
      </c>
      <c r="CU1159" s="112" t="s">
        <v>1664</v>
      </c>
      <c r="CV1159" s="113" t="s">
        <v>1665</v>
      </c>
      <c r="CX1159" s="36">
        <v>1</v>
      </c>
    </row>
    <row r="1160" spans="91:102" ht="21" customHeight="1" x14ac:dyDescent="0.25">
      <c r="CM1160" s="102"/>
      <c r="CN1160" s="112" t="s">
        <v>3120</v>
      </c>
      <c r="CO1160" s="112" t="s">
        <v>541</v>
      </c>
      <c r="CP1160" s="112" t="s">
        <v>523</v>
      </c>
      <c r="CQ1160" s="112" t="s">
        <v>3121</v>
      </c>
      <c r="CR1160" s="112" t="s">
        <v>3121</v>
      </c>
      <c r="CS1160" s="112" t="s">
        <v>1168</v>
      </c>
      <c r="CT1160" s="112" t="s">
        <v>1169</v>
      </c>
      <c r="CU1160" s="112" t="s">
        <v>1664</v>
      </c>
      <c r="CV1160" s="113" t="s">
        <v>1665</v>
      </c>
      <c r="CX1160" s="36">
        <v>1</v>
      </c>
    </row>
    <row r="1161" spans="91:102" ht="21" customHeight="1" x14ac:dyDescent="0.25">
      <c r="CM1161" s="102"/>
      <c r="CN1161" s="112" t="s">
        <v>3122</v>
      </c>
      <c r="CO1161" s="112" t="s">
        <v>541</v>
      </c>
      <c r="CP1161" s="112" t="s">
        <v>523</v>
      </c>
      <c r="CQ1161" s="112" t="s">
        <v>3123</v>
      </c>
      <c r="CR1161" s="112" t="s">
        <v>3123</v>
      </c>
      <c r="CS1161" s="112" t="s">
        <v>1168</v>
      </c>
      <c r="CT1161" s="112" t="s">
        <v>1169</v>
      </c>
      <c r="CU1161" s="112" t="s">
        <v>1664</v>
      </c>
      <c r="CV1161" s="113" t="s">
        <v>1665</v>
      </c>
      <c r="CX1161" s="36">
        <v>1</v>
      </c>
    </row>
    <row r="1162" spans="91:102" ht="21" customHeight="1" x14ac:dyDescent="0.25">
      <c r="CM1162" s="102"/>
      <c r="CN1162" s="112" t="s">
        <v>3124</v>
      </c>
      <c r="CO1162" s="112" t="s">
        <v>541</v>
      </c>
      <c r="CP1162" s="112" t="s">
        <v>523</v>
      </c>
      <c r="CQ1162" s="112" t="s">
        <v>3125</v>
      </c>
      <c r="CR1162" s="112" t="s">
        <v>3125</v>
      </c>
      <c r="CS1162" s="112" t="s">
        <v>1168</v>
      </c>
      <c r="CT1162" s="112" t="s">
        <v>1169</v>
      </c>
      <c r="CU1162" s="112" t="s">
        <v>1664</v>
      </c>
      <c r="CV1162" s="113" t="s">
        <v>1665</v>
      </c>
      <c r="CX1162" s="36">
        <v>1</v>
      </c>
    </row>
    <row r="1163" spans="91:102" ht="21" customHeight="1" x14ac:dyDescent="0.25">
      <c r="CM1163" s="102"/>
      <c r="CN1163" s="112" t="s">
        <v>3126</v>
      </c>
      <c r="CO1163" s="112" t="s">
        <v>541</v>
      </c>
      <c r="CP1163" s="112" t="s">
        <v>523</v>
      </c>
      <c r="CQ1163" s="112" t="s">
        <v>3127</v>
      </c>
      <c r="CR1163" s="112" t="s">
        <v>3127</v>
      </c>
      <c r="CS1163" s="112" t="s">
        <v>1168</v>
      </c>
      <c r="CT1163" s="112" t="s">
        <v>1169</v>
      </c>
      <c r="CU1163" s="112" t="s">
        <v>1664</v>
      </c>
      <c r="CV1163" s="113" t="s">
        <v>1665</v>
      </c>
      <c r="CX1163" s="36">
        <v>1</v>
      </c>
    </row>
    <row r="1164" spans="91:102" ht="21" customHeight="1" x14ac:dyDescent="0.25">
      <c r="CM1164" s="102"/>
      <c r="CN1164" s="112" t="s">
        <v>3128</v>
      </c>
      <c r="CO1164" s="112" t="s">
        <v>541</v>
      </c>
      <c r="CP1164" s="112" t="s">
        <v>523</v>
      </c>
      <c r="CQ1164" s="112" t="s">
        <v>3129</v>
      </c>
      <c r="CR1164" s="112" t="s">
        <v>3129</v>
      </c>
      <c r="CS1164" s="112" t="s">
        <v>1168</v>
      </c>
      <c r="CT1164" s="112" t="s">
        <v>1169</v>
      </c>
      <c r="CU1164" s="112" t="s">
        <v>1664</v>
      </c>
      <c r="CV1164" s="113" t="s">
        <v>1665</v>
      </c>
      <c r="CX1164" s="36">
        <v>1</v>
      </c>
    </row>
    <row r="1165" spans="91:102" ht="21" customHeight="1" x14ac:dyDescent="0.25">
      <c r="CM1165" s="102"/>
      <c r="CN1165" s="112" t="s">
        <v>3130</v>
      </c>
      <c r="CO1165" s="112" t="s">
        <v>541</v>
      </c>
      <c r="CP1165" s="112" t="s">
        <v>523</v>
      </c>
      <c r="CQ1165" s="112" t="s">
        <v>3131</v>
      </c>
      <c r="CR1165" s="112" t="s">
        <v>3131</v>
      </c>
      <c r="CS1165" s="112" t="s">
        <v>1168</v>
      </c>
      <c r="CT1165" s="112" t="s">
        <v>1169</v>
      </c>
      <c r="CU1165" s="112" t="s">
        <v>1664</v>
      </c>
      <c r="CV1165" s="113" t="s">
        <v>1665</v>
      </c>
      <c r="CX1165" s="36">
        <v>1</v>
      </c>
    </row>
    <row r="1166" spans="91:102" ht="21" customHeight="1" x14ac:dyDescent="0.25">
      <c r="CM1166" s="102"/>
      <c r="CN1166" s="112" t="s">
        <v>3132</v>
      </c>
      <c r="CO1166" s="112" t="s">
        <v>541</v>
      </c>
      <c r="CP1166" s="112" t="s">
        <v>523</v>
      </c>
      <c r="CQ1166" s="112" t="s">
        <v>3133</v>
      </c>
      <c r="CR1166" s="112" t="s">
        <v>3133</v>
      </c>
      <c r="CS1166" s="112" t="s">
        <v>1168</v>
      </c>
      <c r="CT1166" s="112" t="s">
        <v>1169</v>
      </c>
      <c r="CU1166" s="112" t="s">
        <v>1664</v>
      </c>
      <c r="CV1166" s="113" t="s">
        <v>1665</v>
      </c>
      <c r="CX1166" s="36">
        <v>1</v>
      </c>
    </row>
    <row r="1167" spans="91:102" ht="21" customHeight="1" x14ac:dyDescent="0.25">
      <c r="CM1167" s="102"/>
      <c r="CN1167" s="112" t="s">
        <v>3134</v>
      </c>
      <c r="CO1167" s="112" t="s">
        <v>541</v>
      </c>
      <c r="CP1167" s="112" t="s">
        <v>523</v>
      </c>
      <c r="CQ1167" s="112" t="s">
        <v>3135</v>
      </c>
      <c r="CR1167" s="112" t="s">
        <v>3135</v>
      </c>
      <c r="CS1167" s="112" t="s">
        <v>1168</v>
      </c>
      <c r="CT1167" s="112" t="s">
        <v>1169</v>
      </c>
      <c r="CU1167" s="112" t="s">
        <v>1664</v>
      </c>
      <c r="CV1167" s="113" t="s">
        <v>1665</v>
      </c>
      <c r="CX1167" s="36">
        <v>1</v>
      </c>
    </row>
    <row r="1168" spans="91:102" ht="21" customHeight="1" x14ac:dyDescent="0.25">
      <c r="CM1168" s="102"/>
      <c r="CN1168" s="112" t="s">
        <v>3136</v>
      </c>
      <c r="CO1168" s="112" t="s">
        <v>541</v>
      </c>
      <c r="CP1168" s="112" t="s">
        <v>523</v>
      </c>
      <c r="CQ1168" s="112" t="s">
        <v>3137</v>
      </c>
      <c r="CR1168" s="112" t="s">
        <v>3137</v>
      </c>
      <c r="CS1168" s="112" t="s">
        <v>1168</v>
      </c>
      <c r="CT1168" s="112" t="s">
        <v>1169</v>
      </c>
      <c r="CU1168" s="112" t="s">
        <v>1664</v>
      </c>
      <c r="CV1168" s="113" t="s">
        <v>1665</v>
      </c>
      <c r="CX1168" s="36">
        <v>1</v>
      </c>
    </row>
    <row r="1169" spans="91:102" ht="21" customHeight="1" x14ac:dyDescent="0.25">
      <c r="CM1169" s="102"/>
      <c r="CN1169" s="112" t="s">
        <v>3138</v>
      </c>
      <c r="CO1169" s="112" t="s">
        <v>541</v>
      </c>
      <c r="CP1169" s="112" t="s">
        <v>523</v>
      </c>
      <c r="CQ1169" s="112" t="s">
        <v>3139</v>
      </c>
      <c r="CR1169" s="112" t="s">
        <v>3139</v>
      </c>
      <c r="CS1169" s="112" t="s">
        <v>1168</v>
      </c>
      <c r="CT1169" s="112" t="s">
        <v>1169</v>
      </c>
      <c r="CU1169" s="112" t="s">
        <v>1664</v>
      </c>
      <c r="CV1169" s="113" t="s">
        <v>1665</v>
      </c>
      <c r="CX1169" s="36">
        <v>1</v>
      </c>
    </row>
    <row r="1170" spans="91:102" ht="21" customHeight="1" x14ac:dyDescent="0.25">
      <c r="CM1170" s="102"/>
      <c r="CN1170" s="112" t="s">
        <v>3140</v>
      </c>
      <c r="CO1170" s="112" t="s">
        <v>541</v>
      </c>
      <c r="CP1170" s="112" t="s">
        <v>523</v>
      </c>
      <c r="CQ1170" s="112" t="s">
        <v>3141</v>
      </c>
      <c r="CR1170" s="112" t="s">
        <v>3141</v>
      </c>
      <c r="CS1170" s="112" t="s">
        <v>1168</v>
      </c>
      <c r="CT1170" s="112" t="s">
        <v>1169</v>
      </c>
      <c r="CU1170" s="112" t="s">
        <v>1664</v>
      </c>
      <c r="CV1170" s="113" t="s">
        <v>1665</v>
      </c>
      <c r="CX1170" s="36">
        <v>1</v>
      </c>
    </row>
    <row r="1171" spans="91:102" ht="21" customHeight="1" x14ac:dyDescent="0.25">
      <c r="CM1171" s="102"/>
      <c r="CN1171" s="112" t="s">
        <v>3142</v>
      </c>
      <c r="CO1171" s="112" t="s">
        <v>541</v>
      </c>
      <c r="CP1171" s="112" t="s">
        <v>523</v>
      </c>
      <c r="CQ1171" s="112" t="s">
        <v>3143</v>
      </c>
      <c r="CR1171" s="112" t="s">
        <v>3143</v>
      </c>
      <c r="CS1171" s="112" t="s">
        <v>1168</v>
      </c>
      <c r="CT1171" s="112" t="s">
        <v>1169</v>
      </c>
      <c r="CU1171" s="112" t="s">
        <v>1664</v>
      </c>
      <c r="CV1171" s="113" t="s">
        <v>1665</v>
      </c>
      <c r="CX1171" s="36">
        <v>1</v>
      </c>
    </row>
    <row r="1172" spans="91:102" ht="21" customHeight="1" x14ac:dyDescent="0.25">
      <c r="CM1172" s="102"/>
      <c r="CN1172" s="112" t="s">
        <v>3144</v>
      </c>
      <c r="CO1172" s="112" t="s">
        <v>541</v>
      </c>
      <c r="CP1172" s="112" t="s">
        <v>523</v>
      </c>
      <c r="CQ1172" s="112" t="s">
        <v>3145</v>
      </c>
      <c r="CR1172" s="112" t="s">
        <v>3145</v>
      </c>
      <c r="CS1172" s="112" t="s">
        <v>1168</v>
      </c>
      <c r="CT1172" s="112" t="s">
        <v>1169</v>
      </c>
      <c r="CU1172" s="112" t="s">
        <v>1664</v>
      </c>
      <c r="CV1172" s="113" t="s">
        <v>1665</v>
      </c>
      <c r="CX1172" s="36">
        <v>1</v>
      </c>
    </row>
    <row r="1173" spans="91:102" ht="21" customHeight="1" x14ac:dyDescent="0.25">
      <c r="CM1173" s="102"/>
      <c r="CN1173" s="112" t="s">
        <v>3146</v>
      </c>
      <c r="CO1173" s="112" t="s">
        <v>541</v>
      </c>
      <c r="CP1173" s="112" t="s">
        <v>523</v>
      </c>
      <c r="CQ1173" s="112" t="s">
        <v>3147</v>
      </c>
      <c r="CR1173" s="112" t="s">
        <v>3147</v>
      </c>
      <c r="CS1173" s="112" t="s">
        <v>1168</v>
      </c>
      <c r="CT1173" s="112" t="s">
        <v>1169</v>
      </c>
      <c r="CU1173" s="112" t="s">
        <v>1664</v>
      </c>
      <c r="CV1173" s="113" t="s">
        <v>1665</v>
      </c>
      <c r="CX1173" s="36">
        <v>1</v>
      </c>
    </row>
    <row r="1174" spans="91:102" ht="21" customHeight="1" x14ac:dyDescent="0.25">
      <c r="CM1174" s="102"/>
      <c r="CN1174" s="112" t="s">
        <v>3148</v>
      </c>
      <c r="CO1174" s="112" t="s">
        <v>541</v>
      </c>
      <c r="CP1174" s="112" t="s">
        <v>523</v>
      </c>
      <c r="CQ1174" s="112" t="s">
        <v>3149</v>
      </c>
      <c r="CR1174" s="112" t="s">
        <v>3149</v>
      </c>
      <c r="CS1174" s="112" t="s">
        <v>610</v>
      </c>
      <c r="CT1174" s="112" t="s">
        <v>611</v>
      </c>
      <c r="CU1174" s="112" t="s">
        <v>527</v>
      </c>
      <c r="CV1174" s="113" t="s">
        <v>612</v>
      </c>
      <c r="CX1174" s="36">
        <v>1</v>
      </c>
    </row>
    <row r="1175" spans="91:102" ht="21" customHeight="1" x14ac:dyDescent="0.25">
      <c r="CM1175" s="102"/>
      <c r="CN1175" s="112" t="s">
        <v>3150</v>
      </c>
      <c r="CO1175" s="112" t="s">
        <v>541</v>
      </c>
      <c r="CP1175" s="112" t="s">
        <v>523</v>
      </c>
      <c r="CQ1175" s="112" t="s">
        <v>3151</v>
      </c>
      <c r="CR1175" s="112" t="s">
        <v>3151</v>
      </c>
      <c r="CS1175" s="112" t="s">
        <v>1168</v>
      </c>
      <c r="CT1175" s="112" t="s">
        <v>1169</v>
      </c>
      <c r="CU1175" s="112" t="s">
        <v>1664</v>
      </c>
      <c r="CV1175" s="113" t="s">
        <v>1665</v>
      </c>
      <c r="CX1175" s="36">
        <v>1</v>
      </c>
    </row>
    <row r="1176" spans="91:102" ht="21" customHeight="1" x14ac:dyDescent="0.25">
      <c r="CM1176" s="102"/>
      <c r="CN1176" s="112" t="s">
        <v>3152</v>
      </c>
      <c r="CO1176" s="112" t="s">
        <v>541</v>
      </c>
      <c r="CP1176" s="112" t="s">
        <v>523</v>
      </c>
      <c r="CQ1176" s="112" t="s">
        <v>3153</v>
      </c>
      <c r="CR1176" s="112" t="s">
        <v>3153</v>
      </c>
      <c r="CS1176" s="112" t="s">
        <v>1168</v>
      </c>
      <c r="CT1176" s="112" t="s">
        <v>1169</v>
      </c>
      <c r="CU1176" s="112" t="s">
        <v>1664</v>
      </c>
      <c r="CV1176" s="113" t="s">
        <v>1665</v>
      </c>
      <c r="CX1176" s="36">
        <v>1</v>
      </c>
    </row>
    <row r="1177" spans="91:102" ht="21" customHeight="1" x14ac:dyDescent="0.25">
      <c r="CM1177" s="102"/>
      <c r="CN1177" s="112" t="s">
        <v>3154</v>
      </c>
      <c r="CO1177" s="112" t="s">
        <v>541</v>
      </c>
      <c r="CP1177" s="112" t="s">
        <v>523</v>
      </c>
      <c r="CQ1177" s="112" t="s">
        <v>3155</v>
      </c>
      <c r="CR1177" s="112" t="s">
        <v>3155</v>
      </c>
      <c r="CS1177" s="112" t="s">
        <v>1168</v>
      </c>
      <c r="CT1177" s="112" t="s">
        <v>1169</v>
      </c>
      <c r="CU1177" s="112" t="s">
        <v>1664</v>
      </c>
      <c r="CV1177" s="113" t="s">
        <v>1665</v>
      </c>
      <c r="CX1177" s="36">
        <v>1</v>
      </c>
    </row>
    <row r="1178" spans="91:102" ht="21" customHeight="1" x14ac:dyDescent="0.25">
      <c r="CM1178" s="102"/>
      <c r="CN1178" s="112" t="s">
        <v>3156</v>
      </c>
      <c r="CO1178" s="112" t="s">
        <v>541</v>
      </c>
      <c r="CP1178" s="112" t="s">
        <v>523</v>
      </c>
      <c r="CQ1178" s="112" t="s">
        <v>3157</v>
      </c>
      <c r="CR1178" s="112" t="s">
        <v>3157</v>
      </c>
      <c r="CS1178" s="112" t="s">
        <v>1168</v>
      </c>
      <c r="CT1178" s="112" t="s">
        <v>1169</v>
      </c>
      <c r="CU1178" s="112" t="s">
        <v>1664</v>
      </c>
      <c r="CV1178" s="113" t="s">
        <v>1665</v>
      </c>
      <c r="CX1178" s="36">
        <v>1</v>
      </c>
    </row>
    <row r="1179" spans="91:102" ht="21" customHeight="1" x14ac:dyDescent="0.25">
      <c r="CM1179" s="102"/>
      <c r="CN1179" s="112" t="s">
        <v>3158</v>
      </c>
      <c r="CO1179" s="112" t="s">
        <v>541</v>
      </c>
      <c r="CP1179" s="112" t="s">
        <v>523</v>
      </c>
      <c r="CQ1179" s="112" t="s">
        <v>3159</v>
      </c>
      <c r="CR1179" s="112" t="s">
        <v>3159</v>
      </c>
      <c r="CS1179" s="112" t="s">
        <v>1168</v>
      </c>
      <c r="CT1179" s="112" t="s">
        <v>1169</v>
      </c>
      <c r="CU1179" s="112" t="s">
        <v>1664</v>
      </c>
      <c r="CV1179" s="113" t="s">
        <v>1665</v>
      </c>
      <c r="CX1179" s="36">
        <v>1</v>
      </c>
    </row>
    <row r="1180" spans="91:102" ht="21" customHeight="1" x14ac:dyDescent="0.25">
      <c r="CM1180" s="102"/>
      <c r="CN1180" s="112" t="s">
        <v>3160</v>
      </c>
      <c r="CO1180" s="112" t="s">
        <v>541</v>
      </c>
      <c r="CP1180" s="112" t="s">
        <v>523</v>
      </c>
      <c r="CQ1180" s="112" t="s">
        <v>3161</v>
      </c>
      <c r="CR1180" s="112" t="s">
        <v>3161</v>
      </c>
      <c r="CS1180" s="112" t="s">
        <v>1168</v>
      </c>
      <c r="CT1180" s="112" t="s">
        <v>1169</v>
      </c>
      <c r="CU1180" s="112" t="s">
        <v>1664</v>
      </c>
      <c r="CV1180" s="113" t="s">
        <v>1665</v>
      </c>
      <c r="CX1180" s="36">
        <v>1</v>
      </c>
    </row>
    <row r="1181" spans="91:102" ht="21" customHeight="1" x14ac:dyDescent="0.25">
      <c r="CM1181" s="102"/>
      <c r="CN1181" s="112" t="s">
        <v>3162</v>
      </c>
      <c r="CO1181" s="112" t="s">
        <v>541</v>
      </c>
      <c r="CP1181" s="112" t="s">
        <v>523</v>
      </c>
      <c r="CQ1181" s="112" t="s">
        <v>3163</v>
      </c>
      <c r="CR1181" s="112" t="s">
        <v>3163</v>
      </c>
      <c r="CS1181" s="112" t="s">
        <v>1168</v>
      </c>
      <c r="CT1181" s="112" t="s">
        <v>1169</v>
      </c>
      <c r="CU1181" s="112" t="s">
        <v>1664</v>
      </c>
      <c r="CV1181" s="113" t="s">
        <v>1665</v>
      </c>
      <c r="CX1181" s="36">
        <v>1</v>
      </c>
    </row>
    <row r="1182" spans="91:102" ht="21" customHeight="1" x14ac:dyDescent="0.25">
      <c r="CM1182" s="102"/>
      <c r="CN1182" s="112" t="s">
        <v>3164</v>
      </c>
      <c r="CO1182" s="112" t="s">
        <v>541</v>
      </c>
      <c r="CP1182" s="112" t="s">
        <v>523</v>
      </c>
      <c r="CQ1182" s="112" t="s">
        <v>3165</v>
      </c>
      <c r="CR1182" s="112" t="s">
        <v>3165</v>
      </c>
      <c r="CS1182" s="112" t="s">
        <v>1168</v>
      </c>
      <c r="CT1182" s="112" t="s">
        <v>1169</v>
      </c>
      <c r="CU1182" s="112" t="s">
        <v>1664</v>
      </c>
      <c r="CV1182" s="113" t="s">
        <v>1665</v>
      </c>
      <c r="CX1182" s="36">
        <v>1</v>
      </c>
    </row>
    <row r="1183" spans="91:102" ht="21" customHeight="1" x14ac:dyDescent="0.25">
      <c r="CM1183" s="102"/>
      <c r="CN1183" s="112" t="s">
        <v>3166</v>
      </c>
      <c r="CO1183" s="112" t="s">
        <v>541</v>
      </c>
      <c r="CP1183" s="112" t="s">
        <v>523</v>
      </c>
      <c r="CQ1183" s="112" t="s">
        <v>3167</v>
      </c>
      <c r="CR1183" s="112" t="s">
        <v>3167</v>
      </c>
      <c r="CS1183" s="112" t="s">
        <v>1168</v>
      </c>
      <c r="CT1183" s="112" t="s">
        <v>1169</v>
      </c>
      <c r="CU1183" s="112" t="s">
        <v>1664</v>
      </c>
      <c r="CV1183" s="113" t="s">
        <v>1665</v>
      </c>
      <c r="CX1183" s="36">
        <v>1</v>
      </c>
    </row>
    <row r="1184" spans="91:102" ht="21" customHeight="1" x14ac:dyDescent="0.25">
      <c r="CM1184" s="102"/>
      <c r="CN1184" s="112" t="s">
        <v>3168</v>
      </c>
      <c r="CO1184" s="112" t="s">
        <v>541</v>
      </c>
      <c r="CP1184" s="112" t="s">
        <v>523</v>
      </c>
      <c r="CQ1184" s="112" t="s">
        <v>3169</v>
      </c>
      <c r="CR1184" s="112" t="s">
        <v>3169</v>
      </c>
      <c r="CS1184" s="112" t="s">
        <v>1168</v>
      </c>
      <c r="CT1184" s="112" t="s">
        <v>1169</v>
      </c>
      <c r="CU1184" s="112" t="s">
        <v>1664</v>
      </c>
      <c r="CV1184" s="113" t="s">
        <v>1665</v>
      </c>
      <c r="CX1184" s="36">
        <v>1</v>
      </c>
    </row>
    <row r="1185" spans="91:102" ht="21" customHeight="1" x14ac:dyDescent="0.25">
      <c r="CM1185" s="102"/>
      <c r="CN1185" s="112" t="s">
        <v>3170</v>
      </c>
      <c r="CO1185" s="112" t="s">
        <v>541</v>
      </c>
      <c r="CP1185" s="112" t="s">
        <v>523</v>
      </c>
      <c r="CQ1185" s="112" t="s">
        <v>3171</v>
      </c>
      <c r="CR1185" s="112" t="s">
        <v>3171</v>
      </c>
      <c r="CS1185" s="112" t="s">
        <v>610</v>
      </c>
      <c r="CT1185" s="112" t="s">
        <v>611</v>
      </c>
      <c r="CU1185" s="112" t="s">
        <v>527</v>
      </c>
      <c r="CV1185" s="113" t="s">
        <v>612</v>
      </c>
      <c r="CX1185" s="36">
        <v>1</v>
      </c>
    </row>
    <row r="1186" spans="91:102" ht="21" customHeight="1" x14ac:dyDescent="0.25">
      <c r="CM1186" s="102"/>
      <c r="CN1186" s="112" t="s">
        <v>3172</v>
      </c>
      <c r="CO1186" s="112" t="s">
        <v>541</v>
      </c>
      <c r="CP1186" s="112" t="s">
        <v>523</v>
      </c>
      <c r="CQ1186" s="112" t="s">
        <v>3173</v>
      </c>
      <c r="CR1186" s="112" t="s">
        <v>3173</v>
      </c>
      <c r="CS1186" s="112" t="s">
        <v>1168</v>
      </c>
      <c r="CT1186" s="112" t="s">
        <v>1169</v>
      </c>
      <c r="CU1186" s="112" t="s">
        <v>1664</v>
      </c>
      <c r="CV1186" s="113" t="s">
        <v>1665</v>
      </c>
      <c r="CX1186" s="36">
        <v>1</v>
      </c>
    </row>
    <row r="1187" spans="91:102" ht="21" customHeight="1" x14ac:dyDescent="0.25">
      <c r="CM1187" s="102"/>
      <c r="CN1187" s="112" t="s">
        <v>3174</v>
      </c>
      <c r="CO1187" s="112" t="s">
        <v>541</v>
      </c>
      <c r="CP1187" s="112" t="s">
        <v>523</v>
      </c>
      <c r="CQ1187" s="112" t="s">
        <v>3175</v>
      </c>
      <c r="CR1187" s="112" t="s">
        <v>3175</v>
      </c>
      <c r="CS1187" s="112" t="s">
        <v>1168</v>
      </c>
      <c r="CT1187" s="112" t="s">
        <v>1169</v>
      </c>
      <c r="CU1187" s="112" t="s">
        <v>1664</v>
      </c>
      <c r="CV1187" s="113" t="s">
        <v>1665</v>
      </c>
      <c r="CX1187" s="36">
        <v>1</v>
      </c>
    </row>
    <row r="1188" spans="91:102" ht="21" customHeight="1" x14ac:dyDescent="0.25">
      <c r="CM1188" s="102"/>
      <c r="CN1188" s="112" t="s">
        <v>3176</v>
      </c>
      <c r="CO1188" s="112" t="s">
        <v>541</v>
      </c>
      <c r="CP1188" s="112" t="s">
        <v>523</v>
      </c>
      <c r="CQ1188" s="112" t="s">
        <v>3177</v>
      </c>
      <c r="CR1188" s="112" t="s">
        <v>3177</v>
      </c>
      <c r="CS1188" s="112" t="s">
        <v>1168</v>
      </c>
      <c r="CT1188" s="112" t="s">
        <v>1169</v>
      </c>
      <c r="CU1188" s="112" t="s">
        <v>1664</v>
      </c>
      <c r="CV1188" s="113" t="s">
        <v>1665</v>
      </c>
      <c r="CX1188" s="36">
        <v>1</v>
      </c>
    </row>
    <row r="1189" spans="91:102" ht="21" customHeight="1" x14ac:dyDescent="0.25">
      <c r="CM1189" s="102"/>
      <c r="CN1189" s="112" t="s">
        <v>3178</v>
      </c>
      <c r="CO1189" s="112" t="s">
        <v>541</v>
      </c>
      <c r="CP1189" s="112" t="s">
        <v>523</v>
      </c>
      <c r="CQ1189" s="112" t="s">
        <v>3179</v>
      </c>
      <c r="CR1189" s="112" t="s">
        <v>3179</v>
      </c>
      <c r="CS1189" s="112" t="s">
        <v>1168</v>
      </c>
      <c r="CT1189" s="112" t="s">
        <v>1169</v>
      </c>
      <c r="CU1189" s="112" t="s">
        <v>1664</v>
      </c>
      <c r="CV1189" s="113" t="s">
        <v>1665</v>
      </c>
      <c r="CX1189" s="36">
        <v>1</v>
      </c>
    </row>
    <row r="1190" spans="91:102" ht="21" customHeight="1" x14ac:dyDescent="0.25">
      <c r="CM1190" s="102"/>
      <c r="CN1190" s="112" t="s">
        <v>3180</v>
      </c>
      <c r="CO1190" s="112" t="s">
        <v>541</v>
      </c>
      <c r="CP1190" s="112" t="s">
        <v>523</v>
      </c>
      <c r="CQ1190" s="112" t="s">
        <v>3181</v>
      </c>
      <c r="CR1190" s="112" t="s">
        <v>3181</v>
      </c>
      <c r="CS1190" s="112" t="s">
        <v>1168</v>
      </c>
      <c r="CT1190" s="112" t="s">
        <v>1169</v>
      </c>
      <c r="CU1190" s="112" t="s">
        <v>1664</v>
      </c>
      <c r="CV1190" s="113" t="s">
        <v>1665</v>
      </c>
      <c r="CX1190" s="36">
        <v>1</v>
      </c>
    </row>
    <row r="1191" spans="91:102" ht="21" customHeight="1" x14ac:dyDescent="0.25">
      <c r="CM1191" s="102"/>
      <c r="CN1191" s="112" t="s">
        <v>3182</v>
      </c>
      <c r="CO1191" s="112" t="s">
        <v>541</v>
      </c>
      <c r="CP1191" s="112" t="s">
        <v>523</v>
      </c>
      <c r="CQ1191" s="112" t="s">
        <v>3183</v>
      </c>
      <c r="CR1191" s="112" t="s">
        <v>3183</v>
      </c>
      <c r="CS1191" s="112" t="s">
        <v>1168</v>
      </c>
      <c r="CT1191" s="112" t="s">
        <v>1169</v>
      </c>
      <c r="CU1191" s="112" t="s">
        <v>1664</v>
      </c>
      <c r="CV1191" s="113" t="s">
        <v>1665</v>
      </c>
      <c r="CX1191" s="36">
        <v>1</v>
      </c>
    </row>
    <row r="1192" spans="91:102" ht="21" customHeight="1" x14ac:dyDescent="0.25">
      <c r="CM1192" s="102"/>
      <c r="CN1192" s="112" t="s">
        <v>3184</v>
      </c>
      <c r="CO1192" s="112" t="s">
        <v>541</v>
      </c>
      <c r="CP1192" s="112" t="s">
        <v>523</v>
      </c>
      <c r="CQ1192" s="112" t="s">
        <v>3185</v>
      </c>
      <c r="CR1192" s="112" t="s">
        <v>3185</v>
      </c>
      <c r="CS1192" s="112" t="s">
        <v>525</v>
      </c>
      <c r="CT1192" s="112" t="s">
        <v>1747</v>
      </c>
      <c r="CU1192" s="112" t="s">
        <v>527</v>
      </c>
      <c r="CV1192" s="113" t="s">
        <v>528</v>
      </c>
      <c r="CX1192" s="36">
        <v>1</v>
      </c>
    </row>
    <row r="1193" spans="91:102" ht="21" customHeight="1" x14ac:dyDescent="0.25">
      <c r="CM1193" s="102"/>
      <c r="CN1193" s="112" t="s">
        <v>3186</v>
      </c>
      <c r="CO1193" s="112" t="s">
        <v>541</v>
      </c>
      <c r="CP1193" s="112" t="s">
        <v>523</v>
      </c>
      <c r="CQ1193" s="112" t="s">
        <v>3187</v>
      </c>
      <c r="CR1193" s="112" t="s">
        <v>3187</v>
      </c>
      <c r="CS1193" s="112" t="s">
        <v>525</v>
      </c>
      <c r="CT1193" s="112" t="s">
        <v>1747</v>
      </c>
      <c r="CU1193" s="112" t="s">
        <v>527</v>
      </c>
      <c r="CV1193" s="113" t="s">
        <v>528</v>
      </c>
      <c r="CX1193" s="36">
        <v>1</v>
      </c>
    </row>
    <row r="1194" spans="91:102" ht="21" customHeight="1" x14ac:dyDescent="0.25">
      <c r="CM1194" s="102"/>
      <c r="CN1194" s="112" t="s">
        <v>3188</v>
      </c>
      <c r="CO1194" s="112" t="s">
        <v>541</v>
      </c>
      <c r="CP1194" s="112" t="s">
        <v>523</v>
      </c>
      <c r="CQ1194" s="112" t="s">
        <v>3189</v>
      </c>
      <c r="CR1194" s="112" t="s">
        <v>3189</v>
      </c>
      <c r="CS1194" s="112" t="s">
        <v>1168</v>
      </c>
      <c r="CT1194" s="112" t="s">
        <v>1169</v>
      </c>
      <c r="CU1194" s="112" t="s">
        <v>1664</v>
      </c>
      <c r="CV1194" s="113" t="s">
        <v>1665</v>
      </c>
      <c r="CX1194" s="36">
        <v>1</v>
      </c>
    </row>
    <row r="1195" spans="91:102" ht="21" customHeight="1" x14ac:dyDescent="0.25">
      <c r="CM1195" s="102"/>
      <c r="CN1195" s="112" t="s">
        <v>3190</v>
      </c>
      <c r="CO1195" s="112" t="s">
        <v>541</v>
      </c>
      <c r="CP1195" s="112" t="s">
        <v>523</v>
      </c>
      <c r="CQ1195" s="112" t="s">
        <v>3191</v>
      </c>
      <c r="CR1195" s="112" t="s">
        <v>3191</v>
      </c>
      <c r="CS1195" s="112" t="s">
        <v>1168</v>
      </c>
      <c r="CT1195" s="112" t="s">
        <v>1169</v>
      </c>
      <c r="CU1195" s="112" t="s">
        <v>1664</v>
      </c>
      <c r="CV1195" s="113" t="s">
        <v>1665</v>
      </c>
      <c r="CX1195" s="36">
        <v>1</v>
      </c>
    </row>
    <row r="1196" spans="91:102" ht="21" customHeight="1" x14ac:dyDescent="0.25">
      <c r="CM1196" s="102"/>
      <c r="CN1196" s="112" t="s">
        <v>3192</v>
      </c>
      <c r="CO1196" s="112" t="s">
        <v>541</v>
      </c>
      <c r="CP1196" s="112" t="s">
        <v>523</v>
      </c>
      <c r="CQ1196" s="112" t="s">
        <v>3193</v>
      </c>
      <c r="CR1196" s="112" t="s">
        <v>3193</v>
      </c>
      <c r="CS1196" s="112" t="s">
        <v>1168</v>
      </c>
      <c r="CT1196" s="112" t="s">
        <v>1169</v>
      </c>
      <c r="CU1196" s="112" t="s">
        <v>1664</v>
      </c>
      <c r="CV1196" s="113" t="s">
        <v>1665</v>
      </c>
      <c r="CX1196" s="36">
        <v>1</v>
      </c>
    </row>
    <row r="1197" spans="91:102" ht="21" customHeight="1" x14ac:dyDescent="0.25">
      <c r="CM1197" s="102"/>
      <c r="CN1197" s="112" t="s">
        <v>3194</v>
      </c>
      <c r="CO1197" s="112" t="s">
        <v>541</v>
      </c>
      <c r="CP1197" s="112" t="s">
        <v>523</v>
      </c>
      <c r="CQ1197" s="112" t="s">
        <v>3195</v>
      </c>
      <c r="CR1197" s="112" t="s">
        <v>3195</v>
      </c>
      <c r="CS1197" s="112" t="s">
        <v>1168</v>
      </c>
      <c r="CT1197" s="112" t="s">
        <v>1169</v>
      </c>
      <c r="CU1197" s="112" t="s">
        <v>1664</v>
      </c>
      <c r="CV1197" s="113" t="s">
        <v>1665</v>
      </c>
      <c r="CX1197" s="36">
        <v>1</v>
      </c>
    </row>
    <row r="1198" spans="91:102" ht="21" customHeight="1" x14ac:dyDescent="0.25">
      <c r="CM1198" s="102"/>
      <c r="CN1198" s="112" t="s">
        <v>3196</v>
      </c>
      <c r="CO1198" s="112" t="s">
        <v>541</v>
      </c>
      <c r="CP1198" s="112" t="s">
        <v>523</v>
      </c>
      <c r="CQ1198" s="112" t="s">
        <v>3197</v>
      </c>
      <c r="CR1198" s="112" t="s">
        <v>3197</v>
      </c>
      <c r="CS1198" s="112" t="s">
        <v>1168</v>
      </c>
      <c r="CT1198" s="112" t="s">
        <v>1169</v>
      </c>
      <c r="CU1198" s="112" t="s">
        <v>1664</v>
      </c>
      <c r="CV1198" s="113" t="s">
        <v>1665</v>
      </c>
      <c r="CX1198" s="36">
        <v>1</v>
      </c>
    </row>
    <row r="1199" spans="91:102" ht="21" customHeight="1" x14ac:dyDescent="0.25">
      <c r="CM1199" s="102"/>
      <c r="CN1199" s="112" t="s">
        <v>3198</v>
      </c>
      <c r="CO1199" s="112" t="s">
        <v>541</v>
      </c>
      <c r="CP1199" s="112" t="s">
        <v>523</v>
      </c>
      <c r="CQ1199" s="112" t="s">
        <v>3199</v>
      </c>
      <c r="CR1199" s="112" t="s">
        <v>3199</v>
      </c>
      <c r="CS1199" s="112" t="s">
        <v>1168</v>
      </c>
      <c r="CT1199" s="112" t="s">
        <v>1169</v>
      </c>
      <c r="CU1199" s="112" t="s">
        <v>1664</v>
      </c>
      <c r="CV1199" s="113" t="s">
        <v>1665</v>
      </c>
      <c r="CX1199" s="36">
        <v>1</v>
      </c>
    </row>
    <row r="1200" spans="91:102" ht="21" customHeight="1" x14ac:dyDescent="0.25">
      <c r="CM1200" s="102"/>
      <c r="CN1200" s="112" t="s">
        <v>3200</v>
      </c>
      <c r="CO1200" s="112" t="s">
        <v>541</v>
      </c>
      <c r="CP1200" s="112" t="s">
        <v>523</v>
      </c>
      <c r="CQ1200" s="112" t="s">
        <v>3201</v>
      </c>
      <c r="CR1200" s="112" t="s">
        <v>3201</v>
      </c>
      <c r="CS1200" s="112" t="s">
        <v>1168</v>
      </c>
      <c r="CT1200" s="112" t="s">
        <v>1169</v>
      </c>
      <c r="CU1200" s="112" t="s">
        <v>1664</v>
      </c>
      <c r="CV1200" s="113" t="s">
        <v>1665</v>
      </c>
      <c r="CX1200" s="36">
        <v>1</v>
      </c>
    </row>
    <row r="1201" spans="91:102" ht="21" customHeight="1" x14ac:dyDescent="0.25">
      <c r="CM1201" s="102"/>
      <c r="CN1201" s="112" t="s">
        <v>3202</v>
      </c>
      <c r="CO1201" s="112" t="s">
        <v>541</v>
      </c>
      <c r="CP1201" s="112" t="s">
        <v>523</v>
      </c>
      <c r="CQ1201" s="112" t="s">
        <v>3203</v>
      </c>
      <c r="CR1201" s="112" t="s">
        <v>3203</v>
      </c>
      <c r="CS1201" s="112" t="s">
        <v>1168</v>
      </c>
      <c r="CT1201" s="112" t="s">
        <v>1169</v>
      </c>
      <c r="CU1201" s="112" t="s">
        <v>1664</v>
      </c>
      <c r="CV1201" s="113" t="s">
        <v>1665</v>
      </c>
      <c r="CX1201" s="36">
        <v>1</v>
      </c>
    </row>
    <row r="1202" spans="91:102" ht="21" customHeight="1" x14ac:dyDescent="0.25">
      <c r="CM1202" s="102"/>
      <c r="CN1202" s="112" t="s">
        <v>3204</v>
      </c>
      <c r="CO1202" s="112" t="s">
        <v>541</v>
      </c>
      <c r="CP1202" s="112" t="s">
        <v>523</v>
      </c>
      <c r="CQ1202" s="112" t="s">
        <v>3205</v>
      </c>
      <c r="CR1202" s="112" t="s">
        <v>3205</v>
      </c>
      <c r="CS1202" s="112" t="s">
        <v>1168</v>
      </c>
      <c r="CT1202" s="112" t="s">
        <v>1169</v>
      </c>
      <c r="CU1202" s="112" t="s">
        <v>1664</v>
      </c>
      <c r="CV1202" s="113" t="s">
        <v>1665</v>
      </c>
      <c r="CX1202" s="36">
        <v>1</v>
      </c>
    </row>
    <row r="1203" spans="91:102" ht="21" customHeight="1" x14ac:dyDescent="0.25">
      <c r="CM1203" s="102"/>
      <c r="CN1203" s="112" t="s">
        <v>3206</v>
      </c>
      <c r="CO1203" s="112" t="s">
        <v>541</v>
      </c>
      <c r="CP1203" s="112" t="s">
        <v>523</v>
      </c>
      <c r="CQ1203" s="112" t="s">
        <v>3207</v>
      </c>
      <c r="CR1203" s="112" t="s">
        <v>3207</v>
      </c>
      <c r="CS1203" s="112" t="s">
        <v>1168</v>
      </c>
      <c r="CT1203" s="112" t="s">
        <v>1169</v>
      </c>
      <c r="CU1203" s="112" t="s">
        <v>1664</v>
      </c>
      <c r="CV1203" s="113" t="s">
        <v>1665</v>
      </c>
      <c r="CX1203" s="36">
        <v>1</v>
      </c>
    </row>
    <row r="1204" spans="91:102" ht="21" customHeight="1" x14ac:dyDescent="0.25">
      <c r="CM1204" s="102"/>
      <c r="CN1204" s="112" t="s">
        <v>3208</v>
      </c>
      <c r="CO1204" s="112" t="s">
        <v>541</v>
      </c>
      <c r="CP1204" s="112" t="s">
        <v>523</v>
      </c>
      <c r="CQ1204" s="112" t="s">
        <v>3209</v>
      </c>
      <c r="CR1204" s="112" t="s">
        <v>3209</v>
      </c>
      <c r="CS1204" s="112" t="s">
        <v>1168</v>
      </c>
      <c r="CT1204" s="112" t="s">
        <v>1169</v>
      </c>
      <c r="CU1204" s="112" t="s">
        <v>1664</v>
      </c>
      <c r="CV1204" s="113" t="s">
        <v>1665</v>
      </c>
      <c r="CX1204" s="36">
        <v>1</v>
      </c>
    </row>
    <row r="1205" spans="91:102" ht="21" customHeight="1" x14ac:dyDescent="0.25">
      <c r="CM1205" s="102"/>
      <c r="CN1205" s="112" t="s">
        <v>3210</v>
      </c>
      <c r="CO1205" s="112" t="s">
        <v>541</v>
      </c>
      <c r="CP1205" s="112" t="s">
        <v>523</v>
      </c>
      <c r="CQ1205" s="112" t="s">
        <v>3211</v>
      </c>
      <c r="CR1205" s="112" t="s">
        <v>3211</v>
      </c>
      <c r="CS1205" s="112" t="s">
        <v>610</v>
      </c>
      <c r="CT1205" s="112" t="s">
        <v>611</v>
      </c>
      <c r="CU1205" s="112" t="s">
        <v>527</v>
      </c>
      <c r="CV1205" s="113" t="s">
        <v>612</v>
      </c>
      <c r="CX1205" s="36">
        <v>1</v>
      </c>
    </row>
    <row r="1206" spans="91:102" ht="21" customHeight="1" x14ac:dyDescent="0.25">
      <c r="CM1206" s="102"/>
      <c r="CN1206" s="112" t="s">
        <v>3212</v>
      </c>
      <c r="CO1206" s="112" t="s">
        <v>541</v>
      </c>
      <c r="CP1206" s="112" t="s">
        <v>523</v>
      </c>
      <c r="CQ1206" s="112" t="s">
        <v>3213</v>
      </c>
      <c r="CR1206" s="112" t="s">
        <v>3213</v>
      </c>
      <c r="CS1206" s="112" t="s">
        <v>610</v>
      </c>
      <c r="CT1206" s="112" t="s">
        <v>611</v>
      </c>
      <c r="CU1206" s="112" t="s">
        <v>527</v>
      </c>
      <c r="CV1206" s="113" t="s">
        <v>612</v>
      </c>
      <c r="CX1206" s="36">
        <v>1</v>
      </c>
    </row>
    <row r="1207" spans="91:102" ht="21" customHeight="1" x14ac:dyDescent="0.25">
      <c r="CM1207" s="102"/>
      <c r="CN1207" s="112" t="s">
        <v>3214</v>
      </c>
      <c r="CO1207" s="112" t="s">
        <v>541</v>
      </c>
      <c r="CP1207" s="112" t="s">
        <v>523</v>
      </c>
      <c r="CQ1207" s="112" t="s">
        <v>3215</v>
      </c>
      <c r="CR1207" s="112" t="s">
        <v>3215</v>
      </c>
      <c r="CS1207" s="112" t="s">
        <v>610</v>
      </c>
      <c r="CT1207" s="112" t="s">
        <v>611</v>
      </c>
      <c r="CU1207" s="112" t="s">
        <v>527</v>
      </c>
      <c r="CV1207" s="113" t="s">
        <v>612</v>
      </c>
      <c r="CX1207" s="36">
        <v>1</v>
      </c>
    </row>
    <row r="1208" spans="91:102" ht="21" customHeight="1" x14ac:dyDescent="0.25">
      <c r="CM1208" s="102"/>
      <c r="CN1208" s="112" t="s">
        <v>3216</v>
      </c>
      <c r="CO1208" s="112" t="s">
        <v>541</v>
      </c>
      <c r="CP1208" s="112" t="s">
        <v>523</v>
      </c>
      <c r="CQ1208" s="112" t="s">
        <v>3217</v>
      </c>
      <c r="CR1208" s="112" t="s">
        <v>3217</v>
      </c>
      <c r="CS1208" s="112" t="s">
        <v>610</v>
      </c>
      <c r="CT1208" s="112" t="s">
        <v>611</v>
      </c>
      <c r="CU1208" s="112" t="s">
        <v>527</v>
      </c>
      <c r="CV1208" s="113" t="s">
        <v>612</v>
      </c>
      <c r="CX1208" s="36">
        <v>1</v>
      </c>
    </row>
    <row r="1209" spans="91:102" ht="21" customHeight="1" x14ac:dyDescent="0.25">
      <c r="CM1209" s="102"/>
      <c r="CN1209" s="112" t="s">
        <v>3218</v>
      </c>
      <c r="CO1209" s="112" t="s">
        <v>541</v>
      </c>
      <c r="CP1209" s="112" t="s">
        <v>523</v>
      </c>
      <c r="CQ1209" s="112" t="s">
        <v>3219</v>
      </c>
      <c r="CR1209" s="112" t="s">
        <v>3219</v>
      </c>
      <c r="CS1209" s="112" t="s">
        <v>1168</v>
      </c>
      <c r="CT1209" s="112" t="s">
        <v>1169</v>
      </c>
      <c r="CU1209" s="112" t="s">
        <v>1664</v>
      </c>
      <c r="CV1209" s="113" t="s">
        <v>1665</v>
      </c>
      <c r="CX1209" s="36">
        <v>1</v>
      </c>
    </row>
    <row r="1210" spans="91:102" ht="21" customHeight="1" x14ac:dyDescent="0.25">
      <c r="CM1210" s="102"/>
      <c r="CN1210" s="112" t="s">
        <v>3220</v>
      </c>
      <c r="CO1210" s="112" t="s">
        <v>541</v>
      </c>
      <c r="CP1210" s="112" t="s">
        <v>523</v>
      </c>
      <c r="CQ1210" s="112" t="s">
        <v>3221</v>
      </c>
      <c r="CR1210" s="112" t="s">
        <v>3221</v>
      </c>
      <c r="CS1210" s="112" t="s">
        <v>1168</v>
      </c>
      <c r="CT1210" s="112" t="s">
        <v>1169</v>
      </c>
      <c r="CU1210" s="112" t="s">
        <v>1664</v>
      </c>
      <c r="CV1210" s="113" t="s">
        <v>1665</v>
      </c>
      <c r="CX1210" s="36">
        <v>1</v>
      </c>
    </row>
    <row r="1211" spans="91:102" ht="21" customHeight="1" x14ac:dyDescent="0.25">
      <c r="CM1211" s="102"/>
      <c r="CN1211" s="112" t="s">
        <v>3222</v>
      </c>
      <c r="CO1211" s="112" t="s">
        <v>541</v>
      </c>
      <c r="CP1211" s="112" t="s">
        <v>523</v>
      </c>
      <c r="CQ1211" s="112" t="s">
        <v>3223</v>
      </c>
      <c r="CR1211" s="112" t="s">
        <v>3223</v>
      </c>
      <c r="CS1211" s="112" t="s">
        <v>1168</v>
      </c>
      <c r="CT1211" s="112" t="s">
        <v>1169</v>
      </c>
      <c r="CU1211" s="112" t="s">
        <v>1664</v>
      </c>
      <c r="CV1211" s="113" t="s">
        <v>1665</v>
      </c>
      <c r="CX1211" s="36">
        <v>1</v>
      </c>
    </row>
    <row r="1212" spans="91:102" ht="21" customHeight="1" x14ac:dyDescent="0.25">
      <c r="CM1212" s="102"/>
      <c r="CN1212" s="112" t="s">
        <v>3224</v>
      </c>
      <c r="CO1212" s="112" t="s">
        <v>541</v>
      </c>
      <c r="CP1212" s="112" t="s">
        <v>523</v>
      </c>
      <c r="CQ1212" s="112" t="s">
        <v>3225</v>
      </c>
      <c r="CR1212" s="112" t="s">
        <v>3225</v>
      </c>
      <c r="CS1212" s="112" t="s">
        <v>1168</v>
      </c>
      <c r="CT1212" s="112" t="s">
        <v>1169</v>
      </c>
      <c r="CU1212" s="112" t="s">
        <v>1664</v>
      </c>
      <c r="CV1212" s="113" t="s">
        <v>1665</v>
      </c>
      <c r="CX1212" s="36">
        <v>1</v>
      </c>
    </row>
    <row r="1213" spans="91:102" ht="21" customHeight="1" x14ac:dyDescent="0.25">
      <c r="CM1213" s="102"/>
      <c r="CN1213" s="112" t="s">
        <v>3226</v>
      </c>
      <c r="CO1213" s="112" t="s">
        <v>541</v>
      </c>
      <c r="CP1213" s="112" t="s">
        <v>523</v>
      </c>
      <c r="CQ1213" s="112" t="s">
        <v>3227</v>
      </c>
      <c r="CR1213" s="112" t="s">
        <v>3227</v>
      </c>
      <c r="CS1213" s="112" t="s">
        <v>1168</v>
      </c>
      <c r="CT1213" s="112" t="s">
        <v>1169</v>
      </c>
      <c r="CU1213" s="112" t="s">
        <v>1664</v>
      </c>
      <c r="CV1213" s="113" t="s">
        <v>1665</v>
      </c>
      <c r="CX1213" s="36">
        <v>1</v>
      </c>
    </row>
    <row r="1214" spans="91:102" ht="21" customHeight="1" x14ac:dyDescent="0.25">
      <c r="CM1214" s="102"/>
      <c r="CN1214" s="112" t="s">
        <v>3228</v>
      </c>
      <c r="CO1214" s="112" t="s">
        <v>541</v>
      </c>
      <c r="CP1214" s="112" t="s">
        <v>523</v>
      </c>
      <c r="CQ1214" s="112" t="s">
        <v>3229</v>
      </c>
      <c r="CR1214" s="112" t="s">
        <v>3229</v>
      </c>
      <c r="CS1214" s="112" t="s">
        <v>1168</v>
      </c>
      <c r="CT1214" s="112" t="s">
        <v>1169</v>
      </c>
      <c r="CU1214" s="112" t="s">
        <v>1664</v>
      </c>
      <c r="CV1214" s="113" t="s">
        <v>1665</v>
      </c>
      <c r="CX1214" s="36">
        <v>1</v>
      </c>
    </row>
    <row r="1215" spans="91:102" ht="21" customHeight="1" x14ac:dyDescent="0.25">
      <c r="CM1215" s="102"/>
      <c r="CN1215" s="112" t="s">
        <v>3230</v>
      </c>
      <c r="CO1215" s="112" t="s">
        <v>541</v>
      </c>
      <c r="CP1215" s="112" t="s">
        <v>523</v>
      </c>
      <c r="CQ1215" s="112" t="s">
        <v>3231</v>
      </c>
      <c r="CR1215" s="112" t="s">
        <v>3231</v>
      </c>
      <c r="CS1215" s="112" t="s">
        <v>1168</v>
      </c>
      <c r="CT1215" s="112" t="s">
        <v>1169</v>
      </c>
      <c r="CU1215" s="112" t="s">
        <v>1664</v>
      </c>
      <c r="CV1215" s="113" t="s">
        <v>1665</v>
      </c>
      <c r="CX1215" s="36">
        <v>1</v>
      </c>
    </row>
    <row r="1216" spans="91:102" ht="21" customHeight="1" x14ac:dyDescent="0.25">
      <c r="CM1216" s="102"/>
      <c r="CN1216" s="112" t="s">
        <v>3232</v>
      </c>
      <c r="CO1216" s="112" t="s">
        <v>541</v>
      </c>
      <c r="CP1216" s="112" t="s">
        <v>523</v>
      </c>
      <c r="CQ1216" s="112" t="s">
        <v>3233</v>
      </c>
      <c r="CR1216" s="112" t="s">
        <v>3233</v>
      </c>
      <c r="CS1216" s="112" t="s">
        <v>1168</v>
      </c>
      <c r="CT1216" s="112" t="s">
        <v>1169</v>
      </c>
      <c r="CU1216" s="112" t="s">
        <v>1664</v>
      </c>
      <c r="CV1216" s="113" t="s">
        <v>1665</v>
      </c>
      <c r="CX1216" s="36">
        <v>1</v>
      </c>
    </row>
    <row r="1217" spans="91:102" ht="21" customHeight="1" x14ac:dyDescent="0.25">
      <c r="CM1217" s="102"/>
      <c r="CN1217" s="112" t="s">
        <v>3234</v>
      </c>
      <c r="CO1217" s="112" t="s">
        <v>541</v>
      </c>
      <c r="CP1217" s="112" t="s">
        <v>523</v>
      </c>
      <c r="CQ1217" s="112" t="s">
        <v>3235</v>
      </c>
      <c r="CR1217" s="112" t="s">
        <v>3235</v>
      </c>
      <c r="CS1217" s="112" t="s">
        <v>1168</v>
      </c>
      <c r="CT1217" s="112" t="s">
        <v>1169</v>
      </c>
      <c r="CU1217" s="112" t="s">
        <v>1664</v>
      </c>
      <c r="CV1217" s="113" t="s">
        <v>1665</v>
      </c>
      <c r="CX1217" s="36">
        <v>1</v>
      </c>
    </row>
    <row r="1218" spans="91:102" ht="21" customHeight="1" x14ac:dyDescent="0.25">
      <c r="CM1218" s="102"/>
      <c r="CN1218" s="112" t="s">
        <v>3236</v>
      </c>
      <c r="CO1218" s="112" t="s">
        <v>541</v>
      </c>
      <c r="CP1218" s="112" t="s">
        <v>523</v>
      </c>
      <c r="CQ1218" s="112" t="s">
        <v>3237</v>
      </c>
      <c r="CR1218" s="112" t="s">
        <v>3237</v>
      </c>
      <c r="CS1218" s="112" t="s">
        <v>1168</v>
      </c>
      <c r="CT1218" s="112" t="s">
        <v>1169</v>
      </c>
      <c r="CU1218" s="112" t="s">
        <v>1664</v>
      </c>
      <c r="CV1218" s="113" t="s">
        <v>1665</v>
      </c>
      <c r="CX1218" s="36">
        <v>1</v>
      </c>
    </row>
    <row r="1219" spans="91:102" ht="21" customHeight="1" x14ac:dyDescent="0.25">
      <c r="CM1219" s="102"/>
      <c r="CN1219" s="112" t="s">
        <v>3238</v>
      </c>
      <c r="CO1219" s="112" t="s">
        <v>541</v>
      </c>
      <c r="CP1219" s="112" t="s">
        <v>523</v>
      </c>
      <c r="CQ1219" s="112" t="s">
        <v>3239</v>
      </c>
      <c r="CR1219" s="112" t="s">
        <v>3239</v>
      </c>
      <c r="CS1219" s="112" t="s">
        <v>1168</v>
      </c>
      <c r="CT1219" s="112" t="s">
        <v>1169</v>
      </c>
      <c r="CU1219" s="112" t="s">
        <v>1664</v>
      </c>
      <c r="CV1219" s="113" t="s">
        <v>1665</v>
      </c>
      <c r="CX1219" s="36">
        <v>1</v>
      </c>
    </row>
    <row r="1220" spans="91:102" ht="21" customHeight="1" x14ac:dyDescent="0.25">
      <c r="CM1220" s="102"/>
      <c r="CN1220" s="112" t="s">
        <v>3240</v>
      </c>
      <c r="CO1220" s="112" t="s">
        <v>541</v>
      </c>
      <c r="CP1220" s="112" t="s">
        <v>523</v>
      </c>
      <c r="CQ1220" s="112" t="s">
        <v>3241</v>
      </c>
      <c r="CR1220" s="112" t="s">
        <v>3241</v>
      </c>
      <c r="CS1220" s="112" t="s">
        <v>1168</v>
      </c>
      <c r="CT1220" s="112" t="s">
        <v>1169</v>
      </c>
      <c r="CU1220" s="112" t="s">
        <v>1664</v>
      </c>
      <c r="CV1220" s="113" t="s">
        <v>1665</v>
      </c>
      <c r="CX1220" s="36">
        <v>1</v>
      </c>
    </row>
    <row r="1221" spans="91:102" ht="21" customHeight="1" x14ac:dyDescent="0.25">
      <c r="CM1221" s="102"/>
      <c r="CN1221" s="112" t="s">
        <v>3242</v>
      </c>
      <c r="CO1221" s="112" t="s">
        <v>541</v>
      </c>
      <c r="CP1221" s="112" t="s">
        <v>523</v>
      </c>
      <c r="CQ1221" s="112" t="s">
        <v>3243</v>
      </c>
      <c r="CR1221" s="112" t="s">
        <v>3243</v>
      </c>
      <c r="CS1221" s="112" t="s">
        <v>1168</v>
      </c>
      <c r="CT1221" s="112" t="s">
        <v>1169</v>
      </c>
      <c r="CU1221" s="112" t="s">
        <v>1664</v>
      </c>
      <c r="CV1221" s="113" t="s">
        <v>1665</v>
      </c>
      <c r="CX1221" s="36">
        <v>1</v>
      </c>
    </row>
    <row r="1222" spans="91:102" ht="21" customHeight="1" x14ac:dyDescent="0.25">
      <c r="CM1222" s="102"/>
      <c r="CN1222" s="112" t="s">
        <v>3244</v>
      </c>
      <c r="CO1222" s="112" t="s">
        <v>541</v>
      </c>
      <c r="CP1222" s="112" t="s">
        <v>523</v>
      </c>
      <c r="CQ1222" s="112" t="s">
        <v>3245</v>
      </c>
      <c r="CR1222" s="112" t="s">
        <v>3245</v>
      </c>
      <c r="CS1222" s="112" t="s">
        <v>1168</v>
      </c>
      <c r="CT1222" s="112" t="s">
        <v>1169</v>
      </c>
      <c r="CU1222" s="112" t="s">
        <v>1664</v>
      </c>
      <c r="CV1222" s="113" t="s">
        <v>1665</v>
      </c>
      <c r="CX1222" s="36">
        <v>1</v>
      </c>
    </row>
    <row r="1223" spans="91:102" ht="21" customHeight="1" x14ac:dyDescent="0.25">
      <c r="CM1223" s="102"/>
      <c r="CN1223" s="112" t="s">
        <v>3246</v>
      </c>
      <c r="CO1223" s="112" t="s">
        <v>541</v>
      </c>
      <c r="CP1223" s="112" t="s">
        <v>523</v>
      </c>
      <c r="CQ1223" s="112" t="s">
        <v>3247</v>
      </c>
      <c r="CR1223" s="112" t="s">
        <v>3247</v>
      </c>
      <c r="CS1223" s="112" t="s">
        <v>1168</v>
      </c>
      <c r="CT1223" s="112" t="s">
        <v>1169</v>
      </c>
      <c r="CU1223" s="112" t="s">
        <v>1664</v>
      </c>
      <c r="CV1223" s="113" t="s">
        <v>1665</v>
      </c>
      <c r="CX1223" s="36">
        <v>1</v>
      </c>
    </row>
    <row r="1224" spans="91:102" ht="21" customHeight="1" x14ac:dyDescent="0.25">
      <c r="CM1224" s="102"/>
      <c r="CN1224" s="112" t="s">
        <v>3248</v>
      </c>
      <c r="CO1224" s="112" t="s">
        <v>541</v>
      </c>
      <c r="CP1224" s="112" t="s">
        <v>523</v>
      </c>
      <c r="CQ1224" s="112" t="s">
        <v>3249</v>
      </c>
      <c r="CR1224" s="112" t="s">
        <v>3249</v>
      </c>
      <c r="CS1224" s="112" t="s">
        <v>1168</v>
      </c>
      <c r="CT1224" s="112" t="s">
        <v>1169</v>
      </c>
      <c r="CU1224" s="112" t="s">
        <v>1664</v>
      </c>
      <c r="CV1224" s="113" t="s">
        <v>1665</v>
      </c>
      <c r="CX1224" s="36">
        <v>1</v>
      </c>
    </row>
    <row r="1225" spans="91:102" ht="21" customHeight="1" x14ac:dyDescent="0.25">
      <c r="CM1225" s="102"/>
      <c r="CN1225" s="112" t="s">
        <v>3250</v>
      </c>
      <c r="CO1225" s="112" t="s">
        <v>541</v>
      </c>
      <c r="CP1225" s="112" t="s">
        <v>523</v>
      </c>
      <c r="CQ1225" s="112" t="s">
        <v>3251</v>
      </c>
      <c r="CR1225" s="112" t="s">
        <v>3251</v>
      </c>
      <c r="CS1225" s="112" t="s">
        <v>1168</v>
      </c>
      <c r="CT1225" s="112" t="s">
        <v>1169</v>
      </c>
      <c r="CU1225" s="112" t="s">
        <v>1664</v>
      </c>
      <c r="CV1225" s="113" t="s">
        <v>1665</v>
      </c>
      <c r="CX1225" s="36">
        <v>1</v>
      </c>
    </row>
    <row r="1226" spans="91:102" ht="21" customHeight="1" x14ac:dyDescent="0.25">
      <c r="CM1226" s="102"/>
      <c r="CN1226" s="112" t="s">
        <v>3252</v>
      </c>
      <c r="CO1226" s="112" t="s">
        <v>541</v>
      </c>
      <c r="CP1226" s="112" t="s">
        <v>523</v>
      </c>
      <c r="CQ1226" s="112" t="s">
        <v>3253</v>
      </c>
      <c r="CR1226" s="112" t="s">
        <v>3253</v>
      </c>
      <c r="CS1226" s="112" t="s">
        <v>1168</v>
      </c>
      <c r="CT1226" s="112" t="s">
        <v>1169</v>
      </c>
      <c r="CU1226" s="112" t="s">
        <v>1664</v>
      </c>
      <c r="CV1226" s="113" t="s">
        <v>1665</v>
      </c>
      <c r="CX1226" s="36">
        <v>1</v>
      </c>
    </row>
    <row r="1227" spans="91:102" ht="21" customHeight="1" x14ac:dyDescent="0.25">
      <c r="CM1227" s="102"/>
      <c r="CN1227" s="112" t="s">
        <v>3254</v>
      </c>
      <c r="CO1227" s="112" t="s">
        <v>541</v>
      </c>
      <c r="CP1227" s="112" t="s">
        <v>523</v>
      </c>
      <c r="CQ1227" s="112" t="s">
        <v>3255</v>
      </c>
      <c r="CR1227" s="112" t="s">
        <v>3255</v>
      </c>
      <c r="CS1227" s="112" t="s">
        <v>1168</v>
      </c>
      <c r="CT1227" s="112" t="s">
        <v>1169</v>
      </c>
      <c r="CU1227" s="112" t="s">
        <v>1664</v>
      </c>
      <c r="CV1227" s="113" t="s">
        <v>1665</v>
      </c>
      <c r="CX1227" s="36">
        <v>1</v>
      </c>
    </row>
    <row r="1228" spans="91:102" ht="21" customHeight="1" x14ac:dyDescent="0.25">
      <c r="CM1228" s="102"/>
      <c r="CN1228" s="112" t="s">
        <v>3256</v>
      </c>
      <c r="CO1228" s="112" t="s">
        <v>541</v>
      </c>
      <c r="CP1228" s="112" t="s">
        <v>523</v>
      </c>
      <c r="CQ1228" s="112" t="s">
        <v>3257</v>
      </c>
      <c r="CR1228" s="112" t="s">
        <v>3257</v>
      </c>
      <c r="CS1228" s="112" t="s">
        <v>1168</v>
      </c>
      <c r="CT1228" s="112" t="s">
        <v>1169</v>
      </c>
      <c r="CU1228" s="112" t="s">
        <v>1664</v>
      </c>
      <c r="CV1228" s="113" t="s">
        <v>1665</v>
      </c>
      <c r="CX1228" s="36">
        <v>1</v>
      </c>
    </row>
    <row r="1229" spans="91:102" ht="21" customHeight="1" x14ac:dyDescent="0.25">
      <c r="CM1229" s="102"/>
      <c r="CN1229" s="112" t="s">
        <v>3258</v>
      </c>
      <c r="CO1229" s="112" t="s">
        <v>541</v>
      </c>
      <c r="CP1229" s="112" t="s">
        <v>523</v>
      </c>
      <c r="CQ1229" s="112" t="s">
        <v>3259</v>
      </c>
      <c r="CR1229" s="112" t="s">
        <v>3259</v>
      </c>
      <c r="CS1229" s="112" t="s">
        <v>1168</v>
      </c>
      <c r="CT1229" s="112" t="s">
        <v>1169</v>
      </c>
      <c r="CU1229" s="112" t="s">
        <v>1664</v>
      </c>
      <c r="CV1229" s="113" t="s">
        <v>1665</v>
      </c>
      <c r="CX1229" s="36">
        <v>1</v>
      </c>
    </row>
    <row r="1230" spans="91:102" ht="21" customHeight="1" x14ac:dyDescent="0.25">
      <c r="CM1230" s="102"/>
      <c r="CN1230" s="112" t="s">
        <v>3260</v>
      </c>
      <c r="CO1230" s="112" t="s">
        <v>541</v>
      </c>
      <c r="CP1230" s="112" t="s">
        <v>523</v>
      </c>
      <c r="CQ1230" s="112" t="s">
        <v>3261</v>
      </c>
      <c r="CR1230" s="112" t="s">
        <v>3261</v>
      </c>
      <c r="CS1230" s="112" t="s">
        <v>1168</v>
      </c>
      <c r="CT1230" s="112" t="s">
        <v>1169</v>
      </c>
      <c r="CU1230" s="112" t="s">
        <v>1664</v>
      </c>
      <c r="CV1230" s="113" t="s">
        <v>1665</v>
      </c>
      <c r="CX1230" s="36">
        <v>1</v>
      </c>
    </row>
    <row r="1231" spans="91:102" ht="21" customHeight="1" x14ac:dyDescent="0.25">
      <c r="CM1231" s="102"/>
      <c r="CN1231" s="112" t="s">
        <v>3262</v>
      </c>
      <c r="CO1231" s="112" t="s">
        <v>541</v>
      </c>
      <c r="CP1231" s="112" t="s">
        <v>523</v>
      </c>
      <c r="CQ1231" s="112" t="s">
        <v>3263</v>
      </c>
      <c r="CR1231" s="112" t="s">
        <v>3263</v>
      </c>
      <c r="CS1231" s="112" t="s">
        <v>1168</v>
      </c>
      <c r="CT1231" s="112" t="s">
        <v>1169</v>
      </c>
      <c r="CU1231" s="112" t="s">
        <v>1664</v>
      </c>
      <c r="CV1231" s="113" t="s">
        <v>1665</v>
      </c>
      <c r="CX1231" s="36">
        <v>1</v>
      </c>
    </row>
    <row r="1232" spans="91:102" ht="21" customHeight="1" x14ac:dyDescent="0.25">
      <c r="CM1232" s="102"/>
      <c r="CN1232" s="112" t="s">
        <v>3264</v>
      </c>
      <c r="CO1232" s="112" t="s">
        <v>541</v>
      </c>
      <c r="CP1232" s="112" t="s">
        <v>523</v>
      </c>
      <c r="CQ1232" s="112" t="s">
        <v>3265</v>
      </c>
      <c r="CR1232" s="112" t="s">
        <v>3265</v>
      </c>
      <c r="CS1232" s="112" t="s">
        <v>1168</v>
      </c>
      <c r="CT1232" s="112" t="s">
        <v>1169</v>
      </c>
      <c r="CU1232" s="112" t="s">
        <v>1664</v>
      </c>
      <c r="CV1232" s="113" t="s">
        <v>1665</v>
      </c>
      <c r="CX1232" s="36">
        <v>1</v>
      </c>
    </row>
    <row r="1233" spans="91:102" ht="21" customHeight="1" x14ac:dyDescent="0.25">
      <c r="CM1233" s="102"/>
      <c r="CN1233" s="112" t="s">
        <v>3266</v>
      </c>
      <c r="CO1233" s="112" t="s">
        <v>541</v>
      </c>
      <c r="CP1233" s="112" t="s">
        <v>523</v>
      </c>
      <c r="CQ1233" s="112" t="s">
        <v>3267</v>
      </c>
      <c r="CR1233" s="112" t="s">
        <v>3267</v>
      </c>
      <c r="CS1233" s="112" t="s">
        <v>1168</v>
      </c>
      <c r="CT1233" s="112" t="s">
        <v>1169</v>
      </c>
      <c r="CU1233" s="112" t="s">
        <v>1664</v>
      </c>
      <c r="CV1233" s="113" t="s">
        <v>1665</v>
      </c>
      <c r="CX1233" s="36">
        <v>1</v>
      </c>
    </row>
    <row r="1234" spans="91:102" ht="21" customHeight="1" x14ac:dyDescent="0.25">
      <c r="CM1234" s="102"/>
      <c r="CN1234" s="112" t="s">
        <v>3268</v>
      </c>
      <c r="CO1234" s="112" t="s">
        <v>541</v>
      </c>
      <c r="CP1234" s="112" t="s">
        <v>523</v>
      </c>
      <c r="CQ1234" s="112" t="s">
        <v>3269</v>
      </c>
      <c r="CR1234" s="112" t="s">
        <v>3269</v>
      </c>
      <c r="CS1234" s="112" t="s">
        <v>1168</v>
      </c>
      <c r="CT1234" s="112" t="s">
        <v>1169</v>
      </c>
      <c r="CU1234" s="112" t="s">
        <v>1664</v>
      </c>
      <c r="CV1234" s="113" t="s">
        <v>1665</v>
      </c>
      <c r="CX1234" s="36">
        <v>1</v>
      </c>
    </row>
    <row r="1235" spans="91:102" ht="21" customHeight="1" x14ac:dyDescent="0.25">
      <c r="CM1235" s="102"/>
      <c r="CN1235" s="112" t="s">
        <v>3270</v>
      </c>
      <c r="CO1235" s="112" t="s">
        <v>541</v>
      </c>
      <c r="CP1235" s="112" t="s">
        <v>523</v>
      </c>
      <c r="CQ1235" s="112" t="s">
        <v>3271</v>
      </c>
      <c r="CR1235" s="112" t="s">
        <v>3271</v>
      </c>
      <c r="CS1235" s="112" t="s">
        <v>1168</v>
      </c>
      <c r="CT1235" s="112" t="s">
        <v>1169</v>
      </c>
      <c r="CU1235" s="112" t="s">
        <v>1664</v>
      </c>
      <c r="CV1235" s="113" t="s">
        <v>1665</v>
      </c>
      <c r="CX1235" s="36">
        <v>1</v>
      </c>
    </row>
    <row r="1236" spans="91:102" ht="21" customHeight="1" x14ac:dyDescent="0.25">
      <c r="CM1236" s="102"/>
      <c r="CN1236" s="112" t="s">
        <v>3272</v>
      </c>
      <c r="CO1236" s="112" t="s">
        <v>541</v>
      </c>
      <c r="CP1236" s="112" t="s">
        <v>523</v>
      </c>
      <c r="CQ1236" s="112" t="s">
        <v>3273</v>
      </c>
      <c r="CR1236" s="112" t="s">
        <v>3273</v>
      </c>
      <c r="CS1236" s="112" t="s">
        <v>1168</v>
      </c>
      <c r="CT1236" s="112" t="s">
        <v>1169</v>
      </c>
      <c r="CU1236" s="112" t="s">
        <v>1664</v>
      </c>
      <c r="CV1236" s="113" t="s">
        <v>1665</v>
      </c>
      <c r="CX1236" s="36">
        <v>1</v>
      </c>
    </row>
    <row r="1237" spans="91:102" ht="21" customHeight="1" x14ac:dyDescent="0.25">
      <c r="CM1237" s="102"/>
      <c r="CN1237" s="112" t="s">
        <v>3274</v>
      </c>
      <c r="CO1237" s="112" t="s">
        <v>541</v>
      </c>
      <c r="CP1237" s="112" t="s">
        <v>523</v>
      </c>
      <c r="CQ1237" s="112" t="s">
        <v>3275</v>
      </c>
      <c r="CR1237" s="112" t="s">
        <v>3275</v>
      </c>
      <c r="CS1237" s="112" t="s">
        <v>1168</v>
      </c>
      <c r="CT1237" s="112" t="s">
        <v>1169</v>
      </c>
      <c r="CU1237" s="112" t="s">
        <v>1664</v>
      </c>
      <c r="CV1237" s="113" t="s">
        <v>1665</v>
      </c>
      <c r="CX1237" s="36">
        <v>1</v>
      </c>
    </row>
    <row r="1238" spans="91:102" ht="21" customHeight="1" x14ac:dyDescent="0.25">
      <c r="CM1238" s="102"/>
      <c r="CN1238" s="112" t="s">
        <v>3276</v>
      </c>
      <c r="CO1238" s="112" t="s">
        <v>541</v>
      </c>
      <c r="CP1238" s="112" t="s">
        <v>523</v>
      </c>
      <c r="CQ1238" s="112" t="s">
        <v>3277</v>
      </c>
      <c r="CR1238" s="112" t="s">
        <v>3277</v>
      </c>
      <c r="CS1238" s="112" t="s">
        <v>1168</v>
      </c>
      <c r="CT1238" s="112" t="s">
        <v>1169</v>
      </c>
      <c r="CU1238" s="112" t="s">
        <v>1664</v>
      </c>
      <c r="CV1238" s="113" t="s">
        <v>1665</v>
      </c>
      <c r="CX1238" s="36">
        <v>1</v>
      </c>
    </row>
    <row r="1239" spans="91:102" ht="21" customHeight="1" x14ac:dyDescent="0.25">
      <c r="CM1239" s="102"/>
      <c r="CN1239" s="112" t="s">
        <v>3278</v>
      </c>
      <c r="CO1239" s="112" t="s">
        <v>541</v>
      </c>
      <c r="CP1239" s="112" t="s">
        <v>523</v>
      </c>
      <c r="CQ1239" s="112" t="s">
        <v>3279</v>
      </c>
      <c r="CR1239" s="112" t="s">
        <v>3279</v>
      </c>
      <c r="CS1239" s="112" t="s">
        <v>1168</v>
      </c>
      <c r="CT1239" s="112" t="s">
        <v>1169</v>
      </c>
      <c r="CU1239" s="112" t="s">
        <v>1664</v>
      </c>
      <c r="CV1239" s="113" t="s">
        <v>1665</v>
      </c>
      <c r="CX1239" s="36">
        <v>1</v>
      </c>
    </row>
    <row r="1240" spans="91:102" ht="21" customHeight="1" x14ac:dyDescent="0.25">
      <c r="CM1240" s="102"/>
      <c r="CN1240" s="112" t="s">
        <v>3280</v>
      </c>
      <c r="CO1240" s="112" t="s">
        <v>541</v>
      </c>
      <c r="CP1240" s="112" t="s">
        <v>523</v>
      </c>
      <c r="CQ1240" s="112" t="s">
        <v>3281</v>
      </c>
      <c r="CR1240" s="112" t="s">
        <v>3281</v>
      </c>
      <c r="CS1240" s="112" t="s">
        <v>1168</v>
      </c>
      <c r="CT1240" s="112" t="s">
        <v>1169</v>
      </c>
      <c r="CU1240" s="112" t="s">
        <v>1664</v>
      </c>
      <c r="CV1240" s="113" t="s">
        <v>1665</v>
      </c>
      <c r="CX1240" s="36">
        <v>1</v>
      </c>
    </row>
    <row r="1241" spans="91:102" ht="21" customHeight="1" x14ac:dyDescent="0.25">
      <c r="CM1241" s="102"/>
      <c r="CN1241" s="112" t="s">
        <v>3282</v>
      </c>
      <c r="CO1241" s="112" t="s">
        <v>541</v>
      </c>
      <c r="CP1241" s="112" t="s">
        <v>523</v>
      </c>
      <c r="CQ1241" s="112" t="s">
        <v>3283</v>
      </c>
      <c r="CR1241" s="112" t="s">
        <v>3283</v>
      </c>
      <c r="CS1241" s="112" t="s">
        <v>1168</v>
      </c>
      <c r="CT1241" s="112" t="s">
        <v>1169</v>
      </c>
      <c r="CU1241" s="112" t="s">
        <v>1664</v>
      </c>
      <c r="CV1241" s="113" t="s">
        <v>1665</v>
      </c>
      <c r="CX1241" s="36">
        <v>1</v>
      </c>
    </row>
    <row r="1242" spans="91:102" ht="21" customHeight="1" x14ac:dyDescent="0.25">
      <c r="CM1242" s="102"/>
      <c r="CN1242" s="112" t="s">
        <v>3284</v>
      </c>
      <c r="CO1242" s="112" t="s">
        <v>541</v>
      </c>
      <c r="CP1242" s="112" t="s">
        <v>523</v>
      </c>
      <c r="CQ1242" s="112" t="s">
        <v>3285</v>
      </c>
      <c r="CR1242" s="112" t="s">
        <v>3285</v>
      </c>
      <c r="CS1242" s="112" t="s">
        <v>1168</v>
      </c>
      <c r="CT1242" s="112" t="s">
        <v>1169</v>
      </c>
      <c r="CU1242" s="112" t="s">
        <v>1664</v>
      </c>
      <c r="CV1242" s="113" t="s">
        <v>1665</v>
      </c>
      <c r="CX1242" s="36">
        <v>1</v>
      </c>
    </row>
    <row r="1243" spans="91:102" ht="21" customHeight="1" x14ac:dyDescent="0.25">
      <c r="CM1243" s="102"/>
      <c r="CN1243" s="112" t="s">
        <v>3286</v>
      </c>
      <c r="CO1243" s="112" t="s">
        <v>541</v>
      </c>
      <c r="CP1243" s="112" t="s">
        <v>523</v>
      </c>
      <c r="CQ1243" s="112" t="s">
        <v>3287</v>
      </c>
      <c r="CR1243" s="112" t="s">
        <v>3287</v>
      </c>
      <c r="CS1243" s="112" t="s">
        <v>1168</v>
      </c>
      <c r="CT1243" s="112" t="s">
        <v>1169</v>
      </c>
      <c r="CU1243" s="112" t="s">
        <v>1664</v>
      </c>
      <c r="CV1243" s="113" t="s">
        <v>1665</v>
      </c>
      <c r="CX1243" s="36">
        <v>1</v>
      </c>
    </row>
    <row r="1244" spans="91:102" ht="21" customHeight="1" x14ac:dyDescent="0.25">
      <c r="CM1244" s="102"/>
      <c r="CN1244" s="112" t="s">
        <v>3288</v>
      </c>
      <c r="CO1244" s="112" t="s">
        <v>541</v>
      </c>
      <c r="CP1244" s="112" t="s">
        <v>523</v>
      </c>
      <c r="CQ1244" s="112" t="s">
        <v>3289</v>
      </c>
      <c r="CR1244" s="112" t="s">
        <v>3289</v>
      </c>
      <c r="CS1244" s="112" t="s">
        <v>1168</v>
      </c>
      <c r="CT1244" s="112" t="s">
        <v>1169</v>
      </c>
      <c r="CU1244" s="112" t="s">
        <v>1664</v>
      </c>
      <c r="CV1244" s="113" t="s">
        <v>1665</v>
      </c>
      <c r="CX1244" s="36">
        <v>1</v>
      </c>
    </row>
    <row r="1245" spans="91:102" ht="21" customHeight="1" x14ac:dyDescent="0.25">
      <c r="CM1245" s="102"/>
      <c r="CN1245" s="112" t="s">
        <v>3290</v>
      </c>
      <c r="CO1245" s="112" t="s">
        <v>541</v>
      </c>
      <c r="CP1245" s="112" t="s">
        <v>523</v>
      </c>
      <c r="CQ1245" s="112" t="s">
        <v>3291</v>
      </c>
      <c r="CR1245" s="112" t="s">
        <v>3291</v>
      </c>
      <c r="CS1245" s="112" t="s">
        <v>1168</v>
      </c>
      <c r="CT1245" s="112" t="s">
        <v>1169</v>
      </c>
      <c r="CU1245" s="112" t="s">
        <v>1664</v>
      </c>
      <c r="CV1245" s="113" t="s">
        <v>1665</v>
      </c>
      <c r="CX1245" s="36">
        <v>1</v>
      </c>
    </row>
    <row r="1246" spans="91:102" ht="21" customHeight="1" x14ac:dyDescent="0.25">
      <c r="CM1246" s="102"/>
      <c r="CN1246" s="112" t="s">
        <v>3292</v>
      </c>
      <c r="CO1246" s="112" t="s">
        <v>541</v>
      </c>
      <c r="CP1246" s="112" t="s">
        <v>523</v>
      </c>
      <c r="CQ1246" s="112" t="s">
        <v>3293</v>
      </c>
      <c r="CR1246" s="112" t="s">
        <v>3293</v>
      </c>
      <c r="CS1246" s="112" t="s">
        <v>1168</v>
      </c>
      <c r="CT1246" s="112" t="s">
        <v>1169</v>
      </c>
      <c r="CU1246" s="112" t="s">
        <v>1664</v>
      </c>
      <c r="CV1246" s="113" t="s">
        <v>1665</v>
      </c>
      <c r="CX1246" s="36">
        <v>1</v>
      </c>
    </row>
    <row r="1247" spans="91:102" ht="21" customHeight="1" x14ac:dyDescent="0.25">
      <c r="CM1247" s="102"/>
      <c r="CN1247" s="112" t="s">
        <v>3294</v>
      </c>
      <c r="CO1247" s="112" t="s">
        <v>541</v>
      </c>
      <c r="CP1247" s="112" t="s">
        <v>523</v>
      </c>
      <c r="CQ1247" s="112" t="s">
        <v>3295</v>
      </c>
      <c r="CR1247" s="112" t="s">
        <v>3295</v>
      </c>
      <c r="CS1247" s="112" t="s">
        <v>1168</v>
      </c>
      <c r="CT1247" s="112" t="s">
        <v>1169</v>
      </c>
      <c r="CU1247" s="112" t="s">
        <v>1664</v>
      </c>
      <c r="CV1247" s="113" t="s">
        <v>1665</v>
      </c>
      <c r="CX1247" s="36">
        <v>1</v>
      </c>
    </row>
    <row r="1248" spans="91:102" ht="21" customHeight="1" x14ac:dyDescent="0.25">
      <c r="CM1248" s="102"/>
      <c r="CN1248" s="112" t="s">
        <v>3296</v>
      </c>
      <c r="CO1248" s="112" t="s">
        <v>541</v>
      </c>
      <c r="CP1248" s="112" t="s">
        <v>523</v>
      </c>
      <c r="CQ1248" s="112" t="s">
        <v>3297</v>
      </c>
      <c r="CR1248" s="112" t="s">
        <v>3297</v>
      </c>
      <c r="CS1248" s="112" t="s">
        <v>1168</v>
      </c>
      <c r="CT1248" s="112" t="s">
        <v>1169</v>
      </c>
      <c r="CU1248" s="112" t="s">
        <v>1664</v>
      </c>
      <c r="CV1248" s="113" t="s">
        <v>1665</v>
      </c>
      <c r="CX1248" s="36">
        <v>1</v>
      </c>
    </row>
    <row r="1249" spans="91:102" ht="21" customHeight="1" x14ac:dyDescent="0.25">
      <c r="CM1249" s="102"/>
      <c r="CN1249" s="112" t="s">
        <v>3298</v>
      </c>
      <c r="CO1249" s="112" t="s">
        <v>541</v>
      </c>
      <c r="CP1249" s="112" t="s">
        <v>523</v>
      </c>
      <c r="CQ1249" s="112" t="s">
        <v>3299</v>
      </c>
      <c r="CR1249" s="112" t="s">
        <v>3299</v>
      </c>
      <c r="CS1249" s="112" t="s">
        <v>1168</v>
      </c>
      <c r="CT1249" s="112" t="s">
        <v>1169</v>
      </c>
      <c r="CU1249" s="112" t="s">
        <v>1664</v>
      </c>
      <c r="CV1249" s="113" t="s">
        <v>1665</v>
      </c>
      <c r="CX1249" s="36">
        <v>1</v>
      </c>
    </row>
    <row r="1250" spans="91:102" ht="21" customHeight="1" x14ac:dyDescent="0.25">
      <c r="CM1250" s="102"/>
      <c r="CN1250" s="112" t="s">
        <v>3300</v>
      </c>
      <c r="CO1250" s="112" t="s">
        <v>541</v>
      </c>
      <c r="CP1250" s="112" t="s">
        <v>523</v>
      </c>
      <c r="CQ1250" s="112" t="s">
        <v>3301</v>
      </c>
      <c r="CR1250" s="112" t="s">
        <v>3301</v>
      </c>
      <c r="CS1250" s="112" t="s">
        <v>1168</v>
      </c>
      <c r="CT1250" s="112" t="s">
        <v>1169</v>
      </c>
      <c r="CU1250" s="112" t="s">
        <v>1664</v>
      </c>
      <c r="CV1250" s="113" t="s">
        <v>1665</v>
      </c>
      <c r="CX1250" s="36">
        <v>1</v>
      </c>
    </row>
    <row r="1251" spans="91:102" ht="21" customHeight="1" x14ac:dyDescent="0.25">
      <c r="CM1251" s="102"/>
      <c r="CN1251" s="112" t="s">
        <v>3302</v>
      </c>
      <c r="CO1251" s="112" t="s">
        <v>541</v>
      </c>
      <c r="CP1251" s="112" t="s">
        <v>523</v>
      </c>
      <c r="CQ1251" s="112" t="s">
        <v>3303</v>
      </c>
      <c r="CR1251" s="112" t="s">
        <v>3303</v>
      </c>
      <c r="CS1251" s="112" t="s">
        <v>1168</v>
      </c>
      <c r="CT1251" s="112" t="s">
        <v>1169</v>
      </c>
      <c r="CU1251" s="112" t="s">
        <v>1664</v>
      </c>
      <c r="CV1251" s="113" t="s">
        <v>1665</v>
      </c>
      <c r="CX1251" s="36">
        <v>1</v>
      </c>
    </row>
    <row r="1252" spans="91:102" ht="21" customHeight="1" x14ac:dyDescent="0.25">
      <c r="CM1252" s="102"/>
      <c r="CN1252" s="112" t="s">
        <v>3304</v>
      </c>
      <c r="CO1252" s="112" t="s">
        <v>541</v>
      </c>
      <c r="CP1252" s="112" t="s">
        <v>523</v>
      </c>
      <c r="CQ1252" s="112" t="s">
        <v>3305</v>
      </c>
      <c r="CR1252" s="112" t="s">
        <v>3305</v>
      </c>
      <c r="CS1252" s="112" t="s">
        <v>1168</v>
      </c>
      <c r="CT1252" s="112" t="s">
        <v>1169</v>
      </c>
      <c r="CU1252" s="112" t="s">
        <v>1664</v>
      </c>
      <c r="CV1252" s="113" t="s">
        <v>1665</v>
      </c>
      <c r="CX1252" s="36">
        <v>1</v>
      </c>
    </row>
    <row r="1253" spans="91:102" ht="21" customHeight="1" x14ac:dyDescent="0.25">
      <c r="CM1253" s="102"/>
      <c r="CN1253" s="112" t="s">
        <v>3306</v>
      </c>
      <c r="CO1253" s="112" t="s">
        <v>541</v>
      </c>
      <c r="CP1253" s="112" t="s">
        <v>523</v>
      </c>
      <c r="CQ1253" s="112" t="s">
        <v>3307</v>
      </c>
      <c r="CR1253" s="112" t="s">
        <v>3307</v>
      </c>
      <c r="CS1253" s="112" t="s">
        <v>1168</v>
      </c>
      <c r="CT1253" s="112" t="s">
        <v>1169</v>
      </c>
      <c r="CU1253" s="112" t="s">
        <v>1664</v>
      </c>
      <c r="CV1253" s="113" t="s">
        <v>1665</v>
      </c>
      <c r="CX1253" s="36">
        <v>1</v>
      </c>
    </row>
    <row r="1254" spans="91:102" ht="21" customHeight="1" x14ac:dyDescent="0.25">
      <c r="CM1254" s="102"/>
      <c r="CN1254" s="112" t="s">
        <v>3308</v>
      </c>
      <c r="CO1254" s="112" t="s">
        <v>541</v>
      </c>
      <c r="CP1254" s="112" t="s">
        <v>523</v>
      </c>
      <c r="CQ1254" s="112" t="s">
        <v>3309</v>
      </c>
      <c r="CR1254" s="112" t="s">
        <v>3309</v>
      </c>
      <c r="CS1254" s="112" t="s">
        <v>1168</v>
      </c>
      <c r="CT1254" s="112" t="s">
        <v>1169</v>
      </c>
      <c r="CU1254" s="112" t="s">
        <v>1664</v>
      </c>
      <c r="CV1254" s="113" t="s">
        <v>1665</v>
      </c>
      <c r="CX1254" s="36">
        <v>1</v>
      </c>
    </row>
    <row r="1255" spans="91:102" ht="21" customHeight="1" x14ac:dyDescent="0.25">
      <c r="CM1255" s="102"/>
      <c r="CN1255" s="112" t="s">
        <v>3310</v>
      </c>
      <c r="CO1255" s="112" t="s">
        <v>541</v>
      </c>
      <c r="CP1255" s="112" t="s">
        <v>523</v>
      </c>
      <c r="CQ1255" s="112" t="s">
        <v>3311</v>
      </c>
      <c r="CR1255" s="112" t="s">
        <v>3311</v>
      </c>
      <c r="CS1255" s="112" t="s">
        <v>1168</v>
      </c>
      <c r="CT1255" s="112" t="s">
        <v>1169</v>
      </c>
      <c r="CU1255" s="112" t="s">
        <v>1664</v>
      </c>
      <c r="CV1255" s="113" t="s">
        <v>1665</v>
      </c>
      <c r="CX1255" s="36">
        <v>1</v>
      </c>
    </row>
    <row r="1256" spans="91:102" ht="21" customHeight="1" x14ac:dyDescent="0.25">
      <c r="CM1256" s="102"/>
      <c r="CN1256" s="112" t="s">
        <v>3312</v>
      </c>
      <c r="CO1256" s="112" t="s">
        <v>541</v>
      </c>
      <c r="CP1256" s="112" t="s">
        <v>523</v>
      </c>
      <c r="CQ1256" s="112" t="s">
        <v>3313</v>
      </c>
      <c r="CR1256" s="112" t="s">
        <v>3313</v>
      </c>
      <c r="CS1256" s="112" t="s">
        <v>1168</v>
      </c>
      <c r="CT1256" s="112" t="s">
        <v>1169</v>
      </c>
      <c r="CU1256" s="112" t="s">
        <v>1664</v>
      </c>
      <c r="CV1256" s="113" t="s">
        <v>1665</v>
      </c>
      <c r="CX1256" s="36">
        <v>1</v>
      </c>
    </row>
    <row r="1257" spans="91:102" ht="21" customHeight="1" x14ac:dyDescent="0.25">
      <c r="CM1257" s="102"/>
      <c r="CN1257" s="112" t="s">
        <v>3314</v>
      </c>
      <c r="CO1257" s="112" t="s">
        <v>541</v>
      </c>
      <c r="CP1257" s="112" t="s">
        <v>523</v>
      </c>
      <c r="CQ1257" s="112" t="s">
        <v>3315</v>
      </c>
      <c r="CR1257" s="112" t="s">
        <v>3315</v>
      </c>
      <c r="CS1257" s="112" t="s">
        <v>1168</v>
      </c>
      <c r="CT1257" s="112" t="s">
        <v>1169</v>
      </c>
      <c r="CU1257" s="112" t="s">
        <v>1664</v>
      </c>
      <c r="CV1257" s="113" t="s">
        <v>1665</v>
      </c>
      <c r="CX1257" s="36">
        <v>1</v>
      </c>
    </row>
    <row r="1258" spans="91:102" ht="21" customHeight="1" x14ac:dyDescent="0.25">
      <c r="CM1258" s="102"/>
      <c r="CN1258" s="112" t="s">
        <v>3316</v>
      </c>
      <c r="CO1258" s="112" t="s">
        <v>541</v>
      </c>
      <c r="CP1258" s="112" t="s">
        <v>523</v>
      </c>
      <c r="CQ1258" s="112" t="s">
        <v>3317</v>
      </c>
      <c r="CR1258" s="112" t="s">
        <v>3317</v>
      </c>
      <c r="CS1258" s="112" t="s">
        <v>525</v>
      </c>
      <c r="CT1258" s="112" t="s">
        <v>1747</v>
      </c>
      <c r="CU1258" s="112" t="s">
        <v>527</v>
      </c>
      <c r="CV1258" s="113" t="s">
        <v>528</v>
      </c>
      <c r="CX1258" s="36">
        <v>1</v>
      </c>
    </row>
    <row r="1259" spans="91:102" ht="21" customHeight="1" x14ac:dyDescent="0.25">
      <c r="CM1259" s="102"/>
      <c r="CN1259" s="112" t="s">
        <v>3318</v>
      </c>
      <c r="CO1259" s="112" t="s">
        <v>541</v>
      </c>
      <c r="CP1259" s="112" t="s">
        <v>523</v>
      </c>
      <c r="CQ1259" s="112" t="s">
        <v>3319</v>
      </c>
      <c r="CR1259" s="112" t="s">
        <v>3319</v>
      </c>
      <c r="CS1259" s="112" t="s">
        <v>1168</v>
      </c>
      <c r="CT1259" s="112" t="s">
        <v>1169</v>
      </c>
      <c r="CU1259" s="112" t="s">
        <v>1664</v>
      </c>
      <c r="CV1259" s="113" t="s">
        <v>1665</v>
      </c>
      <c r="CX1259" s="36">
        <v>1</v>
      </c>
    </row>
    <row r="1260" spans="91:102" ht="21" customHeight="1" x14ac:dyDescent="0.25">
      <c r="CM1260" s="102"/>
      <c r="CN1260" s="112" t="s">
        <v>3320</v>
      </c>
      <c r="CO1260" s="112" t="s">
        <v>541</v>
      </c>
      <c r="CP1260" s="112" t="s">
        <v>523</v>
      </c>
      <c r="CQ1260" s="112" t="s">
        <v>3321</v>
      </c>
      <c r="CR1260" s="112" t="s">
        <v>3321</v>
      </c>
      <c r="CS1260" s="112" t="s">
        <v>1168</v>
      </c>
      <c r="CT1260" s="112" t="s">
        <v>1169</v>
      </c>
      <c r="CU1260" s="112" t="s">
        <v>1664</v>
      </c>
      <c r="CV1260" s="113" t="s">
        <v>1665</v>
      </c>
      <c r="CX1260" s="36">
        <v>1</v>
      </c>
    </row>
    <row r="1261" spans="91:102" ht="21" customHeight="1" x14ac:dyDescent="0.25">
      <c r="CM1261" s="102"/>
      <c r="CN1261" s="112" t="s">
        <v>3322</v>
      </c>
      <c r="CO1261" s="112" t="s">
        <v>541</v>
      </c>
      <c r="CP1261" s="112" t="s">
        <v>523</v>
      </c>
      <c r="CQ1261" s="112" t="s">
        <v>3323</v>
      </c>
      <c r="CR1261" s="112" t="s">
        <v>3323</v>
      </c>
      <c r="CS1261" s="112" t="s">
        <v>1168</v>
      </c>
      <c r="CT1261" s="112" t="s">
        <v>1169</v>
      </c>
      <c r="CU1261" s="112" t="s">
        <v>1664</v>
      </c>
      <c r="CV1261" s="113" t="s">
        <v>1665</v>
      </c>
      <c r="CX1261" s="36">
        <v>1</v>
      </c>
    </row>
    <row r="1262" spans="91:102" ht="21" customHeight="1" x14ac:dyDescent="0.25">
      <c r="CM1262" s="102"/>
      <c r="CN1262" s="112" t="s">
        <v>3324</v>
      </c>
      <c r="CO1262" s="112" t="s">
        <v>541</v>
      </c>
      <c r="CP1262" s="112" t="s">
        <v>523</v>
      </c>
      <c r="CQ1262" s="112" t="s">
        <v>3325</v>
      </c>
      <c r="CR1262" s="112" t="s">
        <v>3325</v>
      </c>
      <c r="CS1262" s="112" t="s">
        <v>1168</v>
      </c>
      <c r="CT1262" s="112" t="s">
        <v>1169</v>
      </c>
      <c r="CU1262" s="112" t="s">
        <v>1664</v>
      </c>
      <c r="CV1262" s="113" t="s">
        <v>1665</v>
      </c>
      <c r="CX1262" s="36">
        <v>1</v>
      </c>
    </row>
    <row r="1263" spans="91:102" ht="21" customHeight="1" x14ac:dyDescent="0.25">
      <c r="CM1263" s="102"/>
      <c r="CN1263" s="112" t="s">
        <v>3326</v>
      </c>
      <c r="CO1263" s="112" t="s">
        <v>541</v>
      </c>
      <c r="CP1263" s="112" t="s">
        <v>523</v>
      </c>
      <c r="CQ1263" s="112" t="s">
        <v>3327</v>
      </c>
      <c r="CR1263" s="112" t="s">
        <v>3327</v>
      </c>
      <c r="CS1263" s="112" t="s">
        <v>1168</v>
      </c>
      <c r="CT1263" s="112" t="s">
        <v>1169</v>
      </c>
      <c r="CU1263" s="112" t="s">
        <v>1664</v>
      </c>
      <c r="CV1263" s="113" t="s">
        <v>1665</v>
      </c>
      <c r="CX1263" s="36">
        <v>1</v>
      </c>
    </row>
    <row r="1264" spans="91:102" ht="21" customHeight="1" x14ac:dyDescent="0.25">
      <c r="CM1264" s="102"/>
      <c r="CN1264" s="112" t="s">
        <v>3328</v>
      </c>
      <c r="CO1264" s="112" t="s">
        <v>541</v>
      </c>
      <c r="CP1264" s="112" t="s">
        <v>523</v>
      </c>
      <c r="CQ1264" s="112" t="s">
        <v>3329</v>
      </c>
      <c r="CR1264" s="112" t="s">
        <v>3329</v>
      </c>
      <c r="CS1264" s="112" t="s">
        <v>1168</v>
      </c>
      <c r="CT1264" s="112" t="s">
        <v>1169</v>
      </c>
      <c r="CU1264" s="112" t="s">
        <v>1664</v>
      </c>
      <c r="CV1264" s="113" t="s">
        <v>1665</v>
      </c>
      <c r="CX1264" s="36">
        <v>1</v>
      </c>
    </row>
    <row r="1265" spans="91:102" ht="21" customHeight="1" x14ac:dyDescent="0.25">
      <c r="CM1265" s="102"/>
      <c r="CN1265" s="112" t="s">
        <v>3330</v>
      </c>
      <c r="CO1265" s="112" t="s">
        <v>541</v>
      </c>
      <c r="CP1265" s="112" t="s">
        <v>523</v>
      </c>
      <c r="CQ1265" s="112" t="s">
        <v>3331</v>
      </c>
      <c r="CR1265" s="112" t="s">
        <v>3331</v>
      </c>
      <c r="CS1265" s="112" t="s">
        <v>1168</v>
      </c>
      <c r="CT1265" s="112" t="s">
        <v>1169</v>
      </c>
      <c r="CU1265" s="112" t="s">
        <v>1664</v>
      </c>
      <c r="CV1265" s="113" t="s">
        <v>1665</v>
      </c>
      <c r="CX1265" s="36">
        <v>1</v>
      </c>
    </row>
    <row r="1266" spans="91:102" ht="21" customHeight="1" x14ac:dyDescent="0.25">
      <c r="CM1266" s="102"/>
      <c r="CN1266" s="112" t="s">
        <v>3332</v>
      </c>
      <c r="CO1266" s="112" t="s">
        <v>541</v>
      </c>
      <c r="CP1266" s="112" t="s">
        <v>523</v>
      </c>
      <c r="CQ1266" s="112" t="s">
        <v>3333</v>
      </c>
      <c r="CR1266" s="112" t="s">
        <v>3333</v>
      </c>
      <c r="CS1266" s="112" t="s">
        <v>1168</v>
      </c>
      <c r="CT1266" s="112" t="s">
        <v>1169</v>
      </c>
      <c r="CU1266" s="112" t="s">
        <v>1664</v>
      </c>
      <c r="CV1266" s="113" t="s">
        <v>1665</v>
      </c>
      <c r="CX1266" s="36">
        <v>1</v>
      </c>
    </row>
    <row r="1267" spans="91:102" ht="21" customHeight="1" x14ac:dyDescent="0.25">
      <c r="CM1267" s="102"/>
      <c r="CN1267" s="112" t="s">
        <v>3334</v>
      </c>
      <c r="CO1267" s="112" t="s">
        <v>541</v>
      </c>
      <c r="CP1267" s="112" t="s">
        <v>523</v>
      </c>
      <c r="CQ1267" s="112" t="s">
        <v>3335</v>
      </c>
      <c r="CR1267" s="112" t="s">
        <v>3335</v>
      </c>
      <c r="CS1267" s="112" t="s">
        <v>1168</v>
      </c>
      <c r="CT1267" s="112" t="s">
        <v>1169</v>
      </c>
      <c r="CU1267" s="112" t="s">
        <v>1664</v>
      </c>
      <c r="CV1267" s="113" t="s">
        <v>1665</v>
      </c>
      <c r="CX1267" s="36">
        <v>1</v>
      </c>
    </row>
    <row r="1268" spans="91:102" ht="21" customHeight="1" x14ac:dyDescent="0.25">
      <c r="CM1268" s="102"/>
      <c r="CN1268" s="112" t="s">
        <v>3336</v>
      </c>
      <c r="CO1268" s="112" t="s">
        <v>541</v>
      </c>
      <c r="CP1268" s="112" t="s">
        <v>523</v>
      </c>
      <c r="CQ1268" s="112" t="s">
        <v>3337</v>
      </c>
      <c r="CR1268" s="112" t="s">
        <v>3337</v>
      </c>
      <c r="CS1268" s="112" t="s">
        <v>1168</v>
      </c>
      <c r="CT1268" s="112" t="s">
        <v>1169</v>
      </c>
      <c r="CU1268" s="112" t="s">
        <v>1664</v>
      </c>
      <c r="CV1268" s="113" t="s">
        <v>1665</v>
      </c>
      <c r="CX1268" s="36">
        <v>1</v>
      </c>
    </row>
    <row r="1269" spans="91:102" ht="21" customHeight="1" x14ac:dyDescent="0.25">
      <c r="CM1269" s="102"/>
      <c r="CN1269" s="112" t="s">
        <v>3338</v>
      </c>
      <c r="CO1269" s="112" t="s">
        <v>541</v>
      </c>
      <c r="CP1269" s="112" t="s">
        <v>523</v>
      </c>
      <c r="CQ1269" s="112" t="s">
        <v>3339</v>
      </c>
      <c r="CR1269" s="112" t="s">
        <v>3339</v>
      </c>
      <c r="CS1269" s="112" t="s">
        <v>1168</v>
      </c>
      <c r="CT1269" s="112" t="s">
        <v>1169</v>
      </c>
      <c r="CU1269" s="112" t="s">
        <v>1664</v>
      </c>
      <c r="CV1269" s="113" t="s">
        <v>1665</v>
      </c>
      <c r="CX1269" s="36">
        <v>1</v>
      </c>
    </row>
    <row r="1270" spans="91:102" ht="21" customHeight="1" x14ac:dyDescent="0.25">
      <c r="CM1270" s="102"/>
      <c r="CN1270" s="112" t="s">
        <v>3340</v>
      </c>
      <c r="CO1270" s="112" t="s">
        <v>541</v>
      </c>
      <c r="CP1270" s="112" t="s">
        <v>523</v>
      </c>
      <c r="CQ1270" s="112" t="s">
        <v>1163</v>
      </c>
      <c r="CR1270" s="112" t="s">
        <v>1163</v>
      </c>
      <c r="CS1270" s="112" t="s">
        <v>525</v>
      </c>
      <c r="CT1270" s="112" t="s">
        <v>1747</v>
      </c>
      <c r="CU1270" s="112" t="s">
        <v>527</v>
      </c>
      <c r="CV1270" s="113" t="s">
        <v>528</v>
      </c>
      <c r="CX1270" s="36">
        <v>1</v>
      </c>
    </row>
    <row r="1271" spans="91:102" ht="21" customHeight="1" x14ac:dyDescent="0.25">
      <c r="CM1271" s="102"/>
      <c r="CN1271" s="112" t="s">
        <v>3341</v>
      </c>
      <c r="CO1271" s="112" t="s">
        <v>541</v>
      </c>
      <c r="CP1271" s="112" t="s">
        <v>523</v>
      </c>
      <c r="CQ1271" s="112" t="s">
        <v>3342</v>
      </c>
      <c r="CR1271" s="112" t="s">
        <v>3342</v>
      </c>
      <c r="CS1271" s="112" t="s">
        <v>610</v>
      </c>
      <c r="CT1271" s="112" t="s">
        <v>611</v>
      </c>
      <c r="CU1271" s="112" t="s">
        <v>527</v>
      </c>
      <c r="CV1271" s="113" t="s">
        <v>612</v>
      </c>
      <c r="CX1271" s="36">
        <v>1</v>
      </c>
    </row>
    <row r="1272" spans="91:102" ht="21" customHeight="1" x14ac:dyDescent="0.25">
      <c r="CM1272" s="102"/>
      <c r="CN1272" s="112" t="s">
        <v>3343</v>
      </c>
      <c r="CO1272" s="112" t="s">
        <v>541</v>
      </c>
      <c r="CP1272" s="112" t="s">
        <v>523</v>
      </c>
      <c r="CQ1272" s="112" t="s">
        <v>3344</v>
      </c>
      <c r="CR1272" s="112" t="s">
        <v>3344</v>
      </c>
      <c r="CS1272" s="112" t="s">
        <v>1168</v>
      </c>
      <c r="CT1272" s="112" t="s">
        <v>1169</v>
      </c>
      <c r="CU1272" s="112" t="s">
        <v>1664</v>
      </c>
      <c r="CV1272" s="113" t="s">
        <v>1665</v>
      </c>
      <c r="CX1272" s="36">
        <v>1</v>
      </c>
    </row>
    <row r="1273" spans="91:102" ht="21" customHeight="1" x14ac:dyDescent="0.25">
      <c r="CM1273" s="102"/>
      <c r="CN1273" s="112" t="s">
        <v>3345</v>
      </c>
      <c r="CO1273" s="112" t="s">
        <v>541</v>
      </c>
      <c r="CP1273" s="112" t="s">
        <v>523</v>
      </c>
      <c r="CQ1273" s="112" t="s">
        <v>3346</v>
      </c>
      <c r="CR1273" s="112" t="s">
        <v>3346</v>
      </c>
      <c r="CS1273" s="112" t="s">
        <v>1168</v>
      </c>
      <c r="CT1273" s="112" t="s">
        <v>1169</v>
      </c>
      <c r="CU1273" s="112" t="s">
        <v>1664</v>
      </c>
      <c r="CV1273" s="113" t="s">
        <v>1665</v>
      </c>
      <c r="CX1273" s="36">
        <v>1</v>
      </c>
    </row>
    <row r="1274" spans="91:102" ht="21" customHeight="1" x14ac:dyDescent="0.25">
      <c r="CM1274" s="102"/>
      <c r="CN1274" s="112" t="s">
        <v>3347</v>
      </c>
      <c r="CO1274" s="112" t="s">
        <v>541</v>
      </c>
      <c r="CP1274" s="112" t="s">
        <v>523</v>
      </c>
      <c r="CQ1274" s="112" t="s">
        <v>3348</v>
      </c>
      <c r="CR1274" s="112" t="s">
        <v>3348</v>
      </c>
      <c r="CS1274" s="112" t="s">
        <v>1168</v>
      </c>
      <c r="CT1274" s="112" t="s">
        <v>1169</v>
      </c>
      <c r="CU1274" s="112" t="s">
        <v>1664</v>
      </c>
      <c r="CV1274" s="113" t="s">
        <v>1665</v>
      </c>
      <c r="CX1274" s="36">
        <v>1</v>
      </c>
    </row>
    <row r="1275" spans="91:102" ht="21" customHeight="1" x14ac:dyDescent="0.25">
      <c r="CM1275" s="102"/>
      <c r="CN1275" s="112" t="s">
        <v>3349</v>
      </c>
      <c r="CO1275" s="112" t="s">
        <v>541</v>
      </c>
      <c r="CP1275" s="112" t="s">
        <v>523</v>
      </c>
      <c r="CQ1275" s="112" t="s">
        <v>3350</v>
      </c>
      <c r="CR1275" s="112" t="s">
        <v>3350</v>
      </c>
      <c r="CS1275" s="112" t="s">
        <v>1168</v>
      </c>
      <c r="CT1275" s="112" t="s">
        <v>1169</v>
      </c>
      <c r="CU1275" s="112" t="s">
        <v>1664</v>
      </c>
      <c r="CV1275" s="113" t="s">
        <v>1665</v>
      </c>
      <c r="CX1275" s="36">
        <v>1</v>
      </c>
    </row>
    <row r="1276" spans="91:102" ht="21" customHeight="1" x14ac:dyDescent="0.25">
      <c r="CM1276" s="102"/>
      <c r="CN1276" s="112" t="s">
        <v>3351</v>
      </c>
      <c r="CO1276" s="112" t="s">
        <v>541</v>
      </c>
      <c r="CP1276" s="112" t="s">
        <v>523</v>
      </c>
      <c r="CQ1276" s="112" t="s">
        <v>3352</v>
      </c>
      <c r="CR1276" s="112" t="s">
        <v>3352</v>
      </c>
      <c r="CS1276" s="112" t="s">
        <v>1168</v>
      </c>
      <c r="CT1276" s="112" t="s">
        <v>1169</v>
      </c>
      <c r="CU1276" s="112" t="s">
        <v>1664</v>
      </c>
      <c r="CV1276" s="113" t="s">
        <v>1665</v>
      </c>
      <c r="CX1276" s="36">
        <v>1</v>
      </c>
    </row>
    <row r="1277" spans="91:102" ht="21" customHeight="1" x14ac:dyDescent="0.25">
      <c r="CM1277" s="102"/>
      <c r="CN1277" s="112" t="s">
        <v>3353</v>
      </c>
      <c r="CO1277" s="112" t="s">
        <v>541</v>
      </c>
      <c r="CP1277" s="112" t="s">
        <v>523</v>
      </c>
      <c r="CQ1277" s="112" t="s">
        <v>3354</v>
      </c>
      <c r="CR1277" s="112" t="s">
        <v>3354</v>
      </c>
      <c r="CS1277" s="112" t="s">
        <v>1168</v>
      </c>
      <c r="CT1277" s="112" t="s">
        <v>1169</v>
      </c>
      <c r="CU1277" s="112" t="s">
        <v>1664</v>
      </c>
      <c r="CV1277" s="113" t="s">
        <v>1665</v>
      </c>
      <c r="CX1277" s="36">
        <v>1</v>
      </c>
    </row>
    <row r="1278" spans="91:102" ht="21" customHeight="1" x14ac:dyDescent="0.25">
      <c r="CM1278" s="102"/>
      <c r="CN1278" s="112" t="s">
        <v>3355</v>
      </c>
      <c r="CO1278" s="112" t="s">
        <v>541</v>
      </c>
      <c r="CP1278" s="112" t="s">
        <v>523</v>
      </c>
      <c r="CQ1278" s="112" t="s">
        <v>3356</v>
      </c>
      <c r="CR1278" s="112" t="s">
        <v>3356</v>
      </c>
      <c r="CS1278" s="112" t="s">
        <v>1168</v>
      </c>
      <c r="CT1278" s="112" t="s">
        <v>1169</v>
      </c>
      <c r="CU1278" s="112" t="s">
        <v>1664</v>
      </c>
      <c r="CV1278" s="113" t="s">
        <v>1665</v>
      </c>
      <c r="CX1278" s="36">
        <v>1</v>
      </c>
    </row>
    <row r="1279" spans="91:102" ht="21" customHeight="1" x14ac:dyDescent="0.25">
      <c r="CM1279" s="102"/>
      <c r="CN1279" s="112" t="s">
        <v>3357</v>
      </c>
      <c r="CO1279" s="112" t="s">
        <v>541</v>
      </c>
      <c r="CP1279" s="112" t="s">
        <v>523</v>
      </c>
      <c r="CQ1279" s="112" t="s">
        <v>3358</v>
      </c>
      <c r="CR1279" s="112" t="s">
        <v>3358</v>
      </c>
      <c r="CS1279" s="112" t="s">
        <v>1168</v>
      </c>
      <c r="CT1279" s="112" t="s">
        <v>1169</v>
      </c>
      <c r="CU1279" s="112" t="s">
        <v>1664</v>
      </c>
      <c r="CV1279" s="113" t="s">
        <v>1665</v>
      </c>
      <c r="CX1279" s="36">
        <v>1</v>
      </c>
    </row>
    <row r="1280" spans="91:102" ht="21" customHeight="1" x14ac:dyDescent="0.25">
      <c r="CM1280" s="102"/>
      <c r="CN1280" s="112" t="s">
        <v>3359</v>
      </c>
      <c r="CO1280" s="112" t="s">
        <v>541</v>
      </c>
      <c r="CP1280" s="112" t="s">
        <v>523</v>
      </c>
      <c r="CQ1280" s="112" t="s">
        <v>3360</v>
      </c>
      <c r="CR1280" s="112" t="s">
        <v>3360</v>
      </c>
      <c r="CS1280" s="112" t="s">
        <v>525</v>
      </c>
      <c r="CT1280" s="112" t="s">
        <v>1747</v>
      </c>
      <c r="CU1280" s="112" t="s">
        <v>527</v>
      </c>
      <c r="CV1280" s="113" t="s">
        <v>528</v>
      </c>
      <c r="CX1280" s="36">
        <v>1</v>
      </c>
    </row>
    <row r="1281" spans="91:102" ht="21" customHeight="1" x14ac:dyDescent="0.25">
      <c r="CM1281" s="102"/>
      <c r="CN1281" s="112" t="s">
        <v>3361</v>
      </c>
      <c r="CO1281" s="112" t="s">
        <v>541</v>
      </c>
      <c r="CP1281" s="112" t="s">
        <v>523</v>
      </c>
      <c r="CQ1281" s="112" t="s">
        <v>3362</v>
      </c>
      <c r="CR1281" s="112" t="s">
        <v>3362</v>
      </c>
      <c r="CS1281" s="112" t="s">
        <v>525</v>
      </c>
      <c r="CT1281" s="112" t="s">
        <v>1747</v>
      </c>
      <c r="CU1281" s="112" t="s">
        <v>527</v>
      </c>
      <c r="CV1281" s="113" t="s">
        <v>528</v>
      </c>
      <c r="CX1281" s="36">
        <v>1</v>
      </c>
    </row>
    <row r="1282" spans="91:102" ht="21" customHeight="1" x14ac:dyDescent="0.25">
      <c r="CM1282" s="102"/>
      <c r="CN1282" s="112" t="s">
        <v>3363</v>
      </c>
      <c r="CO1282" s="112" t="s">
        <v>541</v>
      </c>
      <c r="CP1282" s="112" t="s">
        <v>523</v>
      </c>
      <c r="CQ1282" s="112" t="s">
        <v>3364</v>
      </c>
      <c r="CR1282" s="112" t="s">
        <v>3364</v>
      </c>
      <c r="CS1282" s="112" t="s">
        <v>1168</v>
      </c>
      <c r="CT1282" s="112" t="s">
        <v>1169</v>
      </c>
      <c r="CU1282" s="112" t="s">
        <v>1664</v>
      </c>
      <c r="CV1282" s="113" t="s">
        <v>1665</v>
      </c>
      <c r="CX1282" s="36">
        <v>1</v>
      </c>
    </row>
    <row r="1283" spans="91:102" ht="21" customHeight="1" x14ac:dyDescent="0.25">
      <c r="CM1283" s="102"/>
      <c r="CN1283" s="112" t="s">
        <v>3365</v>
      </c>
      <c r="CO1283" s="112" t="s">
        <v>541</v>
      </c>
      <c r="CP1283" s="112" t="s">
        <v>523</v>
      </c>
      <c r="CQ1283" s="112" t="s">
        <v>3366</v>
      </c>
      <c r="CR1283" s="112" t="s">
        <v>3366</v>
      </c>
      <c r="CS1283" s="112" t="s">
        <v>525</v>
      </c>
      <c r="CT1283" s="112" t="s">
        <v>1747</v>
      </c>
      <c r="CU1283" s="112" t="s">
        <v>527</v>
      </c>
      <c r="CV1283" s="113" t="s">
        <v>528</v>
      </c>
      <c r="CX1283" s="36">
        <v>1</v>
      </c>
    </row>
    <row r="1284" spans="91:102" ht="21" customHeight="1" x14ac:dyDescent="0.25">
      <c r="CM1284" s="102"/>
      <c r="CN1284" s="112" t="s">
        <v>3367</v>
      </c>
      <c r="CO1284" s="112" t="s">
        <v>541</v>
      </c>
      <c r="CP1284" s="112" t="s">
        <v>523</v>
      </c>
      <c r="CQ1284" s="112" t="s">
        <v>3368</v>
      </c>
      <c r="CR1284" s="112" t="s">
        <v>3368</v>
      </c>
      <c r="CS1284" s="112" t="s">
        <v>1168</v>
      </c>
      <c r="CT1284" s="112" t="s">
        <v>1169</v>
      </c>
      <c r="CU1284" s="112" t="s">
        <v>1664</v>
      </c>
      <c r="CV1284" s="113" t="s">
        <v>1665</v>
      </c>
      <c r="CX1284" s="36">
        <v>1</v>
      </c>
    </row>
    <row r="1285" spans="91:102" ht="21" customHeight="1" x14ac:dyDescent="0.25">
      <c r="CM1285" s="102"/>
      <c r="CN1285" s="112" t="s">
        <v>3369</v>
      </c>
      <c r="CO1285" s="112" t="s">
        <v>541</v>
      </c>
      <c r="CP1285" s="112" t="s">
        <v>523</v>
      </c>
      <c r="CQ1285" s="112" t="s">
        <v>3370</v>
      </c>
      <c r="CR1285" s="112" t="s">
        <v>3370</v>
      </c>
      <c r="CS1285" s="112" t="s">
        <v>1168</v>
      </c>
      <c r="CT1285" s="112" t="s">
        <v>1169</v>
      </c>
      <c r="CU1285" s="112" t="s">
        <v>1664</v>
      </c>
      <c r="CV1285" s="113" t="s">
        <v>1665</v>
      </c>
      <c r="CX1285" s="36">
        <v>1</v>
      </c>
    </row>
    <row r="1286" spans="91:102" ht="21" customHeight="1" x14ac:dyDescent="0.25">
      <c r="CM1286" s="102"/>
      <c r="CN1286" s="112" t="s">
        <v>3371</v>
      </c>
      <c r="CO1286" s="112" t="s">
        <v>541</v>
      </c>
      <c r="CP1286" s="112" t="s">
        <v>523</v>
      </c>
      <c r="CQ1286" s="112" t="s">
        <v>3372</v>
      </c>
      <c r="CR1286" s="112" t="s">
        <v>3372</v>
      </c>
      <c r="CS1286" s="112" t="s">
        <v>1168</v>
      </c>
      <c r="CT1286" s="112" t="s">
        <v>1169</v>
      </c>
      <c r="CU1286" s="112" t="s">
        <v>1664</v>
      </c>
      <c r="CV1286" s="113" t="s">
        <v>1665</v>
      </c>
      <c r="CX1286" s="36">
        <v>1</v>
      </c>
    </row>
    <row r="1287" spans="91:102" ht="21" customHeight="1" x14ac:dyDescent="0.25">
      <c r="CM1287" s="102"/>
      <c r="CN1287" s="112" t="s">
        <v>3373</v>
      </c>
      <c r="CO1287" s="112" t="s">
        <v>541</v>
      </c>
      <c r="CP1287" s="112" t="s">
        <v>523</v>
      </c>
      <c r="CQ1287" s="112" t="s">
        <v>3374</v>
      </c>
      <c r="CR1287" s="112" t="s">
        <v>3374</v>
      </c>
      <c r="CS1287" s="112" t="s">
        <v>1168</v>
      </c>
      <c r="CT1287" s="112" t="s">
        <v>1169</v>
      </c>
      <c r="CU1287" s="112" t="s">
        <v>1664</v>
      </c>
      <c r="CV1287" s="113" t="s">
        <v>1665</v>
      </c>
      <c r="CX1287" s="36">
        <v>1</v>
      </c>
    </row>
    <row r="1288" spans="91:102" ht="21" customHeight="1" x14ac:dyDescent="0.25">
      <c r="CM1288" s="102"/>
      <c r="CN1288" s="112" t="s">
        <v>3375</v>
      </c>
      <c r="CO1288" s="112" t="s">
        <v>541</v>
      </c>
      <c r="CP1288" s="112" t="s">
        <v>523</v>
      </c>
      <c r="CQ1288" s="112" t="s">
        <v>3376</v>
      </c>
      <c r="CR1288" s="112" t="s">
        <v>3376</v>
      </c>
      <c r="CS1288" s="112" t="s">
        <v>1168</v>
      </c>
      <c r="CT1288" s="112" t="s">
        <v>1169</v>
      </c>
      <c r="CU1288" s="112" t="s">
        <v>1664</v>
      </c>
      <c r="CV1288" s="113" t="s">
        <v>1665</v>
      </c>
      <c r="CX1288" s="36">
        <v>1</v>
      </c>
    </row>
    <row r="1289" spans="91:102" ht="21" customHeight="1" x14ac:dyDescent="0.25">
      <c r="CM1289" s="102"/>
      <c r="CN1289" s="112" t="s">
        <v>3377</v>
      </c>
      <c r="CO1289" s="112" t="s">
        <v>541</v>
      </c>
      <c r="CP1289" s="112" t="s">
        <v>523</v>
      </c>
      <c r="CQ1289" s="112" t="s">
        <v>3378</v>
      </c>
      <c r="CR1289" s="112" t="s">
        <v>3378</v>
      </c>
      <c r="CS1289" s="112" t="s">
        <v>1168</v>
      </c>
      <c r="CT1289" s="112" t="s">
        <v>1169</v>
      </c>
      <c r="CU1289" s="112" t="s">
        <v>1664</v>
      </c>
      <c r="CV1289" s="113" t="s">
        <v>1665</v>
      </c>
      <c r="CX1289" s="36">
        <v>1</v>
      </c>
    </row>
    <row r="1290" spans="91:102" ht="21" customHeight="1" x14ac:dyDescent="0.25">
      <c r="CM1290" s="102"/>
      <c r="CN1290" s="112" t="s">
        <v>3379</v>
      </c>
      <c r="CO1290" s="112" t="s">
        <v>541</v>
      </c>
      <c r="CP1290" s="112" t="s">
        <v>523</v>
      </c>
      <c r="CQ1290" s="112" t="s">
        <v>3380</v>
      </c>
      <c r="CR1290" s="112" t="s">
        <v>3380</v>
      </c>
      <c r="CS1290" s="112" t="s">
        <v>1168</v>
      </c>
      <c r="CT1290" s="112" t="s">
        <v>1169</v>
      </c>
      <c r="CU1290" s="112" t="s">
        <v>1664</v>
      </c>
      <c r="CV1290" s="113" t="s">
        <v>1665</v>
      </c>
      <c r="CX1290" s="36">
        <v>1</v>
      </c>
    </row>
    <row r="1291" spans="91:102" ht="21" customHeight="1" x14ac:dyDescent="0.25">
      <c r="CM1291" s="102"/>
      <c r="CN1291" s="112" t="s">
        <v>3381</v>
      </c>
      <c r="CO1291" s="112" t="s">
        <v>541</v>
      </c>
      <c r="CP1291" s="112" t="s">
        <v>523</v>
      </c>
      <c r="CQ1291" s="112" t="s">
        <v>3382</v>
      </c>
      <c r="CR1291" s="112" t="s">
        <v>3382</v>
      </c>
      <c r="CS1291" s="112" t="s">
        <v>1168</v>
      </c>
      <c r="CT1291" s="112" t="s">
        <v>1169</v>
      </c>
      <c r="CU1291" s="112" t="s">
        <v>1664</v>
      </c>
      <c r="CV1291" s="113" t="s">
        <v>1665</v>
      </c>
      <c r="CX1291" s="36">
        <v>1</v>
      </c>
    </row>
    <row r="1292" spans="91:102" ht="21" customHeight="1" x14ac:dyDescent="0.25">
      <c r="CM1292" s="102"/>
      <c r="CN1292" s="112" t="s">
        <v>3383</v>
      </c>
      <c r="CO1292" s="112" t="s">
        <v>541</v>
      </c>
      <c r="CP1292" s="112" t="s">
        <v>523</v>
      </c>
      <c r="CQ1292" s="112" t="s">
        <v>3384</v>
      </c>
      <c r="CR1292" s="112" t="s">
        <v>3384</v>
      </c>
      <c r="CS1292" s="112" t="s">
        <v>1168</v>
      </c>
      <c r="CT1292" s="112" t="s">
        <v>1169</v>
      </c>
      <c r="CU1292" s="112" t="s">
        <v>1664</v>
      </c>
      <c r="CV1292" s="113" t="s">
        <v>1665</v>
      </c>
      <c r="CX1292" s="36">
        <v>1</v>
      </c>
    </row>
    <row r="1293" spans="91:102" ht="21" customHeight="1" x14ac:dyDescent="0.25">
      <c r="CM1293" s="102"/>
      <c r="CN1293" s="112" t="s">
        <v>3385</v>
      </c>
      <c r="CO1293" s="112" t="s">
        <v>541</v>
      </c>
      <c r="CP1293" s="112" t="s">
        <v>523</v>
      </c>
      <c r="CQ1293" s="112" t="s">
        <v>3386</v>
      </c>
      <c r="CR1293" s="112" t="s">
        <v>3386</v>
      </c>
      <c r="CS1293" s="112" t="s">
        <v>1168</v>
      </c>
      <c r="CT1293" s="112" t="s">
        <v>1169</v>
      </c>
      <c r="CU1293" s="112" t="s">
        <v>1664</v>
      </c>
      <c r="CV1293" s="113" t="s">
        <v>1665</v>
      </c>
      <c r="CX1293" s="36">
        <v>1</v>
      </c>
    </row>
    <row r="1294" spans="91:102" ht="21" customHeight="1" x14ac:dyDescent="0.25">
      <c r="CM1294" s="102"/>
      <c r="CN1294" s="112" t="s">
        <v>3387</v>
      </c>
      <c r="CO1294" s="112" t="s">
        <v>541</v>
      </c>
      <c r="CP1294" s="112" t="s">
        <v>523</v>
      </c>
      <c r="CQ1294" s="112" t="s">
        <v>3388</v>
      </c>
      <c r="CR1294" s="112" t="s">
        <v>3388</v>
      </c>
      <c r="CS1294" s="112" t="s">
        <v>1168</v>
      </c>
      <c r="CT1294" s="112" t="s">
        <v>1169</v>
      </c>
      <c r="CU1294" s="112" t="s">
        <v>1664</v>
      </c>
      <c r="CV1294" s="113" t="s">
        <v>1665</v>
      </c>
      <c r="CX1294" s="36">
        <v>1</v>
      </c>
    </row>
    <row r="1295" spans="91:102" ht="21" customHeight="1" x14ac:dyDescent="0.25">
      <c r="CM1295" s="102"/>
      <c r="CN1295" s="112" t="s">
        <v>3389</v>
      </c>
      <c r="CO1295" s="112" t="s">
        <v>541</v>
      </c>
      <c r="CP1295" s="112" t="s">
        <v>523</v>
      </c>
      <c r="CQ1295" s="112" t="s">
        <v>3390</v>
      </c>
      <c r="CR1295" s="112" t="s">
        <v>3390</v>
      </c>
      <c r="CS1295" s="112" t="s">
        <v>1168</v>
      </c>
      <c r="CT1295" s="112" t="s">
        <v>1169</v>
      </c>
      <c r="CU1295" s="112" t="s">
        <v>1664</v>
      </c>
      <c r="CV1295" s="113" t="s">
        <v>1665</v>
      </c>
      <c r="CX1295" s="36">
        <v>1</v>
      </c>
    </row>
    <row r="1296" spans="91:102" ht="21" customHeight="1" x14ac:dyDescent="0.25">
      <c r="CM1296" s="102"/>
      <c r="CN1296" s="112" t="s">
        <v>3391</v>
      </c>
      <c r="CO1296" s="112" t="s">
        <v>541</v>
      </c>
      <c r="CP1296" s="112" t="s">
        <v>523</v>
      </c>
      <c r="CQ1296" s="112" t="s">
        <v>3392</v>
      </c>
      <c r="CR1296" s="112" t="s">
        <v>3392</v>
      </c>
      <c r="CS1296" s="112" t="s">
        <v>1168</v>
      </c>
      <c r="CT1296" s="112" t="s">
        <v>1169</v>
      </c>
      <c r="CU1296" s="112" t="s">
        <v>1664</v>
      </c>
      <c r="CV1296" s="113" t="s">
        <v>1665</v>
      </c>
      <c r="CX1296" s="36">
        <v>1</v>
      </c>
    </row>
    <row r="1297" spans="91:102" ht="21" customHeight="1" x14ac:dyDescent="0.25">
      <c r="CM1297" s="102"/>
      <c r="CN1297" s="112" t="s">
        <v>3393</v>
      </c>
      <c r="CO1297" s="112" t="s">
        <v>541</v>
      </c>
      <c r="CP1297" s="112" t="s">
        <v>523</v>
      </c>
      <c r="CQ1297" s="112" t="s">
        <v>3394</v>
      </c>
      <c r="CR1297" s="112" t="s">
        <v>3394</v>
      </c>
      <c r="CS1297" s="112" t="s">
        <v>1168</v>
      </c>
      <c r="CT1297" s="112" t="s">
        <v>1169</v>
      </c>
      <c r="CU1297" s="112" t="s">
        <v>1664</v>
      </c>
      <c r="CV1297" s="113" t="s">
        <v>1665</v>
      </c>
      <c r="CX1297" s="36">
        <v>1</v>
      </c>
    </row>
    <row r="1298" spans="91:102" ht="21" customHeight="1" x14ac:dyDescent="0.25">
      <c r="CM1298" s="102"/>
      <c r="CN1298" s="112" t="s">
        <v>3395</v>
      </c>
      <c r="CO1298" s="112" t="s">
        <v>541</v>
      </c>
      <c r="CP1298" s="112" t="s">
        <v>523</v>
      </c>
      <c r="CQ1298" s="112" t="s">
        <v>3396</v>
      </c>
      <c r="CR1298" s="112" t="s">
        <v>3396</v>
      </c>
      <c r="CS1298" s="112" t="s">
        <v>1168</v>
      </c>
      <c r="CT1298" s="112" t="s">
        <v>1169</v>
      </c>
      <c r="CU1298" s="112" t="s">
        <v>1664</v>
      </c>
      <c r="CV1298" s="113" t="s">
        <v>1665</v>
      </c>
      <c r="CX1298" s="36">
        <v>1</v>
      </c>
    </row>
    <row r="1299" spans="91:102" ht="21" customHeight="1" x14ac:dyDescent="0.25">
      <c r="CM1299" s="102"/>
      <c r="CN1299" s="112" t="s">
        <v>3397</v>
      </c>
      <c r="CO1299" s="112" t="s">
        <v>541</v>
      </c>
      <c r="CP1299" s="112" t="s">
        <v>523</v>
      </c>
      <c r="CQ1299" s="112" t="s">
        <v>3398</v>
      </c>
      <c r="CR1299" s="112" t="s">
        <v>3398</v>
      </c>
      <c r="CS1299" s="112" t="s">
        <v>1168</v>
      </c>
      <c r="CT1299" s="112" t="s">
        <v>1169</v>
      </c>
      <c r="CU1299" s="112" t="s">
        <v>1664</v>
      </c>
      <c r="CV1299" s="113" t="s">
        <v>1665</v>
      </c>
      <c r="CX1299" s="36">
        <v>1</v>
      </c>
    </row>
    <row r="1300" spans="91:102" ht="21" customHeight="1" x14ac:dyDescent="0.25">
      <c r="CM1300" s="102"/>
      <c r="CN1300" s="112" t="s">
        <v>3399</v>
      </c>
      <c r="CO1300" s="112" t="s">
        <v>541</v>
      </c>
      <c r="CP1300" s="112" t="s">
        <v>523</v>
      </c>
      <c r="CQ1300" s="112" t="s">
        <v>3400</v>
      </c>
      <c r="CR1300" s="112" t="s">
        <v>3400</v>
      </c>
      <c r="CS1300" s="112" t="s">
        <v>1168</v>
      </c>
      <c r="CT1300" s="112" t="s">
        <v>1169</v>
      </c>
      <c r="CU1300" s="112" t="s">
        <v>1664</v>
      </c>
      <c r="CV1300" s="113" t="s">
        <v>1665</v>
      </c>
      <c r="CX1300" s="36">
        <v>1</v>
      </c>
    </row>
    <row r="1301" spans="91:102" ht="21" customHeight="1" x14ac:dyDescent="0.25">
      <c r="CM1301" s="102"/>
      <c r="CN1301" s="112" t="s">
        <v>3401</v>
      </c>
      <c r="CO1301" s="112" t="s">
        <v>541</v>
      </c>
      <c r="CP1301" s="112" t="s">
        <v>523</v>
      </c>
      <c r="CQ1301" s="112" t="s">
        <v>3402</v>
      </c>
      <c r="CR1301" s="112" t="s">
        <v>3402</v>
      </c>
      <c r="CS1301" s="112" t="s">
        <v>1168</v>
      </c>
      <c r="CT1301" s="112" t="s">
        <v>1169</v>
      </c>
      <c r="CU1301" s="112" t="s">
        <v>1664</v>
      </c>
      <c r="CV1301" s="113" t="s">
        <v>1665</v>
      </c>
      <c r="CX1301" s="36">
        <v>1</v>
      </c>
    </row>
    <row r="1302" spans="91:102" ht="21" customHeight="1" x14ac:dyDescent="0.25">
      <c r="CM1302" s="102"/>
      <c r="CN1302" s="112" t="s">
        <v>3403</v>
      </c>
      <c r="CO1302" s="112" t="s">
        <v>541</v>
      </c>
      <c r="CP1302" s="112" t="s">
        <v>523</v>
      </c>
      <c r="CQ1302" s="112" t="s">
        <v>3404</v>
      </c>
      <c r="CR1302" s="112" t="s">
        <v>3404</v>
      </c>
      <c r="CS1302" s="112" t="s">
        <v>1168</v>
      </c>
      <c r="CT1302" s="112" t="s">
        <v>1169</v>
      </c>
      <c r="CU1302" s="112" t="s">
        <v>1664</v>
      </c>
      <c r="CV1302" s="113" t="s">
        <v>1665</v>
      </c>
      <c r="CX1302" s="36">
        <v>1</v>
      </c>
    </row>
    <row r="1303" spans="91:102" ht="21" customHeight="1" x14ac:dyDescent="0.25">
      <c r="CM1303" s="102"/>
      <c r="CN1303" s="112" t="s">
        <v>3405</v>
      </c>
      <c r="CO1303" s="112" t="s">
        <v>541</v>
      </c>
      <c r="CP1303" s="112" t="s">
        <v>523</v>
      </c>
      <c r="CQ1303" s="112" t="s">
        <v>3406</v>
      </c>
      <c r="CR1303" s="112" t="s">
        <v>3406</v>
      </c>
      <c r="CS1303" s="112" t="s">
        <v>1168</v>
      </c>
      <c r="CT1303" s="112" t="s">
        <v>1169</v>
      </c>
      <c r="CU1303" s="112" t="s">
        <v>1664</v>
      </c>
      <c r="CV1303" s="113" t="s">
        <v>1665</v>
      </c>
      <c r="CX1303" s="36">
        <v>1</v>
      </c>
    </row>
    <row r="1304" spans="91:102" ht="21" customHeight="1" x14ac:dyDescent="0.25">
      <c r="CM1304" s="102"/>
      <c r="CN1304" s="112" t="s">
        <v>3407</v>
      </c>
      <c r="CO1304" s="112" t="s">
        <v>541</v>
      </c>
      <c r="CP1304" s="112" t="s">
        <v>523</v>
      </c>
      <c r="CQ1304" s="112" t="s">
        <v>3408</v>
      </c>
      <c r="CR1304" s="112" t="s">
        <v>3408</v>
      </c>
      <c r="CS1304" s="112" t="s">
        <v>1168</v>
      </c>
      <c r="CT1304" s="112" t="s">
        <v>1169</v>
      </c>
      <c r="CU1304" s="112" t="s">
        <v>1664</v>
      </c>
      <c r="CV1304" s="113" t="s">
        <v>1665</v>
      </c>
      <c r="CX1304" s="36">
        <v>1</v>
      </c>
    </row>
    <row r="1305" spans="91:102" ht="21" customHeight="1" x14ac:dyDescent="0.25">
      <c r="CM1305" s="102"/>
      <c r="CN1305" s="112" t="s">
        <v>3409</v>
      </c>
      <c r="CO1305" s="112" t="s">
        <v>541</v>
      </c>
      <c r="CP1305" s="112" t="s">
        <v>523</v>
      </c>
      <c r="CQ1305" s="112" t="s">
        <v>3410</v>
      </c>
      <c r="CR1305" s="112" t="s">
        <v>3410</v>
      </c>
      <c r="CS1305" s="112" t="s">
        <v>1168</v>
      </c>
      <c r="CT1305" s="112" t="s">
        <v>1169</v>
      </c>
      <c r="CU1305" s="112" t="s">
        <v>1664</v>
      </c>
      <c r="CV1305" s="113" t="s">
        <v>1665</v>
      </c>
      <c r="CX1305" s="36">
        <v>1</v>
      </c>
    </row>
    <row r="1306" spans="91:102" ht="21" customHeight="1" x14ac:dyDescent="0.25">
      <c r="CM1306" s="102"/>
      <c r="CN1306" s="112" t="s">
        <v>3411</v>
      </c>
      <c r="CO1306" s="112" t="s">
        <v>541</v>
      </c>
      <c r="CP1306" s="112" t="s">
        <v>523</v>
      </c>
      <c r="CQ1306" s="112" t="s">
        <v>3412</v>
      </c>
      <c r="CR1306" s="112" t="s">
        <v>3412</v>
      </c>
      <c r="CS1306" s="112" t="s">
        <v>1168</v>
      </c>
      <c r="CT1306" s="112" t="s">
        <v>1169</v>
      </c>
      <c r="CU1306" s="112" t="s">
        <v>1664</v>
      </c>
      <c r="CV1306" s="113" t="s">
        <v>1665</v>
      </c>
      <c r="CX1306" s="36">
        <v>1</v>
      </c>
    </row>
    <row r="1307" spans="91:102" ht="21" customHeight="1" x14ac:dyDescent="0.25">
      <c r="CM1307" s="102"/>
      <c r="CN1307" s="112" t="s">
        <v>3413</v>
      </c>
      <c r="CO1307" s="112" t="s">
        <v>541</v>
      </c>
      <c r="CP1307" s="112" t="s">
        <v>523</v>
      </c>
      <c r="CQ1307" s="112" t="s">
        <v>3414</v>
      </c>
      <c r="CR1307" s="112" t="s">
        <v>3414</v>
      </c>
      <c r="CS1307" s="112" t="s">
        <v>1168</v>
      </c>
      <c r="CT1307" s="112" t="s">
        <v>1169</v>
      </c>
      <c r="CU1307" s="112" t="s">
        <v>1664</v>
      </c>
      <c r="CV1307" s="113" t="s">
        <v>1665</v>
      </c>
      <c r="CX1307" s="36">
        <v>1</v>
      </c>
    </row>
    <row r="1308" spans="91:102" ht="21" customHeight="1" x14ac:dyDescent="0.25">
      <c r="CM1308" s="102"/>
      <c r="CN1308" s="112" t="s">
        <v>3415</v>
      </c>
      <c r="CO1308" s="112" t="s">
        <v>541</v>
      </c>
      <c r="CP1308" s="112" t="s">
        <v>523</v>
      </c>
      <c r="CQ1308" s="112" t="s">
        <v>3416</v>
      </c>
      <c r="CR1308" s="112" t="s">
        <v>3416</v>
      </c>
      <c r="CS1308" s="112" t="s">
        <v>1168</v>
      </c>
      <c r="CT1308" s="112" t="s">
        <v>1169</v>
      </c>
      <c r="CU1308" s="112" t="s">
        <v>1664</v>
      </c>
      <c r="CV1308" s="113" t="s">
        <v>1665</v>
      </c>
      <c r="CX1308" s="36">
        <v>1</v>
      </c>
    </row>
    <row r="1309" spans="91:102" ht="21" customHeight="1" x14ac:dyDescent="0.25">
      <c r="CM1309" s="102"/>
      <c r="CN1309" s="112" t="s">
        <v>3417</v>
      </c>
      <c r="CO1309" s="112" t="s">
        <v>541</v>
      </c>
      <c r="CP1309" s="112" t="s">
        <v>523</v>
      </c>
      <c r="CQ1309" s="112" t="s">
        <v>3418</v>
      </c>
      <c r="CR1309" s="112" t="s">
        <v>3418</v>
      </c>
      <c r="CS1309" s="112" t="s">
        <v>1168</v>
      </c>
      <c r="CT1309" s="112" t="s">
        <v>1169</v>
      </c>
      <c r="CU1309" s="112" t="s">
        <v>1664</v>
      </c>
      <c r="CV1309" s="113" t="s">
        <v>1665</v>
      </c>
      <c r="CX1309" s="36">
        <v>1</v>
      </c>
    </row>
    <row r="1310" spans="91:102" ht="21" customHeight="1" x14ac:dyDescent="0.25">
      <c r="CM1310" s="102"/>
      <c r="CN1310" s="112" t="s">
        <v>3419</v>
      </c>
      <c r="CO1310" s="112" t="s">
        <v>541</v>
      </c>
      <c r="CP1310" s="112" t="s">
        <v>523</v>
      </c>
      <c r="CQ1310" s="112" t="s">
        <v>3420</v>
      </c>
      <c r="CR1310" s="112" t="s">
        <v>3420</v>
      </c>
      <c r="CS1310" s="112" t="s">
        <v>1168</v>
      </c>
      <c r="CT1310" s="112" t="s">
        <v>1169</v>
      </c>
      <c r="CU1310" s="112" t="s">
        <v>1664</v>
      </c>
      <c r="CV1310" s="113" t="s">
        <v>1665</v>
      </c>
      <c r="CX1310" s="36">
        <v>1</v>
      </c>
    </row>
    <row r="1311" spans="91:102" ht="21" customHeight="1" x14ac:dyDescent="0.25">
      <c r="CM1311" s="102"/>
      <c r="CN1311" s="112" t="s">
        <v>3421</v>
      </c>
      <c r="CO1311" s="112" t="s">
        <v>541</v>
      </c>
      <c r="CP1311" s="112" t="s">
        <v>523</v>
      </c>
      <c r="CQ1311" s="112" t="s">
        <v>3422</v>
      </c>
      <c r="CR1311" s="112" t="s">
        <v>3422</v>
      </c>
      <c r="CS1311" s="112" t="s">
        <v>1168</v>
      </c>
      <c r="CT1311" s="112" t="s">
        <v>1169</v>
      </c>
      <c r="CU1311" s="112" t="s">
        <v>1664</v>
      </c>
      <c r="CV1311" s="113" t="s">
        <v>1665</v>
      </c>
      <c r="CX1311" s="36">
        <v>1</v>
      </c>
    </row>
    <row r="1312" spans="91:102" ht="21" customHeight="1" x14ac:dyDescent="0.25">
      <c r="CM1312" s="102"/>
      <c r="CN1312" s="112" t="s">
        <v>3423</v>
      </c>
      <c r="CO1312" s="112" t="s">
        <v>541</v>
      </c>
      <c r="CP1312" s="112" t="s">
        <v>523</v>
      </c>
      <c r="CQ1312" s="112" t="s">
        <v>3424</v>
      </c>
      <c r="CR1312" s="112" t="s">
        <v>3424</v>
      </c>
      <c r="CS1312" s="112" t="s">
        <v>610</v>
      </c>
      <c r="CT1312" s="112" t="s">
        <v>611</v>
      </c>
      <c r="CU1312" s="112" t="s">
        <v>527</v>
      </c>
      <c r="CV1312" s="113" t="s">
        <v>612</v>
      </c>
      <c r="CX1312" s="36">
        <v>1</v>
      </c>
    </row>
    <row r="1313" spans="91:102" ht="21" customHeight="1" x14ac:dyDescent="0.25">
      <c r="CM1313" s="102"/>
      <c r="CN1313" s="112" t="s">
        <v>3425</v>
      </c>
      <c r="CO1313" s="112" t="s">
        <v>541</v>
      </c>
      <c r="CP1313" s="112" t="s">
        <v>523</v>
      </c>
      <c r="CQ1313" s="112" t="s">
        <v>3426</v>
      </c>
      <c r="CR1313" s="112" t="s">
        <v>3426</v>
      </c>
      <c r="CS1313" s="112" t="s">
        <v>1168</v>
      </c>
      <c r="CT1313" s="112" t="s">
        <v>1169</v>
      </c>
      <c r="CU1313" s="112" t="s">
        <v>1664</v>
      </c>
      <c r="CV1313" s="113" t="s">
        <v>1665</v>
      </c>
      <c r="CX1313" s="36">
        <v>1</v>
      </c>
    </row>
    <row r="1314" spans="91:102" ht="21" customHeight="1" x14ac:dyDescent="0.25">
      <c r="CM1314" s="102"/>
      <c r="CN1314" s="112" t="s">
        <v>3427</v>
      </c>
      <c r="CO1314" s="112" t="s">
        <v>541</v>
      </c>
      <c r="CP1314" s="112" t="s">
        <v>523</v>
      </c>
      <c r="CQ1314" s="112" t="s">
        <v>3428</v>
      </c>
      <c r="CR1314" s="112" t="s">
        <v>3428</v>
      </c>
      <c r="CS1314" s="112" t="s">
        <v>1168</v>
      </c>
      <c r="CT1314" s="112" t="s">
        <v>1169</v>
      </c>
      <c r="CU1314" s="112" t="s">
        <v>1664</v>
      </c>
      <c r="CV1314" s="113" t="s">
        <v>1665</v>
      </c>
      <c r="CX1314" s="36">
        <v>1</v>
      </c>
    </row>
    <row r="1315" spans="91:102" ht="21" customHeight="1" x14ac:dyDescent="0.25">
      <c r="CM1315" s="102"/>
      <c r="CN1315" s="112" t="s">
        <v>3429</v>
      </c>
      <c r="CO1315" s="112" t="s">
        <v>541</v>
      </c>
      <c r="CP1315" s="112" t="s">
        <v>523</v>
      </c>
      <c r="CQ1315" s="112" t="s">
        <v>3430</v>
      </c>
      <c r="CR1315" s="112" t="s">
        <v>3430</v>
      </c>
      <c r="CS1315" s="112" t="s">
        <v>610</v>
      </c>
      <c r="CT1315" s="112" t="s">
        <v>611</v>
      </c>
      <c r="CU1315" s="112" t="s">
        <v>527</v>
      </c>
      <c r="CV1315" s="113" t="s">
        <v>612</v>
      </c>
      <c r="CX1315" s="36">
        <v>1</v>
      </c>
    </row>
    <row r="1316" spans="91:102" ht="21" customHeight="1" x14ac:dyDescent="0.25">
      <c r="CM1316" s="102"/>
      <c r="CN1316" s="112" t="s">
        <v>3431</v>
      </c>
      <c r="CO1316" s="112" t="s">
        <v>541</v>
      </c>
      <c r="CP1316" s="112" t="s">
        <v>523</v>
      </c>
      <c r="CQ1316" s="112" t="s">
        <v>3432</v>
      </c>
      <c r="CR1316" s="112" t="s">
        <v>3432</v>
      </c>
      <c r="CS1316" s="112" t="s">
        <v>1168</v>
      </c>
      <c r="CT1316" s="112" t="s">
        <v>1169</v>
      </c>
      <c r="CU1316" s="112" t="s">
        <v>1664</v>
      </c>
      <c r="CV1316" s="113" t="s">
        <v>1665</v>
      </c>
      <c r="CX1316" s="36">
        <v>1</v>
      </c>
    </row>
    <row r="1317" spans="91:102" ht="21" customHeight="1" x14ac:dyDescent="0.25">
      <c r="CM1317" s="102"/>
      <c r="CN1317" s="112" t="s">
        <v>3433</v>
      </c>
      <c r="CO1317" s="112" t="s">
        <v>541</v>
      </c>
      <c r="CP1317" s="112" t="s">
        <v>523</v>
      </c>
      <c r="CQ1317" s="112" t="s">
        <v>3434</v>
      </c>
      <c r="CR1317" s="112" t="s">
        <v>3434</v>
      </c>
      <c r="CS1317" s="112" t="s">
        <v>1168</v>
      </c>
      <c r="CT1317" s="112" t="s">
        <v>1169</v>
      </c>
      <c r="CU1317" s="112" t="s">
        <v>1664</v>
      </c>
      <c r="CV1317" s="113" t="s">
        <v>1665</v>
      </c>
      <c r="CX1317" s="36">
        <v>1</v>
      </c>
    </row>
    <row r="1318" spans="91:102" ht="21" customHeight="1" x14ac:dyDescent="0.25">
      <c r="CM1318" s="102"/>
      <c r="CN1318" s="112" t="s">
        <v>3435</v>
      </c>
      <c r="CO1318" s="112" t="s">
        <v>541</v>
      </c>
      <c r="CP1318" s="112" t="s">
        <v>523</v>
      </c>
      <c r="CQ1318" s="112" t="s">
        <v>3436</v>
      </c>
      <c r="CR1318" s="112" t="s">
        <v>3436</v>
      </c>
      <c r="CS1318" s="112" t="s">
        <v>1168</v>
      </c>
      <c r="CT1318" s="112" t="s">
        <v>1169</v>
      </c>
      <c r="CU1318" s="112" t="s">
        <v>1664</v>
      </c>
      <c r="CV1318" s="113" t="s">
        <v>1665</v>
      </c>
      <c r="CX1318" s="36">
        <v>1</v>
      </c>
    </row>
    <row r="1319" spans="91:102" ht="21" customHeight="1" x14ac:dyDescent="0.25">
      <c r="CM1319" s="102"/>
      <c r="CN1319" s="112" t="s">
        <v>3437</v>
      </c>
      <c r="CO1319" s="112" t="s">
        <v>541</v>
      </c>
      <c r="CP1319" s="112" t="s">
        <v>523</v>
      </c>
      <c r="CQ1319" s="112" t="s">
        <v>3438</v>
      </c>
      <c r="CR1319" s="112" t="s">
        <v>3438</v>
      </c>
      <c r="CS1319" s="112" t="s">
        <v>1168</v>
      </c>
      <c r="CT1319" s="112" t="s">
        <v>1169</v>
      </c>
      <c r="CU1319" s="112" t="s">
        <v>1664</v>
      </c>
      <c r="CV1319" s="113" t="s">
        <v>1665</v>
      </c>
      <c r="CX1319" s="36">
        <v>1</v>
      </c>
    </row>
    <row r="1320" spans="91:102" ht="21" customHeight="1" x14ac:dyDescent="0.25">
      <c r="CM1320" s="102"/>
      <c r="CN1320" s="112" t="s">
        <v>3439</v>
      </c>
      <c r="CO1320" s="112" t="s">
        <v>541</v>
      </c>
      <c r="CP1320" s="112" t="s">
        <v>523</v>
      </c>
      <c r="CQ1320" s="112" t="s">
        <v>3440</v>
      </c>
      <c r="CR1320" s="112" t="s">
        <v>3440</v>
      </c>
      <c r="CS1320" s="112" t="s">
        <v>1168</v>
      </c>
      <c r="CT1320" s="112" t="s">
        <v>1169</v>
      </c>
      <c r="CU1320" s="112" t="s">
        <v>1664</v>
      </c>
      <c r="CV1320" s="113" t="s">
        <v>1665</v>
      </c>
      <c r="CX1320" s="36">
        <v>1</v>
      </c>
    </row>
    <row r="1321" spans="91:102" ht="21" customHeight="1" x14ac:dyDescent="0.25">
      <c r="CM1321" s="102"/>
      <c r="CN1321" s="112" t="s">
        <v>3441</v>
      </c>
      <c r="CO1321" s="112" t="s">
        <v>541</v>
      </c>
      <c r="CP1321" s="112" t="s">
        <v>523</v>
      </c>
      <c r="CQ1321" s="112" t="s">
        <v>3442</v>
      </c>
      <c r="CR1321" s="112" t="s">
        <v>3442</v>
      </c>
      <c r="CS1321" s="112" t="s">
        <v>1168</v>
      </c>
      <c r="CT1321" s="112" t="s">
        <v>1169</v>
      </c>
      <c r="CU1321" s="112" t="s">
        <v>1664</v>
      </c>
      <c r="CV1321" s="113" t="s">
        <v>1665</v>
      </c>
      <c r="CX1321" s="36">
        <v>1</v>
      </c>
    </row>
    <row r="1322" spans="91:102" ht="21" customHeight="1" x14ac:dyDescent="0.25">
      <c r="CM1322" s="102"/>
      <c r="CN1322" s="112" t="s">
        <v>3443</v>
      </c>
      <c r="CO1322" s="112" t="s">
        <v>541</v>
      </c>
      <c r="CP1322" s="112" t="s">
        <v>523</v>
      </c>
      <c r="CQ1322" s="112" t="s">
        <v>3444</v>
      </c>
      <c r="CR1322" s="112" t="s">
        <v>3444</v>
      </c>
      <c r="CS1322" s="112" t="s">
        <v>1168</v>
      </c>
      <c r="CT1322" s="112" t="s">
        <v>1169</v>
      </c>
      <c r="CU1322" s="112" t="s">
        <v>1664</v>
      </c>
      <c r="CV1322" s="113" t="s">
        <v>1665</v>
      </c>
      <c r="CX1322" s="36">
        <v>1</v>
      </c>
    </row>
    <row r="1323" spans="91:102" ht="21" customHeight="1" x14ac:dyDescent="0.25">
      <c r="CM1323" s="102"/>
      <c r="CN1323" s="112" t="s">
        <v>3445</v>
      </c>
      <c r="CO1323" s="112" t="s">
        <v>541</v>
      </c>
      <c r="CP1323" s="112" t="s">
        <v>523</v>
      </c>
      <c r="CQ1323" s="112" t="s">
        <v>3446</v>
      </c>
      <c r="CR1323" s="112" t="s">
        <v>3446</v>
      </c>
      <c r="CS1323" s="112" t="s">
        <v>1168</v>
      </c>
      <c r="CT1323" s="112" t="s">
        <v>1169</v>
      </c>
      <c r="CU1323" s="112" t="s">
        <v>1664</v>
      </c>
      <c r="CV1323" s="113" t="s">
        <v>1665</v>
      </c>
      <c r="CX1323" s="36">
        <v>1</v>
      </c>
    </row>
    <row r="1324" spans="91:102" ht="21" customHeight="1" x14ac:dyDescent="0.25">
      <c r="CM1324" s="102"/>
      <c r="CN1324" s="112" t="s">
        <v>3447</v>
      </c>
      <c r="CO1324" s="112" t="s">
        <v>541</v>
      </c>
      <c r="CP1324" s="112" t="s">
        <v>523</v>
      </c>
      <c r="CQ1324" s="112" t="s">
        <v>3448</v>
      </c>
      <c r="CR1324" s="112" t="s">
        <v>3448</v>
      </c>
      <c r="CS1324" s="112" t="s">
        <v>1168</v>
      </c>
      <c r="CT1324" s="112" t="s">
        <v>1169</v>
      </c>
      <c r="CU1324" s="112" t="s">
        <v>1664</v>
      </c>
      <c r="CV1324" s="113" t="s">
        <v>1665</v>
      </c>
      <c r="CX1324" s="36">
        <v>1</v>
      </c>
    </row>
    <row r="1325" spans="91:102" ht="21" customHeight="1" x14ac:dyDescent="0.25">
      <c r="CM1325" s="102"/>
      <c r="CN1325" s="112" t="s">
        <v>3449</v>
      </c>
      <c r="CO1325" s="112" t="s">
        <v>541</v>
      </c>
      <c r="CP1325" s="112" t="s">
        <v>523</v>
      </c>
      <c r="CQ1325" s="112" t="s">
        <v>3450</v>
      </c>
      <c r="CR1325" s="112" t="s">
        <v>3450</v>
      </c>
      <c r="CS1325" s="112" t="s">
        <v>1168</v>
      </c>
      <c r="CT1325" s="112" t="s">
        <v>1169</v>
      </c>
      <c r="CU1325" s="112" t="s">
        <v>1664</v>
      </c>
      <c r="CV1325" s="113" t="s">
        <v>1665</v>
      </c>
      <c r="CX1325" s="36">
        <v>1</v>
      </c>
    </row>
    <row r="1326" spans="91:102" ht="21" customHeight="1" x14ac:dyDescent="0.25">
      <c r="CM1326" s="102"/>
      <c r="CN1326" s="112" t="s">
        <v>3451</v>
      </c>
      <c r="CO1326" s="112" t="s">
        <v>541</v>
      </c>
      <c r="CP1326" s="112" t="s">
        <v>523</v>
      </c>
      <c r="CQ1326" s="112" t="s">
        <v>3452</v>
      </c>
      <c r="CR1326" s="112" t="s">
        <v>3452</v>
      </c>
      <c r="CS1326" s="112" t="s">
        <v>1168</v>
      </c>
      <c r="CT1326" s="112" t="s">
        <v>1169</v>
      </c>
      <c r="CU1326" s="112" t="s">
        <v>1664</v>
      </c>
      <c r="CV1326" s="113" t="s">
        <v>1665</v>
      </c>
      <c r="CX1326" s="36">
        <v>1</v>
      </c>
    </row>
    <row r="1327" spans="91:102" ht="21" customHeight="1" x14ac:dyDescent="0.25">
      <c r="CM1327" s="102"/>
      <c r="CN1327" s="112" t="s">
        <v>3453</v>
      </c>
      <c r="CO1327" s="112" t="s">
        <v>541</v>
      </c>
      <c r="CP1327" s="112" t="s">
        <v>523</v>
      </c>
      <c r="CQ1327" s="112" t="s">
        <v>3454</v>
      </c>
      <c r="CR1327" s="112" t="s">
        <v>3454</v>
      </c>
      <c r="CS1327" s="112" t="s">
        <v>1168</v>
      </c>
      <c r="CT1327" s="112" t="s">
        <v>1169</v>
      </c>
      <c r="CU1327" s="112" t="s">
        <v>1664</v>
      </c>
      <c r="CV1327" s="113" t="s">
        <v>1665</v>
      </c>
      <c r="CX1327" s="36">
        <v>1</v>
      </c>
    </row>
    <row r="1328" spans="91:102" ht="21" customHeight="1" x14ac:dyDescent="0.25">
      <c r="CM1328" s="102"/>
      <c r="CN1328" s="112" t="s">
        <v>3455</v>
      </c>
      <c r="CO1328" s="112" t="s">
        <v>541</v>
      </c>
      <c r="CP1328" s="112" t="s">
        <v>523</v>
      </c>
      <c r="CQ1328" s="112" t="s">
        <v>3456</v>
      </c>
      <c r="CR1328" s="112" t="s">
        <v>3456</v>
      </c>
      <c r="CS1328" s="112" t="s">
        <v>1168</v>
      </c>
      <c r="CT1328" s="112" t="s">
        <v>1169</v>
      </c>
      <c r="CU1328" s="112" t="s">
        <v>1664</v>
      </c>
      <c r="CV1328" s="113" t="s">
        <v>1665</v>
      </c>
      <c r="CX1328" s="36">
        <v>1</v>
      </c>
    </row>
    <row r="1329" spans="91:102" ht="21" customHeight="1" x14ac:dyDescent="0.25">
      <c r="CM1329" s="102"/>
      <c r="CN1329" s="112" t="s">
        <v>3457</v>
      </c>
      <c r="CO1329" s="112" t="s">
        <v>541</v>
      </c>
      <c r="CP1329" s="112" t="s">
        <v>523</v>
      </c>
      <c r="CQ1329" s="112" t="s">
        <v>3458</v>
      </c>
      <c r="CR1329" s="112" t="s">
        <v>3458</v>
      </c>
      <c r="CS1329" s="112" t="s">
        <v>1168</v>
      </c>
      <c r="CT1329" s="112" t="s">
        <v>1169</v>
      </c>
      <c r="CU1329" s="112" t="s">
        <v>1664</v>
      </c>
      <c r="CV1329" s="113" t="s">
        <v>1665</v>
      </c>
      <c r="CX1329" s="36">
        <v>1</v>
      </c>
    </row>
    <row r="1330" spans="91:102" ht="21" customHeight="1" x14ac:dyDescent="0.25">
      <c r="CM1330" s="102"/>
      <c r="CN1330" s="112" t="s">
        <v>3459</v>
      </c>
      <c r="CO1330" s="112" t="s">
        <v>541</v>
      </c>
      <c r="CP1330" s="112" t="s">
        <v>523</v>
      </c>
      <c r="CQ1330" s="112" t="s">
        <v>3460</v>
      </c>
      <c r="CR1330" s="112" t="s">
        <v>3460</v>
      </c>
      <c r="CS1330" s="112" t="s">
        <v>1168</v>
      </c>
      <c r="CT1330" s="112" t="s">
        <v>1169</v>
      </c>
      <c r="CU1330" s="112" t="s">
        <v>1664</v>
      </c>
      <c r="CV1330" s="113" t="s">
        <v>1665</v>
      </c>
      <c r="CX1330" s="36">
        <v>1</v>
      </c>
    </row>
    <row r="1331" spans="91:102" ht="21" customHeight="1" x14ac:dyDescent="0.25">
      <c r="CM1331" s="102"/>
      <c r="CN1331" s="112" t="s">
        <v>3461</v>
      </c>
      <c r="CO1331" s="112" t="s">
        <v>541</v>
      </c>
      <c r="CP1331" s="112" t="s">
        <v>523</v>
      </c>
      <c r="CQ1331" s="112" t="s">
        <v>3462</v>
      </c>
      <c r="CR1331" s="112" t="s">
        <v>3462</v>
      </c>
      <c r="CS1331" s="112" t="s">
        <v>1168</v>
      </c>
      <c r="CT1331" s="112" t="s">
        <v>1169</v>
      </c>
      <c r="CU1331" s="112" t="s">
        <v>1664</v>
      </c>
      <c r="CV1331" s="113" t="s">
        <v>1665</v>
      </c>
      <c r="CX1331" s="36">
        <v>1</v>
      </c>
    </row>
    <row r="1332" spans="91:102" ht="21" customHeight="1" x14ac:dyDescent="0.25">
      <c r="CM1332" s="102"/>
      <c r="CN1332" s="112" t="s">
        <v>3463</v>
      </c>
      <c r="CO1332" s="112" t="s">
        <v>541</v>
      </c>
      <c r="CP1332" s="112" t="s">
        <v>523</v>
      </c>
      <c r="CQ1332" s="112" t="s">
        <v>3464</v>
      </c>
      <c r="CR1332" s="112" t="s">
        <v>3464</v>
      </c>
      <c r="CS1332" s="112" t="s">
        <v>1168</v>
      </c>
      <c r="CT1332" s="112" t="s">
        <v>1169</v>
      </c>
      <c r="CU1332" s="112" t="s">
        <v>1664</v>
      </c>
      <c r="CV1332" s="113" t="s">
        <v>1665</v>
      </c>
      <c r="CX1332" s="36">
        <v>1</v>
      </c>
    </row>
    <row r="1333" spans="91:102" ht="21" customHeight="1" x14ac:dyDescent="0.25">
      <c r="CM1333" s="102"/>
      <c r="CN1333" s="112" t="s">
        <v>3465</v>
      </c>
      <c r="CO1333" s="112" t="s">
        <v>541</v>
      </c>
      <c r="CP1333" s="112" t="s">
        <v>523</v>
      </c>
      <c r="CQ1333" s="112" t="s">
        <v>3466</v>
      </c>
      <c r="CR1333" s="112" t="s">
        <v>3466</v>
      </c>
      <c r="CS1333" s="112" t="s">
        <v>1168</v>
      </c>
      <c r="CT1333" s="112" t="s">
        <v>1169</v>
      </c>
      <c r="CU1333" s="112" t="s">
        <v>1664</v>
      </c>
      <c r="CV1333" s="113" t="s">
        <v>1665</v>
      </c>
      <c r="CX1333" s="36">
        <v>1</v>
      </c>
    </row>
    <row r="1334" spans="91:102" ht="21" customHeight="1" x14ac:dyDescent="0.25">
      <c r="CM1334" s="102"/>
      <c r="CN1334" s="112" t="s">
        <v>3467</v>
      </c>
      <c r="CO1334" s="112" t="s">
        <v>541</v>
      </c>
      <c r="CP1334" s="112" t="s">
        <v>523</v>
      </c>
      <c r="CQ1334" s="112" t="s">
        <v>3468</v>
      </c>
      <c r="CR1334" s="112" t="s">
        <v>3468</v>
      </c>
      <c r="CS1334" s="112" t="s">
        <v>1168</v>
      </c>
      <c r="CT1334" s="112" t="s">
        <v>1169</v>
      </c>
      <c r="CU1334" s="112" t="s">
        <v>1664</v>
      </c>
      <c r="CV1334" s="113" t="s">
        <v>1665</v>
      </c>
      <c r="CX1334" s="36">
        <v>1</v>
      </c>
    </row>
    <row r="1335" spans="91:102" ht="21" customHeight="1" x14ac:dyDescent="0.25">
      <c r="CM1335" s="102"/>
      <c r="CN1335" s="112" t="s">
        <v>3469</v>
      </c>
      <c r="CO1335" s="112" t="s">
        <v>541</v>
      </c>
      <c r="CP1335" s="112" t="s">
        <v>523</v>
      </c>
      <c r="CQ1335" s="112" t="s">
        <v>3470</v>
      </c>
      <c r="CR1335" s="112" t="s">
        <v>3470</v>
      </c>
      <c r="CS1335" s="112" t="s">
        <v>1168</v>
      </c>
      <c r="CT1335" s="112" t="s">
        <v>1169</v>
      </c>
      <c r="CU1335" s="112" t="s">
        <v>1664</v>
      </c>
      <c r="CV1335" s="113" t="s">
        <v>1665</v>
      </c>
      <c r="CX1335" s="36">
        <v>1</v>
      </c>
    </row>
    <row r="1336" spans="91:102" ht="21" customHeight="1" x14ac:dyDescent="0.25">
      <c r="CM1336" s="102"/>
      <c r="CN1336" s="112" t="s">
        <v>3471</v>
      </c>
      <c r="CO1336" s="112" t="s">
        <v>541</v>
      </c>
      <c r="CP1336" s="112" t="s">
        <v>523</v>
      </c>
      <c r="CQ1336" s="112" t="s">
        <v>3472</v>
      </c>
      <c r="CR1336" s="112" t="s">
        <v>3472</v>
      </c>
      <c r="CS1336" s="112" t="s">
        <v>1168</v>
      </c>
      <c r="CT1336" s="112" t="s">
        <v>1169</v>
      </c>
      <c r="CU1336" s="112" t="s">
        <v>1664</v>
      </c>
      <c r="CV1336" s="113" t="s">
        <v>1665</v>
      </c>
      <c r="CX1336" s="36">
        <v>1</v>
      </c>
    </row>
    <row r="1337" spans="91:102" ht="21" customHeight="1" x14ac:dyDescent="0.25">
      <c r="CM1337" s="102"/>
      <c r="CN1337" s="112" t="s">
        <v>3473</v>
      </c>
      <c r="CO1337" s="112" t="s">
        <v>541</v>
      </c>
      <c r="CP1337" s="112" t="s">
        <v>523</v>
      </c>
      <c r="CQ1337" s="112" t="s">
        <v>3474</v>
      </c>
      <c r="CR1337" s="112" t="s">
        <v>3474</v>
      </c>
      <c r="CS1337" s="112" t="s">
        <v>1168</v>
      </c>
      <c r="CT1337" s="112" t="s">
        <v>1169</v>
      </c>
      <c r="CU1337" s="112" t="s">
        <v>1664</v>
      </c>
      <c r="CV1337" s="113" t="s">
        <v>1665</v>
      </c>
      <c r="CX1337" s="36">
        <v>1</v>
      </c>
    </row>
    <row r="1338" spans="91:102" ht="21" customHeight="1" x14ac:dyDescent="0.25">
      <c r="CM1338" s="102"/>
      <c r="CN1338" s="112" t="s">
        <v>3475</v>
      </c>
      <c r="CO1338" s="112" t="s">
        <v>541</v>
      </c>
      <c r="CP1338" s="112" t="s">
        <v>523</v>
      </c>
      <c r="CQ1338" s="112" t="s">
        <v>3476</v>
      </c>
      <c r="CR1338" s="112" t="s">
        <v>3476</v>
      </c>
      <c r="CS1338" s="112" t="s">
        <v>1168</v>
      </c>
      <c r="CT1338" s="112" t="s">
        <v>1169</v>
      </c>
      <c r="CU1338" s="112" t="s">
        <v>1664</v>
      </c>
      <c r="CV1338" s="113" t="s">
        <v>1665</v>
      </c>
      <c r="CX1338" s="36">
        <v>1</v>
      </c>
    </row>
    <row r="1339" spans="91:102" ht="21" customHeight="1" x14ac:dyDescent="0.25">
      <c r="CM1339" s="102"/>
      <c r="CN1339" s="112" t="s">
        <v>3477</v>
      </c>
      <c r="CO1339" s="112" t="s">
        <v>541</v>
      </c>
      <c r="CP1339" s="112" t="s">
        <v>523</v>
      </c>
      <c r="CQ1339" s="112" t="s">
        <v>3478</v>
      </c>
      <c r="CR1339" s="112" t="s">
        <v>3478</v>
      </c>
      <c r="CS1339" s="112" t="s">
        <v>1168</v>
      </c>
      <c r="CT1339" s="112" t="s">
        <v>1169</v>
      </c>
      <c r="CU1339" s="112" t="s">
        <v>1664</v>
      </c>
      <c r="CV1339" s="113" t="s">
        <v>1665</v>
      </c>
      <c r="CX1339" s="36">
        <v>1</v>
      </c>
    </row>
    <row r="1340" spans="91:102" ht="21" customHeight="1" x14ac:dyDescent="0.25">
      <c r="CM1340" s="102"/>
      <c r="CN1340" s="112" t="s">
        <v>3479</v>
      </c>
      <c r="CO1340" s="112" t="s">
        <v>541</v>
      </c>
      <c r="CP1340" s="112" t="s">
        <v>523</v>
      </c>
      <c r="CQ1340" s="112" t="s">
        <v>3480</v>
      </c>
      <c r="CR1340" s="112" t="s">
        <v>3480</v>
      </c>
      <c r="CS1340" s="112" t="s">
        <v>1168</v>
      </c>
      <c r="CT1340" s="112" t="s">
        <v>1169</v>
      </c>
      <c r="CU1340" s="112" t="s">
        <v>1664</v>
      </c>
      <c r="CV1340" s="113" t="s">
        <v>1665</v>
      </c>
      <c r="CX1340" s="36">
        <v>1</v>
      </c>
    </row>
    <row r="1341" spans="91:102" ht="21" customHeight="1" x14ac:dyDescent="0.25">
      <c r="CM1341" s="102"/>
      <c r="CN1341" s="112" t="s">
        <v>3481</v>
      </c>
      <c r="CO1341" s="112" t="s">
        <v>541</v>
      </c>
      <c r="CP1341" s="112" t="s">
        <v>523</v>
      </c>
      <c r="CQ1341" s="112" t="s">
        <v>3482</v>
      </c>
      <c r="CR1341" s="112" t="s">
        <v>3482</v>
      </c>
      <c r="CS1341" s="112" t="s">
        <v>1168</v>
      </c>
      <c r="CT1341" s="112" t="s">
        <v>1169</v>
      </c>
      <c r="CU1341" s="112" t="s">
        <v>1664</v>
      </c>
      <c r="CV1341" s="113" t="s">
        <v>1665</v>
      </c>
      <c r="CX1341" s="36">
        <v>1</v>
      </c>
    </row>
    <row r="1342" spans="91:102" ht="21" customHeight="1" x14ac:dyDescent="0.25">
      <c r="CM1342" s="102"/>
      <c r="CN1342" s="112" t="s">
        <v>3483</v>
      </c>
      <c r="CO1342" s="112" t="s">
        <v>541</v>
      </c>
      <c r="CP1342" s="112" t="s">
        <v>523</v>
      </c>
      <c r="CQ1342" s="112" t="s">
        <v>3484</v>
      </c>
      <c r="CR1342" s="112" t="s">
        <v>3484</v>
      </c>
      <c r="CS1342" s="112" t="s">
        <v>1168</v>
      </c>
      <c r="CT1342" s="112" t="s">
        <v>1169</v>
      </c>
      <c r="CU1342" s="112" t="s">
        <v>1664</v>
      </c>
      <c r="CV1342" s="113" t="s">
        <v>1665</v>
      </c>
      <c r="CX1342" s="36">
        <v>1</v>
      </c>
    </row>
    <row r="1343" spans="91:102" ht="21" customHeight="1" x14ac:dyDescent="0.25">
      <c r="CM1343" s="102"/>
      <c r="CN1343" s="112" t="s">
        <v>3485</v>
      </c>
      <c r="CO1343" s="112" t="s">
        <v>541</v>
      </c>
      <c r="CP1343" s="112" t="s">
        <v>523</v>
      </c>
      <c r="CQ1343" s="112" t="s">
        <v>3486</v>
      </c>
      <c r="CR1343" s="112" t="s">
        <v>3486</v>
      </c>
      <c r="CS1343" s="112" t="s">
        <v>1168</v>
      </c>
      <c r="CT1343" s="112" t="s">
        <v>1169</v>
      </c>
      <c r="CU1343" s="112" t="s">
        <v>1664</v>
      </c>
      <c r="CV1343" s="113" t="s">
        <v>1665</v>
      </c>
      <c r="CX1343" s="36">
        <v>1</v>
      </c>
    </row>
    <row r="1344" spans="91:102" ht="21" customHeight="1" x14ac:dyDescent="0.25">
      <c r="CM1344" s="102"/>
      <c r="CN1344" s="112" t="s">
        <v>3487</v>
      </c>
      <c r="CO1344" s="112" t="s">
        <v>541</v>
      </c>
      <c r="CP1344" s="112" t="s">
        <v>523</v>
      </c>
      <c r="CQ1344" s="112" t="s">
        <v>3488</v>
      </c>
      <c r="CR1344" s="112" t="s">
        <v>3488</v>
      </c>
      <c r="CS1344" s="112" t="s">
        <v>1168</v>
      </c>
      <c r="CT1344" s="112" t="s">
        <v>1169</v>
      </c>
      <c r="CU1344" s="112" t="s">
        <v>1664</v>
      </c>
      <c r="CV1344" s="113" t="s">
        <v>1665</v>
      </c>
      <c r="CX1344" s="36">
        <v>1</v>
      </c>
    </row>
    <row r="1345" spans="91:102" ht="21" customHeight="1" x14ac:dyDescent="0.25">
      <c r="CM1345" s="102"/>
      <c r="CN1345" s="112" t="s">
        <v>3489</v>
      </c>
      <c r="CO1345" s="112" t="s">
        <v>541</v>
      </c>
      <c r="CP1345" s="112" t="s">
        <v>523</v>
      </c>
      <c r="CQ1345" s="112" t="s">
        <v>3490</v>
      </c>
      <c r="CR1345" s="112" t="s">
        <v>3490</v>
      </c>
      <c r="CS1345" s="112" t="s">
        <v>1168</v>
      </c>
      <c r="CT1345" s="112" t="s">
        <v>1169</v>
      </c>
      <c r="CU1345" s="112" t="s">
        <v>1664</v>
      </c>
      <c r="CV1345" s="113" t="s">
        <v>1665</v>
      </c>
      <c r="CX1345" s="36">
        <v>1</v>
      </c>
    </row>
    <row r="1346" spans="91:102" ht="21" customHeight="1" x14ac:dyDescent="0.25">
      <c r="CM1346" s="102"/>
      <c r="CN1346" s="112" t="s">
        <v>3491</v>
      </c>
      <c r="CO1346" s="112" t="s">
        <v>541</v>
      </c>
      <c r="CP1346" s="112" t="s">
        <v>523</v>
      </c>
      <c r="CQ1346" s="112" t="s">
        <v>3492</v>
      </c>
      <c r="CR1346" s="112" t="s">
        <v>3492</v>
      </c>
      <c r="CS1346" s="112" t="s">
        <v>1168</v>
      </c>
      <c r="CT1346" s="112" t="s">
        <v>1169</v>
      </c>
      <c r="CU1346" s="112" t="s">
        <v>1664</v>
      </c>
      <c r="CV1346" s="113" t="s">
        <v>1665</v>
      </c>
      <c r="CX1346" s="36">
        <v>1</v>
      </c>
    </row>
    <row r="1347" spans="91:102" ht="21" customHeight="1" x14ac:dyDescent="0.25">
      <c r="CM1347" s="102"/>
      <c r="CN1347" s="112" t="s">
        <v>3493</v>
      </c>
      <c r="CO1347" s="112" t="s">
        <v>541</v>
      </c>
      <c r="CP1347" s="112" t="s">
        <v>523</v>
      </c>
      <c r="CQ1347" s="112" t="s">
        <v>3494</v>
      </c>
      <c r="CR1347" s="112" t="s">
        <v>3494</v>
      </c>
      <c r="CS1347" s="112" t="s">
        <v>1168</v>
      </c>
      <c r="CT1347" s="112" t="s">
        <v>1169</v>
      </c>
      <c r="CU1347" s="112" t="s">
        <v>1664</v>
      </c>
      <c r="CV1347" s="113" t="s">
        <v>1665</v>
      </c>
      <c r="CX1347" s="36">
        <v>1</v>
      </c>
    </row>
    <row r="1348" spans="91:102" ht="21" customHeight="1" x14ac:dyDescent="0.25">
      <c r="CM1348" s="102"/>
      <c r="CN1348" s="112" t="s">
        <v>3495</v>
      </c>
      <c r="CO1348" s="112" t="s">
        <v>541</v>
      </c>
      <c r="CP1348" s="112" t="s">
        <v>523</v>
      </c>
      <c r="CQ1348" s="112" t="s">
        <v>3496</v>
      </c>
      <c r="CR1348" s="112" t="s">
        <v>3496</v>
      </c>
      <c r="CS1348" s="112" t="s">
        <v>1168</v>
      </c>
      <c r="CT1348" s="112" t="s">
        <v>1169</v>
      </c>
      <c r="CU1348" s="112" t="s">
        <v>1664</v>
      </c>
      <c r="CV1348" s="113" t="s">
        <v>1665</v>
      </c>
      <c r="CX1348" s="36">
        <v>1</v>
      </c>
    </row>
    <row r="1349" spans="91:102" ht="21" customHeight="1" x14ac:dyDescent="0.25">
      <c r="CM1349" s="102"/>
      <c r="CN1349" s="112" t="s">
        <v>3497</v>
      </c>
      <c r="CO1349" s="112" t="s">
        <v>541</v>
      </c>
      <c r="CP1349" s="112" t="s">
        <v>523</v>
      </c>
      <c r="CQ1349" s="112" t="s">
        <v>3498</v>
      </c>
      <c r="CR1349" s="112" t="s">
        <v>3498</v>
      </c>
      <c r="CS1349" s="112" t="s">
        <v>1168</v>
      </c>
      <c r="CT1349" s="112" t="s">
        <v>1169</v>
      </c>
      <c r="CU1349" s="112" t="s">
        <v>1664</v>
      </c>
      <c r="CV1349" s="113" t="s">
        <v>1665</v>
      </c>
      <c r="CX1349" s="36">
        <v>1</v>
      </c>
    </row>
    <row r="1350" spans="91:102" ht="21" customHeight="1" x14ac:dyDescent="0.25">
      <c r="CM1350" s="102"/>
      <c r="CN1350" s="112" t="s">
        <v>3499</v>
      </c>
      <c r="CO1350" s="112" t="s">
        <v>541</v>
      </c>
      <c r="CP1350" s="112" t="s">
        <v>523</v>
      </c>
      <c r="CQ1350" s="112" t="s">
        <v>3500</v>
      </c>
      <c r="CR1350" s="112" t="s">
        <v>3500</v>
      </c>
      <c r="CS1350" s="112" t="s">
        <v>1168</v>
      </c>
      <c r="CT1350" s="112" t="s">
        <v>1169</v>
      </c>
      <c r="CU1350" s="112" t="s">
        <v>1664</v>
      </c>
      <c r="CV1350" s="113" t="s">
        <v>1665</v>
      </c>
      <c r="CX1350" s="36">
        <v>1</v>
      </c>
    </row>
    <row r="1351" spans="91:102" ht="21" customHeight="1" x14ac:dyDescent="0.25">
      <c r="CM1351" s="102"/>
      <c r="CN1351" s="112" t="s">
        <v>3501</v>
      </c>
      <c r="CO1351" s="112" t="s">
        <v>541</v>
      </c>
      <c r="CP1351" s="112" t="s">
        <v>523</v>
      </c>
      <c r="CQ1351" s="112" t="s">
        <v>3502</v>
      </c>
      <c r="CR1351" s="112" t="s">
        <v>3502</v>
      </c>
      <c r="CS1351" s="112" t="s">
        <v>1168</v>
      </c>
      <c r="CT1351" s="112" t="s">
        <v>1169</v>
      </c>
      <c r="CU1351" s="112" t="s">
        <v>1664</v>
      </c>
      <c r="CV1351" s="113" t="s">
        <v>1665</v>
      </c>
      <c r="CX1351" s="36">
        <v>1</v>
      </c>
    </row>
    <row r="1352" spans="91:102" ht="21" customHeight="1" x14ac:dyDescent="0.25">
      <c r="CM1352" s="102"/>
      <c r="CN1352" s="112" t="s">
        <v>3503</v>
      </c>
      <c r="CO1352" s="112" t="s">
        <v>541</v>
      </c>
      <c r="CP1352" s="112" t="s">
        <v>523</v>
      </c>
      <c r="CQ1352" s="112" t="s">
        <v>3504</v>
      </c>
      <c r="CR1352" s="112" t="s">
        <v>3504</v>
      </c>
      <c r="CS1352" s="112" t="s">
        <v>1168</v>
      </c>
      <c r="CT1352" s="112" t="s">
        <v>1169</v>
      </c>
      <c r="CU1352" s="112" t="s">
        <v>1664</v>
      </c>
      <c r="CV1352" s="113" t="s">
        <v>1665</v>
      </c>
      <c r="CX1352" s="36">
        <v>1</v>
      </c>
    </row>
    <row r="1353" spans="91:102" ht="21" customHeight="1" x14ac:dyDescent="0.25">
      <c r="CM1353" s="102"/>
      <c r="CN1353" s="112" t="s">
        <v>3505</v>
      </c>
      <c r="CO1353" s="112" t="s">
        <v>541</v>
      </c>
      <c r="CP1353" s="112" t="s">
        <v>523</v>
      </c>
      <c r="CQ1353" s="112" t="s">
        <v>3506</v>
      </c>
      <c r="CR1353" s="112" t="s">
        <v>3506</v>
      </c>
      <c r="CS1353" s="112" t="s">
        <v>1168</v>
      </c>
      <c r="CT1353" s="112" t="s">
        <v>1169</v>
      </c>
      <c r="CU1353" s="112" t="s">
        <v>1664</v>
      </c>
      <c r="CV1353" s="113" t="s">
        <v>1665</v>
      </c>
      <c r="CX1353" s="36">
        <v>1</v>
      </c>
    </row>
    <row r="1354" spans="91:102" ht="21" customHeight="1" x14ac:dyDescent="0.25">
      <c r="CM1354" s="102"/>
      <c r="CN1354" s="112" t="s">
        <v>3507</v>
      </c>
      <c r="CO1354" s="112" t="s">
        <v>541</v>
      </c>
      <c r="CP1354" s="112" t="s">
        <v>523</v>
      </c>
      <c r="CQ1354" s="112" t="s">
        <v>3508</v>
      </c>
      <c r="CR1354" s="112" t="s">
        <v>3508</v>
      </c>
      <c r="CS1354" s="112" t="s">
        <v>1168</v>
      </c>
      <c r="CT1354" s="112" t="s">
        <v>1169</v>
      </c>
      <c r="CU1354" s="112" t="s">
        <v>1664</v>
      </c>
      <c r="CV1354" s="113" t="s">
        <v>1665</v>
      </c>
      <c r="CX1354" s="36">
        <v>1</v>
      </c>
    </row>
    <row r="1355" spans="91:102" ht="21" customHeight="1" x14ac:dyDescent="0.25">
      <c r="CM1355" s="102"/>
      <c r="CN1355" s="112" t="s">
        <v>3509</v>
      </c>
      <c r="CO1355" s="112" t="s">
        <v>541</v>
      </c>
      <c r="CP1355" s="112" t="s">
        <v>523</v>
      </c>
      <c r="CQ1355" s="112" t="s">
        <v>3510</v>
      </c>
      <c r="CR1355" s="112" t="s">
        <v>3510</v>
      </c>
      <c r="CS1355" s="112" t="s">
        <v>1168</v>
      </c>
      <c r="CT1355" s="112" t="s">
        <v>1169</v>
      </c>
      <c r="CU1355" s="112" t="s">
        <v>1664</v>
      </c>
      <c r="CV1355" s="113" t="s">
        <v>1665</v>
      </c>
      <c r="CX1355" s="36">
        <v>1</v>
      </c>
    </row>
    <row r="1356" spans="91:102" ht="21" customHeight="1" x14ac:dyDescent="0.25">
      <c r="CM1356" s="102"/>
      <c r="CN1356" s="112" t="s">
        <v>3511</v>
      </c>
      <c r="CO1356" s="112" t="s">
        <v>541</v>
      </c>
      <c r="CP1356" s="112" t="s">
        <v>523</v>
      </c>
      <c r="CQ1356" s="112" t="s">
        <v>3512</v>
      </c>
      <c r="CR1356" s="112" t="s">
        <v>3512</v>
      </c>
      <c r="CS1356" s="112" t="s">
        <v>1168</v>
      </c>
      <c r="CT1356" s="112" t="s">
        <v>1169</v>
      </c>
      <c r="CU1356" s="112" t="s">
        <v>1664</v>
      </c>
      <c r="CV1356" s="113" t="s">
        <v>1665</v>
      </c>
      <c r="CX1356" s="36">
        <v>1</v>
      </c>
    </row>
    <row r="1357" spans="91:102" ht="21" customHeight="1" x14ac:dyDescent="0.25">
      <c r="CM1357" s="102"/>
      <c r="CN1357" s="112" t="s">
        <v>3513</v>
      </c>
      <c r="CO1357" s="112" t="s">
        <v>541</v>
      </c>
      <c r="CP1357" s="112" t="s">
        <v>523</v>
      </c>
      <c r="CQ1357" s="112" t="s">
        <v>3514</v>
      </c>
      <c r="CR1357" s="112" t="s">
        <v>3514</v>
      </c>
      <c r="CS1357" s="112" t="s">
        <v>1168</v>
      </c>
      <c r="CT1357" s="112" t="s">
        <v>1169</v>
      </c>
      <c r="CU1357" s="112" t="s">
        <v>1664</v>
      </c>
      <c r="CV1357" s="113" t="s">
        <v>1665</v>
      </c>
      <c r="CX1357" s="36">
        <v>1</v>
      </c>
    </row>
    <row r="1358" spans="91:102" ht="21" customHeight="1" x14ac:dyDescent="0.25">
      <c r="CM1358" s="102"/>
      <c r="CN1358" s="112" t="s">
        <v>3515</v>
      </c>
      <c r="CO1358" s="112" t="s">
        <v>541</v>
      </c>
      <c r="CP1358" s="112" t="s">
        <v>523</v>
      </c>
      <c r="CQ1358" s="112" t="s">
        <v>3516</v>
      </c>
      <c r="CR1358" s="112" t="s">
        <v>3516</v>
      </c>
      <c r="CS1358" s="112" t="s">
        <v>1168</v>
      </c>
      <c r="CT1358" s="112" t="s">
        <v>1169</v>
      </c>
      <c r="CU1358" s="112" t="s">
        <v>1664</v>
      </c>
      <c r="CV1358" s="113" t="s">
        <v>1665</v>
      </c>
      <c r="CX1358" s="36">
        <v>1</v>
      </c>
    </row>
    <row r="1359" spans="91:102" ht="21" customHeight="1" x14ac:dyDescent="0.25">
      <c r="CM1359" s="102"/>
      <c r="CN1359" s="112" t="s">
        <v>3517</v>
      </c>
      <c r="CO1359" s="112" t="s">
        <v>541</v>
      </c>
      <c r="CP1359" s="112" t="s">
        <v>523</v>
      </c>
      <c r="CQ1359" s="112" t="s">
        <v>3518</v>
      </c>
      <c r="CR1359" s="112" t="s">
        <v>3518</v>
      </c>
      <c r="CS1359" s="112" t="s">
        <v>1168</v>
      </c>
      <c r="CT1359" s="112" t="s">
        <v>1169</v>
      </c>
      <c r="CU1359" s="112" t="s">
        <v>1664</v>
      </c>
      <c r="CV1359" s="113" t="s">
        <v>1665</v>
      </c>
      <c r="CX1359" s="36">
        <v>1</v>
      </c>
    </row>
    <row r="1360" spans="91:102" ht="21" customHeight="1" x14ac:dyDescent="0.25">
      <c r="CM1360" s="102"/>
      <c r="CN1360" s="112" t="s">
        <v>3519</v>
      </c>
      <c r="CO1360" s="112" t="s">
        <v>541</v>
      </c>
      <c r="CP1360" s="112" t="s">
        <v>523</v>
      </c>
      <c r="CQ1360" s="112" t="s">
        <v>3520</v>
      </c>
      <c r="CR1360" s="112" t="s">
        <v>3520</v>
      </c>
      <c r="CS1360" s="112" t="s">
        <v>1168</v>
      </c>
      <c r="CT1360" s="112" t="s">
        <v>1169</v>
      </c>
      <c r="CU1360" s="112" t="s">
        <v>1664</v>
      </c>
      <c r="CV1360" s="113" t="s">
        <v>1665</v>
      </c>
      <c r="CX1360" s="36">
        <v>1</v>
      </c>
    </row>
    <row r="1361" spans="91:102" ht="21" customHeight="1" x14ac:dyDescent="0.25">
      <c r="CM1361" s="102"/>
      <c r="CN1361" s="112" t="s">
        <v>3521</v>
      </c>
      <c r="CO1361" s="112" t="s">
        <v>541</v>
      </c>
      <c r="CP1361" s="112" t="s">
        <v>523</v>
      </c>
      <c r="CQ1361" s="112" t="s">
        <v>3522</v>
      </c>
      <c r="CR1361" s="112" t="s">
        <v>3522</v>
      </c>
      <c r="CS1361" s="112" t="s">
        <v>1168</v>
      </c>
      <c r="CT1361" s="112" t="s">
        <v>1169</v>
      </c>
      <c r="CU1361" s="112" t="s">
        <v>1664</v>
      </c>
      <c r="CV1361" s="113" t="s">
        <v>1665</v>
      </c>
      <c r="CX1361" s="36">
        <v>1</v>
      </c>
    </row>
    <row r="1362" spans="91:102" ht="21" customHeight="1" x14ac:dyDescent="0.25">
      <c r="CM1362" s="102"/>
      <c r="CN1362" s="112" t="s">
        <v>3523</v>
      </c>
      <c r="CO1362" s="112" t="s">
        <v>541</v>
      </c>
      <c r="CP1362" s="112" t="s">
        <v>523</v>
      </c>
      <c r="CQ1362" s="112" t="s">
        <v>3524</v>
      </c>
      <c r="CR1362" s="112" t="s">
        <v>3524</v>
      </c>
      <c r="CS1362" s="112" t="s">
        <v>1168</v>
      </c>
      <c r="CT1362" s="112" t="s">
        <v>1169</v>
      </c>
      <c r="CU1362" s="112" t="s">
        <v>1664</v>
      </c>
      <c r="CV1362" s="113" t="s">
        <v>1665</v>
      </c>
      <c r="CX1362" s="36">
        <v>1</v>
      </c>
    </row>
    <row r="1363" spans="91:102" ht="21" customHeight="1" x14ac:dyDescent="0.25">
      <c r="CM1363" s="102"/>
      <c r="CN1363" s="112" t="s">
        <v>3525</v>
      </c>
      <c r="CO1363" s="112" t="s">
        <v>541</v>
      </c>
      <c r="CP1363" s="112" t="s">
        <v>523</v>
      </c>
      <c r="CQ1363" s="112" t="s">
        <v>3526</v>
      </c>
      <c r="CR1363" s="112" t="s">
        <v>3526</v>
      </c>
      <c r="CS1363" s="112" t="s">
        <v>1168</v>
      </c>
      <c r="CT1363" s="112" t="s">
        <v>1169</v>
      </c>
      <c r="CU1363" s="112" t="s">
        <v>1664</v>
      </c>
      <c r="CV1363" s="113" t="s">
        <v>1665</v>
      </c>
      <c r="CX1363" s="36">
        <v>1</v>
      </c>
    </row>
    <row r="1364" spans="91:102" ht="21" customHeight="1" x14ac:dyDescent="0.25">
      <c r="CM1364" s="102"/>
      <c r="CN1364" s="112" t="s">
        <v>3527</v>
      </c>
      <c r="CO1364" s="112" t="s">
        <v>541</v>
      </c>
      <c r="CP1364" s="112" t="s">
        <v>935</v>
      </c>
      <c r="CQ1364" s="112" t="s">
        <v>3528</v>
      </c>
      <c r="CR1364" s="112" t="s">
        <v>3529</v>
      </c>
      <c r="CS1364" s="112" t="s">
        <v>610</v>
      </c>
      <c r="CT1364" s="112" t="s">
        <v>937</v>
      </c>
      <c r="CU1364" s="112" t="s">
        <v>527</v>
      </c>
      <c r="CV1364" s="113" t="s">
        <v>612</v>
      </c>
      <c r="CX1364" s="36">
        <v>1</v>
      </c>
    </row>
    <row r="1365" spans="91:102" ht="21" customHeight="1" x14ac:dyDescent="0.25">
      <c r="CM1365" s="102"/>
      <c r="CN1365" s="112" t="s">
        <v>3530</v>
      </c>
      <c r="CO1365" s="112" t="s">
        <v>541</v>
      </c>
      <c r="CP1365" s="112" t="s">
        <v>935</v>
      </c>
      <c r="CQ1365" s="112" t="s">
        <v>3531</v>
      </c>
      <c r="CR1365" s="112" t="s">
        <v>3532</v>
      </c>
      <c r="CS1365" s="112" t="s">
        <v>610</v>
      </c>
      <c r="CT1365" s="112" t="s">
        <v>937</v>
      </c>
      <c r="CU1365" s="112" t="s">
        <v>527</v>
      </c>
      <c r="CV1365" s="113" t="s">
        <v>612</v>
      </c>
      <c r="CX1365" s="36">
        <v>1</v>
      </c>
    </row>
    <row r="1366" spans="91:102" ht="21" customHeight="1" x14ac:dyDescent="0.25">
      <c r="CM1366" s="102"/>
      <c r="CN1366" s="112" t="s">
        <v>3533</v>
      </c>
      <c r="CO1366" s="112" t="s">
        <v>541</v>
      </c>
      <c r="CP1366" s="112" t="s">
        <v>935</v>
      </c>
      <c r="CQ1366" s="112" t="s">
        <v>3534</v>
      </c>
      <c r="CR1366" s="112" t="s">
        <v>3535</v>
      </c>
      <c r="CS1366" s="112" t="s">
        <v>610</v>
      </c>
      <c r="CT1366" s="112" t="s">
        <v>937</v>
      </c>
      <c r="CU1366" s="112" t="s">
        <v>527</v>
      </c>
      <c r="CV1366" s="113" t="s">
        <v>612</v>
      </c>
      <c r="CX1366" s="36">
        <v>1</v>
      </c>
    </row>
    <row r="1367" spans="91:102" ht="21" customHeight="1" x14ac:dyDescent="0.25">
      <c r="CM1367" s="102"/>
      <c r="CN1367" s="112" t="s">
        <v>3536</v>
      </c>
      <c r="CO1367" s="112" t="s">
        <v>541</v>
      </c>
      <c r="CP1367" s="112" t="s">
        <v>935</v>
      </c>
      <c r="CQ1367" s="112" t="s">
        <v>3537</v>
      </c>
      <c r="CR1367" s="112" t="s">
        <v>3538</v>
      </c>
      <c r="CS1367" s="112" t="s">
        <v>610</v>
      </c>
      <c r="CT1367" s="112" t="s">
        <v>937</v>
      </c>
      <c r="CU1367" s="112" t="s">
        <v>527</v>
      </c>
      <c r="CV1367" s="113" t="s">
        <v>612</v>
      </c>
      <c r="CX1367" s="36">
        <v>1</v>
      </c>
    </row>
    <row r="1368" spans="91:102" ht="21" customHeight="1" x14ac:dyDescent="0.25">
      <c r="CM1368" s="102"/>
      <c r="CN1368" s="112" t="s">
        <v>3539</v>
      </c>
      <c r="CO1368" s="112" t="s">
        <v>541</v>
      </c>
      <c r="CP1368" s="112" t="s">
        <v>935</v>
      </c>
      <c r="CQ1368" s="112" t="s">
        <v>3540</v>
      </c>
      <c r="CR1368" s="112" t="s">
        <v>3541</v>
      </c>
      <c r="CS1368" s="112" t="s">
        <v>610</v>
      </c>
      <c r="CT1368" s="112" t="s">
        <v>937</v>
      </c>
      <c r="CU1368" s="112" t="s">
        <v>527</v>
      </c>
      <c r="CV1368" s="113" t="s">
        <v>612</v>
      </c>
      <c r="CX1368" s="36">
        <v>1</v>
      </c>
    </row>
    <row r="1369" spans="91:102" ht="21" customHeight="1" x14ac:dyDescent="0.25">
      <c r="CM1369" s="102"/>
      <c r="CN1369" s="112" t="s">
        <v>3542</v>
      </c>
      <c r="CO1369" s="112" t="s">
        <v>541</v>
      </c>
      <c r="CP1369" s="112" t="s">
        <v>935</v>
      </c>
      <c r="CQ1369" s="112" t="s">
        <v>3543</v>
      </c>
      <c r="CR1369" s="112" t="s">
        <v>3543</v>
      </c>
      <c r="CS1369" s="112" t="s">
        <v>610</v>
      </c>
      <c r="CT1369" s="112" t="s">
        <v>937</v>
      </c>
      <c r="CU1369" s="112" t="s">
        <v>527</v>
      </c>
      <c r="CV1369" s="113" t="s">
        <v>612</v>
      </c>
      <c r="CX1369" s="36">
        <v>1</v>
      </c>
    </row>
    <row r="1370" spans="91:102" ht="21" customHeight="1" x14ac:dyDescent="0.25">
      <c r="CM1370" s="102"/>
      <c r="CN1370" s="112" t="s">
        <v>3544</v>
      </c>
      <c r="CO1370" s="112" t="s">
        <v>541</v>
      </c>
      <c r="CP1370" s="112" t="s">
        <v>935</v>
      </c>
      <c r="CQ1370" s="112" t="s">
        <v>3545</v>
      </c>
      <c r="CR1370" s="112" t="s">
        <v>3545</v>
      </c>
      <c r="CS1370" s="112" t="s">
        <v>610</v>
      </c>
      <c r="CT1370" s="112" t="s">
        <v>937</v>
      </c>
      <c r="CU1370" s="112" t="s">
        <v>527</v>
      </c>
      <c r="CV1370" s="113" t="s">
        <v>612</v>
      </c>
      <c r="CX1370" s="36">
        <v>1</v>
      </c>
    </row>
    <row r="1371" spans="91:102" ht="21" customHeight="1" x14ac:dyDescent="0.25">
      <c r="CM1371" s="102"/>
      <c r="CN1371" s="112" t="s">
        <v>3546</v>
      </c>
      <c r="CO1371" s="112" t="s">
        <v>541</v>
      </c>
      <c r="CP1371" s="112" t="s">
        <v>935</v>
      </c>
      <c r="CQ1371" s="112" t="s">
        <v>3547</v>
      </c>
      <c r="CR1371" s="112" t="s">
        <v>3547</v>
      </c>
      <c r="CS1371" s="112" t="s">
        <v>610</v>
      </c>
      <c r="CT1371" s="112" t="s">
        <v>937</v>
      </c>
      <c r="CU1371" s="112" t="s">
        <v>527</v>
      </c>
      <c r="CV1371" s="113" t="s">
        <v>612</v>
      </c>
      <c r="CX1371" s="36">
        <v>1</v>
      </c>
    </row>
    <row r="1372" spans="91:102" ht="21" customHeight="1" x14ac:dyDescent="0.25">
      <c r="CM1372" s="102"/>
      <c r="CN1372" s="112" t="s">
        <v>3548</v>
      </c>
      <c r="CO1372" s="112" t="s">
        <v>541</v>
      </c>
      <c r="CP1372" s="112" t="s">
        <v>935</v>
      </c>
      <c r="CQ1372" s="112" t="s">
        <v>3549</v>
      </c>
      <c r="CR1372" s="112" t="s">
        <v>3549</v>
      </c>
      <c r="CS1372" s="112" t="s">
        <v>610</v>
      </c>
      <c r="CT1372" s="112" t="s">
        <v>937</v>
      </c>
      <c r="CU1372" s="112" t="s">
        <v>527</v>
      </c>
      <c r="CV1372" s="113" t="s">
        <v>612</v>
      </c>
      <c r="CX1372" s="36">
        <v>1</v>
      </c>
    </row>
    <row r="1373" spans="91:102" ht="21" customHeight="1" x14ac:dyDescent="0.25">
      <c r="CM1373" s="102"/>
      <c r="CN1373" s="112" t="s">
        <v>3550</v>
      </c>
      <c r="CO1373" s="112" t="s">
        <v>541</v>
      </c>
      <c r="CP1373" s="112" t="s">
        <v>1119</v>
      </c>
      <c r="CQ1373" s="112" t="s">
        <v>3551</v>
      </c>
      <c r="CR1373" s="112" t="s">
        <v>3552</v>
      </c>
      <c r="CS1373" s="112" t="s">
        <v>525</v>
      </c>
      <c r="CT1373" s="112" t="s">
        <v>3553</v>
      </c>
      <c r="CU1373" s="112" t="s">
        <v>527</v>
      </c>
      <c r="CV1373" s="113" t="s">
        <v>528</v>
      </c>
      <c r="CX1373" s="36">
        <v>1</v>
      </c>
    </row>
    <row r="1374" spans="91:102" ht="21" customHeight="1" x14ac:dyDescent="0.25">
      <c r="CM1374" s="102"/>
      <c r="CN1374" s="112" t="s">
        <v>3554</v>
      </c>
      <c r="CO1374" s="112" t="s">
        <v>541</v>
      </c>
      <c r="CP1374" s="112" t="s">
        <v>1119</v>
      </c>
      <c r="CQ1374" s="112" t="s">
        <v>3555</v>
      </c>
      <c r="CR1374" s="112" t="s">
        <v>3555</v>
      </c>
      <c r="CS1374" s="112" t="s">
        <v>525</v>
      </c>
      <c r="CT1374" s="112" t="s">
        <v>3553</v>
      </c>
      <c r="CU1374" s="112" t="s">
        <v>527</v>
      </c>
      <c r="CV1374" s="113" t="s">
        <v>528</v>
      </c>
      <c r="CX1374" s="36">
        <v>1</v>
      </c>
    </row>
    <row r="1375" spans="91:102" ht="21" customHeight="1" x14ac:dyDescent="0.25">
      <c r="CM1375" s="102"/>
      <c r="CN1375" s="112" t="s">
        <v>3556</v>
      </c>
      <c r="CO1375" s="112" t="s">
        <v>541</v>
      </c>
      <c r="CP1375" s="112" t="s">
        <v>1119</v>
      </c>
      <c r="CQ1375" s="112" t="s">
        <v>3557</v>
      </c>
      <c r="CR1375" s="112" t="s">
        <v>3557</v>
      </c>
      <c r="CS1375" s="112" t="s">
        <v>525</v>
      </c>
      <c r="CT1375" s="112" t="s">
        <v>3553</v>
      </c>
      <c r="CU1375" s="112" t="s">
        <v>527</v>
      </c>
      <c r="CV1375" s="113" t="s">
        <v>528</v>
      </c>
      <c r="CX1375" s="36">
        <v>1</v>
      </c>
    </row>
    <row r="1376" spans="91:102" ht="21" customHeight="1" x14ac:dyDescent="0.25">
      <c r="CM1376" s="102"/>
      <c r="CN1376" s="112" t="s">
        <v>3558</v>
      </c>
      <c r="CO1376" s="112" t="s">
        <v>541</v>
      </c>
      <c r="CP1376" s="112" t="s">
        <v>1119</v>
      </c>
      <c r="CQ1376" s="112" t="s">
        <v>3559</v>
      </c>
      <c r="CR1376" s="112" t="s">
        <v>3560</v>
      </c>
      <c r="CS1376" s="112" t="s">
        <v>525</v>
      </c>
      <c r="CT1376" s="112" t="s">
        <v>3553</v>
      </c>
      <c r="CU1376" s="112" t="s">
        <v>527</v>
      </c>
      <c r="CV1376" s="113" t="s">
        <v>528</v>
      </c>
      <c r="CX1376" s="36">
        <v>1</v>
      </c>
    </row>
    <row r="1377" spans="91:102" ht="21" customHeight="1" x14ac:dyDescent="0.25">
      <c r="CM1377" s="102"/>
      <c r="CN1377" s="112" t="s">
        <v>3561</v>
      </c>
      <c r="CO1377" s="112" t="s">
        <v>541</v>
      </c>
      <c r="CP1377" s="112" t="s">
        <v>1119</v>
      </c>
      <c r="CQ1377" s="112" t="s">
        <v>3562</v>
      </c>
      <c r="CR1377" s="112" t="s">
        <v>3562</v>
      </c>
      <c r="CS1377" s="112" t="s">
        <v>525</v>
      </c>
      <c r="CT1377" s="112" t="s">
        <v>3553</v>
      </c>
      <c r="CU1377" s="112" t="s">
        <v>527</v>
      </c>
      <c r="CV1377" s="113" t="s">
        <v>528</v>
      </c>
      <c r="CX1377" s="36">
        <v>1</v>
      </c>
    </row>
    <row r="1378" spans="91:102" ht="21" customHeight="1" x14ac:dyDescent="0.25">
      <c r="CM1378" s="102"/>
      <c r="CN1378" s="112" t="s">
        <v>3563</v>
      </c>
      <c r="CO1378" s="112" t="s">
        <v>541</v>
      </c>
      <c r="CP1378" s="112" t="s">
        <v>1119</v>
      </c>
      <c r="CQ1378" s="112" t="s">
        <v>3564</v>
      </c>
      <c r="CR1378" s="112" t="s">
        <v>3564</v>
      </c>
      <c r="CS1378" s="112" t="s">
        <v>525</v>
      </c>
      <c r="CT1378" s="112" t="s">
        <v>3553</v>
      </c>
      <c r="CU1378" s="112" t="s">
        <v>527</v>
      </c>
      <c r="CV1378" s="113" t="s">
        <v>528</v>
      </c>
      <c r="CX1378" s="36">
        <v>1</v>
      </c>
    </row>
    <row r="1379" spans="91:102" ht="21" customHeight="1" x14ac:dyDescent="0.25">
      <c r="CM1379" s="102"/>
      <c r="CN1379" s="112" t="s">
        <v>3565</v>
      </c>
      <c r="CO1379" s="112" t="s">
        <v>541</v>
      </c>
      <c r="CP1379" s="112" t="s">
        <v>1119</v>
      </c>
      <c r="CQ1379" s="112" t="s">
        <v>3566</v>
      </c>
      <c r="CR1379" s="112" t="s">
        <v>3566</v>
      </c>
      <c r="CS1379" s="112" t="s">
        <v>525</v>
      </c>
      <c r="CT1379" s="112" t="s">
        <v>3553</v>
      </c>
      <c r="CU1379" s="112" t="s">
        <v>527</v>
      </c>
      <c r="CV1379" s="113" t="s">
        <v>528</v>
      </c>
      <c r="CX1379" s="36">
        <v>1</v>
      </c>
    </row>
    <row r="1380" spans="91:102" ht="21" customHeight="1" x14ac:dyDescent="0.25">
      <c r="CM1380" s="102"/>
      <c r="CN1380" s="112" t="s">
        <v>3567</v>
      </c>
      <c r="CO1380" s="112" t="s">
        <v>541</v>
      </c>
      <c r="CP1380" s="112" t="s">
        <v>1119</v>
      </c>
      <c r="CQ1380" s="112" t="s">
        <v>1147</v>
      </c>
      <c r="CR1380" s="112" t="s">
        <v>1147</v>
      </c>
      <c r="CS1380" s="112" t="s">
        <v>525</v>
      </c>
      <c r="CT1380" s="112" t="s">
        <v>3553</v>
      </c>
      <c r="CU1380" s="112" t="s">
        <v>527</v>
      </c>
      <c r="CV1380" s="113" t="s">
        <v>528</v>
      </c>
      <c r="CX1380" s="36">
        <v>1</v>
      </c>
    </row>
    <row r="1381" spans="91:102" ht="21" customHeight="1" x14ac:dyDescent="0.25">
      <c r="CM1381" s="102"/>
      <c r="CN1381" s="112" t="s">
        <v>3568</v>
      </c>
      <c r="CO1381" s="112" t="s">
        <v>541</v>
      </c>
      <c r="CP1381" s="112" t="s">
        <v>1119</v>
      </c>
      <c r="CQ1381" s="112" t="s">
        <v>3569</v>
      </c>
      <c r="CR1381" s="112" t="s">
        <v>3570</v>
      </c>
      <c r="CS1381" s="112" t="s">
        <v>525</v>
      </c>
      <c r="CT1381" s="112" t="s">
        <v>3553</v>
      </c>
      <c r="CU1381" s="112" t="s">
        <v>527</v>
      </c>
      <c r="CV1381" s="113" t="s">
        <v>528</v>
      </c>
      <c r="CX1381" s="36">
        <v>1</v>
      </c>
    </row>
    <row r="1382" spans="91:102" ht="21" customHeight="1" x14ac:dyDescent="0.25">
      <c r="CM1382" s="102"/>
      <c r="CN1382" s="112" t="s">
        <v>3571</v>
      </c>
      <c r="CO1382" s="112" t="s">
        <v>541</v>
      </c>
      <c r="CP1382" s="112" t="s">
        <v>1119</v>
      </c>
      <c r="CQ1382" s="112" t="s">
        <v>1153</v>
      </c>
      <c r="CR1382" s="112" t="s">
        <v>1153</v>
      </c>
      <c r="CS1382" s="112" t="s">
        <v>525</v>
      </c>
      <c r="CT1382" s="112" t="s">
        <v>3553</v>
      </c>
      <c r="CU1382" s="112" t="s">
        <v>527</v>
      </c>
      <c r="CV1382" s="113" t="s">
        <v>528</v>
      </c>
      <c r="CX1382" s="36">
        <v>1</v>
      </c>
    </row>
    <row r="1383" spans="91:102" ht="21" customHeight="1" x14ac:dyDescent="0.25">
      <c r="CM1383" s="102"/>
      <c r="CN1383" s="112" t="s">
        <v>3572</v>
      </c>
      <c r="CO1383" s="112" t="s">
        <v>541</v>
      </c>
      <c r="CP1383" s="112" t="s">
        <v>1119</v>
      </c>
      <c r="CQ1383" s="112" t="s">
        <v>3573</v>
      </c>
      <c r="CR1383" s="112" t="s">
        <v>3573</v>
      </c>
      <c r="CS1383" s="112" t="s">
        <v>525</v>
      </c>
      <c r="CT1383" s="112" t="s">
        <v>3553</v>
      </c>
      <c r="CU1383" s="112" t="s">
        <v>527</v>
      </c>
      <c r="CV1383" s="113" t="s">
        <v>528</v>
      </c>
      <c r="CX1383" s="36">
        <v>1</v>
      </c>
    </row>
    <row r="1384" spans="91:102" ht="21" customHeight="1" x14ac:dyDescent="0.25">
      <c r="CM1384" s="102"/>
      <c r="CN1384" s="112" t="s">
        <v>3574</v>
      </c>
      <c r="CO1384" s="112" t="s">
        <v>542</v>
      </c>
      <c r="CP1384" s="112" t="s">
        <v>523</v>
      </c>
      <c r="CQ1384" s="112" t="s">
        <v>3575</v>
      </c>
      <c r="CR1384" s="112" t="s">
        <v>3575</v>
      </c>
      <c r="CS1384" s="112" t="s">
        <v>525</v>
      </c>
      <c r="CT1384" s="112" t="s">
        <v>3576</v>
      </c>
      <c r="CU1384" s="112" t="s">
        <v>527</v>
      </c>
      <c r="CV1384" s="113" t="s">
        <v>528</v>
      </c>
      <c r="CX1384" s="36">
        <v>1</v>
      </c>
    </row>
    <row r="1385" spans="91:102" ht="21" customHeight="1" x14ac:dyDescent="0.25">
      <c r="CM1385" s="102"/>
      <c r="CN1385" s="112" t="s">
        <v>3577</v>
      </c>
      <c r="CO1385" s="112" t="s">
        <v>542</v>
      </c>
      <c r="CP1385" s="112" t="s">
        <v>523</v>
      </c>
      <c r="CQ1385" s="112" t="s">
        <v>3578</v>
      </c>
      <c r="CR1385" s="112" t="s">
        <v>3578</v>
      </c>
      <c r="CS1385" s="112" t="s">
        <v>525</v>
      </c>
      <c r="CT1385" s="112" t="s">
        <v>3576</v>
      </c>
      <c r="CU1385" s="112" t="s">
        <v>527</v>
      </c>
      <c r="CV1385" s="113" t="s">
        <v>528</v>
      </c>
      <c r="CX1385" s="36">
        <v>1</v>
      </c>
    </row>
    <row r="1386" spans="91:102" ht="21" customHeight="1" x14ac:dyDescent="0.25">
      <c r="CM1386" s="102"/>
      <c r="CN1386" s="112" t="s">
        <v>3579</v>
      </c>
      <c r="CO1386" s="112" t="s">
        <v>542</v>
      </c>
      <c r="CP1386" s="112" t="s">
        <v>523</v>
      </c>
      <c r="CQ1386" s="112" t="s">
        <v>3580</v>
      </c>
      <c r="CR1386" s="112" t="s">
        <v>3580</v>
      </c>
      <c r="CS1386" s="112" t="s">
        <v>525</v>
      </c>
      <c r="CT1386" s="112" t="s">
        <v>3576</v>
      </c>
      <c r="CU1386" s="112" t="s">
        <v>527</v>
      </c>
      <c r="CV1386" s="113" t="s">
        <v>528</v>
      </c>
      <c r="CX1386" s="36">
        <v>1</v>
      </c>
    </row>
    <row r="1387" spans="91:102" ht="21" customHeight="1" x14ac:dyDescent="0.25">
      <c r="CM1387" s="102"/>
      <c r="CN1387" s="112" t="s">
        <v>3581</v>
      </c>
      <c r="CO1387" s="112" t="s">
        <v>542</v>
      </c>
      <c r="CP1387" s="112" t="s">
        <v>523</v>
      </c>
      <c r="CQ1387" s="112" t="s">
        <v>3582</v>
      </c>
      <c r="CR1387" s="112" t="s">
        <v>3583</v>
      </c>
      <c r="CS1387" s="112" t="s">
        <v>525</v>
      </c>
      <c r="CT1387" s="112" t="s">
        <v>3576</v>
      </c>
      <c r="CU1387" s="112" t="s">
        <v>527</v>
      </c>
      <c r="CV1387" s="113" t="s">
        <v>528</v>
      </c>
      <c r="CX1387" s="36">
        <v>1</v>
      </c>
    </row>
    <row r="1388" spans="91:102" ht="21" customHeight="1" x14ac:dyDescent="0.25">
      <c r="CM1388" s="102"/>
      <c r="CN1388" s="112" t="s">
        <v>3584</v>
      </c>
      <c r="CO1388" s="112" t="s">
        <v>542</v>
      </c>
      <c r="CP1388" s="112" t="s">
        <v>523</v>
      </c>
      <c r="CQ1388" s="112" t="s">
        <v>3585</v>
      </c>
      <c r="CR1388" s="112" t="s">
        <v>3586</v>
      </c>
      <c r="CS1388" s="112" t="s">
        <v>525</v>
      </c>
      <c r="CT1388" s="112" t="s">
        <v>3576</v>
      </c>
      <c r="CU1388" s="112" t="s">
        <v>527</v>
      </c>
      <c r="CV1388" s="113" t="s">
        <v>528</v>
      </c>
      <c r="CX1388" s="36">
        <v>1</v>
      </c>
    </row>
    <row r="1389" spans="91:102" ht="21" customHeight="1" x14ac:dyDescent="0.25">
      <c r="CM1389" s="102"/>
      <c r="CN1389" s="112" t="s">
        <v>3587</v>
      </c>
      <c r="CO1389" s="112" t="s">
        <v>542</v>
      </c>
      <c r="CP1389" s="112" t="s">
        <v>523</v>
      </c>
      <c r="CQ1389" s="112" t="s">
        <v>3588</v>
      </c>
      <c r="CR1389" s="112" t="s">
        <v>3589</v>
      </c>
      <c r="CS1389" s="112" t="s">
        <v>525</v>
      </c>
      <c r="CT1389" s="112" t="s">
        <v>3576</v>
      </c>
      <c r="CU1389" s="112" t="s">
        <v>527</v>
      </c>
      <c r="CV1389" s="113" t="s">
        <v>528</v>
      </c>
      <c r="CX1389" s="36">
        <v>1</v>
      </c>
    </row>
    <row r="1390" spans="91:102" ht="21" customHeight="1" x14ac:dyDescent="0.25">
      <c r="CM1390" s="102"/>
      <c r="CN1390" s="112" t="s">
        <v>3590</v>
      </c>
      <c r="CO1390" s="112" t="s">
        <v>542</v>
      </c>
      <c r="CP1390" s="112" t="s">
        <v>523</v>
      </c>
      <c r="CQ1390" s="112" t="s">
        <v>3591</v>
      </c>
      <c r="CR1390" s="112" t="s">
        <v>3591</v>
      </c>
      <c r="CS1390" s="112" t="s">
        <v>525</v>
      </c>
      <c r="CT1390" s="112" t="s">
        <v>3576</v>
      </c>
      <c r="CU1390" s="112" t="s">
        <v>527</v>
      </c>
      <c r="CV1390" s="113" t="s">
        <v>528</v>
      </c>
      <c r="CX1390" s="36">
        <v>1</v>
      </c>
    </row>
    <row r="1391" spans="91:102" ht="21" customHeight="1" x14ac:dyDescent="0.25">
      <c r="CM1391" s="102"/>
      <c r="CN1391" s="112" t="s">
        <v>3592</v>
      </c>
      <c r="CO1391" s="112" t="s">
        <v>542</v>
      </c>
      <c r="CP1391" s="112" t="s">
        <v>523</v>
      </c>
      <c r="CQ1391" s="112" t="s">
        <v>3593</v>
      </c>
      <c r="CR1391" s="112" t="s">
        <v>3593</v>
      </c>
      <c r="CS1391" s="112" t="s">
        <v>610</v>
      </c>
      <c r="CT1391" s="112" t="s">
        <v>611</v>
      </c>
      <c r="CU1391" s="112" t="s">
        <v>527</v>
      </c>
      <c r="CV1391" s="113" t="s">
        <v>612</v>
      </c>
      <c r="CX1391" s="36">
        <v>1</v>
      </c>
    </row>
    <row r="1392" spans="91:102" ht="21" customHeight="1" x14ac:dyDescent="0.25">
      <c r="CM1392" s="102"/>
      <c r="CN1392" s="112" t="s">
        <v>3594</v>
      </c>
      <c r="CO1392" s="112" t="s">
        <v>542</v>
      </c>
      <c r="CP1392" s="112" t="s">
        <v>523</v>
      </c>
      <c r="CQ1392" s="112" t="s">
        <v>3595</v>
      </c>
      <c r="CR1392" s="112" t="s">
        <v>3595</v>
      </c>
      <c r="CS1392" s="112" t="s">
        <v>610</v>
      </c>
      <c r="CT1392" s="112" t="s">
        <v>611</v>
      </c>
      <c r="CU1392" s="112" t="s">
        <v>527</v>
      </c>
      <c r="CV1392" s="113" t="s">
        <v>612</v>
      </c>
      <c r="CX1392" s="36">
        <v>1</v>
      </c>
    </row>
    <row r="1393" spans="91:102" ht="21" customHeight="1" x14ac:dyDescent="0.25">
      <c r="CM1393" s="102"/>
      <c r="CN1393" s="112" t="s">
        <v>3596</v>
      </c>
      <c r="CO1393" s="112" t="s">
        <v>542</v>
      </c>
      <c r="CP1393" s="112" t="s">
        <v>523</v>
      </c>
      <c r="CQ1393" s="112" t="s">
        <v>3597</v>
      </c>
      <c r="CR1393" s="112" t="s">
        <v>3597</v>
      </c>
      <c r="CS1393" s="112" t="s">
        <v>610</v>
      </c>
      <c r="CT1393" s="112" t="s">
        <v>611</v>
      </c>
      <c r="CU1393" s="112" t="s">
        <v>527</v>
      </c>
      <c r="CV1393" s="113" t="s">
        <v>612</v>
      </c>
      <c r="CX1393" s="36">
        <v>1</v>
      </c>
    </row>
    <row r="1394" spans="91:102" ht="21" customHeight="1" x14ac:dyDescent="0.25">
      <c r="CM1394" s="102"/>
      <c r="CN1394" s="112" t="s">
        <v>3598</v>
      </c>
      <c r="CO1394" s="112" t="s">
        <v>542</v>
      </c>
      <c r="CP1394" s="112" t="s">
        <v>523</v>
      </c>
      <c r="CQ1394" s="112" t="s">
        <v>3599</v>
      </c>
      <c r="CR1394" s="112" t="s">
        <v>3599</v>
      </c>
      <c r="CS1394" s="112" t="s">
        <v>525</v>
      </c>
      <c r="CT1394" s="112" t="s">
        <v>3576</v>
      </c>
      <c r="CU1394" s="112" t="s">
        <v>527</v>
      </c>
      <c r="CV1394" s="113" t="s">
        <v>528</v>
      </c>
      <c r="CX1394" s="36">
        <v>1</v>
      </c>
    </row>
    <row r="1395" spans="91:102" ht="21" customHeight="1" x14ac:dyDescent="0.25">
      <c r="CM1395" s="102"/>
      <c r="CN1395" s="112" t="s">
        <v>3600</v>
      </c>
      <c r="CO1395" s="112" t="s">
        <v>542</v>
      </c>
      <c r="CP1395" s="112" t="s">
        <v>523</v>
      </c>
      <c r="CQ1395" s="112" t="s">
        <v>3601</v>
      </c>
      <c r="CR1395" s="112" t="s">
        <v>3602</v>
      </c>
      <c r="CS1395" s="112" t="s">
        <v>525</v>
      </c>
      <c r="CT1395" s="112" t="s">
        <v>3576</v>
      </c>
      <c r="CU1395" s="112" t="s">
        <v>527</v>
      </c>
      <c r="CV1395" s="113" t="s">
        <v>528</v>
      </c>
      <c r="CX1395" s="36">
        <v>1</v>
      </c>
    </row>
    <row r="1396" spans="91:102" ht="21" customHeight="1" x14ac:dyDescent="0.25">
      <c r="CM1396" s="102"/>
      <c r="CN1396" s="112" t="s">
        <v>3603</v>
      </c>
      <c r="CO1396" s="112" t="s">
        <v>542</v>
      </c>
      <c r="CP1396" s="112" t="s">
        <v>523</v>
      </c>
      <c r="CQ1396" s="112" t="s">
        <v>3604</v>
      </c>
      <c r="CR1396" s="112" t="s">
        <v>3604</v>
      </c>
      <c r="CS1396" s="112" t="s">
        <v>525</v>
      </c>
      <c r="CT1396" s="112" t="s">
        <v>3576</v>
      </c>
      <c r="CU1396" s="112" t="s">
        <v>527</v>
      </c>
      <c r="CV1396" s="113" t="s">
        <v>528</v>
      </c>
      <c r="CX1396" s="36">
        <v>1</v>
      </c>
    </row>
    <row r="1397" spans="91:102" ht="21" customHeight="1" x14ac:dyDescent="0.25">
      <c r="CM1397" s="102"/>
      <c r="CN1397" s="112" t="s">
        <v>3605</v>
      </c>
      <c r="CO1397" s="112" t="s">
        <v>542</v>
      </c>
      <c r="CP1397" s="112" t="s">
        <v>523</v>
      </c>
      <c r="CQ1397" s="112" t="s">
        <v>3606</v>
      </c>
      <c r="CR1397" s="112" t="s">
        <v>3606</v>
      </c>
      <c r="CS1397" s="112" t="s">
        <v>610</v>
      </c>
      <c r="CT1397" s="112" t="s">
        <v>611</v>
      </c>
      <c r="CU1397" s="112" t="s">
        <v>527</v>
      </c>
      <c r="CV1397" s="113" t="s">
        <v>612</v>
      </c>
      <c r="CX1397" s="36">
        <v>1</v>
      </c>
    </row>
    <row r="1398" spans="91:102" ht="21" customHeight="1" x14ac:dyDescent="0.25">
      <c r="CM1398" s="102"/>
      <c r="CN1398" s="112" t="s">
        <v>3607</v>
      </c>
      <c r="CO1398" s="112" t="s">
        <v>542</v>
      </c>
      <c r="CP1398" s="112" t="s">
        <v>523</v>
      </c>
      <c r="CQ1398" s="112" t="s">
        <v>3608</v>
      </c>
      <c r="CR1398" s="112" t="s">
        <v>3608</v>
      </c>
      <c r="CS1398" s="112" t="s">
        <v>525</v>
      </c>
      <c r="CT1398" s="112" t="s">
        <v>3576</v>
      </c>
      <c r="CU1398" s="112" t="s">
        <v>527</v>
      </c>
      <c r="CV1398" s="113" t="s">
        <v>528</v>
      </c>
      <c r="CX1398" s="36">
        <v>1</v>
      </c>
    </row>
    <row r="1399" spans="91:102" ht="21" customHeight="1" x14ac:dyDescent="0.25">
      <c r="CM1399" s="102"/>
      <c r="CN1399" s="112" t="s">
        <v>3609</v>
      </c>
      <c r="CO1399" s="112" t="s">
        <v>542</v>
      </c>
      <c r="CP1399" s="112" t="s">
        <v>523</v>
      </c>
      <c r="CQ1399" s="112" t="s">
        <v>3610</v>
      </c>
      <c r="CR1399" s="112" t="s">
        <v>3611</v>
      </c>
      <c r="CS1399" s="112" t="s">
        <v>525</v>
      </c>
      <c r="CT1399" s="112" t="s">
        <v>3576</v>
      </c>
      <c r="CU1399" s="112" t="s">
        <v>527</v>
      </c>
      <c r="CV1399" s="113" t="s">
        <v>528</v>
      </c>
      <c r="CX1399" s="36">
        <v>1</v>
      </c>
    </row>
    <row r="1400" spans="91:102" ht="21" customHeight="1" x14ac:dyDescent="0.25">
      <c r="CM1400" s="102"/>
      <c r="CN1400" s="112" t="s">
        <v>3612</v>
      </c>
      <c r="CO1400" s="112" t="s">
        <v>542</v>
      </c>
      <c r="CP1400" s="112" t="s">
        <v>523</v>
      </c>
      <c r="CQ1400" s="112" t="s">
        <v>3613</v>
      </c>
      <c r="CR1400" s="112" t="s">
        <v>3614</v>
      </c>
      <c r="CS1400" s="112" t="s">
        <v>525</v>
      </c>
      <c r="CT1400" s="112" t="s">
        <v>3576</v>
      </c>
      <c r="CU1400" s="112" t="s">
        <v>527</v>
      </c>
      <c r="CV1400" s="113" t="s">
        <v>528</v>
      </c>
      <c r="CX1400" s="36">
        <v>1</v>
      </c>
    </row>
    <row r="1401" spans="91:102" ht="21" customHeight="1" x14ac:dyDescent="0.25">
      <c r="CM1401" s="102"/>
      <c r="CN1401" s="112" t="s">
        <v>3615</v>
      </c>
      <c r="CO1401" s="112" t="s">
        <v>542</v>
      </c>
      <c r="CP1401" s="112" t="s">
        <v>523</v>
      </c>
      <c r="CQ1401" s="112" t="s">
        <v>3616</v>
      </c>
      <c r="CR1401" s="112" t="s">
        <v>3616</v>
      </c>
      <c r="CS1401" s="112" t="s">
        <v>525</v>
      </c>
      <c r="CT1401" s="112" t="s">
        <v>3576</v>
      </c>
      <c r="CU1401" s="112" t="s">
        <v>527</v>
      </c>
      <c r="CV1401" s="113" t="s">
        <v>528</v>
      </c>
      <c r="CX1401" s="36">
        <v>1</v>
      </c>
    </row>
    <row r="1402" spans="91:102" ht="21" customHeight="1" x14ac:dyDescent="0.25">
      <c r="CM1402" s="102"/>
      <c r="CN1402" s="112" t="s">
        <v>3617</v>
      </c>
      <c r="CO1402" s="112" t="s">
        <v>542</v>
      </c>
      <c r="CP1402" s="112" t="s">
        <v>523</v>
      </c>
      <c r="CQ1402" s="112" t="s">
        <v>3618</v>
      </c>
      <c r="CR1402" s="112" t="s">
        <v>3619</v>
      </c>
      <c r="CS1402" s="112" t="s">
        <v>525</v>
      </c>
      <c r="CT1402" s="112" t="s">
        <v>3576</v>
      </c>
      <c r="CU1402" s="112" t="s">
        <v>527</v>
      </c>
      <c r="CV1402" s="113" t="s">
        <v>528</v>
      </c>
      <c r="CX1402" s="36">
        <v>1</v>
      </c>
    </row>
    <row r="1403" spans="91:102" ht="21" customHeight="1" x14ac:dyDescent="0.25">
      <c r="CM1403" s="102"/>
      <c r="CN1403" s="112" t="s">
        <v>3620</v>
      </c>
      <c r="CO1403" s="112" t="s">
        <v>542</v>
      </c>
      <c r="CP1403" s="112" t="s">
        <v>523</v>
      </c>
      <c r="CQ1403" s="112" t="s">
        <v>3621</v>
      </c>
      <c r="CR1403" s="112" t="s">
        <v>3622</v>
      </c>
      <c r="CS1403" s="112" t="s">
        <v>525</v>
      </c>
      <c r="CT1403" s="112" t="s">
        <v>3576</v>
      </c>
      <c r="CU1403" s="112" t="s">
        <v>527</v>
      </c>
      <c r="CV1403" s="113" t="s">
        <v>528</v>
      </c>
      <c r="CX1403" s="36">
        <v>1</v>
      </c>
    </row>
    <row r="1404" spans="91:102" ht="21" customHeight="1" x14ac:dyDescent="0.25">
      <c r="CM1404" s="102"/>
      <c r="CN1404" s="112" t="s">
        <v>3623</v>
      </c>
      <c r="CO1404" s="112" t="s">
        <v>542</v>
      </c>
      <c r="CP1404" s="112" t="s">
        <v>523</v>
      </c>
      <c r="CQ1404" s="112" t="s">
        <v>3624</v>
      </c>
      <c r="CR1404" s="112" t="s">
        <v>3624</v>
      </c>
      <c r="CS1404" s="112" t="s">
        <v>525</v>
      </c>
      <c r="CT1404" s="112" t="s">
        <v>3576</v>
      </c>
      <c r="CU1404" s="112" t="s">
        <v>527</v>
      </c>
      <c r="CV1404" s="113" t="s">
        <v>528</v>
      </c>
      <c r="CX1404" s="36">
        <v>1</v>
      </c>
    </row>
    <row r="1405" spans="91:102" ht="21" customHeight="1" x14ac:dyDescent="0.25">
      <c r="CM1405" s="102"/>
      <c r="CN1405" s="112" t="s">
        <v>3625</v>
      </c>
      <c r="CO1405" s="112" t="s">
        <v>543</v>
      </c>
      <c r="CP1405" s="112" t="s">
        <v>523</v>
      </c>
      <c r="CQ1405" s="112" t="s">
        <v>3626</v>
      </c>
      <c r="CR1405" s="112" t="s">
        <v>3626</v>
      </c>
      <c r="CS1405" s="112" t="s">
        <v>525</v>
      </c>
      <c r="CT1405" s="112" t="s">
        <v>3627</v>
      </c>
      <c r="CU1405" s="112" t="s">
        <v>527</v>
      </c>
      <c r="CV1405" s="113" t="s">
        <v>528</v>
      </c>
      <c r="CX1405" s="36">
        <v>1</v>
      </c>
    </row>
    <row r="1406" spans="91:102" ht="21" customHeight="1" x14ac:dyDescent="0.25">
      <c r="CM1406" s="102"/>
      <c r="CN1406" s="112" t="s">
        <v>3628</v>
      </c>
      <c r="CO1406" s="112" t="s">
        <v>543</v>
      </c>
      <c r="CP1406" s="112" t="s">
        <v>523</v>
      </c>
      <c r="CQ1406" s="112" t="s">
        <v>3629</v>
      </c>
      <c r="CR1406" s="112" t="s">
        <v>3630</v>
      </c>
      <c r="CS1406" s="112" t="s">
        <v>525</v>
      </c>
      <c r="CT1406" s="112" t="s">
        <v>3627</v>
      </c>
      <c r="CU1406" s="112" t="s">
        <v>527</v>
      </c>
      <c r="CV1406" s="113" t="s">
        <v>528</v>
      </c>
      <c r="CX1406" s="36">
        <v>1</v>
      </c>
    </row>
    <row r="1407" spans="91:102" ht="21" customHeight="1" x14ac:dyDescent="0.25">
      <c r="CM1407" s="102"/>
      <c r="CN1407" s="112" t="s">
        <v>3631</v>
      </c>
      <c r="CO1407" s="112" t="s">
        <v>543</v>
      </c>
      <c r="CP1407" s="112" t="s">
        <v>523</v>
      </c>
      <c r="CQ1407" s="112" t="s">
        <v>3632</v>
      </c>
      <c r="CR1407" s="112" t="s">
        <v>3633</v>
      </c>
      <c r="CS1407" s="112" t="s">
        <v>525</v>
      </c>
      <c r="CT1407" s="112" t="s">
        <v>3627</v>
      </c>
      <c r="CU1407" s="112" t="s">
        <v>527</v>
      </c>
      <c r="CV1407" s="113" t="s">
        <v>528</v>
      </c>
      <c r="CX1407" s="36">
        <v>1</v>
      </c>
    </row>
    <row r="1408" spans="91:102" ht="21" customHeight="1" x14ac:dyDescent="0.25">
      <c r="CM1408" s="102"/>
      <c r="CN1408" s="112" t="s">
        <v>3634</v>
      </c>
      <c r="CO1408" s="112" t="s">
        <v>543</v>
      </c>
      <c r="CP1408" s="112" t="s">
        <v>523</v>
      </c>
      <c r="CQ1408" s="112" t="s">
        <v>3635</v>
      </c>
      <c r="CR1408" s="112" t="s">
        <v>3635</v>
      </c>
      <c r="CS1408" s="112" t="s">
        <v>525</v>
      </c>
      <c r="CT1408" s="112" t="s">
        <v>3627</v>
      </c>
      <c r="CU1408" s="112" t="s">
        <v>527</v>
      </c>
      <c r="CV1408" s="113" t="s">
        <v>528</v>
      </c>
      <c r="CX1408" s="36">
        <v>1</v>
      </c>
    </row>
    <row r="1409" spans="91:102" ht="21" customHeight="1" x14ac:dyDescent="0.25">
      <c r="CM1409" s="102"/>
      <c r="CN1409" s="112" t="s">
        <v>3636</v>
      </c>
      <c r="CO1409" s="112" t="s">
        <v>543</v>
      </c>
      <c r="CP1409" s="112" t="s">
        <v>523</v>
      </c>
      <c r="CQ1409" s="112" t="s">
        <v>3637</v>
      </c>
      <c r="CR1409" s="112" t="s">
        <v>3638</v>
      </c>
      <c r="CS1409" s="112" t="s">
        <v>525</v>
      </c>
      <c r="CT1409" s="112" t="s">
        <v>3627</v>
      </c>
      <c r="CU1409" s="112" t="s">
        <v>527</v>
      </c>
      <c r="CV1409" s="113" t="s">
        <v>528</v>
      </c>
      <c r="CX1409" s="36">
        <v>1</v>
      </c>
    </row>
    <row r="1410" spans="91:102" ht="21" customHeight="1" x14ac:dyDescent="0.25">
      <c r="CM1410" s="102"/>
      <c r="CN1410" s="112" t="s">
        <v>3639</v>
      </c>
      <c r="CO1410" s="112" t="s">
        <v>543</v>
      </c>
      <c r="CP1410" s="112" t="s">
        <v>523</v>
      </c>
      <c r="CQ1410" s="112" t="s">
        <v>3640</v>
      </c>
      <c r="CR1410" s="112" t="s">
        <v>3640</v>
      </c>
      <c r="CS1410" s="112" t="s">
        <v>525</v>
      </c>
      <c r="CT1410" s="112" t="s">
        <v>3627</v>
      </c>
      <c r="CU1410" s="112" t="s">
        <v>527</v>
      </c>
      <c r="CV1410" s="113" t="s">
        <v>528</v>
      </c>
      <c r="CX1410" s="36">
        <v>1</v>
      </c>
    </row>
    <row r="1411" spans="91:102" ht="21" customHeight="1" x14ac:dyDescent="0.25">
      <c r="CM1411" s="102"/>
      <c r="CN1411" s="112" t="s">
        <v>3641</v>
      </c>
      <c r="CO1411" s="112" t="s">
        <v>543</v>
      </c>
      <c r="CP1411" s="112" t="s">
        <v>523</v>
      </c>
      <c r="CQ1411" s="112" t="s">
        <v>3642</v>
      </c>
      <c r="CR1411" s="112" t="s">
        <v>3642</v>
      </c>
      <c r="CS1411" s="112" t="s">
        <v>525</v>
      </c>
      <c r="CT1411" s="112" t="s">
        <v>3627</v>
      </c>
      <c r="CU1411" s="112" t="s">
        <v>527</v>
      </c>
      <c r="CV1411" s="113" t="s">
        <v>528</v>
      </c>
      <c r="CX1411" s="36">
        <v>1</v>
      </c>
    </row>
    <row r="1412" spans="91:102" ht="21" customHeight="1" x14ac:dyDescent="0.25">
      <c r="CM1412" s="102"/>
      <c r="CN1412" s="112" t="s">
        <v>3643</v>
      </c>
      <c r="CO1412" s="112" t="s">
        <v>543</v>
      </c>
      <c r="CP1412" s="112" t="s">
        <v>523</v>
      </c>
      <c r="CQ1412" s="112" t="s">
        <v>3644</v>
      </c>
      <c r="CR1412" s="112" t="s">
        <v>3645</v>
      </c>
      <c r="CS1412" s="112" t="s">
        <v>525</v>
      </c>
      <c r="CT1412" s="112" t="s">
        <v>3627</v>
      </c>
      <c r="CU1412" s="112" t="s">
        <v>527</v>
      </c>
      <c r="CV1412" s="113" t="s">
        <v>528</v>
      </c>
      <c r="CX1412" s="36">
        <v>1</v>
      </c>
    </row>
    <row r="1413" spans="91:102" ht="21" customHeight="1" x14ac:dyDescent="0.25">
      <c r="CM1413" s="102"/>
      <c r="CN1413" s="112" t="s">
        <v>3646</v>
      </c>
      <c r="CO1413" s="112" t="s">
        <v>543</v>
      </c>
      <c r="CP1413" s="112" t="s">
        <v>523</v>
      </c>
      <c r="CQ1413" s="112" t="s">
        <v>3647</v>
      </c>
      <c r="CR1413" s="112" t="s">
        <v>3648</v>
      </c>
      <c r="CS1413" s="112" t="s">
        <v>525</v>
      </c>
      <c r="CT1413" s="112" t="s">
        <v>3627</v>
      </c>
      <c r="CU1413" s="112" t="s">
        <v>527</v>
      </c>
      <c r="CV1413" s="113" t="s">
        <v>528</v>
      </c>
      <c r="CX1413" s="36">
        <v>1</v>
      </c>
    </row>
    <row r="1414" spans="91:102" ht="21" customHeight="1" x14ac:dyDescent="0.25">
      <c r="CM1414" s="102"/>
      <c r="CN1414" s="112" t="s">
        <v>3649</v>
      </c>
      <c r="CO1414" s="112" t="s">
        <v>543</v>
      </c>
      <c r="CP1414" s="112" t="s">
        <v>523</v>
      </c>
      <c r="CQ1414" s="112" t="s">
        <v>3650</v>
      </c>
      <c r="CR1414" s="112" t="s">
        <v>3650</v>
      </c>
      <c r="CS1414" s="112" t="s">
        <v>525</v>
      </c>
      <c r="CT1414" s="112" t="s">
        <v>3627</v>
      </c>
      <c r="CU1414" s="112" t="s">
        <v>527</v>
      </c>
      <c r="CV1414" s="113" t="s">
        <v>528</v>
      </c>
      <c r="CX1414" s="36">
        <v>1</v>
      </c>
    </row>
    <row r="1415" spans="91:102" ht="21" customHeight="1" x14ac:dyDescent="0.25">
      <c r="CM1415" s="102"/>
      <c r="CN1415" s="112" t="s">
        <v>3651</v>
      </c>
      <c r="CO1415" s="112" t="s">
        <v>543</v>
      </c>
      <c r="CP1415" s="112" t="s">
        <v>523</v>
      </c>
      <c r="CQ1415" s="112" t="s">
        <v>3652</v>
      </c>
      <c r="CR1415" s="112" t="s">
        <v>3652</v>
      </c>
      <c r="CS1415" s="112" t="s">
        <v>525</v>
      </c>
      <c r="CT1415" s="112" t="s">
        <v>3627</v>
      </c>
      <c r="CU1415" s="112" t="s">
        <v>527</v>
      </c>
      <c r="CV1415" s="113" t="s">
        <v>528</v>
      </c>
      <c r="CX1415" s="36">
        <v>1</v>
      </c>
    </row>
    <row r="1416" spans="91:102" ht="21" customHeight="1" x14ac:dyDescent="0.25">
      <c r="CM1416" s="102"/>
      <c r="CN1416" s="112" t="s">
        <v>3653</v>
      </c>
      <c r="CO1416" s="112" t="s">
        <v>543</v>
      </c>
      <c r="CP1416" s="112" t="s">
        <v>523</v>
      </c>
      <c r="CQ1416" s="112" t="s">
        <v>3654</v>
      </c>
      <c r="CR1416" s="112" t="s">
        <v>3654</v>
      </c>
      <c r="CS1416" s="112" t="s">
        <v>525</v>
      </c>
      <c r="CT1416" s="112" t="s">
        <v>3627</v>
      </c>
      <c r="CU1416" s="112" t="s">
        <v>527</v>
      </c>
      <c r="CV1416" s="113" t="s">
        <v>528</v>
      </c>
      <c r="CX1416" s="36">
        <v>1</v>
      </c>
    </row>
    <row r="1417" spans="91:102" ht="21" customHeight="1" x14ac:dyDescent="0.25">
      <c r="CM1417" s="102"/>
      <c r="CN1417" s="112" t="s">
        <v>3655</v>
      </c>
      <c r="CO1417" s="112" t="s">
        <v>543</v>
      </c>
      <c r="CP1417" s="112" t="s">
        <v>523</v>
      </c>
      <c r="CQ1417" s="112" t="s">
        <v>3656</v>
      </c>
      <c r="CR1417" s="112" t="s">
        <v>3656</v>
      </c>
      <c r="CS1417" s="112" t="s">
        <v>525</v>
      </c>
      <c r="CT1417" s="112" t="s">
        <v>3627</v>
      </c>
      <c r="CU1417" s="112" t="s">
        <v>527</v>
      </c>
      <c r="CV1417" s="113" t="s">
        <v>528</v>
      </c>
      <c r="CX1417" s="36">
        <v>1</v>
      </c>
    </row>
    <row r="1418" spans="91:102" ht="21" customHeight="1" x14ac:dyDescent="0.25">
      <c r="CM1418" s="102"/>
      <c r="CN1418" s="112" t="s">
        <v>3657</v>
      </c>
      <c r="CO1418" s="112" t="s">
        <v>543</v>
      </c>
      <c r="CP1418" s="112" t="s">
        <v>523</v>
      </c>
      <c r="CQ1418" s="112" t="s">
        <v>3658</v>
      </c>
      <c r="CR1418" s="112" t="s">
        <v>3659</v>
      </c>
      <c r="CS1418" s="112" t="s">
        <v>525</v>
      </c>
      <c r="CT1418" s="112" t="s">
        <v>3627</v>
      </c>
      <c r="CU1418" s="112" t="s">
        <v>527</v>
      </c>
      <c r="CV1418" s="113" t="s">
        <v>528</v>
      </c>
      <c r="CX1418" s="36">
        <v>1</v>
      </c>
    </row>
    <row r="1419" spans="91:102" ht="21" customHeight="1" x14ac:dyDescent="0.25">
      <c r="CM1419" s="102"/>
      <c r="CN1419" s="112" t="s">
        <v>3660</v>
      </c>
      <c r="CO1419" s="112" t="s">
        <v>543</v>
      </c>
      <c r="CP1419" s="112" t="s">
        <v>523</v>
      </c>
      <c r="CQ1419" s="112" t="s">
        <v>3661</v>
      </c>
      <c r="CR1419" s="112" t="s">
        <v>3661</v>
      </c>
      <c r="CS1419" s="112" t="s">
        <v>525</v>
      </c>
      <c r="CT1419" s="112" t="s">
        <v>3627</v>
      </c>
      <c r="CU1419" s="112" t="s">
        <v>527</v>
      </c>
      <c r="CV1419" s="113" t="s">
        <v>528</v>
      </c>
      <c r="CX1419" s="36">
        <v>1</v>
      </c>
    </row>
    <row r="1420" spans="91:102" ht="21" customHeight="1" x14ac:dyDescent="0.25">
      <c r="CM1420" s="102"/>
      <c r="CN1420" s="112" t="s">
        <v>3662</v>
      </c>
      <c r="CO1420" s="112" t="s">
        <v>543</v>
      </c>
      <c r="CP1420" s="112" t="s">
        <v>523</v>
      </c>
      <c r="CQ1420" s="112" t="s">
        <v>3663</v>
      </c>
      <c r="CR1420" s="112" t="s">
        <v>3663</v>
      </c>
      <c r="CS1420" s="112" t="s">
        <v>525</v>
      </c>
      <c r="CT1420" s="112" t="s">
        <v>3627</v>
      </c>
      <c r="CU1420" s="112" t="s">
        <v>527</v>
      </c>
      <c r="CV1420" s="113" t="s">
        <v>528</v>
      </c>
      <c r="CX1420" s="36">
        <v>1</v>
      </c>
    </row>
    <row r="1421" spans="91:102" ht="21" customHeight="1" x14ac:dyDescent="0.25">
      <c r="CM1421" s="102"/>
      <c r="CN1421" s="112" t="s">
        <v>3664</v>
      </c>
      <c r="CO1421" s="112" t="s">
        <v>543</v>
      </c>
      <c r="CP1421" s="112" t="s">
        <v>523</v>
      </c>
      <c r="CQ1421" s="112" t="s">
        <v>3665</v>
      </c>
      <c r="CR1421" s="112" t="s">
        <v>3665</v>
      </c>
      <c r="CS1421" s="112" t="s">
        <v>525</v>
      </c>
      <c r="CT1421" s="112" t="s">
        <v>3627</v>
      </c>
      <c r="CU1421" s="112" t="s">
        <v>527</v>
      </c>
      <c r="CV1421" s="113" t="s">
        <v>528</v>
      </c>
      <c r="CX1421" s="36">
        <v>1</v>
      </c>
    </row>
    <row r="1422" spans="91:102" ht="21" customHeight="1" x14ac:dyDescent="0.25">
      <c r="CM1422" s="102"/>
      <c r="CN1422" s="112" t="s">
        <v>3666</v>
      </c>
      <c r="CO1422" s="112" t="s">
        <v>543</v>
      </c>
      <c r="CP1422" s="112" t="s">
        <v>523</v>
      </c>
      <c r="CQ1422" s="112" t="s">
        <v>3667</v>
      </c>
      <c r="CR1422" s="112" t="s">
        <v>3668</v>
      </c>
      <c r="CS1422" s="112" t="s">
        <v>525</v>
      </c>
      <c r="CT1422" s="112" t="s">
        <v>3627</v>
      </c>
      <c r="CU1422" s="112" t="s">
        <v>527</v>
      </c>
      <c r="CV1422" s="113" t="s">
        <v>528</v>
      </c>
      <c r="CX1422" s="36">
        <v>1</v>
      </c>
    </row>
    <row r="1423" spans="91:102" ht="21" customHeight="1" x14ac:dyDescent="0.25">
      <c r="CM1423" s="102"/>
      <c r="CN1423" s="112" t="s">
        <v>3669</v>
      </c>
      <c r="CO1423" s="112" t="s">
        <v>543</v>
      </c>
      <c r="CP1423" s="112" t="s">
        <v>523</v>
      </c>
      <c r="CQ1423" s="112" t="s">
        <v>3670</v>
      </c>
      <c r="CR1423" s="112" t="s">
        <v>3671</v>
      </c>
      <c r="CS1423" s="112" t="s">
        <v>525</v>
      </c>
      <c r="CT1423" s="112" t="s">
        <v>3627</v>
      </c>
      <c r="CU1423" s="112" t="s">
        <v>527</v>
      </c>
      <c r="CV1423" s="113" t="s">
        <v>528</v>
      </c>
      <c r="CX1423" s="36">
        <v>1</v>
      </c>
    </row>
    <row r="1424" spans="91:102" ht="21" customHeight="1" x14ac:dyDescent="0.25">
      <c r="CM1424" s="102"/>
      <c r="CN1424" s="112" t="s">
        <v>3672</v>
      </c>
      <c r="CO1424" s="112" t="s">
        <v>543</v>
      </c>
      <c r="CP1424" s="112" t="s">
        <v>523</v>
      </c>
      <c r="CQ1424" s="112" t="s">
        <v>3673</v>
      </c>
      <c r="CR1424" s="112" t="s">
        <v>3674</v>
      </c>
      <c r="CS1424" s="112" t="s">
        <v>525</v>
      </c>
      <c r="CT1424" s="112" t="s">
        <v>3627</v>
      </c>
      <c r="CU1424" s="112" t="s">
        <v>527</v>
      </c>
      <c r="CV1424" s="113" t="s">
        <v>528</v>
      </c>
      <c r="CX1424" s="36">
        <v>1</v>
      </c>
    </row>
    <row r="1425" spans="91:102" ht="21" customHeight="1" x14ac:dyDescent="0.25">
      <c r="CM1425" s="102"/>
      <c r="CN1425" s="112" t="s">
        <v>3675</v>
      </c>
      <c r="CO1425" s="112" t="s">
        <v>543</v>
      </c>
      <c r="CP1425" s="112" t="s">
        <v>523</v>
      </c>
      <c r="CQ1425" s="112" t="s">
        <v>3676</v>
      </c>
      <c r="CR1425" s="112" t="s">
        <v>3677</v>
      </c>
      <c r="CS1425" s="112" t="s">
        <v>525</v>
      </c>
      <c r="CT1425" s="112" t="s">
        <v>3627</v>
      </c>
      <c r="CU1425" s="112" t="s">
        <v>527</v>
      </c>
      <c r="CV1425" s="113" t="s">
        <v>528</v>
      </c>
      <c r="CX1425" s="36">
        <v>1</v>
      </c>
    </row>
    <row r="1426" spans="91:102" ht="21" customHeight="1" x14ac:dyDescent="0.25">
      <c r="CM1426" s="102"/>
      <c r="CN1426" s="112" t="s">
        <v>3678</v>
      </c>
      <c r="CO1426" s="112" t="s">
        <v>543</v>
      </c>
      <c r="CP1426" s="112" t="s">
        <v>523</v>
      </c>
      <c r="CQ1426" s="112" t="s">
        <v>1151</v>
      </c>
      <c r="CR1426" s="112" t="s">
        <v>1151</v>
      </c>
      <c r="CS1426" s="112" t="s">
        <v>525</v>
      </c>
      <c r="CT1426" s="112" t="s">
        <v>3627</v>
      </c>
      <c r="CU1426" s="112" t="s">
        <v>527</v>
      </c>
      <c r="CV1426" s="113" t="s">
        <v>528</v>
      </c>
      <c r="CX1426" s="36">
        <v>1</v>
      </c>
    </row>
    <row r="1427" spans="91:102" ht="21" customHeight="1" x14ac:dyDescent="0.25">
      <c r="CM1427" s="102"/>
      <c r="CN1427" s="112" t="s">
        <v>3679</v>
      </c>
      <c r="CO1427" s="112" t="s">
        <v>543</v>
      </c>
      <c r="CP1427" s="112" t="s">
        <v>523</v>
      </c>
      <c r="CQ1427" s="112" t="s">
        <v>1159</v>
      </c>
      <c r="CR1427" s="112" t="s">
        <v>1159</v>
      </c>
      <c r="CS1427" s="112" t="s">
        <v>525</v>
      </c>
      <c r="CT1427" s="112" t="s">
        <v>3627</v>
      </c>
      <c r="CU1427" s="112" t="s">
        <v>527</v>
      </c>
      <c r="CV1427" s="113" t="s">
        <v>528</v>
      </c>
      <c r="CX1427" s="36">
        <v>1</v>
      </c>
    </row>
    <row r="1428" spans="91:102" ht="21" customHeight="1" x14ac:dyDescent="0.25">
      <c r="CM1428" s="102"/>
      <c r="CN1428" s="112" t="s">
        <v>3680</v>
      </c>
      <c r="CO1428" s="112" t="s">
        <v>543</v>
      </c>
      <c r="CP1428" s="112" t="s">
        <v>523</v>
      </c>
      <c r="CQ1428" s="112" t="s">
        <v>3681</v>
      </c>
      <c r="CR1428" s="112" t="s">
        <v>3681</v>
      </c>
      <c r="CS1428" s="112" t="s">
        <v>525</v>
      </c>
      <c r="CT1428" s="112" t="s">
        <v>3627</v>
      </c>
      <c r="CU1428" s="112" t="s">
        <v>527</v>
      </c>
      <c r="CV1428" s="113" t="s">
        <v>528</v>
      </c>
      <c r="CX1428" s="36">
        <v>1</v>
      </c>
    </row>
    <row r="1429" spans="91:102" ht="21" customHeight="1" x14ac:dyDescent="0.25">
      <c r="CM1429" s="102"/>
      <c r="CN1429" s="112" t="s">
        <v>3682</v>
      </c>
      <c r="CO1429" s="112" t="s">
        <v>543</v>
      </c>
      <c r="CP1429" s="112" t="s">
        <v>523</v>
      </c>
      <c r="CQ1429" s="112" t="s">
        <v>3683</v>
      </c>
      <c r="CR1429" s="112" t="s">
        <v>3683</v>
      </c>
      <c r="CS1429" s="112" t="s">
        <v>610</v>
      </c>
      <c r="CT1429" s="112" t="s">
        <v>611</v>
      </c>
      <c r="CU1429" s="112" t="s">
        <v>527</v>
      </c>
      <c r="CV1429" s="113" t="s">
        <v>612</v>
      </c>
      <c r="CX1429" s="36">
        <v>1</v>
      </c>
    </row>
    <row r="1430" spans="91:102" ht="21" customHeight="1" x14ac:dyDescent="0.25">
      <c r="CM1430" s="102"/>
      <c r="CN1430" s="112" t="s">
        <v>3684</v>
      </c>
      <c r="CO1430" s="112" t="s">
        <v>543</v>
      </c>
      <c r="CP1430" s="112" t="s">
        <v>523</v>
      </c>
      <c r="CQ1430" s="112" t="s">
        <v>3685</v>
      </c>
      <c r="CR1430" s="112" t="s">
        <v>3685</v>
      </c>
      <c r="CS1430" s="112" t="s">
        <v>610</v>
      </c>
      <c r="CT1430" s="112" t="s">
        <v>611</v>
      </c>
      <c r="CU1430" s="112" t="s">
        <v>527</v>
      </c>
      <c r="CV1430" s="113" t="s">
        <v>612</v>
      </c>
      <c r="CX1430" s="36">
        <v>1</v>
      </c>
    </row>
    <row r="1431" spans="91:102" ht="21" customHeight="1" x14ac:dyDescent="0.25">
      <c r="CM1431" s="102"/>
      <c r="CN1431" s="112" t="s">
        <v>3686</v>
      </c>
      <c r="CO1431" s="112" t="s">
        <v>543</v>
      </c>
      <c r="CP1431" s="112" t="s">
        <v>523</v>
      </c>
      <c r="CQ1431" s="112" t="s">
        <v>3687</v>
      </c>
      <c r="CR1431" s="112" t="s">
        <v>3687</v>
      </c>
      <c r="CS1431" s="112" t="s">
        <v>610</v>
      </c>
      <c r="CT1431" s="112" t="s">
        <v>611</v>
      </c>
      <c r="CU1431" s="112" t="s">
        <v>527</v>
      </c>
      <c r="CV1431" s="113" t="s">
        <v>612</v>
      </c>
      <c r="CX1431" s="36">
        <v>1</v>
      </c>
    </row>
    <row r="1432" spans="91:102" ht="21" customHeight="1" x14ac:dyDescent="0.25">
      <c r="CM1432" s="102"/>
      <c r="CN1432" s="112" t="s">
        <v>3688</v>
      </c>
      <c r="CO1432" s="112" t="s">
        <v>543</v>
      </c>
      <c r="CP1432" s="112" t="s">
        <v>523</v>
      </c>
      <c r="CQ1432" s="112" t="s">
        <v>3689</v>
      </c>
      <c r="CR1432" s="112" t="s">
        <v>3689</v>
      </c>
      <c r="CS1432" s="112" t="s">
        <v>525</v>
      </c>
      <c r="CT1432" s="112" t="s">
        <v>3627</v>
      </c>
      <c r="CU1432" s="112" t="s">
        <v>527</v>
      </c>
      <c r="CV1432" s="113" t="s">
        <v>528</v>
      </c>
      <c r="CX1432" s="36">
        <v>1</v>
      </c>
    </row>
    <row r="1433" spans="91:102" ht="21" customHeight="1" x14ac:dyDescent="0.25">
      <c r="CM1433" s="102"/>
      <c r="CN1433" s="112" t="s">
        <v>3690</v>
      </c>
      <c r="CO1433" s="112" t="s">
        <v>543</v>
      </c>
      <c r="CP1433" s="112" t="s">
        <v>523</v>
      </c>
      <c r="CQ1433" s="112" t="s">
        <v>3691</v>
      </c>
      <c r="CR1433" s="112" t="s">
        <v>3691</v>
      </c>
      <c r="CS1433" s="112" t="s">
        <v>610</v>
      </c>
      <c r="CT1433" s="112" t="s">
        <v>611</v>
      </c>
      <c r="CU1433" s="112" t="s">
        <v>527</v>
      </c>
      <c r="CV1433" s="113" t="s">
        <v>612</v>
      </c>
      <c r="CX1433" s="36">
        <v>1</v>
      </c>
    </row>
    <row r="1434" spans="91:102" ht="21" customHeight="1" x14ac:dyDescent="0.25">
      <c r="CM1434" s="102"/>
      <c r="CN1434" s="112" t="s">
        <v>3692</v>
      </c>
      <c r="CO1434" s="112" t="s">
        <v>543</v>
      </c>
      <c r="CP1434" s="112" t="s">
        <v>523</v>
      </c>
      <c r="CQ1434" s="112" t="s">
        <v>3693</v>
      </c>
      <c r="CR1434" s="112" t="s">
        <v>3693</v>
      </c>
      <c r="CS1434" s="112" t="s">
        <v>610</v>
      </c>
      <c r="CT1434" s="112" t="s">
        <v>611</v>
      </c>
      <c r="CU1434" s="112" t="s">
        <v>527</v>
      </c>
      <c r="CV1434" s="113" t="s">
        <v>612</v>
      </c>
      <c r="CX1434" s="36">
        <v>1</v>
      </c>
    </row>
    <row r="1435" spans="91:102" ht="21" customHeight="1" x14ac:dyDescent="0.25">
      <c r="CM1435" s="102"/>
      <c r="CN1435" s="112" t="s">
        <v>3694</v>
      </c>
      <c r="CO1435" s="112" t="s">
        <v>543</v>
      </c>
      <c r="CP1435" s="112" t="s">
        <v>523</v>
      </c>
      <c r="CQ1435" s="112" t="s">
        <v>3695</v>
      </c>
      <c r="CR1435" s="112" t="s">
        <v>3695</v>
      </c>
      <c r="CS1435" s="112" t="s">
        <v>610</v>
      </c>
      <c r="CT1435" s="112" t="s">
        <v>611</v>
      </c>
      <c r="CU1435" s="112" t="s">
        <v>527</v>
      </c>
      <c r="CV1435" s="113" t="s">
        <v>612</v>
      </c>
      <c r="CX1435" s="36">
        <v>1</v>
      </c>
    </row>
    <row r="1436" spans="91:102" ht="21" customHeight="1" x14ac:dyDescent="0.25">
      <c r="CM1436" s="102"/>
      <c r="CN1436" s="112" t="s">
        <v>3696</v>
      </c>
      <c r="CO1436" s="112" t="s">
        <v>543</v>
      </c>
      <c r="CP1436" s="112" t="s">
        <v>523</v>
      </c>
      <c r="CQ1436" s="112" t="s">
        <v>3697</v>
      </c>
      <c r="CR1436" s="112" t="s">
        <v>3697</v>
      </c>
      <c r="CS1436" s="112" t="s">
        <v>525</v>
      </c>
      <c r="CT1436" s="112" t="s">
        <v>3627</v>
      </c>
      <c r="CU1436" s="112" t="s">
        <v>527</v>
      </c>
      <c r="CV1436" s="113" t="s">
        <v>528</v>
      </c>
      <c r="CX1436" s="36">
        <v>1</v>
      </c>
    </row>
    <row r="1437" spans="91:102" ht="21" customHeight="1" x14ac:dyDescent="0.25">
      <c r="CM1437" s="102"/>
      <c r="CN1437" s="112" t="s">
        <v>3698</v>
      </c>
      <c r="CO1437" s="112" t="s">
        <v>543</v>
      </c>
      <c r="CP1437" s="112" t="s">
        <v>523</v>
      </c>
      <c r="CQ1437" s="112" t="s">
        <v>3699</v>
      </c>
      <c r="CR1437" s="112" t="s">
        <v>3699</v>
      </c>
      <c r="CS1437" s="112" t="s">
        <v>525</v>
      </c>
      <c r="CT1437" s="112" t="s">
        <v>3627</v>
      </c>
      <c r="CU1437" s="112" t="s">
        <v>527</v>
      </c>
      <c r="CV1437" s="113" t="s">
        <v>528</v>
      </c>
      <c r="CX1437" s="36">
        <v>1</v>
      </c>
    </row>
    <row r="1438" spans="91:102" ht="21" customHeight="1" x14ac:dyDescent="0.25">
      <c r="CM1438" s="102"/>
      <c r="CN1438" s="112" t="s">
        <v>3700</v>
      </c>
      <c r="CO1438" s="112" t="s">
        <v>543</v>
      </c>
      <c r="CP1438" s="112" t="s">
        <v>523</v>
      </c>
      <c r="CQ1438" s="112" t="s">
        <v>3701</v>
      </c>
      <c r="CR1438" s="112" t="s">
        <v>3701</v>
      </c>
      <c r="CS1438" s="112" t="s">
        <v>525</v>
      </c>
      <c r="CT1438" s="112" t="s">
        <v>3627</v>
      </c>
      <c r="CU1438" s="112" t="s">
        <v>527</v>
      </c>
      <c r="CV1438" s="113" t="s">
        <v>528</v>
      </c>
      <c r="CX1438" s="36">
        <v>1</v>
      </c>
    </row>
    <row r="1439" spans="91:102" ht="21" customHeight="1" x14ac:dyDescent="0.25">
      <c r="CM1439" s="102"/>
      <c r="CN1439" s="112" t="s">
        <v>3702</v>
      </c>
      <c r="CO1439" s="112" t="s">
        <v>543</v>
      </c>
      <c r="CP1439" s="112" t="s">
        <v>523</v>
      </c>
      <c r="CQ1439" s="112" t="s">
        <v>3703</v>
      </c>
      <c r="CR1439" s="112" t="s">
        <v>3703</v>
      </c>
      <c r="CS1439" s="112" t="s">
        <v>525</v>
      </c>
      <c r="CT1439" s="112" t="s">
        <v>3627</v>
      </c>
      <c r="CU1439" s="112" t="s">
        <v>527</v>
      </c>
      <c r="CV1439" s="113" t="s">
        <v>528</v>
      </c>
      <c r="CX1439" s="36">
        <v>1</v>
      </c>
    </row>
    <row r="1440" spans="91:102" ht="21" customHeight="1" x14ac:dyDescent="0.25">
      <c r="CM1440" s="102"/>
      <c r="CN1440" s="112" t="s">
        <v>3704</v>
      </c>
      <c r="CO1440" s="112" t="s">
        <v>543</v>
      </c>
      <c r="CP1440" s="112" t="s">
        <v>523</v>
      </c>
      <c r="CQ1440" s="112" t="s">
        <v>3705</v>
      </c>
      <c r="CR1440" s="112" t="s">
        <v>3706</v>
      </c>
      <c r="CS1440" s="112" t="s">
        <v>525</v>
      </c>
      <c r="CT1440" s="112" t="s">
        <v>3627</v>
      </c>
      <c r="CU1440" s="112" t="s">
        <v>527</v>
      </c>
      <c r="CV1440" s="113" t="s">
        <v>528</v>
      </c>
      <c r="CX1440" s="36">
        <v>1</v>
      </c>
    </row>
    <row r="1441" spans="91:102" ht="21" customHeight="1" x14ac:dyDescent="0.25">
      <c r="CM1441" s="102"/>
      <c r="CN1441" s="112" t="s">
        <v>3707</v>
      </c>
      <c r="CO1441" s="112" t="s">
        <v>543</v>
      </c>
      <c r="CP1441" s="112" t="s">
        <v>523</v>
      </c>
      <c r="CQ1441" s="112" t="s">
        <v>3708</v>
      </c>
      <c r="CR1441" s="112" t="s">
        <v>3708</v>
      </c>
      <c r="CS1441" s="112" t="s">
        <v>525</v>
      </c>
      <c r="CT1441" s="112" t="s">
        <v>3627</v>
      </c>
      <c r="CU1441" s="112" t="s">
        <v>527</v>
      </c>
      <c r="CV1441" s="113" t="s">
        <v>528</v>
      </c>
      <c r="CX1441" s="36">
        <v>1</v>
      </c>
    </row>
    <row r="1442" spans="91:102" ht="21" customHeight="1" x14ac:dyDescent="0.25">
      <c r="CM1442" s="102"/>
      <c r="CN1442" s="112" t="s">
        <v>3709</v>
      </c>
      <c r="CO1442" s="112" t="s">
        <v>543</v>
      </c>
      <c r="CP1442" s="112" t="s">
        <v>523</v>
      </c>
      <c r="CQ1442" s="112" t="s">
        <v>3710</v>
      </c>
      <c r="CR1442" s="112" t="s">
        <v>3710</v>
      </c>
      <c r="CS1442" s="112" t="s">
        <v>525</v>
      </c>
      <c r="CT1442" s="112" t="s">
        <v>3627</v>
      </c>
      <c r="CU1442" s="112" t="s">
        <v>527</v>
      </c>
      <c r="CV1442" s="113" t="s">
        <v>528</v>
      </c>
      <c r="CX1442" s="36">
        <v>1</v>
      </c>
    </row>
    <row r="1443" spans="91:102" ht="21" customHeight="1" x14ac:dyDescent="0.25">
      <c r="CM1443" s="102"/>
      <c r="CN1443" s="112" t="s">
        <v>3711</v>
      </c>
      <c r="CO1443" s="112" t="s">
        <v>543</v>
      </c>
      <c r="CP1443" s="112" t="s">
        <v>935</v>
      </c>
      <c r="CQ1443" s="112" t="s">
        <v>3712</v>
      </c>
      <c r="CR1443" s="112" t="s">
        <v>3713</v>
      </c>
      <c r="CS1443" s="112" t="s">
        <v>525</v>
      </c>
      <c r="CT1443" s="112" t="s">
        <v>3714</v>
      </c>
      <c r="CU1443" s="112" t="s">
        <v>527</v>
      </c>
      <c r="CV1443" s="113" t="s">
        <v>528</v>
      </c>
      <c r="CX1443" s="36">
        <v>1</v>
      </c>
    </row>
    <row r="1444" spans="91:102" ht="21" customHeight="1" x14ac:dyDescent="0.25">
      <c r="CM1444" s="102"/>
      <c r="CN1444" s="112" t="s">
        <v>3715</v>
      </c>
      <c r="CO1444" s="112" t="s">
        <v>543</v>
      </c>
      <c r="CP1444" s="112" t="s">
        <v>935</v>
      </c>
      <c r="CQ1444" s="112" t="s">
        <v>3716</v>
      </c>
      <c r="CR1444" s="112" t="s">
        <v>3717</v>
      </c>
      <c r="CS1444" s="112" t="s">
        <v>525</v>
      </c>
      <c r="CT1444" s="112" t="s">
        <v>3714</v>
      </c>
      <c r="CU1444" s="112" t="s">
        <v>527</v>
      </c>
      <c r="CV1444" s="113" t="s">
        <v>528</v>
      </c>
      <c r="CX1444" s="36">
        <v>1</v>
      </c>
    </row>
    <row r="1445" spans="91:102" ht="21" customHeight="1" x14ac:dyDescent="0.25">
      <c r="CM1445" s="102"/>
      <c r="CN1445" s="112" t="s">
        <v>3718</v>
      </c>
      <c r="CO1445" s="112" t="s">
        <v>543</v>
      </c>
      <c r="CP1445" s="112" t="s">
        <v>1119</v>
      </c>
      <c r="CQ1445" s="112" t="s">
        <v>3719</v>
      </c>
      <c r="CR1445" s="112" t="s">
        <v>3719</v>
      </c>
      <c r="CS1445" s="112" t="s">
        <v>525</v>
      </c>
      <c r="CT1445" s="112" t="s">
        <v>3553</v>
      </c>
      <c r="CU1445" s="112" t="s">
        <v>527</v>
      </c>
      <c r="CV1445" s="113" t="s">
        <v>528</v>
      </c>
      <c r="CX1445" s="36">
        <v>1</v>
      </c>
    </row>
    <row r="1446" spans="91:102" ht="21" customHeight="1" x14ac:dyDescent="0.25">
      <c r="CM1446" s="102"/>
      <c r="CN1446" s="112" t="s">
        <v>3720</v>
      </c>
      <c r="CO1446" s="112" t="s">
        <v>543</v>
      </c>
      <c r="CP1446" s="112" t="s">
        <v>1119</v>
      </c>
      <c r="CQ1446" s="112" t="s">
        <v>3721</v>
      </c>
      <c r="CR1446" s="112" t="s">
        <v>3721</v>
      </c>
      <c r="CS1446" s="112" t="s">
        <v>525</v>
      </c>
      <c r="CT1446" s="112" t="s">
        <v>3553</v>
      </c>
      <c r="CU1446" s="112" t="s">
        <v>527</v>
      </c>
      <c r="CV1446" s="113" t="s">
        <v>528</v>
      </c>
      <c r="CX1446" s="36">
        <v>1</v>
      </c>
    </row>
    <row r="1447" spans="91:102" ht="21" customHeight="1" x14ac:dyDescent="0.25">
      <c r="CM1447" s="102"/>
      <c r="CN1447" s="112" t="s">
        <v>3722</v>
      </c>
      <c r="CO1447" s="112" t="s">
        <v>543</v>
      </c>
      <c r="CP1447" s="112" t="s">
        <v>1119</v>
      </c>
      <c r="CQ1447" s="112" t="s">
        <v>3723</v>
      </c>
      <c r="CR1447" s="112" t="s">
        <v>3723</v>
      </c>
      <c r="CS1447" s="112" t="s">
        <v>525</v>
      </c>
      <c r="CT1447" s="112" t="s">
        <v>3553</v>
      </c>
      <c r="CU1447" s="112" t="s">
        <v>527</v>
      </c>
      <c r="CV1447" s="113" t="s">
        <v>528</v>
      </c>
      <c r="CX1447" s="36">
        <v>1</v>
      </c>
    </row>
    <row r="1448" spans="91:102" ht="21" customHeight="1" x14ac:dyDescent="0.25">
      <c r="CM1448" s="102"/>
      <c r="CN1448" s="112" t="s">
        <v>3724</v>
      </c>
      <c r="CO1448" s="112" t="s">
        <v>543</v>
      </c>
      <c r="CP1448" s="112" t="s">
        <v>1119</v>
      </c>
      <c r="CQ1448" s="112" t="s">
        <v>1138</v>
      </c>
      <c r="CR1448" s="112" t="s">
        <v>1138</v>
      </c>
      <c r="CS1448" s="112" t="s">
        <v>525</v>
      </c>
      <c r="CT1448" s="112" t="s">
        <v>3553</v>
      </c>
      <c r="CU1448" s="112" t="s">
        <v>527</v>
      </c>
      <c r="CV1448" s="113" t="s">
        <v>528</v>
      </c>
      <c r="CX1448" s="36">
        <v>1</v>
      </c>
    </row>
    <row r="1449" spans="91:102" ht="21" customHeight="1" x14ac:dyDescent="0.25">
      <c r="CM1449" s="102"/>
      <c r="CN1449" s="112" t="s">
        <v>3725</v>
      </c>
      <c r="CO1449" s="112" t="s">
        <v>543</v>
      </c>
      <c r="CP1449" s="112" t="s">
        <v>1119</v>
      </c>
      <c r="CQ1449" s="112" t="s">
        <v>3726</v>
      </c>
      <c r="CR1449" s="112" t="s">
        <v>3727</v>
      </c>
      <c r="CS1449" s="112" t="s">
        <v>525</v>
      </c>
      <c r="CT1449" s="112" t="s">
        <v>3553</v>
      </c>
      <c r="CU1449" s="112" t="s">
        <v>527</v>
      </c>
      <c r="CV1449" s="113" t="s">
        <v>528</v>
      </c>
      <c r="CX1449" s="36">
        <v>1</v>
      </c>
    </row>
    <row r="1450" spans="91:102" ht="21" customHeight="1" x14ac:dyDescent="0.25">
      <c r="CM1450" s="102"/>
      <c r="CN1450" s="112" t="s">
        <v>3728</v>
      </c>
      <c r="CO1450" s="112" t="s">
        <v>543</v>
      </c>
      <c r="CP1450" s="112" t="s">
        <v>1119</v>
      </c>
      <c r="CQ1450" s="112" t="s">
        <v>677</v>
      </c>
      <c r="CR1450" s="112" t="s">
        <v>677</v>
      </c>
      <c r="CS1450" s="112" t="s">
        <v>525</v>
      </c>
      <c r="CT1450" s="112" t="s">
        <v>3553</v>
      </c>
      <c r="CU1450" s="112" t="s">
        <v>527</v>
      </c>
      <c r="CV1450" s="113" t="s">
        <v>528</v>
      </c>
      <c r="CX1450" s="36">
        <v>1</v>
      </c>
    </row>
    <row r="1451" spans="91:102" ht="21" customHeight="1" x14ac:dyDescent="0.25">
      <c r="CM1451" s="102"/>
      <c r="CN1451" s="112" t="s">
        <v>3729</v>
      </c>
      <c r="CO1451" s="112" t="s">
        <v>543</v>
      </c>
      <c r="CP1451" s="112" t="s">
        <v>1119</v>
      </c>
      <c r="CQ1451" s="112" t="s">
        <v>3730</v>
      </c>
      <c r="CR1451" s="112" t="s">
        <v>3731</v>
      </c>
      <c r="CS1451" s="112" t="s">
        <v>525</v>
      </c>
      <c r="CT1451" s="112" t="s">
        <v>3553</v>
      </c>
      <c r="CU1451" s="112" t="s">
        <v>527</v>
      </c>
      <c r="CV1451" s="113" t="s">
        <v>528</v>
      </c>
      <c r="CX1451" s="36">
        <v>1</v>
      </c>
    </row>
    <row r="1452" spans="91:102" ht="21" customHeight="1" x14ac:dyDescent="0.25">
      <c r="CM1452" s="102"/>
      <c r="CN1452" s="112" t="s">
        <v>3732</v>
      </c>
      <c r="CO1452" s="112" t="s">
        <v>543</v>
      </c>
      <c r="CP1452" s="112" t="s">
        <v>1119</v>
      </c>
      <c r="CQ1452" s="112" t="s">
        <v>3733</v>
      </c>
      <c r="CR1452" s="112" t="s">
        <v>3733</v>
      </c>
      <c r="CS1452" s="112" t="s">
        <v>525</v>
      </c>
      <c r="CT1452" s="112" t="s">
        <v>3553</v>
      </c>
      <c r="CU1452" s="112" t="s">
        <v>527</v>
      </c>
      <c r="CV1452" s="113" t="s">
        <v>528</v>
      </c>
      <c r="CX1452" s="36">
        <v>1</v>
      </c>
    </row>
    <row r="1453" spans="91:102" ht="21" customHeight="1" x14ac:dyDescent="0.25">
      <c r="CM1453" s="102"/>
      <c r="CN1453" s="112" t="s">
        <v>3734</v>
      </c>
      <c r="CO1453" s="112" t="s">
        <v>543</v>
      </c>
      <c r="CP1453" s="112" t="s">
        <v>1119</v>
      </c>
      <c r="CQ1453" s="112" t="s">
        <v>3735</v>
      </c>
      <c r="CR1453" s="112" t="s">
        <v>3735</v>
      </c>
      <c r="CS1453" s="112" t="s">
        <v>525</v>
      </c>
      <c r="CT1453" s="112" t="s">
        <v>3553</v>
      </c>
      <c r="CU1453" s="112" t="s">
        <v>527</v>
      </c>
      <c r="CV1453" s="113" t="s">
        <v>528</v>
      </c>
      <c r="CX1453" s="36">
        <v>1</v>
      </c>
    </row>
    <row r="1454" spans="91:102" ht="21" customHeight="1" x14ac:dyDescent="0.25">
      <c r="CM1454" s="102"/>
      <c r="CN1454" s="112" t="s">
        <v>3736</v>
      </c>
      <c r="CO1454" s="112" t="s">
        <v>543</v>
      </c>
      <c r="CP1454" s="112" t="s">
        <v>1119</v>
      </c>
      <c r="CQ1454" s="112" t="s">
        <v>3737</v>
      </c>
      <c r="CR1454" s="112" t="s">
        <v>3737</v>
      </c>
      <c r="CS1454" s="112" t="s">
        <v>525</v>
      </c>
      <c r="CT1454" s="112" t="s">
        <v>3553</v>
      </c>
      <c r="CU1454" s="112" t="s">
        <v>527</v>
      </c>
      <c r="CV1454" s="113" t="s">
        <v>528</v>
      </c>
      <c r="CX1454" s="36">
        <v>1</v>
      </c>
    </row>
    <row r="1455" spans="91:102" ht="21" customHeight="1" x14ac:dyDescent="0.25">
      <c r="CM1455" s="102"/>
      <c r="CN1455" s="112" t="s">
        <v>3738</v>
      </c>
      <c r="CO1455" s="112" t="s">
        <v>543</v>
      </c>
      <c r="CP1455" s="112" t="s">
        <v>1119</v>
      </c>
      <c r="CQ1455" s="112" t="s">
        <v>3739</v>
      </c>
      <c r="CR1455" s="112" t="s">
        <v>3739</v>
      </c>
      <c r="CS1455" s="112" t="s">
        <v>525</v>
      </c>
      <c r="CT1455" s="112" t="s">
        <v>3553</v>
      </c>
      <c r="CU1455" s="112" t="s">
        <v>527</v>
      </c>
      <c r="CV1455" s="113" t="s">
        <v>528</v>
      </c>
      <c r="CX1455" s="36">
        <v>1</v>
      </c>
    </row>
    <row r="1456" spans="91:102" ht="21" customHeight="1" x14ac:dyDescent="0.25">
      <c r="CM1456" s="102"/>
      <c r="CN1456" s="112" t="s">
        <v>3740</v>
      </c>
      <c r="CO1456" s="112" t="s">
        <v>544</v>
      </c>
      <c r="CP1456" s="112" t="s">
        <v>523</v>
      </c>
      <c r="CQ1456" s="112" t="s">
        <v>3741</v>
      </c>
      <c r="CR1456" s="112" t="s">
        <v>3741</v>
      </c>
      <c r="CS1456" s="112" t="s">
        <v>3742</v>
      </c>
      <c r="CT1456" s="112" t="s">
        <v>3743</v>
      </c>
      <c r="CU1456" s="112" t="s">
        <v>796</v>
      </c>
      <c r="CV1456" s="113" t="s">
        <v>3744</v>
      </c>
      <c r="CX1456" s="36">
        <v>1</v>
      </c>
    </row>
    <row r="1457" spans="91:102" ht="21" customHeight="1" x14ac:dyDescent="0.25">
      <c r="CM1457" s="102"/>
      <c r="CN1457" s="112" t="s">
        <v>3745</v>
      </c>
      <c r="CO1457" s="112" t="s">
        <v>544</v>
      </c>
      <c r="CP1457" s="112" t="s">
        <v>523</v>
      </c>
      <c r="CQ1457" s="112" t="s">
        <v>3746</v>
      </c>
      <c r="CR1457" s="112" t="s">
        <v>3746</v>
      </c>
      <c r="CS1457" s="112" t="s">
        <v>3742</v>
      </c>
      <c r="CT1457" s="112" t="s">
        <v>3743</v>
      </c>
      <c r="CU1457" s="112" t="s">
        <v>796</v>
      </c>
      <c r="CV1457" s="113" t="s">
        <v>3744</v>
      </c>
      <c r="CX1457" s="36">
        <v>1</v>
      </c>
    </row>
    <row r="1458" spans="91:102" ht="21" customHeight="1" x14ac:dyDescent="0.25">
      <c r="CM1458" s="102"/>
      <c r="CN1458" s="112" t="s">
        <v>3747</v>
      </c>
      <c r="CO1458" s="112" t="s">
        <v>544</v>
      </c>
      <c r="CP1458" s="112" t="s">
        <v>523</v>
      </c>
      <c r="CQ1458" s="112" t="s">
        <v>3748</v>
      </c>
      <c r="CR1458" s="112" t="s">
        <v>3748</v>
      </c>
      <c r="CS1458" s="112" t="s">
        <v>3742</v>
      </c>
      <c r="CT1458" s="112" t="s">
        <v>3743</v>
      </c>
      <c r="CU1458" s="112" t="s">
        <v>796</v>
      </c>
      <c r="CV1458" s="113" t="s">
        <v>3744</v>
      </c>
      <c r="CX1458" s="36">
        <v>1</v>
      </c>
    </row>
    <row r="1459" spans="91:102" ht="21" customHeight="1" x14ac:dyDescent="0.25">
      <c r="CM1459" s="102"/>
      <c r="CN1459" s="112" t="s">
        <v>3749</v>
      </c>
      <c r="CO1459" s="112" t="s">
        <v>544</v>
      </c>
      <c r="CP1459" s="112" t="s">
        <v>523</v>
      </c>
      <c r="CQ1459" s="112" t="s">
        <v>3750</v>
      </c>
      <c r="CR1459" s="112" t="s">
        <v>3750</v>
      </c>
      <c r="CS1459" s="112" t="s">
        <v>3742</v>
      </c>
      <c r="CT1459" s="112" t="s">
        <v>3743</v>
      </c>
      <c r="CU1459" s="112" t="s">
        <v>796</v>
      </c>
      <c r="CV1459" s="113" t="s">
        <v>3744</v>
      </c>
      <c r="CX1459" s="36">
        <v>1</v>
      </c>
    </row>
    <row r="1460" spans="91:102" ht="21" customHeight="1" x14ac:dyDescent="0.25">
      <c r="CM1460" s="102"/>
      <c r="CN1460" s="112" t="s">
        <v>3751</v>
      </c>
      <c r="CO1460" s="112" t="s">
        <v>544</v>
      </c>
      <c r="CP1460" s="112" t="s">
        <v>523</v>
      </c>
      <c r="CQ1460" s="112" t="s">
        <v>3752</v>
      </c>
      <c r="CR1460" s="112" t="s">
        <v>3752</v>
      </c>
      <c r="CS1460" s="112" t="s">
        <v>3742</v>
      </c>
      <c r="CT1460" s="112" t="s">
        <v>3743</v>
      </c>
      <c r="CU1460" s="112" t="s">
        <v>796</v>
      </c>
      <c r="CV1460" s="113" t="s">
        <v>3744</v>
      </c>
      <c r="CX1460" s="36">
        <v>1</v>
      </c>
    </row>
    <row r="1461" spans="91:102" ht="21" customHeight="1" x14ac:dyDescent="0.25">
      <c r="CM1461" s="102"/>
      <c r="CN1461" s="112" t="s">
        <v>3753</v>
      </c>
      <c r="CO1461" s="112" t="s">
        <v>544</v>
      </c>
      <c r="CP1461" s="112" t="s">
        <v>523</v>
      </c>
      <c r="CQ1461" s="112" t="s">
        <v>3754</v>
      </c>
      <c r="CR1461" s="112" t="s">
        <v>3754</v>
      </c>
      <c r="CS1461" s="112" t="s">
        <v>3742</v>
      </c>
      <c r="CT1461" s="112" t="s">
        <v>3743</v>
      </c>
      <c r="CU1461" s="112" t="s">
        <v>796</v>
      </c>
      <c r="CV1461" s="113" t="s">
        <v>3744</v>
      </c>
      <c r="CX1461" s="36">
        <v>1</v>
      </c>
    </row>
    <row r="1462" spans="91:102" ht="21" customHeight="1" x14ac:dyDescent="0.25">
      <c r="CM1462" s="102"/>
      <c r="CN1462" s="112" t="s">
        <v>3755</v>
      </c>
      <c r="CO1462" s="112" t="s">
        <v>544</v>
      </c>
      <c r="CP1462" s="112" t="s">
        <v>523</v>
      </c>
      <c r="CQ1462" s="112" t="s">
        <v>3756</v>
      </c>
      <c r="CR1462" s="112" t="s">
        <v>3756</v>
      </c>
      <c r="CS1462" s="112" t="s">
        <v>525</v>
      </c>
      <c r="CT1462" s="112" t="s">
        <v>3757</v>
      </c>
      <c r="CU1462" s="112" t="s">
        <v>527</v>
      </c>
      <c r="CV1462" s="113" t="s">
        <v>528</v>
      </c>
      <c r="CX1462" s="36">
        <v>1</v>
      </c>
    </row>
    <row r="1463" spans="91:102" ht="21" customHeight="1" x14ac:dyDescent="0.25">
      <c r="CM1463" s="102"/>
      <c r="CN1463" s="112" t="s">
        <v>3758</v>
      </c>
      <c r="CO1463" s="112" t="s">
        <v>544</v>
      </c>
      <c r="CP1463" s="112" t="s">
        <v>523</v>
      </c>
      <c r="CQ1463" s="112" t="s">
        <v>3759</v>
      </c>
      <c r="CR1463" s="112" t="s">
        <v>3759</v>
      </c>
      <c r="CS1463" s="112" t="s">
        <v>3742</v>
      </c>
      <c r="CT1463" s="112" t="s">
        <v>3743</v>
      </c>
      <c r="CU1463" s="112" t="s">
        <v>796</v>
      </c>
      <c r="CV1463" s="113" t="s">
        <v>3744</v>
      </c>
      <c r="CX1463" s="36">
        <v>1</v>
      </c>
    </row>
    <row r="1464" spans="91:102" ht="21" customHeight="1" x14ac:dyDescent="0.25">
      <c r="CM1464" s="102"/>
      <c r="CN1464" s="112" t="s">
        <v>3760</v>
      </c>
      <c r="CO1464" s="112" t="s">
        <v>544</v>
      </c>
      <c r="CP1464" s="112" t="s">
        <v>523</v>
      </c>
      <c r="CQ1464" s="112" t="s">
        <v>3761</v>
      </c>
      <c r="CR1464" s="112" t="s">
        <v>3761</v>
      </c>
      <c r="CS1464" s="112" t="s">
        <v>610</v>
      </c>
      <c r="CT1464" s="112" t="s">
        <v>611</v>
      </c>
      <c r="CU1464" s="112" t="s">
        <v>527</v>
      </c>
      <c r="CV1464" s="113" t="s">
        <v>612</v>
      </c>
      <c r="CX1464" s="36">
        <v>1</v>
      </c>
    </row>
    <row r="1465" spans="91:102" ht="21" customHeight="1" x14ac:dyDescent="0.25">
      <c r="CM1465" s="102"/>
      <c r="CN1465" s="112" t="s">
        <v>3762</v>
      </c>
      <c r="CO1465" s="112" t="s">
        <v>544</v>
      </c>
      <c r="CP1465" s="112" t="s">
        <v>523</v>
      </c>
      <c r="CQ1465" s="112" t="s">
        <v>3763</v>
      </c>
      <c r="CR1465" s="112" t="s">
        <v>3763</v>
      </c>
      <c r="CS1465" s="112" t="s">
        <v>3742</v>
      </c>
      <c r="CT1465" s="112" t="s">
        <v>3743</v>
      </c>
      <c r="CU1465" s="112" t="s">
        <v>796</v>
      </c>
      <c r="CV1465" s="113" t="s">
        <v>3744</v>
      </c>
      <c r="CX1465" s="36">
        <v>1</v>
      </c>
    </row>
    <row r="1466" spans="91:102" ht="21" customHeight="1" x14ac:dyDescent="0.25">
      <c r="CM1466" s="102"/>
      <c r="CN1466" s="112" t="s">
        <v>3764</v>
      </c>
      <c r="CO1466" s="112" t="s">
        <v>544</v>
      </c>
      <c r="CP1466" s="112" t="s">
        <v>523</v>
      </c>
      <c r="CQ1466" s="112" t="s">
        <v>3765</v>
      </c>
      <c r="CR1466" s="112" t="s">
        <v>3765</v>
      </c>
      <c r="CS1466" s="112" t="s">
        <v>525</v>
      </c>
      <c r="CT1466" s="112" t="s">
        <v>3757</v>
      </c>
      <c r="CU1466" s="112" t="s">
        <v>527</v>
      </c>
      <c r="CV1466" s="113" t="s">
        <v>528</v>
      </c>
      <c r="CX1466" s="36">
        <v>1</v>
      </c>
    </row>
    <row r="1467" spans="91:102" ht="21" customHeight="1" x14ac:dyDescent="0.25">
      <c r="CM1467" s="102"/>
      <c r="CN1467" s="112" t="s">
        <v>3766</v>
      </c>
      <c r="CO1467" s="112" t="s">
        <v>544</v>
      </c>
      <c r="CP1467" s="112" t="s">
        <v>523</v>
      </c>
      <c r="CQ1467" s="112" t="s">
        <v>3767</v>
      </c>
      <c r="CR1467" s="112" t="s">
        <v>3767</v>
      </c>
      <c r="CS1467" s="112" t="s">
        <v>3742</v>
      </c>
      <c r="CT1467" s="112" t="s">
        <v>3743</v>
      </c>
      <c r="CU1467" s="112" t="s">
        <v>796</v>
      </c>
      <c r="CV1467" s="113" t="s">
        <v>3744</v>
      </c>
      <c r="CX1467" s="36">
        <v>1</v>
      </c>
    </row>
    <row r="1468" spans="91:102" ht="21" customHeight="1" x14ac:dyDescent="0.25">
      <c r="CM1468" s="102"/>
      <c r="CN1468" s="112" t="s">
        <v>3768</v>
      </c>
      <c r="CO1468" s="112" t="s">
        <v>544</v>
      </c>
      <c r="CP1468" s="112" t="s">
        <v>523</v>
      </c>
      <c r="CQ1468" s="112" t="s">
        <v>3769</v>
      </c>
      <c r="CR1468" s="112" t="s">
        <v>3769</v>
      </c>
      <c r="CS1468" s="112" t="s">
        <v>525</v>
      </c>
      <c r="CT1468" s="112" t="s">
        <v>3757</v>
      </c>
      <c r="CU1468" s="112" t="s">
        <v>527</v>
      </c>
      <c r="CV1468" s="113" t="s">
        <v>528</v>
      </c>
      <c r="CX1468" s="36">
        <v>1</v>
      </c>
    </row>
    <row r="1469" spans="91:102" ht="21" customHeight="1" x14ac:dyDescent="0.25">
      <c r="CM1469" s="102"/>
      <c r="CN1469" s="112" t="s">
        <v>3770</v>
      </c>
      <c r="CO1469" s="112" t="s">
        <v>544</v>
      </c>
      <c r="CP1469" s="112" t="s">
        <v>523</v>
      </c>
      <c r="CQ1469" s="112" t="s">
        <v>3771</v>
      </c>
      <c r="CR1469" s="112" t="s">
        <v>3771</v>
      </c>
      <c r="CS1469" s="112" t="s">
        <v>3742</v>
      </c>
      <c r="CT1469" s="112" t="s">
        <v>3743</v>
      </c>
      <c r="CU1469" s="112" t="s">
        <v>796</v>
      </c>
      <c r="CV1469" s="113" t="s">
        <v>3744</v>
      </c>
      <c r="CX1469" s="36">
        <v>1</v>
      </c>
    </row>
    <row r="1470" spans="91:102" ht="21" customHeight="1" x14ac:dyDescent="0.25">
      <c r="CM1470" s="102"/>
      <c r="CN1470" s="112" t="s">
        <v>3772</v>
      </c>
      <c r="CO1470" s="112" t="s">
        <v>544</v>
      </c>
      <c r="CP1470" s="112" t="s">
        <v>523</v>
      </c>
      <c r="CQ1470" s="112" t="s">
        <v>3773</v>
      </c>
      <c r="CR1470" s="112" t="s">
        <v>3774</v>
      </c>
      <c r="CS1470" s="112" t="s">
        <v>3742</v>
      </c>
      <c r="CT1470" s="112" t="s">
        <v>3743</v>
      </c>
      <c r="CU1470" s="112" t="s">
        <v>796</v>
      </c>
      <c r="CV1470" s="113" t="s">
        <v>3744</v>
      </c>
      <c r="CX1470" s="36">
        <v>1</v>
      </c>
    </row>
    <row r="1471" spans="91:102" ht="21" customHeight="1" x14ac:dyDescent="0.25">
      <c r="CM1471" s="102"/>
      <c r="CN1471" s="112" t="s">
        <v>3775</v>
      </c>
      <c r="CO1471" s="112" t="s">
        <v>544</v>
      </c>
      <c r="CP1471" s="112" t="s">
        <v>523</v>
      </c>
      <c r="CQ1471" s="112" t="s">
        <v>3776</v>
      </c>
      <c r="CR1471" s="112" t="s">
        <v>3776</v>
      </c>
      <c r="CS1471" s="112" t="s">
        <v>525</v>
      </c>
      <c r="CT1471" s="112" t="s">
        <v>3757</v>
      </c>
      <c r="CU1471" s="112" t="s">
        <v>527</v>
      </c>
      <c r="CV1471" s="113" t="s">
        <v>528</v>
      </c>
      <c r="CX1471" s="36">
        <v>1</v>
      </c>
    </row>
    <row r="1472" spans="91:102" ht="21" customHeight="1" x14ac:dyDescent="0.25">
      <c r="CM1472" s="102"/>
      <c r="CN1472" s="112" t="s">
        <v>3777</v>
      </c>
      <c r="CO1472" s="112" t="s">
        <v>544</v>
      </c>
      <c r="CP1472" s="112" t="s">
        <v>523</v>
      </c>
      <c r="CQ1472" s="112" t="s">
        <v>3778</v>
      </c>
      <c r="CR1472" s="112" t="s">
        <v>3778</v>
      </c>
      <c r="CS1472" s="112" t="s">
        <v>525</v>
      </c>
      <c r="CT1472" s="112" t="s">
        <v>3757</v>
      </c>
      <c r="CU1472" s="112" t="s">
        <v>527</v>
      </c>
      <c r="CV1472" s="113" t="s">
        <v>528</v>
      </c>
      <c r="CX1472" s="36">
        <v>1</v>
      </c>
    </row>
    <row r="1473" spans="91:102" ht="21" customHeight="1" x14ac:dyDescent="0.25">
      <c r="CM1473" s="102"/>
      <c r="CN1473" s="112" t="s">
        <v>3779</v>
      </c>
      <c r="CO1473" s="112" t="s">
        <v>544</v>
      </c>
      <c r="CP1473" s="112" t="s">
        <v>523</v>
      </c>
      <c r="CQ1473" s="112" t="s">
        <v>3780</v>
      </c>
      <c r="CR1473" s="112" t="s">
        <v>3780</v>
      </c>
      <c r="CS1473" s="112" t="s">
        <v>525</v>
      </c>
      <c r="CT1473" s="112" t="s">
        <v>3757</v>
      </c>
      <c r="CU1473" s="112" t="s">
        <v>527</v>
      </c>
      <c r="CV1473" s="113" t="s">
        <v>528</v>
      </c>
      <c r="CX1473" s="36">
        <v>1</v>
      </c>
    </row>
    <row r="1474" spans="91:102" ht="21" customHeight="1" x14ac:dyDescent="0.25">
      <c r="CM1474" s="102"/>
      <c r="CN1474" s="112" t="s">
        <v>3781</v>
      </c>
      <c r="CO1474" s="112" t="s">
        <v>544</v>
      </c>
      <c r="CP1474" s="112" t="s">
        <v>523</v>
      </c>
      <c r="CQ1474" s="112" t="s">
        <v>3782</v>
      </c>
      <c r="CR1474" s="112" t="s">
        <v>3783</v>
      </c>
      <c r="CS1474" s="112" t="s">
        <v>3742</v>
      </c>
      <c r="CT1474" s="112" t="s">
        <v>3743</v>
      </c>
      <c r="CU1474" s="112" t="s">
        <v>796</v>
      </c>
      <c r="CV1474" s="113" t="s">
        <v>3744</v>
      </c>
      <c r="CX1474" s="36">
        <v>1</v>
      </c>
    </row>
    <row r="1475" spans="91:102" ht="21" customHeight="1" x14ac:dyDescent="0.25">
      <c r="CM1475" s="102"/>
      <c r="CN1475" s="112" t="s">
        <v>3784</v>
      </c>
      <c r="CO1475" s="112" t="s">
        <v>544</v>
      </c>
      <c r="CP1475" s="112" t="s">
        <v>523</v>
      </c>
      <c r="CQ1475" s="112" t="s">
        <v>3785</v>
      </c>
      <c r="CR1475" s="112" t="s">
        <v>3785</v>
      </c>
      <c r="CS1475" s="112" t="s">
        <v>3742</v>
      </c>
      <c r="CT1475" s="112" t="s">
        <v>3743</v>
      </c>
      <c r="CU1475" s="112" t="s">
        <v>796</v>
      </c>
      <c r="CV1475" s="113" t="s">
        <v>3744</v>
      </c>
      <c r="CX1475" s="36">
        <v>1</v>
      </c>
    </row>
    <row r="1476" spans="91:102" ht="21" customHeight="1" x14ac:dyDescent="0.25">
      <c r="CM1476" s="102"/>
      <c r="CN1476" s="112" t="s">
        <v>3786</v>
      </c>
      <c r="CO1476" s="112" t="s">
        <v>544</v>
      </c>
      <c r="CP1476" s="112" t="s">
        <v>523</v>
      </c>
      <c r="CQ1476" s="112" t="s">
        <v>3787</v>
      </c>
      <c r="CR1476" s="112" t="s">
        <v>3788</v>
      </c>
      <c r="CS1476" s="112" t="s">
        <v>525</v>
      </c>
      <c r="CT1476" s="112" t="s">
        <v>3757</v>
      </c>
      <c r="CU1476" s="112" t="s">
        <v>527</v>
      </c>
      <c r="CV1476" s="113" t="s">
        <v>528</v>
      </c>
      <c r="CX1476" s="36">
        <v>1</v>
      </c>
    </row>
    <row r="1477" spans="91:102" ht="21" customHeight="1" x14ac:dyDescent="0.25">
      <c r="CM1477" s="102"/>
      <c r="CN1477" s="112" t="s">
        <v>3789</v>
      </c>
      <c r="CO1477" s="112" t="s">
        <v>544</v>
      </c>
      <c r="CP1477" s="112" t="s">
        <v>523</v>
      </c>
      <c r="CQ1477" s="112" t="s">
        <v>3790</v>
      </c>
      <c r="CR1477" s="112" t="s">
        <v>3790</v>
      </c>
      <c r="CS1477" s="112" t="s">
        <v>3742</v>
      </c>
      <c r="CT1477" s="112" t="s">
        <v>3743</v>
      </c>
      <c r="CU1477" s="112" t="s">
        <v>796</v>
      </c>
      <c r="CV1477" s="113" t="s">
        <v>3744</v>
      </c>
      <c r="CX1477" s="36">
        <v>1</v>
      </c>
    </row>
    <row r="1478" spans="91:102" ht="21" customHeight="1" x14ac:dyDescent="0.25">
      <c r="CM1478" s="102"/>
      <c r="CN1478" s="112" t="s">
        <v>3791</v>
      </c>
      <c r="CO1478" s="112" t="s">
        <v>544</v>
      </c>
      <c r="CP1478" s="112" t="s">
        <v>523</v>
      </c>
      <c r="CQ1478" s="112" t="s">
        <v>3792</v>
      </c>
      <c r="CR1478" s="112" t="s">
        <v>3792</v>
      </c>
      <c r="CS1478" s="112" t="s">
        <v>525</v>
      </c>
      <c r="CT1478" s="112" t="s">
        <v>3757</v>
      </c>
      <c r="CU1478" s="112" t="s">
        <v>527</v>
      </c>
      <c r="CV1478" s="113" t="s">
        <v>528</v>
      </c>
      <c r="CX1478" s="36">
        <v>1</v>
      </c>
    </row>
    <row r="1479" spans="91:102" ht="21" customHeight="1" x14ac:dyDescent="0.25">
      <c r="CM1479" s="102"/>
      <c r="CN1479" s="112" t="s">
        <v>3793</v>
      </c>
      <c r="CO1479" s="112" t="s">
        <v>544</v>
      </c>
      <c r="CP1479" s="112" t="s">
        <v>523</v>
      </c>
      <c r="CQ1479" s="112" t="s">
        <v>3794</v>
      </c>
      <c r="CR1479" s="112" t="s">
        <v>3794</v>
      </c>
      <c r="CS1479" s="112" t="s">
        <v>3742</v>
      </c>
      <c r="CT1479" s="112" t="s">
        <v>3743</v>
      </c>
      <c r="CU1479" s="112" t="s">
        <v>796</v>
      </c>
      <c r="CV1479" s="113" t="s">
        <v>3744</v>
      </c>
      <c r="CX1479" s="36">
        <v>1</v>
      </c>
    </row>
    <row r="1480" spans="91:102" ht="21" customHeight="1" x14ac:dyDescent="0.25">
      <c r="CM1480" s="102"/>
      <c r="CN1480" s="112" t="s">
        <v>3795</v>
      </c>
      <c r="CO1480" s="112" t="s">
        <v>544</v>
      </c>
      <c r="CP1480" s="112" t="s">
        <v>523</v>
      </c>
      <c r="CQ1480" s="112" t="s">
        <v>3796</v>
      </c>
      <c r="CR1480" s="112" t="s">
        <v>3796</v>
      </c>
      <c r="CS1480" s="112" t="s">
        <v>3742</v>
      </c>
      <c r="CT1480" s="112" t="s">
        <v>3743</v>
      </c>
      <c r="CU1480" s="112" t="s">
        <v>796</v>
      </c>
      <c r="CV1480" s="113" t="s">
        <v>3744</v>
      </c>
      <c r="CX1480" s="36">
        <v>1</v>
      </c>
    </row>
    <row r="1481" spans="91:102" ht="21" customHeight="1" x14ac:dyDescent="0.25">
      <c r="CM1481" s="102"/>
      <c r="CN1481" s="112" t="s">
        <v>3797</v>
      </c>
      <c r="CO1481" s="112" t="s">
        <v>544</v>
      </c>
      <c r="CP1481" s="112" t="s">
        <v>523</v>
      </c>
      <c r="CQ1481" s="112" t="s">
        <v>3798</v>
      </c>
      <c r="CR1481" s="112" t="s">
        <v>3798</v>
      </c>
      <c r="CS1481" s="112" t="s">
        <v>3742</v>
      </c>
      <c r="CT1481" s="112" t="s">
        <v>3743</v>
      </c>
      <c r="CU1481" s="112" t="s">
        <v>796</v>
      </c>
      <c r="CV1481" s="113" t="s">
        <v>3744</v>
      </c>
      <c r="CX1481" s="36">
        <v>1</v>
      </c>
    </row>
    <row r="1482" spans="91:102" ht="21" customHeight="1" x14ac:dyDescent="0.25">
      <c r="CM1482" s="102"/>
      <c r="CN1482" s="112" t="s">
        <v>3799</v>
      </c>
      <c r="CO1482" s="112" t="s">
        <v>544</v>
      </c>
      <c r="CP1482" s="112" t="s">
        <v>523</v>
      </c>
      <c r="CQ1482" s="112" t="s">
        <v>3800</v>
      </c>
      <c r="CR1482" s="112" t="s">
        <v>3800</v>
      </c>
      <c r="CS1482" s="112" t="s">
        <v>3742</v>
      </c>
      <c r="CT1482" s="112" t="s">
        <v>3743</v>
      </c>
      <c r="CU1482" s="112" t="s">
        <v>796</v>
      </c>
      <c r="CV1482" s="113" t="s">
        <v>3744</v>
      </c>
      <c r="CX1482" s="36">
        <v>1</v>
      </c>
    </row>
    <row r="1483" spans="91:102" ht="21" customHeight="1" x14ac:dyDescent="0.25">
      <c r="CM1483" s="102"/>
      <c r="CN1483" s="112" t="s">
        <v>3801</v>
      </c>
      <c r="CO1483" s="112" t="s">
        <v>544</v>
      </c>
      <c r="CP1483" s="112" t="s">
        <v>523</v>
      </c>
      <c r="CQ1483" s="112" t="s">
        <v>3802</v>
      </c>
      <c r="CR1483" s="112" t="s">
        <v>3802</v>
      </c>
      <c r="CS1483" s="112" t="s">
        <v>525</v>
      </c>
      <c r="CT1483" s="112" t="s">
        <v>3757</v>
      </c>
      <c r="CU1483" s="112" t="s">
        <v>527</v>
      </c>
      <c r="CV1483" s="113" t="s">
        <v>528</v>
      </c>
      <c r="CX1483" s="36">
        <v>1</v>
      </c>
    </row>
    <row r="1484" spans="91:102" ht="21" customHeight="1" x14ac:dyDescent="0.25">
      <c r="CM1484" s="102"/>
      <c r="CN1484" s="112" t="s">
        <v>3803</v>
      </c>
      <c r="CO1484" s="112" t="s">
        <v>544</v>
      </c>
      <c r="CP1484" s="112" t="s">
        <v>523</v>
      </c>
      <c r="CQ1484" s="112" t="s">
        <v>3804</v>
      </c>
      <c r="CR1484" s="112" t="s">
        <v>3804</v>
      </c>
      <c r="CS1484" s="112" t="s">
        <v>3742</v>
      </c>
      <c r="CT1484" s="112" t="s">
        <v>3743</v>
      </c>
      <c r="CU1484" s="112" t="s">
        <v>796</v>
      </c>
      <c r="CV1484" s="113" t="s">
        <v>3744</v>
      </c>
      <c r="CX1484" s="36">
        <v>1</v>
      </c>
    </row>
    <row r="1485" spans="91:102" ht="21" customHeight="1" x14ac:dyDescent="0.25">
      <c r="CM1485" s="102"/>
      <c r="CN1485" s="112" t="s">
        <v>3805</v>
      </c>
      <c r="CO1485" s="112" t="s">
        <v>544</v>
      </c>
      <c r="CP1485" s="112" t="s">
        <v>523</v>
      </c>
      <c r="CQ1485" s="112" t="s">
        <v>3806</v>
      </c>
      <c r="CR1485" s="112" t="s">
        <v>3806</v>
      </c>
      <c r="CS1485" s="112" t="s">
        <v>3742</v>
      </c>
      <c r="CT1485" s="112" t="s">
        <v>3743</v>
      </c>
      <c r="CU1485" s="112" t="s">
        <v>796</v>
      </c>
      <c r="CV1485" s="113" t="s">
        <v>3744</v>
      </c>
      <c r="CX1485" s="36">
        <v>1</v>
      </c>
    </row>
    <row r="1486" spans="91:102" ht="21" customHeight="1" x14ac:dyDescent="0.25">
      <c r="CM1486" s="102"/>
      <c r="CN1486" s="112" t="s">
        <v>3807</v>
      </c>
      <c r="CO1486" s="112" t="s">
        <v>544</v>
      </c>
      <c r="CP1486" s="112" t="s">
        <v>523</v>
      </c>
      <c r="CQ1486" s="112" t="s">
        <v>3808</v>
      </c>
      <c r="CR1486" s="112" t="s">
        <v>3809</v>
      </c>
      <c r="CS1486" s="112" t="s">
        <v>3742</v>
      </c>
      <c r="CT1486" s="112" t="s">
        <v>3743</v>
      </c>
      <c r="CU1486" s="112" t="s">
        <v>796</v>
      </c>
      <c r="CV1486" s="113" t="s">
        <v>3744</v>
      </c>
      <c r="CX1486" s="36">
        <v>1</v>
      </c>
    </row>
    <row r="1487" spans="91:102" ht="21" customHeight="1" x14ac:dyDescent="0.25">
      <c r="CM1487" s="102"/>
      <c r="CN1487" s="112" t="s">
        <v>3810</v>
      </c>
      <c r="CO1487" s="112" t="s">
        <v>544</v>
      </c>
      <c r="CP1487" s="112" t="s">
        <v>523</v>
      </c>
      <c r="CQ1487" s="112" t="s">
        <v>3811</v>
      </c>
      <c r="CR1487" s="112" t="s">
        <v>3811</v>
      </c>
      <c r="CS1487" s="112" t="s">
        <v>525</v>
      </c>
      <c r="CT1487" s="112" t="s">
        <v>3757</v>
      </c>
      <c r="CU1487" s="112" t="s">
        <v>527</v>
      </c>
      <c r="CV1487" s="113" t="s">
        <v>528</v>
      </c>
      <c r="CX1487" s="36">
        <v>1</v>
      </c>
    </row>
    <row r="1488" spans="91:102" ht="21" customHeight="1" x14ac:dyDescent="0.25">
      <c r="CM1488" s="102"/>
      <c r="CN1488" s="112" t="s">
        <v>3812</v>
      </c>
      <c r="CO1488" s="112" t="s">
        <v>544</v>
      </c>
      <c r="CP1488" s="112" t="s">
        <v>523</v>
      </c>
      <c r="CQ1488" s="112" t="s">
        <v>3813</v>
      </c>
      <c r="CR1488" s="112" t="s">
        <v>3813</v>
      </c>
      <c r="CS1488" s="112" t="s">
        <v>525</v>
      </c>
      <c r="CT1488" s="112" t="s">
        <v>3757</v>
      </c>
      <c r="CU1488" s="112" t="s">
        <v>527</v>
      </c>
      <c r="CV1488" s="113" t="s">
        <v>528</v>
      </c>
      <c r="CX1488" s="36">
        <v>1</v>
      </c>
    </row>
    <row r="1489" spans="91:102" ht="21" customHeight="1" x14ac:dyDescent="0.25">
      <c r="CM1489" s="102"/>
      <c r="CN1489" s="112" t="s">
        <v>3814</v>
      </c>
      <c r="CO1489" s="112" t="s">
        <v>544</v>
      </c>
      <c r="CP1489" s="112" t="s">
        <v>523</v>
      </c>
      <c r="CQ1489" s="112" t="s">
        <v>3815</v>
      </c>
      <c r="CR1489" s="112" t="s">
        <v>3815</v>
      </c>
      <c r="CS1489" s="112" t="s">
        <v>3742</v>
      </c>
      <c r="CT1489" s="112" t="s">
        <v>3743</v>
      </c>
      <c r="CU1489" s="112" t="s">
        <v>796</v>
      </c>
      <c r="CV1489" s="113" t="s">
        <v>3744</v>
      </c>
      <c r="CX1489" s="36">
        <v>1</v>
      </c>
    </row>
    <row r="1490" spans="91:102" ht="21" customHeight="1" x14ac:dyDescent="0.25">
      <c r="CM1490" s="102"/>
      <c r="CN1490" s="112" t="s">
        <v>3816</v>
      </c>
      <c r="CO1490" s="112" t="s">
        <v>544</v>
      </c>
      <c r="CP1490" s="112" t="s">
        <v>523</v>
      </c>
      <c r="CQ1490" s="112" t="s">
        <v>3817</v>
      </c>
      <c r="CR1490" s="112" t="s">
        <v>3817</v>
      </c>
      <c r="CS1490" s="112" t="s">
        <v>3742</v>
      </c>
      <c r="CT1490" s="112" t="s">
        <v>3743</v>
      </c>
      <c r="CU1490" s="112" t="s">
        <v>796</v>
      </c>
      <c r="CV1490" s="113" t="s">
        <v>3744</v>
      </c>
      <c r="CX1490" s="36">
        <v>1</v>
      </c>
    </row>
    <row r="1491" spans="91:102" ht="21" customHeight="1" x14ac:dyDescent="0.25">
      <c r="CM1491" s="102"/>
      <c r="CN1491" s="112" t="s">
        <v>3818</v>
      </c>
      <c r="CO1491" s="112" t="s">
        <v>544</v>
      </c>
      <c r="CP1491" s="112" t="s">
        <v>523</v>
      </c>
      <c r="CQ1491" s="112" t="s">
        <v>3819</v>
      </c>
      <c r="CR1491" s="112" t="s">
        <v>3820</v>
      </c>
      <c r="CS1491" s="112" t="s">
        <v>3742</v>
      </c>
      <c r="CT1491" s="112" t="s">
        <v>3743</v>
      </c>
      <c r="CU1491" s="112" t="s">
        <v>796</v>
      </c>
      <c r="CV1491" s="113" t="s">
        <v>3744</v>
      </c>
      <c r="CX1491" s="36">
        <v>1</v>
      </c>
    </row>
    <row r="1492" spans="91:102" ht="21" customHeight="1" x14ac:dyDescent="0.25">
      <c r="CM1492" s="102"/>
      <c r="CN1492" s="112" t="s">
        <v>3821</v>
      </c>
      <c r="CO1492" s="112" t="s">
        <v>544</v>
      </c>
      <c r="CP1492" s="112" t="s">
        <v>523</v>
      </c>
      <c r="CQ1492" s="112" t="s">
        <v>3822</v>
      </c>
      <c r="CR1492" s="112" t="s">
        <v>3822</v>
      </c>
      <c r="CS1492" s="112" t="s">
        <v>525</v>
      </c>
      <c r="CT1492" s="112" t="s">
        <v>3757</v>
      </c>
      <c r="CU1492" s="112" t="s">
        <v>527</v>
      </c>
      <c r="CV1492" s="113" t="s">
        <v>528</v>
      </c>
      <c r="CX1492" s="36">
        <v>1</v>
      </c>
    </row>
    <row r="1493" spans="91:102" ht="21" customHeight="1" x14ac:dyDescent="0.25">
      <c r="CM1493" s="102"/>
      <c r="CN1493" s="112" t="s">
        <v>3823</v>
      </c>
      <c r="CO1493" s="112" t="s">
        <v>544</v>
      </c>
      <c r="CP1493" s="112" t="s">
        <v>523</v>
      </c>
      <c r="CQ1493" s="112" t="s">
        <v>3824</v>
      </c>
      <c r="CR1493" s="112" t="s">
        <v>3824</v>
      </c>
      <c r="CS1493" s="112" t="s">
        <v>610</v>
      </c>
      <c r="CT1493" s="112" t="s">
        <v>611</v>
      </c>
      <c r="CU1493" s="112" t="s">
        <v>527</v>
      </c>
      <c r="CV1493" s="113" t="s">
        <v>612</v>
      </c>
      <c r="CX1493" s="36">
        <v>1</v>
      </c>
    </row>
    <row r="1494" spans="91:102" ht="21" customHeight="1" x14ac:dyDescent="0.25">
      <c r="CM1494" s="102"/>
      <c r="CN1494" s="112" t="s">
        <v>3825</v>
      </c>
      <c r="CO1494" s="112" t="s">
        <v>544</v>
      </c>
      <c r="CP1494" s="112" t="s">
        <v>523</v>
      </c>
      <c r="CQ1494" s="112" t="s">
        <v>3826</v>
      </c>
      <c r="CR1494" s="112" t="s">
        <v>3826</v>
      </c>
      <c r="CS1494" s="112" t="s">
        <v>3742</v>
      </c>
      <c r="CT1494" s="112" t="s">
        <v>3743</v>
      </c>
      <c r="CU1494" s="112" t="s">
        <v>796</v>
      </c>
      <c r="CV1494" s="113" t="s">
        <v>3744</v>
      </c>
      <c r="CX1494" s="36">
        <v>1</v>
      </c>
    </row>
    <row r="1495" spans="91:102" ht="21" customHeight="1" x14ac:dyDescent="0.25">
      <c r="CM1495" s="102"/>
      <c r="CN1495" s="112" t="s">
        <v>3827</v>
      </c>
      <c r="CO1495" s="112" t="s">
        <v>544</v>
      </c>
      <c r="CP1495" s="112" t="s">
        <v>523</v>
      </c>
      <c r="CQ1495" s="112" t="s">
        <v>3828</v>
      </c>
      <c r="CR1495" s="112" t="s">
        <v>3829</v>
      </c>
      <c r="CS1495" s="112" t="s">
        <v>3742</v>
      </c>
      <c r="CT1495" s="112" t="s">
        <v>3743</v>
      </c>
      <c r="CU1495" s="112" t="s">
        <v>796</v>
      </c>
      <c r="CV1495" s="113" t="s">
        <v>3744</v>
      </c>
      <c r="CX1495" s="36">
        <v>1</v>
      </c>
    </row>
    <row r="1496" spans="91:102" ht="21" customHeight="1" x14ac:dyDescent="0.25">
      <c r="CM1496" s="102"/>
      <c r="CN1496" s="112" t="s">
        <v>3830</v>
      </c>
      <c r="CO1496" s="112" t="s">
        <v>544</v>
      </c>
      <c r="CP1496" s="112" t="s">
        <v>523</v>
      </c>
      <c r="CQ1496" s="112" t="s">
        <v>3831</v>
      </c>
      <c r="CR1496" s="112" t="s">
        <v>3831</v>
      </c>
      <c r="CS1496" s="112" t="s">
        <v>3742</v>
      </c>
      <c r="CT1496" s="112" t="s">
        <v>3743</v>
      </c>
      <c r="CU1496" s="112" t="s">
        <v>796</v>
      </c>
      <c r="CV1496" s="113" t="s">
        <v>3744</v>
      </c>
      <c r="CX1496" s="36">
        <v>1</v>
      </c>
    </row>
    <row r="1497" spans="91:102" ht="21" customHeight="1" x14ac:dyDescent="0.25">
      <c r="CM1497" s="102"/>
      <c r="CN1497" s="112" t="s">
        <v>3832</v>
      </c>
      <c r="CO1497" s="112" t="s">
        <v>544</v>
      </c>
      <c r="CP1497" s="112" t="s">
        <v>523</v>
      </c>
      <c r="CQ1497" s="112" t="s">
        <v>3833</v>
      </c>
      <c r="CR1497" s="112" t="s">
        <v>3833</v>
      </c>
      <c r="CS1497" s="112" t="s">
        <v>3742</v>
      </c>
      <c r="CT1497" s="112" t="s">
        <v>3743</v>
      </c>
      <c r="CU1497" s="112" t="s">
        <v>796</v>
      </c>
      <c r="CV1497" s="113" t="s">
        <v>3744</v>
      </c>
      <c r="CX1497" s="36">
        <v>1</v>
      </c>
    </row>
    <row r="1498" spans="91:102" ht="21" customHeight="1" x14ac:dyDescent="0.25">
      <c r="CM1498" s="102"/>
      <c r="CN1498" s="112" t="s">
        <v>3834</v>
      </c>
      <c r="CO1498" s="112" t="s">
        <v>544</v>
      </c>
      <c r="CP1498" s="112" t="s">
        <v>523</v>
      </c>
      <c r="CQ1498" s="112" t="s">
        <v>3835</v>
      </c>
      <c r="CR1498" s="112" t="s">
        <v>3835</v>
      </c>
      <c r="CS1498" s="112" t="s">
        <v>3742</v>
      </c>
      <c r="CT1498" s="112" t="s">
        <v>3743</v>
      </c>
      <c r="CU1498" s="112" t="s">
        <v>796</v>
      </c>
      <c r="CV1498" s="113" t="s">
        <v>3744</v>
      </c>
      <c r="CX1498" s="36">
        <v>1</v>
      </c>
    </row>
    <row r="1499" spans="91:102" ht="21" customHeight="1" x14ac:dyDescent="0.25">
      <c r="CM1499" s="102"/>
      <c r="CN1499" s="112" t="s">
        <v>3836</v>
      </c>
      <c r="CO1499" s="112" t="s">
        <v>544</v>
      </c>
      <c r="CP1499" s="112" t="s">
        <v>523</v>
      </c>
      <c r="CQ1499" s="112" t="s">
        <v>3837</v>
      </c>
      <c r="CR1499" s="112" t="s">
        <v>3838</v>
      </c>
      <c r="CS1499" s="112" t="s">
        <v>3742</v>
      </c>
      <c r="CT1499" s="112" t="s">
        <v>3743</v>
      </c>
      <c r="CU1499" s="112" t="s">
        <v>796</v>
      </c>
      <c r="CV1499" s="113" t="s">
        <v>3744</v>
      </c>
      <c r="CX1499" s="36">
        <v>1</v>
      </c>
    </row>
    <row r="1500" spans="91:102" ht="21" customHeight="1" x14ac:dyDescent="0.25">
      <c r="CM1500" s="102"/>
      <c r="CN1500" s="112" t="s">
        <v>3839</v>
      </c>
      <c r="CO1500" s="112" t="s">
        <v>544</v>
      </c>
      <c r="CP1500" s="112" t="s">
        <v>523</v>
      </c>
      <c r="CQ1500" s="112" t="s">
        <v>3840</v>
      </c>
      <c r="CR1500" s="112" t="s">
        <v>3841</v>
      </c>
      <c r="CS1500" s="112" t="s">
        <v>3742</v>
      </c>
      <c r="CT1500" s="112" t="s">
        <v>3743</v>
      </c>
      <c r="CU1500" s="112" t="s">
        <v>796</v>
      </c>
      <c r="CV1500" s="113" t="s">
        <v>3744</v>
      </c>
      <c r="CX1500" s="36">
        <v>1</v>
      </c>
    </row>
    <row r="1501" spans="91:102" ht="21" customHeight="1" x14ac:dyDescent="0.25">
      <c r="CM1501" s="102"/>
      <c r="CN1501" s="112" t="s">
        <v>3842</v>
      </c>
      <c r="CO1501" s="112" t="s">
        <v>544</v>
      </c>
      <c r="CP1501" s="112" t="s">
        <v>523</v>
      </c>
      <c r="CQ1501" s="112" t="s">
        <v>3843</v>
      </c>
      <c r="CR1501" s="112" t="s">
        <v>3843</v>
      </c>
      <c r="CS1501" s="112" t="s">
        <v>525</v>
      </c>
      <c r="CT1501" s="112" t="s">
        <v>3757</v>
      </c>
      <c r="CU1501" s="112" t="s">
        <v>527</v>
      </c>
      <c r="CV1501" s="113" t="s">
        <v>528</v>
      </c>
      <c r="CX1501" s="36">
        <v>1</v>
      </c>
    </row>
    <row r="1502" spans="91:102" ht="21" customHeight="1" x14ac:dyDescent="0.25">
      <c r="CM1502" s="102"/>
      <c r="CN1502" s="112" t="s">
        <v>3844</v>
      </c>
      <c r="CO1502" s="112" t="s">
        <v>544</v>
      </c>
      <c r="CP1502" s="112" t="s">
        <v>523</v>
      </c>
      <c r="CQ1502" s="112" t="s">
        <v>3845</v>
      </c>
      <c r="CR1502" s="112" t="s">
        <v>3845</v>
      </c>
      <c r="CS1502" s="112" t="s">
        <v>3742</v>
      </c>
      <c r="CT1502" s="112" t="s">
        <v>3743</v>
      </c>
      <c r="CU1502" s="112" t="s">
        <v>796</v>
      </c>
      <c r="CV1502" s="113" t="s">
        <v>3744</v>
      </c>
      <c r="CX1502" s="36">
        <v>1</v>
      </c>
    </row>
    <row r="1503" spans="91:102" ht="21" customHeight="1" x14ac:dyDescent="0.25">
      <c r="CM1503" s="102"/>
      <c r="CN1503" s="112" t="s">
        <v>3846</v>
      </c>
      <c r="CO1503" s="112" t="s">
        <v>544</v>
      </c>
      <c r="CP1503" s="112" t="s">
        <v>523</v>
      </c>
      <c r="CQ1503" s="112" t="s">
        <v>3847</v>
      </c>
      <c r="CR1503" s="112" t="s">
        <v>3847</v>
      </c>
      <c r="CS1503" s="112" t="s">
        <v>525</v>
      </c>
      <c r="CT1503" s="112" t="s">
        <v>3757</v>
      </c>
      <c r="CU1503" s="112" t="s">
        <v>527</v>
      </c>
      <c r="CV1503" s="113" t="s">
        <v>528</v>
      </c>
      <c r="CX1503" s="36">
        <v>1</v>
      </c>
    </row>
    <row r="1504" spans="91:102" ht="21" customHeight="1" x14ac:dyDescent="0.25">
      <c r="CM1504" s="102"/>
      <c r="CN1504" s="112" t="s">
        <v>3848</v>
      </c>
      <c r="CO1504" s="112" t="s">
        <v>544</v>
      </c>
      <c r="CP1504" s="112" t="s">
        <v>523</v>
      </c>
      <c r="CQ1504" s="112" t="s">
        <v>3849</v>
      </c>
      <c r="CR1504" s="112" t="s">
        <v>3849</v>
      </c>
      <c r="CS1504" s="112" t="s">
        <v>525</v>
      </c>
      <c r="CT1504" s="112" t="s">
        <v>3757</v>
      </c>
      <c r="CU1504" s="112" t="s">
        <v>527</v>
      </c>
      <c r="CV1504" s="113" t="s">
        <v>528</v>
      </c>
      <c r="CX1504" s="36">
        <v>1</v>
      </c>
    </row>
    <row r="1505" spans="91:102" ht="21" customHeight="1" x14ac:dyDescent="0.25">
      <c r="CM1505" s="102"/>
      <c r="CN1505" s="112" t="s">
        <v>3850</v>
      </c>
      <c r="CO1505" s="112" t="s">
        <v>544</v>
      </c>
      <c r="CP1505" s="112" t="s">
        <v>523</v>
      </c>
      <c r="CQ1505" s="112" t="s">
        <v>3851</v>
      </c>
      <c r="CR1505" s="112" t="s">
        <v>3851</v>
      </c>
      <c r="CS1505" s="112" t="s">
        <v>3742</v>
      </c>
      <c r="CT1505" s="112" t="s">
        <v>3743</v>
      </c>
      <c r="CU1505" s="112" t="s">
        <v>796</v>
      </c>
      <c r="CV1505" s="113" t="s">
        <v>3744</v>
      </c>
      <c r="CX1505" s="36">
        <v>1</v>
      </c>
    </row>
    <row r="1506" spans="91:102" ht="21" customHeight="1" x14ac:dyDescent="0.25">
      <c r="CM1506" s="102"/>
      <c r="CN1506" s="112" t="s">
        <v>3852</v>
      </c>
      <c r="CO1506" s="112" t="s">
        <v>544</v>
      </c>
      <c r="CP1506" s="112" t="s">
        <v>523</v>
      </c>
      <c r="CQ1506" s="112" t="s">
        <v>3853</v>
      </c>
      <c r="CR1506" s="112" t="s">
        <v>3853</v>
      </c>
      <c r="CS1506" s="112" t="s">
        <v>3742</v>
      </c>
      <c r="CT1506" s="112" t="s">
        <v>3743</v>
      </c>
      <c r="CU1506" s="112" t="s">
        <v>796</v>
      </c>
      <c r="CV1506" s="113" t="s">
        <v>3744</v>
      </c>
      <c r="CX1506" s="36">
        <v>1</v>
      </c>
    </row>
    <row r="1507" spans="91:102" ht="21" customHeight="1" x14ac:dyDescent="0.25">
      <c r="CM1507" s="102"/>
      <c r="CN1507" s="112" t="s">
        <v>3854</v>
      </c>
      <c r="CO1507" s="112" t="s">
        <v>544</v>
      </c>
      <c r="CP1507" s="112" t="s">
        <v>523</v>
      </c>
      <c r="CQ1507" s="112" t="s">
        <v>3855</v>
      </c>
      <c r="CR1507" s="112" t="s">
        <v>3855</v>
      </c>
      <c r="CS1507" s="112" t="s">
        <v>525</v>
      </c>
      <c r="CT1507" s="112" t="s">
        <v>3757</v>
      </c>
      <c r="CU1507" s="112" t="s">
        <v>527</v>
      </c>
      <c r="CV1507" s="113" t="s">
        <v>528</v>
      </c>
      <c r="CX1507" s="36">
        <v>1</v>
      </c>
    </row>
    <row r="1508" spans="91:102" ht="21" customHeight="1" x14ac:dyDescent="0.25">
      <c r="CM1508" s="102"/>
      <c r="CN1508" s="112" t="s">
        <v>3856</v>
      </c>
      <c r="CO1508" s="112" t="s">
        <v>544</v>
      </c>
      <c r="CP1508" s="112" t="s">
        <v>523</v>
      </c>
      <c r="CQ1508" s="112" t="s">
        <v>3857</v>
      </c>
      <c r="CR1508" s="112" t="s">
        <v>3858</v>
      </c>
      <c r="CS1508" s="112" t="s">
        <v>3742</v>
      </c>
      <c r="CT1508" s="112" t="s">
        <v>3743</v>
      </c>
      <c r="CU1508" s="112" t="s">
        <v>796</v>
      </c>
      <c r="CV1508" s="113" t="s">
        <v>3744</v>
      </c>
      <c r="CX1508" s="36">
        <v>1</v>
      </c>
    </row>
    <row r="1509" spans="91:102" ht="21" customHeight="1" x14ac:dyDescent="0.25">
      <c r="CM1509" s="102"/>
      <c r="CN1509" s="112" t="s">
        <v>3859</v>
      </c>
      <c r="CO1509" s="112" t="s">
        <v>544</v>
      </c>
      <c r="CP1509" s="112" t="s">
        <v>523</v>
      </c>
      <c r="CQ1509" s="112" t="s">
        <v>3860</v>
      </c>
      <c r="CR1509" s="112" t="s">
        <v>3861</v>
      </c>
      <c r="CS1509" s="112" t="s">
        <v>525</v>
      </c>
      <c r="CT1509" s="112" t="s">
        <v>3757</v>
      </c>
      <c r="CU1509" s="112" t="s">
        <v>527</v>
      </c>
      <c r="CV1509" s="113" t="s">
        <v>528</v>
      </c>
      <c r="CX1509" s="36">
        <v>1</v>
      </c>
    </row>
    <row r="1510" spans="91:102" ht="21" customHeight="1" x14ac:dyDescent="0.25">
      <c r="CM1510" s="102"/>
      <c r="CN1510" s="112" t="s">
        <v>3862</v>
      </c>
      <c r="CO1510" s="112" t="s">
        <v>544</v>
      </c>
      <c r="CP1510" s="112" t="s">
        <v>523</v>
      </c>
      <c r="CQ1510" s="112" t="s">
        <v>3863</v>
      </c>
      <c r="CR1510" s="112" t="s">
        <v>3864</v>
      </c>
      <c r="CS1510" s="112" t="s">
        <v>3742</v>
      </c>
      <c r="CT1510" s="112" t="s">
        <v>3743</v>
      </c>
      <c r="CU1510" s="112" t="s">
        <v>796</v>
      </c>
      <c r="CV1510" s="113" t="s">
        <v>3744</v>
      </c>
      <c r="CX1510" s="36">
        <v>1</v>
      </c>
    </row>
    <row r="1511" spans="91:102" ht="21" customHeight="1" x14ac:dyDescent="0.25">
      <c r="CM1511" s="102"/>
      <c r="CN1511" s="112" t="s">
        <v>3865</v>
      </c>
      <c r="CO1511" s="112" t="s">
        <v>544</v>
      </c>
      <c r="CP1511" s="112" t="s">
        <v>523</v>
      </c>
      <c r="CQ1511" s="112" t="s">
        <v>3866</v>
      </c>
      <c r="CR1511" s="112" t="s">
        <v>3866</v>
      </c>
      <c r="CS1511" s="112" t="s">
        <v>610</v>
      </c>
      <c r="CT1511" s="112" t="s">
        <v>611</v>
      </c>
      <c r="CU1511" s="112" t="s">
        <v>527</v>
      </c>
      <c r="CV1511" s="113" t="s">
        <v>612</v>
      </c>
      <c r="CX1511" s="36">
        <v>1</v>
      </c>
    </row>
    <row r="1512" spans="91:102" ht="21" customHeight="1" x14ac:dyDescent="0.25">
      <c r="CM1512" s="102"/>
      <c r="CN1512" s="112" t="s">
        <v>3867</v>
      </c>
      <c r="CO1512" s="112" t="s">
        <v>544</v>
      </c>
      <c r="CP1512" s="112" t="s">
        <v>523</v>
      </c>
      <c r="CQ1512" s="112" t="s">
        <v>3868</v>
      </c>
      <c r="CR1512" s="112" t="s">
        <v>3869</v>
      </c>
      <c r="CS1512" s="112" t="s">
        <v>525</v>
      </c>
      <c r="CT1512" s="112" t="s">
        <v>3757</v>
      </c>
      <c r="CU1512" s="112" t="s">
        <v>527</v>
      </c>
      <c r="CV1512" s="113" t="s">
        <v>528</v>
      </c>
      <c r="CX1512" s="36">
        <v>1</v>
      </c>
    </row>
    <row r="1513" spans="91:102" ht="21" customHeight="1" x14ac:dyDescent="0.25">
      <c r="CM1513" s="102"/>
      <c r="CN1513" s="112" t="s">
        <v>3870</v>
      </c>
      <c r="CO1513" s="112" t="s">
        <v>544</v>
      </c>
      <c r="CP1513" s="112" t="s">
        <v>523</v>
      </c>
      <c r="CQ1513" s="112" t="s">
        <v>3871</v>
      </c>
      <c r="CR1513" s="112" t="s">
        <v>3872</v>
      </c>
      <c r="CS1513" s="112" t="s">
        <v>3742</v>
      </c>
      <c r="CT1513" s="112" t="s">
        <v>3743</v>
      </c>
      <c r="CU1513" s="112" t="s">
        <v>796</v>
      </c>
      <c r="CV1513" s="113" t="s">
        <v>3744</v>
      </c>
      <c r="CX1513" s="36">
        <v>1</v>
      </c>
    </row>
    <row r="1514" spans="91:102" ht="21" customHeight="1" x14ac:dyDescent="0.25">
      <c r="CM1514" s="102"/>
      <c r="CN1514" s="112" t="s">
        <v>3873</v>
      </c>
      <c r="CO1514" s="112" t="s">
        <v>544</v>
      </c>
      <c r="CP1514" s="112" t="s">
        <v>523</v>
      </c>
      <c r="CQ1514" s="112" t="s">
        <v>3874</v>
      </c>
      <c r="CR1514" s="112" t="s">
        <v>3875</v>
      </c>
      <c r="CS1514" s="112" t="s">
        <v>3742</v>
      </c>
      <c r="CT1514" s="112" t="s">
        <v>3743</v>
      </c>
      <c r="CU1514" s="112" t="s">
        <v>796</v>
      </c>
      <c r="CV1514" s="113" t="s">
        <v>3744</v>
      </c>
      <c r="CX1514" s="36">
        <v>1</v>
      </c>
    </row>
    <row r="1515" spans="91:102" ht="21" customHeight="1" x14ac:dyDescent="0.25">
      <c r="CM1515" s="102"/>
      <c r="CN1515" s="112" t="s">
        <v>3876</v>
      </c>
      <c r="CO1515" s="112" t="s">
        <v>544</v>
      </c>
      <c r="CP1515" s="112" t="s">
        <v>523</v>
      </c>
      <c r="CQ1515" s="112" t="s">
        <v>3877</v>
      </c>
      <c r="CR1515" s="112" t="s">
        <v>3878</v>
      </c>
      <c r="CS1515" s="112" t="s">
        <v>525</v>
      </c>
      <c r="CT1515" s="112" t="s">
        <v>3757</v>
      </c>
      <c r="CU1515" s="112" t="s">
        <v>527</v>
      </c>
      <c r="CV1515" s="113" t="s">
        <v>528</v>
      </c>
      <c r="CX1515" s="36">
        <v>1</v>
      </c>
    </row>
    <row r="1516" spans="91:102" ht="21" customHeight="1" x14ac:dyDescent="0.25">
      <c r="CM1516" s="102"/>
      <c r="CN1516" s="112" t="s">
        <v>3879</v>
      </c>
      <c r="CO1516" s="112" t="s">
        <v>544</v>
      </c>
      <c r="CP1516" s="112" t="s">
        <v>523</v>
      </c>
      <c r="CQ1516" s="112" t="s">
        <v>3880</v>
      </c>
      <c r="CR1516" s="112" t="s">
        <v>3881</v>
      </c>
      <c r="CS1516" s="112" t="s">
        <v>525</v>
      </c>
      <c r="CT1516" s="112" t="s">
        <v>3757</v>
      </c>
      <c r="CU1516" s="112" t="s">
        <v>527</v>
      </c>
      <c r="CV1516" s="113" t="s">
        <v>528</v>
      </c>
      <c r="CX1516" s="36">
        <v>1</v>
      </c>
    </row>
    <row r="1517" spans="91:102" ht="21" customHeight="1" x14ac:dyDescent="0.25">
      <c r="CM1517" s="102"/>
      <c r="CN1517" s="112" t="s">
        <v>3882</v>
      </c>
      <c r="CO1517" s="112" t="s">
        <v>544</v>
      </c>
      <c r="CP1517" s="112" t="s">
        <v>523</v>
      </c>
      <c r="CQ1517" s="112" t="s">
        <v>3883</v>
      </c>
      <c r="CR1517" s="112" t="s">
        <v>3883</v>
      </c>
      <c r="CS1517" s="112" t="s">
        <v>3742</v>
      </c>
      <c r="CT1517" s="112" t="s">
        <v>3743</v>
      </c>
      <c r="CU1517" s="112" t="s">
        <v>796</v>
      </c>
      <c r="CV1517" s="113" t="s">
        <v>3744</v>
      </c>
      <c r="CX1517" s="36">
        <v>1</v>
      </c>
    </row>
    <row r="1518" spans="91:102" ht="21" customHeight="1" x14ac:dyDescent="0.25">
      <c r="CM1518" s="102"/>
      <c r="CN1518" s="112" t="s">
        <v>3884</v>
      </c>
      <c r="CO1518" s="112" t="s">
        <v>544</v>
      </c>
      <c r="CP1518" s="112" t="s">
        <v>523</v>
      </c>
      <c r="CQ1518" s="112" t="s">
        <v>3885</v>
      </c>
      <c r="CR1518" s="112" t="s">
        <v>3885</v>
      </c>
      <c r="CS1518" s="112" t="s">
        <v>525</v>
      </c>
      <c r="CT1518" s="112" t="s">
        <v>3757</v>
      </c>
      <c r="CU1518" s="112" t="s">
        <v>527</v>
      </c>
      <c r="CV1518" s="113" t="s">
        <v>528</v>
      </c>
      <c r="CX1518" s="36">
        <v>1</v>
      </c>
    </row>
    <row r="1519" spans="91:102" ht="21" customHeight="1" x14ac:dyDescent="0.25">
      <c r="CM1519" s="102"/>
      <c r="CN1519" s="112" t="s">
        <v>3886</v>
      </c>
      <c r="CO1519" s="112" t="s">
        <v>544</v>
      </c>
      <c r="CP1519" s="112" t="s">
        <v>523</v>
      </c>
      <c r="CQ1519" s="112" t="s">
        <v>3887</v>
      </c>
      <c r="CR1519" s="112" t="s">
        <v>3887</v>
      </c>
      <c r="CS1519" s="112" t="s">
        <v>3742</v>
      </c>
      <c r="CT1519" s="112" t="s">
        <v>3743</v>
      </c>
      <c r="CU1519" s="112" t="s">
        <v>796</v>
      </c>
      <c r="CV1519" s="113" t="s">
        <v>3744</v>
      </c>
      <c r="CX1519" s="36">
        <v>1</v>
      </c>
    </row>
    <row r="1520" spans="91:102" ht="21" customHeight="1" x14ac:dyDescent="0.25">
      <c r="CM1520" s="102"/>
      <c r="CN1520" s="112" t="s">
        <v>3888</v>
      </c>
      <c r="CO1520" s="112" t="s">
        <v>544</v>
      </c>
      <c r="CP1520" s="112" t="s">
        <v>523</v>
      </c>
      <c r="CQ1520" s="112" t="s">
        <v>3889</v>
      </c>
      <c r="CR1520" s="112" t="s">
        <v>3889</v>
      </c>
      <c r="CS1520" s="112" t="s">
        <v>3742</v>
      </c>
      <c r="CT1520" s="112" t="s">
        <v>3743</v>
      </c>
      <c r="CU1520" s="112" t="s">
        <v>796</v>
      </c>
      <c r="CV1520" s="113" t="s">
        <v>3744</v>
      </c>
      <c r="CX1520" s="36">
        <v>1</v>
      </c>
    </row>
    <row r="1521" spans="91:102" ht="21" customHeight="1" x14ac:dyDescent="0.25">
      <c r="CM1521" s="102"/>
      <c r="CN1521" s="112" t="s">
        <v>3890</v>
      </c>
      <c r="CO1521" s="112" t="s">
        <v>544</v>
      </c>
      <c r="CP1521" s="112" t="s">
        <v>523</v>
      </c>
      <c r="CQ1521" s="112" t="s">
        <v>3891</v>
      </c>
      <c r="CR1521" s="112" t="s">
        <v>3891</v>
      </c>
      <c r="CS1521" s="112" t="s">
        <v>525</v>
      </c>
      <c r="CT1521" s="112" t="s">
        <v>3757</v>
      </c>
      <c r="CU1521" s="112" t="s">
        <v>527</v>
      </c>
      <c r="CV1521" s="113" t="s">
        <v>528</v>
      </c>
      <c r="CX1521" s="36">
        <v>1</v>
      </c>
    </row>
    <row r="1522" spans="91:102" ht="21" customHeight="1" x14ac:dyDescent="0.25">
      <c r="CM1522" s="102"/>
      <c r="CN1522" s="112" t="s">
        <v>3892</v>
      </c>
      <c r="CO1522" s="112" t="s">
        <v>544</v>
      </c>
      <c r="CP1522" s="112" t="s">
        <v>523</v>
      </c>
      <c r="CQ1522" s="112" t="s">
        <v>3893</v>
      </c>
      <c r="CR1522" s="112" t="s">
        <v>3893</v>
      </c>
      <c r="CS1522" s="112" t="s">
        <v>610</v>
      </c>
      <c r="CT1522" s="112" t="s">
        <v>611</v>
      </c>
      <c r="CU1522" s="112" t="s">
        <v>527</v>
      </c>
      <c r="CV1522" s="113" t="s">
        <v>612</v>
      </c>
      <c r="CX1522" s="36">
        <v>1</v>
      </c>
    </row>
    <row r="1523" spans="91:102" ht="21" customHeight="1" x14ac:dyDescent="0.25">
      <c r="CM1523" s="102"/>
      <c r="CN1523" s="112" t="s">
        <v>3894</v>
      </c>
      <c r="CO1523" s="112" t="s">
        <v>544</v>
      </c>
      <c r="CP1523" s="112" t="s">
        <v>523</v>
      </c>
      <c r="CQ1523" s="112" t="s">
        <v>3895</v>
      </c>
      <c r="CR1523" s="112" t="s">
        <v>3895</v>
      </c>
      <c r="CS1523" s="112" t="s">
        <v>3742</v>
      </c>
      <c r="CT1523" s="112" t="s">
        <v>3743</v>
      </c>
      <c r="CU1523" s="112" t="s">
        <v>796</v>
      </c>
      <c r="CV1523" s="113" t="s">
        <v>3744</v>
      </c>
      <c r="CX1523" s="36">
        <v>1</v>
      </c>
    </row>
    <row r="1524" spans="91:102" ht="21" customHeight="1" x14ac:dyDescent="0.25">
      <c r="CM1524" s="102"/>
      <c r="CN1524" s="112" t="s">
        <v>3896</v>
      </c>
      <c r="CO1524" s="112" t="s">
        <v>544</v>
      </c>
      <c r="CP1524" s="112" t="s">
        <v>523</v>
      </c>
      <c r="CQ1524" s="112" t="s">
        <v>3897</v>
      </c>
      <c r="CR1524" s="112" t="s">
        <v>3898</v>
      </c>
      <c r="CS1524" s="112" t="s">
        <v>525</v>
      </c>
      <c r="CT1524" s="112" t="s">
        <v>3757</v>
      </c>
      <c r="CU1524" s="112" t="s">
        <v>527</v>
      </c>
      <c r="CV1524" s="113" t="s">
        <v>528</v>
      </c>
      <c r="CX1524" s="36">
        <v>1</v>
      </c>
    </row>
    <row r="1525" spans="91:102" ht="21" customHeight="1" x14ac:dyDescent="0.25">
      <c r="CM1525" s="102"/>
      <c r="CN1525" s="112" t="s">
        <v>3899</v>
      </c>
      <c r="CO1525" s="112" t="s">
        <v>544</v>
      </c>
      <c r="CP1525" s="112" t="s">
        <v>523</v>
      </c>
      <c r="CQ1525" s="112" t="s">
        <v>3900</v>
      </c>
      <c r="CR1525" s="112" t="s">
        <v>3901</v>
      </c>
      <c r="CS1525" s="112" t="s">
        <v>3742</v>
      </c>
      <c r="CT1525" s="112" t="s">
        <v>3743</v>
      </c>
      <c r="CU1525" s="112" t="s">
        <v>796</v>
      </c>
      <c r="CV1525" s="113" t="s">
        <v>3744</v>
      </c>
      <c r="CX1525" s="36">
        <v>1</v>
      </c>
    </row>
    <row r="1526" spans="91:102" ht="21" customHeight="1" x14ac:dyDescent="0.25">
      <c r="CM1526" s="102"/>
      <c r="CN1526" s="112" t="s">
        <v>3902</v>
      </c>
      <c r="CO1526" s="112" t="s">
        <v>544</v>
      </c>
      <c r="CP1526" s="112" t="s">
        <v>523</v>
      </c>
      <c r="CQ1526" s="112" t="s">
        <v>3903</v>
      </c>
      <c r="CR1526" s="112" t="s">
        <v>3903</v>
      </c>
      <c r="CS1526" s="112" t="s">
        <v>3742</v>
      </c>
      <c r="CT1526" s="112" t="s">
        <v>3743</v>
      </c>
      <c r="CU1526" s="112" t="s">
        <v>796</v>
      </c>
      <c r="CV1526" s="113" t="s">
        <v>3744</v>
      </c>
      <c r="CX1526" s="36">
        <v>1</v>
      </c>
    </row>
    <row r="1527" spans="91:102" ht="21" customHeight="1" x14ac:dyDescent="0.25">
      <c r="CM1527" s="102"/>
      <c r="CN1527" s="112" t="s">
        <v>3904</v>
      </c>
      <c r="CO1527" s="112" t="s">
        <v>544</v>
      </c>
      <c r="CP1527" s="112" t="s">
        <v>523</v>
      </c>
      <c r="CQ1527" s="112" t="s">
        <v>3905</v>
      </c>
      <c r="CR1527" s="112" t="s">
        <v>3905</v>
      </c>
      <c r="CS1527" s="112" t="s">
        <v>525</v>
      </c>
      <c r="CT1527" s="112" t="s">
        <v>3757</v>
      </c>
      <c r="CU1527" s="112" t="s">
        <v>527</v>
      </c>
      <c r="CV1527" s="113" t="s">
        <v>528</v>
      </c>
      <c r="CX1527" s="36">
        <v>1</v>
      </c>
    </row>
    <row r="1528" spans="91:102" ht="21" customHeight="1" x14ac:dyDescent="0.25">
      <c r="CM1528" s="102"/>
      <c r="CN1528" s="112" t="s">
        <v>3906</v>
      </c>
      <c r="CO1528" s="112" t="s">
        <v>544</v>
      </c>
      <c r="CP1528" s="112" t="s">
        <v>523</v>
      </c>
      <c r="CQ1528" s="112" t="s">
        <v>3907</v>
      </c>
      <c r="CR1528" s="112" t="s">
        <v>3907</v>
      </c>
      <c r="CS1528" s="112" t="s">
        <v>525</v>
      </c>
      <c r="CT1528" s="112" t="s">
        <v>3757</v>
      </c>
      <c r="CU1528" s="112" t="s">
        <v>527</v>
      </c>
      <c r="CV1528" s="113" t="s">
        <v>528</v>
      </c>
      <c r="CX1528" s="36">
        <v>1</v>
      </c>
    </row>
    <row r="1529" spans="91:102" ht="21" customHeight="1" x14ac:dyDescent="0.25">
      <c r="CM1529" s="102"/>
      <c r="CN1529" s="112" t="s">
        <v>3908</v>
      </c>
      <c r="CO1529" s="112" t="s">
        <v>544</v>
      </c>
      <c r="CP1529" s="112" t="s">
        <v>523</v>
      </c>
      <c r="CQ1529" s="112" t="s">
        <v>3909</v>
      </c>
      <c r="CR1529" s="112" t="s">
        <v>3909</v>
      </c>
      <c r="CS1529" s="112" t="s">
        <v>3742</v>
      </c>
      <c r="CT1529" s="112" t="s">
        <v>3743</v>
      </c>
      <c r="CU1529" s="112" t="s">
        <v>796</v>
      </c>
      <c r="CV1529" s="113" t="s">
        <v>3744</v>
      </c>
      <c r="CX1529" s="36">
        <v>1</v>
      </c>
    </row>
    <row r="1530" spans="91:102" ht="21" customHeight="1" x14ac:dyDescent="0.25">
      <c r="CM1530" s="102"/>
      <c r="CN1530" s="112" t="s">
        <v>3910</v>
      </c>
      <c r="CO1530" s="112" t="s">
        <v>544</v>
      </c>
      <c r="CP1530" s="112" t="s">
        <v>523</v>
      </c>
      <c r="CQ1530" s="112" t="s">
        <v>3911</v>
      </c>
      <c r="CR1530" s="112" t="s">
        <v>3911</v>
      </c>
      <c r="CS1530" s="112" t="s">
        <v>3742</v>
      </c>
      <c r="CT1530" s="112" t="s">
        <v>3743</v>
      </c>
      <c r="CU1530" s="112" t="s">
        <v>796</v>
      </c>
      <c r="CV1530" s="113" t="s">
        <v>3744</v>
      </c>
      <c r="CX1530" s="36">
        <v>1</v>
      </c>
    </row>
    <row r="1531" spans="91:102" ht="21" customHeight="1" x14ac:dyDescent="0.25">
      <c r="CM1531" s="102"/>
      <c r="CN1531" s="112" t="s">
        <v>3912</v>
      </c>
      <c r="CO1531" s="112" t="s">
        <v>544</v>
      </c>
      <c r="CP1531" s="112" t="s">
        <v>523</v>
      </c>
      <c r="CQ1531" s="112" t="s">
        <v>3913</v>
      </c>
      <c r="CR1531" s="112" t="s">
        <v>3914</v>
      </c>
      <c r="CS1531" s="112" t="s">
        <v>525</v>
      </c>
      <c r="CT1531" s="112" t="s">
        <v>3757</v>
      </c>
      <c r="CU1531" s="112" t="s">
        <v>527</v>
      </c>
      <c r="CV1531" s="113" t="s">
        <v>528</v>
      </c>
      <c r="CX1531" s="36">
        <v>1</v>
      </c>
    </row>
    <row r="1532" spans="91:102" ht="21" customHeight="1" x14ac:dyDescent="0.25">
      <c r="CM1532" s="102"/>
      <c r="CN1532" s="112" t="s">
        <v>3915</v>
      </c>
      <c r="CO1532" s="112" t="s">
        <v>544</v>
      </c>
      <c r="CP1532" s="112" t="s">
        <v>523</v>
      </c>
      <c r="CQ1532" s="112" t="s">
        <v>3916</v>
      </c>
      <c r="CR1532" s="112" t="s">
        <v>3916</v>
      </c>
      <c r="CS1532" s="112" t="s">
        <v>525</v>
      </c>
      <c r="CT1532" s="112" t="s">
        <v>3757</v>
      </c>
      <c r="CU1532" s="112" t="s">
        <v>527</v>
      </c>
      <c r="CV1532" s="113" t="s">
        <v>528</v>
      </c>
      <c r="CX1532" s="36">
        <v>1</v>
      </c>
    </row>
    <row r="1533" spans="91:102" ht="21" customHeight="1" x14ac:dyDescent="0.25">
      <c r="CM1533" s="102"/>
      <c r="CN1533" s="112" t="s">
        <v>3917</v>
      </c>
      <c r="CO1533" s="112" t="s">
        <v>544</v>
      </c>
      <c r="CP1533" s="112" t="s">
        <v>523</v>
      </c>
      <c r="CQ1533" s="112" t="s">
        <v>3918</v>
      </c>
      <c r="CR1533" s="112" t="s">
        <v>3918</v>
      </c>
      <c r="CS1533" s="112" t="s">
        <v>3742</v>
      </c>
      <c r="CT1533" s="112" t="s">
        <v>3743</v>
      </c>
      <c r="CU1533" s="112" t="s">
        <v>796</v>
      </c>
      <c r="CV1533" s="113" t="s">
        <v>3744</v>
      </c>
      <c r="CX1533" s="36">
        <v>1</v>
      </c>
    </row>
    <row r="1534" spans="91:102" ht="21" customHeight="1" x14ac:dyDescent="0.25">
      <c r="CM1534" s="102"/>
      <c r="CN1534" s="112" t="s">
        <v>3919</v>
      </c>
      <c r="CO1534" s="112" t="s">
        <v>544</v>
      </c>
      <c r="CP1534" s="112" t="s">
        <v>523</v>
      </c>
      <c r="CQ1534" s="112" t="s">
        <v>3920</v>
      </c>
      <c r="CR1534" s="112" t="s">
        <v>3920</v>
      </c>
      <c r="CS1534" s="112" t="s">
        <v>525</v>
      </c>
      <c r="CT1534" s="112" t="s">
        <v>3757</v>
      </c>
      <c r="CU1534" s="112" t="s">
        <v>527</v>
      </c>
      <c r="CV1534" s="113" t="s">
        <v>528</v>
      </c>
      <c r="CX1534" s="36">
        <v>1</v>
      </c>
    </row>
    <row r="1535" spans="91:102" ht="21" customHeight="1" x14ac:dyDescent="0.25">
      <c r="CM1535" s="102"/>
      <c r="CN1535" s="112" t="s">
        <v>3921</v>
      </c>
      <c r="CO1535" s="112" t="s">
        <v>544</v>
      </c>
      <c r="CP1535" s="112" t="s">
        <v>523</v>
      </c>
      <c r="CQ1535" s="112" t="s">
        <v>3922</v>
      </c>
      <c r="CR1535" s="112" t="s">
        <v>3922</v>
      </c>
      <c r="CS1535" s="112" t="s">
        <v>610</v>
      </c>
      <c r="CT1535" s="112" t="s">
        <v>611</v>
      </c>
      <c r="CU1535" s="112" t="s">
        <v>527</v>
      </c>
      <c r="CV1535" s="113" t="s">
        <v>612</v>
      </c>
      <c r="CX1535" s="36">
        <v>1</v>
      </c>
    </row>
    <row r="1536" spans="91:102" ht="21" customHeight="1" x14ac:dyDescent="0.25">
      <c r="CM1536" s="102"/>
      <c r="CN1536" s="112" t="s">
        <v>3923</v>
      </c>
      <c r="CO1536" s="112" t="s">
        <v>544</v>
      </c>
      <c r="CP1536" s="112" t="s">
        <v>523</v>
      </c>
      <c r="CQ1536" s="112" t="s">
        <v>3924</v>
      </c>
      <c r="CR1536" s="112" t="s">
        <v>3924</v>
      </c>
      <c r="CS1536" s="112" t="s">
        <v>525</v>
      </c>
      <c r="CT1536" s="112" t="s">
        <v>3757</v>
      </c>
      <c r="CU1536" s="112" t="s">
        <v>527</v>
      </c>
      <c r="CV1536" s="113" t="s">
        <v>528</v>
      </c>
      <c r="CX1536" s="36">
        <v>1</v>
      </c>
    </row>
    <row r="1537" spans="91:102" ht="21" customHeight="1" x14ac:dyDescent="0.25">
      <c r="CM1537" s="102"/>
      <c r="CN1537" s="112" t="s">
        <v>3925</v>
      </c>
      <c r="CO1537" s="112" t="s">
        <v>544</v>
      </c>
      <c r="CP1537" s="112" t="s">
        <v>523</v>
      </c>
      <c r="CQ1537" s="112" t="s">
        <v>3926</v>
      </c>
      <c r="CR1537" s="112" t="s">
        <v>3926</v>
      </c>
      <c r="CS1537" s="112" t="s">
        <v>610</v>
      </c>
      <c r="CT1537" s="112" t="s">
        <v>611</v>
      </c>
      <c r="CU1537" s="112" t="s">
        <v>527</v>
      </c>
      <c r="CV1537" s="113" t="s">
        <v>612</v>
      </c>
      <c r="CX1537" s="36">
        <v>1</v>
      </c>
    </row>
    <row r="1538" spans="91:102" ht="21" customHeight="1" x14ac:dyDescent="0.25">
      <c r="CM1538" s="102"/>
      <c r="CN1538" s="112" t="s">
        <v>3927</v>
      </c>
      <c r="CO1538" s="112" t="s">
        <v>544</v>
      </c>
      <c r="CP1538" s="112" t="s">
        <v>523</v>
      </c>
      <c r="CQ1538" s="112" t="s">
        <v>3928</v>
      </c>
      <c r="CR1538" s="112" t="s">
        <v>3929</v>
      </c>
      <c r="CS1538" s="112" t="s">
        <v>525</v>
      </c>
      <c r="CT1538" s="112" t="s">
        <v>3757</v>
      </c>
      <c r="CU1538" s="112" t="s">
        <v>527</v>
      </c>
      <c r="CV1538" s="113" t="s">
        <v>528</v>
      </c>
      <c r="CX1538" s="36">
        <v>1</v>
      </c>
    </row>
    <row r="1539" spans="91:102" ht="21" customHeight="1" x14ac:dyDescent="0.25">
      <c r="CM1539" s="102"/>
      <c r="CN1539" s="112" t="s">
        <v>3930</v>
      </c>
      <c r="CO1539" s="112" t="s">
        <v>544</v>
      </c>
      <c r="CP1539" s="112" t="s">
        <v>523</v>
      </c>
      <c r="CQ1539" s="112" t="s">
        <v>3931</v>
      </c>
      <c r="CR1539" s="112" t="s">
        <v>3932</v>
      </c>
      <c r="CS1539" s="112" t="s">
        <v>3742</v>
      </c>
      <c r="CT1539" s="112" t="s">
        <v>3743</v>
      </c>
      <c r="CU1539" s="112" t="s">
        <v>796</v>
      </c>
      <c r="CV1539" s="113" t="s">
        <v>3744</v>
      </c>
      <c r="CX1539" s="36">
        <v>1</v>
      </c>
    </row>
    <row r="1540" spans="91:102" ht="21" customHeight="1" x14ac:dyDescent="0.25">
      <c r="CM1540" s="102"/>
      <c r="CN1540" s="112" t="s">
        <v>3933</v>
      </c>
      <c r="CO1540" s="112" t="s">
        <v>544</v>
      </c>
      <c r="CP1540" s="112" t="s">
        <v>523</v>
      </c>
      <c r="CQ1540" s="112" t="s">
        <v>3934</v>
      </c>
      <c r="CR1540" s="112" t="s">
        <v>3935</v>
      </c>
      <c r="CS1540" s="112" t="s">
        <v>3742</v>
      </c>
      <c r="CT1540" s="112" t="s">
        <v>3743</v>
      </c>
      <c r="CU1540" s="112" t="s">
        <v>796</v>
      </c>
      <c r="CV1540" s="113" t="s">
        <v>3744</v>
      </c>
      <c r="CX1540" s="36">
        <v>1</v>
      </c>
    </row>
    <row r="1541" spans="91:102" ht="21" customHeight="1" x14ac:dyDescent="0.25">
      <c r="CM1541" s="102"/>
      <c r="CN1541" s="112" t="s">
        <v>3936</v>
      </c>
      <c r="CO1541" s="112" t="s">
        <v>544</v>
      </c>
      <c r="CP1541" s="112" t="s">
        <v>523</v>
      </c>
      <c r="CQ1541" s="112" t="s">
        <v>3937</v>
      </c>
      <c r="CR1541" s="112" t="s">
        <v>3938</v>
      </c>
      <c r="CS1541" s="112" t="s">
        <v>610</v>
      </c>
      <c r="CT1541" s="112" t="s">
        <v>611</v>
      </c>
      <c r="CU1541" s="112" t="s">
        <v>527</v>
      </c>
      <c r="CV1541" s="113" t="s">
        <v>612</v>
      </c>
      <c r="CX1541" s="36">
        <v>1</v>
      </c>
    </row>
    <row r="1542" spans="91:102" ht="21" customHeight="1" x14ac:dyDescent="0.25">
      <c r="CM1542" s="102"/>
      <c r="CN1542" s="112" t="s">
        <v>3939</v>
      </c>
      <c r="CO1542" s="112" t="s">
        <v>544</v>
      </c>
      <c r="CP1542" s="112" t="s">
        <v>523</v>
      </c>
      <c r="CQ1542" s="112" t="s">
        <v>3940</v>
      </c>
      <c r="CR1542" s="112" t="s">
        <v>3941</v>
      </c>
      <c r="CS1542" s="112" t="s">
        <v>3742</v>
      </c>
      <c r="CT1542" s="112" t="s">
        <v>3743</v>
      </c>
      <c r="CU1542" s="112" t="s">
        <v>796</v>
      </c>
      <c r="CV1542" s="113" t="s">
        <v>3744</v>
      </c>
      <c r="CX1542" s="36">
        <v>1</v>
      </c>
    </row>
    <row r="1543" spans="91:102" ht="21" customHeight="1" x14ac:dyDescent="0.25">
      <c r="CM1543" s="102"/>
      <c r="CN1543" s="112" t="s">
        <v>3942</v>
      </c>
      <c r="CO1543" s="112" t="s">
        <v>544</v>
      </c>
      <c r="CP1543" s="112" t="s">
        <v>523</v>
      </c>
      <c r="CQ1543" s="112" t="s">
        <v>3943</v>
      </c>
      <c r="CR1543" s="112" t="s">
        <v>3944</v>
      </c>
      <c r="CS1543" s="112" t="s">
        <v>525</v>
      </c>
      <c r="CT1543" s="112" t="s">
        <v>3757</v>
      </c>
      <c r="CU1543" s="112" t="s">
        <v>527</v>
      </c>
      <c r="CV1543" s="113" t="s">
        <v>528</v>
      </c>
      <c r="CX1543" s="36">
        <v>1</v>
      </c>
    </row>
    <row r="1544" spans="91:102" ht="21" customHeight="1" x14ac:dyDescent="0.25">
      <c r="CM1544" s="102"/>
      <c r="CN1544" s="112" t="s">
        <v>3945</v>
      </c>
      <c r="CO1544" s="112" t="s">
        <v>544</v>
      </c>
      <c r="CP1544" s="112" t="s">
        <v>523</v>
      </c>
      <c r="CQ1544" s="112" t="s">
        <v>3946</v>
      </c>
      <c r="CR1544" s="112" t="s">
        <v>3947</v>
      </c>
      <c r="CS1544" s="112" t="s">
        <v>3742</v>
      </c>
      <c r="CT1544" s="112" t="s">
        <v>3743</v>
      </c>
      <c r="CU1544" s="112" t="s">
        <v>796</v>
      </c>
      <c r="CV1544" s="113" t="s">
        <v>3744</v>
      </c>
      <c r="CX1544" s="36">
        <v>1</v>
      </c>
    </row>
    <row r="1545" spans="91:102" ht="21" customHeight="1" x14ac:dyDescent="0.25">
      <c r="CM1545" s="102"/>
      <c r="CN1545" s="112" t="s">
        <v>3948</v>
      </c>
      <c r="CO1545" s="112" t="s">
        <v>544</v>
      </c>
      <c r="CP1545" s="112" t="s">
        <v>523</v>
      </c>
      <c r="CQ1545" s="112" t="s">
        <v>3949</v>
      </c>
      <c r="CR1545" s="112" t="s">
        <v>3950</v>
      </c>
      <c r="CS1545" s="112" t="s">
        <v>3742</v>
      </c>
      <c r="CT1545" s="112" t="s">
        <v>3743</v>
      </c>
      <c r="CU1545" s="112" t="s">
        <v>796</v>
      </c>
      <c r="CV1545" s="113" t="s">
        <v>3744</v>
      </c>
      <c r="CX1545" s="36">
        <v>1</v>
      </c>
    </row>
    <row r="1546" spans="91:102" ht="21" customHeight="1" x14ac:dyDescent="0.25">
      <c r="CM1546" s="102"/>
      <c r="CN1546" s="112" t="s">
        <v>3951</v>
      </c>
      <c r="CO1546" s="112" t="s">
        <v>544</v>
      </c>
      <c r="CP1546" s="112" t="s">
        <v>523</v>
      </c>
      <c r="CQ1546" s="112" t="s">
        <v>3952</v>
      </c>
      <c r="CR1546" s="112" t="s">
        <v>3953</v>
      </c>
      <c r="CS1546" s="112" t="s">
        <v>525</v>
      </c>
      <c r="CT1546" s="112" t="s">
        <v>3757</v>
      </c>
      <c r="CU1546" s="112" t="s">
        <v>527</v>
      </c>
      <c r="CV1546" s="113" t="s">
        <v>528</v>
      </c>
      <c r="CX1546" s="36">
        <v>1</v>
      </c>
    </row>
    <row r="1547" spans="91:102" ht="21" customHeight="1" x14ac:dyDescent="0.25">
      <c r="CM1547" s="102"/>
      <c r="CN1547" s="112" t="s">
        <v>3954</v>
      </c>
      <c r="CO1547" s="112" t="s">
        <v>544</v>
      </c>
      <c r="CP1547" s="112" t="s">
        <v>523</v>
      </c>
      <c r="CQ1547" s="112" t="s">
        <v>1605</v>
      </c>
      <c r="CR1547" s="112" t="s">
        <v>1606</v>
      </c>
      <c r="CS1547" s="112" t="s">
        <v>525</v>
      </c>
      <c r="CT1547" s="112" t="s">
        <v>3757</v>
      </c>
      <c r="CU1547" s="112" t="s">
        <v>527</v>
      </c>
      <c r="CV1547" s="113" t="s">
        <v>528</v>
      </c>
      <c r="CX1547" s="36">
        <v>1</v>
      </c>
    </row>
    <row r="1548" spans="91:102" ht="21" customHeight="1" x14ac:dyDescent="0.25">
      <c r="CM1548" s="102"/>
      <c r="CN1548" s="112" t="s">
        <v>3955</v>
      </c>
      <c r="CO1548" s="112" t="s">
        <v>544</v>
      </c>
      <c r="CP1548" s="112" t="s">
        <v>523</v>
      </c>
      <c r="CQ1548" s="112" t="s">
        <v>3956</v>
      </c>
      <c r="CR1548" s="112" t="s">
        <v>3957</v>
      </c>
      <c r="CS1548" s="112" t="s">
        <v>525</v>
      </c>
      <c r="CT1548" s="112" t="s">
        <v>3757</v>
      </c>
      <c r="CU1548" s="112" t="s">
        <v>527</v>
      </c>
      <c r="CV1548" s="113" t="s">
        <v>528</v>
      </c>
      <c r="CX1548" s="36">
        <v>1</v>
      </c>
    </row>
    <row r="1549" spans="91:102" ht="21" customHeight="1" x14ac:dyDescent="0.25">
      <c r="CM1549" s="102"/>
      <c r="CN1549" s="112" t="s">
        <v>3958</v>
      </c>
      <c r="CO1549" s="112" t="s">
        <v>544</v>
      </c>
      <c r="CP1549" s="112" t="s">
        <v>523</v>
      </c>
      <c r="CQ1549" s="112" t="s">
        <v>3959</v>
      </c>
      <c r="CR1549" s="112" t="s">
        <v>3959</v>
      </c>
      <c r="CS1549" s="112" t="s">
        <v>3742</v>
      </c>
      <c r="CT1549" s="112" t="s">
        <v>3743</v>
      </c>
      <c r="CU1549" s="112" t="s">
        <v>796</v>
      </c>
      <c r="CV1549" s="113" t="s">
        <v>3744</v>
      </c>
      <c r="CX1549" s="36">
        <v>1</v>
      </c>
    </row>
    <row r="1550" spans="91:102" ht="21" customHeight="1" x14ac:dyDescent="0.25">
      <c r="CM1550" s="102"/>
      <c r="CN1550" s="112" t="s">
        <v>3960</v>
      </c>
      <c r="CO1550" s="112" t="s">
        <v>544</v>
      </c>
      <c r="CP1550" s="112" t="s">
        <v>523</v>
      </c>
      <c r="CQ1550" s="112" t="s">
        <v>3961</v>
      </c>
      <c r="CR1550" s="112" t="s">
        <v>3961</v>
      </c>
      <c r="CS1550" s="112" t="s">
        <v>3742</v>
      </c>
      <c r="CT1550" s="112" t="s">
        <v>3743</v>
      </c>
      <c r="CU1550" s="112" t="s">
        <v>796</v>
      </c>
      <c r="CV1550" s="113" t="s">
        <v>3744</v>
      </c>
      <c r="CX1550" s="36">
        <v>1</v>
      </c>
    </row>
    <row r="1551" spans="91:102" ht="21" customHeight="1" x14ac:dyDescent="0.25">
      <c r="CM1551" s="102"/>
      <c r="CN1551" s="112" t="s">
        <v>3962</v>
      </c>
      <c r="CO1551" s="112" t="s">
        <v>544</v>
      </c>
      <c r="CP1551" s="112" t="s">
        <v>523</v>
      </c>
      <c r="CQ1551" s="112" t="s">
        <v>3963</v>
      </c>
      <c r="CR1551" s="112" t="s">
        <v>3963</v>
      </c>
      <c r="CS1551" s="112" t="s">
        <v>3742</v>
      </c>
      <c r="CT1551" s="112" t="s">
        <v>3743</v>
      </c>
      <c r="CU1551" s="112" t="s">
        <v>796</v>
      </c>
      <c r="CV1551" s="113" t="s">
        <v>3744</v>
      </c>
      <c r="CX1551" s="36">
        <v>1</v>
      </c>
    </row>
    <row r="1552" spans="91:102" ht="21" customHeight="1" x14ac:dyDescent="0.25">
      <c r="CM1552" s="102"/>
      <c r="CN1552" s="112" t="s">
        <v>3964</v>
      </c>
      <c r="CO1552" s="112" t="s">
        <v>544</v>
      </c>
      <c r="CP1552" s="112" t="s">
        <v>523</v>
      </c>
      <c r="CQ1552" s="112" t="s">
        <v>3965</v>
      </c>
      <c r="CR1552" s="112" t="s">
        <v>3965</v>
      </c>
      <c r="CS1552" s="112" t="s">
        <v>3742</v>
      </c>
      <c r="CT1552" s="112" t="s">
        <v>3743</v>
      </c>
      <c r="CU1552" s="112" t="s">
        <v>796</v>
      </c>
      <c r="CV1552" s="113" t="s">
        <v>3744</v>
      </c>
      <c r="CX1552" s="36">
        <v>1</v>
      </c>
    </row>
    <row r="1553" spans="91:102" ht="21" customHeight="1" x14ac:dyDescent="0.25">
      <c r="CM1553" s="102"/>
      <c r="CN1553" s="112" t="s">
        <v>3966</v>
      </c>
      <c r="CO1553" s="112" t="s">
        <v>544</v>
      </c>
      <c r="CP1553" s="112" t="s">
        <v>523</v>
      </c>
      <c r="CQ1553" s="112" t="s">
        <v>3967</v>
      </c>
      <c r="CR1553" s="112" t="s">
        <v>3967</v>
      </c>
      <c r="CS1553" s="112" t="s">
        <v>3742</v>
      </c>
      <c r="CT1553" s="112" t="s">
        <v>3743</v>
      </c>
      <c r="CU1553" s="112" t="s">
        <v>796</v>
      </c>
      <c r="CV1553" s="113" t="s">
        <v>3744</v>
      </c>
      <c r="CX1553" s="36">
        <v>1</v>
      </c>
    </row>
    <row r="1554" spans="91:102" ht="21" customHeight="1" x14ac:dyDescent="0.25">
      <c r="CM1554" s="102"/>
      <c r="CN1554" s="112" t="s">
        <v>3968</v>
      </c>
      <c r="CO1554" s="112" t="s">
        <v>544</v>
      </c>
      <c r="CP1554" s="112" t="s">
        <v>523</v>
      </c>
      <c r="CQ1554" s="112" t="s">
        <v>3969</v>
      </c>
      <c r="CR1554" s="112" t="s">
        <v>3969</v>
      </c>
      <c r="CS1554" s="112" t="s">
        <v>525</v>
      </c>
      <c r="CT1554" s="112" t="s">
        <v>3757</v>
      </c>
      <c r="CU1554" s="112" t="s">
        <v>527</v>
      </c>
      <c r="CV1554" s="113" t="s">
        <v>528</v>
      </c>
      <c r="CX1554" s="36">
        <v>1</v>
      </c>
    </row>
    <row r="1555" spans="91:102" ht="21" customHeight="1" x14ac:dyDescent="0.25">
      <c r="CM1555" s="102"/>
      <c r="CN1555" s="112" t="s">
        <v>3970</v>
      </c>
      <c r="CO1555" s="112" t="s">
        <v>544</v>
      </c>
      <c r="CP1555" s="112" t="s">
        <v>523</v>
      </c>
      <c r="CQ1555" s="112" t="s">
        <v>3971</v>
      </c>
      <c r="CR1555" s="112" t="s">
        <v>3971</v>
      </c>
      <c r="CS1555" s="112" t="s">
        <v>525</v>
      </c>
      <c r="CT1555" s="112" t="s">
        <v>3757</v>
      </c>
      <c r="CU1555" s="112" t="s">
        <v>527</v>
      </c>
      <c r="CV1555" s="113" t="s">
        <v>528</v>
      </c>
      <c r="CX1555" s="36">
        <v>1</v>
      </c>
    </row>
    <row r="1556" spans="91:102" ht="21" customHeight="1" x14ac:dyDescent="0.25">
      <c r="CM1556" s="102"/>
      <c r="CN1556" s="112" t="s">
        <v>3972</v>
      </c>
      <c r="CO1556" s="112" t="s">
        <v>544</v>
      </c>
      <c r="CP1556" s="112" t="s">
        <v>523</v>
      </c>
      <c r="CQ1556" s="112" t="s">
        <v>3973</v>
      </c>
      <c r="CR1556" s="112" t="s">
        <v>3973</v>
      </c>
      <c r="CS1556" s="112" t="s">
        <v>525</v>
      </c>
      <c r="CT1556" s="112" t="s">
        <v>3757</v>
      </c>
      <c r="CU1556" s="112" t="s">
        <v>527</v>
      </c>
      <c r="CV1556" s="113" t="s">
        <v>528</v>
      </c>
      <c r="CX1556" s="36">
        <v>1</v>
      </c>
    </row>
    <row r="1557" spans="91:102" ht="21" customHeight="1" x14ac:dyDescent="0.25">
      <c r="CM1557" s="102"/>
      <c r="CN1557" s="112" t="s">
        <v>3974</v>
      </c>
      <c r="CO1557" s="112" t="s">
        <v>544</v>
      </c>
      <c r="CP1557" s="112" t="s">
        <v>523</v>
      </c>
      <c r="CQ1557" s="112" t="s">
        <v>3975</v>
      </c>
      <c r="CR1557" s="112" t="s">
        <v>3976</v>
      </c>
      <c r="CS1557" s="112" t="s">
        <v>3742</v>
      </c>
      <c r="CT1557" s="112" t="s">
        <v>3743</v>
      </c>
      <c r="CU1557" s="112" t="s">
        <v>796</v>
      </c>
      <c r="CV1557" s="113" t="s">
        <v>3744</v>
      </c>
      <c r="CX1557" s="36">
        <v>1</v>
      </c>
    </row>
    <row r="1558" spans="91:102" ht="21" customHeight="1" x14ac:dyDescent="0.25">
      <c r="CM1558" s="102"/>
      <c r="CN1558" s="112" t="s">
        <v>3977</v>
      </c>
      <c r="CO1558" s="112" t="s">
        <v>544</v>
      </c>
      <c r="CP1558" s="112" t="s">
        <v>523</v>
      </c>
      <c r="CQ1558" s="112" t="s">
        <v>3978</v>
      </c>
      <c r="CR1558" s="112" t="s">
        <v>3978</v>
      </c>
      <c r="CS1558" s="112" t="s">
        <v>3742</v>
      </c>
      <c r="CT1558" s="112" t="s">
        <v>3743</v>
      </c>
      <c r="CU1558" s="112" t="s">
        <v>796</v>
      </c>
      <c r="CV1558" s="113" t="s">
        <v>3744</v>
      </c>
      <c r="CX1558" s="36">
        <v>1</v>
      </c>
    </row>
    <row r="1559" spans="91:102" ht="21" customHeight="1" x14ac:dyDescent="0.25">
      <c r="CM1559" s="102"/>
      <c r="CN1559" s="112" t="s">
        <v>3979</v>
      </c>
      <c r="CO1559" s="112" t="s">
        <v>544</v>
      </c>
      <c r="CP1559" s="112" t="s">
        <v>523</v>
      </c>
      <c r="CQ1559" s="112" t="s">
        <v>3980</v>
      </c>
      <c r="CR1559" s="112" t="s">
        <v>3981</v>
      </c>
      <c r="CS1559" s="112" t="s">
        <v>3742</v>
      </c>
      <c r="CT1559" s="112" t="s">
        <v>3743</v>
      </c>
      <c r="CU1559" s="112" t="s">
        <v>796</v>
      </c>
      <c r="CV1559" s="113" t="s">
        <v>3744</v>
      </c>
      <c r="CX1559" s="36">
        <v>1</v>
      </c>
    </row>
    <row r="1560" spans="91:102" ht="21" customHeight="1" x14ac:dyDescent="0.25">
      <c r="CM1560" s="102"/>
      <c r="CN1560" s="112" t="s">
        <v>3982</v>
      </c>
      <c r="CO1560" s="112" t="s">
        <v>544</v>
      </c>
      <c r="CP1560" s="112" t="s">
        <v>523</v>
      </c>
      <c r="CQ1560" s="112" t="s">
        <v>3983</v>
      </c>
      <c r="CR1560" s="112" t="s">
        <v>3984</v>
      </c>
      <c r="CS1560" s="112" t="s">
        <v>3742</v>
      </c>
      <c r="CT1560" s="112" t="s">
        <v>3743</v>
      </c>
      <c r="CU1560" s="112" t="s">
        <v>796</v>
      </c>
      <c r="CV1560" s="113" t="s">
        <v>3744</v>
      </c>
      <c r="CX1560" s="36">
        <v>1</v>
      </c>
    </row>
    <row r="1561" spans="91:102" ht="21" customHeight="1" x14ac:dyDescent="0.25">
      <c r="CM1561" s="102"/>
      <c r="CN1561" s="112" t="s">
        <v>3985</v>
      </c>
      <c r="CO1561" s="112" t="s">
        <v>544</v>
      </c>
      <c r="CP1561" s="112" t="s">
        <v>523</v>
      </c>
      <c r="CQ1561" s="112" t="s">
        <v>3986</v>
      </c>
      <c r="CR1561" s="112" t="s">
        <v>3986</v>
      </c>
      <c r="CS1561" s="112" t="s">
        <v>3742</v>
      </c>
      <c r="CT1561" s="112" t="s">
        <v>3743</v>
      </c>
      <c r="CU1561" s="112" t="s">
        <v>796</v>
      </c>
      <c r="CV1561" s="113" t="s">
        <v>3744</v>
      </c>
      <c r="CX1561" s="36">
        <v>1</v>
      </c>
    </row>
    <row r="1562" spans="91:102" ht="21" customHeight="1" x14ac:dyDescent="0.25">
      <c r="CM1562" s="102"/>
      <c r="CN1562" s="112" t="s">
        <v>3987</v>
      </c>
      <c r="CO1562" s="112" t="s">
        <v>544</v>
      </c>
      <c r="CP1562" s="112" t="s">
        <v>523</v>
      </c>
      <c r="CQ1562" s="112" t="s">
        <v>3988</v>
      </c>
      <c r="CR1562" s="112" t="s">
        <v>3988</v>
      </c>
      <c r="CS1562" s="112" t="s">
        <v>525</v>
      </c>
      <c r="CT1562" s="112" t="s">
        <v>3757</v>
      </c>
      <c r="CU1562" s="112" t="s">
        <v>527</v>
      </c>
      <c r="CV1562" s="113" t="s">
        <v>528</v>
      </c>
      <c r="CX1562" s="36">
        <v>1</v>
      </c>
    </row>
    <row r="1563" spans="91:102" ht="21" customHeight="1" x14ac:dyDescent="0.25">
      <c r="CM1563" s="102"/>
      <c r="CN1563" s="112" t="s">
        <v>3989</v>
      </c>
      <c r="CO1563" s="112" t="s">
        <v>544</v>
      </c>
      <c r="CP1563" s="112" t="s">
        <v>523</v>
      </c>
      <c r="CQ1563" s="112" t="s">
        <v>3990</v>
      </c>
      <c r="CR1563" s="112" t="s">
        <v>3990</v>
      </c>
      <c r="CS1563" s="112" t="s">
        <v>525</v>
      </c>
      <c r="CT1563" s="112" t="s">
        <v>3757</v>
      </c>
      <c r="CU1563" s="112" t="s">
        <v>527</v>
      </c>
      <c r="CV1563" s="113" t="s">
        <v>528</v>
      </c>
      <c r="CX1563" s="36">
        <v>1</v>
      </c>
    </row>
    <row r="1564" spans="91:102" ht="21" customHeight="1" x14ac:dyDescent="0.25">
      <c r="CM1564" s="102"/>
      <c r="CN1564" s="112" t="s">
        <v>3991</v>
      </c>
      <c r="CO1564" s="112" t="s">
        <v>544</v>
      </c>
      <c r="CP1564" s="112" t="s">
        <v>523</v>
      </c>
      <c r="CQ1564" s="112" t="s">
        <v>3992</v>
      </c>
      <c r="CR1564" s="112" t="s">
        <v>3992</v>
      </c>
      <c r="CS1564" s="112" t="s">
        <v>3742</v>
      </c>
      <c r="CT1564" s="112" t="s">
        <v>3743</v>
      </c>
      <c r="CU1564" s="112" t="s">
        <v>796</v>
      </c>
      <c r="CV1564" s="113" t="s">
        <v>3744</v>
      </c>
      <c r="CX1564" s="36">
        <v>1</v>
      </c>
    </row>
    <row r="1565" spans="91:102" ht="21" customHeight="1" x14ac:dyDescent="0.25">
      <c r="CM1565" s="102"/>
      <c r="CN1565" s="112" t="s">
        <v>3993</v>
      </c>
      <c r="CO1565" s="112" t="s">
        <v>544</v>
      </c>
      <c r="CP1565" s="112" t="s">
        <v>523</v>
      </c>
      <c r="CQ1565" s="112" t="s">
        <v>3994</v>
      </c>
      <c r="CR1565" s="112" t="s">
        <v>3994</v>
      </c>
      <c r="CS1565" s="112" t="s">
        <v>525</v>
      </c>
      <c r="CT1565" s="112" t="s">
        <v>3757</v>
      </c>
      <c r="CU1565" s="112" t="s">
        <v>527</v>
      </c>
      <c r="CV1565" s="113" t="s">
        <v>528</v>
      </c>
      <c r="CX1565" s="36">
        <v>1</v>
      </c>
    </row>
    <row r="1566" spans="91:102" ht="21" customHeight="1" x14ac:dyDescent="0.25">
      <c r="CM1566" s="102"/>
      <c r="CN1566" s="112" t="s">
        <v>3995</v>
      </c>
      <c r="CO1566" s="112" t="s">
        <v>544</v>
      </c>
      <c r="CP1566" s="112" t="s">
        <v>523</v>
      </c>
      <c r="CQ1566" s="112" t="s">
        <v>3996</v>
      </c>
      <c r="CR1566" s="112" t="s">
        <v>3996</v>
      </c>
      <c r="CS1566" s="112" t="s">
        <v>525</v>
      </c>
      <c r="CT1566" s="112" t="s">
        <v>3757</v>
      </c>
      <c r="CU1566" s="112" t="s">
        <v>527</v>
      </c>
      <c r="CV1566" s="113" t="s">
        <v>528</v>
      </c>
      <c r="CX1566" s="36">
        <v>1</v>
      </c>
    </row>
    <row r="1567" spans="91:102" ht="21" customHeight="1" x14ac:dyDescent="0.25">
      <c r="CM1567" s="102"/>
      <c r="CN1567" s="112" t="s">
        <v>3997</v>
      </c>
      <c r="CO1567" s="112" t="s">
        <v>544</v>
      </c>
      <c r="CP1567" s="112" t="s">
        <v>523</v>
      </c>
      <c r="CQ1567" s="112" t="s">
        <v>3998</v>
      </c>
      <c r="CR1567" s="112" t="s">
        <v>3999</v>
      </c>
      <c r="CS1567" s="112" t="s">
        <v>3742</v>
      </c>
      <c r="CT1567" s="112" t="s">
        <v>3743</v>
      </c>
      <c r="CU1567" s="112" t="s">
        <v>796</v>
      </c>
      <c r="CV1567" s="113" t="s">
        <v>3744</v>
      </c>
      <c r="CX1567" s="36">
        <v>1</v>
      </c>
    </row>
    <row r="1568" spans="91:102" ht="21" customHeight="1" x14ac:dyDescent="0.25">
      <c r="CM1568" s="102"/>
      <c r="CN1568" s="112" t="s">
        <v>4000</v>
      </c>
      <c r="CO1568" s="112" t="s">
        <v>544</v>
      </c>
      <c r="CP1568" s="112" t="s">
        <v>523</v>
      </c>
      <c r="CQ1568" s="112" t="s">
        <v>4001</v>
      </c>
      <c r="CR1568" s="112" t="s">
        <v>4001</v>
      </c>
      <c r="CS1568" s="112" t="s">
        <v>3742</v>
      </c>
      <c r="CT1568" s="112" t="s">
        <v>3743</v>
      </c>
      <c r="CU1568" s="112" t="s">
        <v>796</v>
      </c>
      <c r="CV1568" s="113" t="s">
        <v>3744</v>
      </c>
      <c r="CX1568" s="36">
        <v>1</v>
      </c>
    </row>
    <row r="1569" spans="91:102" ht="21" customHeight="1" x14ac:dyDescent="0.25">
      <c r="CM1569" s="102"/>
      <c r="CN1569" s="112" t="s">
        <v>4002</v>
      </c>
      <c r="CO1569" s="112" t="s">
        <v>544</v>
      </c>
      <c r="CP1569" s="112" t="s">
        <v>523</v>
      </c>
      <c r="CQ1569" s="112" t="s">
        <v>4003</v>
      </c>
      <c r="CR1569" s="112" t="s">
        <v>4003</v>
      </c>
      <c r="CS1569" s="112" t="s">
        <v>525</v>
      </c>
      <c r="CT1569" s="112" t="s">
        <v>3757</v>
      </c>
      <c r="CU1569" s="112" t="s">
        <v>527</v>
      </c>
      <c r="CV1569" s="113" t="s">
        <v>528</v>
      </c>
      <c r="CX1569" s="36">
        <v>1</v>
      </c>
    </row>
    <row r="1570" spans="91:102" ht="21" customHeight="1" x14ac:dyDescent="0.25">
      <c r="CM1570" s="102"/>
      <c r="CN1570" s="112" t="s">
        <v>4004</v>
      </c>
      <c r="CO1570" s="112" t="s">
        <v>544</v>
      </c>
      <c r="CP1570" s="112" t="s">
        <v>523</v>
      </c>
      <c r="CQ1570" s="112" t="s">
        <v>4005</v>
      </c>
      <c r="CR1570" s="112" t="s">
        <v>4006</v>
      </c>
      <c r="CS1570" s="112" t="s">
        <v>3742</v>
      </c>
      <c r="CT1570" s="112" t="s">
        <v>3743</v>
      </c>
      <c r="CU1570" s="112" t="s">
        <v>796</v>
      </c>
      <c r="CV1570" s="113" t="s">
        <v>3744</v>
      </c>
      <c r="CX1570" s="36">
        <v>1</v>
      </c>
    </row>
    <row r="1571" spans="91:102" ht="21" customHeight="1" x14ac:dyDescent="0.25">
      <c r="CM1571" s="102"/>
      <c r="CN1571" s="112" t="s">
        <v>4007</v>
      </c>
      <c r="CO1571" s="112" t="s">
        <v>544</v>
      </c>
      <c r="CP1571" s="112" t="s">
        <v>523</v>
      </c>
      <c r="CQ1571" s="112" t="s">
        <v>4008</v>
      </c>
      <c r="CR1571" s="112" t="s">
        <v>4008</v>
      </c>
      <c r="CS1571" s="112" t="s">
        <v>3742</v>
      </c>
      <c r="CT1571" s="112" t="s">
        <v>3743</v>
      </c>
      <c r="CU1571" s="112" t="s">
        <v>796</v>
      </c>
      <c r="CV1571" s="113" t="s">
        <v>3744</v>
      </c>
      <c r="CX1571" s="36">
        <v>1</v>
      </c>
    </row>
    <row r="1572" spans="91:102" ht="21" customHeight="1" x14ac:dyDescent="0.25">
      <c r="CM1572" s="102"/>
      <c r="CN1572" s="112" t="s">
        <v>4009</v>
      </c>
      <c r="CO1572" s="112" t="s">
        <v>544</v>
      </c>
      <c r="CP1572" s="112" t="s">
        <v>523</v>
      </c>
      <c r="CQ1572" s="112" t="s">
        <v>4010</v>
      </c>
      <c r="CR1572" s="112" t="s">
        <v>4010</v>
      </c>
      <c r="CS1572" s="112" t="s">
        <v>525</v>
      </c>
      <c r="CT1572" s="112" t="s">
        <v>3757</v>
      </c>
      <c r="CU1572" s="112" t="s">
        <v>527</v>
      </c>
      <c r="CV1572" s="113" t="s">
        <v>528</v>
      </c>
      <c r="CX1572" s="36">
        <v>1</v>
      </c>
    </row>
    <row r="1573" spans="91:102" ht="21" customHeight="1" x14ac:dyDescent="0.25">
      <c r="CM1573" s="102"/>
      <c r="CN1573" s="112" t="s">
        <v>4011</v>
      </c>
      <c r="CO1573" s="112" t="s">
        <v>544</v>
      </c>
      <c r="CP1573" s="112" t="s">
        <v>523</v>
      </c>
      <c r="CQ1573" s="112" t="s">
        <v>4012</v>
      </c>
      <c r="CR1573" s="112" t="s">
        <v>4012</v>
      </c>
      <c r="CS1573" s="112" t="s">
        <v>3742</v>
      </c>
      <c r="CT1573" s="112" t="s">
        <v>3743</v>
      </c>
      <c r="CU1573" s="112" t="s">
        <v>796</v>
      </c>
      <c r="CV1573" s="113" t="s">
        <v>3744</v>
      </c>
      <c r="CX1573" s="36">
        <v>1</v>
      </c>
    </row>
    <row r="1574" spans="91:102" ht="21" customHeight="1" x14ac:dyDescent="0.25">
      <c r="CM1574" s="102"/>
      <c r="CN1574" s="112" t="s">
        <v>4013</v>
      </c>
      <c r="CO1574" s="112" t="s">
        <v>544</v>
      </c>
      <c r="CP1574" s="112" t="s">
        <v>523</v>
      </c>
      <c r="CQ1574" s="112" t="s">
        <v>4014</v>
      </c>
      <c r="CR1574" s="112" t="s">
        <v>4015</v>
      </c>
      <c r="CS1574" s="112" t="s">
        <v>3742</v>
      </c>
      <c r="CT1574" s="112" t="s">
        <v>3743</v>
      </c>
      <c r="CU1574" s="112" t="s">
        <v>796</v>
      </c>
      <c r="CV1574" s="113" t="s">
        <v>3744</v>
      </c>
      <c r="CX1574" s="36">
        <v>1</v>
      </c>
    </row>
    <row r="1575" spans="91:102" ht="21" customHeight="1" x14ac:dyDescent="0.25">
      <c r="CM1575" s="102"/>
      <c r="CN1575" s="112" t="s">
        <v>4016</v>
      </c>
      <c r="CO1575" s="112" t="s">
        <v>544</v>
      </c>
      <c r="CP1575" s="112" t="s">
        <v>523</v>
      </c>
      <c r="CQ1575" s="112" t="s">
        <v>4017</v>
      </c>
      <c r="CR1575" s="112" t="s">
        <v>4017</v>
      </c>
      <c r="CS1575" s="112" t="s">
        <v>3742</v>
      </c>
      <c r="CT1575" s="112" t="s">
        <v>3743</v>
      </c>
      <c r="CU1575" s="112" t="s">
        <v>796</v>
      </c>
      <c r="CV1575" s="113" t="s">
        <v>3744</v>
      </c>
      <c r="CX1575" s="36">
        <v>1</v>
      </c>
    </row>
    <row r="1576" spans="91:102" ht="21" customHeight="1" x14ac:dyDescent="0.25">
      <c r="CM1576" s="102"/>
      <c r="CN1576" s="112" t="s">
        <v>4018</v>
      </c>
      <c r="CO1576" s="112" t="s">
        <v>544</v>
      </c>
      <c r="CP1576" s="112" t="s">
        <v>523</v>
      </c>
      <c r="CQ1576" s="112" t="s">
        <v>4019</v>
      </c>
      <c r="CR1576" s="112" t="s">
        <v>4019</v>
      </c>
      <c r="CS1576" s="112" t="s">
        <v>3742</v>
      </c>
      <c r="CT1576" s="112" t="s">
        <v>3743</v>
      </c>
      <c r="CU1576" s="112" t="s">
        <v>796</v>
      </c>
      <c r="CV1576" s="113" t="s">
        <v>3744</v>
      </c>
      <c r="CX1576" s="36">
        <v>1</v>
      </c>
    </row>
    <row r="1577" spans="91:102" ht="21" customHeight="1" x14ac:dyDescent="0.25">
      <c r="CM1577" s="102"/>
      <c r="CN1577" s="112" t="s">
        <v>4020</v>
      </c>
      <c r="CO1577" s="112" t="s">
        <v>544</v>
      </c>
      <c r="CP1577" s="112" t="s">
        <v>523</v>
      </c>
      <c r="CQ1577" s="112" t="s">
        <v>4021</v>
      </c>
      <c r="CR1577" s="112" t="s">
        <v>4021</v>
      </c>
      <c r="CS1577" s="112" t="s">
        <v>3742</v>
      </c>
      <c r="CT1577" s="112" t="s">
        <v>3743</v>
      </c>
      <c r="CU1577" s="112" t="s">
        <v>796</v>
      </c>
      <c r="CV1577" s="113" t="s">
        <v>3744</v>
      </c>
      <c r="CX1577" s="36">
        <v>1</v>
      </c>
    </row>
    <row r="1578" spans="91:102" ht="21" customHeight="1" x14ac:dyDescent="0.25">
      <c r="CM1578" s="102"/>
      <c r="CN1578" s="112" t="s">
        <v>4022</v>
      </c>
      <c r="CO1578" s="112" t="s">
        <v>544</v>
      </c>
      <c r="CP1578" s="112" t="s">
        <v>523</v>
      </c>
      <c r="CQ1578" s="112" t="s">
        <v>4023</v>
      </c>
      <c r="CR1578" s="112" t="s">
        <v>4024</v>
      </c>
      <c r="CS1578" s="112" t="s">
        <v>3742</v>
      </c>
      <c r="CT1578" s="112" t="s">
        <v>3743</v>
      </c>
      <c r="CU1578" s="112" t="s">
        <v>796</v>
      </c>
      <c r="CV1578" s="113" t="s">
        <v>3744</v>
      </c>
      <c r="CX1578" s="36">
        <v>1</v>
      </c>
    </row>
    <row r="1579" spans="91:102" ht="21" customHeight="1" x14ac:dyDescent="0.25">
      <c r="CM1579" s="102"/>
      <c r="CN1579" s="112" t="s">
        <v>4025</v>
      </c>
      <c r="CO1579" s="112" t="s">
        <v>544</v>
      </c>
      <c r="CP1579" s="112" t="s">
        <v>523</v>
      </c>
      <c r="CQ1579" s="112" t="s">
        <v>4026</v>
      </c>
      <c r="CR1579" s="112" t="s">
        <v>4026</v>
      </c>
      <c r="CS1579" s="112" t="s">
        <v>525</v>
      </c>
      <c r="CT1579" s="112" t="s">
        <v>3757</v>
      </c>
      <c r="CU1579" s="112" t="s">
        <v>527</v>
      </c>
      <c r="CV1579" s="113" t="s">
        <v>528</v>
      </c>
      <c r="CX1579" s="36">
        <v>1</v>
      </c>
    </row>
    <row r="1580" spans="91:102" ht="21" customHeight="1" x14ac:dyDescent="0.25">
      <c r="CM1580" s="102"/>
      <c r="CN1580" s="112" t="s">
        <v>4027</v>
      </c>
      <c r="CO1580" s="112" t="s">
        <v>544</v>
      </c>
      <c r="CP1580" s="112" t="s">
        <v>523</v>
      </c>
      <c r="CQ1580" s="112" t="s">
        <v>4028</v>
      </c>
      <c r="CR1580" s="112" t="s">
        <v>4028</v>
      </c>
      <c r="CS1580" s="112" t="s">
        <v>3742</v>
      </c>
      <c r="CT1580" s="112" t="s">
        <v>3743</v>
      </c>
      <c r="CU1580" s="112" t="s">
        <v>796</v>
      </c>
      <c r="CV1580" s="113" t="s">
        <v>3744</v>
      </c>
      <c r="CX1580" s="36">
        <v>1</v>
      </c>
    </row>
    <row r="1581" spans="91:102" ht="21" customHeight="1" x14ac:dyDescent="0.25">
      <c r="CM1581" s="102"/>
      <c r="CN1581" s="112" t="s">
        <v>4029</v>
      </c>
      <c r="CO1581" s="112" t="s">
        <v>544</v>
      </c>
      <c r="CP1581" s="112" t="s">
        <v>523</v>
      </c>
      <c r="CQ1581" s="112" t="s">
        <v>4030</v>
      </c>
      <c r="CR1581" s="112" t="s">
        <v>4030</v>
      </c>
      <c r="CS1581" s="112" t="s">
        <v>525</v>
      </c>
      <c r="CT1581" s="112" t="s">
        <v>3757</v>
      </c>
      <c r="CU1581" s="112" t="s">
        <v>527</v>
      </c>
      <c r="CV1581" s="113" t="s">
        <v>528</v>
      </c>
      <c r="CX1581" s="36">
        <v>1</v>
      </c>
    </row>
    <row r="1582" spans="91:102" ht="21" customHeight="1" x14ac:dyDescent="0.25">
      <c r="CM1582" s="102"/>
      <c r="CN1582" s="112" t="s">
        <v>4031</v>
      </c>
      <c r="CO1582" s="112" t="s">
        <v>544</v>
      </c>
      <c r="CP1582" s="112" t="s">
        <v>523</v>
      </c>
      <c r="CQ1582" s="112" t="s">
        <v>4032</v>
      </c>
      <c r="CR1582" s="112" t="s">
        <v>4032</v>
      </c>
      <c r="CS1582" s="112" t="s">
        <v>3742</v>
      </c>
      <c r="CT1582" s="112" t="s">
        <v>3743</v>
      </c>
      <c r="CU1582" s="112" t="s">
        <v>796</v>
      </c>
      <c r="CV1582" s="113" t="s">
        <v>3744</v>
      </c>
      <c r="CX1582" s="36">
        <v>1</v>
      </c>
    </row>
    <row r="1583" spans="91:102" ht="21" customHeight="1" x14ac:dyDescent="0.25">
      <c r="CM1583" s="102"/>
      <c r="CN1583" s="112" t="s">
        <v>4033</v>
      </c>
      <c r="CO1583" s="112" t="s">
        <v>544</v>
      </c>
      <c r="CP1583" s="112" t="s">
        <v>523</v>
      </c>
      <c r="CQ1583" s="112" t="s">
        <v>4034</v>
      </c>
      <c r="CR1583" s="112" t="s">
        <v>4034</v>
      </c>
      <c r="CS1583" s="112" t="s">
        <v>3742</v>
      </c>
      <c r="CT1583" s="112" t="s">
        <v>3743</v>
      </c>
      <c r="CU1583" s="112" t="s">
        <v>796</v>
      </c>
      <c r="CV1583" s="113" t="s">
        <v>3744</v>
      </c>
      <c r="CX1583" s="36">
        <v>1</v>
      </c>
    </row>
    <row r="1584" spans="91:102" ht="21" customHeight="1" x14ac:dyDescent="0.25">
      <c r="CM1584" s="102"/>
      <c r="CN1584" s="112" t="s">
        <v>4035</v>
      </c>
      <c r="CO1584" s="112" t="s">
        <v>544</v>
      </c>
      <c r="CP1584" s="112" t="s">
        <v>523</v>
      </c>
      <c r="CQ1584" s="112" t="s">
        <v>4036</v>
      </c>
      <c r="CR1584" s="112" t="s">
        <v>4036</v>
      </c>
      <c r="CS1584" s="112" t="s">
        <v>3742</v>
      </c>
      <c r="CT1584" s="112" t="s">
        <v>3743</v>
      </c>
      <c r="CU1584" s="112" t="s">
        <v>796</v>
      </c>
      <c r="CV1584" s="113" t="s">
        <v>3744</v>
      </c>
      <c r="CX1584" s="36">
        <v>1</v>
      </c>
    </row>
    <row r="1585" spans="91:102" ht="21" customHeight="1" x14ac:dyDescent="0.25">
      <c r="CM1585" s="102"/>
      <c r="CN1585" s="112" t="s">
        <v>4037</v>
      </c>
      <c r="CO1585" s="112" t="s">
        <v>544</v>
      </c>
      <c r="CP1585" s="112" t="s">
        <v>523</v>
      </c>
      <c r="CQ1585" s="112" t="s">
        <v>4038</v>
      </c>
      <c r="CR1585" s="112" t="s">
        <v>4038</v>
      </c>
      <c r="CS1585" s="112" t="s">
        <v>525</v>
      </c>
      <c r="CT1585" s="112" t="s">
        <v>3757</v>
      </c>
      <c r="CU1585" s="112" t="s">
        <v>527</v>
      </c>
      <c r="CV1585" s="113" t="s">
        <v>528</v>
      </c>
      <c r="CX1585" s="36">
        <v>1</v>
      </c>
    </row>
    <row r="1586" spans="91:102" ht="21" customHeight="1" x14ac:dyDescent="0.25">
      <c r="CM1586" s="102"/>
      <c r="CN1586" s="112" t="s">
        <v>4039</v>
      </c>
      <c r="CO1586" s="112" t="s">
        <v>544</v>
      </c>
      <c r="CP1586" s="112" t="s">
        <v>523</v>
      </c>
      <c r="CQ1586" s="112" t="s">
        <v>4040</v>
      </c>
      <c r="CR1586" s="112" t="s">
        <v>4040</v>
      </c>
      <c r="CS1586" s="112" t="s">
        <v>525</v>
      </c>
      <c r="CT1586" s="112" t="s">
        <v>3757</v>
      </c>
      <c r="CU1586" s="112" t="s">
        <v>527</v>
      </c>
      <c r="CV1586" s="113" t="s">
        <v>528</v>
      </c>
      <c r="CX1586" s="36">
        <v>1</v>
      </c>
    </row>
    <row r="1587" spans="91:102" ht="21" customHeight="1" x14ac:dyDescent="0.25">
      <c r="CM1587" s="102"/>
      <c r="CN1587" s="112" t="s">
        <v>4041</v>
      </c>
      <c r="CO1587" s="112" t="s">
        <v>544</v>
      </c>
      <c r="CP1587" s="112" t="s">
        <v>523</v>
      </c>
      <c r="CQ1587" s="112" t="s">
        <v>4042</v>
      </c>
      <c r="CR1587" s="112" t="s">
        <v>4042</v>
      </c>
      <c r="CS1587" s="112" t="s">
        <v>525</v>
      </c>
      <c r="CT1587" s="112" t="s">
        <v>3757</v>
      </c>
      <c r="CU1587" s="112" t="s">
        <v>527</v>
      </c>
      <c r="CV1587" s="113" t="s">
        <v>528</v>
      </c>
      <c r="CX1587" s="36">
        <v>1</v>
      </c>
    </row>
    <row r="1588" spans="91:102" ht="21" customHeight="1" x14ac:dyDescent="0.25">
      <c r="CM1588" s="102"/>
      <c r="CN1588" s="112" t="s">
        <v>4043</v>
      </c>
      <c r="CO1588" s="112" t="s">
        <v>544</v>
      </c>
      <c r="CP1588" s="112" t="s">
        <v>523</v>
      </c>
      <c r="CQ1588" s="112" t="s">
        <v>4044</v>
      </c>
      <c r="CR1588" s="112" t="s">
        <v>4044</v>
      </c>
      <c r="CS1588" s="112" t="s">
        <v>525</v>
      </c>
      <c r="CT1588" s="112" t="s">
        <v>3757</v>
      </c>
      <c r="CU1588" s="112" t="s">
        <v>527</v>
      </c>
      <c r="CV1588" s="113" t="s">
        <v>528</v>
      </c>
      <c r="CX1588" s="36">
        <v>1</v>
      </c>
    </row>
    <row r="1589" spans="91:102" ht="21" customHeight="1" x14ac:dyDescent="0.25">
      <c r="CM1589" s="102"/>
      <c r="CN1589" s="112" t="s">
        <v>4045</v>
      </c>
      <c r="CO1589" s="112" t="s">
        <v>544</v>
      </c>
      <c r="CP1589" s="112" t="s">
        <v>523</v>
      </c>
      <c r="CQ1589" s="112" t="s">
        <v>4046</v>
      </c>
      <c r="CR1589" s="112" t="s">
        <v>4046</v>
      </c>
      <c r="CS1589" s="112" t="s">
        <v>3742</v>
      </c>
      <c r="CT1589" s="112" t="s">
        <v>3743</v>
      </c>
      <c r="CU1589" s="112" t="s">
        <v>796</v>
      </c>
      <c r="CV1589" s="113" t="s">
        <v>3744</v>
      </c>
      <c r="CX1589" s="36">
        <v>1</v>
      </c>
    </row>
    <row r="1590" spans="91:102" ht="21" customHeight="1" x14ac:dyDescent="0.25">
      <c r="CM1590" s="102"/>
      <c r="CN1590" s="112" t="s">
        <v>4047</v>
      </c>
      <c r="CO1590" s="112" t="s">
        <v>544</v>
      </c>
      <c r="CP1590" s="112" t="s">
        <v>523</v>
      </c>
      <c r="CQ1590" s="112" t="s">
        <v>4048</v>
      </c>
      <c r="CR1590" s="112" t="s">
        <v>4049</v>
      </c>
      <c r="CS1590" s="112" t="s">
        <v>525</v>
      </c>
      <c r="CT1590" s="112" t="s">
        <v>3757</v>
      </c>
      <c r="CU1590" s="112" t="s">
        <v>527</v>
      </c>
      <c r="CV1590" s="113" t="s">
        <v>528</v>
      </c>
      <c r="CX1590" s="36">
        <v>1</v>
      </c>
    </row>
    <row r="1591" spans="91:102" ht="21" customHeight="1" x14ac:dyDescent="0.25">
      <c r="CM1591" s="102"/>
      <c r="CN1591" s="112" t="s">
        <v>4050</v>
      </c>
      <c r="CO1591" s="112" t="s">
        <v>544</v>
      </c>
      <c r="CP1591" s="112" t="s">
        <v>523</v>
      </c>
      <c r="CQ1591" s="112" t="s">
        <v>4051</v>
      </c>
      <c r="CR1591" s="112" t="s">
        <v>4052</v>
      </c>
      <c r="CS1591" s="112" t="s">
        <v>3742</v>
      </c>
      <c r="CT1591" s="112" t="s">
        <v>3743</v>
      </c>
      <c r="CU1591" s="112" t="s">
        <v>796</v>
      </c>
      <c r="CV1591" s="113" t="s">
        <v>3744</v>
      </c>
      <c r="CX1591" s="36">
        <v>1</v>
      </c>
    </row>
    <row r="1592" spans="91:102" ht="21" customHeight="1" x14ac:dyDescent="0.25">
      <c r="CM1592" s="102"/>
      <c r="CN1592" s="112" t="s">
        <v>4053</v>
      </c>
      <c r="CO1592" s="112" t="s">
        <v>544</v>
      </c>
      <c r="CP1592" s="112" t="s">
        <v>523</v>
      </c>
      <c r="CQ1592" s="112" t="s">
        <v>4054</v>
      </c>
      <c r="CR1592" s="112" t="s">
        <v>4054</v>
      </c>
      <c r="CS1592" s="112" t="s">
        <v>525</v>
      </c>
      <c r="CT1592" s="112" t="s">
        <v>3757</v>
      </c>
      <c r="CU1592" s="112" t="s">
        <v>527</v>
      </c>
      <c r="CV1592" s="113" t="s">
        <v>528</v>
      </c>
      <c r="CX1592" s="36">
        <v>1</v>
      </c>
    </row>
    <row r="1593" spans="91:102" ht="21" customHeight="1" x14ac:dyDescent="0.25">
      <c r="CM1593" s="102"/>
      <c r="CN1593" s="112" t="s">
        <v>4055</v>
      </c>
      <c r="CO1593" s="112" t="s">
        <v>544</v>
      </c>
      <c r="CP1593" s="112" t="s">
        <v>523</v>
      </c>
      <c r="CQ1593" s="112" t="s">
        <v>4056</v>
      </c>
      <c r="CR1593" s="112" t="s">
        <v>4056</v>
      </c>
      <c r="CS1593" s="112" t="s">
        <v>3742</v>
      </c>
      <c r="CT1593" s="112" t="s">
        <v>3743</v>
      </c>
      <c r="CU1593" s="112" t="s">
        <v>796</v>
      </c>
      <c r="CV1593" s="113" t="s">
        <v>3744</v>
      </c>
      <c r="CX1593" s="36">
        <v>1</v>
      </c>
    </row>
    <row r="1594" spans="91:102" ht="21" customHeight="1" x14ac:dyDescent="0.25">
      <c r="CM1594" s="102"/>
      <c r="CN1594" s="112" t="s">
        <v>4057</v>
      </c>
      <c r="CO1594" s="112" t="s">
        <v>544</v>
      </c>
      <c r="CP1594" s="112" t="s">
        <v>523</v>
      </c>
      <c r="CQ1594" s="112" t="s">
        <v>4058</v>
      </c>
      <c r="CR1594" s="112" t="s">
        <v>4058</v>
      </c>
      <c r="CS1594" s="112" t="s">
        <v>3742</v>
      </c>
      <c r="CT1594" s="112" t="s">
        <v>3743</v>
      </c>
      <c r="CU1594" s="112" t="s">
        <v>796</v>
      </c>
      <c r="CV1594" s="113" t="s">
        <v>3744</v>
      </c>
      <c r="CX1594" s="36">
        <v>1</v>
      </c>
    </row>
    <row r="1595" spans="91:102" ht="21" customHeight="1" x14ac:dyDescent="0.25">
      <c r="CM1595" s="102"/>
      <c r="CN1595" s="112" t="s">
        <v>4059</v>
      </c>
      <c r="CO1595" s="112" t="s">
        <v>544</v>
      </c>
      <c r="CP1595" s="112" t="s">
        <v>523</v>
      </c>
      <c r="CQ1595" s="112" t="s">
        <v>4060</v>
      </c>
      <c r="CR1595" s="112" t="s">
        <v>4060</v>
      </c>
      <c r="CS1595" s="112" t="s">
        <v>3742</v>
      </c>
      <c r="CT1595" s="112" t="s">
        <v>3743</v>
      </c>
      <c r="CU1595" s="112" t="s">
        <v>796</v>
      </c>
      <c r="CV1595" s="113" t="s">
        <v>3744</v>
      </c>
      <c r="CX1595" s="36">
        <v>1</v>
      </c>
    </row>
    <row r="1596" spans="91:102" ht="21" customHeight="1" x14ac:dyDescent="0.25">
      <c r="CM1596" s="102"/>
      <c r="CN1596" s="112" t="s">
        <v>4061</v>
      </c>
      <c r="CO1596" s="112" t="s">
        <v>544</v>
      </c>
      <c r="CP1596" s="112" t="s">
        <v>523</v>
      </c>
      <c r="CQ1596" s="112" t="s">
        <v>4062</v>
      </c>
      <c r="CR1596" s="112" t="s">
        <v>4062</v>
      </c>
      <c r="CS1596" s="112" t="s">
        <v>610</v>
      </c>
      <c r="CT1596" s="112" t="s">
        <v>611</v>
      </c>
      <c r="CU1596" s="112" t="s">
        <v>527</v>
      </c>
      <c r="CV1596" s="113" t="s">
        <v>612</v>
      </c>
      <c r="CX1596" s="36">
        <v>1</v>
      </c>
    </row>
    <row r="1597" spans="91:102" ht="21" customHeight="1" x14ac:dyDescent="0.25">
      <c r="CM1597" s="102"/>
      <c r="CN1597" s="112" t="s">
        <v>4063</v>
      </c>
      <c r="CO1597" s="112" t="s">
        <v>544</v>
      </c>
      <c r="CP1597" s="112" t="s">
        <v>523</v>
      </c>
      <c r="CQ1597" s="112" t="s">
        <v>4064</v>
      </c>
      <c r="CR1597" s="112" t="s">
        <v>4064</v>
      </c>
      <c r="CS1597" s="112" t="s">
        <v>3742</v>
      </c>
      <c r="CT1597" s="112" t="s">
        <v>3743</v>
      </c>
      <c r="CU1597" s="112" t="s">
        <v>796</v>
      </c>
      <c r="CV1597" s="113" t="s">
        <v>3744</v>
      </c>
      <c r="CX1597" s="36">
        <v>1</v>
      </c>
    </row>
    <row r="1598" spans="91:102" ht="21" customHeight="1" x14ac:dyDescent="0.25">
      <c r="CM1598" s="102"/>
      <c r="CN1598" s="112" t="s">
        <v>4065</v>
      </c>
      <c r="CO1598" s="112" t="s">
        <v>544</v>
      </c>
      <c r="CP1598" s="112" t="s">
        <v>523</v>
      </c>
      <c r="CQ1598" s="112" t="s">
        <v>4066</v>
      </c>
      <c r="CR1598" s="112" t="s">
        <v>4066</v>
      </c>
      <c r="CS1598" s="112" t="s">
        <v>3742</v>
      </c>
      <c r="CT1598" s="112" t="s">
        <v>3743</v>
      </c>
      <c r="CU1598" s="112" t="s">
        <v>796</v>
      </c>
      <c r="CV1598" s="113" t="s">
        <v>3744</v>
      </c>
      <c r="CX1598" s="36">
        <v>1</v>
      </c>
    </row>
    <row r="1599" spans="91:102" ht="21" customHeight="1" x14ac:dyDescent="0.25">
      <c r="CM1599" s="102"/>
      <c r="CN1599" s="112" t="s">
        <v>4067</v>
      </c>
      <c r="CO1599" s="112" t="s">
        <v>544</v>
      </c>
      <c r="CP1599" s="112" t="s">
        <v>523</v>
      </c>
      <c r="CQ1599" s="112" t="s">
        <v>4068</v>
      </c>
      <c r="CR1599" s="112" t="s">
        <v>4068</v>
      </c>
      <c r="CS1599" s="112" t="s">
        <v>3742</v>
      </c>
      <c r="CT1599" s="112" t="s">
        <v>3743</v>
      </c>
      <c r="CU1599" s="112" t="s">
        <v>796</v>
      </c>
      <c r="CV1599" s="113" t="s">
        <v>3744</v>
      </c>
      <c r="CX1599" s="36">
        <v>1</v>
      </c>
    </row>
    <row r="1600" spans="91:102" ht="21" customHeight="1" x14ac:dyDescent="0.25">
      <c r="CM1600" s="102"/>
      <c r="CN1600" s="112" t="s">
        <v>4069</v>
      </c>
      <c r="CO1600" s="112" t="s">
        <v>544</v>
      </c>
      <c r="CP1600" s="112" t="s">
        <v>523</v>
      </c>
      <c r="CQ1600" s="112" t="s">
        <v>4070</v>
      </c>
      <c r="CR1600" s="112" t="s">
        <v>4071</v>
      </c>
      <c r="CS1600" s="112" t="s">
        <v>525</v>
      </c>
      <c r="CT1600" s="112" t="s">
        <v>3757</v>
      </c>
      <c r="CU1600" s="112" t="s">
        <v>527</v>
      </c>
      <c r="CV1600" s="113" t="s">
        <v>528</v>
      </c>
      <c r="CX1600" s="36">
        <v>1</v>
      </c>
    </row>
    <row r="1601" spans="91:102" ht="21" customHeight="1" x14ac:dyDescent="0.25">
      <c r="CM1601" s="102"/>
      <c r="CN1601" s="112" t="s">
        <v>4072</v>
      </c>
      <c r="CO1601" s="112" t="s">
        <v>544</v>
      </c>
      <c r="CP1601" s="112" t="s">
        <v>523</v>
      </c>
      <c r="CQ1601" s="112" t="s">
        <v>4073</v>
      </c>
      <c r="CR1601" s="112" t="s">
        <v>4073</v>
      </c>
      <c r="CS1601" s="112" t="s">
        <v>525</v>
      </c>
      <c r="CT1601" s="112" t="s">
        <v>3757</v>
      </c>
      <c r="CU1601" s="112" t="s">
        <v>527</v>
      </c>
      <c r="CV1601" s="113" t="s">
        <v>528</v>
      </c>
      <c r="CX1601" s="36">
        <v>1</v>
      </c>
    </row>
    <row r="1602" spans="91:102" ht="21" customHeight="1" x14ac:dyDescent="0.25">
      <c r="CM1602" s="102"/>
      <c r="CN1602" s="112" t="s">
        <v>4074</v>
      </c>
      <c r="CO1602" s="112" t="s">
        <v>544</v>
      </c>
      <c r="CP1602" s="112" t="s">
        <v>523</v>
      </c>
      <c r="CQ1602" s="112" t="s">
        <v>4075</v>
      </c>
      <c r="CR1602" s="112" t="s">
        <v>4075</v>
      </c>
      <c r="CS1602" s="112" t="s">
        <v>3742</v>
      </c>
      <c r="CT1602" s="112" t="s">
        <v>3743</v>
      </c>
      <c r="CU1602" s="112" t="s">
        <v>796</v>
      </c>
      <c r="CV1602" s="113" t="s">
        <v>3744</v>
      </c>
      <c r="CX1602" s="36">
        <v>1</v>
      </c>
    </row>
    <row r="1603" spans="91:102" ht="21" customHeight="1" x14ac:dyDescent="0.25">
      <c r="CM1603" s="102"/>
      <c r="CN1603" s="112" t="s">
        <v>4076</v>
      </c>
      <c r="CO1603" s="112" t="s">
        <v>544</v>
      </c>
      <c r="CP1603" s="112" t="s">
        <v>523</v>
      </c>
      <c r="CQ1603" s="112" t="s">
        <v>4077</v>
      </c>
      <c r="CR1603" s="112" t="s">
        <v>4077</v>
      </c>
      <c r="CS1603" s="112" t="s">
        <v>3742</v>
      </c>
      <c r="CT1603" s="112" t="s">
        <v>3743</v>
      </c>
      <c r="CU1603" s="112" t="s">
        <v>796</v>
      </c>
      <c r="CV1603" s="113" t="s">
        <v>3744</v>
      </c>
      <c r="CX1603" s="36">
        <v>1</v>
      </c>
    </row>
    <row r="1604" spans="91:102" ht="21" customHeight="1" x14ac:dyDescent="0.25">
      <c r="CM1604" s="102"/>
      <c r="CN1604" s="112" t="s">
        <v>4078</v>
      </c>
      <c r="CO1604" s="112" t="s">
        <v>544</v>
      </c>
      <c r="CP1604" s="112" t="s">
        <v>523</v>
      </c>
      <c r="CQ1604" s="112" t="s">
        <v>4079</v>
      </c>
      <c r="CR1604" s="112" t="s">
        <v>4079</v>
      </c>
      <c r="CS1604" s="112" t="s">
        <v>525</v>
      </c>
      <c r="CT1604" s="112" t="s">
        <v>3757</v>
      </c>
      <c r="CU1604" s="112" t="s">
        <v>527</v>
      </c>
      <c r="CV1604" s="113" t="s">
        <v>528</v>
      </c>
      <c r="CX1604" s="36">
        <v>1</v>
      </c>
    </row>
    <row r="1605" spans="91:102" ht="21" customHeight="1" x14ac:dyDescent="0.25">
      <c r="CM1605" s="102"/>
      <c r="CN1605" s="112" t="s">
        <v>4080</v>
      </c>
      <c r="CO1605" s="112" t="s">
        <v>544</v>
      </c>
      <c r="CP1605" s="112" t="s">
        <v>523</v>
      </c>
      <c r="CQ1605" s="112" t="s">
        <v>4081</v>
      </c>
      <c r="CR1605" s="112" t="s">
        <v>4081</v>
      </c>
      <c r="CS1605" s="112" t="s">
        <v>525</v>
      </c>
      <c r="CT1605" s="112" t="s">
        <v>3757</v>
      </c>
      <c r="CU1605" s="112" t="s">
        <v>527</v>
      </c>
      <c r="CV1605" s="113" t="s">
        <v>528</v>
      </c>
      <c r="CX1605" s="36">
        <v>1</v>
      </c>
    </row>
    <row r="1606" spans="91:102" ht="21" customHeight="1" x14ac:dyDescent="0.25">
      <c r="CM1606" s="102"/>
      <c r="CN1606" s="112" t="s">
        <v>4082</v>
      </c>
      <c r="CO1606" s="112" t="s">
        <v>544</v>
      </c>
      <c r="CP1606" s="112" t="s">
        <v>523</v>
      </c>
      <c r="CQ1606" s="112" t="s">
        <v>4083</v>
      </c>
      <c r="CR1606" s="112" t="s">
        <v>4083</v>
      </c>
      <c r="CS1606" s="112" t="s">
        <v>525</v>
      </c>
      <c r="CT1606" s="112" t="s">
        <v>3757</v>
      </c>
      <c r="CU1606" s="112" t="s">
        <v>527</v>
      </c>
      <c r="CV1606" s="113" t="s">
        <v>528</v>
      </c>
      <c r="CX1606" s="36">
        <v>1</v>
      </c>
    </row>
    <row r="1607" spans="91:102" ht="21" customHeight="1" x14ac:dyDescent="0.25">
      <c r="CM1607" s="102"/>
      <c r="CN1607" s="112" t="s">
        <v>4084</v>
      </c>
      <c r="CO1607" s="112" t="s">
        <v>544</v>
      </c>
      <c r="CP1607" s="112" t="s">
        <v>523</v>
      </c>
      <c r="CQ1607" s="112" t="s">
        <v>4085</v>
      </c>
      <c r="CR1607" s="112" t="s">
        <v>4086</v>
      </c>
      <c r="CS1607" s="112" t="s">
        <v>3742</v>
      </c>
      <c r="CT1607" s="112" t="s">
        <v>3743</v>
      </c>
      <c r="CU1607" s="112" t="s">
        <v>796</v>
      </c>
      <c r="CV1607" s="113" t="s">
        <v>3744</v>
      </c>
      <c r="CX1607" s="36">
        <v>1</v>
      </c>
    </row>
    <row r="1608" spans="91:102" ht="21" customHeight="1" x14ac:dyDescent="0.25">
      <c r="CM1608" s="102"/>
      <c r="CN1608" s="112" t="s">
        <v>4087</v>
      </c>
      <c r="CO1608" s="112" t="s">
        <v>544</v>
      </c>
      <c r="CP1608" s="112" t="s">
        <v>523</v>
      </c>
      <c r="CQ1608" s="112" t="s">
        <v>4088</v>
      </c>
      <c r="CR1608" s="112" t="s">
        <v>4089</v>
      </c>
      <c r="CS1608" s="112" t="s">
        <v>525</v>
      </c>
      <c r="CT1608" s="112" t="s">
        <v>3757</v>
      </c>
      <c r="CU1608" s="112" t="s">
        <v>527</v>
      </c>
      <c r="CV1608" s="113" t="s">
        <v>528</v>
      </c>
      <c r="CX1608" s="36">
        <v>1</v>
      </c>
    </row>
    <row r="1609" spans="91:102" ht="21" customHeight="1" x14ac:dyDescent="0.25">
      <c r="CM1609" s="102"/>
      <c r="CN1609" s="112" t="s">
        <v>4090</v>
      </c>
      <c r="CO1609" s="112" t="s">
        <v>544</v>
      </c>
      <c r="CP1609" s="112" t="s">
        <v>523</v>
      </c>
      <c r="CQ1609" s="112" t="s">
        <v>4091</v>
      </c>
      <c r="CR1609" s="112" t="s">
        <v>4091</v>
      </c>
      <c r="CS1609" s="112" t="s">
        <v>3742</v>
      </c>
      <c r="CT1609" s="112" t="s">
        <v>3743</v>
      </c>
      <c r="CU1609" s="112" t="s">
        <v>796</v>
      </c>
      <c r="CV1609" s="113" t="s">
        <v>3744</v>
      </c>
      <c r="CX1609" s="36">
        <v>1</v>
      </c>
    </row>
    <row r="1610" spans="91:102" ht="21" customHeight="1" x14ac:dyDescent="0.25">
      <c r="CM1610" s="102"/>
      <c r="CN1610" s="112" t="s">
        <v>4092</v>
      </c>
      <c r="CO1610" s="112" t="s">
        <v>544</v>
      </c>
      <c r="CP1610" s="112" t="s">
        <v>523</v>
      </c>
      <c r="CQ1610" s="112" t="s">
        <v>4093</v>
      </c>
      <c r="CR1610" s="112" t="s">
        <v>4093</v>
      </c>
      <c r="CS1610" s="112" t="s">
        <v>525</v>
      </c>
      <c r="CT1610" s="112" t="s">
        <v>3757</v>
      </c>
      <c r="CU1610" s="112" t="s">
        <v>527</v>
      </c>
      <c r="CV1610" s="113" t="s">
        <v>528</v>
      </c>
      <c r="CX1610" s="36">
        <v>1</v>
      </c>
    </row>
    <row r="1611" spans="91:102" ht="21" customHeight="1" x14ac:dyDescent="0.25">
      <c r="CM1611" s="102"/>
      <c r="CN1611" s="112" t="s">
        <v>4094</v>
      </c>
      <c r="CO1611" s="112" t="s">
        <v>544</v>
      </c>
      <c r="CP1611" s="112" t="s">
        <v>523</v>
      </c>
      <c r="CQ1611" s="112" t="s">
        <v>4095</v>
      </c>
      <c r="CR1611" s="112" t="s">
        <v>4096</v>
      </c>
      <c r="CS1611" s="112" t="s">
        <v>525</v>
      </c>
      <c r="CT1611" s="112" t="s">
        <v>3757</v>
      </c>
      <c r="CU1611" s="112" t="s">
        <v>527</v>
      </c>
      <c r="CV1611" s="113" t="s">
        <v>528</v>
      </c>
      <c r="CX1611" s="36">
        <v>1</v>
      </c>
    </row>
    <row r="1612" spans="91:102" ht="21" customHeight="1" x14ac:dyDescent="0.25">
      <c r="CM1612" s="102"/>
      <c r="CN1612" s="112" t="s">
        <v>4097</v>
      </c>
      <c r="CO1612" s="112" t="s">
        <v>544</v>
      </c>
      <c r="CP1612" s="112" t="s">
        <v>523</v>
      </c>
      <c r="CQ1612" s="112" t="s">
        <v>4098</v>
      </c>
      <c r="CR1612" s="112" t="s">
        <v>4099</v>
      </c>
      <c r="CS1612" s="112" t="s">
        <v>3742</v>
      </c>
      <c r="CT1612" s="112" t="s">
        <v>3743</v>
      </c>
      <c r="CU1612" s="112" t="s">
        <v>796</v>
      </c>
      <c r="CV1612" s="113" t="s">
        <v>3744</v>
      </c>
      <c r="CX1612" s="36">
        <v>1</v>
      </c>
    </row>
    <row r="1613" spans="91:102" ht="21" customHeight="1" x14ac:dyDescent="0.25">
      <c r="CM1613" s="102"/>
      <c r="CN1613" s="112" t="s">
        <v>4100</v>
      </c>
      <c r="CO1613" s="112" t="s">
        <v>544</v>
      </c>
      <c r="CP1613" s="112" t="s">
        <v>523</v>
      </c>
      <c r="CQ1613" s="112" t="s">
        <v>4101</v>
      </c>
      <c r="CR1613" s="112" t="s">
        <v>4101</v>
      </c>
      <c r="CS1613" s="112" t="s">
        <v>3742</v>
      </c>
      <c r="CT1613" s="112" t="s">
        <v>3743</v>
      </c>
      <c r="CU1613" s="112" t="s">
        <v>796</v>
      </c>
      <c r="CV1613" s="113" t="s">
        <v>3744</v>
      </c>
      <c r="CX1613" s="36">
        <v>1</v>
      </c>
    </row>
    <row r="1614" spans="91:102" ht="21" customHeight="1" x14ac:dyDescent="0.25">
      <c r="CM1614" s="102"/>
      <c r="CN1614" s="112" t="s">
        <v>4102</v>
      </c>
      <c r="CO1614" s="112" t="s">
        <v>544</v>
      </c>
      <c r="CP1614" s="112" t="s">
        <v>523</v>
      </c>
      <c r="CQ1614" s="112" t="s">
        <v>4103</v>
      </c>
      <c r="CR1614" s="112" t="s">
        <v>4103</v>
      </c>
      <c r="CS1614" s="112" t="s">
        <v>525</v>
      </c>
      <c r="CT1614" s="112" t="s">
        <v>3757</v>
      </c>
      <c r="CU1614" s="112" t="s">
        <v>527</v>
      </c>
      <c r="CV1614" s="113" t="s">
        <v>528</v>
      </c>
      <c r="CX1614" s="36">
        <v>1</v>
      </c>
    </row>
    <row r="1615" spans="91:102" ht="21" customHeight="1" x14ac:dyDescent="0.25">
      <c r="CM1615" s="102"/>
      <c r="CN1615" s="112" t="s">
        <v>4104</v>
      </c>
      <c r="CO1615" s="112" t="s">
        <v>544</v>
      </c>
      <c r="CP1615" s="112" t="s">
        <v>523</v>
      </c>
      <c r="CQ1615" s="112" t="s">
        <v>4105</v>
      </c>
      <c r="CR1615" s="112" t="s">
        <v>4105</v>
      </c>
      <c r="CS1615" s="112" t="s">
        <v>3742</v>
      </c>
      <c r="CT1615" s="112" t="s">
        <v>3743</v>
      </c>
      <c r="CU1615" s="112" t="s">
        <v>796</v>
      </c>
      <c r="CV1615" s="113" t="s">
        <v>3744</v>
      </c>
      <c r="CX1615" s="36">
        <v>1</v>
      </c>
    </row>
    <row r="1616" spans="91:102" ht="21" customHeight="1" x14ac:dyDescent="0.25">
      <c r="CM1616" s="102"/>
      <c r="CN1616" s="112" t="s">
        <v>4106</v>
      </c>
      <c r="CO1616" s="112" t="s">
        <v>544</v>
      </c>
      <c r="CP1616" s="112" t="s">
        <v>523</v>
      </c>
      <c r="CQ1616" s="112" t="s">
        <v>4107</v>
      </c>
      <c r="CR1616" s="112" t="s">
        <v>4108</v>
      </c>
      <c r="CS1616" s="112" t="s">
        <v>525</v>
      </c>
      <c r="CT1616" s="112" t="s">
        <v>3757</v>
      </c>
      <c r="CU1616" s="112" t="s">
        <v>527</v>
      </c>
      <c r="CV1616" s="113" t="s">
        <v>528</v>
      </c>
      <c r="CX1616" s="36">
        <v>1</v>
      </c>
    </row>
    <row r="1617" spans="91:102" ht="21" customHeight="1" x14ac:dyDescent="0.25">
      <c r="CM1617" s="102"/>
      <c r="CN1617" s="112" t="s">
        <v>4109</v>
      </c>
      <c r="CO1617" s="112" t="s">
        <v>544</v>
      </c>
      <c r="CP1617" s="112" t="s">
        <v>523</v>
      </c>
      <c r="CQ1617" s="112" t="s">
        <v>4110</v>
      </c>
      <c r="CR1617" s="112" t="s">
        <v>4110</v>
      </c>
      <c r="CS1617" s="112" t="s">
        <v>525</v>
      </c>
      <c r="CT1617" s="112" t="s">
        <v>3757</v>
      </c>
      <c r="CU1617" s="112" t="s">
        <v>527</v>
      </c>
      <c r="CV1617" s="113" t="s">
        <v>528</v>
      </c>
      <c r="CX1617" s="36">
        <v>1</v>
      </c>
    </row>
    <row r="1618" spans="91:102" ht="21" customHeight="1" x14ac:dyDescent="0.25">
      <c r="CM1618" s="102"/>
      <c r="CN1618" s="112" t="s">
        <v>4111</v>
      </c>
      <c r="CO1618" s="112" t="s">
        <v>544</v>
      </c>
      <c r="CP1618" s="112" t="s">
        <v>523</v>
      </c>
      <c r="CQ1618" s="112" t="s">
        <v>4112</v>
      </c>
      <c r="CR1618" s="112" t="s">
        <v>4113</v>
      </c>
      <c r="CS1618" s="112" t="s">
        <v>525</v>
      </c>
      <c r="CT1618" s="112" t="s">
        <v>3757</v>
      </c>
      <c r="CU1618" s="112" t="s">
        <v>527</v>
      </c>
      <c r="CV1618" s="113" t="s">
        <v>528</v>
      </c>
      <c r="CX1618" s="36">
        <v>1</v>
      </c>
    </row>
    <row r="1619" spans="91:102" ht="21" customHeight="1" x14ac:dyDescent="0.25">
      <c r="CM1619" s="102"/>
      <c r="CN1619" s="112" t="s">
        <v>4114</v>
      </c>
      <c r="CO1619" s="112" t="s">
        <v>544</v>
      </c>
      <c r="CP1619" s="112" t="s">
        <v>523</v>
      </c>
      <c r="CQ1619" s="112" t="s">
        <v>4115</v>
      </c>
      <c r="CR1619" s="112" t="s">
        <v>4116</v>
      </c>
      <c r="CS1619" s="112" t="s">
        <v>525</v>
      </c>
      <c r="CT1619" s="112" t="s">
        <v>3757</v>
      </c>
      <c r="CU1619" s="112" t="s">
        <v>527</v>
      </c>
      <c r="CV1619" s="113" t="s">
        <v>528</v>
      </c>
      <c r="CX1619" s="36">
        <v>1</v>
      </c>
    </row>
    <row r="1620" spans="91:102" ht="21" customHeight="1" x14ac:dyDescent="0.25">
      <c r="CM1620" s="102"/>
      <c r="CN1620" s="112" t="s">
        <v>4117</v>
      </c>
      <c r="CO1620" s="112" t="s">
        <v>544</v>
      </c>
      <c r="CP1620" s="112" t="s">
        <v>523</v>
      </c>
      <c r="CQ1620" s="112" t="s">
        <v>4118</v>
      </c>
      <c r="CR1620" s="112" t="s">
        <v>4118</v>
      </c>
      <c r="CS1620" s="112" t="s">
        <v>525</v>
      </c>
      <c r="CT1620" s="112" t="s">
        <v>3757</v>
      </c>
      <c r="CU1620" s="112" t="s">
        <v>527</v>
      </c>
      <c r="CV1620" s="113" t="s">
        <v>528</v>
      </c>
      <c r="CX1620" s="36">
        <v>1</v>
      </c>
    </row>
    <row r="1621" spans="91:102" ht="21" customHeight="1" x14ac:dyDescent="0.25">
      <c r="CM1621" s="102"/>
      <c r="CN1621" s="112" t="s">
        <v>4119</v>
      </c>
      <c r="CO1621" s="112" t="s">
        <v>544</v>
      </c>
      <c r="CP1621" s="112" t="s">
        <v>523</v>
      </c>
      <c r="CQ1621" s="112" t="s">
        <v>4120</v>
      </c>
      <c r="CR1621" s="112" t="s">
        <v>4120</v>
      </c>
      <c r="CS1621" s="112" t="s">
        <v>525</v>
      </c>
      <c r="CT1621" s="112" t="s">
        <v>3757</v>
      </c>
      <c r="CU1621" s="112" t="s">
        <v>527</v>
      </c>
      <c r="CV1621" s="113" t="s">
        <v>528</v>
      </c>
      <c r="CX1621" s="36">
        <v>1</v>
      </c>
    </row>
    <row r="1622" spans="91:102" ht="21" customHeight="1" x14ac:dyDescent="0.25">
      <c r="CM1622" s="102"/>
      <c r="CN1622" s="112" t="s">
        <v>4121</v>
      </c>
      <c r="CO1622" s="112" t="s">
        <v>544</v>
      </c>
      <c r="CP1622" s="112" t="s">
        <v>523</v>
      </c>
      <c r="CQ1622" s="112" t="s">
        <v>4122</v>
      </c>
      <c r="CR1622" s="112" t="s">
        <v>4123</v>
      </c>
      <c r="CS1622" s="112" t="s">
        <v>525</v>
      </c>
      <c r="CT1622" s="112" t="s">
        <v>3757</v>
      </c>
      <c r="CU1622" s="112" t="s">
        <v>527</v>
      </c>
      <c r="CV1622" s="113" t="s">
        <v>528</v>
      </c>
      <c r="CX1622" s="36">
        <v>1</v>
      </c>
    </row>
    <row r="1623" spans="91:102" ht="21" customHeight="1" x14ac:dyDescent="0.25">
      <c r="CM1623" s="102"/>
      <c r="CN1623" s="112" t="s">
        <v>4124</v>
      </c>
      <c r="CO1623" s="112" t="s">
        <v>544</v>
      </c>
      <c r="CP1623" s="112" t="s">
        <v>523</v>
      </c>
      <c r="CQ1623" s="112" t="s">
        <v>4125</v>
      </c>
      <c r="CR1623" s="112" t="s">
        <v>4126</v>
      </c>
      <c r="CS1623" s="112" t="s">
        <v>3742</v>
      </c>
      <c r="CT1623" s="112" t="s">
        <v>3743</v>
      </c>
      <c r="CU1623" s="112" t="s">
        <v>796</v>
      </c>
      <c r="CV1623" s="113" t="s">
        <v>3744</v>
      </c>
      <c r="CX1623" s="36">
        <v>1</v>
      </c>
    </row>
    <row r="1624" spans="91:102" ht="21" customHeight="1" x14ac:dyDescent="0.25">
      <c r="CM1624" s="102"/>
      <c r="CN1624" s="112" t="s">
        <v>4127</v>
      </c>
      <c r="CO1624" s="112" t="s">
        <v>544</v>
      </c>
      <c r="CP1624" s="112" t="s">
        <v>523</v>
      </c>
      <c r="CQ1624" s="112" t="s">
        <v>4128</v>
      </c>
      <c r="CR1624" s="112" t="s">
        <v>4129</v>
      </c>
      <c r="CS1624" s="112" t="s">
        <v>3742</v>
      </c>
      <c r="CT1624" s="112" t="s">
        <v>3743</v>
      </c>
      <c r="CU1624" s="112" t="s">
        <v>796</v>
      </c>
      <c r="CV1624" s="113" t="s">
        <v>3744</v>
      </c>
      <c r="CX1624" s="36">
        <v>1</v>
      </c>
    </row>
    <row r="1625" spans="91:102" ht="21" customHeight="1" x14ac:dyDescent="0.25">
      <c r="CM1625" s="102"/>
      <c r="CN1625" s="112" t="s">
        <v>4130</v>
      </c>
      <c r="CO1625" s="112" t="s">
        <v>544</v>
      </c>
      <c r="CP1625" s="112" t="s">
        <v>523</v>
      </c>
      <c r="CQ1625" s="112" t="s">
        <v>4131</v>
      </c>
      <c r="CR1625" s="112" t="s">
        <v>4132</v>
      </c>
      <c r="CS1625" s="112" t="s">
        <v>3742</v>
      </c>
      <c r="CT1625" s="112" t="s">
        <v>3743</v>
      </c>
      <c r="CU1625" s="112" t="s">
        <v>796</v>
      </c>
      <c r="CV1625" s="113" t="s">
        <v>3744</v>
      </c>
      <c r="CX1625" s="36">
        <v>1</v>
      </c>
    </row>
    <row r="1626" spans="91:102" ht="21" customHeight="1" x14ac:dyDescent="0.25">
      <c r="CM1626" s="102"/>
      <c r="CN1626" s="112" t="s">
        <v>4133</v>
      </c>
      <c r="CO1626" s="112" t="s">
        <v>544</v>
      </c>
      <c r="CP1626" s="112" t="s">
        <v>523</v>
      </c>
      <c r="CQ1626" s="112" t="s">
        <v>4134</v>
      </c>
      <c r="CR1626" s="112" t="s">
        <v>4135</v>
      </c>
      <c r="CS1626" s="112" t="s">
        <v>3742</v>
      </c>
      <c r="CT1626" s="112" t="s">
        <v>3743</v>
      </c>
      <c r="CU1626" s="112" t="s">
        <v>796</v>
      </c>
      <c r="CV1626" s="113" t="s">
        <v>3744</v>
      </c>
      <c r="CX1626" s="36">
        <v>1</v>
      </c>
    </row>
    <row r="1627" spans="91:102" ht="21" customHeight="1" x14ac:dyDescent="0.25">
      <c r="CM1627" s="102"/>
      <c r="CN1627" s="112" t="s">
        <v>4136</v>
      </c>
      <c r="CO1627" s="112" t="s">
        <v>544</v>
      </c>
      <c r="CP1627" s="112" t="s">
        <v>523</v>
      </c>
      <c r="CQ1627" s="112" t="s">
        <v>4137</v>
      </c>
      <c r="CR1627" s="112" t="s">
        <v>4137</v>
      </c>
      <c r="CS1627" s="112" t="s">
        <v>3742</v>
      </c>
      <c r="CT1627" s="112" t="s">
        <v>3743</v>
      </c>
      <c r="CU1627" s="112" t="s">
        <v>796</v>
      </c>
      <c r="CV1627" s="113" t="s">
        <v>3744</v>
      </c>
      <c r="CX1627" s="36">
        <v>1</v>
      </c>
    </row>
    <row r="1628" spans="91:102" ht="21" customHeight="1" x14ac:dyDescent="0.25">
      <c r="CM1628" s="102"/>
      <c r="CN1628" s="112" t="s">
        <v>4138</v>
      </c>
      <c r="CO1628" s="112" t="s">
        <v>544</v>
      </c>
      <c r="CP1628" s="112" t="s">
        <v>523</v>
      </c>
      <c r="CQ1628" s="112" t="s">
        <v>4139</v>
      </c>
      <c r="CR1628" s="112" t="s">
        <v>4140</v>
      </c>
      <c r="CS1628" s="112" t="s">
        <v>3742</v>
      </c>
      <c r="CT1628" s="112" t="s">
        <v>3743</v>
      </c>
      <c r="CU1628" s="112" t="s">
        <v>796</v>
      </c>
      <c r="CV1628" s="113" t="s">
        <v>3744</v>
      </c>
      <c r="CX1628" s="36">
        <v>1</v>
      </c>
    </row>
    <row r="1629" spans="91:102" ht="21" customHeight="1" x14ac:dyDescent="0.25">
      <c r="CM1629" s="102"/>
      <c r="CN1629" s="112" t="s">
        <v>4141</v>
      </c>
      <c r="CO1629" s="112" t="s">
        <v>544</v>
      </c>
      <c r="CP1629" s="112" t="s">
        <v>523</v>
      </c>
      <c r="CQ1629" s="112" t="s">
        <v>4142</v>
      </c>
      <c r="CR1629" s="112" t="s">
        <v>4142</v>
      </c>
      <c r="CS1629" s="112" t="s">
        <v>3742</v>
      </c>
      <c r="CT1629" s="112" t="s">
        <v>3743</v>
      </c>
      <c r="CU1629" s="112" t="s">
        <v>796</v>
      </c>
      <c r="CV1629" s="113" t="s">
        <v>3744</v>
      </c>
      <c r="CX1629" s="36">
        <v>1</v>
      </c>
    </row>
    <row r="1630" spans="91:102" ht="21" customHeight="1" x14ac:dyDescent="0.25">
      <c r="CM1630" s="102"/>
      <c r="CN1630" s="112" t="s">
        <v>4143</v>
      </c>
      <c r="CO1630" s="112" t="s">
        <v>544</v>
      </c>
      <c r="CP1630" s="112" t="s">
        <v>523</v>
      </c>
      <c r="CQ1630" s="112" t="s">
        <v>4144</v>
      </c>
      <c r="CR1630" s="112" t="s">
        <v>4144</v>
      </c>
      <c r="CS1630" s="112" t="s">
        <v>3742</v>
      </c>
      <c r="CT1630" s="112" t="s">
        <v>3743</v>
      </c>
      <c r="CU1630" s="112" t="s">
        <v>796</v>
      </c>
      <c r="CV1630" s="113" t="s">
        <v>3744</v>
      </c>
      <c r="CX1630" s="36">
        <v>1</v>
      </c>
    </row>
    <row r="1631" spans="91:102" ht="21" customHeight="1" x14ac:dyDescent="0.25">
      <c r="CM1631" s="102"/>
      <c r="CN1631" s="112" t="s">
        <v>4145</v>
      </c>
      <c r="CO1631" s="112" t="s">
        <v>544</v>
      </c>
      <c r="CP1631" s="112" t="s">
        <v>523</v>
      </c>
      <c r="CQ1631" s="112" t="s">
        <v>4146</v>
      </c>
      <c r="CR1631" s="112" t="s">
        <v>4146</v>
      </c>
      <c r="CS1631" s="112" t="s">
        <v>3742</v>
      </c>
      <c r="CT1631" s="112" t="s">
        <v>3743</v>
      </c>
      <c r="CU1631" s="112" t="s">
        <v>796</v>
      </c>
      <c r="CV1631" s="113" t="s">
        <v>3744</v>
      </c>
      <c r="CX1631" s="36">
        <v>1</v>
      </c>
    </row>
    <row r="1632" spans="91:102" ht="21" customHeight="1" x14ac:dyDescent="0.25">
      <c r="CM1632" s="102"/>
      <c r="CN1632" s="112" t="s">
        <v>4147</v>
      </c>
      <c r="CO1632" s="112" t="s">
        <v>544</v>
      </c>
      <c r="CP1632" s="112" t="s">
        <v>523</v>
      </c>
      <c r="CQ1632" s="112" t="s">
        <v>4148</v>
      </c>
      <c r="CR1632" s="112" t="s">
        <v>4148</v>
      </c>
      <c r="CS1632" s="112" t="s">
        <v>3742</v>
      </c>
      <c r="CT1632" s="112" t="s">
        <v>3743</v>
      </c>
      <c r="CU1632" s="112" t="s">
        <v>796</v>
      </c>
      <c r="CV1632" s="113" t="s">
        <v>3744</v>
      </c>
      <c r="CX1632" s="36">
        <v>1</v>
      </c>
    </row>
    <row r="1633" spans="91:102" ht="21" customHeight="1" x14ac:dyDescent="0.25">
      <c r="CM1633" s="102"/>
      <c r="CN1633" s="112" t="s">
        <v>4149</v>
      </c>
      <c r="CO1633" s="112" t="s">
        <v>544</v>
      </c>
      <c r="CP1633" s="112" t="s">
        <v>523</v>
      </c>
      <c r="CQ1633" s="112" t="s">
        <v>4150</v>
      </c>
      <c r="CR1633" s="112" t="s">
        <v>4150</v>
      </c>
      <c r="CS1633" s="112" t="s">
        <v>525</v>
      </c>
      <c r="CT1633" s="112" t="s">
        <v>3757</v>
      </c>
      <c r="CU1633" s="112" t="s">
        <v>527</v>
      </c>
      <c r="CV1633" s="113" t="s">
        <v>528</v>
      </c>
      <c r="CX1633" s="36">
        <v>1</v>
      </c>
    </row>
    <row r="1634" spans="91:102" ht="21" customHeight="1" x14ac:dyDescent="0.25">
      <c r="CM1634" s="102"/>
      <c r="CN1634" s="112" t="s">
        <v>4151</v>
      </c>
      <c r="CO1634" s="112" t="s">
        <v>544</v>
      </c>
      <c r="CP1634" s="112" t="s">
        <v>523</v>
      </c>
      <c r="CQ1634" s="112" t="s">
        <v>4152</v>
      </c>
      <c r="CR1634" s="112" t="s">
        <v>4152</v>
      </c>
      <c r="CS1634" s="112" t="s">
        <v>3742</v>
      </c>
      <c r="CT1634" s="112" t="s">
        <v>3743</v>
      </c>
      <c r="CU1634" s="112" t="s">
        <v>796</v>
      </c>
      <c r="CV1634" s="113" t="s">
        <v>3744</v>
      </c>
      <c r="CX1634" s="36">
        <v>1</v>
      </c>
    </row>
    <row r="1635" spans="91:102" ht="21" customHeight="1" x14ac:dyDescent="0.25">
      <c r="CM1635" s="102"/>
      <c r="CN1635" s="112" t="s">
        <v>4153</v>
      </c>
      <c r="CO1635" s="112" t="s">
        <v>544</v>
      </c>
      <c r="CP1635" s="112" t="s">
        <v>523</v>
      </c>
      <c r="CQ1635" s="112" t="s">
        <v>4154</v>
      </c>
      <c r="CR1635" s="112" t="s">
        <v>4155</v>
      </c>
      <c r="CS1635" s="112" t="s">
        <v>3742</v>
      </c>
      <c r="CT1635" s="112" t="s">
        <v>3743</v>
      </c>
      <c r="CU1635" s="112" t="s">
        <v>796</v>
      </c>
      <c r="CV1635" s="113" t="s">
        <v>3744</v>
      </c>
      <c r="CX1635" s="36">
        <v>1</v>
      </c>
    </row>
    <row r="1636" spans="91:102" ht="21" customHeight="1" x14ac:dyDescent="0.25">
      <c r="CM1636" s="102"/>
      <c r="CN1636" s="112" t="s">
        <v>4156</v>
      </c>
      <c r="CO1636" s="112" t="s">
        <v>544</v>
      </c>
      <c r="CP1636" s="112" t="s">
        <v>523</v>
      </c>
      <c r="CQ1636" s="112" t="s">
        <v>4157</v>
      </c>
      <c r="CR1636" s="112" t="s">
        <v>4157</v>
      </c>
      <c r="CS1636" s="112" t="s">
        <v>3742</v>
      </c>
      <c r="CT1636" s="112" t="s">
        <v>3743</v>
      </c>
      <c r="CU1636" s="112" t="s">
        <v>796</v>
      </c>
      <c r="CV1636" s="113" t="s">
        <v>3744</v>
      </c>
      <c r="CX1636" s="36">
        <v>1</v>
      </c>
    </row>
    <row r="1637" spans="91:102" ht="21" customHeight="1" x14ac:dyDescent="0.25">
      <c r="CM1637" s="102"/>
      <c r="CN1637" s="112" t="s">
        <v>4158</v>
      </c>
      <c r="CO1637" s="112" t="s">
        <v>544</v>
      </c>
      <c r="CP1637" s="112" t="s">
        <v>523</v>
      </c>
      <c r="CQ1637" s="112" t="s">
        <v>4159</v>
      </c>
      <c r="CR1637" s="112" t="s">
        <v>4159</v>
      </c>
      <c r="CS1637" s="112" t="s">
        <v>3742</v>
      </c>
      <c r="CT1637" s="112" t="s">
        <v>3743</v>
      </c>
      <c r="CU1637" s="112" t="s">
        <v>796</v>
      </c>
      <c r="CV1637" s="113" t="s">
        <v>3744</v>
      </c>
      <c r="CX1637" s="36">
        <v>1</v>
      </c>
    </row>
    <row r="1638" spans="91:102" ht="21" customHeight="1" x14ac:dyDescent="0.25">
      <c r="CM1638" s="102"/>
      <c r="CN1638" s="112" t="s">
        <v>4160</v>
      </c>
      <c r="CO1638" s="112" t="s">
        <v>544</v>
      </c>
      <c r="CP1638" s="112" t="s">
        <v>523</v>
      </c>
      <c r="CQ1638" s="112" t="s">
        <v>4161</v>
      </c>
      <c r="CR1638" s="112" t="s">
        <v>4161</v>
      </c>
      <c r="CS1638" s="112" t="s">
        <v>525</v>
      </c>
      <c r="CT1638" s="112" t="s">
        <v>3757</v>
      </c>
      <c r="CU1638" s="112" t="s">
        <v>527</v>
      </c>
      <c r="CV1638" s="113" t="s">
        <v>528</v>
      </c>
      <c r="CX1638" s="36">
        <v>1</v>
      </c>
    </row>
    <row r="1639" spans="91:102" ht="21" customHeight="1" x14ac:dyDescent="0.25">
      <c r="CM1639" s="102"/>
      <c r="CN1639" s="112" t="s">
        <v>4162</v>
      </c>
      <c r="CO1639" s="112" t="s">
        <v>544</v>
      </c>
      <c r="CP1639" s="112" t="s">
        <v>523</v>
      </c>
      <c r="CQ1639" s="112" t="s">
        <v>4163</v>
      </c>
      <c r="CR1639" s="112" t="s">
        <v>4163</v>
      </c>
      <c r="CS1639" s="112" t="s">
        <v>525</v>
      </c>
      <c r="CT1639" s="112" t="s">
        <v>3757</v>
      </c>
      <c r="CU1639" s="112" t="s">
        <v>527</v>
      </c>
      <c r="CV1639" s="113" t="s">
        <v>528</v>
      </c>
      <c r="CX1639" s="36">
        <v>1</v>
      </c>
    </row>
    <row r="1640" spans="91:102" ht="21" customHeight="1" x14ac:dyDescent="0.25">
      <c r="CM1640" s="102"/>
      <c r="CN1640" s="112" t="s">
        <v>4164</v>
      </c>
      <c r="CO1640" s="112" t="s">
        <v>544</v>
      </c>
      <c r="CP1640" s="112" t="s">
        <v>523</v>
      </c>
      <c r="CQ1640" s="112" t="s">
        <v>4165</v>
      </c>
      <c r="CR1640" s="112" t="s">
        <v>4166</v>
      </c>
      <c r="CS1640" s="112" t="s">
        <v>3742</v>
      </c>
      <c r="CT1640" s="112" t="s">
        <v>3743</v>
      </c>
      <c r="CU1640" s="112" t="s">
        <v>796</v>
      </c>
      <c r="CV1640" s="113" t="s">
        <v>3744</v>
      </c>
      <c r="CX1640" s="36">
        <v>1</v>
      </c>
    </row>
    <row r="1641" spans="91:102" ht="21" customHeight="1" x14ac:dyDescent="0.25">
      <c r="CM1641" s="102"/>
      <c r="CN1641" s="112" t="s">
        <v>4167</v>
      </c>
      <c r="CO1641" s="112" t="s">
        <v>544</v>
      </c>
      <c r="CP1641" s="112" t="s">
        <v>523</v>
      </c>
      <c r="CQ1641" s="112" t="s">
        <v>4168</v>
      </c>
      <c r="CR1641" s="112" t="s">
        <v>4168</v>
      </c>
      <c r="CS1641" s="112" t="s">
        <v>610</v>
      </c>
      <c r="CT1641" s="112" t="s">
        <v>611</v>
      </c>
      <c r="CU1641" s="112" t="s">
        <v>527</v>
      </c>
      <c r="CV1641" s="113" t="s">
        <v>612</v>
      </c>
      <c r="CX1641" s="36">
        <v>1</v>
      </c>
    </row>
    <row r="1642" spans="91:102" ht="21" customHeight="1" x14ac:dyDescent="0.25">
      <c r="CM1642" s="102"/>
      <c r="CN1642" s="112" t="s">
        <v>4169</v>
      </c>
      <c r="CO1642" s="112" t="s">
        <v>544</v>
      </c>
      <c r="CP1642" s="112" t="s">
        <v>523</v>
      </c>
      <c r="CQ1642" s="112" t="s">
        <v>4170</v>
      </c>
      <c r="CR1642" s="112" t="s">
        <v>4170</v>
      </c>
      <c r="CS1642" s="112" t="s">
        <v>525</v>
      </c>
      <c r="CT1642" s="112" t="s">
        <v>3757</v>
      </c>
      <c r="CU1642" s="112" t="s">
        <v>527</v>
      </c>
      <c r="CV1642" s="113" t="s">
        <v>528</v>
      </c>
      <c r="CX1642" s="36">
        <v>1</v>
      </c>
    </row>
    <row r="1643" spans="91:102" ht="21" customHeight="1" x14ac:dyDescent="0.25">
      <c r="CM1643" s="102"/>
      <c r="CN1643" s="112" t="s">
        <v>4171</v>
      </c>
      <c r="CO1643" s="112" t="s">
        <v>544</v>
      </c>
      <c r="CP1643" s="112" t="s">
        <v>523</v>
      </c>
      <c r="CQ1643" s="112" t="s">
        <v>4172</v>
      </c>
      <c r="CR1643" s="112" t="s">
        <v>4172</v>
      </c>
      <c r="CS1643" s="112" t="s">
        <v>525</v>
      </c>
      <c r="CT1643" s="112" t="s">
        <v>3757</v>
      </c>
      <c r="CU1643" s="112" t="s">
        <v>527</v>
      </c>
      <c r="CV1643" s="113" t="s">
        <v>528</v>
      </c>
      <c r="CX1643" s="36">
        <v>1</v>
      </c>
    </row>
    <row r="1644" spans="91:102" ht="21" customHeight="1" x14ac:dyDescent="0.25">
      <c r="CM1644" s="102"/>
      <c r="CN1644" s="112" t="s">
        <v>4173</v>
      </c>
      <c r="CO1644" s="112" t="s">
        <v>544</v>
      </c>
      <c r="CP1644" s="112" t="s">
        <v>523</v>
      </c>
      <c r="CQ1644" s="112" t="s">
        <v>4174</v>
      </c>
      <c r="CR1644" s="112" t="s">
        <v>4175</v>
      </c>
      <c r="CS1644" s="112" t="s">
        <v>3742</v>
      </c>
      <c r="CT1644" s="112" t="s">
        <v>3743</v>
      </c>
      <c r="CU1644" s="112" t="s">
        <v>796</v>
      </c>
      <c r="CV1644" s="113" t="s">
        <v>3744</v>
      </c>
      <c r="CX1644" s="36">
        <v>1</v>
      </c>
    </row>
    <row r="1645" spans="91:102" ht="21" customHeight="1" x14ac:dyDescent="0.25">
      <c r="CM1645" s="102"/>
      <c r="CN1645" s="112" t="s">
        <v>4176</v>
      </c>
      <c r="CO1645" s="112" t="s">
        <v>544</v>
      </c>
      <c r="CP1645" s="112" t="s">
        <v>523</v>
      </c>
      <c r="CQ1645" s="112" t="s">
        <v>4177</v>
      </c>
      <c r="CR1645" s="112" t="s">
        <v>4177</v>
      </c>
      <c r="CS1645" s="112" t="s">
        <v>3742</v>
      </c>
      <c r="CT1645" s="112" t="s">
        <v>3743</v>
      </c>
      <c r="CU1645" s="112" t="s">
        <v>796</v>
      </c>
      <c r="CV1645" s="113" t="s">
        <v>3744</v>
      </c>
      <c r="CX1645" s="36">
        <v>1</v>
      </c>
    </row>
    <row r="1646" spans="91:102" ht="21" customHeight="1" x14ac:dyDescent="0.25">
      <c r="CM1646" s="102"/>
      <c r="CN1646" s="112" t="s">
        <v>4178</v>
      </c>
      <c r="CO1646" s="112" t="s">
        <v>544</v>
      </c>
      <c r="CP1646" s="112" t="s">
        <v>523</v>
      </c>
      <c r="CQ1646" s="112" t="s">
        <v>4179</v>
      </c>
      <c r="CR1646" s="112" t="s">
        <v>4179</v>
      </c>
      <c r="CS1646" s="112" t="s">
        <v>3742</v>
      </c>
      <c r="CT1646" s="112" t="s">
        <v>3743</v>
      </c>
      <c r="CU1646" s="112" t="s">
        <v>796</v>
      </c>
      <c r="CV1646" s="113" t="s">
        <v>3744</v>
      </c>
      <c r="CX1646" s="36">
        <v>1</v>
      </c>
    </row>
    <row r="1647" spans="91:102" ht="21" customHeight="1" x14ac:dyDescent="0.25">
      <c r="CM1647" s="102"/>
      <c r="CN1647" s="112" t="s">
        <v>4180</v>
      </c>
      <c r="CO1647" s="112" t="s">
        <v>544</v>
      </c>
      <c r="CP1647" s="112" t="s">
        <v>523</v>
      </c>
      <c r="CQ1647" s="112" t="s">
        <v>4181</v>
      </c>
      <c r="CR1647" s="112" t="s">
        <v>4181</v>
      </c>
      <c r="CS1647" s="112" t="s">
        <v>525</v>
      </c>
      <c r="CT1647" s="112" t="s">
        <v>3757</v>
      </c>
      <c r="CU1647" s="112" t="s">
        <v>527</v>
      </c>
      <c r="CV1647" s="113" t="s">
        <v>528</v>
      </c>
      <c r="CX1647" s="36">
        <v>1</v>
      </c>
    </row>
    <row r="1648" spans="91:102" ht="21" customHeight="1" x14ac:dyDescent="0.25">
      <c r="CM1648" s="102"/>
      <c r="CN1648" s="112" t="s">
        <v>4182</v>
      </c>
      <c r="CO1648" s="112" t="s">
        <v>544</v>
      </c>
      <c r="CP1648" s="112" t="s">
        <v>523</v>
      </c>
      <c r="CQ1648" s="112" t="s">
        <v>4183</v>
      </c>
      <c r="CR1648" s="112" t="s">
        <v>4183</v>
      </c>
      <c r="CS1648" s="112" t="s">
        <v>3742</v>
      </c>
      <c r="CT1648" s="112" t="s">
        <v>3743</v>
      </c>
      <c r="CU1648" s="112" t="s">
        <v>796</v>
      </c>
      <c r="CV1648" s="113" t="s">
        <v>3744</v>
      </c>
      <c r="CX1648" s="36">
        <v>1</v>
      </c>
    </row>
    <row r="1649" spans="91:102" ht="21" customHeight="1" x14ac:dyDescent="0.25">
      <c r="CM1649" s="102"/>
      <c r="CN1649" s="112" t="s">
        <v>4184</v>
      </c>
      <c r="CO1649" s="112" t="s">
        <v>544</v>
      </c>
      <c r="CP1649" s="112" t="s">
        <v>523</v>
      </c>
      <c r="CQ1649" s="112" t="s">
        <v>4185</v>
      </c>
      <c r="CR1649" s="112" t="s">
        <v>4185</v>
      </c>
      <c r="CS1649" s="112" t="s">
        <v>525</v>
      </c>
      <c r="CT1649" s="112" t="s">
        <v>3757</v>
      </c>
      <c r="CU1649" s="112" t="s">
        <v>527</v>
      </c>
      <c r="CV1649" s="113" t="s">
        <v>528</v>
      </c>
      <c r="CX1649" s="36">
        <v>1</v>
      </c>
    </row>
    <row r="1650" spans="91:102" ht="21" customHeight="1" x14ac:dyDescent="0.25">
      <c r="CM1650" s="102"/>
      <c r="CN1650" s="112" t="s">
        <v>4186</v>
      </c>
      <c r="CO1650" s="112" t="s">
        <v>544</v>
      </c>
      <c r="CP1650" s="112" t="s">
        <v>523</v>
      </c>
      <c r="CQ1650" s="112" t="s">
        <v>4187</v>
      </c>
      <c r="CR1650" s="112" t="s">
        <v>4187</v>
      </c>
      <c r="CS1650" s="112" t="s">
        <v>3742</v>
      </c>
      <c r="CT1650" s="112" t="s">
        <v>3743</v>
      </c>
      <c r="CU1650" s="112" t="s">
        <v>796</v>
      </c>
      <c r="CV1650" s="113" t="s">
        <v>3744</v>
      </c>
      <c r="CX1650" s="36">
        <v>1</v>
      </c>
    </row>
    <row r="1651" spans="91:102" ht="21" customHeight="1" x14ac:dyDescent="0.25">
      <c r="CM1651" s="102"/>
      <c r="CN1651" s="112" t="s">
        <v>4188</v>
      </c>
      <c r="CO1651" s="112" t="s">
        <v>544</v>
      </c>
      <c r="CP1651" s="112" t="s">
        <v>523</v>
      </c>
      <c r="CQ1651" s="112" t="s">
        <v>4189</v>
      </c>
      <c r="CR1651" s="112" t="s">
        <v>4190</v>
      </c>
      <c r="CS1651" s="112" t="s">
        <v>3742</v>
      </c>
      <c r="CT1651" s="112" t="s">
        <v>3743</v>
      </c>
      <c r="CU1651" s="112" t="s">
        <v>796</v>
      </c>
      <c r="CV1651" s="113" t="s">
        <v>3744</v>
      </c>
      <c r="CX1651" s="36">
        <v>1</v>
      </c>
    </row>
    <row r="1652" spans="91:102" ht="21" customHeight="1" x14ac:dyDescent="0.25">
      <c r="CM1652" s="102"/>
      <c r="CN1652" s="112" t="s">
        <v>4191</v>
      </c>
      <c r="CO1652" s="112" t="s">
        <v>544</v>
      </c>
      <c r="CP1652" s="112" t="s">
        <v>523</v>
      </c>
      <c r="CQ1652" s="112" t="s">
        <v>4192</v>
      </c>
      <c r="CR1652" s="112" t="s">
        <v>4193</v>
      </c>
      <c r="CS1652" s="112" t="s">
        <v>3742</v>
      </c>
      <c r="CT1652" s="112" t="s">
        <v>3743</v>
      </c>
      <c r="CU1652" s="112" t="s">
        <v>796</v>
      </c>
      <c r="CV1652" s="113" t="s">
        <v>3744</v>
      </c>
      <c r="CX1652" s="36">
        <v>1</v>
      </c>
    </row>
    <row r="1653" spans="91:102" ht="21" customHeight="1" x14ac:dyDescent="0.25">
      <c r="CM1653" s="102"/>
      <c r="CN1653" s="112" t="s">
        <v>4194</v>
      </c>
      <c r="CO1653" s="112" t="s">
        <v>544</v>
      </c>
      <c r="CP1653" s="112" t="s">
        <v>523</v>
      </c>
      <c r="CQ1653" s="112" t="s">
        <v>4195</v>
      </c>
      <c r="CR1653" s="112" t="s">
        <v>4195</v>
      </c>
      <c r="CS1653" s="112" t="s">
        <v>3742</v>
      </c>
      <c r="CT1653" s="112" t="s">
        <v>3743</v>
      </c>
      <c r="CU1653" s="112" t="s">
        <v>796</v>
      </c>
      <c r="CV1653" s="113" t="s">
        <v>3744</v>
      </c>
      <c r="CX1653" s="36">
        <v>1</v>
      </c>
    </row>
    <row r="1654" spans="91:102" ht="21" customHeight="1" x14ac:dyDescent="0.25">
      <c r="CM1654" s="102"/>
      <c r="CN1654" s="112" t="s">
        <v>4196</v>
      </c>
      <c r="CO1654" s="112" t="s">
        <v>544</v>
      </c>
      <c r="CP1654" s="112" t="s">
        <v>523</v>
      </c>
      <c r="CQ1654" s="112" t="s">
        <v>4197</v>
      </c>
      <c r="CR1654" s="112" t="s">
        <v>4197</v>
      </c>
      <c r="CS1654" s="112" t="s">
        <v>525</v>
      </c>
      <c r="CT1654" s="112" t="s">
        <v>3757</v>
      </c>
      <c r="CU1654" s="112" t="s">
        <v>527</v>
      </c>
      <c r="CV1654" s="113" t="s">
        <v>528</v>
      </c>
      <c r="CX1654" s="36">
        <v>1</v>
      </c>
    </row>
    <row r="1655" spans="91:102" ht="21" customHeight="1" x14ac:dyDescent="0.25">
      <c r="CM1655" s="102"/>
      <c r="CN1655" s="112" t="s">
        <v>4198</v>
      </c>
      <c r="CO1655" s="112" t="s">
        <v>544</v>
      </c>
      <c r="CP1655" s="112" t="s">
        <v>523</v>
      </c>
      <c r="CQ1655" s="112" t="s">
        <v>4199</v>
      </c>
      <c r="CR1655" s="112" t="s">
        <v>4200</v>
      </c>
      <c r="CS1655" s="112" t="s">
        <v>3742</v>
      </c>
      <c r="CT1655" s="112" t="s">
        <v>3743</v>
      </c>
      <c r="CU1655" s="112" t="s">
        <v>796</v>
      </c>
      <c r="CV1655" s="113" t="s">
        <v>3744</v>
      </c>
      <c r="CX1655" s="36">
        <v>1</v>
      </c>
    </row>
    <row r="1656" spans="91:102" ht="21" customHeight="1" x14ac:dyDescent="0.25">
      <c r="CM1656" s="102"/>
      <c r="CN1656" s="112" t="s">
        <v>4201</v>
      </c>
      <c r="CO1656" s="112" t="s">
        <v>544</v>
      </c>
      <c r="CP1656" s="112" t="s">
        <v>523</v>
      </c>
      <c r="CQ1656" s="112" t="s">
        <v>4202</v>
      </c>
      <c r="CR1656" s="112" t="s">
        <v>4202</v>
      </c>
      <c r="CS1656" s="112" t="s">
        <v>525</v>
      </c>
      <c r="CT1656" s="112" t="s">
        <v>3757</v>
      </c>
      <c r="CU1656" s="112" t="s">
        <v>527</v>
      </c>
      <c r="CV1656" s="113" t="s">
        <v>528</v>
      </c>
      <c r="CX1656" s="36">
        <v>1</v>
      </c>
    </row>
    <row r="1657" spans="91:102" ht="21" customHeight="1" x14ac:dyDescent="0.25">
      <c r="CM1657" s="102"/>
      <c r="CN1657" s="112" t="s">
        <v>4203</v>
      </c>
      <c r="CO1657" s="112" t="s">
        <v>544</v>
      </c>
      <c r="CP1657" s="112" t="s">
        <v>523</v>
      </c>
      <c r="CQ1657" s="112" t="s">
        <v>4204</v>
      </c>
      <c r="CR1657" s="112" t="s">
        <v>4204</v>
      </c>
      <c r="CS1657" s="112" t="s">
        <v>3742</v>
      </c>
      <c r="CT1657" s="112" t="s">
        <v>3743</v>
      </c>
      <c r="CU1657" s="112" t="s">
        <v>796</v>
      </c>
      <c r="CV1657" s="113" t="s">
        <v>3744</v>
      </c>
      <c r="CX1657" s="36">
        <v>1</v>
      </c>
    </row>
    <row r="1658" spans="91:102" ht="21" customHeight="1" x14ac:dyDescent="0.25">
      <c r="CM1658" s="102"/>
      <c r="CN1658" s="112" t="s">
        <v>4205</v>
      </c>
      <c r="CO1658" s="112" t="s">
        <v>544</v>
      </c>
      <c r="CP1658" s="112" t="s">
        <v>523</v>
      </c>
      <c r="CQ1658" s="112" t="s">
        <v>4206</v>
      </c>
      <c r="CR1658" s="112" t="s">
        <v>4207</v>
      </c>
      <c r="CS1658" s="112" t="s">
        <v>3742</v>
      </c>
      <c r="CT1658" s="112" t="s">
        <v>3743</v>
      </c>
      <c r="CU1658" s="112" t="s">
        <v>796</v>
      </c>
      <c r="CV1658" s="113" t="s">
        <v>3744</v>
      </c>
      <c r="CX1658" s="36">
        <v>1</v>
      </c>
    </row>
    <row r="1659" spans="91:102" ht="21" customHeight="1" x14ac:dyDescent="0.25">
      <c r="CM1659" s="102"/>
      <c r="CN1659" s="112" t="s">
        <v>4208</v>
      </c>
      <c r="CO1659" s="112" t="s">
        <v>544</v>
      </c>
      <c r="CP1659" s="112" t="s">
        <v>523</v>
      </c>
      <c r="CQ1659" s="112" t="s">
        <v>4209</v>
      </c>
      <c r="CR1659" s="112" t="s">
        <v>4210</v>
      </c>
      <c r="CS1659" s="112" t="s">
        <v>3742</v>
      </c>
      <c r="CT1659" s="112" t="s">
        <v>3743</v>
      </c>
      <c r="CU1659" s="112" t="s">
        <v>796</v>
      </c>
      <c r="CV1659" s="113" t="s">
        <v>3744</v>
      </c>
      <c r="CX1659" s="36">
        <v>1</v>
      </c>
    </row>
    <row r="1660" spans="91:102" ht="21" customHeight="1" x14ac:dyDescent="0.25">
      <c r="CM1660" s="102"/>
      <c r="CN1660" s="112" t="s">
        <v>4211</v>
      </c>
      <c r="CO1660" s="112" t="s">
        <v>544</v>
      </c>
      <c r="CP1660" s="112" t="s">
        <v>523</v>
      </c>
      <c r="CQ1660" s="112" t="s">
        <v>4212</v>
      </c>
      <c r="CR1660" s="112" t="s">
        <v>4213</v>
      </c>
      <c r="CS1660" s="112" t="s">
        <v>3742</v>
      </c>
      <c r="CT1660" s="112" t="s">
        <v>3743</v>
      </c>
      <c r="CU1660" s="112" t="s">
        <v>796</v>
      </c>
      <c r="CV1660" s="113" t="s">
        <v>3744</v>
      </c>
      <c r="CX1660" s="36">
        <v>1</v>
      </c>
    </row>
    <row r="1661" spans="91:102" ht="21" customHeight="1" x14ac:dyDescent="0.25">
      <c r="CM1661" s="102"/>
      <c r="CN1661" s="112" t="s">
        <v>4214</v>
      </c>
      <c r="CO1661" s="112" t="s">
        <v>544</v>
      </c>
      <c r="CP1661" s="112" t="s">
        <v>523</v>
      </c>
      <c r="CQ1661" s="112" t="s">
        <v>4215</v>
      </c>
      <c r="CR1661" s="112" t="s">
        <v>4215</v>
      </c>
      <c r="CS1661" s="112" t="s">
        <v>525</v>
      </c>
      <c r="CT1661" s="112" t="s">
        <v>3757</v>
      </c>
      <c r="CU1661" s="112" t="s">
        <v>527</v>
      </c>
      <c r="CV1661" s="113" t="s">
        <v>528</v>
      </c>
      <c r="CX1661" s="36">
        <v>1</v>
      </c>
    </row>
    <row r="1662" spans="91:102" ht="21" customHeight="1" x14ac:dyDescent="0.25">
      <c r="CM1662" s="102"/>
      <c r="CN1662" s="112" t="s">
        <v>4216</v>
      </c>
      <c r="CO1662" s="112" t="s">
        <v>544</v>
      </c>
      <c r="CP1662" s="112" t="s">
        <v>523</v>
      </c>
      <c r="CQ1662" s="112" t="s">
        <v>4217</v>
      </c>
      <c r="CR1662" s="112" t="s">
        <v>4217</v>
      </c>
      <c r="CS1662" s="112" t="s">
        <v>3742</v>
      </c>
      <c r="CT1662" s="112" t="s">
        <v>3743</v>
      </c>
      <c r="CU1662" s="112" t="s">
        <v>796</v>
      </c>
      <c r="CV1662" s="113" t="s">
        <v>3744</v>
      </c>
      <c r="CX1662" s="36">
        <v>1</v>
      </c>
    </row>
    <row r="1663" spans="91:102" ht="21" customHeight="1" x14ac:dyDescent="0.25">
      <c r="CM1663" s="102"/>
      <c r="CN1663" s="112" t="s">
        <v>4218</v>
      </c>
      <c r="CO1663" s="112" t="s">
        <v>544</v>
      </c>
      <c r="CP1663" s="112" t="s">
        <v>523</v>
      </c>
      <c r="CQ1663" s="112" t="s">
        <v>4219</v>
      </c>
      <c r="CR1663" s="112" t="s">
        <v>4220</v>
      </c>
      <c r="CS1663" s="112" t="s">
        <v>3742</v>
      </c>
      <c r="CT1663" s="112" t="s">
        <v>3743</v>
      </c>
      <c r="CU1663" s="112" t="s">
        <v>796</v>
      </c>
      <c r="CV1663" s="113" t="s">
        <v>3744</v>
      </c>
      <c r="CX1663" s="36">
        <v>1</v>
      </c>
    </row>
    <row r="1664" spans="91:102" ht="21" customHeight="1" x14ac:dyDescent="0.25">
      <c r="CM1664" s="102"/>
      <c r="CN1664" s="112" t="s">
        <v>4221</v>
      </c>
      <c r="CO1664" s="112" t="s">
        <v>544</v>
      </c>
      <c r="CP1664" s="112" t="s">
        <v>523</v>
      </c>
      <c r="CQ1664" s="112" t="s">
        <v>4222</v>
      </c>
      <c r="CR1664" s="112" t="s">
        <v>4222</v>
      </c>
      <c r="CS1664" s="112" t="s">
        <v>3742</v>
      </c>
      <c r="CT1664" s="112" t="s">
        <v>3743</v>
      </c>
      <c r="CU1664" s="112" t="s">
        <v>796</v>
      </c>
      <c r="CV1664" s="113" t="s">
        <v>3744</v>
      </c>
      <c r="CX1664" s="36">
        <v>1</v>
      </c>
    </row>
    <row r="1665" spans="91:102" ht="21" customHeight="1" x14ac:dyDescent="0.25">
      <c r="CM1665" s="102"/>
      <c r="CN1665" s="112" t="s">
        <v>4223</v>
      </c>
      <c r="CO1665" s="112" t="s">
        <v>544</v>
      </c>
      <c r="CP1665" s="112" t="s">
        <v>523</v>
      </c>
      <c r="CQ1665" s="112" t="s">
        <v>4224</v>
      </c>
      <c r="CR1665" s="112" t="s">
        <v>4225</v>
      </c>
      <c r="CS1665" s="112" t="s">
        <v>3742</v>
      </c>
      <c r="CT1665" s="112" t="s">
        <v>3743</v>
      </c>
      <c r="CU1665" s="112" t="s">
        <v>796</v>
      </c>
      <c r="CV1665" s="113" t="s">
        <v>3744</v>
      </c>
      <c r="CX1665" s="36">
        <v>1</v>
      </c>
    </row>
    <row r="1666" spans="91:102" ht="21" customHeight="1" x14ac:dyDescent="0.25">
      <c r="CM1666" s="102"/>
      <c r="CN1666" s="112" t="s">
        <v>4226</v>
      </c>
      <c r="CO1666" s="112" t="s">
        <v>544</v>
      </c>
      <c r="CP1666" s="112" t="s">
        <v>523</v>
      </c>
      <c r="CQ1666" s="112" t="s">
        <v>4227</v>
      </c>
      <c r="CR1666" s="112" t="s">
        <v>4227</v>
      </c>
      <c r="CS1666" s="112" t="s">
        <v>525</v>
      </c>
      <c r="CT1666" s="112" t="s">
        <v>3757</v>
      </c>
      <c r="CU1666" s="112" t="s">
        <v>527</v>
      </c>
      <c r="CV1666" s="113" t="s">
        <v>528</v>
      </c>
      <c r="CX1666" s="36">
        <v>1</v>
      </c>
    </row>
    <row r="1667" spans="91:102" ht="21" customHeight="1" x14ac:dyDescent="0.25">
      <c r="CM1667" s="102"/>
      <c r="CN1667" s="112" t="s">
        <v>4228</v>
      </c>
      <c r="CO1667" s="112" t="s">
        <v>544</v>
      </c>
      <c r="CP1667" s="112" t="s">
        <v>523</v>
      </c>
      <c r="CQ1667" s="112" t="s">
        <v>4229</v>
      </c>
      <c r="CR1667" s="112" t="s">
        <v>4229</v>
      </c>
      <c r="CS1667" s="112" t="s">
        <v>525</v>
      </c>
      <c r="CT1667" s="112" t="s">
        <v>3757</v>
      </c>
      <c r="CU1667" s="112" t="s">
        <v>527</v>
      </c>
      <c r="CV1667" s="113" t="s">
        <v>528</v>
      </c>
      <c r="CX1667" s="36">
        <v>1</v>
      </c>
    </row>
    <row r="1668" spans="91:102" ht="21" customHeight="1" x14ac:dyDescent="0.25">
      <c r="CM1668" s="102"/>
      <c r="CN1668" s="112" t="s">
        <v>4230</v>
      </c>
      <c r="CO1668" s="112" t="s">
        <v>544</v>
      </c>
      <c r="CP1668" s="112" t="s">
        <v>523</v>
      </c>
      <c r="CQ1668" s="112" t="s">
        <v>4231</v>
      </c>
      <c r="CR1668" s="112" t="s">
        <v>4231</v>
      </c>
      <c r="CS1668" s="112" t="s">
        <v>525</v>
      </c>
      <c r="CT1668" s="112" t="s">
        <v>3757</v>
      </c>
      <c r="CU1668" s="112" t="s">
        <v>527</v>
      </c>
      <c r="CV1668" s="113" t="s">
        <v>528</v>
      </c>
      <c r="CX1668" s="36">
        <v>1</v>
      </c>
    </row>
    <row r="1669" spans="91:102" ht="21" customHeight="1" x14ac:dyDescent="0.25">
      <c r="CM1669" s="102"/>
      <c r="CN1669" s="112" t="s">
        <v>4232</v>
      </c>
      <c r="CO1669" s="112" t="s">
        <v>544</v>
      </c>
      <c r="CP1669" s="112" t="s">
        <v>523</v>
      </c>
      <c r="CQ1669" s="112" t="s">
        <v>4233</v>
      </c>
      <c r="CR1669" s="112" t="s">
        <v>4233</v>
      </c>
      <c r="CS1669" s="112" t="s">
        <v>3742</v>
      </c>
      <c r="CT1669" s="112" t="s">
        <v>3743</v>
      </c>
      <c r="CU1669" s="112" t="s">
        <v>796</v>
      </c>
      <c r="CV1669" s="113" t="s">
        <v>3744</v>
      </c>
      <c r="CX1669" s="36">
        <v>1</v>
      </c>
    </row>
    <row r="1670" spans="91:102" ht="21" customHeight="1" x14ac:dyDescent="0.25">
      <c r="CM1670" s="102"/>
      <c r="CN1670" s="112" t="s">
        <v>4234</v>
      </c>
      <c r="CO1670" s="112" t="s">
        <v>544</v>
      </c>
      <c r="CP1670" s="112" t="s">
        <v>523</v>
      </c>
      <c r="CQ1670" s="112" t="s">
        <v>4235</v>
      </c>
      <c r="CR1670" s="112" t="s">
        <v>4235</v>
      </c>
      <c r="CS1670" s="112" t="s">
        <v>3742</v>
      </c>
      <c r="CT1670" s="112" t="s">
        <v>3743</v>
      </c>
      <c r="CU1670" s="112" t="s">
        <v>796</v>
      </c>
      <c r="CV1670" s="113" t="s">
        <v>3744</v>
      </c>
      <c r="CX1670" s="36">
        <v>1</v>
      </c>
    </row>
    <row r="1671" spans="91:102" ht="21" customHeight="1" x14ac:dyDescent="0.25">
      <c r="CM1671" s="102"/>
      <c r="CN1671" s="112" t="s">
        <v>4236</v>
      </c>
      <c r="CO1671" s="112" t="s">
        <v>544</v>
      </c>
      <c r="CP1671" s="112" t="s">
        <v>523</v>
      </c>
      <c r="CQ1671" s="112" t="s">
        <v>4237</v>
      </c>
      <c r="CR1671" s="112" t="s">
        <v>4238</v>
      </c>
      <c r="CS1671" s="112" t="s">
        <v>525</v>
      </c>
      <c r="CT1671" s="112" t="s">
        <v>3757</v>
      </c>
      <c r="CU1671" s="112" t="s">
        <v>527</v>
      </c>
      <c r="CV1671" s="113" t="s">
        <v>528</v>
      </c>
      <c r="CX1671" s="36">
        <v>1</v>
      </c>
    </row>
    <row r="1672" spans="91:102" ht="21" customHeight="1" x14ac:dyDescent="0.25">
      <c r="CM1672" s="102"/>
      <c r="CN1672" s="112" t="s">
        <v>4239</v>
      </c>
      <c r="CO1672" s="112" t="s">
        <v>544</v>
      </c>
      <c r="CP1672" s="112" t="s">
        <v>523</v>
      </c>
      <c r="CQ1672" s="112" t="s">
        <v>4240</v>
      </c>
      <c r="CR1672" s="112" t="s">
        <v>4241</v>
      </c>
      <c r="CS1672" s="112" t="s">
        <v>3742</v>
      </c>
      <c r="CT1672" s="112" t="s">
        <v>3743</v>
      </c>
      <c r="CU1672" s="112" t="s">
        <v>796</v>
      </c>
      <c r="CV1672" s="113" t="s">
        <v>3744</v>
      </c>
      <c r="CX1672" s="36">
        <v>1</v>
      </c>
    </row>
    <row r="1673" spans="91:102" ht="21" customHeight="1" x14ac:dyDescent="0.25">
      <c r="CM1673" s="102"/>
      <c r="CN1673" s="112" t="s">
        <v>4242</v>
      </c>
      <c r="CO1673" s="112" t="s">
        <v>544</v>
      </c>
      <c r="CP1673" s="112" t="s">
        <v>523</v>
      </c>
      <c r="CQ1673" s="112" t="s">
        <v>4243</v>
      </c>
      <c r="CR1673" s="112" t="s">
        <v>4244</v>
      </c>
      <c r="CS1673" s="112" t="s">
        <v>3742</v>
      </c>
      <c r="CT1673" s="112" t="s">
        <v>3743</v>
      </c>
      <c r="CU1673" s="112" t="s">
        <v>796</v>
      </c>
      <c r="CV1673" s="113" t="s">
        <v>3744</v>
      </c>
      <c r="CX1673" s="36">
        <v>1</v>
      </c>
    </row>
    <row r="1674" spans="91:102" ht="21" customHeight="1" x14ac:dyDescent="0.25">
      <c r="CM1674" s="102"/>
      <c r="CN1674" s="112" t="s">
        <v>4245</v>
      </c>
      <c r="CO1674" s="112" t="s">
        <v>544</v>
      </c>
      <c r="CP1674" s="112" t="s">
        <v>523</v>
      </c>
      <c r="CQ1674" s="112" t="s">
        <v>4246</v>
      </c>
      <c r="CR1674" s="112" t="s">
        <v>4246</v>
      </c>
      <c r="CS1674" s="112" t="s">
        <v>525</v>
      </c>
      <c r="CT1674" s="112" t="s">
        <v>3757</v>
      </c>
      <c r="CU1674" s="112" t="s">
        <v>527</v>
      </c>
      <c r="CV1674" s="113" t="s">
        <v>528</v>
      </c>
      <c r="CX1674" s="36">
        <v>1</v>
      </c>
    </row>
    <row r="1675" spans="91:102" ht="21" customHeight="1" x14ac:dyDescent="0.25">
      <c r="CM1675" s="102"/>
      <c r="CN1675" s="112" t="s">
        <v>4247</v>
      </c>
      <c r="CO1675" s="112" t="s">
        <v>544</v>
      </c>
      <c r="CP1675" s="112" t="s">
        <v>523</v>
      </c>
      <c r="CQ1675" s="112" t="s">
        <v>4248</v>
      </c>
      <c r="CR1675" s="112" t="s">
        <v>4249</v>
      </c>
      <c r="CS1675" s="112" t="s">
        <v>3742</v>
      </c>
      <c r="CT1675" s="112" t="s">
        <v>3743</v>
      </c>
      <c r="CU1675" s="112" t="s">
        <v>796</v>
      </c>
      <c r="CV1675" s="113" t="s">
        <v>3744</v>
      </c>
      <c r="CX1675" s="36">
        <v>1</v>
      </c>
    </row>
    <row r="1676" spans="91:102" ht="21" customHeight="1" x14ac:dyDescent="0.25">
      <c r="CM1676" s="102"/>
      <c r="CN1676" s="112" t="s">
        <v>4250</v>
      </c>
      <c r="CO1676" s="112" t="s">
        <v>544</v>
      </c>
      <c r="CP1676" s="112" t="s">
        <v>523</v>
      </c>
      <c r="CQ1676" s="112" t="s">
        <v>4251</v>
      </c>
      <c r="CR1676" s="112" t="s">
        <v>4252</v>
      </c>
      <c r="CS1676" s="112" t="s">
        <v>525</v>
      </c>
      <c r="CT1676" s="112" t="s">
        <v>3757</v>
      </c>
      <c r="CU1676" s="112" t="s">
        <v>527</v>
      </c>
      <c r="CV1676" s="113" t="s">
        <v>528</v>
      </c>
      <c r="CX1676" s="36">
        <v>1</v>
      </c>
    </row>
    <row r="1677" spans="91:102" ht="21" customHeight="1" x14ac:dyDescent="0.25">
      <c r="CM1677" s="102"/>
      <c r="CN1677" s="112" t="s">
        <v>4253</v>
      </c>
      <c r="CO1677" s="112" t="s">
        <v>544</v>
      </c>
      <c r="CP1677" s="112" t="s">
        <v>523</v>
      </c>
      <c r="CQ1677" s="112" t="s">
        <v>4254</v>
      </c>
      <c r="CR1677" s="112" t="s">
        <v>4255</v>
      </c>
      <c r="CS1677" s="112" t="s">
        <v>3742</v>
      </c>
      <c r="CT1677" s="112" t="s">
        <v>3743</v>
      </c>
      <c r="CU1677" s="112" t="s">
        <v>796</v>
      </c>
      <c r="CV1677" s="113" t="s">
        <v>3744</v>
      </c>
      <c r="CX1677" s="36">
        <v>1</v>
      </c>
    </row>
    <row r="1678" spans="91:102" ht="21" customHeight="1" x14ac:dyDescent="0.25">
      <c r="CM1678" s="102"/>
      <c r="CN1678" s="112" t="s">
        <v>4256</v>
      </c>
      <c r="CO1678" s="112" t="s">
        <v>544</v>
      </c>
      <c r="CP1678" s="112" t="s">
        <v>523</v>
      </c>
      <c r="CQ1678" s="112" t="s">
        <v>4257</v>
      </c>
      <c r="CR1678" s="112" t="s">
        <v>4258</v>
      </c>
      <c r="CS1678" s="112" t="s">
        <v>3742</v>
      </c>
      <c r="CT1678" s="112" t="s">
        <v>3743</v>
      </c>
      <c r="CU1678" s="112" t="s">
        <v>796</v>
      </c>
      <c r="CV1678" s="113" t="s">
        <v>3744</v>
      </c>
      <c r="CX1678" s="36">
        <v>1</v>
      </c>
    </row>
    <row r="1679" spans="91:102" ht="21" customHeight="1" x14ac:dyDescent="0.25">
      <c r="CM1679" s="102"/>
      <c r="CN1679" s="112" t="s">
        <v>4259</v>
      </c>
      <c r="CO1679" s="112" t="s">
        <v>544</v>
      </c>
      <c r="CP1679" s="112" t="s">
        <v>523</v>
      </c>
      <c r="CQ1679" s="112" t="s">
        <v>4260</v>
      </c>
      <c r="CR1679" s="112" t="s">
        <v>4261</v>
      </c>
      <c r="CS1679" s="112" t="s">
        <v>525</v>
      </c>
      <c r="CT1679" s="112" t="s">
        <v>3757</v>
      </c>
      <c r="CU1679" s="112" t="s">
        <v>527</v>
      </c>
      <c r="CV1679" s="113" t="s">
        <v>528</v>
      </c>
      <c r="CX1679" s="36">
        <v>1</v>
      </c>
    </row>
    <row r="1680" spans="91:102" ht="21" customHeight="1" x14ac:dyDescent="0.25">
      <c r="CM1680" s="102"/>
      <c r="CN1680" s="112" t="s">
        <v>4262</v>
      </c>
      <c r="CO1680" s="112" t="s">
        <v>544</v>
      </c>
      <c r="CP1680" s="112" t="s">
        <v>523</v>
      </c>
      <c r="CQ1680" s="112" t="s">
        <v>4263</v>
      </c>
      <c r="CR1680" s="112" t="s">
        <v>4263</v>
      </c>
      <c r="CS1680" s="112" t="s">
        <v>525</v>
      </c>
      <c r="CT1680" s="112" t="s">
        <v>3757</v>
      </c>
      <c r="CU1680" s="112" t="s">
        <v>527</v>
      </c>
      <c r="CV1680" s="113" t="s">
        <v>528</v>
      </c>
      <c r="CX1680" s="36">
        <v>1</v>
      </c>
    </row>
    <row r="1681" spans="91:102" ht="21" customHeight="1" x14ac:dyDescent="0.25">
      <c r="CM1681" s="102"/>
      <c r="CN1681" s="112" t="s">
        <v>4264</v>
      </c>
      <c r="CO1681" s="112" t="s">
        <v>544</v>
      </c>
      <c r="CP1681" s="112" t="s">
        <v>523</v>
      </c>
      <c r="CQ1681" s="112" t="s">
        <v>4265</v>
      </c>
      <c r="CR1681" s="112" t="s">
        <v>4265</v>
      </c>
      <c r="CS1681" s="112" t="s">
        <v>3742</v>
      </c>
      <c r="CT1681" s="112" t="s">
        <v>3743</v>
      </c>
      <c r="CU1681" s="112" t="s">
        <v>796</v>
      </c>
      <c r="CV1681" s="113" t="s">
        <v>3744</v>
      </c>
      <c r="CX1681" s="36">
        <v>1</v>
      </c>
    </row>
    <row r="1682" spans="91:102" ht="21" customHeight="1" x14ac:dyDescent="0.25">
      <c r="CM1682" s="102"/>
      <c r="CN1682" s="112" t="s">
        <v>4266</v>
      </c>
      <c r="CO1682" s="112" t="s">
        <v>544</v>
      </c>
      <c r="CP1682" s="112" t="s">
        <v>523</v>
      </c>
      <c r="CQ1682" s="112" t="s">
        <v>4267</v>
      </c>
      <c r="CR1682" s="112" t="s">
        <v>4267</v>
      </c>
      <c r="CS1682" s="112" t="s">
        <v>3742</v>
      </c>
      <c r="CT1682" s="112" t="s">
        <v>3743</v>
      </c>
      <c r="CU1682" s="112" t="s">
        <v>796</v>
      </c>
      <c r="CV1682" s="113" t="s">
        <v>3744</v>
      </c>
      <c r="CX1682" s="36">
        <v>1</v>
      </c>
    </row>
    <row r="1683" spans="91:102" ht="21" customHeight="1" x14ac:dyDescent="0.25">
      <c r="CM1683" s="102"/>
      <c r="CN1683" s="112" t="s">
        <v>4268</v>
      </c>
      <c r="CO1683" s="112" t="s">
        <v>544</v>
      </c>
      <c r="CP1683" s="112" t="s">
        <v>523</v>
      </c>
      <c r="CQ1683" s="112" t="s">
        <v>4269</v>
      </c>
      <c r="CR1683" s="112" t="s">
        <v>4269</v>
      </c>
      <c r="CS1683" s="112" t="s">
        <v>3742</v>
      </c>
      <c r="CT1683" s="112" t="s">
        <v>3743</v>
      </c>
      <c r="CU1683" s="112" t="s">
        <v>796</v>
      </c>
      <c r="CV1683" s="113" t="s">
        <v>3744</v>
      </c>
      <c r="CX1683" s="36">
        <v>1</v>
      </c>
    </row>
    <row r="1684" spans="91:102" ht="21" customHeight="1" x14ac:dyDescent="0.25">
      <c r="CM1684" s="102"/>
      <c r="CN1684" s="112" t="s">
        <v>4270</v>
      </c>
      <c r="CO1684" s="112" t="s">
        <v>544</v>
      </c>
      <c r="CP1684" s="112" t="s">
        <v>523</v>
      </c>
      <c r="CQ1684" s="112" t="s">
        <v>4271</v>
      </c>
      <c r="CR1684" s="112" t="s">
        <v>4271</v>
      </c>
      <c r="CS1684" s="112" t="s">
        <v>525</v>
      </c>
      <c r="CT1684" s="112" t="s">
        <v>3757</v>
      </c>
      <c r="CU1684" s="112" t="s">
        <v>527</v>
      </c>
      <c r="CV1684" s="113" t="s">
        <v>528</v>
      </c>
      <c r="CX1684" s="36">
        <v>1</v>
      </c>
    </row>
    <row r="1685" spans="91:102" ht="21" customHeight="1" x14ac:dyDescent="0.25">
      <c r="CM1685" s="102"/>
      <c r="CN1685" s="112" t="s">
        <v>4272</v>
      </c>
      <c r="CO1685" s="112" t="s">
        <v>544</v>
      </c>
      <c r="CP1685" s="112" t="s">
        <v>523</v>
      </c>
      <c r="CQ1685" s="112" t="s">
        <v>4273</v>
      </c>
      <c r="CR1685" s="112" t="s">
        <v>4273</v>
      </c>
      <c r="CS1685" s="112" t="s">
        <v>525</v>
      </c>
      <c r="CT1685" s="112" t="s">
        <v>3757</v>
      </c>
      <c r="CU1685" s="112" t="s">
        <v>527</v>
      </c>
      <c r="CV1685" s="113" t="s">
        <v>528</v>
      </c>
      <c r="CX1685" s="36">
        <v>1</v>
      </c>
    </row>
    <row r="1686" spans="91:102" ht="21" customHeight="1" x14ac:dyDescent="0.25">
      <c r="CM1686" s="102"/>
      <c r="CN1686" s="112" t="s">
        <v>4274</v>
      </c>
      <c r="CO1686" s="112" t="s">
        <v>544</v>
      </c>
      <c r="CP1686" s="112" t="s">
        <v>523</v>
      </c>
      <c r="CQ1686" s="112" t="s">
        <v>4275</v>
      </c>
      <c r="CR1686" s="112" t="s">
        <v>4275</v>
      </c>
      <c r="CS1686" s="112" t="s">
        <v>3742</v>
      </c>
      <c r="CT1686" s="112" t="s">
        <v>3743</v>
      </c>
      <c r="CU1686" s="112" t="s">
        <v>796</v>
      </c>
      <c r="CV1686" s="113" t="s">
        <v>3744</v>
      </c>
      <c r="CX1686" s="36">
        <v>1</v>
      </c>
    </row>
    <row r="1687" spans="91:102" ht="21" customHeight="1" x14ac:dyDescent="0.25">
      <c r="CM1687" s="102"/>
      <c r="CN1687" s="112" t="s">
        <v>4276</v>
      </c>
      <c r="CO1687" s="112" t="s">
        <v>544</v>
      </c>
      <c r="CP1687" s="112" t="s">
        <v>523</v>
      </c>
      <c r="CQ1687" s="112" t="s">
        <v>4277</v>
      </c>
      <c r="CR1687" s="112" t="s">
        <v>4277</v>
      </c>
      <c r="CS1687" s="112" t="s">
        <v>525</v>
      </c>
      <c r="CT1687" s="112" t="s">
        <v>3757</v>
      </c>
      <c r="CU1687" s="112" t="s">
        <v>527</v>
      </c>
      <c r="CV1687" s="113" t="s">
        <v>528</v>
      </c>
      <c r="CX1687" s="36">
        <v>1</v>
      </c>
    </row>
    <row r="1688" spans="91:102" ht="21" customHeight="1" x14ac:dyDescent="0.25">
      <c r="CM1688" s="102"/>
      <c r="CN1688" s="112" t="s">
        <v>4278</v>
      </c>
      <c r="CO1688" s="112" t="s">
        <v>544</v>
      </c>
      <c r="CP1688" s="112" t="s">
        <v>523</v>
      </c>
      <c r="CQ1688" s="112" t="s">
        <v>4279</v>
      </c>
      <c r="CR1688" s="112" t="s">
        <v>4279</v>
      </c>
      <c r="CS1688" s="112" t="s">
        <v>3742</v>
      </c>
      <c r="CT1688" s="112" t="s">
        <v>3743</v>
      </c>
      <c r="CU1688" s="112" t="s">
        <v>796</v>
      </c>
      <c r="CV1688" s="113" t="s">
        <v>3744</v>
      </c>
      <c r="CX1688" s="36">
        <v>1</v>
      </c>
    </row>
    <row r="1689" spans="91:102" ht="21" customHeight="1" x14ac:dyDescent="0.25">
      <c r="CM1689" s="102"/>
      <c r="CN1689" s="112" t="s">
        <v>4280</v>
      </c>
      <c r="CO1689" s="112" t="s">
        <v>544</v>
      </c>
      <c r="CP1689" s="112" t="s">
        <v>523</v>
      </c>
      <c r="CQ1689" s="112" t="s">
        <v>4281</v>
      </c>
      <c r="CR1689" s="112" t="s">
        <v>4281</v>
      </c>
      <c r="CS1689" s="112" t="s">
        <v>3742</v>
      </c>
      <c r="CT1689" s="112" t="s">
        <v>3743</v>
      </c>
      <c r="CU1689" s="112" t="s">
        <v>796</v>
      </c>
      <c r="CV1689" s="113" t="s">
        <v>3744</v>
      </c>
      <c r="CX1689" s="36">
        <v>1</v>
      </c>
    </row>
    <row r="1690" spans="91:102" ht="21" customHeight="1" x14ac:dyDescent="0.25">
      <c r="CM1690" s="102"/>
      <c r="CN1690" s="112" t="s">
        <v>4282</v>
      </c>
      <c r="CO1690" s="112" t="s">
        <v>544</v>
      </c>
      <c r="CP1690" s="112" t="s">
        <v>523</v>
      </c>
      <c r="CQ1690" s="112" t="s">
        <v>4283</v>
      </c>
      <c r="CR1690" s="112" t="s">
        <v>4283</v>
      </c>
      <c r="CS1690" s="112" t="s">
        <v>525</v>
      </c>
      <c r="CT1690" s="112" t="s">
        <v>3757</v>
      </c>
      <c r="CU1690" s="112" t="s">
        <v>527</v>
      </c>
      <c r="CV1690" s="113" t="s">
        <v>528</v>
      </c>
      <c r="CX1690" s="36">
        <v>1</v>
      </c>
    </row>
    <row r="1691" spans="91:102" ht="21" customHeight="1" x14ac:dyDescent="0.25">
      <c r="CM1691" s="102"/>
      <c r="CN1691" s="112" t="s">
        <v>4284</v>
      </c>
      <c r="CO1691" s="112" t="s">
        <v>544</v>
      </c>
      <c r="CP1691" s="112" t="s">
        <v>523</v>
      </c>
      <c r="CQ1691" s="112" t="s">
        <v>4285</v>
      </c>
      <c r="CR1691" s="112" t="s">
        <v>4286</v>
      </c>
      <c r="CS1691" s="112" t="s">
        <v>3742</v>
      </c>
      <c r="CT1691" s="112" t="s">
        <v>3743</v>
      </c>
      <c r="CU1691" s="112" t="s">
        <v>796</v>
      </c>
      <c r="CV1691" s="113" t="s">
        <v>3744</v>
      </c>
      <c r="CX1691" s="36">
        <v>1</v>
      </c>
    </row>
    <row r="1692" spans="91:102" ht="21" customHeight="1" x14ac:dyDescent="0.25">
      <c r="CM1692" s="102"/>
      <c r="CN1692" s="112" t="s">
        <v>4287</v>
      </c>
      <c r="CO1692" s="112" t="s">
        <v>544</v>
      </c>
      <c r="CP1692" s="112" t="s">
        <v>523</v>
      </c>
      <c r="CQ1692" s="112" t="s">
        <v>4288</v>
      </c>
      <c r="CR1692" s="112" t="s">
        <v>4289</v>
      </c>
      <c r="CS1692" s="112" t="s">
        <v>3742</v>
      </c>
      <c r="CT1692" s="112" t="s">
        <v>3743</v>
      </c>
      <c r="CU1692" s="112" t="s">
        <v>796</v>
      </c>
      <c r="CV1692" s="113" t="s">
        <v>3744</v>
      </c>
      <c r="CX1692" s="36">
        <v>1</v>
      </c>
    </row>
    <row r="1693" spans="91:102" ht="21" customHeight="1" x14ac:dyDescent="0.25">
      <c r="CM1693" s="102"/>
      <c r="CN1693" s="112" t="s">
        <v>4290</v>
      </c>
      <c r="CO1693" s="112" t="s">
        <v>544</v>
      </c>
      <c r="CP1693" s="112" t="s">
        <v>523</v>
      </c>
      <c r="CQ1693" s="112" t="s">
        <v>4291</v>
      </c>
      <c r="CR1693" s="112" t="s">
        <v>4292</v>
      </c>
      <c r="CS1693" s="112" t="s">
        <v>3742</v>
      </c>
      <c r="CT1693" s="112" t="s">
        <v>3743</v>
      </c>
      <c r="CU1693" s="112" t="s">
        <v>796</v>
      </c>
      <c r="CV1693" s="113" t="s">
        <v>3744</v>
      </c>
      <c r="CX1693" s="36">
        <v>1</v>
      </c>
    </row>
    <row r="1694" spans="91:102" ht="21" customHeight="1" x14ac:dyDescent="0.25">
      <c r="CM1694" s="102"/>
      <c r="CN1694" s="112" t="s">
        <v>4293</v>
      </c>
      <c r="CO1694" s="112" t="s">
        <v>544</v>
      </c>
      <c r="CP1694" s="112" t="s">
        <v>523</v>
      </c>
      <c r="CQ1694" s="112" t="s">
        <v>4294</v>
      </c>
      <c r="CR1694" s="112" t="s">
        <v>4294</v>
      </c>
      <c r="CS1694" s="112" t="s">
        <v>525</v>
      </c>
      <c r="CT1694" s="112" t="s">
        <v>3757</v>
      </c>
      <c r="CU1694" s="112" t="s">
        <v>527</v>
      </c>
      <c r="CV1694" s="113" t="s">
        <v>528</v>
      </c>
      <c r="CX1694" s="36">
        <v>1</v>
      </c>
    </row>
    <row r="1695" spans="91:102" ht="21" customHeight="1" x14ac:dyDescent="0.25">
      <c r="CM1695" s="102"/>
      <c r="CN1695" s="112" t="s">
        <v>4295</v>
      </c>
      <c r="CO1695" s="112" t="s">
        <v>544</v>
      </c>
      <c r="CP1695" s="112" t="s">
        <v>523</v>
      </c>
      <c r="CQ1695" s="112" t="s">
        <v>4296</v>
      </c>
      <c r="CR1695" s="112" t="s">
        <v>4297</v>
      </c>
      <c r="CS1695" s="112" t="s">
        <v>3742</v>
      </c>
      <c r="CT1695" s="112" t="s">
        <v>3743</v>
      </c>
      <c r="CU1695" s="112" t="s">
        <v>796</v>
      </c>
      <c r="CV1695" s="113" t="s">
        <v>3744</v>
      </c>
      <c r="CX1695" s="36">
        <v>1</v>
      </c>
    </row>
    <row r="1696" spans="91:102" ht="21" customHeight="1" x14ac:dyDescent="0.25">
      <c r="CM1696" s="102"/>
      <c r="CN1696" s="112" t="s">
        <v>4298</v>
      </c>
      <c r="CO1696" s="112" t="s">
        <v>544</v>
      </c>
      <c r="CP1696" s="112" t="s">
        <v>523</v>
      </c>
      <c r="CQ1696" s="112" t="s">
        <v>4299</v>
      </c>
      <c r="CR1696" s="112" t="s">
        <v>4299</v>
      </c>
      <c r="CS1696" s="112" t="s">
        <v>525</v>
      </c>
      <c r="CT1696" s="112" t="s">
        <v>3757</v>
      </c>
      <c r="CU1696" s="112" t="s">
        <v>527</v>
      </c>
      <c r="CV1696" s="113" t="s">
        <v>528</v>
      </c>
      <c r="CX1696" s="36">
        <v>1</v>
      </c>
    </row>
    <row r="1697" spans="91:102" ht="21" customHeight="1" x14ac:dyDescent="0.25">
      <c r="CM1697" s="102"/>
      <c r="CN1697" s="112" t="s">
        <v>4300</v>
      </c>
      <c r="CO1697" s="112" t="s">
        <v>544</v>
      </c>
      <c r="CP1697" s="112" t="s">
        <v>523</v>
      </c>
      <c r="CQ1697" s="112" t="s">
        <v>4301</v>
      </c>
      <c r="CR1697" s="112" t="s">
        <v>4302</v>
      </c>
      <c r="CS1697" s="112" t="s">
        <v>3742</v>
      </c>
      <c r="CT1697" s="112" t="s">
        <v>3743</v>
      </c>
      <c r="CU1697" s="112" t="s">
        <v>796</v>
      </c>
      <c r="CV1697" s="113" t="s">
        <v>3744</v>
      </c>
      <c r="CX1697" s="36">
        <v>1</v>
      </c>
    </row>
    <row r="1698" spans="91:102" ht="21" customHeight="1" x14ac:dyDescent="0.25">
      <c r="CM1698" s="102"/>
      <c r="CN1698" s="112" t="s">
        <v>4303</v>
      </c>
      <c r="CO1698" s="112" t="s">
        <v>544</v>
      </c>
      <c r="CP1698" s="112" t="s">
        <v>523</v>
      </c>
      <c r="CQ1698" s="112" t="s">
        <v>4304</v>
      </c>
      <c r="CR1698" s="112" t="s">
        <v>4304</v>
      </c>
      <c r="CS1698" s="112" t="s">
        <v>3742</v>
      </c>
      <c r="CT1698" s="112" t="s">
        <v>3743</v>
      </c>
      <c r="CU1698" s="112" t="s">
        <v>796</v>
      </c>
      <c r="CV1698" s="113" t="s">
        <v>3744</v>
      </c>
      <c r="CX1698" s="36">
        <v>1</v>
      </c>
    </row>
    <row r="1699" spans="91:102" ht="21" customHeight="1" x14ac:dyDescent="0.25">
      <c r="CM1699" s="102"/>
      <c r="CN1699" s="112" t="s">
        <v>4305</v>
      </c>
      <c r="CO1699" s="112" t="s">
        <v>544</v>
      </c>
      <c r="CP1699" s="112" t="s">
        <v>523</v>
      </c>
      <c r="CQ1699" s="112" t="s">
        <v>4306</v>
      </c>
      <c r="CR1699" s="112" t="s">
        <v>4306</v>
      </c>
      <c r="CS1699" s="112" t="s">
        <v>3742</v>
      </c>
      <c r="CT1699" s="112" t="s">
        <v>3743</v>
      </c>
      <c r="CU1699" s="112" t="s">
        <v>796</v>
      </c>
      <c r="CV1699" s="113" t="s">
        <v>3744</v>
      </c>
      <c r="CX1699" s="36">
        <v>1</v>
      </c>
    </row>
    <row r="1700" spans="91:102" ht="21" customHeight="1" x14ac:dyDescent="0.25">
      <c r="CM1700" s="102"/>
      <c r="CN1700" s="112" t="s">
        <v>4307</v>
      </c>
      <c r="CO1700" s="112" t="s">
        <v>544</v>
      </c>
      <c r="CP1700" s="112" t="s">
        <v>523</v>
      </c>
      <c r="CQ1700" s="112" t="s">
        <v>4308</v>
      </c>
      <c r="CR1700" s="112" t="s">
        <v>4309</v>
      </c>
      <c r="CS1700" s="112" t="s">
        <v>3742</v>
      </c>
      <c r="CT1700" s="112" t="s">
        <v>3743</v>
      </c>
      <c r="CU1700" s="112" t="s">
        <v>796</v>
      </c>
      <c r="CV1700" s="113" t="s">
        <v>3744</v>
      </c>
      <c r="CX1700" s="36">
        <v>1</v>
      </c>
    </row>
    <row r="1701" spans="91:102" ht="21" customHeight="1" x14ac:dyDescent="0.25">
      <c r="CM1701" s="102"/>
      <c r="CN1701" s="112" t="s">
        <v>4310</v>
      </c>
      <c r="CO1701" s="112" t="s">
        <v>544</v>
      </c>
      <c r="CP1701" s="112" t="s">
        <v>523</v>
      </c>
      <c r="CQ1701" s="112" t="s">
        <v>4311</v>
      </c>
      <c r="CR1701" s="112" t="s">
        <v>4311</v>
      </c>
      <c r="CS1701" s="112" t="s">
        <v>3742</v>
      </c>
      <c r="CT1701" s="112" t="s">
        <v>3743</v>
      </c>
      <c r="CU1701" s="112" t="s">
        <v>796</v>
      </c>
      <c r="CV1701" s="113" t="s">
        <v>3744</v>
      </c>
      <c r="CX1701" s="36">
        <v>1</v>
      </c>
    </row>
    <row r="1702" spans="91:102" ht="21" customHeight="1" x14ac:dyDescent="0.25">
      <c r="CM1702" s="102"/>
      <c r="CN1702" s="112" t="s">
        <v>4312</v>
      </c>
      <c r="CO1702" s="112" t="s">
        <v>544</v>
      </c>
      <c r="CP1702" s="112" t="s">
        <v>523</v>
      </c>
      <c r="CQ1702" s="112" t="s">
        <v>4313</v>
      </c>
      <c r="CR1702" s="112" t="s">
        <v>4313</v>
      </c>
      <c r="CS1702" s="112" t="s">
        <v>525</v>
      </c>
      <c r="CT1702" s="112" t="s">
        <v>3757</v>
      </c>
      <c r="CU1702" s="112" t="s">
        <v>527</v>
      </c>
      <c r="CV1702" s="113" t="s">
        <v>528</v>
      </c>
      <c r="CX1702" s="36">
        <v>1</v>
      </c>
    </row>
    <row r="1703" spans="91:102" ht="21" customHeight="1" x14ac:dyDescent="0.25">
      <c r="CM1703" s="102"/>
      <c r="CN1703" s="112" t="s">
        <v>4314</v>
      </c>
      <c r="CO1703" s="112" t="s">
        <v>544</v>
      </c>
      <c r="CP1703" s="112" t="s">
        <v>523</v>
      </c>
      <c r="CQ1703" s="112" t="s">
        <v>4315</v>
      </c>
      <c r="CR1703" s="112" t="s">
        <v>4316</v>
      </c>
      <c r="CS1703" s="112" t="s">
        <v>3742</v>
      </c>
      <c r="CT1703" s="112" t="s">
        <v>3743</v>
      </c>
      <c r="CU1703" s="112" t="s">
        <v>796</v>
      </c>
      <c r="CV1703" s="113" t="s">
        <v>3744</v>
      </c>
      <c r="CX1703" s="36">
        <v>1</v>
      </c>
    </row>
    <row r="1704" spans="91:102" ht="21" customHeight="1" x14ac:dyDescent="0.25">
      <c r="CM1704" s="102"/>
      <c r="CN1704" s="112" t="s">
        <v>4317</v>
      </c>
      <c r="CO1704" s="112" t="s">
        <v>544</v>
      </c>
      <c r="CP1704" s="112" t="s">
        <v>523</v>
      </c>
      <c r="CQ1704" s="112" t="s">
        <v>4318</v>
      </c>
      <c r="CR1704" s="112" t="s">
        <v>4319</v>
      </c>
      <c r="CS1704" s="112" t="s">
        <v>3742</v>
      </c>
      <c r="CT1704" s="112" t="s">
        <v>3743</v>
      </c>
      <c r="CU1704" s="112" t="s">
        <v>796</v>
      </c>
      <c r="CV1704" s="113" t="s">
        <v>3744</v>
      </c>
      <c r="CX1704" s="36">
        <v>1</v>
      </c>
    </row>
    <row r="1705" spans="91:102" ht="21" customHeight="1" x14ac:dyDescent="0.25">
      <c r="CM1705" s="102"/>
      <c r="CN1705" s="112" t="s">
        <v>4320</v>
      </c>
      <c r="CO1705" s="112" t="s">
        <v>544</v>
      </c>
      <c r="CP1705" s="112" t="s">
        <v>523</v>
      </c>
      <c r="CQ1705" s="112" t="s">
        <v>4321</v>
      </c>
      <c r="CR1705" s="112" t="s">
        <v>4321</v>
      </c>
      <c r="CS1705" s="112" t="s">
        <v>3742</v>
      </c>
      <c r="CT1705" s="112" t="s">
        <v>3743</v>
      </c>
      <c r="CU1705" s="112" t="s">
        <v>796</v>
      </c>
      <c r="CV1705" s="113" t="s">
        <v>3744</v>
      </c>
      <c r="CX1705" s="36">
        <v>1</v>
      </c>
    </row>
    <row r="1706" spans="91:102" ht="21" customHeight="1" x14ac:dyDescent="0.25">
      <c r="CM1706" s="102"/>
      <c r="CN1706" s="112" t="s">
        <v>4322</v>
      </c>
      <c r="CO1706" s="112" t="s">
        <v>544</v>
      </c>
      <c r="CP1706" s="112" t="s">
        <v>523</v>
      </c>
      <c r="CQ1706" s="112" t="s">
        <v>4323</v>
      </c>
      <c r="CR1706" s="112" t="s">
        <v>4323</v>
      </c>
      <c r="CS1706" s="112" t="s">
        <v>525</v>
      </c>
      <c r="CT1706" s="112" t="s">
        <v>3757</v>
      </c>
      <c r="CU1706" s="112" t="s">
        <v>527</v>
      </c>
      <c r="CV1706" s="113" t="s">
        <v>528</v>
      </c>
      <c r="CX1706" s="36">
        <v>1</v>
      </c>
    </row>
    <row r="1707" spans="91:102" ht="21" customHeight="1" x14ac:dyDescent="0.25">
      <c r="CM1707" s="102"/>
      <c r="CN1707" s="112" t="s">
        <v>4324</v>
      </c>
      <c r="CO1707" s="112" t="s">
        <v>544</v>
      </c>
      <c r="CP1707" s="112" t="s">
        <v>523</v>
      </c>
      <c r="CQ1707" s="112" t="s">
        <v>4325</v>
      </c>
      <c r="CR1707" s="112" t="s">
        <v>4326</v>
      </c>
      <c r="CS1707" s="112" t="s">
        <v>525</v>
      </c>
      <c r="CT1707" s="112" t="s">
        <v>3757</v>
      </c>
      <c r="CU1707" s="112" t="s">
        <v>527</v>
      </c>
      <c r="CV1707" s="113" t="s">
        <v>528</v>
      </c>
      <c r="CX1707" s="36">
        <v>1</v>
      </c>
    </row>
    <row r="1708" spans="91:102" ht="21" customHeight="1" x14ac:dyDescent="0.25">
      <c r="CM1708" s="102"/>
      <c r="CN1708" s="112" t="s">
        <v>4327</v>
      </c>
      <c r="CO1708" s="112" t="s">
        <v>544</v>
      </c>
      <c r="CP1708" s="112" t="s">
        <v>523</v>
      </c>
      <c r="CQ1708" s="112" t="s">
        <v>4328</v>
      </c>
      <c r="CR1708" s="112" t="s">
        <v>4328</v>
      </c>
      <c r="CS1708" s="112" t="s">
        <v>3742</v>
      </c>
      <c r="CT1708" s="112" t="s">
        <v>3743</v>
      </c>
      <c r="CU1708" s="112" t="s">
        <v>796</v>
      </c>
      <c r="CV1708" s="113" t="s">
        <v>3744</v>
      </c>
      <c r="CX1708" s="36">
        <v>1</v>
      </c>
    </row>
    <row r="1709" spans="91:102" ht="21" customHeight="1" x14ac:dyDescent="0.25">
      <c r="CM1709" s="102"/>
      <c r="CN1709" s="112" t="s">
        <v>4329</v>
      </c>
      <c r="CO1709" s="112" t="s">
        <v>544</v>
      </c>
      <c r="CP1709" s="112" t="s">
        <v>523</v>
      </c>
      <c r="CQ1709" s="112" t="s">
        <v>4330</v>
      </c>
      <c r="CR1709" s="112" t="s">
        <v>4330</v>
      </c>
      <c r="CS1709" s="112" t="s">
        <v>3742</v>
      </c>
      <c r="CT1709" s="112" t="s">
        <v>3743</v>
      </c>
      <c r="CU1709" s="112" t="s">
        <v>796</v>
      </c>
      <c r="CV1709" s="113" t="s">
        <v>3744</v>
      </c>
      <c r="CX1709" s="36">
        <v>1</v>
      </c>
    </row>
    <row r="1710" spans="91:102" ht="21" customHeight="1" x14ac:dyDescent="0.25">
      <c r="CM1710" s="102"/>
      <c r="CN1710" s="112" t="s">
        <v>4331</v>
      </c>
      <c r="CO1710" s="112" t="s">
        <v>544</v>
      </c>
      <c r="CP1710" s="112" t="s">
        <v>523</v>
      </c>
      <c r="CQ1710" s="112" t="s">
        <v>4332</v>
      </c>
      <c r="CR1710" s="112" t="s">
        <v>4332</v>
      </c>
      <c r="CS1710" s="112" t="s">
        <v>3742</v>
      </c>
      <c r="CT1710" s="112" t="s">
        <v>3743</v>
      </c>
      <c r="CU1710" s="112" t="s">
        <v>796</v>
      </c>
      <c r="CV1710" s="113" t="s">
        <v>3744</v>
      </c>
      <c r="CX1710" s="36">
        <v>1</v>
      </c>
    </row>
    <row r="1711" spans="91:102" ht="21" customHeight="1" x14ac:dyDescent="0.25">
      <c r="CM1711" s="102"/>
      <c r="CN1711" s="112" t="s">
        <v>4333</v>
      </c>
      <c r="CO1711" s="112" t="s">
        <v>544</v>
      </c>
      <c r="CP1711" s="112" t="s">
        <v>523</v>
      </c>
      <c r="CQ1711" s="112" t="s">
        <v>4334</v>
      </c>
      <c r="CR1711" s="112" t="s">
        <v>4334</v>
      </c>
      <c r="CS1711" s="112" t="s">
        <v>525</v>
      </c>
      <c r="CT1711" s="112" t="s">
        <v>3757</v>
      </c>
      <c r="CU1711" s="112" t="s">
        <v>527</v>
      </c>
      <c r="CV1711" s="113" t="s">
        <v>528</v>
      </c>
      <c r="CX1711" s="36">
        <v>1</v>
      </c>
    </row>
    <row r="1712" spans="91:102" ht="21" customHeight="1" x14ac:dyDescent="0.25">
      <c r="CM1712" s="102"/>
      <c r="CN1712" s="112" t="s">
        <v>4335</v>
      </c>
      <c r="CO1712" s="112" t="s">
        <v>544</v>
      </c>
      <c r="CP1712" s="112" t="s">
        <v>523</v>
      </c>
      <c r="CQ1712" s="112" t="s">
        <v>4336</v>
      </c>
      <c r="CR1712" s="112" t="s">
        <v>4336</v>
      </c>
      <c r="CS1712" s="112" t="s">
        <v>3742</v>
      </c>
      <c r="CT1712" s="112" t="s">
        <v>3743</v>
      </c>
      <c r="CU1712" s="112" t="s">
        <v>796</v>
      </c>
      <c r="CV1712" s="113" t="s">
        <v>3744</v>
      </c>
      <c r="CX1712" s="36">
        <v>1</v>
      </c>
    </row>
    <row r="1713" spans="91:102" ht="21" customHeight="1" x14ac:dyDescent="0.25">
      <c r="CM1713" s="102"/>
      <c r="CN1713" s="112" t="s">
        <v>4337</v>
      </c>
      <c r="CO1713" s="112" t="s">
        <v>544</v>
      </c>
      <c r="CP1713" s="112" t="s">
        <v>523</v>
      </c>
      <c r="CQ1713" s="112" t="s">
        <v>4338</v>
      </c>
      <c r="CR1713" s="112" t="s">
        <v>4338</v>
      </c>
      <c r="CS1713" s="112" t="s">
        <v>3742</v>
      </c>
      <c r="CT1713" s="112" t="s">
        <v>3743</v>
      </c>
      <c r="CU1713" s="112" t="s">
        <v>796</v>
      </c>
      <c r="CV1713" s="113" t="s">
        <v>3744</v>
      </c>
      <c r="CX1713" s="36">
        <v>1</v>
      </c>
    </row>
    <row r="1714" spans="91:102" ht="21" customHeight="1" x14ac:dyDescent="0.25">
      <c r="CM1714" s="102"/>
      <c r="CN1714" s="112" t="s">
        <v>4339</v>
      </c>
      <c r="CO1714" s="112" t="s">
        <v>544</v>
      </c>
      <c r="CP1714" s="112" t="s">
        <v>523</v>
      </c>
      <c r="CQ1714" s="112" t="s">
        <v>4340</v>
      </c>
      <c r="CR1714" s="112" t="s">
        <v>4340</v>
      </c>
      <c r="CS1714" s="112" t="s">
        <v>3742</v>
      </c>
      <c r="CT1714" s="112" t="s">
        <v>3743</v>
      </c>
      <c r="CU1714" s="112" t="s">
        <v>796</v>
      </c>
      <c r="CV1714" s="113" t="s">
        <v>3744</v>
      </c>
      <c r="CX1714" s="36">
        <v>1</v>
      </c>
    </row>
    <row r="1715" spans="91:102" ht="21" customHeight="1" x14ac:dyDescent="0.25">
      <c r="CM1715" s="102"/>
      <c r="CN1715" s="112" t="s">
        <v>4341</v>
      </c>
      <c r="CO1715" s="112" t="s">
        <v>544</v>
      </c>
      <c r="CP1715" s="112" t="s">
        <v>523</v>
      </c>
      <c r="CQ1715" s="112" t="s">
        <v>4342</v>
      </c>
      <c r="CR1715" s="112" t="s">
        <v>4342</v>
      </c>
      <c r="CS1715" s="112" t="s">
        <v>3742</v>
      </c>
      <c r="CT1715" s="112" t="s">
        <v>3743</v>
      </c>
      <c r="CU1715" s="112" t="s">
        <v>796</v>
      </c>
      <c r="CV1715" s="113" t="s">
        <v>3744</v>
      </c>
      <c r="CX1715" s="36">
        <v>1</v>
      </c>
    </row>
    <row r="1716" spans="91:102" ht="21" customHeight="1" x14ac:dyDescent="0.25">
      <c r="CM1716" s="102"/>
      <c r="CN1716" s="112" t="s">
        <v>4343</v>
      </c>
      <c r="CO1716" s="112" t="s">
        <v>544</v>
      </c>
      <c r="CP1716" s="112" t="s">
        <v>523</v>
      </c>
      <c r="CQ1716" s="112" t="s">
        <v>4344</v>
      </c>
      <c r="CR1716" s="112" t="s">
        <v>4344</v>
      </c>
      <c r="CS1716" s="112" t="s">
        <v>3742</v>
      </c>
      <c r="CT1716" s="112" t="s">
        <v>3743</v>
      </c>
      <c r="CU1716" s="112" t="s">
        <v>796</v>
      </c>
      <c r="CV1716" s="113" t="s">
        <v>3744</v>
      </c>
      <c r="CX1716" s="36">
        <v>1</v>
      </c>
    </row>
    <row r="1717" spans="91:102" ht="21" customHeight="1" x14ac:dyDescent="0.25">
      <c r="CM1717" s="102"/>
      <c r="CN1717" s="112" t="s">
        <v>4345</v>
      </c>
      <c r="CO1717" s="112" t="s">
        <v>544</v>
      </c>
      <c r="CP1717" s="112" t="s">
        <v>523</v>
      </c>
      <c r="CQ1717" s="112" t="s">
        <v>4346</v>
      </c>
      <c r="CR1717" s="112" t="s">
        <v>4347</v>
      </c>
      <c r="CS1717" s="112" t="s">
        <v>3742</v>
      </c>
      <c r="CT1717" s="112" t="s">
        <v>3743</v>
      </c>
      <c r="CU1717" s="112" t="s">
        <v>796</v>
      </c>
      <c r="CV1717" s="113" t="s">
        <v>3744</v>
      </c>
      <c r="CX1717" s="36">
        <v>1</v>
      </c>
    </row>
    <row r="1718" spans="91:102" ht="21" customHeight="1" x14ac:dyDescent="0.25">
      <c r="CM1718" s="102"/>
      <c r="CN1718" s="112" t="s">
        <v>4348</v>
      </c>
      <c r="CO1718" s="112" t="s">
        <v>544</v>
      </c>
      <c r="CP1718" s="112" t="s">
        <v>523</v>
      </c>
      <c r="CQ1718" s="112" t="s">
        <v>4349</v>
      </c>
      <c r="CR1718" s="112" t="s">
        <v>4349</v>
      </c>
      <c r="CS1718" s="112" t="s">
        <v>3742</v>
      </c>
      <c r="CT1718" s="112" t="s">
        <v>3743</v>
      </c>
      <c r="CU1718" s="112" t="s">
        <v>796</v>
      </c>
      <c r="CV1718" s="113" t="s">
        <v>3744</v>
      </c>
      <c r="CX1718" s="36">
        <v>1</v>
      </c>
    </row>
    <row r="1719" spans="91:102" ht="21" customHeight="1" x14ac:dyDescent="0.25">
      <c r="CM1719" s="102"/>
      <c r="CN1719" s="112" t="s">
        <v>4350</v>
      </c>
      <c r="CO1719" s="112" t="s">
        <v>544</v>
      </c>
      <c r="CP1719" s="112" t="s">
        <v>523</v>
      </c>
      <c r="CQ1719" s="112" t="s">
        <v>4351</v>
      </c>
      <c r="CR1719" s="112" t="s">
        <v>4351</v>
      </c>
      <c r="CS1719" s="112" t="s">
        <v>3742</v>
      </c>
      <c r="CT1719" s="112" t="s">
        <v>3743</v>
      </c>
      <c r="CU1719" s="112" t="s">
        <v>796</v>
      </c>
      <c r="CV1719" s="113" t="s">
        <v>3744</v>
      </c>
      <c r="CX1719" s="36">
        <v>1</v>
      </c>
    </row>
    <row r="1720" spans="91:102" ht="21" customHeight="1" x14ac:dyDescent="0.25">
      <c r="CM1720" s="102"/>
      <c r="CN1720" s="112" t="s">
        <v>4352</v>
      </c>
      <c r="CO1720" s="112" t="s">
        <v>544</v>
      </c>
      <c r="CP1720" s="112" t="s">
        <v>523</v>
      </c>
      <c r="CQ1720" s="112" t="s">
        <v>4353</v>
      </c>
      <c r="CR1720" s="112" t="s">
        <v>4353</v>
      </c>
      <c r="CS1720" s="112" t="s">
        <v>3742</v>
      </c>
      <c r="CT1720" s="112" t="s">
        <v>3743</v>
      </c>
      <c r="CU1720" s="112" t="s">
        <v>796</v>
      </c>
      <c r="CV1720" s="113" t="s">
        <v>3744</v>
      </c>
      <c r="CX1720" s="36">
        <v>1</v>
      </c>
    </row>
    <row r="1721" spans="91:102" ht="21" customHeight="1" x14ac:dyDescent="0.25">
      <c r="CM1721" s="102"/>
      <c r="CN1721" s="112" t="s">
        <v>4354</v>
      </c>
      <c r="CO1721" s="112" t="s">
        <v>544</v>
      </c>
      <c r="CP1721" s="112" t="s">
        <v>523</v>
      </c>
      <c r="CQ1721" s="112" t="s">
        <v>4355</v>
      </c>
      <c r="CR1721" s="112" t="s">
        <v>4355</v>
      </c>
      <c r="CS1721" s="112" t="s">
        <v>525</v>
      </c>
      <c r="CT1721" s="112" t="s">
        <v>3757</v>
      </c>
      <c r="CU1721" s="112" t="s">
        <v>527</v>
      </c>
      <c r="CV1721" s="113" t="s">
        <v>528</v>
      </c>
      <c r="CX1721" s="36">
        <v>1</v>
      </c>
    </row>
    <row r="1722" spans="91:102" ht="21" customHeight="1" x14ac:dyDescent="0.25">
      <c r="CM1722" s="102"/>
      <c r="CN1722" s="112" t="s">
        <v>4356</v>
      </c>
      <c r="CO1722" s="112" t="s">
        <v>544</v>
      </c>
      <c r="CP1722" s="112" t="s">
        <v>523</v>
      </c>
      <c r="CQ1722" s="112" t="s">
        <v>4357</v>
      </c>
      <c r="CR1722" s="112" t="s">
        <v>4357</v>
      </c>
      <c r="CS1722" s="112" t="s">
        <v>525</v>
      </c>
      <c r="CT1722" s="112" t="s">
        <v>3757</v>
      </c>
      <c r="CU1722" s="112" t="s">
        <v>527</v>
      </c>
      <c r="CV1722" s="113" t="s">
        <v>528</v>
      </c>
      <c r="CX1722" s="36">
        <v>1</v>
      </c>
    </row>
    <row r="1723" spans="91:102" ht="21" customHeight="1" x14ac:dyDescent="0.25">
      <c r="CM1723" s="102"/>
      <c r="CN1723" s="112" t="s">
        <v>4358</v>
      </c>
      <c r="CO1723" s="112" t="s">
        <v>544</v>
      </c>
      <c r="CP1723" s="112" t="s">
        <v>523</v>
      </c>
      <c r="CQ1723" s="112" t="s">
        <v>4359</v>
      </c>
      <c r="CR1723" s="112" t="s">
        <v>4359</v>
      </c>
      <c r="CS1723" s="112" t="s">
        <v>525</v>
      </c>
      <c r="CT1723" s="112" t="s">
        <v>3757</v>
      </c>
      <c r="CU1723" s="112" t="s">
        <v>527</v>
      </c>
      <c r="CV1723" s="113" t="s">
        <v>528</v>
      </c>
      <c r="CX1723" s="36">
        <v>1</v>
      </c>
    </row>
    <row r="1724" spans="91:102" ht="21" customHeight="1" x14ac:dyDescent="0.25">
      <c r="CM1724" s="102"/>
      <c r="CN1724" s="112" t="s">
        <v>4360</v>
      </c>
      <c r="CO1724" s="112" t="s">
        <v>544</v>
      </c>
      <c r="CP1724" s="112" t="s">
        <v>523</v>
      </c>
      <c r="CQ1724" s="112" t="s">
        <v>4361</v>
      </c>
      <c r="CR1724" s="112" t="s">
        <v>4361</v>
      </c>
      <c r="CS1724" s="112" t="s">
        <v>3742</v>
      </c>
      <c r="CT1724" s="112" t="s">
        <v>3743</v>
      </c>
      <c r="CU1724" s="112" t="s">
        <v>796</v>
      </c>
      <c r="CV1724" s="113" t="s">
        <v>3744</v>
      </c>
      <c r="CX1724" s="36">
        <v>1</v>
      </c>
    </row>
    <row r="1725" spans="91:102" ht="21" customHeight="1" x14ac:dyDescent="0.25">
      <c r="CM1725" s="102"/>
      <c r="CN1725" s="112" t="s">
        <v>4362</v>
      </c>
      <c r="CO1725" s="112" t="s">
        <v>544</v>
      </c>
      <c r="CP1725" s="112" t="s">
        <v>523</v>
      </c>
      <c r="CQ1725" s="112" t="s">
        <v>4363</v>
      </c>
      <c r="CR1725" s="112" t="s">
        <v>4364</v>
      </c>
      <c r="CS1725" s="112" t="s">
        <v>3742</v>
      </c>
      <c r="CT1725" s="112" t="s">
        <v>3743</v>
      </c>
      <c r="CU1725" s="112" t="s">
        <v>796</v>
      </c>
      <c r="CV1725" s="113" t="s">
        <v>3744</v>
      </c>
      <c r="CX1725" s="36">
        <v>1</v>
      </c>
    </row>
    <row r="1726" spans="91:102" ht="21" customHeight="1" x14ac:dyDescent="0.25">
      <c r="CM1726" s="102"/>
      <c r="CN1726" s="112" t="s">
        <v>4365</v>
      </c>
      <c r="CO1726" s="112" t="s">
        <v>544</v>
      </c>
      <c r="CP1726" s="112" t="s">
        <v>523</v>
      </c>
      <c r="CQ1726" s="112" t="s">
        <v>4366</v>
      </c>
      <c r="CR1726" s="112" t="s">
        <v>4367</v>
      </c>
      <c r="CS1726" s="112" t="s">
        <v>3742</v>
      </c>
      <c r="CT1726" s="112" t="s">
        <v>3743</v>
      </c>
      <c r="CU1726" s="112" t="s">
        <v>796</v>
      </c>
      <c r="CV1726" s="113" t="s">
        <v>3744</v>
      </c>
      <c r="CX1726" s="36">
        <v>1</v>
      </c>
    </row>
    <row r="1727" spans="91:102" ht="21" customHeight="1" x14ac:dyDescent="0.25">
      <c r="CM1727" s="102"/>
      <c r="CN1727" s="112" t="s">
        <v>4368</v>
      </c>
      <c r="CO1727" s="112" t="s">
        <v>544</v>
      </c>
      <c r="CP1727" s="112" t="s">
        <v>523</v>
      </c>
      <c r="CQ1727" s="112" t="s">
        <v>4369</v>
      </c>
      <c r="CR1727" s="112" t="s">
        <v>4370</v>
      </c>
      <c r="CS1727" s="112" t="s">
        <v>3742</v>
      </c>
      <c r="CT1727" s="112" t="s">
        <v>3743</v>
      </c>
      <c r="CU1727" s="112" t="s">
        <v>796</v>
      </c>
      <c r="CV1727" s="113" t="s">
        <v>3744</v>
      </c>
      <c r="CX1727" s="36">
        <v>1</v>
      </c>
    </row>
    <row r="1728" spans="91:102" ht="21" customHeight="1" x14ac:dyDescent="0.25">
      <c r="CM1728" s="102"/>
      <c r="CN1728" s="112" t="s">
        <v>4371</v>
      </c>
      <c r="CO1728" s="112" t="s">
        <v>544</v>
      </c>
      <c r="CP1728" s="112" t="s">
        <v>523</v>
      </c>
      <c r="CQ1728" s="112" t="s">
        <v>4372</v>
      </c>
      <c r="CR1728" s="112" t="s">
        <v>4372</v>
      </c>
      <c r="CS1728" s="112" t="s">
        <v>3742</v>
      </c>
      <c r="CT1728" s="112" t="s">
        <v>3743</v>
      </c>
      <c r="CU1728" s="112" t="s">
        <v>796</v>
      </c>
      <c r="CV1728" s="113" t="s">
        <v>3744</v>
      </c>
      <c r="CX1728" s="36">
        <v>1</v>
      </c>
    </row>
    <row r="1729" spans="91:102" ht="21" customHeight="1" x14ac:dyDescent="0.25">
      <c r="CM1729" s="102"/>
      <c r="CN1729" s="112" t="s">
        <v>4373</v>
      </c>
      <c r="CO1729" s="112" t="s">
        <v>544</v>
      </c>
      <c r="CP1729" s="112" t="s">
        <v>523</v>
      </c>
      <c r="CQ1729" s="112" t="s">
        <v>4374</v>
      </c>
      <c r="CR1729" s="112" t="s">
        <v>4374</v>
      </c>
      <c r="CS1729" s="112" t="s">
        <v>610</v>
      </c>
      <c r="CT1729" s="112" t="s">
        <v>611</v>
      </c>
      <c r="CU1729" s="112" t="s">
        <v>527</v>
      </c>
      <c r="CV1729" s="113" t="s">
        <v>612</v>
      </c>
      <c r="CX1729" s="36">
        <v>1</v>
      </c>
    </row>
    <row r="1730" spans="91:102" ht="21" customHeight="1" x14ac:dyDescent="0.25">
      <c r="CM1730" s="102"/>
      <c r="CN1730" s="112" t="s">
        <v>4375</v>
      </c>
      <c r="CO1730" s="112" t="s">
        <v>544</v>
      </c>
      <c r="CP1730" s="112" t="s">
        <v>523</v>
      </c>
      <c r="CQ1730" s="112" t="s">
        <v>4376</v>
      </c>
      <c r="CR1730" s="112" t="s">
        <v>4376</v>
      </c>
      <c r="CS1730" s="112" t="s">
        <v>3742</v>
      </c>
      <c r="CT1730" s="112" t="s">
        <v>3743</v>
      </c>
      <c r="CU1730" s="112" t="s">
        <v>796</v>
      </c>
      <c r="CV1730" s="113" t="s">
        <v>3744</v>
      </c>
      <c r="CX1730" s="36">
        <v>1</v>
      </c>
    </row>
    <row r="1731" spans="91:102" ht="21" customHeight="1" x14ac:dyDescent="0.25">
      <c r="CM1731" s="102"/>
      <c r="CN1731" s="112" t="s">
        <v>4377</v>
      </c>
      <c r="CO1731" s="112" t="s">
        <v>544</v>
      </c>
      <c r="CP1731" s="112" t="s">
        <v>523</v>
      </c>
      <c r="CQ1731" s="112" t="s">
        <v>4378</v>
      </c>
      <c r="CR1731" s="112" t="s">
        <v>4378</v>
      </c>
      <c r="CS1731" s="112" t="s">
        <v>3742</v>
      </c>
      <c r="CT1731" s="112" t="s">
        <v>3743</v>
      </c>
      <c r="CU1731" s="112" t="s">
        <v>796</v>
      </c>
      <c r="CV1731" s="113" t="s">
        <v>3744</v>
      </c>
      <c r="CX1731" s="36">
        <v>1</v>
      </c>
    </row>
    <row r="1732" spans="91:102" ht="21" customHeight="1" x14ac:dyDescent="0.25">
      <c r="CM1732" s="102"/>
      <c r="CN1732" s="112" t="s">
        <v>4379</v>
      </c>
      <c r="CO1732" s="112" t="s">
        <v>544</v>
      </c>
      <c r="CP1732" s="112" t="s">
        <v>523</v>
      </c>
      <c r="CQ1732" s="112" t="s">
        <v>4380</v>
      </c>
      <c r="CR1732" s="112" t="s">
        <v>4380</v>
      </c>
      <c r="CS1732" s="112" t="s">
        <v>525</v>
      </c>
      <c r="CT1732" s="112" t="s">
        <v>3757</v>
      </c>
      <c r="CU1732" s="112" t="s">
        <v>527</v>
      </c>
      <c r="CV1732" s="113" t="s">
        <v>528</v>
      </c>
      <c r="CX1732" s="36">
        <v>1</v>
      </c>
    </row>
    <row r="1733" spans="91:102" ht="21" customHeight="1" x14ac:dyDescent="0.25">
      <c r="CM1733" s="102"/>
      <c r="CN1733" s="112" t="s">
        <v>4381</v>
      </c>
      <c r="CO1733" s="112" t="s">
        <v>544</v>
      </c>
      <c r="CP1733" s="112" t="s">
        <v>523</v>
      </c>
      <c r="CQ1733" s="112" t="s">
        <v>4382</v>
      </c>
      <c r="CR1733" s="112" t="s">
        <v>4383</v>
      </c>
      <c r="CS1733" s="112" t="s">
        <v>3742</v>
      </c>
      <c r="CT1733" s="112" t="s">
        <v>3743</v>
      </c>
      <c r="CU1733" s="112" t="s">
        <v>796</v>
      </c>
      <c r="CV1733" s="113" t="s">
        <v>3744</v>
      </c>
      <c r="CX1733" s="36">
        <v>1</v>
      </c>
    </row>
    <row r="1734" spans="91:102" ht="21" customHeight="1" x14ac:dyDescent="0.25">
      <c r="CM1734" s="102"/>
      <c r="CN1734" s="112" t="s">
        <v>4384</v>
      </c>
      <c r="CO1734" s="112" t="s">
        <v>544</v>
      </c>
      <c r="CP1734" s="112" t="s">
        <v>523</v>
      </c>
      <c r="CQ1734" s="112" t="s">
        <v>4385</v>
      </c>
      <c r="CR1734" s="112" t="s">
        <v>4385</v>
      </c>
      <c r="CS1734" s="112" t="s">
        <v>3742</v>
      </c>
      <c r="CT1734" s="112" t="s">
        <v>3743</v>
      </c>
      <c r="CU1734" s="112" t="s">
        <v>796</v>
      </c>
      <c r="CV1734" s="113" t="s">
        <v>3744</v>
      </c>
      <c r="CX1734" s="36">
        <v>1</v>
      </c>
    </row>
    <row r="1735" spans="91:102" ht="21" customHeight="1" x14ac:dyDescent="0.25">
      <c r="CM1735" s="102"/>
      <c r="CN1735" s="112" t="s">
        <v>4386</v>
      </c>
      <c r="CO1735" s="112" t="s">
        <v>544</v>
      </c>
      <c r="CP1735" s="112" t="s">
        <v>523</v>
      </c>
      <c r="CQ1735" s="112" t="s">
        <v>4387</v>
      </c>
      <c r="CR1735" s="112" t="s">
        <v>4387</v>
      </c>
      <c r="CS1735" s="112" t="s">
        <v>525</v>
      </c>
      <c r="CT1735" s="112" t="s">
        <v>3757</v>
      </c>
      <c r="CU1735" s="112" t="s">
        <v>527</v>
      </c>
      <c r="CV1735" s="113" t="s">
        <v>528</v>
      </c>
      <c r="CX1735" s="36">
        <v>1</v>
      </c>
    </row>
    <row r="1736" spans="91:102" ht="21" customHeight="1" x14ac:dyDescent="0.25">
      <c r="CM1736" s="102"/>
      <c r="CN1736" s="112" t="s">
        <v>4388</v>
      </c>
      <c r="CO1736" s="112" t="s">
        <v>544</v>
      </c>
      <c r="CP1736" s="112" t="s">
        <v>523</v>
      </c>
      <c r="CQ1736" s="112" t="s">
        <v>4389</v>
      </c>
      <c r="CR1736" s="112" t="s">
        <v>4389</v>
      </c>
      <c r="CS1736" s="112" t="s">
        <v>610</v>
      </c>
      <c r="CT1736" s="112" t="s">
        <v>611</v>
      </c>
      <c r="CU1736" s="112" t="s">
        <v>527</v>
      </c>
      <c r="CV1736" s="113" t="s">
        <v>612</v>
      </c>
      <c r="CX1736" s="36">
        <v>1</v>
      </c>
    </row>
    <row r="1737" spans="91:102" ht="21" customHeight="1" x14ac:dyDescent="0.25">
      <c r="CM1737" s="102"/>
      <c r="CN1737" s="112" t="s">
        <v>4390</v>
      </c>
      <c r="CO1737" s="112" t="s">
        <v>544</v>
      </c>
      <c r="CP1737" s="112" t="s">
        <v>523</v>
      </c>
      <c r="CQ1737" s="112" t="s">
        <v>4391</v>
      </c>
      <c r="CR1737" s="112" t="s">
        <v>4391</v>
      </c>
      <c r="CS1737" s="112" t="s">
        <v>525</v>
      </c>
      <c r="CT1737" s="112" t="s">
        <v>3757</v>
      </c>
      <c r="CU1737" s="112" t="s">
        <v>527</v>
      </c>
      <c r="CV1737" s="113" t="s">
        <v>528</v>
      </c>
      <c r="CX1737" s="36">
        <v>1</v>
      </c>
    </row>
    <row r="1738" spans="91:102" ht="21" customHeight="1" x14ac:dyDescent="0.25">
      <c r="CM1738" s="102"/>
      <c r="CN1738" s="112" t="s">
        <v>4392</v>
      </c>
      <c r="CO1738" s="112" t="s">
        <v>544</v>
      </c>
      <c r="CP1738" s="112" t="s">
        <v>523</v>
      </c>
      <c r="CQ1738" s="112" t="s">
        <v>4393</v>
      </c>
      <c r="CR1738" s="112" t="s">
        <v>4393</v>
      </c>
      <c r="CS1738" s="112" t="s">
        <v>3742</v>
      </c>
      <c r="CT1738" s="112" t="s">
        <v>3743</v>
      </c>
      <c r="CU1738" s="112" t="s">
        <v>796</v>
      </c>
      <c r="CV1738" s="113" t="s">
        <v>3744</v>
      </c>
      <c r="CX1738" s="36">
        <v>1</v>
      </c>
    </row>
    <row r="1739" spans="91:102" ht="21" customHeight="1" x14ac:dyDescent="0.25">
      <c r="CM1739" s="102"/>
      <c r="CN1739" s="112" t="s">
        <v>4394</v>
      </c>
      <c r="CO1739" s="112" t="s">
        <v>544</v>
      </c>
      <c r="CP1739" s="112" t="s">
        <v>523</v>
      </c>
      <c r="CQ1739" s="112" t="s">
        <v>4395</v>
      </c>
      <c r="CR1739" s="112" t="s">
        <v>4395</v>
      </c>
      <c r="CS1739" s="112" t="s">
        <v>610</v>
      </c>
      <c r="CT1739" s="112" t="s">
        <v>611</v>
      </c>
      <c r="CU1739" s="112" t="s">
        <v>527</v>
      </c>
      <c r="CV1739" s="113" t="s">
        <v>612</v>
      </c>
      <c r="CX1739" s="36">
        <v>1</v>
      </c>
    </row>
    <row r="1740" spans="91:102" ht="21" customHeight="1" x14ac:dyDescent="0.25">
      <c r="CM1740" s="102"/>
      <c r="CN1740" s="112" t="s">
        <v>4396</v>
      </c>
      <c r="CO1740" s="112" t="s">
        <v>544</v>
      </c>
      <c r="CP1740" s="112" t="s">
        <v>935</v>
      </c>
      <c r="CQ1740" s="112" t="s">
        <v>4397</v>
      </c>
      <c r="CR1740" s="112" t="s">
        <v>4397</v>
      </c>
      <c r="CS1740" s="112" t="s">
        <v>610</v>
      </c>
      <c r="CT1740" s="112" t="s">
        <v>937</v>
      </c>
      <c r="CU1740" s="112" t="s">
        <v>527</v>
      </c>
      <c r="CV1740" s="113" t="s">
        <v>612</v>
      </c>
      <c r="CX1740" s="36">
        <v>1</v>
      </c>
    </row>
    <row r="1741" spans="91:102" ht="21" customHeight="1" x14ac:dyDescent="0.25">
      <c r="CM1741" s="102"/>
      <c r="CN1741" s="112" t="s">
        <v>4398</v>
      </c>
      <c r="CO1741" s="112" t="s">
        <v>544</v>
      </c>
      <c r="CP1741" s="112" t="s">
        <v>935</v>
      </c>
      <c r="CQ1741" s="112" t="s">
        <v>4399</v>
      </c>
      <c r="CR1741" s="112" t="s">
        <v>4399</v>
      </c>
      <c r="CS1741" s="112" t="s">
        <v>610</v>
      </c>
      <c r="CT1741" s="112" t="s">
        <v>937</v>
      </c>
      <c r="CU1741" s="112" t="s">
        <v>527</v>
      </c>
      <c r="CV1741" s="113" t="s">
        <v>612</v>
      </c>
      <c r="CX1741" s="36">
        <v>1</v>
      </c>
    </row>
    <row r="1742" spans="91:102" ht="21" customHeight="1" x14ac:dyDescent="0.25">
      <c r="CM1742" s="102"/>
      <c r="CN1742" s="112" t="s">
        <v>4400</v>
      </c>
      <c r="CO1742" s="112" t="s">
        <v>544</v>
      </c>
      <c r="CP1742" s="112" t="s">
        <v>935</v>
      </c>
      <c r="CQ1742" s="112" t="s">
        <v>4401</v>
      </c>
      <c r="CR1742" s="112" t="s">
        <v>4402</v>
      </c>
      <c r="CS1742" s="112" t="s">
        <v>3742</v>
      </c>
      <c r="CT1742" s="112" t="s">
        <v>4403</v>
      </c>
      <c r="CU1742" s="112" t="s">
        <v>796</v>
      </c>
      <c r="CV1742" s="113" t="s">
        <v>3744</v>
      </c>
      <c r="CX1742" s="36">
        <v>1</v>
      </c>
    </row>
    <row r="1743" spans="91:102" ht="21" customHeight="1" x14ac:dyDescent="0.25">
      <c r="CM1743" s="102"/>
      <c r="CN1743" s="112" t="s">
        <v>4404</v>
      </c>
      <c r="CO1743" s="112" t="s">
        <v>544</v>
      </c>
      <c r="CP1743" s="112" t="s">
        <v>935</v>
      </c>
      <c r="CQ1743" s="112" t="s">
        <v>4405</v>
      </c>
      <c r="CR1743" s="112" t="s">
        <v>4405</v>
      </c>
      <c r="CS1743" s="112" t="s">
        <v>525</v>
      </c>
      <c r="CT1743" s="112" t="s">
        <v>4406</v>
      </c>
      <c r="CU1743" s="112" t="s">
        <v>527</v>
      </c>
      <c r="CV1743" s="113" t="s">
        <v>528</v>
      </c>
      <c r="CX1743" s="36">
        <v>1</v>
      </c>
    </row>
    <row r="1744" spans="91:102" ht="21" customHeight="1" x14ac:dyDescent="0.25">
      <c r="CM1744" s="102"/>
      <c r="CN1744" s="112" t="s">
        <v>4407</v>
      </c>
      <c r="CO1744" s="112" t="s">
        <v>544</v>
      </c>
      <c r="CP1744" s="112" t="s">
        <v>935</v>
      </c>
      <c r="CQ1744" s="112" t="s">
        <v>3580</v>
      </c>
      <c r="CR1744" s="112" t="s">
        <v>3580</v>
      </c>
      <c r="CS1744" s="112" t="s">
        <v>525</v>
      </c>
      <c r="CT1744" s="112" t="s">
        <v>4406</v>
      </c>
      <c r="CU1744" s="112" t="s">
        <v>527</v>
      </c>
      <c r="CV1744" s="113" t="s">
        <v>528</v>
      </c>
      <c r="CX1744" s="36">
        <v>1</v>
      </c>
    </row>
    <row r="1745" spans="91:102" ht="21" customHeight="1" x14ac:dyDescent="0.25">
      <c r="CM1745" s="102"/>
      <c r="CN1745" s="112" t="s">
        <v>4408</v>
      </c>
      <c r="CO1745" s="112" t="s">
        <v>544</v>
      </c>
      <c r="CP1745" s="112" t="s">
        <v>935</v>
      </c>
      <c r="CQ1745" s="112" t="s">
        <v>3582</v>
      </c>
      <c r="CR1745" s="112" t="s">
        <v>3583</v>
      </c>
      <c r="CS1745" s="112" t="s">
        <v>525</v>
      </c>
      <c r="CT1745" s="112" t="s">
        <v>4406</v>
      </c>
      <c r="CU1745" s="112" t="s">
        <v>527</v>
      </c>
      <c r="CV1745" s="113" t="s">
        <v>528</v>
      </c>
      <c r="CX1745" s="36">
        <v>1</v>
      </c>
    </row>
    <row r="1746" spans="91:102" ht="21" customHeight="1" x14ac:dyDescent="0.25">
      <c r="CM1746" s="102"/>
      <c r="CN1746" s="112" t="s">
        <v>4409</v>
      </c>
      <c r="CO1746" s="112" t="s">
        <v>544</v>
      </c>
      <c r="CP1746" s="112" t="s">
        <v>935</v>
      </c>
      <c r="CQ1746" s="112" t="s">
        <v>4410</v>
      </c>
      <c r="CR1746" s="112" t="s">
        <v>4410</v>
      </c>
      <c r="CS1746" s="112" t="s">
        <v>525</v>
      </c>
      <c r="CT1746" s="112" t="s">
        <v>4406</v>
      </c>
      <c r="CU1746" s="112" t="s">
        <v>527</v>
      </c>
      <c r="CV1746" s="113" t="s">
        <v>528</v>
      </c>
      <c r="CX1746" s="36">
        <v>1</v>
      </c>
    </row>
    <row r="1747" spans="91:102" ht="21" customHeight="1" x14ac:dyDescent="0.25">
      <c r="CM1747" s="102"/>
      <c r="CN1747" s="112" t="s">
        <v>4411</v>
      </c>
      <c r="CO1747" s="112" t="s">
        <v>544</v>
      </c>
      <c r="CP1747" s="112" t="s">
        <v>935</v>
      </c>
      <c r="CQ1747" s="112" t="s">
        <v>4412</v>
      </c>
      <c r="CR1747" s="112" t="s">
        <v>4412</v>
      </c>
      <c r="CS1747" s="112" t="s">
        <v>525</v>
      </c>
      <c r="CT1747" s="112" t="s">
        <v>4406</v>
      </c>
      <c r="CU1747" s="112" t="s">
        <v>527</v>
      </c>
      <c r="CV1747" s="113" t="s">
        <v>528</v>
      </c>
      <c r="CX1747" s="36">
        <v>1</v>
      </c>
    </row>
    <row r="1748" spans="91:102" ht="21" customHeight="1" x14ac:dyDescent="0.25">
      <c r="CM1748" s="102"/>
      <c r="CN1748" s="112" t="s">
        <v>4413</v>
      </c>
      <c r="CO1748" s="112" t="s">
        <v>544</v>
      </c>
      <c r="CP1748" s="112" t="s">
        <v>935</v>
      </c>
      <c r="CQ1748" s="112" t="s">
        <v>4414</v>
      </c>
      <c r="CR1748" s="112" t="s">
        <v>4414</v>
      </c>
      <c r="CS1748" s="112" t="s">
        <v>3742</v>
      </c>
      <c r="CT1748" s="112" t="s">
        <v>4403</v>
      </c>
      <c r="CU1748" s="112" t="s">
        <v>796</v>
      </c>
      <c r="CV1748" s="113" t="s">
        <v>3744</v>
      </c>
      <c r="CX1748" s="36">
        <v>1</v>
      </c>
    </row>
    <row r="1749" spans="91:102" ht="21" customHeight="1" x14ac:dyDescent="0.25">
      <c r="CM1749" s="102"/>
      <c r="CN1749" s="112" t="s">
        <v>4415</v>
      </c>
      <c r="CO1749" s="112" t="s">
        <v>544</v>
      </c>
      <c r="CP1749" s="112" t="s">
        <v>935</v>
      </c>
      <c r="CQ1749" s="112" t="s">
        <v>4416</v>
      </c>
      <c r="CR1749" s="112" t="s">
        <v>4417</v>
      </c>
      <c r="CS1749" s="112" t="s">
        <v>525</v>
      </c>
      <c r="CT1749" s="112" t="s">
        <v>4406</v>
      </c>
      <c r="CU1749" s="112" t="s">
        <v>527</v>
      </c>
      <c r="CV1749" s="113" t="s">
        <v>528</v>
      </c>
      <c r="CX1749" s="36">
        <v>1</v>
      </c>
    </row>
    <row r="1750" spans="91:102" ht="21" customHeight="1" x14ac:dyDescent="0.25">
      <c r="CM1750" s="102"/>
      <c r="CN1750" s="112" t="s">
        <v>4418</v>
      </c>
      <c r="CO1750" s="112" t="s">
        <v>544</v>
      </c>
      <c r="CP1750" s="112" t="s">
        <v>935</v>
      </c>
      <c r="CQ1750" s="112" t="s">
        <v>4419</v>
      </c>
      <c r="CR1750" s="112" t="s">
        <v>4419</v>
      </c>
      <c r="CS1750" s="112" t="s">
        <v>525</v>
      </c>
      <c r="CT1750" s="112" t="s">
        <v>4406</v>
      </c>
      <c r="CU1750" s="112" t="s">
        <v>527</v>
      </c>
      <c r="CV1750" s="113" t="s">
        <v>528</v>
      </c>
      <c r="CX1750" s="36">
        <v>1</v>
      </c>
    </row>
    <row r="1751" spans="91:102" ht="21" customHeight="1" x14ac:dyDescent="0.25">
      <c r="CM1751" s="102"/>
      <c r="CN1751" s="112" t="s">
        <v>4420</v>
      </c>
      <c r="CO1751" s="112" t="s">
        <v>544</v>
      </c>
      <c r="CP1751" s="112" t="s">
        <v>935</v>
      </c>
      <c r="CQ1751" s="112" t="s">
        <v>4421</v>
      </c>
      <c r="CR1751" s="112" t="s">
        <v>4422</v>
      </c>
      <c r="CS1751" s="112" t="s">
        <v>525</v>
      </c>
      <c r="CT1751" s="112" t="s">
        <v>4406</v>
      </c>
      <c r="CU1751" s="112" t="s">
        <v>527</v>
      </c>
      <c r="CV1751" s="113" t="s">
        <v>528</v>
      </c>
      <c r="CX1751" s="36">
        <v>1</v>
      </c>
    </row>
    <row r="1752" spans="91:102" ht="21" customHeight="1" x14ac:dyDescent="0.25">
      <c r="CM1752" s="102"/>
      <c r="CN1752" s="112" t="s">
        <v>4423</v>
      </c>
      <c r="CO1752" s="112" t="s">
        <v>544</v>
      </c>
      <c r="CP1752" s="112" t="s">
        <v>935</v>
      </c>
      <c r="CQ1752" s="112" t="s">
        <v>4424</v>
      </c>
      <c r="CR1752" s="112" t="s">
        <v>4424</v>
      </c>
      <c r="CS1752" s="112" t="s">
        <v>610</v>
      </c>
      <c r="CT1752" s="112" t="s">
        <v>937</v>
      </c>
      <c r="CU1752" s="112" t="s">
        <v>527</v>
      </c>
      <c r="CV1752" s="113" t="s">
        <v>612</v>
      </c>
      <c r="CX1752" s="36">
        <v>1</v>
      </c>
    </row>
    <row r="1753" spans="91:102" ht="21" customHeight="1" x14ac:dyDescent="0.25">
      <c r="CM1753" s="102"/>
      <c r="CN1753" s="112" t="s">
        <v>4425</v>
      </c>
      <c r="CO1753" s="112" t="s">
        <v>544</v>
      </c>
      <c r="CP1753" s="112" t="s">
        <v>935</v>
      </c>
      <c r="CQ1753" s="112" t="s">
        <v>4426</v>
      </c>
      <c r="CR1753" s="112" t="s">
        <v>4426</v>
      </c>
      <c r="CS1753" s="112" t="s">
        <v>610</v>
      </c>
      <c r="CT1753" s="112" t="s">
        <v>937</v>
      </c>
      <c r="CU1753" s="112" t="s">
        <v>527</v>
      </c>
      <c r="CV1753" s="113" t="s">
        <v>612</v>
      </c>
      <c r="CX1753" s="36">
        <v>1</v>
      </c>
    </row>
    <row r="1754" spans="91:102" ht="21" customHeight="1" x14ac:dyDescent="0.25">
      <c r="CM1754" s="102"/>
      <c r="CN1754" s="112" t="s">
        <v>4427</v>
      </c>
      <c r="CO1754" s="112" t="s">
        <v>544</v>
      </c>
      <c r="CP1754" s="112" t="s">
        <v>935</v>
      </c>
      <c r="CQ1754" s="112" t="s">
        <v>4428</v>
      </c>
      <c r="CR1754" s="112" t="s">
        <v>4428</v>
      </c>
      <c r="CS1754" s="112" t="s">
        <v>3742</v>
      </c>
      <c r="CT1754" s="112" t="s">
        <v>4403</v>
      </c>
      <c r="CU1754" s="112" t="s">
        <v>796</v>
      </c>
      <c r="CV1754" s="113" t="s">
        <v>3744</v>
      </c>
      <c r="CX1754" s="36">
        <v>1</v>
      </c>
    </row>
    <row r="1755" spans="91:102" ht="21" customHeight="1" x14ac:dyDescent="0.25">
      <c r="CM1755" s="102"/>
      <c r="CN1755" s="112" t="s">
        <v>4429</v>
      </c>
      <c r="CO1755" s="112" t="s">
        <v>544</v>
      </c>
      <c r="CP1755" s="112" t="s">
        <v>935</v>
      </c>
      <c r="CQ1755" s="112" t="s">
        <v>4430</v>
      </c>
      <c r="CR1755" s="112" t="s">
        <v>4430</v>
      </c>
      <c r="CS1755" s="112" t="s">
        <v>610</v>
      </c>
      <c r="CT1755" s="112" t="s">
        <v>937</v>
      </c>
      <c r="CU1755" s="112" t="s">
        <v>527</v>
      </c>
      <c r="CV1755" s="113" t="s">
        <v>612</v>
      </c>
      <c r="CX1755" s="36">
        <v>1</v>
      </c>
    </row>
    <row r="1756" spans="91:102" ht="21" customHeight="1" x14ac:dyDescent="0.25">
      <c r="CM1756" s="102"/>
      <c r="CN1756" s="112" t="s">
        <v>4431</v>
      </c>
      <c r="CO1756" s="112" t="s">
        <v>544</v>
      </c>
      <c r="CP1756" s="112" t="s">
        <v>935</v>
      </c>
      <c r="CQ1756" s="112" t="s">
        <v>4432</v>
      </c>
      <c r="CR1756" s="112" t="s">
        <v>4432</v>
      </c>
      <c r="CS1756" s="112" t="s">
        <v>610</v>
      </c>
      <c r="CT1756" s="112" t="s">
        <v>937</v>
      </c>
      <c r="CU1756" s="112" t="s">
        <v>527</v>
      </c>
      <c r="CV1756" s="113" t="s">
        <v>612</v>
      </c>
      <c r="CX1756" s="36">
        <v>1</v>
      </c>
    </row>
    <row r="1757" spans="91:102" ht="21" customHeight="1" x14ac:dyDescent="0.25">
      <c r="CM1757" s="102"/>
      <c r="CN1757" s="112" t="s">
        <v>4433</v>
      </c>
      <c r="CO1757" s="112" t="s">
        <v>544</v>
      </c>
      <c r="CP1757" s="112" t="s">
        <v>935</v>
      </c>
      <c r="CQ1757" s="112" t="s">
        <v>4434</v>
      </c>
      <c r="CR1757" s="112" t="s">
        <v>4434</v>
      </c>
      <c r="CS1757" s="112" t="s">
        <v>610</v>
      </c>
      <c r="CT1757" s="112" t="s">
        <v>937</v>
      </c>
      <c r="CU1757" s="112" t="s">
        <v>527</v>
      </c>
      <c r="CV1757" s="113" t="s">
        <v>612</v>
      </c>
      <c r="CX1757" s="36">
        <v>1</v>
      </c>
    </row>
    <row r="1758" spans="91:102" ht="21" customHeight="1" x14ac:dyDescent="0.25">
      <c r="CM1758" s="102"/>
      <c r="CN1758" s="112" t="s">
        <v>4435</v>
      </c>
      <c r="CO1758" s="112" t="s">
        <v>544</v>
      </c>
      <c r="CP1758" s="112" t="s">
        <v>935</v>
      </c>
      <c r="CQ1758" s="112" t="s">
        <v>4436</v>
      </c>
      <c r="CR1758" s="112" t="s">
        <v>4437</v>
      </c>
      <c r="CS1758" s="112" t="s">
        <v>3742</v>
      </c>
      <c r="CT1758" s="112" t="s">
        <v>4403</v>
      </c>
      <c r="CU1758" s="112" t="s">
        <v>796</v>
      </c>
      <c r="CV1758" s="113" t="s">
        <v>3744</v>
      </c>
      <c r="CX1758" s="36">
        <v>1</v>
      </c>
    </row>
    <row r="1759" spans="91:102" ht="21" customHeight="1" x14ac:dyDescent="0.25">
      <c r="CM1759" s="102"/>
      <c r="CN1759" s="112" t="s">
        <v>4438</v>
      </c>
      <c r="CO1759" s="112" t="s">
        <v>544</v>
      </c>
      <c r="CP1759" s="112" t="s">
        <v>935</v>
      </c>
      <c r="CQ1759" s="112" t="s">
        <v>4439</v>
      </c>
      <c r="CR1759" s="112" t="s">
        <v>4440</v>
      </c>
      <c r="CS1759" s="112" t="s">
        <v>3742</v>
      </c>
      <c r="CT1759" s="112" t="s">
        <v>4403</v>
      </c>
      <c r="CU1759" s="112" t="s">
        <v>796</v>
      </c>
      <c r="CV1759" s="113" t="s">
        <v>3744</v>
      </c>
      <c r="CX1759" s="36">
        <v>1</v>
      </c>
    </row>
    <row r="1760" spans="91:102" ht="21" customHeight="1" x14ac:dyDescent="0.25">
      <c r="CM1760" s="102"/>
      <c r="CN1760" s="112" t="s">
        <v>4441</v>
      </c>
      <c r="CO1760" s="112" t="s">
        <v>544</v>
      </c>
      <c r="CP1760" s="112" t="s">
        <v>935</v>
      </c>
      <c r="CQ1760" s="112" t="s">
        <v>4442</v>
      </c>
      <c r="CR1760" s="112" t="s">
        <v>4443</v>
      </c>
      <c r="CS1760" s="112" t="s">
        <v>525</v>
      </c>
      <c r="CT1760" s="112" t="s">
        <v>4406</v>
      </c>
      <c r="CU1760" s="112" t="s">
        <v>527</v>
      </c>
      <c r="CV1760" s="113" t="s">
        <v>528</v>
      </c>
      <c r="CX1760" s="36">
        <v>1</v>
      </c>
    </row>
    <row r="1761" spans="91:102" ht="21" customHeight="1" x14ac:dyDescent="0.25">
      <c r="CM1761" s="102"/>
      <c r="CN1761" s="112" t="s">
        <v>4444</v>
      </c>
      <c r="CO1761" s="112" t="s">
        <v>544</v>
      </c>
      <c r="CP1761" s="112" t="s">
        <v>935</v>
      </c>
      <c r="CQ1761" s="112" t="s">
        <v>4445</v>
      </c>
      <c r="CR1761" s="112" t="s">
        <v>4446</v>
      </c>
      <c r="CS1761" s="112" t="s">
        <v>3742</v>
      </c>
      <c r="CT1761" s="112" t="s">
        <v>4403</v>
      </c>
      <c r="CU1761" s="112" t="s">
        <v>796</v>
      </c>
      <c r="CV1761" s="113" t="s">
        <v>3744</v>
      </c>
      <c r="CX1761" s="36">
        <v>1</v>
      </c>
    </row>
    <row r="1762" spans="91:102" ht="21" customHeight="1" x14ac:dyDescent="0.25">
      <c r="CM1762" s="102"/>
      <c r="CN1762" s="112" t="s">
        <v>4447</v>
      </c>
      <c r="CO1762" s="112" t="s">
        <v>544</v>
      </c>
      <c r="CP1762" s="112" t="s">
        <v>935</v>
      </c>
      <c r="CQ1762" s="112" t="s">
        <v>4448</v>
      </c>
      <c r="CR1762" s="112" t="s">
        <v>4449</v>
      </c>
      <c r="CS1762" s="112" t="s">
        <v>525</v>
      </c>
      <c r="CT1762" s="112" t="s">
        <v>4406</v>
      </c>
      <c r="CU1762" s="112" t="s">
        <v>527</v>
      </c>
      <c r="CV1762" s="113" t="s">
        <v>528</v>
      </c>
      <c r="CX1762" s="36">
        <v>1</v>
      </c>
    </row>
    <row r="1763" spans="91:102" ht="21" customHeight="1" x14ac:dyDescent="0.25">
      <c r="CM1763" s="102"/>
      <c r="CN1763" s="112" t="s">
        <v>4450</v>
      </c>
      <c r="CO1763" s="112" t="s">
        <v>544</v>
      </c>
      <c r="CP1763" s="112" t="s">
        <v>935</v>
      </c>
      <c r="CQ1763" s="112" t="s">
        <v>4451</v>
      </c>
      <c r="CR1763" s="112" t="s">
        <v>4452</v>
      </c>
      <c r="CS1763" s="112" t="s">
        <v>525</v>
      </c>
      <c r="CT1763" s="112" t="s">
        <v>4406</v>
      </c>
      <c r="CU1763" s="112" t="s">
        <v>527</v>
      </c>
      <c r="CV1763" s="113" t="s">
        <v>528</v>
      </c>
      <c r="CX1763" s="36">
        <v>1</v>
      </c>
    </row>
    <row r="1764" spans="91:102" ht="21" customHeight="1" x14ac:dyDescent="0.25">
      <c r="CM1764" s="102"/>
      <c r="CN1764" s="112" t="s">
        <v>4453</v>
      </c>
      <c r="CO1764" s="112" t="s">
        <v>544</v>
      </c>
      <c r="CP1764" s="112" t="s">
        <v>935</v>
      </c>
      <c r="CQ1764" s="112" t="s">
        <v>4454</v>
      </c>
      <c r="CR1764" s="112" t="s">
        <v>4455</v>
      </c>
      <c r="CS1764" s="112" t="s">
        <v>525</v>
      </c>
      <c r="CT1764" s="112" t="s">
        <v>4406</v>
      </c>
      <c r="CU1764" s="112" t="s">
        <v>527</v>
      </c>
      <c r="CV1764" s="113" t="s">
        <v>528</v>
      </c>
      <c r="CX1764" s="36">
        <v>1</v>
      </c>
    </row>
    <row r="1765" spans="91:102" ht="21" customHeight="1" x14ac:dyDescent="0.25">
      <c r="CM1765" s="102"/>
      <c r="CN1765" s="112" t="s">
        <v>4456</v>
      </c>
      <c r="CO1765" s="112" t="s">
        <v>544</v>
      </c>
      <c r="CP1765" s="112" t="s">
        <v>935</v>
      </c>
      <c r="CQ1765" s="112" t="s">
        <v>4457</v>
      </c>
      <c r="CR1765" s="112" t="s">
        <v>4458</v>
      </c>
      <c r="CS1765" s="112" t="s">
        <v>525</v>
      </c>
      <c r="CT1765" s="112" t="s">
        <v>4406</v>
      </c>
      <c r="CU1765" s="112" t="s">
        <v>527</v>
      </c>
      <c r="CV1765" s="113" t="s">
        <v>528</v>
      </c>
      <c r="CX1765" s="36">
        <v>1</v>
      </c>
    </row>
    <row r="1766" spans="91:102" ht="21" customHeight="1" x14ac:dyDescent="0.25">
      <c r="CM1766" s="102"/>
      <c r="CN1766" s="112" t="s">
        <v>4459</v>
      </c>
      <c r="CO1766" s="112" t="s">
        <v>544</v>
      </c>
      <c r="CP1766" s="112" t="s">
        <v>935</v>
      </c>
      <c r="CQ1766" s="112" t="s">
        <v>4460</v>
      </c>
      <c r="CR1766" s="112" t="s">
        <v>4461</v>
      </c>
      <c r="CS1766" s="112" t="s">
        <v>3742</v>
      </c>
      <c r="CT1766" s="112" t="s">
        <v>4403</v>
      </c>
      <c r="CU1766" s="112" t="s">
        <v>796</v>
      </c>
      <c r="CV1766" s="113" t="s">
        <v>3744</v>
      </c>
      <c r="CX1766" s="36">
        <v>1</v>
      </c>
    </row>
    <row r="1767" spans="91:102" ht="21" customHeight="1" x14ac:dyDescent="0.25">
      <c r="CM1767" s="102"/>
      <c r="CN1767" s="112" t="s">
        <v>4462</v>
      </c>
      <c r="CO1767" s="112" t="s">
        <v>544</v>
      </c>
      <c r="CP1767" s="112" t="s">
        <v>935</v>
      </c>
      <c r="CQ1767" s="112" t="s">
        <v>3632</v>
      </c>
      <c r="CR1767" s="112" t="s">
        <v>3633</v>
      </c>
      <c r="CS1767" s="112" t="s">
        <v>4463</v>
      </c>
      <c r="CT1767" s="112" t="s">
        <v>4464</v>
      </c>
      <c r="CU1767" s="112" t="s">
        <v>527</v>
      </c>
      <c r="CV1767" s="113" t="s">
        <v>528</v>
      </c>
      <c r="CX1767" s="36">
        <v>1</v>
      </c>
    </row>
    <row r="1768" spans="91:102" ht="21" customHeight="1" x14ac:dyDescent="0.25">
      <c r="CM1768" s="102"/>
      <c r="CN1768" s="112" t="s">
        <v>4465</v>
      </c>
      <c r="CO1768" s="112" t="s">
        <v>544</v>
      </c>
      <c r="CP1768" s="112" t="s">
        <v>935</v>
      </c>
      <c r="CQ1768" s="112" t="s">
        <v>4466</v>
      </c>
      <c r="CR1768" s="112" t="s">
        <v>4467</v>
      </c>
      <c r="CS1768" s="112" t="s">
        <v>3742</v>
      </c>
      <c r="CT1768" s="112" t="s">
        <v>4403</v>
      </c>
      <c r="CU1768" s="112" t="s">
        <v>796</v>
      </c>
      <c r="CV1768" s="113" t="s">
        <v>3744</v>
      </c>
      <c r="CX1768" s="36">
        <v>1</v>
      </c>
    </row>
    <row r="1769" spans="91:102" ht="21" customHeight="1" x14ac:dyDescent="0.25">
      <c r="CM1769" s="102"/>
      <c r="CN1769" s="112" t="s">
        <v>4468</v>
      </c>
      <c r="CO1769" s="112" t="s">
        <v>544</v>
      </c>
      <c r="CP1769" s="112" t="s">
        <v>935</v>
      </c>
      <c r="CQ1769" s="112" t="s">
        <v>4469</v>
      </c>
      <c r="CR1769" s="112" t="s">
        <v>4469</v>
      </c>
      <c r="CS1769" s="112" t="s">
        <v>3742</v>
      </c>
      <c r="CT1769" s="112" t="s">
        <v>4403</v>
      </c>
      <c r="CU1769" s="112" t="s">
        <v>796</v>
      </c>
      <c r="CV1769" s="113" t="s">
        <v>3744</v>
      </c>
      <c r="CX1769" s="36">
        <v>1</v>
      </c>
    </row>
    <row r="1770" spans="91:102" ht="21" customHeight="1" x14ac:dyDescent="0.25">
      <c r="CM1770" s="102"/>
      <c r="CN1770" s="112" t="s">
        <v>4470</v>
      </c>
      <c r="CO1770" s="112" t="s">
        <v>544</v>
      </c>
      <c r="CP1770" s="112" t="s">
        <v>935</v>
      </c>
      <c r="CQ1770" s="112" t="s">
        <v>4471</v>
      </c>
      <c r="CR1770" s="112" t="s">
        <v>4472</v>
      </c>
      <c r="CS1770" s="112" t="s">
        <v>525</v>
      </c>
      <c r="CT1770" s="112" t="s">
        <v>4406</v>
      </c>
      <c r="CU1770" s="112" t="s">
        <v>527</v>
      </c>
      <c r="CV1770" s="113" t="s">
        <v>528</v>
      </c>
      <c r="CX1770" s="36">
        <v>1</v>
      </c>
    </row>
    <row r="1771" spans="91:102" ht="21" customHeight="1" x14ac:dyDescent="0.25">
      <c r="CM1771" s="102"/>
      <c r="CN1771" s="112" t="s">
        <v>4473</v>
      </c>
      <c r="CO1771" s="112" t="s">
        <v>544</v>
      </c>
      <c r="CP1771" s="112" t="s">
        <v>935</v>
      </c>
      <c r="CQ1771" s="112" t="s">
        <v>4474</v>
      </c>
      <c r="CR1771" s="112" t="s">
        <v>4474</v>
      </c>
      <c r="CS1771" s="112" t="s">
        <v>3742</v>
      </c>
      <c r="CT1771" s="112" t="s">
        <v>4403</v>
      </c>
      <c r="CU1771" s="112" t="s">
        <v>796</v>
      </c>
      <c r="CV1771" s="113" t="s">
        <v>3744</v>
      </c>
      <c r="CX1771" s="36">
        <v>1</v>
      </c>
    </row>
    <row r="1772" spans="91:102" ht="21" customHeight="1" x14ac:dyDescent="0.25">
      <c r="CM1772" s="102"/>
      <c r="CN1772" s="112" t="s">
        <v>4475</v>
      </c>
      <c r="CO1772" s="112" t="s">
        <v>544</v>
      </c>
      <c r="CP1772" s="112" t="s">
        <v>935</v>
      </c>
      <c r="CQ1772" s="112" t="s">
        <v>4476</v>
      </c>
      <c r="CR1772" s="112" t="s">
        <v>4477</v>
      </c>
      <c r="CS1772" s="112" t="s">
        <v>3742</v>
      </c>
      <c r="CT1772" s="112" t="s">
        <v>4403</v>
      </c>
      <c r="CU1772" s="112" t="s">
        <v>796</v>
      </c>
      <c r="CV1772" s="113" t="s">
        <v>3744</v>
      </c>
      <c r="CX1772" s="36">
        <v>1</v>
      </c>
    </row>
    <row r="1773" spans="91:102" ht="21" customHeight="1" x14ac:dyDescent="0.25">
      <c r="CM1773" s="102"/>
      <c r="CN1773" s="112" t="s">
        <v>4478</v>
      </c>
      <c r="CO1773" s="112" t="s">
        <v>544</v>
      </c>
      <c r="CP1773" s="112" t="s">
        <v>935</v>
      </c>
      <c r="CQ1773" s="112" t="s">
        <v>4479</v>
      </c>
      <c r="CR1773" s="112" t="s">
        <v>4479</v>
      </c>
      <c r="CS1773" s="112" t="s">
        <v>525</v>
      </c>
      <c r="CT1773" s="112" t="s">
        <v>4406</v>
      </c>
      <c r="CU1773" s="112" t="s">
        <v>527</v>
      </c>
      <c r="CV1773" s="113" t="s">
        <v>528</v>
      </c>
      <c r="CX1773" s="36">
        <v>1</v>
      </c>
    </row>
    <row r="1774" spans="91:102" ht="21" customHeight="1" x14ac:dyDescent="0.25">
      <c r="CM1774" s="102"/>
      <c r="CN1774" s="112" t="s">
        <v>4480</v>
      </c>
      <c r="CO1774" s="112" t="s">
        <v>544</v>
      </c>
      <c r="CP1774" s="112" t="s">
        <v>935</v>
      </c>
      <c r="CQ1774" s="112" t="s">
        <v>4481</v>
      </c>
      <c r="CR1774" s="112" t="s">
        <v>4481</v>
      </c>
      <c r="CS1774" s="112" t="s">
        <v>525</v>
      </c>
      <c r="CT1774" s="112" t="s">
        <v>4406</v>
      </c>
      <c r="CU1774" s="112" t="s">
        <v>527</v>
      </c>
      <c r="CV1774" s="113" t="s">
        <v>528</v>
      </c>
      <c r="CX1774" s="36">
        <v>1</v>
      </c>
    </row>
    <row r="1775" spans="91:102" ht="21" customHeight="1" x14ac:dyDescent="0.25">
      <c r="CM1775" s="102"/>
      <c r="CN1775" s="112" t="s">
        <v>4482</v>
      </c>
      <c r="CO1775" s="112" t="s">
        <v>544</v>
      </c>
      <c r="CP1775" s="112" t="s">
        <v>935</v>
      </c>
      <c r="CQ1775" s="112" t="s">
        <v>4483</v>
      </c>
      <c r="CR1775" s="112" t="s">
        <v>4483</v>
      </c>
      <c r="CS1775" s="112" t="s">
        <v>525</v>
      </c>
      <c r="CT1775" s="112" t="s">
        <v>4406</v>
      </c>
      <c r="CU1775" s="112" t="s">
        <v>527</v>
      </c>
      <c r="CV1775" s="113" t="s">
        <v>528</v>
      </c>
      <c r="CX1775" s="36">
        <v>1</v>
      </c>
    </row>
    <row r="1776" spans="91:102" ht="21" customHeight="1" x14ac:dyDescent="0.25">
      <c r="CM1776" s="102"/>
      <c r="CN1776" s="112" t="s">
        <v>4484</v>
      </c>
      <c r="CO1776" s="112" t="s">
        <v>544</v>
      </c>
      <c r="CP1776" s="112" t="s">
        <v>935</v>
      </c>
      <c r="CQ1776" s="112" t="s">
        <v>4485</v>
      </c>
      <c r="CR1776" s="112" t="s">
        <v>4485</v>
      </c>
      <c r="CS1776" s="112" t="s">
        <v>525</v>
      </c>
      <c r="CT1776" s="112" t="s">
        <v>4406</v>
      </c>
      <c r="CU1776" s="112" t="s">
        <v>527</v>
      </c>
      <c r="CV1776" s="113" t="s">
        <v>528</v>
      </c>
      <c r="CX1776" s="36">
        <v>1</v>
      </c>
    </row>
    <row r="1777" spans="91:102" ht="21" customHeight="1" x14ac:dyDescent="0.25">
      <c r="CM1777" s="102"/>
      <c r="CN1777" s="112" t="s">
        <v>4486</v>
      </c>
      <c r="CO1777" s="112" t="s">
        <v>544</v>
      </c>
      <c r="CP1777" s="112" t="s">
        <v>935</v>
      </c>
      <c r="CQ1777" s="112" t="s">
        <v>4487</v>
      </c>
      <c r="CR1777" s="112" t="s">
        <v>4487</v>
      </c>
      <c r="CS1777" s="112" t="s">
        <v>525</v>
      </c>
      <c r="CT1777" s="112" t="s">
        <v>4406</v>
      </c>
      <c r="CU1777" s="112" t="s">
        <v>527</v>
      </c>
      <c r="CV1777" s="113" t="s">
        <v>528</v>
      </c>
      <c r="CX1777" s="36">
        <v>1</v>
      </c>
    </row>
    <row r="1778" spans="91:102" ht="21" customHeight="1" x14ac:dyDescent="0.25">
      <c r="CM1778" s="102"/>
      <c r="CN1778" s="112" t="s">
        <v>4488</v>
      </c>
      <c r="CO1778" s="112" t="s">
        <v>544</v>
      </c>
      <c r="CP1778" s="112" t="s">
        <v>935</v>
      </c>
      <c r="CQ1778" s="112" t="s">
        <v>4489</v>
      </c>
      <c r="CR1778" s="112" t="s">
        <v>4489</v>
      </c>
      <c r="CS1778" s="112" t="s">
        <v>525</v>
      </c>
      <c r="CT1778" s="112" t="s">
        <v>4406</v>
      </c>
      <c r="CU1778" s="112" t="s">
        <v>527</v>
      </c>
      <c r="CV1778" s="113" t="s">
        <v>528</v>
      </c>
      <c r="CX1778" s="36">
        <v>1</v>
      </c>
    </row>
    <row r="1779" spans="91:102" ht="21" customHeight="1" x14ac:dyDescent="0.25">
      <c r="CM1779" s="102"/>
      <c r="CN1779" s="112" t="s">
        <v>4490</v>
      </c>
      <c r="CO1779" s="112" t="s">
        <v>544</v>
      </c>
      <c r="CP1779" s="112" t="s">
        <v>935</v>
      </c>
      <c r="CQ1779" s="112" t="s">
        <v>4491</v>
      </c>
      <c r="CR1779" s="112" t="s">
        <v>4491</v>
      </c>
      <c r="CS1779" s="112" t="s">
        <v>525</v>
      </c>
      <c r="CT1779" s="112" t="s">
        <v>4406</v>
      </c>
      <c r="CU1779" s="112" t="s">
        <v>527</v>
      </c>
      <c r="CV1779" s="113" t="s">
        <v>528</v>
      </c>
      <c r="CX1779" s="36">
        <v>1</v>
      </c>
    </row>
    <row r="1780" spans="91:102" ht="21" customHeight="1" x14ac:dyDescent="0.25">
      <c r="CM1780" s="102"/>
      <c r="CN1780" s="112" t="s">
        <v>4492</v>
      </c>
      <c r="CO1780" s="112" t="s">
        <v>544</v>
      </c>
      <c r="CP1780" s="112" t="s">
        <v>935</v>
      </c>
      <c r="CQ1780" s="112" t="s">
        <v>4493</v>
      </c>
      <c r="CR1780" s="112" t="s">
        <v>4493</v>
      </c>
      <c r="CS1780" s="112" t="s">
        <v>525</v>
      </c>
      <c r="CT1780" s="112" t="s">
        <v>4406</v>
      </c>
      <c r="CU1780" s="112" t="s">
        <v>527</v>
      </c>
      <c r="CV1780" s="113" t="s">
        <v>528</v>
      </c>
      <c r="CX1780" s="36">
        <v>1</v>
      </c>
    </row>
    <row r="1781" spans="91:102" ht="21" customHeight="1" x14ac:dyDescent="0.25">
      <c r="CM1781" s="102"/>
      <c r="CN1781" s="112" t="s">
        <v>4494</v>
      </c>
      <c r="CO1781" s="112" t="s">
        <v>544</v>
      </c>
      <c r="CP1781" s="112" t="s">
        <v>935</v>
      </c>
      <c r="CQ1781" s="112" t="s">
        <v>3656</v>
      </c>
      <c r="CR1781" s="112" t="s">
        <v>3656</v>
      </c>
      <c r="CS1781" s="112" t="s">
        <v>525</v>
      </c>
      <c r="CT1781" s="112" t="s">
        <v>4406</v>
      </c>
      <c r="CU1781" s="112" t="s">
        <v>527</v>
      </c>
      <c r="CV1781" s="113" t="s">
        <v>528</v>
      </c>
      <c r="CX1781" s="36">
        <v>1</v>
      </c>
    </row>
    <row r="1782" spans="91:102" ht="21" customHeight="1" x14ac:dyDescent="0.25">
      <c r="CM1782" s="102"/>
      <c r="CN1782" s="112" t="s">
        <v>4495</v>
      </c>
      <c r="CO1782" s="112" t="s">
        <v>544</v>
      </c>
      <c r="CP1782" s="112" t="s">
        <v>935</v>
      </c>
      <c r="CQ1782" s="112" t="s">
        <v>4496</v>
      </c>
      <c r="CR1782" s="112" t="s">
        <v>4497</v>
      </c>
      <c r="CS1782" s="112" t="s">
        <v>525</v>
      </c>
      <c r="CT1782" s="112" t="s">
        <v>4406</v>
      </c>
      <c r="CU1782" s="112" t="s">
        <v>527</v>
      </c>
      <c r="CV1782" s="113" t="s">
        <v>528</v>
      </c>
      <c r="CX1782" s="36">
        <v>1</v>
      </c>
    </row>
    <row r="1783" spans="91:102" ht="21" customHeight="1" x14ac:dyDescent="0.25">
      <c r="CM1783" s="102"/>
      <c r="CN1783" s="112" t="s">
        <v>4498</v>
      </c>
      <c r="CO1783" s="112" t="s">
        <v>544</v>
      </c>
      <c r="CP1783" s="112" t="s">
        <v>935</v>
      </c>
      <c r="CQ1783" s="112" t="s">
        <v>4499</v>
      </c>
      <c r="CR1783" s="112" t="s">
        <v>4500</v>
      </c>
      <c r="CS1783" s="112" t="s">
        <v>3742</v>
      </c>
      <c r="CT1783" s="112" t="s">
        <v>4403</v>
      </c>
      <c r="CU1783" s="112" t="s">
        <v>796</v>
      </c>
      <c r="CV1783" s="113" t="s">
        <v>3744</v>
      </c>
      <c r="CX1783" s="36">
        <v>1</v>
      </c>
    </row>
    <row r="1784" spans="91:102" ht="21" customHeight="1" x14ac:dyDescent="0.25">
      <c r="CM1784" s="102"/>
      <c r="CN1784" s="112" t="s">
        <v>4501</v>
      </c>
      <c r="CO1784" s="112" t="s">
        <v>544</v>
      </c>
      <c r="CP1784" s="112" t="s">
        <v>935</v>
      </c>
      <c r="CQ1784" s="112" t="s">
        <v>4502</v>
      </c>
      <c r="CR1784" s="112" t="s">
        <v>4502</v>
      </c>
      <c r="CS1784" s="112" t="s">
        <v>610</v>
      </c>
      <c r="CT1784" s="112" t="s">
        <v>937</v>
      </c>
      <c r="CU1784" s="112" t="s">
        <v>527</v>
      </c>
      <c r="CV1784" s="113" t="s">
        <v>612</v>
      </c>
      <c r="CX1784" s="36">
        <v>1</v>
      </c>
    </row>
    <row r="1785" spans="91:102" ht="21" customHeight="1" x14ac:dyDescent="0.25">
      <c r="CM1785" s="102"/>
      <c r="CN1785" s="112" t="s">
        <v>4503</v>
      </c>
      <c r="CO1785" s="112" t="s">
        <v>544</v>
      </c>
      <c r="CP1785" s="112" t="s">
        <v>935</v>
      </c>
      <c r="CQ1785" s="112" t="s">
        <v>4504</v>
      </c>
      <c r="CR1785" s="112" t="s">
        <v>4504</v>
      </c>
      <c r="CS1785" s="112" t="s">
        <v>3742</v>
      </c>
      <c r="CT1785" s="112" t="s">
        <v>4403</v>
      </c>
      <c r="CU1785" s="112" t="s">
        <v>796</v>
      </c>
      <c r="CV1785" s="113" t="s">
        <v>3744</v>
      </c>
      <c r="CX1785" s="36">
        <v>1</v>
      </c>
    </row>
    <row r="1786" spans="91:102" ht="21" customHeight="1" x14ac:dyDescent="0.25">
      <c r="CM1786" s="102"/>
      <c r="CN1786" s="112" t="s">
        <v>4505</v>
      </c>
      <c r="CO1786" s="112" t="s">
        <v>544</v>
      </c>
      <c r="CP1786" s="112" t="s">
        <v>935</v>
      </c>
      <c r="CQ1786" s="112" t="s">
        <v>4506</v>
      </c>
      <c r="CR1786" s="112" t="s">
        <v>4507</v>
      </c>
      <c r="CS1786" s="112" t="s">
        <v>3742</v>
      </c>
      <c r="CT1786" s="112" t="s">
        <v>4403</v>
      </c>
      <c r="CU1786" s="112" t="s">
        <v>796</v>
      </c>
      <c r="CV1786" s="113" t="s">
        <v>3744</v>
      </c>
      <c r="CX1786" s="36">
        <v>1</v>
      </c>
    </row>
    <row r="1787" spans="91:102" ht="21" customHeight="1" x14ac:dyDescent="0.25">
      <c r="CM1787" s="102"/>
      <c r="CN1787" s="112" t="s">
        <v>4508</v>
      </c>
      <c r="CO1787" s="112" t="s">
        <v>544</v>
      </c>
      <c r="CP1787" s="112" t="s">
        <v>935</v>
      </c>
      <c r="CQ1787" s="112" t="s">
        <v>3606</v>
      </c>
      <c r="CR1787" s="112" t="s">
        <v>3606</v>
      </c>
      <c r="CS1787" s="112" t="s">
        <v>610</v>
      </c>
      <c r="CT1787" s="112" t="s">
        <v>937</v>
      </c>
      <c r="CU1787" s="112" t="s">
        <v>527</v>
      </c>
      <c r="CV1787" s="113" t="s">
        <v>612</v>
      </c>
      <c r="CX1787" s="36">
        <v>1</v>
      </c>
    </row>
    <row r="1788" spans="91:102" ht="21" customHeight="1" x14ac:dyDescent="0.25">
      <c r="CM1788" s="102"/>
      <c r="CN1788" s="112" t="s">
        <v>4509</v>
      </c>
      <c r="CO1788" s="112" t="s">
        <v>544</v>
      </c>
      <c r="CP1788" s="112" t="s">
        <v>935</v>
      </c>
      <c r="CQ1788" s="112" t="s">
        <v>4510</v>
      </c>
      <c r="CR1788" s="112" t="s">
        <v>4510</v>
      </c>
      <c r="CS1788" s="112" t="s">
        <v>610</v>
      </c>
      <c r="CT1788" s="112" t="s">
        <v>937</v>
      </c>
      <c r="CU1788" s="112" t="s">
        <v>527</v>
      </c>
      <c r="CV1788" s="113" t="s">
        <v>612</v>
      </c>
      <c r="CX1788" s="36">
        <v>1</v>
      </c>
    </row>
    <row r="1789" spans="91:102" ht="21" customHeight="1" x14ac:dyDescent="0.25">
      <c r="CM1789" s="102"/>
      <c r="CN1789" s="112" t="s">
        <v>4511</v>
      </c>
      <c r="CO1789" s="112" t="s">
        <v>544</v>
      </c>
      <c r="CP1789" s="112" t="s">
        <v>935</v>
      </c>
      <c r="CQ1789" s="112" t="s">
        <v>3685</v>
      </c>
      <c r="CR1789" s="112" t="s">
        <v>3685</v>
      </c>
      <c r="CS1789" s="112" t="s">
        <v>610</v>
      </c>
      <c r="CT1789" s="112" t="s">
        <v>937</v>
      </c>
      <c r="CU1789" s="112" t="s">
        <v>527</v>
      </c>
      <c r="CV1789" s="113" t="s">
        <v>612</v>
      </c>
      <c r="CX1789" s="36">
        <v>1</v>
      </c>
    </row>
    <row r="1790" spans="91:102" ht="21" customHeight="1" x14ac:dyDescent="0.25">
      <c r="CM1790" s="102"/>
      <c r="CN1790" s="112" t="s">
        <v>4512</v>
      </c>
      <c r="CO1790" s="112" t="s">
        <v>544</v>
      </c>
      <c r="CP1790" s="112" t="s">
        <v>1119</v>
      </c>
      <c r="CQ1790" s="112" t="s">
        <v>4513</v>
      </c>
      <c r="CR1790" s="112" t="s">
        <v>4513</v>
      </c>
      <c r="CS1790" s="112" t="s">
        <v>3742</v>
      </c>
      <c r="CT1790" s="112" t="s">
        <v>4514</v>
      </c>
      <c r="CU1790" s="112" t="s">
        <v>796</v>
      </c>
      <c r="CV1790" s="113" t="s">
        <v>3744</v>
      </c>
      <c r="CX1790" s="36">
        <v>1</v>
      </c>
    </row>
    <row r="1791" spans="91:102" ht="21" customHeight="1" x14ac:dyDescent="0.25">
      <c r="CM1791" s="102"/>
      <c r="CN1791" s="112" t="s">
        <v>4515</v>
      </c>
      <c r="CO1791" s="112" t="s">
        <v>544</v>
      </c>
      <c r="CP1791" s="112" t="s">
        <v>1119</v>
      </c>
      <c r="CQ1791" s="112" t="s">
        <v>4516</v>
      </c>
      <c r="CR1791" s="112" t="s">
        <v>4516</v>
      </c>
      <c r="CS1791" s="112" t="s">
        <v>3742</v>
      </c>
      <c r="CT1791" s="112" t="s">
        <v>4514</v>
      </c>
      <c r="CU1791" s="112" t="s">
        <v>796</v>
      </c>
      <c r="CV1791" s="113" t="s">
        <v>3744</v>
      </c>
      <c r="CX1791" s="36">
        <v>1</v>
      </c>
    </row>
    <row r="1792" spans="91:102" ht="21" customHeight="1" x14ac:dyDescent="0.25">
      <c r="CM1792" s="102"/>
      <c r="CN1792" s="112" t="s">
        <v>4517</v>
      </c>
      <c r="CO1792" s="112" t="s">
        <v>544</v>
      </c>
      <c r="CP1792" s="112" t="s">
        <v>1119</v>
      </c>
      <c r="CQ1792" s="112" t="s">
        <v>3761</v>
      </c>
      <c r="CR1792" s="112" t="s">
        <v>3761</v>
      </c>
      <c r="CS1792" s="112" t="s">
        <v>3742</v>
      </c>
      <c r="CT1792" s="112" t="s">
        <v>4514</v>
      </c>
      <c r="CU1792" s="112" t="s">
        <v>796</v>
      </c>
      <c r="CV1792" s="113" t="s">
        <v>3744</v>
      </c>
      <c r="CX1792" s="36">
        <v>1</v>
      </c>
    </row>
    <row r="1793" spans="91:102" ht="21" customHeight="1" x14ac:dyDescent="0.25">
      <c r="CM1793" s="102"/>
      <c r="CN1793" s="112" t="s">
        <v>4518</v>
      </c>
      <c r="CO1793" s="112" t="s">
        <v>544</v>
      </c>
      <c r="CP1793" s="112" t="s">
        <v>1119</v>
      </c>
      <c r="CQ1793" s="112" t="s">
        <v>4519</v>
      </c>
      <c r="CR1793" s="112" t="s">
        <v>4519</v>
      </c>
      <c r="CS1793" s="112" t="s">
        <v>525</v>
      </c>
      <c r="CT1793" s="112" t="s">
        <v>1592</v>
      </c>
      <c r="CU1793" s="112" t="s">
        <v>527</v>
      </c>
      <c r="CV1793" s="113" t="s">
        <v>528</v>
      </c>
      <c r="CX1793" s="36">
        <v>1</v>
      </c>
    </row>
    <row r="1794" spans="91:102" ht="21" customHeight="1" x14ac:dyDescent="0.25">
      <c r="CM1794" s="102"/>
      <c r="CN1794" s="112" t="s">
        <v>4520</v>
      </c>
      <c r="CO1794" s="112" t="s">
        <v>544</v>
      </c>
      <c r="CP1794" s="112" t="s">
        <v>1119</v>
      </c>
      <c r="CQ1794" s="112" t="s">
        <v>4521</v>
      </c>
      <c r="CR1794" s="112" t="s">
        <v>4522</v>
      </c>
      <c r="CS1794" s="112" t="s">
        <v>525</v>
      </c>
      <c r="CT1794" s="112" t="s">
        <v>1592</v>
      </c>
      <c r="CU1794" s="112" t="s">
        <v>527</v>
      </c>
      <c r="CV1794" s="113" t="s">
        <v>528</v>
      </c>
      <c r="CX1794" s="36">
        <v>1</v>
      </c>
    </row>
    <row r="1795" spans="91:102" ht="21" customHeight="1" x14ac:dyDescent="0.25">
      <c r="CM1795" s="102"/>
      <c r="CN1795" s="112" t="s">
        <v>4523</v>
      </c>
      <c r="CO1795" s="112" t="s">
        <v>544</v>
      </c>
      <c r="CP1795" s="112" t="s">
        <v>1119</v>
      </c>
      <c r="CQ1795" s="112" t="s">
        <v>1120</v>
      </c>
      <c r="CR1795" s="112" t="s">
        <v>1120</v>
      </c>
      <c r="CS1795" s="112" t="s">
        <v>525</v>
      </c>
      <c r="CT1795" s="112" t="s">
        <v>1592</v>
      </c>
      <c r="CU1795" s="112" t="s">
        <v>527</v>
      </c>
      <c r="CV1795" s="113" t="s">
        <v>528</v>
      </c>
      <c r="CX1795" s="36">
        <v>1</v>
      </c>
    </row>
    <row r="1796" spans="91:102" ht="21" customHeight="1" x14ac:dyDescent="0.25">
      <c r="CM1796" s="102"/>
      <c r="CN1796" s="112" t="s">
        <v>4524</v>
      </c>
      <c r="CO1796" s="112" t="s">
        <v>544</v>
      </c>
      <c r="CP1796" s="112" t="s">
        <v>1119</v>
      </c>
      <c r="CQ1796" s="112" t="s">
        <v>652</v>
      </c>
      <c r="CR1796" s="112" t="s">
        <v>652</v>
      </c>
      <c r="CS1796" s="112" t="s">
        <v>525</v>
      </c>
      <c r="CT1796" s="112" t="s">
        <v>1592</v>
      </c>
      <c r="CU1796" s="112" t="s">
        <v>527</v>
      </c>
      <c r="CV1796" s="113" t="s">
        <v>528</v>
      </c>
      <c r="CX1796" s="36">
        <v>1</v>
      </c>
    </row>
    <row r="1797" spans="91:102" ht="21" customHeight="1" x14ac:dyDescent="0.25">
      <c r="CM1797" s="102"/>
      <c r="CN1797" s="112" t="s">
        <v>4525</v>
      </c>
      <c r="CO1797" s="112" t="s">
        <v>544</v>
      </c>
      <c r="CP1797" s="112" t="s">
        <v>1119</v>
      </c>
      <c r="CQ1797" s="112" t="s">
        <v>1125</v>
      </c>
      <c r="CR1797" s="112" t="s">
        <v>1125</v>
      </c>
      <c r="CS1797" s="112" t="s">
        <v>610</v>
      </c>
      <c r="CT1797" s="112" t="s">
        <v>1126</v>
      </c>
      <c r="CU1797" s="112" t="s">
        <v>527</v>
      </c>
      <c r="CV1797" s="113" t="s">
        <v>612</v>
      </c>
      <c r="CX1797" s="36">
        <v>1</v>
      </c>
    </row>
    <row r="1798" spans="91:102" ht="21" customHeight="1" x14ac:dyDescent="0.25">
      <c r="CM1798" s="102"/>
      <c r="CN1798" s="112" t="s">
        <v>4526</v>
      </c>
      <c r="CO1798" s="112" t="s">
        <v>544</v>
      </c>
      <c r="CP1798" s="112" t="s">
        <v>1119</v>
      </c>
      <c r="CQ1798" s="112" t="s">
        <v>1128</v>
      </c>
      <c r="CR1798" s="112" t="s">
        <v>1128</v>
      </c>
      <c r="CS1798" s="112" t="s">
        <v>610</v>
      </c>
      <c r="CT1798" s="112" t="s">
        <v>1126</v>
      </c>
      <c r="CU1798" s="112" t="s">
        <v>527</v>
      </c>
      <c r="CV1798" s="113" t="s">
        <v>612</v>
      </c>
      <c r="CX1798" s="36">
        <v>1</v>
      </c>
    </row>
    <row r="1799" spans="91:102" ht="21" customHeight="1" x14ac:dyDescent="0.25">
      <c r="CM1799" s="102"/>
      <c r="CN1799" s="112" t="s">
        <v>4527</v>
      </c>
      <c r="CO1799" s="112" t="s">
        <v>544</v>
      </c>
      <c r="CP1799" s="112" t="s">
        <v>1119</v>
      </c>
      <c r="CQ1799" s="112" t="s">
        <v>1472</v>
      </c>
      <c r="CR1799" s="112" t="s">
        <v>1472</v>
      </c>
      <c r="CS1799" s="112" t="s">
        <v>3742</v>
      </c>
      <c r="CT1799" s="112" t="s">
        <v>4514</v>
      </c>
      <c r="CU1799" s="112" t="s">
        <v>796</v>
      </c>
      <c r="CV1799" s="113" t="s">
        <v>3744</v>
      </c>
      <c r="CX1799" s="36">
        <v>1</v>
      </c>
    </row>
    <row r="1800" spans="91:102" ht="21" customHeight="1" x14ac:dyDescent="0.25">
      <c r="CM1800" s="102"/>
      <c r="CN1800" s="112" t="s">
        <v>4528</v>
      </c>
      <c r="CO1800" s="112" t="s">
        <v>544</v>
      </c>
      <c r="CP1800" s="112" t="s">
        <v>1119</v>
      </c>
      <c r="CQ1800" s="112" t="s">
        <v>1130</v>
      </c>
      <c r="CR1800" s="112" t="s">
        <v>1130</v>
      </c>
      <c r="CS1800" s="112" t="s">
        <v>525</v>
      </c>
      <c r="CT1800" s="112" t="s">
        <v>1592</v>
      </c>
      <c r="CU1800" s="112" t="s">
        <v>527</v>
      </c>
      <c r="CV1800" s="113" t="s">
        <v>528</v>
      </c>
      <c r="CX1800" s="36">
        <v>1</v>
      </c>
    </row>
    <row r="1801" spans="91:102" ht="21" customHeight="1" x14ac:dyDescent="0.25">
      <c r="CM1801" s="102"/>
      <c r="CN1801" s="112" t="s">
        <v>4529</v>
      </c>
      <c r="CO1801" s="112" t="s">
        <v>544</v>
      </c>
      <c r="CP1801" s="112" t="s">
        <v>1119</v>
      </c>
      <c r="CQ1801" s="112" t="s">
        <v>4530</v>
      </c>
      <c r="CR1801" s="112" t="s">
        <v>4530</v>
      </c>
      <c r="CS1801" s="112" t="s">
        <v>3742</v>
      </c>
      <c r="CT1801" s="112" t="s">
        <v>4514</v>
      </c>
      <c r="CU1801" s="112" t="s">
        <v>796</v>
      </c>
      <c r="CV1801" s="113" t="s">
        <v>3744</v>
      </c>
      <c r="CX1801" s="36">
        <v>1</v>
      </c>
    </row>
    <row r="1802" spans="91:102" ht="21" customHeight="1" x14ac:dyDescent="0.25">
      <c r="CM1802" s="102"/>
      <c r="CN1802" s="112" t="s">
        <v>4531</v>
      </c>
      <c r="CO1802" s="112" t="s">
        <v>544</v>
      </c>
      <c r="CP1802" s="112" t="s">
        <v>1119</v>
      </c>
      <c r="CQ1802" s="112" t="s">
        <v>4532</v>
      </c>
      <c r="CR1802" s="112" t="s">
        <v>4532</v>
      </c>
      <c r="CS1802" s="112" t="s">
        <v>3742</v>
      </c>
      <c r="CT1802" s="112" t="s">
        <v>4514</v>
      </c>
      <c r="CU1802" s="112" t="s">
        <v>796</v>
      </c>
      <c r="CV1802" s="113" t="s">
        <v>3744</v>
      </c>
      <c r="CX1802" s="36">
        <v>1</v>
      </c>
    </row>
    <row r="1803" spans="91:102" ht="21" customHeight="1" x14ac:dyDescent="0.25">
      <c r="CM1803" s="102"/>
      <c r="CN1803" s="112" t="s">
        <v>4533</v>
      </c>
      <c r="CO1803" s="112" t="s">
        <v>544</v>
      </c>
      <c r="CP1803" s="112" t="s">
        <v>1119</v>
      </c>
      <c r="CQ1803" s="112" t="s">
        <v>4534</v>
      </c>
      <c r="CR1803" s="112" t="s">
        <v>4534</v>
      </c>
      <c r="CS1803" s="112" t="s">
        <v>3742</v>
      </c>
      <c r="CT1803" s="112" t="s">
        <v>4514</v>
      </c>
      <c r="CU1803" s="112" t="s">
        <v>796</v>
      </c>
      <c r="CV1803" s="113" t="s">
        <v>3744</v>
      </c>
      <c r="CX1803" s="36">
        <v>1</v>
      </c>
    </row>
    <row r="1804" spans="91:102" ht="21" customHeight="1" x14ac:dyDescent="0.25">
      <c r="CM1804" s="102"/>
      <c r="CN1804" s="112" t="s">
        <v>4535</v>
      </c>
      <c r="CO1804" s="112" t="s">
        <v>544</v>
      </c>
      <c r="CP1804" s="112" t="s">
        <v>1119</v>
      </c>
      <c r="CQ1804" s="112" t="s">
        <v>4536</v>
      </c>
      <c r="CR1804" s="112" t="s">
        <v>4537</v>
      </c>
      <c r="CS1804" s="112" t="s">
        <v>525</v>
      </c>
      <c r="CT1804" s="112" t="s">
        <v>1592</v>
      </c>
      <c r="CU1804" s="112" t="s">
        <v>527</v>
      </c>
      <c r="CV1804" s="113" t="s">
        <v>528</v>
      </c>
      <c r="CX1804" s="36">
        <v>1</v>
      </c>
    </row>
    <row r="1805" spans="91:102" ht="21" customHeight="1" x14ac:dyDescent="0.25">
      <c r="CM1805" s="102"/>
      <c r="CN1805" s="112" t="s">
        <v>4538</v>
      </c>
      <c r="CO1805" s="112" t="s">
        <v>544</v>
      </c>
      <c r="CP1805" s="112" t="s">
        <v>1119</v>
      </c>
      <c r="CQ1805" s="112" t="s">
        <v>1132</v>
      </c>
      <c r="CR1805" s="112" t="s">
        <v>1132</v>
      </c>
      <c r="CS1805" s="112" t="s">
        <v>525</v>
      </c>
      <c r="CT1805" s="112" t="s">
        <v>1592</v>
      </c>
      <c r="CU1805" s="112" t="s">
        <v>527</v>
      </c>
      <c r="CV1805" s="113" t="s">
        <v>528</v>
      </c>
      <c r="CX1805" s="36">
        <v>1</v>
      </c>
    </row>
    <row r="1806" spans="91:102" ht="21" customHeight="1" x14ac:dyDescent="0.25">
      <c r="CM1806" s="102"/>
      <c r="CN1806" s="112" t="s">
        <v>4539</v>
      </c>
      <c r="CO1806" s="112" t="s">
        <v>544</v>
      </c>
      <c r="CP1806" s="112" t="s">
        <v>1119</v>
      </c>
      <c r="CQ1806" s="112" t="s">
        <v>1474</v>
      </c>
      <c r="CR1806" s="112" t="s">
        <v>1475</v>
      </c>
      <c r="CS1806" s="112" t="s">
        <v>3742</v>
      </c>
      <c r="CT1806" s="112" t="s">
        <v>4514</v>
      </c>
      <c r="CU1806" s="112" t="s">
        <v>796</v>
      </c>
      <c r="CV1806" s="113" t="s">
        <v>3744</v>
      </c>
      <c r="CX1806" s="36">
        <v>1</v>
      </c>
    </row>
    <row r="1807" spans="91:102" ht="21" customHeight="1" x14ac:dyDescent="0.25">
      <c r="CM1807" s="102"/>
      <c r="CN1807" s="112" t="s">
        <v>4540</v>
      </c>
      <c r="CO1807" s="112" t="s">
        <v>544</v>
      </c>
      <c r="CP1807" s="112" t="s">
        <v>1119</v>
      </c>
      <c r="CQ1807" s="112" t="s">
        <v>1477</v>
      </c>
      <c r="CR1807" s="112" t="s">
        <v>1478</v>
      </c>
      <c r="CS1807" s="112" t="s">
        <v>3742</v>
      </c>
      <c r="CT1807" s="112" t="s">
        <v>4514</v>
      </c>
      <c r="CU1807" s="112" t="s">
        <v>796</v>
      </c>
      <c r="CV1807" s="113" t="s">
        <v>3744</v>
      </c>
      <c r="CX1807" s="36">
        <v>1</v>
      </c>
    </row>
    <row r="1808" spans="91:102" ht="21" customHeight="1" x14ac:dyDescent="0.25">
      <c r="CM1808" s="102"/>
      <c r="CN1808" s="112" t="s">
        <v>4541</v>
      </c>
      <c r="CO1808" s="112" t="s">
        <v>544</v>
      </c>
      <c r="CP1808" s="112" t="s">
        <v>1119</v>
      </c>
      <c r="CQ1808" s="112" t="s">
        <v>1480</v>
      </c>
      <c r="CR1808" s="112" t="s">
        <v>1481</v>
      </c>
      <c r="CS1808" s="112" t="s">
        <v>3742</v>
      </c>
      <c r="CT1808" s="112" t="s">
        <v>4514</v>
      </c>
      <c r="CU1808" s="112" t="s">
        <v>796</v>
      </c>
      <c r="CV1808" s="113" t="s">
        <v>3744</v>
      </c>
      <c r="CX1808" s="36">
        <v>1</v>
      </c>
    </row>
    <row r="1809" spans="91:102" ht="21" customHeight="1" x14ac:dyDescent="0.25">
      <c r="CM1809" s="102"/>
      <c r="CN1809" s="112" t="s">
        <v>4542</v>
      </c>
      <c r="CO1809" s="112" t="s">
        <v>544</v>
      </c>
      <c r="CP1809" s="112" t="s">
        <v>1119</v>
      </c>
      <c r="CQ1809" s="112" t="s">
        <v>3937</v>
      </c>
      <c r="CR1809" s="112" t="s">
        <v>3938</v>
      </c>
      <c r="CS1809" s="112" t="s">
        <v>3742</v>
      </c>
      <c r="CT1809" s="112" t="s">
        <v>4514</v>
      </c>
      <c r="CU1809" s="112" t="s">
        <v>796</v>
      </c>
      <c r="CV1809" s="113" t="s">
        <v>3744</v>
      </c>
      <c r="CX1809" s="36">
        <v>1</v>
      </c>
    </row>
    <row r="1810" spans="91:102" ht="21" customHeight="1" x14ac:dyDescent="0.25">
      <c r="CM1810" s="102"/>
      <c r="CN1810" s="112" t="s">
        <v>4543</v>
      </c>
      <c r="CO1810" s="112" t="s">
        <v>544</v>
      </c>
      <c r="CP1810" s="112" t="s">
        <v>1119</v>
      </c>
      <c r="CQ1810" s="112" t="s">
        <v>4544</v>
      </c>
      <c r="CR1810" s="112" t="s">
        <v>4545</v>
      </c>
      <c r="CS1810" s="112" t="s">
        <v>525</v>
      </c>
      <c r="CT1810" s="112" t="s">
        <v>1592</v>
      </c>
      <c r="CU1810" s="112" t="s">
        <v>527</v>
      </c>
      <c r="CV1810" s="113" t="s">
        <v>528</v>
      </c>
      <c r="CX1810" s="36">
        <v>1</v>
      </c>
    </row>
    <row r="1811" spans="91:102" ht="21" customHeight="1" x14ac:dyDescent="0.25">
      <c r="CM1811" s="102"/>
      <c r="CN1811" s="112" t="s">
        <v>4546</v>
      </c>
      <c r="CO1811" s="112" t="s">
        <v>544</v>
      </c>
      <c r="CP1811" s="112" t="s">
        <v>1119</v>
      </c>
      <c r="CQ1811" s="112" t="s">
        <v>4547</v>
      </c>
      <c r="CR1811" s="112" t="s">
        <v>4548</v>
      </c>
      <c r="CS1811" s="112" t="s">
        <v>3742</v>
      </c>
      <c r="CT1811" s="112" t="s">
        <v>4514</v>
      </c>
      <c r="CU1811" s="112" t="s">
        <v>796</v>
      </c>
      <c r="CV1811" s="113" t="s">
        <v>3744</v>
      </c>
      <c r="CX1811" s="36">
        <v>1</v>
      </c>
    </row>
    <row r="1812" spans="91:102" ht="21" customHeight="1" x14ac:dyDescent="0.25">
      <c r="CM1812" s="102"/>
      <c r="CN1812" s="112" t="s">
        <v>4549</v>
      </c>
      <c r="CO1812" s="112" t="s">
        <v>544</v>
      </c>
      <c r="CP1812" s="112" t="s">
        <v>1119</v>
      </c>
      <c r="CQ1812" s="112" t="s">
        <v>4550</v>
      </c>
      <c r="CR1812" s="112" t="s">
        <v>4551</v>
      </c>
      <c r="CS1812" s="112" t="s">
        <v>3742</v>
      </c>
      <c r="CT1812" s="112" t="s">
        <v>4514</v>
      </c>
      <c r="CU1812" s="112" t="s">
        <v>796</v>
      </c>
      <c r="CV1812" s="113" t="s">
        <v>3744</v>
      </c>
      <c r="CX1812" s="36">
        <v>1</v>
      </c>
    </row>
    <row r="1813" spans="91:102" ht="21" customHeight="1" x14ac:dyDescent="0.25">
      <c r="CM1813" s="102"/>
      <c r="CN1813" s="112" t="s">
        <v>4552</v>
      </c>
      <c r="CO1813" s="112" t="s">
        <v>544</v>
      </c>
      <c r="CP1813" s="112" t="s">
        <v>1119</v>
      </c>
      <c r="CQ1813" s="112" t="s">
        <v>1486</v>
      </c>
      <c r="CR1813" s="112" t="s">
        <v>1487</v>
      </c>
      <c r="CS1813" s="112" t="s">
        <v>3742</v>
      </c>
      <c r="CT1813" s="112" t="s">
        <v>4514</v>
      </c>
      <c r="CU1813" s="112" t="s">
        <v>796</v>
      </c>
      <c r="CV1813" s="113" t="s">
        <v>3744</v>
      </c>
      <c r="CX1813" s="36">
        <v>1</v>
      </c>
    </row>
    <row r="1814" spans="91:102" ht="21" customHeight="1" x14ac:dyDescent="0.25">
      <c r="CM1814" s="102"/>
      <c r="CN1814" s="112" t="s">
        <v>4553</v>
      </c>
      <c r="CO1814" s="112" t="s">
        <v>544</v>
      </c>
      <c r="CP1814" s="112" t="s">
        <v>1119</v>
      </c>
      <c r="CQ1814" s="112" t="s">
        <v>685</v>
      </c>
      <c r="CR1814" s="112" t="s">
        <v>685</v>
      </c>
      <c r="CS1814" s="112" t="s">
        <v>3742</v>
      </c>
      <c r="CT1814" s="112" t="s">
        <v>4514</v>
      </c>
      <c r="CU1814" s="112" t="s">
        <v>796</v>
      </c>
      <c r="CV1814" s="113" t="s">
        <v>3744</v>
      </c>
      <c r="CX1814" s="36">
        <v>1</v>
      </c>
    </row>
    <row r="1815" spans="91:102" ht="21" customHeight="1" x14ac:dyDescent="0.25">
      <c r="CM1815" s="102"/>
      <c r="CN1815" s="112" t="s">
        <v>4554</v>
      </c>
      <c r="CO1815" s="112" t="s">
        <v>544</v>
      </c>
      <c r="CP1815" s="112" t="s">
        <v>1119</v>
      </c>
      <c r="CQ1815" s="112" t="s">
        <v>4555</v>
      </c>
      <c r="CR1815" s="112" t="s">
        <v>4556</v>
      </c>
      <c r="CS1815" s="112" t="s">
        <v>3742</v>
      </c>
      <c r="CT1815" s="112" t="s">
        <v>4514</v>
      </c>
      <c r="CU1815" s="112" t="s">
        <v>796</v>
      </c>
      <c r="CV1815" s="113" t="s">
        <v>3744</v>
      </c>
      <c r="CX1815" s="36">
        <v>1</v>
      </c>
    </row>
    <row r="1816" spans="91:102" ht="21" customHeight="1" x14ac:dyDescent="0.25">
      <c r="CM1816" s="102"/>
      <c r="CN1816" s="112" t="s">
        <v>4557</v>
      </c>
      <c r="CO1816" s="112" t="s">
        <v>544</v>
      </c>
      <c r="CP1816" s="112" t="s">
        <v>1119</v>
      </c>
      <c r="CQ1816" s="112" t="s">
        <v>4558</v>
      </c>
      <c r="CR1816" s="112" t="s">
        <v>4558</v>
      </c>
      <c r="CS1816" s="112" t="s">
        <v>3742</v>
      </c>
      <c r="CT1816" s="112" t="s">
        <v>4514</v>
      </c>
      <c r="CU1816" s="112" t="s">
        <v>796</v>
      </c>
      <c r="CV1816" s="113" t="s">
        <v>3744</v>
      </c>
      <c r="CX1816" s="36">
        <v>1</v>
      </c>
    </row>
    <row r="1817" spans="91:102" ht="21" customHeight="1" x14ac:dyDescent="0.25">
      <c r="CM1817" s="102"/>
      <c r="CN1817" s="112" t="s">
        <v>4559</v>
      </c>
      <c r="CO1817" s="112" t="s">
        <v>544</v>
      </c>
      <c r="CP1817" s="112" t="s">
        <v>1119</v>
      </c>
      <c r="CQ1817" s="112" t="s">
        <v>4560</v>
      </c>
      <c r="CR1817" s="112" t="s">
        <v>4560</v>
      </c>
      <c r="CS1817" s="112" t="s">
        <v>525</v>
      </c>
      <c r="CT1817" s="112" t="s">
        <v>1592</v>
      </c>
      <c r="CU1817" s="112" t="s">
        <v>527</v>
      </c>
      <c r="CV1817" s="113" t="s">
        <v>528</v>
      </c>
      <c r="CX1817" s="36">
        <v>1</v>
      </c>
    </row>
    <row r="1818" spans="91:102" ht="21" customHeight="1" x14ac:dyDescent="0.25">
      <c r="CM1818" s="102"/>
      <c r="CN1818" s="112" t="s">
        <v>4561</v>
      </c>
      <c r="CO1818" s="112" t="s">
        <v>544</v>
      </c>
      <c r="CP1818" s="112" t="s">
        <v>1119</v>
      </c>
      <c r="CQ1818" s="112" t="s">
        <v>4562</v>
      </c>
      <c r="CR1818" s="112" t="s">
        <v>4563</v>
      </c>
      <c r="CS1818" s="112" t="s">
        <v>3742</v>
      </c>
      <c r="CT1818" s="112" t="s">
        <v>4514</v>
      </c>
      <c r="CU1818" s="112" t="s">
        <v>796</v>
      </c>
      <c r="CV1818" s="113" t="s">
        <v>3744</v>
      </c>
      <c r="CX1818" s="36">
        <v>1</v>
      </c>
    </row>
    <row r="1819" spans="91:102" ht="21" customHeight="1" x14ac:dyDescent="0.25">
      <c r="CM1819" s="102"/>
      <c r="CN1819" s="112" t="s">
        <v>4564</v>
      </c>
      <c r="CO1819" s="112" t="s">
        <v>544</v>
      </c>
      <c r="CP1819" s="112" t="s">
        <v>1119</v>
      </c>
      <c r="CQ1819" s="112" t="s">
        <v>4565</v>
      </c>
      <c r="CR1819" s="112" t="s">
        <v>4565</v>
      </c>
      <c r="CS1819" s="112" t="s">
        <v>3742</v>
      </c>
      <c r="CT1819" s="112" t="s">
        <v>4514</v>
      </c>
      <c r="CU1819" s="112" t="s">
        <v>796</v>
      </c>
      <c r="CV1819" s="113" t="s">
        <v>3744</v>
      </c>
      <c r="CX1819" s="36">
        <v>1</v>
      </c>
    </row>
    <row r="1820" spans="91:102" ht="21" customHeight="1" x14ac:dyDescent="0.25">
      <c r="CM1820" s="102"/>
      <c r="CN1820" s="112" t="s">
        <v>4566</v>
      </c>
      <c r="CO1820" s="112" t="s">
        <v>544</v>
      </c>
      <c r="CP1820" s="112" t="s">
        <v>1119</v>
      </c>
      <c r="CQ1820" s="112" t="s">
        <v>1507</v>
      </c>
      <c r="CR1820" s="112" t="s">
        <v>1507</v>
      </c>
      <c r="CS1820" s="112" t="s">
        <v>3742</v>
      </c>
      <c r="CT1820" s="112" t="s">
        <v>4514</v>
      </c>
      <c r="CU1820" s="112" t="s">
        <v>796</v>
      </c>
      <c r="CV1820" s="113" t="s">
        <v>3744</v>
      </c>
      <c r="CX1820" s="36">
        <v>1</v>
      </c>
    </row>
    <row r="1821" spans="91:102" ht="21" customHeight="1" x14ac:dyDescent="0.25">
      <c r="CM1821" s="102"/>
      <c r="CN1821" s="112" t="s">
        <v>4567</v>
      </c>
      <c r="CO1821" s="112" t="s">
        <v>544</v>
      </c>
      <c r="CP1821" s="112" t="s">
        <v>1119</v>
      </c>
      <c r="CQ1821" s="112" t="s">
        <v>4568</v>
      </c>
      <c r="CR1821" s="112" t="s">
        <v>4569</v>
      </c>
      <c r="CS1821" s="112" t="s">
        <v>3742</v>
      </c>
      <c r="CT1821" s="112" t="s">
        <v>4514</v>
      </c>
      <c r="CU1821" s="112" t="s">
        <v>796</v>
      </c>
      <c r="CV1821" s="113" t="s">
        <v>3744</v>
      </c>
      <c r="CX1821" s="36">
        <v>1</v>
      </c>
    </row>
    <row r="1822" spans="91:102" ht="21" customHeight="1" x14ac:dyDescent="0.25">
      <c r="CM1822" s="102"/>
      <c r="CN1822" s="112" t="s">
        <v>4570</v>
      </c>
      <c r="CO1822" s="112" t="s">
        <v>544</v>
      </c>
      <c r="CP1822" s="112" t="s">
        <v>1119</v>
      </c>
      <c r="CQ1822" s="112" t="s">
        <v>4571</v>
      </c>
      <c r="CR1822" s="112" t="s">
        <v>4571</v>
      </c>
      <c r="CS1822" s="112" t="s">
        <v>3742</v>
      </c>
      <c r="CT1822" s="112" t="s">
        <v>4514</v>
      </c>
      <c r="CU1822" s="112" t="s">
        <v>796</v>
      </c>
      <c r="CV1822" s="113" t="s">
        <v>3744</v>
      </c>
      <c r="CX1822" s="36">
        <v>1</v>
      </c>
    </row>
    <row r="1823" spans="91:102" ht="21" customHeight="1" x14ac:dyDescent="0.25">
      <c r="CM1823" s="102"/>
      <c r="CN1823" s="112" t="s">
        <v>4572</v>
      </c>
      <c r="CO1823" s="112" t="s">
        <v>544</v>
      </c>
      <c r="CP1823" s="112" t="s">
        <v>1119</v>
      </c>
      <c r="CQ1823" s="112" t="s">
        <v>4573</v>
      </c>
      <c r="CR1823" s="112" t="s">
        <v>4573</v>
      </c>
      <c r="CS1823" s="112" t="s">
        <v>3742</v>
      </c>
      <c r="CT1823" s="112" t="s">
        <v>4514</v>
      </c>
      <c r="CU1823" s="112" t="s">
        <v>796</v>
      </c>
      <c r="CV1823" s="113" t="s">
        <v>3744</v>
      </c>
      <c r="CX1823" s="36">
        <v>1</v>
      </c>
    </row>
    <row r="1824" spans="91:102" ht="21" customHeight="1" x14ac:dyDescent="0.25">
      <c r="CM1824" s="102"/>
      <c r="CN1824" s="112" t="s">
        <v>4574</v>
      </c>
      <c r="CO1824" s="112" t="s">
        <v>544</v>
      </c>
      <c r="CP1824" s="112" t="s">
        <v>1119</v>
      </c>
      <c r="CQ1824" s="112" t="s">
        <v>4030</v>
      </c>
      <c r="CR1824" s="112" t="s">
        <v>4030</v>
      </c>
      <c r="CS1824" s="112" t="s">
        <v>3742</v>
      </c>
      <c r="CT1824" s="112" t="s">
        <v>4514</v>
      </c>
      <c r="CU1824" s="112" t="s">
        <v>796</v>
      </c>
      <c r="CV1824" s="113" t="s">
        <v>3744</v>
      </c>
      <c r="CX1824" s="36">
        <v>1</v>
      </c>
    </row>
    <row r="1825" spans="91:102" ht="21" customHeight="1" x14ac:dyDescent="0.25">
      <c r="CM1825" s="102"/>
      <c r="CN1825" s="112" t="s">
        <v>4575</v>
      </c>
      <c r="CO1825" s="112" t="s">
        <v>544</v>
      </c>
      <c r="CP1825" s="112" t="s">
        <v>1119</v>
      </c>
      <c r="CQ1825" s="112" t="s">
        <v>1610</v>
      </c>
      <c r="CR1825" s="112" t="s">
        <v>1610</v>
      </c>
      <c r="CS1825" s="112" t="s">
        <v>525</v>
      </c>
      <c r="CT1825" s="112" t="s">
        <v>1592</v>
      </c>
      <c r="CU1825" s="112" t="s">
        <v>527</v>
      </c>
      <c r="CV1825" s="113" t="s">
        <v>528</v>
      </c>
      <c r="CX1825" s="36">
        <v>1</v>
      </c>
    </row>
    <row r="1826" spans="91:102" ht="21" customHeight="1" x14ac:dyDescent="0.25">
      <c r="CM1826" s="102"/>
      <c r="CN1826" s="112" t="s">
        <v>4576</v>
      </c>
      <c r="CO1826" s="112" t="s">
        <v>544</v>
      </c>
      <c r="CP1826" s="112" t="s">
        <v>1119</v>
      </c>
      <c r="CQ1826" s="112" t="s">
        <v>4577</v>
      </c>
      <c r="CR1826" s="112" t="s">
        <v>4577</v>
      </c>
      <c r="CS1826" s="112" t="s">
        <v>3742</v>
      </c>
      <c r="CT1826" s="112" t="s">
        <v>4514</v>
      </c>
      <c r="CU1826" s="112" t="s">
        <v>796</v>
      </c>
      <c r="CV1826" s="113" t="s">
        <v>3744</v>
      </c>
      <c r="CX1826" s="36">
        <v>1</v>
      </c>
    </row>
    <row r="1827" spans="91:102" ht="21" customHeight="1" x14ac:dyDescent="0.25">
      <c r="CM1827" s="102"/>
      <c r="CN1827" s="112" t="s">
        <v>4578</v>
      </c>
      <c r="CO1827" s="112" t="s">
        <v>544</v>
      </c>
      <c r="CP1827" s="112" t="s">
        <v>1119</v>
      </c>
      <c r="CQ1827" s="112" t="s">
        <v>4579</v>
      </c>
      <c r="CR1827" s="112" t="s">
        <v>4579</v>
      </c>
      <c r="CS1827" s="112" t="s">
        <v>3742</v>
      </c>
      <c r="CT1827" s="112" t="s">
        <v>4514</v>
      </c>
      <c r="CU1827" s="112" t="s">
        <v>796</v>
      </c>
      <c r="CV1827" s="113" t="s">
        <v>3744</v>
      </c>
      <c r="CX1827" s="36">
        <v>1</v>
      </c>
    </row>
    <row r="1828" spans="91:102" ht="21" customHeight="1" x14ac:dyDescent="0.25">
      <c r="CM1828" s="102"/>
      <c r="CN1828" s="112" t="s">
        <v>4580</v>
      </c>
      <c r="CO1828" s="112" t="s">
        <v>544</v>
      </c>
      <c r="CP1828" s="112" t="s">
        <v>1119</v>
      </c>
      <c r="CQ1828" s="112" t="s">
        <v>4581</v>
      </c>
      <c r="CR1828" s="112" t="s">
        <v>4581</v>
      </c>
      <c r="CS1828" s="112" t="s">
        <v>525</v>
      </c>
      <c r="CT1828" s="112" t="s">
        <v>1592</v>
      </c>
      <c r="CU1828" s="112" t="s">
        <v>527</v>
      </c>
      <c r="CV1828" s="113" t="s">
        <v>528</v>
      </c>
      <c r="CX1828" s="36">
        <v>1</v>
      </c>
    </row>
    <row r="1829" spans="91:102" ht="21" customHeight="1" x14ac:dyDescent="0.25">
      <c r="CM1829" s="102"/>
      <c r="CN1829" s="112" t="s">
        <v>4582</v>
      </c>
      <c r="CO1829" s="112" t="s">
        <v>544</v>
      </c>
      <c r="CP1829" s="112" t="s">
        <v>1119</v>
      </c>
      <c r="CQ1829" s="112" t="s">
        <v>4583</v>
      </c>
      <c r="CR1829" s="112" t="s">
        <v>4583</v>
      </c>
      <c r="CS1829" s="112" t="s">
        <v>3742</v>
      </c>
      <c r="CT1829" s="112" t="s">
        <v>4514</v>
      </c>
      <c r="CU1829" s="112" t="s">
        <v>796</v>
      </c>
      <c r="CV1829" s="113" t="s">
        <v>3744</v>
      </c>
      <c r="CX1829" s="36">
        <v>1</v>
      </c>
    </row>
    <row r="1830" spans="91:102" ht="21" customHeight="1" x14ac:dyDescent="0.25">
      <c r="CM1830" s="102"/>
      <c r="CN1830" s="112" t="s">
        <v>4584</v>
      </c>
      <c r="CO1830" s="112" t="s">
        <v>544</v>
      </c>
      <c r="CP1830" s="112" t="s">
        <v>1119</v>
      </c>
      <c r="CQ1830" s="112" t="s">
        <v>4585</v>
      </c>
      <c r="CR1830" s="112" t="s">
        <v>4585</v>
      </c>
      <c r="CS1830" s="112" t="s">
        <v>3742</v>
      </c>
      <c r="CT1830" s="112" t="s">
        <v>4514</v>
      </c>
      <c r="CU1830" s="112" t="s">
        <v>796</v>
      </c>
      <c r="CV1830" s="113" t="s">
        <v>3744</v>
      </c>
      <c r="CX1830" s="36">
        <v>1</v>
      </c>
    </row>
    <row r="1831" spans="91:102" ht="21" customHeight="1" x14ac:dyDescent="0.25">
      <c r="CM1831" s="102"/>
      <c r="CN1831" s="112" t="s">
        <v>4586</v>
      </c>
      <c r="CO1831" s="112" t="s">
        <v>544</v>
      </c>
      <c r="CP1831" s="112" t="s">
        <v>1119</v>
      </c>
      <c r="CQ1831" s="112" t="s">
        <v>4587</v>
      </c>
      <c r="CR1831" s="112" t="s">
        <v>4587</v>
      </c>
      <c r="CS1831" s="112" t="s">
        <v>525</v>
      </c>
      <c r="CT1831" s="112" t="s">
        <v>1592</v>
      </c>
      <c r="CU1831" s="112" t="s">
        <v>527</v>
      </c>
      <c r="CV1831" s="113" t="s">
        <v>528</v>
      </c>
      <c r="CX1831" s="36">
        <v>1</v>
      </c>
    </row>
    <row r="1832" spans="91:102" ht="21" customHeight="1" x14ac:dyDescent="0.25">
      <c r="CM1832" s="102"/>
      <c r="CN1832" s="112" t="s">
        <v>4588</v>
      </c>
      <c r="CO1832" s="112" t="s">
        <v>544</v>
      </c>
      <c r="CP1832" s="112" t="s">
        <v>1119</v>
      </c>
      <c r="CQ1832" s="112" t="s">
        <v>4589</v>
      </c>
      <c r="CR1832" s="112" t="s">
        <v>4590</v>
      </c>
      <c r="CS1832" s="112" t="s">
        <v>3742</v>
      </c>
      <c r="CT1832" s="112" t="s">
        <v>4514</v>
      </c>
      <c r="CU1832" s="112" t="s">
        <v>796</v>
      </c>
      <c r="CV1832" s="113" t="s">
        <v>3744</v>
      </c>
      <c r="CX1832" s="36">
        <v>1</v>
      </c>
    </row>
    <row r="1833" spans="91:102" ht="21" customHeight="1" x14ac:dyDescent="0.25">
      <c r="CM1833" s="102"/>
      <c r="CN1833" s="112" t="s">
        <v>4591</v>
      </c>
      <c r="CO1833" s="112" t="s">
        <v>544</v>
      </c>
      <c r="CP1833" s="112" t="s">
        <v>1119</v>
      </c>
      <c r="CQ1833" s="112" t="s">
        <v>677</v>
      </c>
      <c r="CR1833" s="112" t="s">
        <v>677</v>
      </c>
      <c r="CS1833" s="112" t="s">
        <v>525</v>
      </c>
      <c r="CT1833" s="112" t="s">
        <v>1592</v>
      </c>
      <c r="CU1833" s="112" t="s">
        <v>527</v>
      </c>
      <c r="CV1833" s="113" t="s">
        <v>528</v>
      </c>
      <c r="CX1833" s="36">
        <v>1</v>
      </c>
    </row>
    <row r="1834" spans="91:102" ht="21" customHeight="1" x14ac:dyDescent="0.25">
      <c r="CM1834" s="102"/>
      <c r="CN1834" s="112" t="s">
        <v>4592</v>
      </c>
      <c r="CO1834" s="112" t="s">
        <v>544</v>
      </c>
      <c r="CP1834" s="112" t="s">
        <v>1119</v>
      </c>
      <c r="CQ1834" s="112" t="s">
        <v>1612</v>
      </c>
      <c r="CR1834" s="112" t="s">
        <v>1612</v>
      </c>
      <c r="CS1834" s="112" t="s">
        <v>525</v>
      </c>
      <c r="CT1834" s="112" t="s">
        <v>1592</v>
      </c>
      <c r="CU1834" s="112" t="s">
        <v>527</v>
      </c>
      <c r="CV1834" s="113" t="s">
        <v>528</v>
      </c>
      <c r="CX1834" s="36">
        <v>1</v>
      </c>
    </row>
    <row r="1835" spans="91:102" ht="21" customHeight="1" x14ac:dyDescent="0.25">
      <c r="CM1835" s="102"/>
      <c r="CN1835" s="112" t="s">
        <v>4593</v>
      </c>
      <c r="CO1835" s="112" t="s">
        <v>544</v>
      </c>
      <c r="CP1835" s="112" t="s">
        <v>1119</v>
      </c>
      <c r="CQ1835" s="112" t="s">
        <v>4594</v>
      </c>
      <c r="CR1835" s="112" t="s">
        <v>4594</v>
      </c>
      <c r="CS1835" s="112" t="s">
        <v>3742</v>
      </c>
      <c r="CT1835" s="112" t="s">
        <v>4514</v>
      </c>
      <c r="CU1835" s="112" t="s">
        <v>796</v>
      </c>
      <c r="CV1835" s="113" t="s">
        <v>3744</v>
      </c>
      <c r="CX1835" s="36">
        <v>1</v>
      </c>
    </row>
    <row r="1836" spans="91:102" ht="21" customHeight="1" x14ac:dyDescent="0.25">
      <c r="CM1836" s="102"/>
      <c r="CN1836" s="112" t="s">
        <v>4595</v>
      </c>
      <c r="CO1836" s="112" t="s">
        <v>544</v>
      </c>
      <c r="CP1836" s="112" t="s">
        <v>1119</v>
      </c>
      <c r="CQ1836" s="112" t="s">
        <v>4596</v>
      </c>
      <c r="CR1836" s="112" t="s">
        <v>4596</v>
      </c>
      <c r="CS1836" s="112" t="s">
        <v>3742</v>
      </c>
      <c r="CT1836" s="112" t="s">
        <v>4514</v>
      </c>
      <c r="CU1836" s="112" t="s">
        <v>796</v>
      </c>
      <c r="CV1836" s="113" t="s">
        <v>3744</v>
      </c>
      <c r="CX1836" s="36">
        <v>1</v>
      </c>
    </row>
    <row r="1837" spans="91:102" ht="21" customHeight="1" x14ac:dyDescent="0.25">
      <c r="CM1837" s="102"/>
      <c r="CN1837" s="112" t="s">
        <v>4597</v>
      </c>
      <c r="CO1837" s="112" t="s">
        <v>544</v>
      </c>
      <c r="CP1837" s="112" t="s">
        <v>1119</v>
      </c>
      <c r="CQ1837" s="112" t="s">
        <v>4598</v>
      </c>
      <c r="CR1837" s="112" t="s">
        <v>4598</v>
      </c>
      <c r="CS1837" s="112" t="s">
        <v>525</v>
      </c>
      <c r="CT1837" s="112" t="s">
        <v>1592</v>
      </c>
      <c r="CU1837" s="112" t="s">
        <v>527</v>
      </c>
      <c r="CV1837" s="113" t="s">
        <v>528</v>
      </c>
      <c r="CX1837" s="36">
        <v>1</v>
      </c>
    </row>
    <row r="1838" spans="91:102" ht="21" customHeight="1" x14ac:dyDescent="0.25">
      <c r="CM1838" s="102"/>
      <c r="CN1838" s="112" t="s">
        <v>4599</v>
      </c>
      <c r="CO1838" s="112" t="s">
        <v>544</v>
      </c>
      <c r="CP1838" s="112" t="s">
        <v>1119</v>
      </c>
      <c r="CQ1838" s="112" t="s">
        <v>4600</v>
      </c>
      <c r="CR1838" s="112" t="s">
        <v>4600</v>
      </c>
      <c r="CS1838" s="112" t="s">
        <v>525</v>
      </c>
      <c r="CT1838" s="112" t="s">
        <v>1592</v>
      </c>
      <c r="CU1838" s="112" t="s">
        <v>527</v>
      </c>
      <c r="CV1838" s="113" t="s">
        <v>528</v>
      </c>
      <c r="CX1838" s="36">
        <v>1</v>
      </c>
    </row>
    <row r="1839" spans="91:102" ht="21" customHeight="1" x14ac:dyDescent="0.25">
      <c r="CM1839" s="102"/>
      <c r="CN1839" s="112" t="s">
        <v>4601</v>
      </c>
      <c r="CO1839" s="112" t="s">
        <v>544</v>
      </c>
      <c r="CP1839" s="112" t="s">
        <v>1119</v>
      </c>
      <c r="CQ1839" s="112" t="s">
        <v>4602</v>
      </c>
      <c r="CR1839" s="112" t="s">
        <v>4603</v>
      </c>
      <c r="CS1839" s="112" t="s">
        <v>3742</v>
      </c>
      <c r="CT1839" s="112" t="s">
        <v>4514</v>
      </c>
      <c r="CU1839" s="112" t="s">
        <v>796</v>
      </c>
      <c r="CV1839" s="113" t="s">
        <v>3744</v>
      </c>
      <c r="CX1839" s="36">
        <v>1</v>
      </c>
    </row>
    <row r="1840" spans="91:102" ht="21" customHeight="1" x14ac:dyDescent="0.25">
      <c r="CM1840" s="102"/>
      <c r="CN1840" s="112" t="s">
        <v>4604</v>
      </c>
      <c r="CO1840" s="112" t="s">
        <v>544</v>
      </c>
      <c r="CP1840" s="112" t="s">
        <v>1119</v>
      </c>
      <c r="CQ1840" s="112" t="s">
        <v>4605</v>
      </c>
      <c r="CR1840" s="112" t="s">
        <v>4605</v>
      </c>
      <c r="CS1840" s="112" t="s">
        <v>610</v>
      </c>
      <c r="CT1840" s="112" t="s">
        <v>1126</v>
      </c>
      <c r="CU1840" s="112" t="s">
        <v>527</v>
      </c>
      <c r="CV1840" s="113" t="s">
        <v>612</v>
      </c>
      <c r="CX1840" s="36">
        <v>1</v>
      </c>
    </row>
    <row r="1841" spans="91:102" ht="21" customHeight="1" x14ac:dyDescent="0.25">
      <c r="CM1841" s="102"/>
      <c r="CN1841" s="112" t="s">
        <v>4606</v>
      </c>
      <c r="CO1841" s="112" t="s">
        <v>544</v>
      </c>
      <c r="CP1841" s="112" t="s">
        <v>1119</v>
      </c>
      <c r="CQ1841" s="112" t="s">
        <v>4607</v>
      </c>
      <c r="CR1841" s="112" t="s">
        <v>4608</v>
      </c>
      <c r="CS1841" s="112" t="s">
        <v>525</v>
      </c>
      <c r="CT1841" s="112" t="s">
        <v>1592</v>
      </c>
      <c r="CU1841" s="112" t="s">
        <v>527</v>
      </c>
      <c r="CV1841" s="113" t="s">
        <v>528</v>
      </c>
      <c r="CX1841" s="36">
        <v>1</v>
      </c>
    </row>
    <row r="1842" spans="91:102" ht="21" customHeight="1" x14ac:dyDescent="0.25">
      <c r="CM1842" s="102"/>
      <c r="CN1842" s="112" t="s">
        <v>4609</v>
      </c>
      <c r="CO1842" s="112" t="s">
        <v>544</v>
      </c>
      <c r="CP1842" s="112" t="s">
        <v>1119</v>
      </c>
      <c r="CQ1842" s="112" t="s">
        <v>4610</v>
      </c>
      <c r="CR1842" s="112" t="s">
        <v>4610</v>
      </c>
      <c r="CS1842" s="112" t="s">
        <v>3742</v>
      </c>
      <c r="CT1842" s="112" t="s">
        <v>4514</v>
      </c>
      <c r="CU1842" s="112" t="s">
        <v>796</v>
      </c>
      <c r="CV1842" s="113" t="s">
        <v>3744</v>
      </c>
      <c r="CX1842" s="36">
        <v>1</v>
      </c>
    </row>
    <row r="1843" spans="91:102" ht="21" customHeight="1" x14ac:dyDescent="0.25">
      <c r="CM1843" s="102"/>
      <c r="CN1843" s="112" t="s">
        <v>4611</v>
      </c>
      <c r="CO1843" s="112" t="s">
        <v>544</v>
      </c>
      <c r="CP1843" s="112" t="s">
        <v>1119</v>
      </c>
      <c r="CQ1843" s="112" t="s">
        <v>4612</v>
      </c>
      <c r="CR1843" s="112" t="s">
        <v>4612</v>
      </c>
      <c r="CS1843" s="112" t="s">
        <v>3742</v>
      </c>
      <c r="CT1843" s="112" t="s">
        <v>4514</v>
      </c>
      <c r="CU1843" s="112" t="s">
        <v>796</v>
      </c>
      <c r="CV1843" s="113" t="s">
        <v>3744</v>
      </c>
      <c r="CX1843" s="36">
        <v>1</v>
      </c>
    </row>
    <row r="1844" spans="91:102" ht="21" customHeight="1" x14ac:dyDescent="0.25">
      <c r="CM1844" s="102"/>
      <c r="CN1844" s="112" t="s">
        <v>4613</v>
      </c>
      <c r="CO1844" s="112" t="s">
        <v>544</v>
      </c>
      <c r="CP1844" s="112" t="s">
        <v>1119</v>
      </c>
      <c r="CQ1844" s="112" t="s">
        <v>4614</v>
      </c>
      <c r="CR1844" s="112" t="s">
        <v>4615</v>
      </c>
      <c r="CS1844" s="112" t="s">
        <v>525</v>
      </c>
      <c r="CT1844" s="112" t="s">
        <v>1592</v>
      </c>
      <c r="CU1844" s="112" t="s">
        <v>527</v>
      </c>
      <c r="CV1844" s="113" t="s">
        <v>528</v>
      </c>
      <c r="CX1844" s="36">
        <v>1</v>
      </c>
    </row>
    <row r="1845" spans="91:102" ht="21" customHeight="1" x14ac:dyDescent="0.25">
      <c r="CM1845" s="102"/>
      <c r="CN1845" s="112" t="s">
        <v>4616</v>
      </c>
      <c r="CO1845" s="112" t="s">
        <v>544</v>
      </c>
      <c r="CP1845" s="112" t="s">
        <v>1119</v>
      </c>
      <c r="CQ1845" s="112" t="s">
        <v>4617</v>
      </c>
      <c r="CR1845" s="112" t="s">
        <v>4618</v>
      </c>
      <c r="CS1845" s="112" t="s">
        <v>525</v>
      </c>
      <c r="CT1845" s="112" t="s">
        <v>1592</v>
      </c>
      <c r="CU1845" s="112" t="s">
        <v>527</v>
      </c>
      <c r="CV1845" s="113" t="s">
        <v>528</v>
      </c>
      <c r="CX1845" s="36">
        <v>1</v>
      </c>
    </row>
    <row r="1846" spans="91:102" ht="21" customHeight="1" x14ac:dyDescent="0.25">
      <c r="CM1846" s="102"/>
      <c r="CN1846" s="112" t="s">
        <v>4619</v>
      </c>
      <c r="CO1846" s="112" t="s">
        <v>544</v>
      </c>
      <c r="CP1846" s="112" t="s">
        <v>1119</v>
      </c>
      <c r="CQ1846" s="112" t="s">
        <v>4620</v>
      </c>
      <c r="CR1846" s="112" t="s">
        <v>4621</v>
      </c>
      <c r="CS1846" s="112" t="s">
        <v>3742</v>
      </c>
      <c r="CT1846" s="112" t="s">
        <v>4514</v>
      </c>
      <c r="CU1846" s="112" t="s">
        <v>796</v>
      </c>
      <c r="CV1846" s="113" t="s">
        <v>3744</v>
      </c>
      <c r="CX1846" s="36">
        <v>1</v>
      </c>
    </row>
    <row r="1847" spans="91:102" ht="21" customHeight="1" x14ac:dyDescent="0.25">
      <c r="CM1847" s="102"/>
      <c r="CN1847" s="112" t="s">
        <v>4622</v>
      </c>
      <c r="CO1847" s="112" t="s">
        <v>544</v>
      </c>
      <c r="CP1847" s="112" t="s">
        <v>1119</v>
      </c>
      <c r="CQ1847" s="112" t="s">
        <v>1142</v>
      </c>
      <c r="CR1847" s="112" t="s">
        <v>1142</v>
      </c>
      <c r="CS1847" s="112" t="s">
        <v>525</v>
      </c>
      <c r="CT1847" s="112" t="s">
        <v>1592</v>
      </c>
      <c r="CU1847" s="112" t="s">
        <v>527</v>
      </c>
      <c r="CV1847" s="113" t="s">
        <v>528</v>
      </c>
      <c r="CX1847" s="36">
        <v>1</v>
      </c>
    </row>
    <row r="1848" spans="91:102" ht="21" customHeight="1" x14ac:dyDescent="0.25">
      <c r="CM1848" s="102"/>
      <c r="CN1848" s="112" t="s">
        <v>4623</v>
      </c>
      <c r="CO1848" s="112" t="s">
        <v>544</v>
      </c>
      <c r="CP1848" s="112" t="s">
        <v>1119</v>
      </c>
      <c r="CQ1848" s="112" t="s">
        <v>971</v>
      </c>
      <c r="CR1848" s="112" t="s">
        <v>971</v>
      </c>
      <c r="CS1848" s="112" t="s">
        <v>3742</v>
      </c>
      <c r="CT1848" s="112" t="s">
        <v>4514</v>
      </c>
      <c r="CU1848" s="112" t="s">
        <v>796</v>
      </c>
      <c r="CV1848" s="113" t="s">
        <v>3744</v>
      </c>
      <c r="CX1848" s="36">
        <v>1</v>
      </c>
    </row>
    <row r="1849" spans="91:102" ht="21" customHeight="1" x14ac:dyDescent="0.25">
      <c r="CM1849" s="102"/>
      <c r="CN1849" s="112" t="s">
        <v>4624</v>
      </c>
      <c r="CO1849" s="112" t="s">
        <v>544</v>
      </c>
      <c r="CP1849" s="112" t="s">
        <v>1119</v>
      </c>
      <c r="CQ1849" s="112" t="s">
        <v>4625</v>
      </c>
      <c r="CR1849" s="112" t="s">
        <v>4625</v>
      </c>
      <c r="CS1849" s="112" t="s">
        <v>3742</v>
      </c>
      <c r="CT1849" s="112" t="s">
        <v>4514</v>
      </c>
      <c r="CU1849" s="112" t="s">
        <v>796</v>
      </c>
      <c r="CV1849" s="113" t="s">
        <v>3744</v>
      </c>
      <c r="CX1849" s="36">
        <v>1</v>
      </c>
    </row>
    <row r="1850" spans="91:102" ht="21" customHeight="1" x14ac:dyDescent="0.25">
      <c r="CM1850" s="102"/>
      <c r="CN1850" s="112" t="s">
        <v>4626</v>
      </c>
      <c r="CO1850" s="112" t="s">
        <v>544</v>
      </c>
      <c r="CP1850" s="112" t="s">
        <v>1119</v>
      </c>
      <c r="CQ1850" s="112" t="s">
        <v>4627</v>
      </c>
      <c r="CR1850" s="112" t="s">
        <v>4628</v>
      </c>
      <c r="CS1850" s="112" t="s">
        <v>3742</v>
      </c>
      <c r="CT1850" s="112" t="s">
        <v>4514</v>
      </c>
      <c r="CU1850" s="112" t="s">
        <v>796</v>
      </c>
      <c r="CV1850" s="113" t="s">
        <v>3744</v>
      </c>
      <c r="CX1850" s="36">
        <v>1</v>
      </c>
    </row>
    <row r="1851" spans="91:102" ht="21" customHeight="1" x14ac:dyDescent="0.25">
      <c r="CM1851" s="102"/>
      <c r="CN1851" s="112" t="s">
        <v>4629</v>
      </c>
      <c r="CO1851" s="112" t="s">
        <v>544</v>
      </c>
      <c r="CP1851" s="112" t="s">
        <v>1119</v>
      </c>
      <c r="CQ1851" s="112" t="s">
        <v>4630</v>
      </c>
      <c r="CR1851" s="112" t="s">
        <v>4630</v>
      </c>
      <c r="CS1851" s="112" t="s">
        <v>3742</v>
      </c>
      <c r="CT1851" s="112" t="s">
        <v>4514</v>
      </c>
      <c r="CU1851" s="112" t="s">
        <v>796</v>
      </c>
      <c r="CV1851" s="113" t="s">
        <v>3744</v>
      </c>
      <c r="CX1851" s="36">
        <v>1</v>
      </c>
    </row>
    <row r="1852" spans="91:102" ht="21" customHeight="1" x14ac:dyDescent="0.25">
      <c r="CM1852" s="102"/>
      <c r="CN1852" s="112" t="s">
        <v>4631</v>
      </c>
      <c r="CO1852" s="112" t="s">
        <v>544</v>
      </c>
      <c r="CP1852" s="112" t="s">
        <v>1119</v>
      </c>
      <c r="CQ1852" s="112" t="s">
        <v>1144</v>
      </c>
      <c r="CR1852" s="112" t="s">
        <v>1145</v>
      </c>
      <c r="CS1852" s="112" t="s">
        <v>610</v>
      </c>
      <c r="CT1852" s="112" t="s">
        <v>1126</v>
      </c>
      <c r="CU1852" s="112" t="s">
        <v>527</v>
      </c>
      <c r="CV1852" s="113" t="s">
        <v>612</v>
      </c>
      <c r="CX1852" s="36">
        <v>1</v>
      </c>
    </row>
    <row r="1853" spans="91:102" ht="21" customHeight="1" x14ac:dyDescent="0.25">
      <c r="CM1853" s="102"/>
      <c r="CN1853" s="112" t="s">
        <v>4632</v>
      </c>
      <c r="CO1853" s="112" t="s">
        <v>544</v>
      </c>
      <c r="CP1853" s="112" t="s">
        <v>1119</v>
      </c>
      <c r="CQ1853" s="112" t="s">
        <v>4633</v>
      </c>
      <c r="CR1853" s="112" t="s">
        <v>4633</v>
      </c>
      <c r="CS1853" s="112" t="s">
        <v>525</v>
      </c>
      <c r="CT1853" s="112" t="s">
        <v>1592</v>
      </c>
      <c r="CU1853" s="112" t="s">
        <v>527</v>
      </c>
      <c r="CV1853" s="113" t="s">
        <v>528</v>
      </c>
      <c r="CX1853" s="36">
        <v>1</v>
      </c>
    </row>
    <row r="1854" spans="91:102" ht="21" customHeight="1" x14ac:dyDescent="0.25">
      <c r="CM1854" s="102"/>
      <c r="CN1854" s="112" t="s">
        <v>4634</v>
      </c>
      <c r="CO1854" s="112" t="s">
        <v>544</v>
      </c>
      <c r="CP1854" s="112" t="s">
        <v>1119</v>
      </c>
      <c r="CQ1854" s="112" t="s">
        <v>4635</v>
      </c>
      <c r="CR1854" s="112" t="s">
        <v>4635</v>
      </c>
      <c r="CS1854" s="112" t="s">
        <v>3742</v>
      </c>
      <c r="CT1854" s="112" t="s">
        <v>4514</v>
      </c>
      <c r="CU1854" s="112" t="s">
        <v>796</v>
      </c>
      <c r="CV1854" s="113" t="s">
        <v>3744</v>
      </c>
      <c r="CX1854" s="36">
        <v>1</v>
      </c>
    </row>
    <row r="1855" spans="91:102" ht="21" customHeight="1" x14ac:dyDescent="0.25">
      <c r="CM1855" s="102"/>
      <c r="CN1855" s="112" t="s">
        <v>4636</v>
      </c>
      <c r="CO1855" s="112" t="s">
        <v>544</v>
      </c>
      <c r="CP1855" s="112" t="s">
        <v>1119</v>
      </c>
      <c r="CQ1855" s="112" t="s">
        <v>4637</v>
      </c>
      <c r="CR1855" s="112" t="s">
        <v>4637</v>
      </c>
      <c r="CS1855" s="112" t="s">
        <v>610</v>
      </c>
      <c r="CT1855" s="112" t="s">
        <v>1126</v>
      </c>
      <c r="CU1855" s="112" t="s">
        <v>527</v>
      </c>
      <c r="CV1855" s="113" t="s">
        <v>612</v>
      </c>
      <c r="CX1855" s="36">
        <v>1</v>
      </c>
    </row>
    <row r="1856" spans="91:102" ht="21" customHeight="1" x14ac:dyDescent="0.25">
      <c r="CM1856" s="102"/>
      <c r="CN1856" s="112" t="s">
        <v>4638</v>
      </c>
      <c r="CO1856" s="112" t="s">
        <v>544</v>
      </c>
      <c r="CP1856" s="112" t="s">
        <v>1119</v>
      </c>
      <c r="CQ1856" s="112" t="s">
        <v>4639</v>
      </c>
      <c r="CR1856" s="112" t="s">
        <v>4640</v>
      </c>
      <c r="CS1856" s="112" t="s">
        <v>3742</v>
      </c>
      <c r="CT1856" s="112" t="s">
        <v>4514</v>
      </c>
      <c r="CU1856" s="112" t="s">
        <v>796</v>
      </c>
      <c r="CV1856" s="113" t="s">
        <v>3744</v>
      </c>
      <c r="CX1856" s="36">
        <v>1</v>
      </c>
    </row>
    <row r="1857" spans="91:102" ht="21" customHeight="1" x14ac:dyDescent="0.25">
      <c r="CM1857" s="102"/>
      <c r="CN1857" s="112" t="s">
        <v>4641</v>
      </c>
      <c r="CO1857" s="112" t="s">
        <v>544</v>
      </c>
      <c r="CP1857" s="112" t="s">
        <v>1119</v>
      </c>
      <c r="CQ1857" s="112" t="s">
        <v>1155</v>
      </c>
      <c r="CR1857" s="112" t="s">
        <v>1155</v>
      </c>
      <c r="CS1857" s="112" t="s">
        <v>525</v>
      </c>
      <c r="CT1857" s="112" t="s">
        <v>1592</v>
      </c>
      <c r="CU1857" s="112" t="s">
        <v>527</v>
      </c>
      <c r="CV1857" s="113" t="s">
        <v>528</v>
      </c>
      <c r="CX1857" s="36">
        <v>1</v>
      </c>
    </row>
    <row r="1858" spans="91:102" ht="21" customHeight="1" x14ac:dyDescent="0.25">
      <c r="CM1858" s="102"/>
      <c r="CN1858" s="112" t="s">
        <v>4642</v>
      </c>
      <c r="CO1858" s="112" t="s">
        <v>544</v>
      </c>
      <c r="CP1858" s="112" t="s">
        <v>1119</v>
      </c>
      <c r="CQ1858" s="112" t="s">
        <v>4643</v>
      </c>
      <c r="CR1858" s="112" t="s">
        <v>4643</v>
      </c>
      <c r="CS1858" s="112" t="s">
        <v>3742</v>
      </c>
      <c r="CT1858" s="112" t="s">
        <v>4514</v>
      </c>
      <c r="CU1858" s="112" t="s">
        <v>796</v>
      </c>
      <c r="CV1858" s="113" t="s">
        <v>3744</v>
      </c>
      <c r="CX1858" s="36">
        <v>1</v>
      </c>
    </row>
    <row r="1859" spans="91:102" ht="21" customHeight="1" x14ac:dyDescent="0.25">
      <c r="CM1859" s="102"/>
      <c r="CN1859" s="112" t="s">
        <v>4644</v>
      </c>
      <c r="CO1859" s="112" t="s">
        <v>544</v>
      </c>
      <c r="CP1859" s="112" t="s">
        <v>1119</v>
      </c>
      <c r="CQ1859" s="112" t="s">
        <v>4645</v>
      </c>
      <c r="CR1859" s="112" t="s">
        <v>4645</v>
      </c>
      <c r="CS1859" s="112" t="s">
        <v>3742</v>
      </c>
      <c r="CT1859" s="112" t="s">
        <v>4514</v>
      </c>
      <c r="CU1859" s="112" t="s">
        <v>796</v>
      </c>
      <c r="CV1859" s="113" t="s">
        <v>3744</v>
      </c>
      <c r="CX1859" s="36">
        <v>1</v>
      </c>
    </row>
    <row r="1860" spans="91:102" ht="21" customHeight="1" x14ac:dyDescent="0.25">
      <c r="CM1860" s="102"/>
      <c r="CN1860" s="112" t="s">
        <v>4646</v>
      </c>
      <c r="CO1860" s="112" t="s">
        <v>544</v>
      </c>
      <c r="CP1860" s="112" t="s">
        <v>1119</v>
      </c>
      <c r="CQ1860" s="112" t="s">
        <v>4647</v>
      </c>
      <c r="CR1860" s="112" t="s">
        <v>4647</v>
      </c>
      <c r="CS1860" s="112" t="s">
        <v>3742</v>
      </c>
      <c r="CT1860" s="112" t="s">
        <v>4514</v>
      </c>
      <c r="CU1860" s="112" t="s">
        <v>796</v>
      </c>
      <c r="CV1860" s="113" t="s">
        <v>3744</v>
      </c>
      <c r="CX1860" s="36">
        <v>1</v>
      </c>
    </row>
    <row r="1861" spans="91:102" ht="21" customHeight="1" x14ac:dyDescent="0.25">
      <c r="CM1861" s="102"/>
      <c r="CN1861" s="112" t="s">
        <v>4648</v>
      </c>
      <c r="CO1861" s="112" t="s">
        <v>544</v>
      </c>
      <c r="CP1861" s="112" t="s">
        <v>1119</v>
      </c>
      <c r="CQ1861" s="112" t="s">
        <v>1635</v>
      </c>
      <c r="CR1861" s="112" t="s">
        <v>1635</v>
      </c>
      <c r="CS1861" s="112" t="s">
        <v>525</v>
      </c>
      <c r="CT1861" s="112" t="s">
        <v>1592</v>
      </c>
      <c r="CU1861" s="112" t="s">
        <v>527</v>
      </c>
      <c r="CV1861" s="113" t="s">
        <v>528</v>
      </c>
      <c r="CX1861" s="36">
        <v>1</v>
      </c>
    </row>
    <row r="1862" spans="91:102" ht="21" customHeight="1" x14ac:dyDescent="0.25">
      <c r="CM1862" s="102"/>
      <c r="CN1862" s="112" t="s">
        <v>4649</v>
      </c>
      <c r="CO1862" s="112" t="s">
        <v>544</v>
      </c>
      <c r="CP1862" s="112" t="s">
        <v>1119</v>
      </c>
      <c r="CQ1862" s="112" t="s">
        <v>4650</v>
      </c>
      <c r="CR1862" s="112" t="s">
        <v>4650</v>
      </c>
      <c r="CS1862" s="112" t="s">
        <v>3742</v>
      </c>
      <c r="CT1862" s="112" t="s">
        <v>4514</v>
      </c>
      <c r="CU1862" s="112" t="s">
        <v>796</v>
      </c>
      <c r="CV1862" s="113" t="s">
        <v>3744</v>
      </c>
      <c r="CX1862" s="36">
        <v>1</v>
      </c>
    </row>
    <row r="1863" spans="91:102" ht="21" customHeight="1" x14ac:dyDescent="0.25">
      <c r="CM1863" s="102"/>
      <c r="CN1863" s="112" t="s">
        <v>4651</v>
      </c>
      <c r="CO1863" s="112" t="s">
        <v>544</v>
      </c>
      <c r="CP1863" s="112" t="s">
        <v>1119</v>
      </c>
      <c r="CQ1863" s="112" t="s">
        <v>4652</v>
      </c>
      <c r="CR1863" s="112" t="s">
        <v>4652</v>
      </c>
      <c r="CS1863" s="112" t="s">
        <v>3742</v>
      </c>
      <c r="CT1863" s="112" t="s">
        <v>4514</v>
      </c>
      <c r="CU1863" s="112" t="s">
        <v>796</v>
      </c>
      <c r="CV1863" s="113" t="s">
        <v>3744</v>
      </c>
      <c r="CX1863" s="36">
        <v>1</v>
      </c>
    </row>
    <row r="1864" spans="91:102" ht="21" customHeight="1" x14ac:dyDescent="0.25">
      <c r="CM1864" s="102"/>
      <c r="CN1864" s="112" t="s">
        <v>4653</v>
      </c>
      <c r="CO1864" s="112" t="s">
        <v>544</v>
      </c>
      <c r="CP1864" s="112" t="s">
        <v>1119</v>
      </c>
      <c r="CQ1864" s="112" t="s">
        <v>3366</v>
      </c>
      <c r="CR1864" s="112" t="s">
        <v>3366</v>
      </c>
      <c r="CS1864" s="112" t="s">
        <v>3742</v>
      </c>
      <c r="CT1864" s="112" t="s">
        <v>4514</v>
      </c>
      <c r="CU1864" s="112" t="s">
        <v>796</v>
      </c>
      <c r="CV1864" s="113" t="s">
        <v>3744</v>
      </c>
      <c r="CX1864" s="36">
        <v>1</v>
      </c>
    </row>
    <row r="1865" spans="91:102" ht="21" customHeight="1" x14ac:dyDescent="0.25">
      <c r="CM1865" s="102"/>
      <c r="CN1865" s="112" t="s">
        <v>4654</v>
      </c>
      <c r="CO1865" s="112" t="s">
        <v>544</v>
      </c>
      <c r="CP1865" s="112" t="s">
        <v>1119</v>
      </c>
      <c r="CQ1865" s="112" t="s">
        <v>1589</v>
      </c>
      <c r="CR1865" s="112" t="s">
        <v>1589</v>
      </c>
      <c r="CS1865" s="112" t="s">
        <v>3742</v>
      </c>
      <c r="CT1865" s="112" t="s">
        <v>4514</v>
      </c>
      <c r="CU1865" s="112" t="s">
        <v>796</v>
      </c>
      <c r="CV1865" s="113" t="s">
        <v>3744</v>
      </c>
      <c r="CX1865" s="36">
        <v>1</v>
      </c>
    </row>
    <row r="1866" spans="91:102" ht="21" customHeight="1" x14ac:dyDescent="0.25">
      <c r="CM1866" s="102"/>
      <c r="CN1866" s="112" t="s">
        <v>4655</v>
      </c>
      <c r="CO1866" s="112" t="s">
        <v>544</v>
      </c>
      <c r="CP1866" s="112" t="s">
        <v>1119</v>
      </c>
      <c r="CQ1866" s="112" t="s">
        <v>4656</v>
      </c>
      <c r="CR1866" s="112" t="s">
        <v>4656</v>
      </c>
      <c r="CS1866" s="112" t="s">
        <v>3742</v>
      </c>
      <c r="CT1866" s="112" t="s">
        <v>4514</v>
      </c>
      <c r="CU1866" s="112" t="s">
        <v>796</v>
      </c>
      <c r="CV1866" s="113" t="s">
        <v>3744</v>
      </c>
      <c r="CX1866" s="36">
        <v>1</v>
      </c>
    </row>
    <row r="1867" spans="91:102" ht="21" customHeight="1" x14ac:dyDescent="0.25">
      <c r="CM1867" s="102"/>
      <c r="CN1867" s="112" t="s">
        <v>4657</v>
      </c>
      <c r="CO1867" s="112" t="s">
        <v>544</v>
      </c>
      <c r="CP1867" s="112" t="s">
        <v>1119</v>
      </c>
      <c r="CQ1867" s="112" t="s">
        <v>4658</v>
      </c>
      <c r="CR1867" s="112" t="s">
        <v>4659</v>
      </c>
      <c r="CS1867" s="112" t="s">
        <v>525</v>
      </c>
      <c r="CT1867" s="112" t="s">
        <v>1592</v>
      </c>
      <c r="CU1867" s="112" t="s">
        <v>527</v>
      </c>
      <c r="CV1867" s="113" t="s">
        <v>528</v>
      </c>
      <c r="CX1867" s="36">
        <v>1</v>
      </c>
    </row>
    <row r="1868" spans="91:102" ht="21" customHeight="1" x14ac:dyDescent="0.25">
      <c r="CM1868" s="102"/>
      <c r="CN1868" s="112" t="s">
        <v>4660</v>
      </c>
      <c r="CO1868" s="112" t="s">
        <v>544</v>
      </c>
      <c r="CP1868" s="112" t="s">
        <v>1119</v>
      </c>
      <c r="CQ1868" s="112" t="s">
        <v>1035</v>
      </c>
      <c r="CR1868" s="112" t="s">
        <v>1035</v>
      </c>
      <c r="CS1868" s="112" t="s">
        <v>525</v>
      </c>
      <c r="CT1868" s="112" t="s">
        <v>1592</v>
      </c>
      <c r="CU1868" s="112" t="s">
        <v>527</v>
      </c>
      <c r="CV1868" s="113" t="s">
        <v>528</v>
      </c>
      <c r="CX1868" s="36">
        <v>1</v>
      </c>
    </row>
    <row r="1869" spans="91:102" ht="21" customHeight="1" x14ac:dyDescent="0.25">
      <c r="CM1869" s="102"/>
      <c r="CN1869" s="112" t="s">
        <v>4661</v>
      </c>
      <c r="CO1869" s="112" t="s">
        <v>544</v>
      </c>
      <c r="CP1869" s="112" t="s">
        <v>1119</v>
      </c>
      <c r="CQ1869" s="112" t="s">
        <v>4662</v>
      </c>
      <c r="CR1869" s="112" t="s">
        <v>4662</v>
      </c>
      <c r="CS1869" s="112" t="s">
        <v>525</v>
      </c>
      <c r="CT1869" s="112" t="s">
        <v>1592</v>
      </c>
      <c r="CU1869" s="112" t="s">
        <v>527</v>
      </c>
      <c r="CV1869" s="113" t="s">
        <v>528</v>
      </c>
      <c r="CX1869" s="36">
        <v>1</v>
      </c>
    </row>
    <row r="1870" spans="91:102" ht="21" customHeight="1" x14ac:dyDescent="0.25">
      <c r="CM1870" s="102"/>
      <c r="CN1870" s="112" t="s">
        <v>4663</v>
      </c>
      <c r="CO1870" s="112" t="s">
        <v>544</v>
      </c>
      <c r="CP1870" s="112" t="s">
        <v>1643</v>
      </c>
      <c r="CQ1870" s="112" t="s">
        <v>1644</v>
      </c>
      <c r="CR1870" s="112" t="s">
        <v>1644</v>
      </c>
      <c r="CS1870" s="112" t="s">
        <v>610</v>
      </c>
      <c r="CT1870" s="112" t="s">
        <v>1645</v>
      </c>
      <c r="CU1870" s="112" t="s">
        <v>527</v>
      </c>
      <c r="CV1870" s="113" t="s">
        <v>612</v>
      </c>
      <c r="CX1870" s="36">
        <v>1</v>
      </c>
    </row>
    <row r="1871" spans="91:102" ht="21" customHeight="1" x14ac:dyDescent="0.25">
      <c r="CM1871" s="102"/>
      <c r="CN1871" s="112" t="s">
        <v>4664</v>
      </c>
      <c r="CO1871" s="112" t="s">
        <v>544</v>
      </c>
      <c r="CP1871" s="112" t="s">
        <v>1643</v>
      </c>
      <c r="CQ1871" s="112" t="s">
        <v>1647</v>
      </c>
      <c r="CR1871" s="112" t="s">
        <v>1648</v>
      </c>
      <c r="CS1871" s="112" t="s">
        <v>610</v>
      </c>
      <c r="CT1871" s="112" t="s">
        <v>1645</v>
      </c>
      <c r="CU1871" s="112" t="s">
        <v>527</v>
      </c>
      <c r="CV1871" s="113" t="s">
        <v>612</v>
      </c>
      <c r="CX1871" s="36">
        <v>1</v>
      </c>
    </row>
    <row r="1872" spans="91:102" ht="21" customHeight="1" x14ac:dyDescent="0.25">
      <c r="CM1872" s="102"/>
      <c r="CN1872" s="112" t="s">
        <v>4665</v>
      </c>
      <c r="CO1872" s="112" t="s">
        <v>544</v>
      </c>
      <c r="CP1872" s="112" t="s">
        <v>1643</v>
      </c>
      <c r="CQ1872" s="112" t="s">
        <v>1650</v>
      </c>
      <c r="CR1872" s="112" t="s">
        <v>1651</v>
      </c>
      <c r="CS1872" s="112" t="s">
        <v>610</v>
      </c>
      <c r="CT1872" s="112" t="s">
        <v>1645</v>
      </c>
      <c r="CU1872" s="112" t="s">
        <v>527</v>
      </c>
      <c r="CV1872" s="113" t="s">
        <v>612</v>
      </c>
      <c r="CX1872" s="36">
        <v>1</v>
      </c>
    </row>
    <row r="1873" spans="91:102" ht="21" customHeight="1" x14ac:dyDescent="0.25">
      <c r="CM1873" s="102"/>
      <c r="CN1873" s="112" t="s">
        <v>4666</v>
      </c>
      <c r="CO1873" s="112" t="s">
        <v>544</v>
      </c>
      <c r="CP1873" s="112" t="s">
        <v>1643</v>
      </c>
      <c r="CQ1873" s="112" t="s">
        <v>1653</v>
      </c>
      <c r="CR1873" s="112" t="s">
        <v>1654</v>
      </c>
      <c r="CS1873" s="112" t="s">
        <v>610</v>
      </c>
      <c r="CT1873" s="112" t="s">
        <v>1645</v>
      </c>
      <c r="CU1873" s="112" t="s">
        <v>527</v>
      </c>
      <c r="CV1873" s="113" t="s">
        <v>612</v>
      </c>
      <c r="CX1873" s="36">
        <v>1</v>
      </c>
    </row>
    <row r="1874" spans="91:102" ht="21" customHeight="1" x14ac:dyDescent="0.25">
      <c r="CM1874" s="102"/>
      <c r="CN1874" s="112" t="s">
        <v>4667</v>
      </c>
      <c r="CO1874" s="112" t="s">
        <v>544</v>
      </c>
      <c r="CP1874" s="112" t="s">
        <v>1643</v>
      </c>
      <c r="CQ1874" s="112" t="s">
        <v>1079</v>
      </c>
      <c r="CR1874" s="112" t="s">
        <v>1080</v>
      </c>
      <c r="CS1874" s="112" t="s">
        <v>610</v>
      </c>
      <c r="CT1874" s="112" t="s">
        <v>1645</v>
      </c>
      <c r="CU1874" s="112" t="s">
        <v>527</v>
      </c>
      <c r="CV1874" s="113" t="s">
        <v>612</v>
      </c>
      <c r="CX1874" s="36">
        <v>1</v>
      </c>
    </row>
    <row r="1875" spans="91:102" ht="21" customHeight="1" x14ac:dyDescent="0.25">
      <c r="CM1875" s="102"/>
      <c r="CN1875" s="112" t="s">
        <v>4668</v>
      </c>
      <c r="CO1875" s="112" t="s">
        <v>544</v>
      </c>
      <c r="CP1875" s="112" t="s">
        <v>1643</v>
      </c>
      <c r="CQ1875" s="112" t="s">
        <v>1082</v>
      </c>
      <c r="CR1875" s="112" t="s">
        <v>1083</v>
      </c>
      <c r="CS1875" s="112" t="s">
        <v>610</v>
      </c>
      <c r="CT1875" s="112" t="s">
        <v>1645</v>
      </c>
      <c r="CU1875" s="112" t="s">
        <v>527</v>
      </c>
      <c r="CV1875" s="113" t="s">
        <v>612</v>
      </c>
      <c r="CX1875" s="36">
        <v>1</v>
      </c>
    </row>
    <row r="1876" spans="91:102" ht="21" customHeight="1" x14ac:dyDescent="0.25">
      <c r="CM1876" s="102"/>
      <c r="CN1876" s="112" t="s">
        <v>4669</v>
      </c>
      <c r="CO1876" s="112" t="s">
        <v>544</v>
      </c>
      <c r="CP1876" s="112" t="s">
        <v>1643</v>
      </c>
      <c r="CQ1876" s="112" t="s">
        <v>1091</v>
      </c>
      <c r="CR1876" s="112" t="s">
        <v>1092</v>
      </c>
      <c r="CS1876" s="112" t="s">
        <v>610</v>
      </c>
      <c r="CT1876" s="112" t="s">
        <v>1645</v>
      </c>
      <c r="CU1876" s="112" t="s">
        <v>527</v>
      </c>
      <c r="CV1876" s="113" t="s">
        <v>612</v>
      </c>
      <c r="CX1876" s="36">
        <v>1</v>
      </c>
    </row>
    <row r="1877" spans="91:102" ht="21" customHeight="1" x14ac:dyDescent="0.25">
      <c r="CM1877" s="102"/>
      <c r="CN1877" s="112" t="s">
        <v>4670</v>
      </c>
      <c r="CO1877" s="112" t="s">
        <v>544</v>
      </c>
      <c r="CP1877" s="112" t="s">
        <v>1643</v>
      </c>
      <c r="CQ1877" s="112" t="s">
        <v>1659</v>
      </c>
      <c r="CR1877" s="112" t="s">
        <v>1659</v>
      </c>
      <c r="CS1877" s="112" t="s">
        <v>610</v>
      </c>
      <c r="CT1877" s="112" t="s">
        <v>1645</v>
      </c>
      <c r="CU1877" s="112" t="s">
        <v>527</v>
      </c>
      <c r="CV1877" s="113" t="s">
        <v>612</v>
      </c>
      <c r="CX1877" s="36">
        <v>1</v>
      </c>
    </row>
    <row r="1878" spans="91:102" ht="21" customHeight="1" x14ac:dyDescent="0.25">
      <c r="CM1878" s="102"/>
      <c r="CN1878" s="112" t="s">
        <v>4671</v>
      </c>
      <c r="CO1878" s="112" t="s">
        <v>544</v>
      </c>
      <c r="CP1878" s="112" t="s">
        <v>1643</v>
      </c>
      <c r="CQ1878" s="112" t="s">
        <v>1661</v>
      </c>
      <c r="CR1878" s="112" t="s">
        <v>1661</v>
      </c>
      <c r="CS1878" s="112" t="s">
        <v>610</v>
      </c>
      <c r="CT1878" s="112" t="s">
        <v>1645</v>
      </c>
      <c r="CU1878" s="112" t="s">
        <v>527</v>
      </c>
      <c r="CV1878" s="113" t="s">
        <v>612</v>
      </c>
      <c r="CX1878" s="36">
        <v>1</v>
      </c>
    </row>
    <row r="1879" spans="91:102" ht="21" customHeight="1" x14ac:dyDescent="0.25">
      <c r="CM1879" s="102"/>
      <c r="CN1879" s="112" t="s">
        <v>4672</v>
      </c>
      <c r="CO1879" s="112" t="s">
        <v>545</v>
      </c>
      <c r="CP1879" s="112" t="s">
        <v>523</v>
      </c>
      <c r="CQ1879" s="112" t="s">
        <v>4673</v>
      </c>
      <c r="CR1879" s="112" t="s">
        <v>4673</v>
      </c>
      <c r="CS1879" s="112" t="s">
        <v>610</v>
      </c>
      <c r="CT1879" s="112" t="s">
        <v>611</v>
      </c>
      <c r="CU1879" s="112" t="s">
        <v>527</v>
      </c>
      <c r="CV1879" s="113" t="s">
        <v>612</v>
      </c>
      <c r="CX1879" s="36">
        <v>1</v>
      </c>
    </row>
    <row r="1880" spans="91:102" ht="21" customHeight="1" x14ac:dyDescent="0.25">
      <c r="CM1880" s="102"/>
      <c r="CN1880" s="112" t="s">
        <v>4674</v>
      </c>
      <c r="CO1880" s="112" t="s">
        <v>545</v>
      </c>
      <c r="CP1880" s="112" t="s">
        <v>523</v>
      </c>
      <c r="CQ1880" s="112" t="s">
        <v>4675</v>
      </c>
      <c r="CR1880" s="112" t="s">
        <v>4675</v>
      </c>
      <c r="CS1880" s="112" t="s">
        <v>610</v>
      </c>
      <c r="CT1880" s="112" t="s">
        <v>611</v>
      </c>
      <c r="CU1880" s="112" t="s">
        <v>527</v>
      </c>
      <c r="CV1880" s="113" t="s">
        <v>612</v>
      </c>
      <c r="CX1880" s="36">
        <v>1</v>
      </c>
    </row>
    <row r="1881" spans="91:102" ht="21" customHeight="1" x14ac:dyDescent="0.25">
      <c r="CM1881" s="102"/>
      <c r="CN1881" s="112" t="s">
        <v>4676</v>
      </c>
      <c r="CO1881" s="112" t="s">
        <v>545</v>
      </c>
      <c r="CP1881" s="112" t="s">
        <v>523</v>
      </c>
      <c r="CQ1881" s="112" t="s">
        <v>4677</v>
      </c>
      <c r="CR1881" s="112" t="s">
        <v>4677</v>
      </c>
      <c r="CS1881" s="112" t="s">
        <v>525</v>
      </c>
      <c r="CT1881" s="112" t="s">
        <v>4678</v>
      </c>
      <c r="CU1881" s="112" t="s">
        <v>527</v>
      </c>
      <c r="CV1881" s="113" t="s">
        <v>528</v>
      </c>
      <c r="CX1881" s="36">
        <v>1</v>
      </c>
    </row>
    <row r="1882" spans="91:102" ht="21" customHeight="1" x14ac:dyDescent="0.25">
      <c r="CM1882" s="102"/>
      <c r="CN1882" s="112" t="s">
        <v>4679</v>
      </c>
      <c r="CO1882" s="112" t="s">
        <v>545</v>
      </c>
      <c r="CP1882" s="112" t="s">
        <v>523</v>
      </c>
      <c r="CQ1882" s="112" t="s">
        <v>4680</v>
      </c>
      <c r="CR1882" s="112" t="s">
        <v>4680</v>
      </c>
      <c r="CS1882" s="112" t="s">
        <v>525</v>
      </c>
      <c r="CT1882" s="112" t="s">
        <v>4678</v>
      </c>
      <c r="CU1882" s="112" t="s">
        <v>527</v>
      </c>
      <c r="CV1882" s="113" t="s">
        <v>528</v>
      </c>
      <c r="CX1882" s="36">
        <v>1</v>
      </c>
    </row>
    <row r="1883" spans="91:102" ht="21" customHeight="1" x14ac:dyDescent="0.25">
      <c r="CM1883" s="102"/>
      <c r="CN1883" s="112" t="s">
        <v>4681</v>
      </c>
      <c r="CO1883" s="112" t="s">
        <v>545</v>
      </c>
      <c r="CP1883" s="112" t="s">
        <v>523</v>
      </c>
      <c r="CQ1883" s="112" t="s">
        <v>4682</v>
      </c>
      <c r="CR1883" s="112" t="s">
        <v>4682</v>
      </c>
      <c r="CS1883" s="112" t="s">
        <v>525</v>
      </c>
      <c r="CT1883" s="112" t="s">
        <v>4678</v>
      </c>
      <c r="CU1883" s="112" t="s">
        <v>527</v>
      </c>
      <c r="CV1883" s="113" t="s">
        <v>528</v>
      </c>
      <c r="CX1883" s="36">
        <v>1</v>
      </c>
    </row>
    <row r="1884" spans="91:102" ht="21" customHeight="1" x14ac:dyDescent="0.25">
      <c r="CM1884" s="102"/>
      <c r="CN1884" s="112" t="s">
        <v>4683</v>
      </c>
      <c r="CO1884" s="112" t="s">
        <v>545</v>
      </c>
      <c r="CP1884" s="112" t="s">
        <v>523</v>
      </c>
      <c r="CQ1884" s="112" t="s">
        <v>4684</v>
      </c>
      <c r="CR1884" s="112" t="s">
        <v>4684</v>
      </c>
      <c r="CS1884" s="112" t="s">
        <v>525</v>
      </c>
      <c r="CT1884" s="112" t="s">
        <v>4678</v>
      </c>
      <c r="CU1884" s="112" t="s">
        <v>527</v>
      </c>
      <c r="CV1884" s="113" t="s">
        <v>528</v>
      </c>
      <c r="CX1884" s="36">
        <v>1</v>
      </c>
    </row>
    <row r="1885" spans="91:102" ht="21" customHeight="1" x14ac:dyDescent="0.25">
      <c r="CM1885" s="102"/>
      <c r="CN1885" s="112" t="s">
        <v>4685</v>
      </c>
      <c r="CO1885" s="112" t="s">
        <v>545</v>
      </c>
      <c r="CP1885" s="112" t="s">
        <v>523</v>
      </c>
      <c r="CQ1885" s="112" t="s">
        <v>4686</v>
      </c>
      <c r="CR1885" s="112" t="s">
        <v>4686</v>
      </c>
      <c r="CS1885" s="112" t="s">
        <v>610</v>
      </c>
      <c r="CT1885" s="112" t="s">
        <v>611</v>
      </c>
      <c r="CU1885" s="112" t="s">
        <v>527</v>
      </c>
      <c r="CV1885" s="113" t="s">
        <v>612</v>
      </c>
      <c r="CX1885" s="36">
        <v>1</v>
      </c>
    </row>
    <row r="1886" spans="91:102" ht="21" customHeight="1" x14ac:dyDescent="0.25">
      <c r="CM1886" s="102"/>
      <c r="CN1886" s="112" t="s">
        <v>4687</v>
      </c>
      <c r="CO1886" s="112" t="s">
        <v>545</v>
      </c>
      <c r="CP1886" s="112" t="s">
        <v>523</v>
      </c>
      <c r="CQ1886" s="112" t="s">
        <v>4688</v>
      </c>
      <c r="CR1886" s="112" t="s">
        <v>4688</v>
      </c>
      <c r="CS1886" s="112" t="s">
        <v>610</v>
      </c>
      <c r="CT1886" s="112" t="s">
        <v>611</v>
      </c>
      <c r="CU1886" s="112" t="s">
        <v>527</v>
      </c>
      <c r="CV1886" s="113" t="s">
        <v>612</v>
      </c>
      <c r="CX1886" s="36">
        <v>1</v>
      </c>
    </row>
    <row r="1887" spans="91:102" ht="21" customHeight="1" x14ac:dyDescent="0.25">
      <c r="CM1887" s="102"/>
      <c r="CN1887" s="112" t="s">
        <v>4689</v>
      </c>
      <c r="CO1887" s="112" t="s">
        <v>545</v>
      </c>
      <c r="CP1887" s="112" t="s">
        <v>523</v>
      </c>
      <c r="CQ1887" s="112" t="s">
        <v>4690</v>
      </c>
      <c r="CR1887" s="112" t="s">
        <v>4690</v>
      </c>
      <c r="CS1887" s="112" t="s">
        <v>525</v>
      </c>
      <c r="CT1887" s="112" t="s">
        <v>4678</v>
      </c>
      <c r="CU1887" s="112" t="s">
        <v>527</v>
      </c>
      <c r="CV1887" s="113" t="s">
        <v>528</v>
      </c>
      <c r="CX1887" s="36">
        <v>1</v>
      </c>
    </row>
    <row r="1888" spans="91:102" ht="21" customHeight="1" x14ac:dyDescent="0.25">
      <c r="CM1888" s="102"/>
      <c r="CN1888" s="112" t="s">
        <v>4691</v>
      </c>
      <c r="CO1888" s="112" t="s">
        <v>545</v>
      </c>
      <c r="CP1888" s="112" t="s">
        <v>523</v>
      </c>
      <c r="CQ1888" s="112" t="s">
        <v>4692</v>
      </c>
      <c r="CR1888" s="112" t="s">
        <v>4692</v>
      </c>
      <c r="CS1888" s="112" t="s">
        <v>525</v>
      </c>
      <c r="CT1888" s="112" t="s">
        <v>4678</v>
      </c>
      <c r="CU1888" s="112" t="s">
        <v>527</v>
      </c>
      <c r="CV1888" s="113" t="s">
        <v>528</v>
      </c>
      <c r="CX1888" s="36">
        <v>1</v>
      </c>
    </row>
    <row r="1889" spans="91:102" ht="21" customHeight="1" x14ac:dyDescent="0.25">
      <c r="CM1889" s="102"/>
      <c r="CN1889" s="112" t="s">
        <v>4693</v>
      </c>
      <c r="CO1889" s="112" t="s">
        <v>545</v>
      </c>
      <c r="CP1889" s="112" t="s">
        <v>523</v>
      </c>
      <c r="CQ1889" s="112" t="s">
        <v>4694</v>
      </c>
      <c r="CR1889" s="112" t="s">
        <v>4694</v>
      </c>
      <c r="CS1889" s="112" t="s">
        <v>610</v>
      </c>
      <c r="CT1889" s="112" t="s">
        <v>611</v>
      </c>
      <c r="CU1889" s="112" t="s">
        <v>527</v>
      </c>
      <c r="CV1889" s="113" t="s">
        <v>612</v>
      </c>
      <c r="CX1889" s="36">
        <v>1</v>
      </c>
    </row>
    <row r="1890" spans="91:102" ht="21" customHeight="1" x14ac:dyDescent="0.25">
      <c r="CM1890" s="102"/>
      <c r="CN1890" s="112" t="s">
        <v>4695</v>
      </c>
      <c r="CO1890" s="112" t="s">
        <v>545</v>
      </c>
      <c r="CP1890" s="112" t="s">
        <v>523</v>
      </c>
      <c r="CQ1890" s="112" t="s">
        <v>4696</v>
      </c>
      <c r="CR1890" s="112" t="s">
        <v>4696</v>
      </c>
      <c r="CS1890" s="112" t="s">
        <v>610</v>
      </c>
      <c r="CT1890" s="112" t="s">
        <v>611</v>
      </c>
      <c r="CU1890" s="112" t="s">
        <v>527</v>
      </c>
      <c r="CV1890" s="113" t="s">
        <v>612</v>
      </c>
      <c r="CX1890" s="36">
        <v>1</v>
      </c>
    </row>
    <row r="1891" spans="91:102" ht="21" customHeight="1" x14ac:dyDescent="0.25">
      <c r="CM1891" s="102"/>
      <c r="CN1891" s="112" t="s">
        <v>4697</v>
      </c>
      <c r="CO1891" s="112" t="s">
        <v>545</v>
      </c>
      <c r="CP1891" s="112" t="s">
        <v>523</v>
      </c>
      <c r="CQ1891" s="112" t="s">
        <v>4698</v>
      </c>
      <c r="CR1891" s="112" t="s">
        <v>4698</v>
      </c>
      <c r="CS1891" s="112" t="s">
        <v>525</v>
      </c>
      <c r="CT1891" s="112" t="s">
        <v>4678</v>
      </c>
      <c r="CU1891" s="112" t="s">
        <v>527</v>
      </c>
      <c r="CV1891" s="113" t="s">
        <v>528</v>
      </c>
      <c r="CX1891" s="36">
        <v>1</v>
      </c>
    </row>
    <row r="1892" spans="91:102" ht="21" customHeight="1" x14ac:dyDescent="0.25">
      <c r="CM1892" s="102"/>
      <c r="CN1892" s="112" t="s">
        <v>4699</v>
      </c>
      <c r="CO1892" s="112" t="s">
        <v>545</v>
      </c>
      <c r="CP1892" s="112" t="s">
        <v>523</v>
      </c>
      <c r="CQ1892" s="112" t="s">
        <v>4700</v>
      </c>
      <c r="CR1892" s="112" t="s">
        <v>4700</v>
      </c>
      <c r="CS1892" s="112" t="s">
        <v>525</v>
      </c>
      <c r="CT1892" s="112" t="s">
        <v>4678</v>
      </c>
      <c r="CU1892" s="112" t="s">
        <v>527</v>
      </c>
      <c r="CV1892" s="113" t="s">
        <v>528</v>
      </c>
      <c r="CX1892" s="36">
        <v>1</v>
      </c>
    </row>
    <row r="1893" spans="91:102" ht="21" customHeight="1" x14ac:dyDescent="0.25">
      <c r="CM1893" s="102"/>
      <c r="CN1893" s="112" t="s">
        <v>4701</v>
      </c>
      <c r="CO1893" s="112" t="s">
        <v>545</v>
      </c>
      <c r="CP1893" s="112" t="s">
        <v>523</v>
      </c>
      <c r="CQ1893" s="112" t="s">
        <v>946</v>
      </c>
      <c r="CR1893" s="112" t="s">
        <v>946</v>
      </c>
      <c r="CS1893" s="112" t="s">
        <v>525</v>
      </c>
      <c r="CT1893" s="112" t="s">
        <v>4678</v>
      </c>
      <c r="CU1893" s="112" t="s">
        <v>527</v>
      </c>
      <c r="CV1893" s="113" t="s">
        <v>528</v>
      </c>
      <c r="CX1893" s="36">
        <v>1</v>
      </c>
    </row>
    <row r="1894" spans="91:102" ht="21" customHeight="1" x14ac:dyDescent="0.25">
      <c r="CM1894" s="102"/>
      <c r="CN1894" s="112" t="s">
        <v>4702</v>
      </c>
      <c r="CO1894" s="112" t="s">
        <v>545</v>
      </c>
      <c r="CP1894" s="112" t="s">
        <v>523</v>
      </c>
      <c r="CQ1894" s="112" t="s">
        <v>4703</v>
      </c>
      <c r="CR1894" s="112" t="s">
        <v>4703</v>
      </c>
      <c r="CS1894" s="112" t="s">
        <v>525</v>
      </c>
      <c r="CT1894" s="112" t="s">
        <v>4678</v>
      </c>
      <c r="CU1894" s="112" t="s">
        <v>527</v>
      </c>
      <c r="CV1894" s="113" t="s">
        <v>528</v>
      </c>
      <c r="CX1894" s="36">
        <v>1</v>
      </c>
    </row>
    <row r="1895" spans="91:102" ht="21" customHeight="1" x14ac:dyDescent="0.25">
      <c r="CM1895" s="102"/>
      <c r="CN1895" s="112" t="s">
        <v>4704</v>
      </c>
      <c r="CO1895" s="112" t="s">
        <v>545</v>
      </c>
      <c r="CP1895" s="112" t="s">
        <v>523</v>
      </c>
      <c r="CQ1895" s="112" t="s">
        <v>4705</v>
      </c>
      <c r="CR1895" s="112" t="s">
        <v>4705</v>
      </c>
      <c r="CS1895" s="112" t="s">
        <v>525</v>
      </c>
      <c r="CT1895" s="112" t="s">
        <v>4678</v>
      </c>
      <c r="CU1895" s="112" t="s">
        <v>527</v>
      </c>
      <c r="CV1895" s="113" t="s">
        <v>528</v>
      </c>
      <c r="CX1895" s="36">
        <v>1</v>
      </c>
    </row>
    <row r="1896" spans="91:102" ht="21" customHeight="1" x14ac:dyDescent="0.25">
      <c r="CM1896" s="102"/>
      <c r="CN1896" s="112" t="s">
        <v>4706</v>
      </c>
      <c r="CO1896" s="112" t="s">
        <v>545</v>
      </c>
      <c r="CP1896" s="112" t="s">
        <v>523</v>
      </c>
      <c r="CQ1896" s="112" t="s">
        <v>4707</v>
      </c>
      <c r="CR1896" s="112" t="s">
        <v>4707</v>
      </c>
      <c r="CS1896" s="112" t="s">
        <v>525</v>
      </c>
      <c r="CT1896" s="112" t="s">
        <v>4678</v>
      </c>
      <c r="CU1896" s="112" t="s">
        <v>527</v>
      </c>
      <c r="CV1896" s="113" t="s">
        <v>528</v>
      </c>
      <c r="CX1896" s="36">
        <v>1</v>
      </c>
    </row>
    <row r="1897" spans="91:102" ht="21" customHeight="1" x14ac:dyDescent="0.25">
      <c r="CM1897" s="102"/>
      <c r="CN1897" s="112" t="s">
        <v>4708</v>
      </c>
      <c r="CO1897" s="112" t="s">
        <v>545</v>
      </c>
      <c r="CP1897" s="112" t="s">
        <v>523</v>
      </c>
      <c r="CQ1897" s="112" t="s">
        <v>4709</v>
      </c>
      <c r="CR1897" s="112" t="s">
        <v>4709</v>
      </c>
      <c r="CS1897" s="112" t="s">
        <v>610</v>
      </c>
      <c r="CT1897" s="112" t="s">
        <v>611</v>
      </c>
      <c r="CU1897" s="112" t="s">
        <v>527</v>
      </c>
      <c r="CV1897" s="113" t="s">
        <v>612</v>
      </c>
      <c r="CX1897" s="36">
        <v>1</v>
      </c>
    </row>
    <row r="1898" spans="91:102" ht="21" customHeight="1" x14ac:dyDescent="0.25">
      <c r="CM1898" s="102"/>
      <c r="CN1898" s="112" t="s">
        <v>4710</v>
      </c>
      <c r="CO1898" s="112" t="s">
        <v>545</v>
      </c>
      <c r="CP1898" s="112" t="s">
        <v>523</v>
      </c>
      <c r="CQ1898" s="112" t="s">
        <v>4711</v>
      </c>
      <c r="CR1898" s="112" t="s">
        <v>4711</v>
      </c>
      <c r="CS1898" s="112" t="s">
        <v>610</v>
      </c>
      <c r="CT1898" s="112" t="s">
        <v>611</v>
      </c>
      <c r="CU1898" s="112" t="s">
        <v>527</v>
      </c>
      <c r="CV1898" s="113" t="s">
        <v>612</v>
      </c>
      <c r="CX1898" s="36">
        <v>1</v>
      </c>
    </row>
    <row r="1899" spans="91:102" ht="21" customHeight="1" x14ac:dyDescent="0.25">
      <c r="CM1899" s="102"/>
      <c r="CN1899" s="112" t="s">
        <v>4712</v>
      </c>
      <c r="CO1899" s="112" t="s">
        <v>545</v>
      </c>
      <c r="CP1899" s="112" t="s">
        <v>523</v>
      </c>
      <c r="CQ1899" s="112" t="s">
        <v>4713</v>
      </c>
      <c r="CR1899" s="112" t="s">
        <v>4713</v>
      </c>
      <c r="CS1899" s="112" t="s">
        <v>525</v>
      </c>
      <c r="CT1899" s="112" t="s">
        <v>4678</v>
      </c>
      <c r="CU1899" s="112" t="s">
        <v>527</v>
      </c>
      <c r="CV1899" s="113" t="s">
        <v>528</v>
      </c>
      <c r="CX1899" s="36">
        <v>1</v>
      </c>
    </row>
    <row r="1900" spans="91:102" ht="21" customHeight="1" x14ac:dyDescent="0.25">
      <c r="CM1900" s="102"/>
      <c r="CN1900" s="112" t="s">
        <v>4714</v>
      </c>
      <c r="CO1900" s="112" t="s">
        <v>545</v>
      </c>
      <c r="CP1900" s="112" t="s">
        <v>523</v>
      </c>
      <c r="CQ1900" s="112" t="s">
        <v>4715</v>
      </c>
      <c r="CR1900" s="112" t="s">
        <v>4715</v>
      </c>
      <c r="CS1900" s="112" t="s">
        <v>525</v>
      </c>
      <c r="CT1900" s="112" t="s">
        <v>4678</v>
      </c>
      <c r="CU1900" s="112" t="s">
        <v>527</v>
      </c>
      <c r="CV1900" s="113" t="s">
        <v>528</v>
      </c>
      <c r="CX1900" s="36">
        <v>1</v>
      </c>
    </row>
    <row r="1901" spans="91:102" ht="21" customHeight="1" x14ac:dyDescent="0.25">
      <c r="CM1901" s="102"/>
      <c r="CN1901" s="112" t="s">
        <v>4716</v>
      </c>
      <c r="CO1901" s="112" t="s">
        <v>545</v>
      </c>
      <c r="CP1901" s="112" t="s">
        <v>523</v>
      </c>
      <c r="CQ1901" s="112" t="s">
        <v>4479</v>
      </c>
      <c r="CR1901" s="112" t="s">
        <v>4479</v>
      </c>
      <c r="CS1901" s="112" t="s">
        <v>525</v>
      </c>
      <c r="CT1901" s="112" t="s">
        <v>4678</v>
      </c>
      <c r="CU1901" s="112" t="s">
        <v>527</v>
      </c>
      <c r="CV1901" s="113" t="s">
        <v>528</v>
      </c>
      <c r="CX1901" s="36">
        <v>1</v>
      </c>
    </row>
    <row r="1902" spans="91:102" ht="21" customHeight="1" x14ac:dyDescent="0.25">
      <c r="CM1902" s="102"/>
      <c r="CN1902" s="112" t="s">
        <v>4717</v>
      </c>
      <c r="CO1902" s="112" t="s">
        <v>545</v>
      </c>
      <c r="CP1902" s="112" t="s">
        <v>523</v>
      </c>
      <c r="CQ1902" s="112" t="s">
        <v>4483</v>
      </c>
      <c r="CR1902" s="112" t="s">
        <v>4483</v>
      </c>
      <c r="CS1902" s="112" t="s">
        <v>525</v>
      </c>
      <c r="CT1902" s="112" t="s">
        <v>4678</v>
      </c>
      <c r="CU1902" s="112" t="s">
        <v>527</v>
      </c>
      <c r="CV1902" s="113" t="s">
        <v>528</v>
      </c>
      <c r="CX1902" s="36">
        <v>1</v>
      </c>
    </row>
    <row r="1903" spans="91:102" ht="21" customHeight="1" x14ac:dyDescent="0.25">
      <c r="CM1903" s="102"/>
      <c r="CN1903" s="112" t="s">
        <v>4718</v>
      </c>
      <c r="CO1903" s="112" t="s">
        <v>545</v>
      </c>
      <c r="CP1903" s="112" t="s">
        <v>523</v>
      </c>
      <c r="CQ1903" s="112" t="s">
        <v>4719</v>
      </c>
      <c r="CR1903" s="112" t="s">
        <v>4719</v>
      </c>
      <c r="CS1903" s="112" t="s">
        <v>525</v>
      </c>
      <c r="CT1903" s="112" t="s">
        <v>4678</v>
      </c>
      <c r="CU1903" s="112" t="s">
        <v>527</v>
      </c>
      <c r="CV1903" s="113" t="s">
        <v>528</v>
      </c>
      <c r="CX1903" s="36">
        <v>1</v>
      </c>
    </row>
    <row r="1904" spans="91:102" ht="21" customHeight="1" x14ac:dyDescent="0.25">
      <c r="CM1904" s="102"/>
      <c r="CN1904" s="112" t="s">
        <v>4720</v>
      </c>
      <c r="CO1904" s="112" t="s">
        <v>545</v>
      </c>
      <c r="CP1904" s="112" t="s">
        <v>523</v>
      </c>
      <c r="CQ1904" s="112" t="s">
        <v>4721</v>
      </c>
      <c r="CR1904" s="112" t="s">
        <v>4721</v>
      </c>
      <c r="CS1904" s="112" t="s">
        <v>610</v>
      </c>
      <c r="CT1904" s="112" t="s">
        <v>611</v>
      </c>
      <c r="CU1904" s="112" t="s">
        <v>527</v>
      </c>
      <c r="CV1904" s="113" t="s">
        <v>612</v>
      </c>
      <c r="CX1904" s="36">
        <v>1</v>
      </c>
    </row>
    <row r="1905" spans="91:102" ht="21" customHeight="1" x14ac:dyDescent="0.25">
      <c r="CM1905" s="102"/>
      <c r="CN1905" s="112" t="s">
        <v>4722</v>
      </c>
      <c r="CO1905" s="112" t="s">
        <v>545</v>
      </c>
      <c r="CP1905" s="112" t="s">
        <v>523</v>
      </c>
      <c r="CQ1905" s="112" t="s">
        <v>4723</v>
      </c>
      <c r="CR1905" s="112" t="s">
        <v>4723</v>
      </c>
      <c r="CS1905" s="112" t="s">
        <v>610</v>
      </c>
      <c r="CT1905" s="112" t="s">
        <v>611</v>
      </c>
      <c r="CU1905" s="112" t="s">
        <v>527</v>
      </c>
      <c r="CV1905" s="113" t="s">
        <v>612</v>
      </c>
      <c r="CX1905" s="36">
        <v>1</v>
      </c>
    </row>
    <row r="1906" spans="91:102" ht="21" customHeight="1" x14ac:dyDescent="0.25">
      <c r="CM1906" s="102"/>
      <c r="CN1906" s="112" t="s">
        <v>4724</v>
      </c>
      <c r="CO1906" s="112" t="s">
        <v>545</v>
      </c>
      <c r="CP1906" s="112" t="s">
        <v>523</v>
      </c>
      <c r="CQ1906" s="112" t="s">
        <v>4725</v>
      </c>
      <c r="CR1906" s="112" t="s">
        <v>4725</v>
      </c>
      <c r="CS1906" s="112" t="s">
        <v>525</v>
      </c>
      <c r="CT1906" s="112" t="s">
        <v>4678</v>
      </c>
      <c r="CU1906" s="112" t="s">
        <v>527</v>
      </c>
      <c r="CV1906" s="113" t="s">
        <v>528</v>
      </c>
      <c r="CX1906" s="36">
        <v>1</v>
      </c>
    </row>
    <row r="1907" spans="91:102" ht="21" customHeight="1" x14ac:dyDescent="0.25">
      <c r="CM1907" s="102"/>
      <c r="CN1907" s="112" t="s">
        <v>4726</v>
      </c>
      <c r="CO1907" s="112" t="s">
        <v>545</v>
      </c>
      <c r="CP1907" s="112" t="s">
        <v>523</v>
      </c>
      <c r="CQ1907" s="112" t="s">
        <v>4727</v>
      </c>
      <c r="CR1907" s="112" t="s">
        <v>4727</v>
      </c>
      <c r="CS1907" s="112" t="s">
        <v>525</v>
      </c>
      <c r="CT1907" s="112" t="s">
        <v>4678</v>
      </c>
      <c r="CU1907" s="112" t="s">
        <v>527</v>
      </c>
      <c r="CV1907" s="113" t="s">
        <v>528</v>
      </c>
      <c r="CX1907" s="36">
        <v>1</v>
      </c>
    </row>
    <row r="1908" spans="91:102" ht="21" customHeight="1" x14ac:dyDescent="0.25">
      <c r="CM1908" s="102"/>
      <c r="CN1908" s="112" t="s">
        <v>4728</v>
      </c>
      <c r="CO1908" s="112" t="s">
        <v>545</v>
      </c>
      <c r="CP1908" s="112" t="s">
        <v>523</v>
      </c>
      <c r="CQ1908" s="112" t="s">
        <v>4729</v>
      </c>
      <c r="CR1908" s="112" t="s">
        <v>4729</v>
      </c>
      <c r="CS1908" s="112" t="s">
        <v>525</v>
      </c>
      <c r="CT1908" s="112" t="s">
        <v>4678</v>
      </c>
      <c r="CU1908" s="112" t="s">
        <v>527</v>
      </c>
      <c r="CV1908" s="113" t="s">
        <v>528</v>
      </c>
      <c r="CX1908" s="36">
        <v>1</v>
      </c>
    </row>
    <row r="1909" spans="91:102" ht="21" customHeight="1" x14ac:dyDescent="0.25">
      <c r="CM1909" s="102"/>
      <c r="CN1909" s="112" t="s">
        <v>4730</v>
      </c>
      <c r="CO1909" s="112" t="s">
        <v>545</v>
      </c>
      <c r="CP1909" s="112" t="s">
        <v>523</v>
      </c>
      <c r="CQ1909" s="112" t="s">
        <v>4731</v>
      </c>
      <c r="CR1909" s="112" t="s">
        <v>4731</v>
      </c>
      <c r="CS1909" s="112" t="s">
        <v>525</v>
      </c>
      <c r="CT1909" s="112" t="s">
        <v>4678</v>
      </c>
      <c r="CU1909" s="112" t="s">
        <v>527</v>
      </c>
      <c r="CV1909" s="113" t="s">
        <v>528</v>
      </c>
      <c r="CX1909" s="36">
        <v>1</v>
      </c>
    </row>
    <row r="1910" spans="91:102" ht="21" customHeight="1" x14ac:dyDescent="0.25">
      <c r="CM1910" s="102"/>
      <c r="CN1910" s="112" t="s">
        <v>4732</v>
      </c>
      <c r="CO1910" s="112" t="s">
        <v>545</v>
      </c>
      <c r="CP1910" s="112" t="s">
        <v>523</v>
      </c>
      <c r="CQ1910" s="112" t="s">
        <v>4733</v>
      </c>
      <c r="CR1910" s="112" t="s">
        <v>4733</v>
      </c>
      <c r="CS1910" s="112" t="s">
        <v>525</v>
      </c>
      <c r="CT1910" s="112" t="s">
        <v>4678</v>
      </c>
      <c r="CU1910" s="112" t="s">
        <v>527</v>
      </c>
      <c r="CV1910" s="113" t="s">
        <v>528</v>
      </c>
      <c r="CX1910" s="36">
        <v>1</v>
      </c>
    </row>
    <row r="1911" spans="91:102" ht="21" customHeight="1" x14ac:dyDescent="0.25">
      <c r="CM1911" s="102"/>
      <c r="CN1911" s="112" t="s">
        <v>4734</v>
      </c>
      <c r="CO1911" s="112" t="s">
        <v>545</v>
      </c>
      <c r="CP1911" s="112" t="s">
        <v>523</v>
      </c>
      <c r="CQ1911" s="112" t="s">
        <v>4735</v>
      </c>
      <c r="CR1911" s="112" t="s">
        <v>4735</v>
      </c>
      <c r="CS1911" s="112" t="s">
        <v>525</v>
      </c>
      <c r="CT1911" s="112" t="s">
        <v>4678</v>
      </c>
      <c r="CU1911" s="112" t="s">
        <v>527</v>
      </c>
      <c r="CV1911" s="113" t="s">
        <v>528</v>
      </c>
      <c r="CX1911" s="36">
        <v>1</v>
      </c>
    </row>
    <row r="1912" spans="91:102" ht="21" customHeight="1" x14ac:dyDescent="0.25">
      <c r="CM1912" s="102"/>
      <c r="CN1912" s="112" t="s">
        <v>4736</v>
      </c>
      <c r="CO1912" s="112" t="s">
        <v>545</v>
      </c>
      <c r="CP1912" s="112" t="s">
        <v>523</v>
      </c>
      <c r="CQ1912" s="112" t="s">
        <v>4737</v>
      </c>
      <c r="CR1912" s="112" t="s">
        <v>4737</v>
      </c>
      <c r="CS1912" s="112" t="s">
        <v>525</v>
      </c>
      <c r="CT1912" s="112" t="s">
        <v>4678</v>
      </c>
      <c r="CU1912" s="112" t="s">
        <v>527</v>
      </c>
      <c r="CV1912" s="113" t="s">
        <v>528</v>
      </c>
      <c r="CX1912" s="36">
        <v>1</v>
      </c>
    </row>
    <row r="1913" spans="91:102" ht="21" customHeight="1" x14ac:dyDescent="0.25">
      <c r="CM1913" s="102"/>
      <c r="CN1913" s="112" t="s">
        <v>4738</v>
      </c>
      <c r="CO1913" s="112" t="s">
        <v>545</v>
      </c>
      <c r="CP1913" s="112" t="s">
        <v>523</v>
      </c>
      <c r="CQ1913" s="112" t="s">
        <v>4739</v>
      </c>
      <c r="CR1913" s="112" t="s">
        <v>4740</v>
      </c>
      <c r="CS1913" s="112" t="s">
        <v>525</v>
      </c>
      <c r="CT1913" s="112" t="s">
        <v>4678</v>
      </c>
      <c r="CU1913" s="112" t="s">
        <v>527</v>
      </c>
      <c r="CV1913" s="113" t="s">
        <v>528</v>
      </c>
      <c r="CX1913" s="36">
        <v>1</v>
      </c>
    </row>
    <row r="1914" spans="91:102" ht="21" customHeight="1" x14ac:dyDescent="0.25">
      <c r="CM1914" s="102"/>
      <c r="CN1914" s="112" t="s">
        <v>4741</v>
      </c>
      <c r="CO1914" s="112" t="s">
        <v>545</v>
      </c>
      <c r="CP1914" s="112" t="s">
        <v>523</v>
      </c>
      <c r="CQ1914" s="112" t="s">
        <v>4742</v>
      </c>
      <c r="CR1914" s="112" t="s">
        <v>4743</v>
      </c>
      <c r="CS1914" s="112" t="s">
        <v>525</v>
      </c>
      <c r="CT1914" s="112" t="s">
        <v>4678</v>
      </c>
      <c r="CU1914" s="112" t="s">
        <v>527</v>
      </c>
      <c r="CV1914" s="113" t="s">
        <v>528</v>
      </c>
      <c r="CX1914" s="36">
        <v>1</v>
      </c>
    </row>
    <row r="1915" spans="91:102" ht="21" customHeight="1" x14ac:dyDescent="0.25">
      <c r="CM1915" s="102"/>
      <c r="CN1915" s="112" t="s">
        <v>4744</v>
      </c>
      <c r="CO1915" s="112" t="s">
        <v>545</v>
      </c>
      <c r="CP1915" s="112" t="s">
        <v>523</v>
      </c>
      <c r="CQ1915" s="112" t="s">
        <v>4745</v>
      </c>
      <c r="CR1915" s="112" t="s">
        <v>4745</v>
      </c>
      <c r="CS1915" s="112" t="s">
        <v>525</v>
      </c>
      <c r="CT1915" s="112" t="s">
        <v>4678</v>
      </c>
      <c r="CU1915" s="112" t="s">
        <v>527</v>
      </c>
      <c r="CV1915" s="113" t="s">
        <v>528</v>
      </c>
      <c r="CX1915" s="36">
        <v>1</v>
      </c>
    </row>
    <row r="1916" spans="91:102" ht="21" customHeight="1" x14ac:dyDescent="0.25">
      <c r="CM1916" s="102"/>
      <c r="CN1916" s="112" t="s">
        <v>4746</v>
      </c>
      <c r="CO1916" s="112" t="s">
        <v>545</v>
      </c>
      <c r="CP1916" s="112" t="s">
        <v>523</v>
      </c>
      <c r="CQ1916" s="112" t="s">
        <v>4747</v>
      </c>
      <c r="CR1916" s="112" t="s">
        <v>4747</v>
      </c>
      <c r="CS1916" s="112" t="s">
        <v>525</v>
      </c>
      <c r="CT1916" s="112" t="s">
        <v>4678</v>
      </c>
      <c r="CU1916" s="112" t="s">
        <v>527</v>
      </c>
      <c r="CV1916" s="113" t="s">
        <v>528</v>
      </c>
      <c r="CX1916" s="36">
        <v>1</v>
      </c>
    </row>
    <row r="1917" spans="91:102" ht="21" customHeight="1" x14ac:dyDescent="0.25">
      <c r="CM1917" s="102"/>
      <c r="CN1917" s="112" t="s">
        <v>4748</v>
      </c>
      <c r="CO1917" s="112" t="s">
        <v>545</v>
      </c>
      <c r="CP1917" s="112" t="s">
        <v>523</v>
      </c>
      <c r="CQ1917" s="112" t="s">
        <v>4749</v>
      </c>
      <c r="CR1917" s="112" t="s">
        <v>4749</v>
      </c>
      <c r="CS1917" s="112" t="s">
        <v>525</v>
      </c>
      <c r="CT1917" s="112" t="s">
        <v>4678</v>
      </c>
      <c r="CU1917" s="112" t="s">
        <v>527</v>
      </c>
      <c r="CV1917" s="113" t="s">
        <v>528</v>
      </c>
      <c r="CX1917" s="36">
        <v>1</v>
      </c>
    </row>
    <row r="1918" spans="91:102" ht="21" customHeight="1" x14ac:dyDescent="0.25">
      <c r="CM1918" s="102"/>
      <c r="CN1918" s="112" t="s">
        <v>4750</v>
      </c>
      <c r="CO1918" s="112" t="s">
        <v>545</v>
      </c>
      <c r="CP1918" s="112" t="s">
        <v>523</v>
      </c>
      <c r="CQ1918" s="112" t="s">
        <v>4751</v>
      </c>
      <c r="CR1918" s="112" t="s">
        <v>4751</v>
      </c>
      <c r="CS1918" s="112" t="s">
        <v>525</v>
      </c>
      <c r="CT1918" s="112" t="s">
        <v>4678</v>
      </c>
      <c r="CU1918" s="112" t="s">
        <v>527</v>
      </c>
      <c r="CV1918" s="113" t="s">
        <v>528</v>
      </c>
      <c r="CX1918" s="36">
        <v>1</v>
      </c>
    </row>
    <row r="1919" spans="91:102" ht="21" customHeight="1" x14ac:dyDescent="0.25">
      <c r="CM1919" s="102"/>
      <c r="CN1919" s="112" t="s">
        <v>4752</v>
      </c>
      <c r="CO1919" s="112" t="s">
        <v>545</v>
      </c>
      <c r="CP1919" s="112" t="s">
        <v>523</v>
      </c>
      <c r="CQ1919" s="112" t="s">
        <v>4753</v>
      </c>
      <c r="CR1919" s="112" t="s">
        <v>4754</v>
      </c>
      <c r="CS1919" s="112" t="s">
        <v>525</v>
      </c>
      <c r="CT1919" s="112" t="s">
        <v>4678</v>
      </c>
      <c r="CU1919" s="112" t="s">
        <v>527</v>
      </c>
      <c r="CV1919" s="113" t="s">
        <v>528</v>
      </c>
      <c r="CX1919" s="36">
        <v>1</v>
      </c>
    </row>
    <row r="1920" spans="91:102" ht="21" customHeight="1" x14ac:dyDescent="0.25">
      <c r="CM1920" s="102"/>
      <c r="CN1920" s="112" t="s">
        <v>4755</v>
      </c>
      <c r="CO1920" s="112" t="s">
        <v>545</v>
      </c>
      <c r="CP1920" s="112" t="s">
        <v>523</v>
      </c>
      <c r="CQ1920" s="112" t="s">
        <v>4756</v>
      </c>
      <c r="CR1920" s="112" t="s">
        <v>4757</v>
      </c>
      <c r="CS1920" s="112" t="s">
        <v>525</v>
      </c>
      <c r="CT1920" s="112" t="s">
        <v>4678</v>
      </c>
      <c r="CU1920" s="112" t="s">
        <v>527</v>
      </c>
      <c r="CV1920" s="113" t="s">
        <v>528</v>
      </c>
      <c r="CX1920" s="36">
        <v>1</v>
      </c>
    </row>
    <row r="1921" spans="91:102" ht="21" customHeight="1" x14ac:dyDescent="0.25">
      <c r="CM1921" s="102"/>
      <c r="CN1921" s="112" t="s">
        <v>4758</v>
      </c>
      <c r="CO1921" s="112" t="s">
        <v>545</v>
      </c>
      <c r="CP1921" s="112" t="s">
        <v>523</v>
      </c>
      <c r="CQ1921" s="112" t="s">
        <v>4759</v>
      </c>
      <c r="CR1921" s="112" t="s">
        <v>4760</v>
      </c>
      <c r="CS1921" s="112" t="s">
        <v>525</v>
      </c>
      <c r="CT1921" s="112" t="s">
        <v>4678</v>
      </c>
      <c r="CU1921" s="112" t="s">
        <v>527</v>
      </c>
      <c r="CV1921" s="113" t="s">
        <v>528</v>
      </c>
      <c r="CX1921" s="36">
        <v>1</v>
      </c>
    </row>
    <row r="1922" spans="91:102" ht="21" customHeight="1" x14ac:dyDescent="0.25">
      <c r="CM1922" s="102"/>
      <c r="CN1922" s="112" t="s">
        <v>4761</v>
      </c>
      <c r="CO1922" s="112" t="s">
        <v>545</v>
      </c>
      <c r="CP1922" s="112" t="s">
        <v>523</v>
      </c>
      <c r="CQ1922" s="112" t="s">
        <v>4762</v>
      </c>
      <c r="CR1922" s="112" t="s">
        <v>4762</v>
      </c>
      <c r="CS1922" s="112" t="s">
        <v>610</v>
      </c>
      <c r="CT1922" s="112" t="s">
        <v>611</v>
      </c>
      <c r="CU1922" s="112" t="s">
        <v>527</v>
      </c>
      <c r="CV1922" s="113" t="s">
        <v>612</v>
      </c>
      <c r="CX1922" s="36">
        <v>1</v>
      </c>
    </row>
    <row r="1923" spans="91:102" ht="21" customHeight="1" x14ac:dyDescent="0.25">
      <c r="CM1923" s="102"/>
      <c r="CN1923" s="112" t="s">
        <v>4763</v>
      </c>
      <c r="CO1923" s="112" t="s">
        <v>545</v>
      </c>
      <c r="CP1923" s="112" t="s">
        <v>523</v>
      </c>
      <c r="CQ1923" s="112" t="s">
        <v>4764</v>
      </c>
      <c r="CR1923" s="112" t="s">
        <v>4764</v>
      </c>
      <c r="CS1923" s="112" t="s">
        <v>525</v>
      </c>
      <c r="CT1923" s="112" t="s">
        <v>4678</v>
      </c>
      <c r="CU1923" s="112" t="s">
        <v>527</v>
      </c>
      <c r="CV1923" s="113" t="s">
        <v>528</v>
      </c>
      <c r="CX1923" s="36">
        <v>1</v>
      </c>
    </row>
    <row r="1924" spans="91:102" ht="21" customHeight="1" x14ac:dyDescent="0.25">
      <c r="CM1924" s="102"/>
      <c r="CN1924" s="112" t="s">
        <v>4765</v>
      </c>
      <c r="CO1924" s="112" t="s">
        <v>545</v>
      </c>
      <c r="CP1924" s="112" t="s">
        <v>523</v>
      </c>
      <c r="CQ1924" s="112" t="s">
        <v>4766</v>
      </c>
      <c r="CR1924" s="112" t="s">
        <v>4766</v>
      </c>
      <c r="CS1924" s="112" t="s">
        <v>525</v>
      </c>
      <c r="CT1924" s="112" t="s">
        <v>4678</v>
      </c>
      <c r="CU1924" s="112" t="s">
        <v>527</v>
      </c>
      <c r="CV1924" s="113" t="s">
        <v>528</v>
      </c>
      <c r="CX1924" s="36">
        <v>1</v>
      </c>
    </row>
    <row r="1925" spans="91:102" ht="21" customHeight="1" x14ac:dyDescent="0.25">
      <c r="CM1925" s="102"/>
      <c r="CN1925" s="112" t="s">
        <v>4767</v>
      </c>
      <c r="CO1925" s="112" t="s">
        <v>545</v>
      </c>
      <c r="CP1925" s="112" t="s">
        <v>523</v>
      </c>
      <c r="CQ1925" s="112" t="s">
        <v>4768</v>
      </c>
      <c r="CR1925" s="112" t="s">
        <v>4768</v>
      </c>
      <c r="CS1925" s="112" t="s">
        <v>610</v>
      </c>
      <c r="CT1925" s="112" t="s">
        <v>611</v>
      </c>
      <c r="CU1925" s="112" t="s">
        <v>527</v>
      </c>
      <c r="CV1925" s="113" t="s">
        <v>612</v>
      </c>
      <c r="CX1925" s="36">
        <v>1</v>
      </c>
    </row>
    <row r="1926" spans="91:102" ht="21" customHeight="1" x14ac:dyDescent="0.25">
      <c r="CM1926" s="102"/>
      <c r="CN1926" s="112" t="s">
        <v>4769</v>
      </c>
      <c r="CO1926" s="112" t="s">
        <v>545</v>
      </c>
      <c r="CP1926" s="112" t="s">
        <v>523</v>
      </c>
      <c r="CQ1926" s="112" t="s">
        <v>4770</v>
      </c>
      <c r="CR1926" s="112" t="s">
        <v>4770</v>
      </c>
      <c r="CS1926" s="112" t="s">
        <v>610</v>
      </c>
      <c r="CT1926" s="112" t="s">
        <v>611</v>
      </c>
      <c r="CU1926" s="112" t="s">
        <v>527</v>
      </c>
      <c r="CV1926" s="113" t="s">
        <v>612</v>
      </c>
      <c r="CX1926" s="36">
        <v>1</v>
      </c>
    </row>
    <row r="1927" spans="91:102" ht="21" customHeight="1" x14ac:dyDescent="0.25">
      <c r="CM1927" s="102"/>
      <c r="CN1927" s="112" t="s">
        <v>4771</v>
      </c>
      <c r="CO1927" s="112" t="s">
        <v>545</v>
      </c>
      <c r="CP1927" s="112" t="s">
        <v>523</v>
      </c>
      <c r="CQ1927" s="112" t="s">
        <v>4772</v>
      </c>
      <c r="CR1927" s="112" t="s">
        <v>4772</v>
      </c>
      <c r="CS1927" s="112" t="s">
        <v>525</v>
      </c>
      <c r="CT1927" s="112" t="s">
        <v>4678</v>
      </c>
      <c r="CU1927" s="112" t="s">
        <v>527</v>
      </c>
      <c r="CV1927" s="113" t="s">
        <v>528</v>
      </c>
      <c r="CX1927" s="36">
        <v>1</v>
      </c>
    </row>
    <row r="1928" spans="91:102" ht="21" customHeight="1" x14ac:dyDescent="0.25">
      <c r="CM1928" s="102"/>
      <c r="CN1928" s="112" t="s">
        <v>4773</v>
      </c>
      <c r="CO1928" s="112" t="s">
        <v>545</v>
      </c>
      <c r="CP1928" s="112" t="s">
        <v>523</v>
      </c>
      <c r="CQ1928" s="112" t="s">
        <v>4774</v>
      </c>
      <c r="CR1928" s="112" t="s">
        <v>4774</v>
      </c>
      <c r="CS1928" s="112" t="s">
        <v>525</v>
      </c>
      <c r="CT1928" s="112" t="s">
        <v>4678</v>
      </c>
      <c r="CU1928" s="112" t="s">
        <v>527</v>
      </c>
      <c r="CV1928" s="113" t="s">
        <v>528</v>
      </c>
      <c r="CX1928" s="36">
        <v>1</v>
      </c>
    </row>
    <row r="1929" spans="91:102" ht="21" customHeight="1" x14ac:dyDescent="0.25">
      <c r="CM1929" s="102"/>
      <c r="CN1929" s="112" t="s">
        <v>4775</v>
      </c>
      <c r="CO1929" s="112" t="s">
        <v>545</v>
      </c>
      <c r="CP1929" s="112" t="s">
        <v>523</v>
      </c>
      <c r="CQ1929" s="112" t="s">
        <v>4776</v>
      </c>
      <c r="CR1929" s="112" t="s">
        <v>4776</v>
      </c>
      <c r="CS1929" s="112" t="s">
        <v>525</v>
      </c>
      <c r="CT1929" s="112" t="s">
        <v>4678</v>
      </c>
      <c r="CU1929" s="112" t="s">
        <v>527</v>
      </c>
      <c r="CV1929" s="113" t="s">
        <v>528</v>
      </c>
      <c r="CX1929" s="36">
        <v>1</v>
      </c>
    </row>
    <row r="1930" spans="91:102" ht="21" customHeight="1" x14ac:dyDescent="0.25">
      <c r="CM1930" s="102"/>
      <c r="CN1930" s="112" t="s">
        <v>4777</v>
      </c>
      <c r="CO1930" s="112" t="s">
        <v>545</v>
      </c>
      <c r="CP1930" s="112" t="s">
        <v>523</v>
      </c>
      <c r="CQ1930" s="112" t="s">
        <v>4778</v>
      </c>
      <c r="CR1930" s="112" t="s">
        <v>4778</v>
      </c>
      <c r="CS1930" s="112" t="s">
        <v>525</v>
      </c>
      <c r="CT1930" s="112" t="s">
        <v>4678</v>
      </c>
      <c r="CU1930" s="112" t="s">
        <v>527</v>
      </c>
      <c r="CV1930" s="113" t="s">
        <v>528</v>
      </c>
      <c r="CX1930" s="36">
        <v>1</v>
      </c>
    </row>
    <row r="1931" spans="91:102" ht="21" customHeight="1" x14ac:dyDescent="0.25">
      <c r="CM1931" s="102"/>
      <c r="CN1931" s="112" t="s">
        <v>4779</v>
      </c>
      <c r="CO1931" s="112" t="s">
        <v>545</v>
      </c>
      <c r="CP1931" s="112" t="s">
        <v>523</v>
      </c>
      <c r="CQ1931" s="112" t="s">
        <v>4780</v>
      </c>
      <c r="CR1931" s="112" t="s">
        <v>4781</v>
      </c>
      <c r="CS1931" s="112" t="s">
        <v>525</v>
      </c>
      <c r="CT1931" s="112" t="s">
        <v>4678</v>
      </c>
      <c r="CU1931" s="112" t="s">
        <v>527</v>
      </c>
      <c r="CV1931" s="113" t="s">
        <v>528</v>
      </c>
      <c r="CX1931" s="36">
        <v>1</v>
      </c>
    </row>
    <row r="1932" spans="91:102" ht="21" customHeight="1" x14ac:dyDescent="0.25">
      <c r="CM1932" s="102"/>
      <c r="CN1932" s="112" t="s">
        <v>4782</v>
      </c>
      <c r="CO1932" s="112" t="s">
        <v>545</v>
      </c>
      <c r="CP1932" s="112" t="s">
        <v>523</v>
      </c>
      <c r="CQ1932" s="112" t="s">
        <v>4783</v>
      </c>
      <c r="CR1932" s="112" t="s">
        <v>4784</v>
      </c>
      <c r="CS1932" s="112" t="s">
        <v>525</v>
      </c>
      <c r="CT1932" s="112" t="s">
        <v>4678</v>
      </c>
      <c r="CU1932" s="112" t="s">
        <v>527</v>
      </c>
      <c r="CV1932" s="113" t="s">
        <v>528</v>
      </c>
      <c r="CX1932" s="36">
        <v>1</v>
      </c>
    </row>
    <row r="1933" spans="91:102" ht="21" customHeight="1" x14ac:dyDescent="0.25">
      <c r="CM1933" s="102"/>
      <c r="CN1933" s="112" t="s">
        <v>4785</v>
      </c>
      <c r="CO1933" s="112" t="s">
        <v>545</v>
      </c>
      <c r="CP1933" s="112" t="s">
        <v>523</v>
      </c>
      <c r="CQ1933" s="112" t="s">
        <v>4786</v>
      </c>
      <c r="CR1933" s="112" t="s">
        <v>4787</v>
      </c>
      <c r="CS1933" s="112" t="s">
        <v>525</v>
      </c>
      <c r="CT1933" s="112" t="s">
        <v>4678</v>
      </c>
      <c r="CU1933" s="112" t="s">
        <v>527</v>
      </c>
      <c r="CV1933" s="113" t="s">
        <v>528</v>
      </c>
      <c r="CX1933" s="36">
        <v>1</v>
      </c>
    </row>
    <row r="1934" spans="91:102" ht="21" customHeight="1" x14ac:dyDescent="0.25">
      <c r="CM1934" s="102"/>
      <c r="CN1934" s="112" t="s">
        <v>4788</v>
      </c>
      <c r="CO1934" s="112" t="s">
        <v>545</v>
      </c>
      <c r="CP1934" s="112" t="s">
        <v>523</v>
      </c>
      <c r="CQ1934" s="112" t="s">
        <v>4789</v>
      </c>
      <c r="CR1934" s="112" t="s">
        <v>4790</v>
      </c>
      <c r="CS1934" s="112" t="s">
        <v>525</v>
      </c>
      <c r="CT1934" s="112" t="s">
        <v>4678</v>
      </c>
      <c r="CU1934" s="112" t="s">
        <v>527</v>
      </c>
      <c r="CV1934" s="113" t="s">
        <v>528</v>
      </c>
      <c r="CX1934" s="36">
        <v>1</v>
      </c>
    </row>
    <row r="1935" spans="91:102" ht="21" customHeight="1" x14ac:dyDescent="0.25">
      <c r="CM1935" s="102"/>
      <c r="CN1935" s="112" t="s">
        <v>4791</v>
      </c>
      <c r="CO1935" s="112" t="s">
        <v>545</v>
      </c>
      <c r="CP1935" s="112" t="s">
        <v>523</v>
      </c>
      <c r="CQ1935" s="112" t="s">
        <v>4792</v>
      </c>
      <c r="CR1935" s="112" t="s">
        <v>4792</v>
      </c>
      <c r="CS1935" s="112" t="s">
        <v>610</v>
      </c>
      <c r="CT1935" s="112" t="s">
        <v>611</v>
      </c>
      <c r="CU1935" s="112" t="s">
        <v>527</v>
      </c>
      <c r="CV1935" s="113" t="s">
        <v>612</v>
      </c>
      <c r="CX1935" s="36">
        <v>1</v>
      </c>
    </row>
    <row r="1936" spans="91:102" ht="21" customHeight="1" x14ac:dyDescent="0.25">
      <c r="CM1936" s="102"/>
      <c r="CN1936" s="112" t="s">
        <v>4793</v>
      </c>
      <c r="CO1936" s="112" t="s">
        <v>545</v>
      </c>
      <c r="CP1936" s="112" t="s">
        <v>523</v>
      </c>
      <c r="CQ1936" s="112" t="s">
        <v>4794</v>
      </c>
      <c r="CR1936" s="112" t="s">
        <v>4794</v>
      </c>
      <c r="CS1936" s="112" t="s">
        <v>610</v>
      </c>
      <c r="CT1936" s="112" t="s">
        <v>611</v>
      </c>
      <c r="CU1936" s="112" t="s">
        <v>527</v>
      </c>
      <c r="CV1936" s="113" t="s">
        <v>612</v>
      </c>
      <c r="CX1936" s="36">
        <v>1</v>
      </c>
    </row>
    <row r="1937" spans="91:102" ht="21" customHeight="1" x14ac:dyDescent="0.25">
      <c r="CM1937" s="102"/>
      <c r="CN1937" s="112" t="s">
        <v>4795</v>
      </c>
      <c r="CO1937" s="112" t="s">
        <v>545</v>
      </c>
      <c r="CP1937" s="112" t="s">
        <v>935</v>
      </c>
      <c r="CQ1937" s="112" t="s">
        <v>4796</v>
      </c>
      <c r="CR1937" s="112" t="s">
        <v>4796</v>
      </c>
      <c r="CS1937" s="112" t="s">
        <v>525</v>
      </c>
      <c r="CT1937" s="112" t="s">
        <v>4406</v>
      </c>
      <c r="CU1937" s="112" t="s">
        <v>527</v>
      </c>
      <c r="CV1937" s="113" t="s">
        <v>528</v>
      </c>
      <c r="CX1937" s="36">
        <v>1</v>
      </c>
    </row>
    <row r="1938" spans="91:102" ht="21" customHeight="1" x14ac:dyDescent="0.25">
      <c r="CM1938" s="102"/>
      <c r="CN1938" s="112" t="s">
        <v>4797</v>
      </c>
      <c r="CO1938" s="112" t="s">
        <v>545</v>
      </c>
      <c r="CP1938" s="112" t="s">
        <v>935</v>
      </c>
      <c r="CQ1938" s="112" t="s">
        <v>4798</v>
      </c>
      <c r="CR1938" s="112" t="s">
        <v>4798</v>
      </c>
      <c r="CS1938" s="112" t="s">
        <v>525</v>
      </c>
      <c r="CT1938" s="112" t="s">
        <v>4406</v>
      </c>
      <c r="CU1938" s="112" t="s">
        <v>527</v>
      </c>
      <c r="CV1938" s="113" t="s">
        <v>528</v>
      </c>
      <c r="CX1938" s="36">
        <v>1</v>
      </c>
    </row>
    <row r="1939" spans="91:102" ht="21" customHeight="1" x14ac:dyDescent="0.25">
      <c r="CM1939" s="102"/>
      <c r="CN1939" s="112" t="s">
        <v>4799</v>
      </c>
      <c r="CO1939" s="112" t="s">
        <v>545</v>
      </c>
      <c r="CP1939" s="112" t="s">
        <v>935</v>
      </c>
      <c r="CQ1939" s="112" t="s">
        <v>4800</v>
      </c>
      <c r="CR1939" s="112" t="s">
        <v>4801</v>
      </c>
      <c r="CS1939" s="112" t="s">
        <v>525</v>
      </c>
      <c r="CT1939" s="112" t="s">
        <v>4406</v>
      </c>
      <c r="CU1939" s="112" t="s">
        <v>527</v>
      </c>
      <c r="CV1939" s="113" t="s">
        <v>528</v>
      </c>
      <c r="CX1939" s="36">
        <v>1</v>
      </c>
    </row>
    <row r="1940" spans="91:102" ht="21" customHeight="1" x14ac:dyDescent="0.25">
      <c r="CM1940" s="102"/>
      <c r="CN1940" s="112" t="s">
        <v>4802</v>
      </c>
      <c r="CO1940" s="112" t="s">
        <v>545</v>
      </c>
      <c r="CP1940" s="112" t="s">
        <v>935</v>
      </c>
      <c r="CQ1940" s="112" t="s">
        <v>4803</v>
      </c>
      <c r="CR1940" s="112" t="s">
        <v>4804</v>
      </c>
      <c r="CS1940" s="112" t="s">
        <v>525</v>
      </c>
      <c r="CT1940" s="112" t="s">
        <v>4406</v>
      </c>
      <c r="CU1940" s="112" t="s">
        <v>527</v>
      </c>
      <c r="CV1940" s="113" t="s">
        <v>528</v>
      </c>
      <c r="CX1940" s="36">
        <v>1</v>
      </c>
    </row>
    <row r="1941" spans="91:102" ht="21" customHeight="1" x14ac:dyDescent="0.25">
      <c r="CM1941" s="102"/>
      <c r="CN1941" s="112" t="s">
        <v>4805</v>
      </c>
      <c r="CO1941" s="112" t="s">
        <v>545</v>
      </c>
      <c r="CP1941" s="112" t="s">
        <v>935</v>
      </c>
      <c r="CQ1941" s="112" t="s">
        <v>4451</v>
      </c>
      <c r="CR1941" s="112" t="s">
        <v>4452</v>
      </c>
      <c r="CS1941" s="112" t="s">
        <v>525</v>
      </c>
      <c r="CT1941" s="112" t="s">
        <v>4406</v>
      </c>
      <c r="CU1941" s="112" t="s">
        <v>527</v>
      </c>
      <c r="CV1941" s="113" t="s">
        <v>528</v>
      </c>
      <c r="CX1941" s="36">
        <v>1</v>
      </c>
    </row>
    <row r="1942" spans="91:102" ht="21" customHeight="1" x14ac:dyDescent="0.25">
      <c r="CM1942" s="102"/>
      <c r="CN1942" s="112" t="s">
        <v>4806</v>
      </c>
      <c r="CO1942" s="112" t="s">
        <v>545</v>
      </c>
      <c r="CP1942" s="112" t="s">
        <v>935</v>
      </c>
      <c r="CQ1942" s="112" t="s">
        <v>4807</v>
      </c>
      <c r="CR1942" s="112" t="s">
        <v>4807</v>
      </c>
      <c r="CS1942" s="112" t="s">
        <v>525</v>
      </c>
      <c r="CT1942" s="112" t="s">
        <v>4406</v>
      </c>
      <c r="CU1942" s="112" t="s">
        <v>527</v>
      </c>
      <c r="CV1942" s="113" t="s">
        <v>528</v>
      </c>
      <c r="CX1942" s="36">
        <v>1</v>
      </c>
    </row>
    <row r="1943" spans="91:102" ht="21" customHeight="1" x14ac:dyDescent="0.25">
      <c r="CM1943" s="102"/>
      <c r="CN1943" s="112" t="s">
        <v>4808</v>
      </c>
      <c r="CO1943" s="112" t="s">
        <v>545</v>
      </c>
      <c r="CP1943" s="112" t="s">
        <v>935</v>
      </c>
      <c r="CQ1943" s="112" t="s">
        <v>4809</v>
      </c>
      <c r="CR1943" s="112" t="s">
        <v>4809</v>
      </c>
      <c r="CS1943" s="112" t="s">
        <v>525</v>
      </c>
      <c r="CT1943" s="112" t="s">
        <v>4406</v>
      </c>
      <c r="CU1943" s="112" t="s">
        <v>527</v>
      </c>
      <c r="CV1943" s="113" t="s">
        <v>528</v>
      </c>
      <c r="CX1943" s="36">
        <v>1</v>
      </c>
    </row>
    <row r="1944" spans="91:102" ht="21" customHeight="1" x14ac:dyDescent="0.25">
      <c r="CM1944" s="102"/>
      <c r="CN1944" s="112" t="s">
        <v>4810</v>
      </c>
      <c r="CO1944" s="112" t="s">
        <v>545</v>
      </c>
      <c r="CP1944" s="112" t="s">
        <v>935</v>
      </c>
      <c r="CQ1944" s="112" t="s">
        <v>4811</v>
      </c>
      <c r="CR1944" s="112" t="s">
        <v>4811</v>
      </c>
      <c r="CS1944" s="112" t="s">
        <v>525</v>
      </c>
      <c r="CT1944" s="112" t="s">
        <v>4406</v>
      </c>
      <c r="CU1944" s="112" t="s">
        <v>527</v>
      </c>
      <c r="CV1944" s="113" t="s">
        <v>528</v>
      </c>
      <c r="CX1944" s="36">
        <v>1</v>
      </c>
    </row>
    <row r="1945" spans="91:102" ht="21" customHeight="1" x14ac:dyDescent="0.25">
      <c r="CM1945" s="102"/>
      <c r="CN1945" s="112" t="s">
        <v>4812</v>
      </c>
      <c r="CO1945" s="112" t="s">
        <v>545</v>
      </c>
      <c r="CP1945" s="112" t="s">
        <v>935</v>
      </c>
      <c r="CQ1945" s="112" t="s">
        <v>4487</v>
      </c>
      <c r="CR1945" s="112" t="s">
        <v>4487</v>
      </c>
      <c r="CS1945" s="112" t="s">
        <v>525</v>
      </c>
      <c r="CT1945" s="112" t="s">
        <v>4406</v>
      </c>
      <c r="CU1945" s="112" t="s">
        <v>527</v>
      </c>
      <c r="CV1945" s="113" t="s">
        <v>528</v>
      </c>
      <c r="CX1945" s="36">
        <v>1</v>
      </c>
    </row>
    <row r="1946" spans="91:102" ht="21" customHeight="1" x14ac:dyDescent="0.25">
      <c r="CM1946" s="102"/>
      <c r="CN1946" s="112" t="s">
        <v>4813</v>
      </c>
      <c r="CO1946" s="112" t="s">
        <v>545</v>
      </c>
      <c r="CP1946" s="112" t="s">
        <v>935</v>
      </c>
      <c r="CQ1946" s="112" t="s">
        <v>4814</v>
      </c>
      <c r="CR1946" s="112" t="s">
        <v>4814</v>
      </c>
      <c r="CS1946" s="112" t="s">
        <v>525</v>
      </c>
      <c r="CT1946" s="112" t="s">
        <v>4406</v>
      </c>
      <c r="CU1946" s="112" t="s">
        <v>527</v>
      </c>
      <c r="CV1946" s="113" t="s">
        <v>528</v>
      </c>
      <c r="CX1946" s="36">
        <v>1</v>
      </c>
    </row>
    <row r="1947" spans="91:102" ht="21" customHeight="1" x14ac:dyDescent="0.25">
      <c r="CM1947" s="102"/>
      <c r="CN1947" s="112" t="s">
        <v>4815</v>
      </c>
      <c r="CO1947" s="112" t="s">
        <v>545</v>
      </c>
      <c r="CP1947" s="112" t="s">
        <v>935</v>
      </c>
      <c r="CQ1947" s="112" t="s">
        <v>4816</v>
      </c>
      <c r="CR1947" s="112" t="s">
        <v>4816</v>
      </c>
      <c r="CS1947" s="112" t="s">
        <v>525</v>
      </c>
      <c r="CT1947" s="112" t="s">
        <v>4406</v>
      </c>
      <c r="CU1947" s="112" t="s">
        <v>527</v>
      </c>
      <c r="CV1947" s="113" t="s">
        <v>528</v>
      </c>
      <c r="CX1947" s="36">
        <v>1</v>
      </c>
    </row>
    <row r="1948" spans="91:102" ht="21" customHeight="1" x14ac:dyDescent="0.25">
      <c r="CM1948" s="102"/>
      <c r="CN1948" s="112" t="s">
        <v>4817</v>
      </c>
      <c r="CO1948" s="112" t="s">
        <v>545</v>
      </c>
      <c r="CP1948" s="112" t="s">
        <v>935</v>
      </c>
      <c r="CQ1948" s="112" t="s">
        <v>4818</v>
      </c>
      <c r="CR1948" s="112" t="s">
        <v>4818</v>
      </c>
      <c r="CS1948" s="112" t="s">
        <v>525</v>
      </c>
      <c r="CT1948" s="112" t="s">
        <v>4406</v>
      </c>
      <c r="CU1948" s="112" t="s">
        <v>527</v>
      </c>
      <c r="CV1948" s="113" t="s">
        <v>528</v>
      </c>
      <c r="CX1948" s="36">
        <v>1</v>
      </c>
    </row>
    <row r="1949" spans="91:102" ht="21" customHeight="1" x14ac:dyDescent="0.25">
      <c r="CM1949" s="102"/>
      <c r="CN1949" s="112" t="s">
        <v>4819</v>
      </c>
      <c r="CO1949" s="112" t="s">
        <v>545</v>
      </c>
      <c r="CP1949" s="112" t="s">
        <v>935</v>
      </c>
      <c r="CQ1949" s="112" t="s">
        <v>4820</v>
      </c>
      <c r="CR1949" s="112" t="s">
        <v>4821</v>
      </c>
      <c r="CS1949" s="112" t="s">
        <v>525</v>
      </c>
      <c r="CT1949" s="112" t="s">
        <v>4406</v>
      </c>
      <c r="CU1949" s="112" t="s">
        <v>527</v>
      </c>
      <c r="CV1949" s="113" t="s">
        <v>528</v>
      </c>
      <c r="CX1949" s="36">
        <v>1</v>
      </c>
    </row>
    <row r="1950" spans="91:102" ht="21" customHeight="1" x14ac:dyDescent="0.25">
      <c r="CM1950" s="102"/>
      <c r="CN1950" s="112" t="s">
        <v>4822</v>
      </c>
      <c r="CO1950" s="112" t="s">
        <v>545</v>
      </c>
      <c r="CP1950" s="112" t="s">
        <v>935</v>
      </c>
      <c r="CQ1950" s="112" t="s">
        <v>4823</v>
      </c>
      <c r="CR1950" s="112" t="s">
        <v>4823</v>
      </c>
      <c r="CS1950" s="112" t="s">
        <v>525</v>
      </c>
      <c r="CT1950" s="112" t="s">
        <v>4406</v>
      </c>
      <c r="CU1950" s="112" t="s">
        <v>527</v>
      </c>
      <c r="CV1950" s="113" t="s">
        <v>528</v>
      </c>
      <c r="CX1950" s="36">
        <v>1</v>
      </c>
    </row>
    <row r="1951" spans="91:102" ht="21" customHeight="1" x14ac:dyDescent="0.25">
      <c r="CM1951" s="102"/>
      <c r="CN1951" s="112" t="s">
        <v>4824</v>
      </c>
      <c r="CO1951" s="112" t="s">
        <v>545</v>
      </c>
      <c r="CP1951" s="112" t="s">
        <v>935</v>
      </c>
      <c r="CQ1951" s="112" t="s">
        <v>4825</v>
      </c>
      <c r="CR1951" s="112" t="s">
        <v>4825</v>
      </c>
      <c r="CS1951" s="112" t="s">
        <v>525</v>
      </c>
      <c r="CT1951" s="112" t="s">
        <v>4406</v>
      </c>
      <c r="CU1951" s="112" t="s">
        <v>527</v>
      </c>
      <c r="CV1951" s="113" t="s">
        <v>528</v>
      </c>
      <c r="CX1951" s="36">
        <v>1</v>
      </c>
    </row>
    <row r="1952" spans="91:102" ht="21" customHeight="1" x14ac:dyDescent="0.25">
      <c r="CM1952" s="102"/>
      <c r="CN1952" s="112" t="s">
        <v>4826</v>
      </c>
      <c r="CO1952" s="112" t="s">
        <v>545</v>
      </c>
      <c r="CP1952" s="112" t="s">
        <v>935</v>
      </c>
      <c r="CQ1952" s="112" t="s">
        <v>4827</v>
      </c>
      <c r="CR1952" s="112" t="s">
        <v>4827</v>
      </c>
      <c r="CS1952" s="112" t="s">
        <v>525</v>
      </c>
      <c r="CT1952" s="112" t="s">
        <v>4406</v>
      </c>
      <c r="CU1952" s="112" t="s">
        <v>527</v>
      </c>
      <c r="CV1952" s="113" t="s">
        <v>528</v>
      </c>
      <c r="CX1952" s="36">
        <v>1</v>
      </c>
    </row>
    <row r="1953" spans="91:102" ht="21" customHeight="1" x14ac:dyDescent="0.25">
      <c r="CM1953" s="102"/>
      <c r="CN1953" s="112" t="s">
        <v>4828</v>
      </c>
      <c r="CO1953" s="112" t="s">
        <v>545</v>
      </c>
      <c r="CP1953" s="112" t="s">
        <v>935</v>
      </c>
      <c r="CQ1953" s="112" t="s">
        <v>4829</v>
      </c>
      <c r="CR1953" s="112" t="s">
        <v>4829</v>
      </c>
      <c r="CS1953" s="112" t="s">
        <v>525</v>
      </c>
      <c r="CT1953" s="112" t="s">
        <v>4406</v>
      </c>
      <c r="CU1953" s="112" t="s">
        <v>527</v>
      </c>
      <c r="CV1953" s="113" t="s">
        <v>528</v>
      </c>
      <c r="CX1953" s="36">
        <v>1</v>
      </c>
    </row>
    <row r="1954" spans="91:102" ht="21" customHeight="1" x14ac:dyDescent="0.25">
      <c r="CM1954" s="102"/>
      <c r="CN1954" s="112" t="s">
        <v>4830</v>
      </c>
      <c r="CO1954" s="112" t="s">
        <v>545</v>
      </c>
      <c r="CP1954" s="112" t="s">
        <v>935</v>
      </c>
      <c r="CQ1954" s="112" t="s">
        <v>4831</v>
      </c>
      <c r="CR1954" s="112" t="s">
        <v>4831</v>
      </c>
      <c r="CS1954" s="112" t="s">
        <v>525</v>
      </c>
      <c r="CT1954" s="112" t="s">
        <v>4406</v>
      </c>
      <c r="CU1954" s="112" t="s">
        <v>527</v>
      </c>
      <c r="CV1954" s="113" t="s">
        <v>528</v>
      </c>
      <c r="CX1954" s="36">
        <v>1</v>
      </c>
    </row>
    <row r="1955" spans="91:102" ht="21" customHeight="1" x14ac:dyDescent="0.25">
      <c r="CM1955" s="102"/>
      <c r="CN1955" s="112" t="s">
        <v>4832</v>
      </c>
      <c r="CO1955" s="112" t="s">
        <v>545</v>
      </c>
      <c r="CP1955" s="112" t="s">
        <v>935</v>
      </c>
      <c r="CQ1955" s="112" t="s">
        <v>4833</v>
      </c>
      <c r="CR1955" s="112" t="s">
        <v>4833</v>
      </c>
      <c r="CS1955" s="112" t="s">
        <v>525</v>
      </c>
      <c r="CT1955" s="112" t="s">
        <v>4406</v>
      </c>
      <c r="CU1955" s="112" t="s">
        <v>527</v>
      </c>
      <c r="CV1955" s="113" t="s">
        <v>528</v>
      </c>
      <c r="CX1955" s="36">
        <v>1</v>
      </c>
    </row>
    <row r="1956" spans="91:102" ht="21" customHeight="1" x14ac:dyDescent="0.25">
      <c r="CM1956" s="102"/>
      <c r="CN1956" s="112" t="s">
        <v>4834</v>
      </c>
      <c r="CO1956" s="112" t="s">
        <v>545</v>
      </c>
      <c r="CP1956" s="112" t="s">
        <v>935</v>
      </c>
      <c r="CQ1956" s="112" t="s">
        <v>4835</v>
      </c>
      <c r="CR1956" s="112" t="s">
        <v>4835</v>
      </c>
      <c r="CS1956" s="112" t="s">
        <v>525</v>
      </c>
      <c r="CT1956" s="112" t="s">
        <v>4406</v>
      </c>
      <c r="CU1956" s="112" t="s">
        <v>527</v>
      </c>
      <c r="CV1956" s="113" t="s">
        <v>528</v>
      </c>
      <c r="CX1956" s="36">
        <v>1</v>
      </c>
    </row>
    <row r="1957" spans="91:102" ht="21" customHeight="1" x14ac:dyDescent="0.25">
      <c r="CM1957" s="102"/>
      <c r="CN1957" s="112" t="s">
        <v>4836</v>
      </c>
      <c r="CO1957" s="112" t="s">
        <v>545</v>
      </c>
      <c r="CP1957" s="112" t="s">
        <v>935</v>
      </c>
      <c r="CQ1957" s="112" t="s">
        <v>4837</v>
      </c>
      <c r="CR1957" s="112" t="s">
        <v>4837</v>
      </c>
      <c r="CS1957" s="112" t="s">
        <v>525</v>
      </c>
      <c r="CT1957" s="112" t="s">
        <v>4406</v>
      </c>
      <c r="CU1957" s="112" t="s">
        <v>527</v>
      </c>
      <c r="CV1957" s="113" t="s">
        <v>528</v>
      </c>
      <c r="CX1957" s="36">
        <v>1</v>
      </c>
    </row>
    <row r="1958" spans="91:102" ht="21" customHeight="1" x14ac:dyDescent="0.25">
      <c r="CM1958" s="102"/>
      <c r="CN1958" s="112" t="s">
        <v>4838</v>
      </c>
      <c r="CO1958" s="112" t="s">
        <v>545</v>
      </c>
      <c r="CP1958" s="112" t="s">
        <v>935</v>
      </c>
      <c r="CQ1958" s="112" t="s">
        <v>4839</v>
      </c>
      <c r="CR1958" s="112" t="s">
        <v>4839</v>
      </c>
      <c r="CS1958" s="112" t="s">
        <v>525</v>
      </c>
      <c r="CT1958" s="112" t="s">
        <v>4406</v>
      </c>
      <c r="CU1958" s="112" t="s">
        <v>527</v>
      </c>
      <c r="CV1958" s="113" t="s">
        <v>528</v>
      </c>
      <c r="CX1958" s="36">
        <v>1</v>
      </c>
    </row>
    <row r="1959" spans="91:102" ht="21" customHeight="1" x14ac:dyDescent="0.25">
      <c r="CM1959" s="102"/>
      <c r="CN1959" s="112" t="s">
        <v>4840</v>
      </c>
      <c r="CO1959" s="112" t="s">
        <v>545</v>
      </c>
      <c r="CP1959" s="112" t="s">
        <v>935</v>
      </c>
      <c r="CQ1959" s="112" t="s">
        <v>4841</v>
      </c>
      <c r="CR1959" s="112" t="s">
        <v>4841</v>
      </c>
      <c r="CS1959" s="112" t="s">
        <v>525</v>
      </c>
      <c r="CT1959" s="112" t="s">
        <v>4406</v>
      </c>
      <c r="CU1959" s="112" t="s">
        <v>527</v>
      </c>
      <c r="CV1959" s="113" t="s">
        <v>528</v>
      </c>
      <c r="CX1959" s="36">
        <v>1</v>
      </c>
    </row>
    <row r="1960" spans="91:102" ht="21" customHeight="1" x14ac:dyDescent="0.25">
      <c r="CM1960" s="102"/>
      <c r="CN1960" s="112" t="s">
        <v>4842</v>
      </c>
      <c r="CO1960" s="112" t="s">
        <v>545</v>
      </c>
      <c r="CP1960" s="112" t="s">
        <v>1119</v>
      </c>
      <c r="CQ1960" s="112" t="s">
        <v>4843</v>
      </c>
      <c r="CR1960" s="112" t="s">
        <v>4843</v>
      </c>
      <c r="CS1960" s="112" t="s">
        <v>525</v>
      </c>
      <c r="CT1960" s="112" t="s">
        <v>3553</v>
      </c>
      <c r="CU1960" s="112" t="s">
        <v>527</v>
      </c>
      <c r="CV1960" s="113" t="s">
        <v>528</v>
      </c>
      <c r="CX1960" s="36">
        <v>1</v>
      </c>
    </row>
    <row r="1961" spans="91:102" ht="21" customHeight="1" x14ac:dyDescent="0.25">
      <c r="CM1961" s="102"/>
      <c r="CN1961" s="112" t="s">
        <v>4844</v>
      </c>
      <c r="CO1961" s="112" t="s">
        <v>545</v>
      </c>
      <c r="CP1961" s="112" t="s">
        <v>1119</v>
      </c>
      <c r="CQ1961" s="112" t="s">
        <v>4845</v>
      </c>
      <c r="CR1961" s="112" t="s">
        <v>4846</v>
      </c>
      <c r="CS1961" s="112" t="s">
        <v>525</v>
      </c>
      <c r="CT1961" s="112" t="s">
        <v>3553</v>
      </c>
      <c r="CU1961" s="112" t="s">
        <v>527</v>
      </c>
      <c r="CV1961" s="113" t="s">
        <v>528</v>
      </c>
      <c r="CX1961" s="36">
        <v>1</v>
      </c>
    </row>
    <row r="1962" spans="91:102" ht="21" customHeight="1" x14ac:dyDescent="0.25">
      <c r="CM1962" s="102"/>
      <c r="CN1962" s="112" t="s">
        <v>4847</v>
      </c>
      <c r="CO1962" s="112" t="s">
        <v>545</v>
      </c>
      <c r="CP1962" s="112" t="s">
        <v>1119</v>
      </c>
      <c r="CQ1962" s="112" t="s">
        <v>4848</v>
      </c>
      <c r="CR1962" s="112" t="s">
        <v>4848</v>
      </c>
      <c r="CS1962" s="112" t="s">
        <v>525</v>
      </c>
      <c r="CT1962" s="112" t="s">
        <v>3553</v>
      </c>
      <c r="CU1962" s="112" t="s">
        <v>527</v>
      </c>
      <c r="CV1962" s="113" t="s">
        <v>528</v>
      </c>
      <c r="CX1962" s="36">
        <v>1</v>
      </c>
    </row>
    <row r="1963" spans="91:102" ht="21" customHeight="1" x14ac:dyDescent="0.25">
      <c r="CM1963" s="102"/>
      <c r="CN1963" s="112" t="s">
        <v>4849</v>
      </c>
      <c r="CO1963" s="112" t="s">
        <v>545</v>
      </c>
      <c r="CP1963" s="112" t="s">
        <v>1119</v>
      </c>
      <c r="CQ1963" s="112" t="s">
        <v>744</v>
      </c>
      <c r="CR1963" s="112" t="s">
        <v>744</v>
      </c>
      <c r="CS1963" s="112" t="s">
        <v>525</v>
      </c>
      <c r="CT1963" s="112" t="s">
        <v>3553</v>
      </c>
      <c r="CU1963" s="112" t="s">
        <v>527</v>
      </c>
      <c r="CV1963" s="113" t="s">
        <v>528</v>
      </c>
      <c r="CX1963" s="36">
        <v>1</v>
      </c>
    </row>
    <row r="1964" spans="91:102" ht="21" customHeight="1" x14ac:dyDescent="0.25">
      <c r="CM1964" s="102"/>
      <c r="CN1964" s="112" t="s">
        <v>4850</v>
      </c>
      <c r="CO1964" s="112" t="s">
        <v>545</v>
      </c>
      <c r="CP1964" s="112" t="s">
        <v>1119</v>
      </c>
      <c r="CQ1964" s="112" t="s">
        <v>746</v>
      </c>
      <c r="CR1964" s="112" t="s">
        <v>746</v>
      </c>
      <c r="CS1964" s="112" t="s">
        <v>525</v>
      </c>
      <c r="CT1964" s="112" t="s">
        <v>3553</v>
      </c>
      <c r="CU1964" s="112" t="s">
        <v>527</v>
      </c>
      <c r="CV1964" s="113" t="s">
        <v>528</v>
      </c>
      <c r="CX1964" s="36">
        <v>1</v>
      </c>
    </row>
    <row r="1965" spans="91:102" ht="21" customHeight="1" x14ac:dyDescent="0.25">
      <c r="CM1965" s="102"/>
      <c r="CN1965" s="112" t="s">
        <v>4851</v>
      </c>
      <c r="CO1965" s="112" t="s">
        <v>545</v>
      </c>
      <c r="CP1965" s="112" t="s">
        <v>1119</v>
      </c>
      <c r="CQ1965" s="112" t="s">
        <v>4852</v>
      </c>
      <c r="CR1965" s="112" t="s">
        <v>4852</v>
      </c>
      <c r="CS1965" s="112" t="s">
        <v>610</v>
      </c>
      <c r="CT1965" s="112" t="s">
        <v>1126</v>
      </c>
      <c r="CU1965" s="112" t="s">
        <v>527</v>
      </c>
      <c r="CV1965" s="113" t="s">
        <v>612</v>
      </c>
      <c r="CX1965" s="36">
        <v>1</v>
      </c>
    </row>
    <row r="1966" spans="91:102" ht="21" customHeight="1" x14ac:dyDescent="0.25">
      <c r="CM1966" s="102"/>
      <c r="CN1966" s="112" t="s">
        <v>4853</v>
      </c>
      <c r="CO1966" s="112" t="s">
        <v>545</v>
      </c>
      <c r="CP1966" s="112" t="s">
        <v>1119</v>
      </c>
      <c r="CQ1966" s="112" t="s">
        <v>4854</v>
      </c>
      <c r="CR1966" s="112" t="s">
        <v>4855</v>
      </c>
      <c r="CS1966" s="112" t="s">
        <v>525</v>
      </c>
      <c r="CT1966" s="112" t="s">
        <v>3553</v>
      </c>
      <c r="CU1966" s="112" t="s">
        <v>527</v>
      </c>
      <c r="CV1966" s="113" t="s">
        <v>528</v>
      </c>
      <c r="CX1966" s="36">
        <v>1</v>
      </c>
    </row>
    <row r="1967" spans="91:102" ht="21" customHeight="1" x14ac:dyDescent="0.25">
      <c r="CM1967" s="102"/>
      <c r="CN1967" s="112" t="s">
        <v>4856</v>
      </c>
      <c r="CO1967" s="112" t="s">
        <v>545</v>
      </c>
      <c r="CP1967" s="112" t="s">
        <v>1119</v>
      </c>
      <c r="CQ1967" s="112" t="s">
        <v>4857</v>
      </c>
      <c r="CR1967" s="112" t="s">
        <v>4857</v>
      </c>
      <c r="CS1967" s="112" t="s">
        <v>525</v>
      </c>
      <c r="CT1967" s="112" t="s">
        <v>3553</v>
      </c>
      <c r="CU1967" s="112" t="s">
        <v>527</v>
      </c>
      <c r="CV1967" s="113" t="s">
        <v>528</v>
      </c>
      <c r="CX1967" s="36">
        <v>1</v>
      </c>
    </row>
    <row r="1968" spans="91:102" ht="21" customHeight="1" x14ac:dyDescent="0.25">
      <c r="CM1968" s="102"/>
      <c r="CN1968" s="112" t="s">
        <v>4858</v>
      </c>
      <c r="CO1968" s="112" t="s">
        <v>545</v>
      </c>
      <c r="CP1968" s="112" t="s">
        <v>1119</v>
      </c>
      <c r="CQ1968" s="112" t="s">
        <v>4859</v>
      </c>
      <c r="CR1968" s="112" t="s">
        <v>4859</v>
      </c>
      <c r="CS1968" s="112" t="s">
        <v>525</v>
      </c>
      <c r="CT1968" s="112" t="s">
        <v>3553</v>
      </c>
      <c r="CU1968" s="112" t="s">
        <v>527</v>
      </c>
      <c r="CV1968" s="113" t="s">
        <v>528</v>
      </c>
      <c r="CX1968" s="36">
        <v>1</v>
      </c>
    </row>
    <row r="1969" spans="91:102" ht="21" customHeight="1" x14ac:dyDescent="0.25">
      <c r="CM1969" s="102"/>
      <c r="CN1969" s="112" t="s">
        <v>4860</v>
      </c>
      <c r="CO1969" s="112" t="s">
        <v>545</v>
      </c>
      <c r="CP1969" s="112" t="s">
        <v>1119</v>
      </c>
      <c r="CQ1969" s="112" t="s">
        <v>4861</v>
      </c>
      <c r="CR1969" s="112" t="s">
        <v>4861</v>
      </c>
      <c r="CS1969" s="112" t="s">
        <v>525</v>
      </c>
      <c r="CT1969" s="112" t="s">
        <v>3553</v>
      </c>
      <c r="CU1969" s="112" t="s">
        <v>527</v>
      </c>
      <c r="CV1969" s="113" t="s">
        <v>528</v>
      </c>
      <c r="CX1969" s="36">
        <v>1</v>
      </c>
    </row>
    <row r="1970" spans="91:102" ht="21" customHeight="1" x14ac:dyDescent="0.25">
      <c r="CM1970" s="102"/>
      <c r="CN1970" s="112" t="s">
        <v>4862</v>
      </c>
      <c r="CO1970" s="112" t="s">
        <v>545</v>
      </c>
      <c r="CP1970" s="112" t="s">
        <v>1119</v>
      </c>
      <c r="CQ1970" s="112" t="s">
        <v>4863</v>
      </c>
      <c r="CR1970" s="112" t="s">
        <v>4863</v>
      </c>
      <c r="CS1970" s="112" t="s">
        <v>525</v>
      </c>
      <c r="CT1970" s="112" t="s">
        <v>3553</v>
      </c>
      <c r="CU1970" s="112" t="s">
        <v>527</v>
      </c>
      <c r="CV1970" s="113" t="s">
        <v>528</v>
      </c>
      <c r="CX1970" s="36">
        <v>1</v>
      </c>
    </row>
    <row r="1971" spans="91:102" ht="21" customHeight="1" x14ac:dyDescent="0.25">
      <c r="CM1971" s="102"/>
      <c r="CN1971" s="112" t="s">
        <v>4864</v>
      </c>
      <c r="CO1971" s="112" t="s">
        <v>545</v>
      </c>
      <c r="CP1971" s="112" t="s">
        <v>1119</v>
      </c>
      <c r="CQ1971" s="112" t="s">
        <v>4865</v>
      </c>
      <c r="CR1971" s="112" t="s">
        <v>4865</v>
      </c>
      <c r="CS1971" s="112" t="s">
        <v>610</v>
      </c>
      <c r="CT1971" s="112" t="s">
        <v>1126</v>
      </c>
      <c r="CU1971" s="112" t="s">
        <v>527</v>
      </c>
      <c r="CV1971" s="113" t="s">
        <v>612</v>
      </c>
      <c r="CX1971" s="36">
        <v>1</v>
      </c>
    </row>
    <row r="1972" spans="91:102" ht="21" customHeight="1" x14ac:dyDescent="0.25">
      <c r="CM1972" s="102"/>
      <c r="CN1972" s="112" t="s">
        <v>4866</v>
      </c>
      <c r="CO1972" s="112" t="s">
        <v>545</v>
      </c>
      <c r="CP1972" s="112" t="s">
        <v>1119</v>
      </c>
      <c r="CQ1972" s="112" t="s">
        <v>4867</v>
      </c>
      <c r="CR1972" s="112" t="s">
        <v>4868</v>
      </c>
      <c r="CS1972" s="112" t="s">
        <v>525</v>
      </c>
      <c r="CT1972" s="112" t="s">
        <v>3553</v>
      </c>
      <c r="CU1972" s="112" t="s">
        <v>527</v>
      </c>
      <c r="CV1972" s="113" t="s">
        <v>528</v>
      </c>
      <c r="CX1972" s="36">
        <v>1</v>
      </c>
    </row>
    <row r="1973" spans="91:102" ht="21" customHeight="1" x14ac:dyDescent="0.25">
      <c r="CM1973" s="102"/>
      <c r="CN1973" s="112" t="s">
        <v>4869</v>
      </c>
      <c r="CO1973" s="112" t="s">
        <v>545</v>
      </c>
      <c r="CP1973" s="112" t="s">
        <v>1119</v>
      </c>
      <c r="CQ1973" s="112" t="s">
        <v>4870</v>
      </c>
      <c r="CR1973" s="112" t="s">
        <v>4870</v>
      </c>
      <c r="CS1973" s="112" t="s">
        <v>525</v>
      </c>
      <c r="CT1973" s="112" t="s">
        <v>3553</v>
      </c>
      <c r="CU1973" s="112" t="s">
        <v>527</v>
      </c>
      <c r="CV1973" s="113" t="s">
        <v>528</v>
      </c>
      <c r="CX1973" s="36">
        <v>1</v>
      </c>
    </row>
    <row r="1974" spans="91:102" ht="21" customHeight="1" x14ac:dyDescent="0.25">
      <c r="CM1974" s="102"/>
      <c r="CN1974" s="112" t="s">
        <v>4871</v>
      </c>
      <c r="CO1974" s="112" t="s">
        <v>545</v>
      </c>
      <c r="CP1974" s="112" t="s">
        <v>1119</v>
      </c>
      <c r="CQ1974" s="112" t="s">
        <v>4605</v>
      </c>
      <c r="CR1974" s="112" t="s">
        <v>4605</v>
      </c>
      <c r="CS1974" s="112" t="s">
        <v>525</v>
      </c>
      <c r="CT1974" s="112" t="s">
        <v>3553</v>
      </c>
      <c r="CU1974" s="112" t="s">
        <v>527</v>
      </c>
      <c r="CV1974" s="113" t="s">
        <v>528</v>
      </c>
      <c r="CX1974" s="36">
        <v>1</v>
      </c>
    </row>
    <row r="1975" spans="91:102" ht="21" customHeight="1" x14ac:dyDescent="0.25">
      <c r="CM1975" s="102"/>
      <c r="CN1975" s="112" t="s">
        <v>4872</v>
      </c>
      <c r="CO1975" s="112" t="s">
        <v>545</v>
      </c>
      <c r="CP1975" s="112" t="s">
        <v>1119</v>
      </c>
      <c r="CQ1975" s="112" t="s">
        <v>4873</v>
      </c>
      <c r="CR1975" s="112" t="s">
        <v>4873</v>
      </c>
      <c r="CS1975" s="112" t="s">
        <v>525</v>
      </c>
      <c r="CT1975" s="112" t="s">
        <v>3553</v>
      </c>
      <c r="CU1975" s="112" t="s">
        <v>527</v>
      </c>
      <c r="CV1975" s="113" t="s">
        <v>528</v>
      </c>
      <c r="CX1975" s="36">
        <v>1</v>
      </c>
    </row>
    <row r="1976" spans="91:102" ht="21" customHeight="1" x14ac:dyDescent="0.25">
      <c r="CM1976" s="102"/>
      <c r="CN1976" s="112" t="s">
        <v>4874</v>
      </c>
      <c r="CO1976" s="112" t="s">
        <v>545</v>
      </c>
      <c r="CP1976" s="112" t="s">
        <v>1119</v>
      </c>
      <c r="CQ1976" s="112" t="s">
        <v>4875</v>
      </c>
      <c r="CR1976" s="112" t="s">
        <v>4876</v>
      </c>
      <c r="CS1976" s="112" t="s">
        <v>525</v>
      </c>
      <c r="CT1976" s="112" t="s">
        <v>3553</v>
      </c>
      <c r="CU1976" s="112" t="s">
        <v>527</v>
      </c>
      <c r="CV1976" s="113" t="s">
        <v>528</v>
      </c>
      <c r="CX1976" s="36">
        <v>1</v>
      </c>
    </row>
    <row r="1977" spans="91:102" ht="21" customHeight="1" x14ac:dyDescent="0.25">
      <c r="CM1977" s="102"/>
      <c r="CN1977" s="112" t="s">
        <v>4877</v>
      </c>
      <c r="CO1977" s="112" t="s">
        <v>546</v>
      </c>
      <c r="CP1977" s="112" t="s">
        <v>523</v>
      </c>
      <c r="CQ1977" s="112" t="s">
        <v>4878</v>
      </c>
      <c r="CR1977" s="112" t="s">
        <v>4879</v>
      </c>
      <c r="CS1977" s="112" t="s">
        <v>525</v>
      </c>
      <c r="CT1977" s="112" t="s">
        <v>4880</v>
      </c>
      <c r="CU1977" s="112" t="s">
        <v>527</v>
      </c>
      <c r="CV1977" s="113" t="s">
        <v>528</v>
      </c>
      <c r="CX1977" s="36">
        <v>1</v>
      </c>
    </row>
    <row r="1978" spans="91:102" ht="21" customHeight="1" x14ac:dyDescent="0.25">
      <c r="CM1978" s="102"/>
      <c r="CN1978" s="112" t="s">
        <v>4881</v>
      </c>
      <c r="CO1978" s="112" t="s">
        <v>546</v>
      </c>
      <c r="CP1978" s="112" t="s">
        <v>523</v>
      </c>
      <c r="CQ1978" s="112" t="s">
        <v>4882</v>
      </c>
      <c r="CR1978" s="112" t="s">
        <v>4883</v>
      </c>
      <c r="CS1978" s="112" t="s">
        <v>525</v>
      </c>
      <c r="CT1978" s="112" t="s">
        <v>4880</v>
      </c>
      <c r="CU1978" s="112" t="s">
        <v>527</v>
      </c>
      <c r="CV1978" s="113" t="s">
        <v>528</v>
      </c>
      <c r="CX1978" s="36">
        <v>1</v>
      </c>
    </row>
    <row r="1979" spans="91:102" ht="21" customHeight="1" x14ac:dyDescent="0.25">
      <c r="CM1979" s="102"/>
      <c r="CN1979" s="112" t="s">
        <v>4884</v>
      </c>
      <c r="CO1979" s="112" t="s">
        <v>546</v>
      </c>
      <c r="CP1979" s="112" t="s">
        <v>523</v>
      </c>
      <c r="CQ1979" s="112" t="s">
        <v>4885</v>
      </c>
      <c r="CR1979" s="112" t="s">
        <v>4886</v>
      </c>
      <c r="CS1979" s="112" t="s">
        <v>525</v>
      </c>
      <c r="CT1979" s="112" t="s">
        <v>4880</v>
      </c>
      <c r="CU1979" s="112" t="s">
        <v>527</v>
      </c>
      <c r="CV1979" s="113" t="s">
        <v>528</v>
      </c>
      <c r="CX1979" s="36">
        <v>1</v>
      </c>
    </row>
    <row r="1980" spans="91:102" ht="21" customHeight="1" x14ac:dyDescent="0.25">
      <c r="CM1980" s="102"/>
      <c r="CN1980" s="112" t="s">
        <v>4887</v>
      </c>
      <c r="CO1980" s="112" t="s">
        <v>546</v>
      </c>
      <c r="CP1980" s="112" t="s">
        <v>523</v>
      </c>
      <c r="CQ1980" s="112" t="s">
        <v>4888</v>
      </c>
      <c r="CR1980" s="112" t="s">
        <v>4888</v>
      </c>
      <c r="CS1980" s="112" t="s">
        <v>610</v>
      </c>
      <c r="CT1980" s="112" t="s">
        <v>611</v>
      </c>
      <c r="CU1980" s="112" t="s">
        <v>527</v>
      </c>
      <c r="CV1980" s="113" t="s">
        <v>612</v>
      </c>
      <c r="CX1980" s="36">
        <v>1</v>
      </c>
    </row>
    <row r="1981" spans="91:102" ht="21" customHeight="1" x14ac:dyDescent="0.25">
      <c r="CM1981" s="102"/>
      <c r="CN1981" s="112" t="s">
        <v>4889</v>
      </c>
      <c r="CO1981" s="112" t="s">
        <v>546</v>
      </c>
      <c r="CP1981" s="112" t="s">
        <v>523</v>
      </c>
      <c r="CQ1981" s="112" t="s">
        <v>4890</v>
      </c>
      <c r="CR1981" s="112" t="s">
        <v>4890</v>
      </c>
      <c r="CS1981" s="112" t="s">
        <v>610</v>
      </c>
      <c r="CT1981" s="112" t="s">
        <v>611</v>
      </c>
      <c r="CU1981" s="112" t="s">
        <v>527</v>
      </c>
      <c r="CV1981" s="113" t="s">
        <v>612</v>
      </c>
      <c r="CX1981" s="36">
        <v>1</v>
      </c>
    </row>
    <row r="1982" spans="91:102" ht="21" customHeight="1" x14ac:dyDescent="0.25">
      <c r="CM1982" s="102"/>
      <c r="CN1982" s="112" t="s">
        <v>4891</v>
      </c>
      <c r="CO1982" s="112" t="s">
        <v>546</v>
      </c>
      <c r="CP1982" s="112" t="s">
        <v>523</v>
      </c>
      <c r="CQ1982" s="112" t="s">
        <v>4892</v>
      </c>
      <c r="CR1982" s="112" t="s">
        <v>4893</v>
      </c>
      <c r="CS1982" s="112" t="s">
        <v>525</v>
      </c>
      <c r="CT1982" s="112" t="s">
        <v>4880</v>
      </c>
      <c r="CU1982" s="112" t="s">
        <v>527</v>
      </c>
      <c r="CV1982" s="113" t="s">
        <v>528</v>
      </c>
      <c r="CX1982" s="36">
        <v>1</v>
      </c>
    </row>
    <row r="1983" spans="91:102" ht="21" customHeight="1" x14ac:dyDescent="0.25">
      <c r="CM1983" s="102"/>
      <c r="CN1983" s="112" t="s">
        <v>4894</v>
      </c>
      <c r="CO1983" s="112" t="s">
        <v>546</v>
      </c>
      <c r="CP1983" s="112" t="s">
        <v>523</v>
      </c>
      <c r="CQ1983" s="112" t="s">
        <v>4895</v>
      </c>
      <c r="CR1983" s="112" t="s">
        <v>4896</v>
      </c>
      <c r="CS1983" s="112" t="s">
        <v>525</v>
      </c>
      <c r="CT1983" s="112" t="s">
        <v>4880</v>
      </c>
      <c r="CU1983" s="112" t="s">
        <v>527</v>
      </c>
      <c r="CV1983" s="113" t="s">
        <v>528</v>
      </c>
      <c r="CX1983" s="36">
        <v>1</v>
      </c>
    </row>
    <row r="1984" spans="91:102" ht="21" customHeight="1" x14ac:dyDescent="0.25">
      <c r="CM1984" s="102"/>
      <c r="CN1984" s="112" t="s">
        <v>4897</v>
      </c>
      <c r="CO1984" s="112" t="s">
        <v>546</v>
      </c>
      <c r="CP1984" s="112" t="s">
        <v>523</v>
      </c>
      <c r="CQ1984" s="112" t="s">
        <v>4898</v>
      </c>
      <c r="CR1984" s="112" t="s">
        <v>4899</v>
      </c>
      <c r="CS1984" s="112" t="s">
        <v>525</v>
      </c>
      <c r="CT1984" s="112" t="s">
        <v>4880</v>
      </c>
      <c r="CU1984" s="112" t="s">
        <v>527</v>
      </c>
      <c r="CV1984" s="113" t="s">
        <v>528</v>
      </c>
      <c r="CX1984" s="36">
        <v>1</v>
      </c>
    </row>
    <row r="1985" spans="91:102" ht="21" customHeight="1" x14ac:dyDescent="0.25">
      <c r="CM1985" s="102"/>
      <c r="CN1985" s="112" t="s">
        <v>4900</v>
      </c>
      <c r="CO1985" s="112" t="s">
        <v>546</v>
      </c>
      <c r="CP1985" s="112" t="s">
        <v>523</v>
      </c>
      <c r="CQ1985" s="112" t="s">
        <v>4901</v>
      </c>
      <c r="CR1985" s="112" t="s">
        <v>4902</v>
      </c>
      <c r="CS1985" s="112" t="s">
        <v>525</v>
      </c>
      <c r="CT1985" s="112" t="s">
        <v>4880</v>
      </c>
      <c r="CU1985" s="112" t="s">
        <v>527</v>
      </c>
      <c r="CV1985" s="113" t="s">
        <v>528</v>
      </c>
      <c r="CX1985" s="36">
        <v>1</v>
      </c>
    </row>
    <row r="1986" spans="91:102" ht="21" customHeight="1" x14ac:dyDescent="0.25">
      <c r="CM1986" s="102"/>
      <c r="CN1986" s="112" t="s">
        <v>4903</v>
      </c>
      <c r="CO1986" s="112" t="s">
        <v>546</v>
      </c>
      <c r="CP1986" s="112" t="s">
        <v>523</v>
      </c>
      <c r="CQ1986" s="112" t="s">
        <v>4904</v>
      </c>
      <c r="CR1986" s="112" t="s">
        <v>4905</v>
      </c>
      <c r="CS1986" s="112" t="s">
        <v>525</v>
      </c>
      <c r="CT1986" s="112" t="s">
        <v>4880</v>
      </c>
      <c r="CU1986" s="112" t="s">
        <v>527</v>
      </c>
      <c r="CV1986" s="113" t="s">
        <v>528</v>
      </c>
      <c r="CX1986" s="36">
        <v>1</v>
      </c>
    </row>
    <row r="1987" spans="91:102" ht="21" customHeight="1" x14ac:dyDescent="0.25">
      <c r="CM1987" s="102"/>
      <c r="CN1987" s="112" t="s">
        <v>4906</v>
      </c>
      <c r="CO1987" s="112" t="s">
        <v>546</v>
      </c>
      <c r="CP1987" s="112" t="s">
        <v>523</v>
      </c>
      <c r="CQ1987" s="112" t="s">
        <v>4907</v>
      </c>
      <c r="CR1987" s="112" t="s">
        <v>4908</v>
      </c>
      <c r="CS1987" s="112" t="s">
        <v>525</v>
      </c>
      <c r="CT1987" s="112" t="s">
        <v>4880</v>
      </c>
      <c r="CU1987" s="112" t="s">
        <v>527</v>
      </c>
      <c r="CV1987" s="113" t="s">
        <v>528</v>
      </c>
      <c r="CX1987" s="36">
        <v>1</v>
      </c>
    </row>
    <row r="1988" spans="91:102" ht="21" customHeight="1" x14ac:dyDescent="0.25">
      <c r="CM1988" s="102"/>
      <c r="CN1988" s="112" t="s">
        <v>4909</v>
      </c>
      <c r="CO1988" s="112" t="s">
        <v>546</v>
      </c>
      <c r="CP1988" s="112" t="s">
        <v>523</v>
      </c>
      <c r="CQ1988" s="112" t="s">
        <v>4910</v>
      </c>
      <c r="CR1988" s="112" t="s">
        <v>4911</v>
      </c>
      <c r="CS1988" s="112" t="s">
        <v>525</v>
      </c>
      <c r="CT1988" s="112" t="s">
        <v>4880</v>
      </c>
      <c r="CU1988" s="112" t="s">
        <v>527</v>
      </c>
      <c r="CV1988" s="113" t="s">
        <v>528</v>
      </c>
      <c r="CX1988" s="36">
        <v>1</v>
      </c>
    </row>
    <row r="1989" spans="91:102" ht="21" customHeight="1" x14ac:dyDescent="0.25">
      <c r="CM1989" s="102"/>
      <c r="CN1989" s="112" t="s">
        <v>4912</v>
      </c>
      <c r="CO1989" s="112" t="s">
        <v>546</v>
      </c>
      <c r="CP1989" s="112" t="s">
        <v>523</v>
      </c>
      <c r="CQ1989" s="112" t="s">
        <v>4913</v>
      </c>
      <c r="CR1989" s="112" t="s">
        <v>4914</v>
      </c>
      <c r="CS1989" s="112" t="s">
        <v>525</v>
      </c>
      <c r="CT1989" s="112" t="s">
        <v>4880</v>
      </c>
      <c r="CU1989" s="112" t="s">
        <v>527</v>
      </c>
      <c r="CV1989" s="113" t="s">
        <v>528</v>
      </c>
      <c r="CX1989" s="36">
        <v>1</v>
      </c>
    </row>
    <row r="1990" spans="91:102" ht="21" customHeight="1" x14ac:dyDescent="0.25">
      <c r="CM1990" s="102"/>
      <c r="CN1990" s="112" t="s">
        <v>4915</v>
      </c>
      <c r="CO1990" s="112" t="s">
        <v>546</v>
      </c>
      <c r="CP1990" s="112" t="s">
        <v>523</v>
      </c>
      <c r="CQ1990" s="112" t="s">
        <v>4916</v>
      </c>
      <c r="CR1990" s="112" t="s">
        <v>4917</v>
      </c>
      <c r="CS1990" s="112" t="s">
        <v>525</v>
      </c>
      <c r="CT1990" s="112" t="s">
        <v>4880</v>
      </c>
      <c r="CU1990" s="112" t="s">
        <v>527</v>
      </c>
      <c r="CV1990" s="113" t="s">
        <v>528</v>
      </c>
      <c r="CX1990" s="36">
        <v>1</v>
      </c>
    </row>
    <row r="1991" spans="91:102" ht="21" customHeight="1" x14ac:dyDescent="0.25">
      <c r="CM1991" s="102"/>
      <c r="CN1991" s="112" t="s">
        <v>4918</v>
      </c>
      <c r="CO1991" s="112" t="s">
        <v>546</v>
      </c>
      <c r="CP1991" s="112" t="s">
        <v>1119</v>
      </c>
      <c r="CQ1991" s="112" t="s">
        <v>1123</v>
      </c>
      <c r="CR1991" s="112" t="s">
        <v>1123</v>
      </c>
      <c r="CS1991" s="112" t="s">
        <v>525</v>
      </c>
      <c r="CT1991" s="112" t="s">
        <v>3553</v>
      </c>
      <c r="CU1991" s="112" t="s">
        <v>527</v>
      </c>
      <c r="CV1991" s="113" t="s">
        <v>528</v>
      </c>
      <c r="CX1991" s="36">
        <v>1</v>
      </c>
    </row>
    <row r="1992" spans="91:102" ht="21" customHeight="1" x14ac:dyDescent="0.25">
      <c r="CM1992" s="102"/>
      <c r="CN1992" s="112" t="s">
        <v>4919</v>
      </c>
      <c r="CO1992" s="112" t="s">
        <v>546</v>
      </c>
      <c r="CP1992" s="112" t="s">
        <v>1119</v>
      </c>
      <c r="CQ1992" s="112" t="s">
        <v>4920</v>
      </c>
      <c r="CR1992" s="112" t="s">
        <v>4921</v>
      </c>
      <c r="CS1992" s="112" t="s">
        <v>525</v>
      </c>
      <c r="CT1992" s="112" t="s">
        <v>3553</v>
      </c>
      <c r="CU1992" s="112" t="s">
        <v>527</v>
      </c>
      <c r="CV1992" s="113" t="s">
        <v>528</v>
      </c>
      <c r="CX1992" s="36">
        <v>1</v>
      </c>
    </row>
    <row r="1993" spans="91:102" ht="21" customHeight="1" x14ac:dyDescent="0.25">
      <c r="CM1993" s="102"/>
      <c r="CN1993" s="112" t="s">
        <v>4922</v>
      </c>
      <c r="CO1993" s="112" t="s">
        <v>546</v>
      </c>
      <c r="CP1993" s="112" t="s">
        <v>1119</v>
      </c>
      <c r="CQ1993" s="112" t="s">
        <v>1130</v>
      </c>
      <c r="CR1993" s="112" t="s">
        <v>1130</v>
      </c>
      <c r="CS1993" s="112" t="s">
        <v>525</v>
      </c>
      <c r="CT1993" s="112" t="s">
        <v>3553</v>
      </c>
      <c r="CU1993" s="112" t="s">
        <v>527</v>
      </c>
      <c r="CV1993" s="113" t="s">
        <v>528</v>
      </c>
      <c r="CX1993" s="36">
        <v>1</v>
      </c>
    </row>
    <row r="1994" spans="91:102" ht="21" customHeight="1" x14ac:dyDescent="0.25">
      <c r="CM1994" s="102"/>
      <c r="CN1994" s="112" t="s">
        <v>4923</v>
      </c>
      <c r="CO1994" s="112" t="s">
        <v>546</v>
      </c>
      <c r="CP1994" s="112" t="s">
        <v>1119</v>
      </c>
      <c r="CQ1994" s="112" t="s">
        <v>4924</v>
      </c>
      <c r="CR1994" s="112" t="s">
        <v>4924</v>
      </c>
      <c r="CS1994" s="112" t="s">
        <v>525</v>
      </c>
      <c r="CT1994" s="112" t="s">
        <v>3553</v>
      </c>
      <c r="CU1994" s="112" t="s">
        <v>527</v>
      </c>
      <c r="CV1994" s="113" t="s">
        <v>528</v>
      </c>
      <c r="CX1994" s="36">
        <v>1</v>
      </c>
    </row>
    <row r="1995" spans="91:102" ht="21" customHeight="1" x14ac:dyDescent="0.25">
      <c r="CM1995" s="102"/>
      <c r="CN1995" s="112" t="s">
        <v>4925</v>
      </c>
      <c r="CO1995" s="112" t="s">
        <v>546</v>
      </c>
      <c r="CP1995" s="112" t="s">
        <v>1119</v>
      </c>
      <c r="CQ1995" s="112" t="s">
        <v>1134</v>
      </c>
      <c r="CR1995" s="112" t="s">
        <v>1134</v>
      </c>
      <c r="CS1995" s="112" t="s">
        <v>525</v>
      </c>
      <c r="CT1995" s="112" t="s">
        <v>3553</v>
      </c>
      <c r="CU1995" s="112" t="s">
        <v>527</v>
      </c>
      <c r="CV1995" s="113" t="s">
        <v>528</v>
      </c>
      <c r="CX1995" s="36">
        <v>1</v>
      </c>
    </row>
    <row r="1996" spans="91:102" ht="21" customHeight="1" x14ac:dyDescent="0.25">
      <c r="CM1996" s="102"/>
      <c r="CN1996" s="112" t="s">
        <v>4926</v>
      </c>
      <c r="CO1996" s="112" t="s">
        <v>546</v>
      </c>
      <c r="CP1996" s="112" t="s">
        <v>1119</v>
      </c>
      <c r="CQ1996" s="112" t="s">
        <v>1136</v>
      </c>
      <c r="CR1996" s="112" t="s">
        <v>1136</v>
      </c>
      <c r="CS1996" s="112" t="s">
        <v>525</v>
      </c>
      <c r="CT1996" s="112" t="s">
        <v>3553</v>
      </c>
      <c r="CU1996" s="112" t="s">
        <v>527</v>
      </c>
      <c r="CV1996" s="113" t="s">
        <v>528</v>
      </c>
      <c r="CX1996" s="36">
        <v>1</v>
      </c>
    </row>
    <row r="1997" spans="91:102" ht="21" customHeight="1" x14ac:dyDescent="0.25">
      <c r="CM1997" s="102"/>
      <c r="CN1997" s="112" t="s">
        <v>4927</v>
      </c>
      <c r="CO1997" s="112" t="s">
        <v>546</v>
      </c>
      <c r="CP1997" s="112" t="s">
        <v>1119</v>
      </c>
      <c r="CQ1997" s="112" t="s">
        <v>4928</v>
      </c>
      <c r="CR1997" s="112" t="s">
        <v>4928</v>
      </c>
      <c r="CS1997" s="112" t="s">
        <v>525</v>
      </c>
      <c r="CT1997" s="112" t="s">
        <v>3553</v>
      </c>
      <c r="CU1997" s="112" t="s">
        <v>527</v>
      </c>
      <c r="CV1997" s="113" t="s">
        <v>528</v>
      </c>
      <c r="CX1997" s="36">
        <v>1</v>
      </c>
    </row>
    <row r="1998" spans="91:102" ht="21" customHeight="1" x14ac:dyDescent="0.25">
      <c r="CM1998" s="102"/>
      <c r="CN1998" s="112" t="s">
        <v>4929</v>
      </c>
      <c r="CO1998" s="112" t="s">
        <v>546</v>
      </c>
      <c r="CP1998" s="112" t="s">
        <v>1119</v>
      </c>
      <c r="CQ1998" s="112" t="s">
        <v>4930</v>
      </c>
      <c r="CR1998" s="112" t="s">
        <v>4931</v>
      </c>
      <c r="CS1998" s="112" t="s">
        <v>525</v>
      </c>
      <c r="CT1998" s="112" t="s">
        <v>3553</v>
      </c>
      <c r="CU1998" s="112" t="s">
        <v>527</v>
      </c>
      <c r="CV1998" s="113" t="s">
        <v>528</v>
      </c>
      <c r="CX1998" s="36">
        <v>1</v>
      </c>
    </row>
    <row r="1999" spans="91:102" ht="21" customHeight="1" x14ac:dyDescent="0.25">
      <c r="CM1999" s="102"/>
      <c r="CN1999" s="112" t="s">
        <v>4932</v>
      </c>
      <c r="CO1999" s="112" t="s">
        <v>546</v>
      </c>
      <c r="CP1999" s="112" t="s">
        <v>1119</v>
      </c>
      <c r="CQ1999" s="112" t="s">
        <v>4933</v>
      </c>
      <c r="CR1999" s="112" t="s">
        <v>4933</v>
      </c>
      <c r="CS1999" s="112" t="s">
        <v>525</v>
      </c>
      <c r="CT1999" s="112" t="s">
        <v>3553</v>
      </c>
      <c r="CU1999" s="112" t="s">
        <v>527</v>
      </c>
      <c r="CV1999" s="113" t="s">
        <v>528</v>
      </c>
      <c r="CX1999" s="36">
        <v>1</v>
      </c>
    </row>
    <row r="2000" spans="91:102" ht="21" customHeight="1" x14ac:dyDescent="0.25">
      <c r="CM2000" s="102"/>
      <c r="CN2000" s="112" t="s">
        <v>4934</v>
      </c>
      <c r="CO2000" s="112" t="s">
        <v>546</v>
      </c>
      <c r="CP2000" s="112" t="s">
        <v>1119</v>
      </c>
      <c r="CQ2000" s="112" t="s">
        <v>1623</v>
      </c>
      <c r="CR2000" s="112" t="s">
        <v>1624</v>
      </c>
      <c r="CS2000" s="112" t="s">
        <v>525</v>
      </c>
      <c r="CT2000" s="112" t="s">
        <v>3553</v>
      </c>
      <c r="CU2000" s="112" t="s">
        <v>527</v>
      </c>
      <c r="CV2000" s="113" t="s">
        <v>528</v>
      </c>
      <c r="CX2000" s="36">
        <v>1</v>
      </c>
    </row>
    <row r="2001" spans="91:102" ht="21" customHeight="1" x14ac:dyDescent="0.25">
      <c r="CM2001" s="102"/>
      <c r="CN2001" s="112" t="s">
        <v>4935</v>
      </c>
      <c r="CO2001" s="112" t="s">
        <v>546</v>
      </c>
      <c r="CP2001" s="112" t="s">
        <v>1119</v>
      </c>
      <c r="CQ2001" s="112" t="s">
        <v>4936</v>
      </c>
      <c r="CR2001" s="112" t="s">
        <v>4936</v>
      </c>
      <c r="CS2001" s="112" t="s">
        <v>525</v>
      </c>
      <c r="CT2001" s="112" t="s">
        <v>3553</v>
      </c>
      <c r="CU2001" s="112" t="s">
        <v>527</v>
      </c>
      <c r="CV2001" s="113" t="s">
        <v>528</v>
      </c>
      <c r="CX2001" s="36">
        <v>1</v>
      </c>
    </row>
    <row r="2002" spans="91:102" ht="21" customHeight="1" x14ac:dyDescent="0.25">
      <c r="CM2002" s="102"/>
      <c r="CN2002" s="112" t="s">
        <v>4937</v>
      </c>
      <c r="CO2002" s="112" t="s">
        <v>546</v>
      </c>
      <c r="CP2002" s="112" t="s">
        <v>1119</v>
      </c>
      <c r="CQ2002" s="112" t="s">
        <v>1155</v>
      </c>
      <c r="CR2002" s="112" t="s">
        <v>1155</v>
      </c>
      <c r="CS2002" s="112" t="s">
        <v>525</v>
      </c>
      <c r="CT2002" s="112" t="s">
        <v>3553</v>
      </c>
      <c r="CU2002" s="112" t="s">
        <v>527</v>
      </c>
      <c r="CV2002" s="113" t="s">
        <v>528</v>
      </c>
      <c r="CX2002" s="36">
        <v>1</v>
      </c>
    </row>
    <row r="2003" spans="91:102" ht="21" customHeight="1" x14ac:dyDescent="0.25">
      <c r="CM2003" s="102"/>
      <c r="CN2003" s="112" t="s">
        <v>4938</v>
      </c>
      <c r="CO2003" s="112" t="s">
        <v>546</v>
      </c>
      <c r="CP2003" s="112" t="s">
        <v>1119</v>
      </c>
      <c r="CQ2003" s="112" t="s">
        <v>4939</v>
      </c>
      <c r="CR2003" s="112" t="s">
        <v>4940</v>
      </c>
      <c r="CS2003" s="112" t="s">
        <v>525</v>
      </c>
      <c r="CT2003" s="112" t="s">
        <v>3553</v>
      </c>
      <c r="CU2003" s="112" t="s">
        <v>527</v>
      </c>
      <c r="CV2003" s="113" t="s">
        <v>528</v>
      </c>
      <c r="CX2003" s="36">
        <v>1</v>
      </c>
    </row>
    <row r="2004" spans="91:102" ht="21" customHeight="1" x14ac:dyDescent="0.25">
      <c r="CM2004" s="102"/>
      <c r="CN2004" s="112" t="s">
        <v>4941</v>
      </c>
      <c r="CO2004" s="112" t="s">
        <v>546</v>
      </c>
      <c r="CP2004" s="112" t="s">
        <v>1119</v>
      </c>
      <c r="CQ2004" s="112" t="s">
        <v>4942</v>
      </c>
      <c r="CR2004" s="112" t="s">
        <v>4942</v>
      </c>
      <c r="CS2004" s="112" t="s">
        <v>525</v>
      </c>
      <c r="CT2004" s="112" t="s">
        <v>3553</v>
      </c>
      <c r="CU2004" s="112" t="s">
        <v>527</v>
      </c>
      <c r="CV2004" s="113" t="s">
        <v>528</v>
      </c>
      <c r="CX2004" s="36">
        <v>1</v>
      </c>
    </row>
    <row r="2005" spans="91:102" ht="21" customHeight="1" x14ac:dyDescent="0.25">
      <c r="CM2005" s="102"/>
      <c r="CN2005" s="112" t="s">
        <v>4943</v>
      </c>
      <c r="CO2005" s="112" t="s">
        <v>546</v>
      </c>
      <c r="CP2005" s="112" t="s">
        <v>1119</v>
      </c>
      <c r="CQ2005" s="112" t="s">
        <v>1638</v>
      </c>
      <c r="CR2005" s="112" t="s">
        <v>1638</v>
      </c>
      <c r="CS2005" s="112" t="s">
        <v>525</v>
      </c>
      <c r="CT2005" s="112" t="s">
        <v>3553</v>
      </c>
      <c r="CU2005" s="112" t="s">
        <v>527</v>
      </c>
      <c r="CV2005" s="113" t="s">
        <v>528</v>
      </c>
      <c r="CX2005" s="36">
        <v>1</v>
      </c>
    </row>
    <row r="2006" spans="91:102" ht="21" customHeight="1" x14ac:dyDescent="0.25">
      <c r="CM2006" s="102"/>
      <c r="CN2006" s="112" t="s">
        <v>4944</v>
      </c>
      <c r="CO2006" s="112" t="s">
        <v>547</v>
      </c>
      <c r="CP2006" s="112" t="s">
        <v>523</v>
      </c>
      <c r="CQ2006" s="112" t="s">
        <v>4945</v>
      </c>
      <c r="CR2006" s="112" t="s">
        <v>4945</v>
      </c>
      <c r="CS2006" s="112" t="s">
        <v>525</v>
      </c>
      <c r="CT2006" s="112" t="s">
        <v>4946</v>
      </c>
      <c r="CU2006" s="112" t="s">
        <v>527</v>
      </c>
      <c r="CV2006" s="113" t="s">
        <v>528</v>
      </c>
      <c r="CX2006" s="36">
        <v>1</v>
      </c>
    </row>
    <row r="2007" spans="91:102" ht="21" customHeight="1" x14ac:dyDescent="0.25">
      <c r="CM2007" s="102"/>
      <c r="CN2007" s="112" t="s">
        <v>4947</v>
      </c>
      <c r="CO2007" s="112" t="s">
        <v>547</v>
      </c>
      <c r="CP2007" s="112" t="s">
        <v>523</v>
      </c>
      <c r="CQ2007" s="112" t="s">
        <v>4948</v>
      </c>
      <c r="CR2007" s="112" t="s">
        <v>4948</v>
      </c>
      <c r="CS2007" s="112" t="s">
        <v>525</v>
      </c>
      <c r="CT2007" s="112" t="s">
        <v>4946</v>
      </c>
      <c r="CU2007" s="112" t="s">
        <v>527</v>
      </c>
      <c r="CV2007" s="113" t="s">
        <v>528</v>
      </c>
      <c r="CX2007" s="36">
        <v>1</v>
      </c>
    </row>
    <row r="2008" spans="91:102" ht="21" customHeight="1" x14ac:dyDescent="0.25">
      <c r="CM2008" s="102"/>
      <c r="CN2008" s="112" t="s">
        <v>4949</v>
      </c>
      <c r="CO2008" s="112" t="s">
        <v>547</v>
      </c>
      <c r="CP2008" s="112" t="s">
        <v>523</v>
      </c>
      <c r="CQ2008" s="112" t="s">
        <v>4950</v>
      </c>
      <c r="CR2008" s="112" t="s">
        <v>4950</v>
      </c>
      <c r="CS2008" s="112" t="s">
        <v>525</v>
      </c>
      <c r="CT2008" s="112" t="s">
        <v>4946</v>
      </c>
      <c r="CU2008" s="112" t="s">
        <v>527</v>
      </c>
      <c r="CV2008" s="113" t="s">
        <v>528</v>
      </c>
      <c r="CX2008" s="36">
        <v>1</v>
      </c>
    </row>
    <row r="2009" spans="91:102" ht="21" customHeight="1" x14ac:dyDescent="0.25">
      <c r="CM2009" s="102"/>
      <c r="CN2009" s="112" t="s">
        <v>4951</v>
      </c>
      <c r="CO2009" s="112" t="s">
        <v>547</v>
      </c>
      <c r="CP2009" s="112" t="s">
        <v>523</v>
      </c>
      <c r="CQ2009" s="112" t="s">
        <v>4952</v>
      </c>
      <c r="CR2009" s="112" t="s">
        <v>4952</v>
      </c>
      <c r="CS2009" s="112" t="s">
        <v>525</v>
      </c>
      <c r="CT2009" s="112" t="s">
        <v>4946</v>
      </c>
      <c r="CU2009" s="112" t="s">
        <v>527</v>
      </c>
      <c r="CV2009" s="113" t="s">
        <v>528</v>
      </c>
      <c r="CX2009" s="36">
        <v>1</v>
      </c>
    </row>
    <row r="2010" spans="91:102" ht="21" customHeight="1" x14ac:dyDescent="0.25">
      <c r="CM2010" s="102"/>
      <c r="CN2010" s="112" t="s">
        <v>4953</v>
      </c>
      <c r="CO2010" s="112" t="s">
        <v>547</v>
      </c>
      <c r="CP2010" s="112" t="s">
        <v>523</v>
      </c>
      <c r="CQ2010" s="112" t="s">
        <v>4954</v>
      </c>
      <c r="CR2010" s="112" t="s">
        <v>4954</v>
      </c>
      <c r="CS2010" s="112" t="s">
        <v>525</v>
      </c>
      <c r="CT2010" s="112" t="s">
        <v>4946</v>
      </c>
      <c r="CU2010" s="112" t="s">
        <v>527</v>
      </c>
      <c r="CV2010" s="113" t="s">
        <v>528</v>
      </c>
      <c r="CX2010" s="36">
        <v>1</v>
      </c>
    </row>
    <row r="2011" spans="91:102" ht="21" customHeight="1" x14ac:dyDescent="0.25">
      <c r="CM2011" s="102"/>
      <c r="CN2011" s="112" t="s">
        <v>4955</v>
      </c>
      <c r="CO2011" s="112" t="s">
        <v>547</v>
      </c>
      <c r="CP2011" s="112" t="s">
        <v>523</v>
      </c>
      <c r="CQ2011" s="112" t="s">
        <v>4956</v>
      </c>
      <c r="CR2011" s="112" t="s">
        <v>4957</v>
      </c>
      <c r="CS2011" s="112" t="s">
        <v>525</v>
      </c>
      <c r="CT2011" s="112" t="s">
        <v>4946</v>
      </c>
      <c r="CU2011" s="112" t="s">
        <v>527</v>
      </c>
      <c r="CV2011" s="113" t="s">
        <v>528</v>
      </c>
      <c r="CX2011" s="36">
        <v>1</v>
      </c>
    </row>
    <row r="2012" spans="91:102" ht="21" customHeight="1" x14ac:dyDescent="0.25">
      <c r="CM2012" s="102"/>
      <c r="CN2012" s="112" t="s">
        <v>4958</v>
      </c>
      <c r="CO2012" s="112" t="s">
        <v>547</v>
      </c>
      <c r="CP2012" s="112" t="s">
        <v>523</v>
      </c>
      <c r="CQ2012" s="112" t="s">
        <v>4959</v>
      </c>
      <c r="CR2012" s="112" t="s">
        <v>4959</v>
      </c>
      <c r="CS2012" s="112" t="s">
        <v>525</v>
      </c>
      <c r="CT2012" s="112" t="s">
        <v>4946</v>
      </c>
      <c r="CU2012" s="112" t="s">
        <v>527</v>
      </c>
      <c r="CV2012" s="113" t="s">
        <v>528</v>
      </c>
      <c r="CX2012" s="36">
        <v>1</v>
      </c>
    </row>
    <row r="2013" spans="91:102" ht="21" customHeight="1" x14ac:dyDescent="0.25">
      <c r="CM2013" s="102"/>
      <c r="CN2013" s="112" t="s">
        <v>4960</v>
      </c>
      <c r="CO2013" s="112" t="s">
        <v>547</v>
      </c>
      <c r="CP2013" s="112" t="s">
        <v>523</v>
      </c>
      <c r="CQ2013" s="112" t="s">
        <v>4961</v>
      </c>
      <c r="CR2013" s="112" t="s">
        <v>4962</v>
      </c>
      <c r="CS2013" s="112" t="s">
        <v>525</v>
      </c>
      <c r="CT2013" s="112" t="s">
        <v>4946</v>
      </c>
      <c r="CU2013" s="112" t="s">
        <v>527</v>
      </c>
      <c r="CV2013" s="113" t="s">
        <v>528</v>
      </c>
      <c r="CX2013" s="36">
        <v>1</v>
      </c>
    </row>
    <row r="2014" spans="91:102" ht="21" customHeight="1" x14ac:dyDescent="0.25">
      <c r="CM2014" s="102"/>
      <c r="CN2014" s="112" t="s">
        <v>4963</v>
      </c>
      <c r="CO2014" s="112" t="s">
        <v>547</v>
      </c>
      <c r="CP2014" s="112" t="s">
        <v>523</v>
      </c>
      <c r="CQ2014" s="112" t="s">
        <v>4964</v>
      </c>
      <c r="CR2014" s="112" t="s">
        <v>4964</v>
      </c>
      <c r="CS2014" s="112" t="s">
        <v>525</v>
      </c>
      <c r="CT2014" s="112" t="s">
        <v>4946</v>
      </c>
      <c r="CU2014" s="112" t="s">
        <v>527</v>
      </c>
      <c r="CV2014" s="113" t="s">
        <v>528</v>
      </c>
      <c r="CX2014" s="36">
        <v>1</v>
      </c>
    </row>
    <row r="2015" spans="91:102" ht="21" customHeight="1" x14ac:dyDescent="0.25">
      <c r="CM2015" s="102"/>
      <c r="CN2015" s="112" t="s">
        <v>4965</v>
      </c>
      <c r="CO2015" s="112" t="s">
        <v>547</v>
      </c>
      <c r="CP2015" s="112" t="s">
        <v>523</v>
      </c>
      <c r="CQ2015" s="112" t="s">
        <v>4966</v>
      </c>
      <c r="CR2015" s="112" t="s">
        <v>4966</v>
      </c>
      <c r="CS2015" s="112" t="s">
        <v>525</v>
      </c>
      <c r="CT2015" s="112" t="s">
        <v>4946</v>
      </c>
      <c r="CU2015" s="112" t="s">
        <v>527</v>
      </c>
      <c r="CV2015" s="113" t="s">
        <v>528</v>
      </c>
      <c r="CX2015" s="36">
        <v>1</v>
      </c>
    </row>
    <row r="2016" spans="91:102" ht="21" customHeight="1" x14ac:dyDescent="0.25">
      <c r="CM2016" s="102"/>
      <c r="CN2016" s="112" t="s">
        <v>4967</v>
      </c>
      <c r="CO2016" s="112" t="s">
        <v>547</v>
      </c>
      <c r="CP2016" s="112" t="s">
        <v>523</v>
      </c>
      <c r="CQ2016" s="112" t="s">
        <v>4968</v>
      </c>
      <c r="CR2016" s="112" t="s">
        <v>4968</v>
      </c>
      <c r="CS2016" s="112" t="s">
        <v>525</v>
      </c>
      <c r="CT2016" s="112" t="s">
        <v>4946</v>
      </c>
      <c r="CU2016" s="112" t="s">
        <v>527</v>
      </c>
      <c r="CV2016" s="113" t="s">
        <v>528</v>
      </c>
      <c r="CX2016" s="36">
        <v>1</v>
      </c>
    </row>
    <row r="2017" spans="91:102" ht="21" customHeight="1" x14ac:dyDescent="0.25">
      <c r="CM2017" s="102"/>
      <c r="CN2017" s="112" t="s">
        <v>4969</v>
      </c>
      <c r="CO2017" s="112" t="s">
        <v>547</v>
      </c>
      <c r="CP2017" s="112" t="s">
        <v>523</v>
      </c>
      <c r="CQ2017" s="112" t="s">
        <v>4970</v>
      </c>
      <c r="CR2017" s="112" t="s">
        <v>4970</v>
      </c>
      <c r="CS2017" s="112" t="s">
        <v>525</v>
      </c>
      <c r="CT2017" s="112" t="s">
        <v>4946</v>
      </c>
      <c r="CU2017" s="112" t="s">
        <v>527</v>
      </c>
      <c r="CV2017" s="113" t="s">
        <v>528</v>
      </c>
      <c r="CX2017" s="36">
        <v>1</v>
      </c>
    </row>
    <row r="2018" spans="91:102" ht="21" customHeight="1" x14ac:dyDescent="0.25">
      <c r="CM2018" s="102"/>
      <c r="CN2018" s="112" t="s">
        <v>4971</v>
      </c>
      <c r="CO2018" s="112" t="s">
        <v>547</v>
      </c>
      <c r="CP2018" s="112" t="s">
        <v>523</v>
      </c>
      <c r="CQ2018" s="112" t="s">
        <v>4972</v>
      </c>
      <c r="CR2018" s="112" t="s">
        <v>4972</v>
      </c>
      <c r="CS2018" s="112" t="s">
        <v>610</v>
      </c>
      <c r="CT2018" s="112" t="s">
        <v>611</v>
      </c>
      <c r="CU2018" s="112" t="s">
        <v>527</v>
      </c>
      <c r="CV2018" s="113" t="s">
        <v>612</v>
      </c>
      <c r="CX2018" s="36">
        <v>1</v>
      </c>
    </row>
    <row r="2019" spans="91:102" ht="21" customHeight="1" x14ac:dyDescent="0.25">
      <c r="CM2019" s="102"/>
      <c r="CN2019" s="112" t="s">
        <v>4973</v>
      </c>
      <c r="CO2019" s="112" t="s">
        <v>547</v>
      </c>
      <c r="CP2019" s="112" t="s">
        <v>523</v>
      </c>
      <c r="CQ2019" s="112" t="s">
        <v>4974</v>
      </c>
      <c r="CR2019" s="112" t="s">
        <v>4974</v>
      </c>
      <c r="CS2019" s="112" t="s">
        <v>610</v>
      </c>
      <c r="CT2019" s="112" t="s">
        <v>611</v>
      </c>
      <c r="CU2019" s="112" t="s">
        <v>527</v>
      </c>
      <c r="CV2019" s="113" t="s">
        <v>612</v>
      </c>
      <c r="CX2019" s="36">
        <v>1</v>
      </c>
    </row>
    <row r="2020" spans="91:102" ht="21" customHeight="1" x14ac:dyDescent="0.25">
      <c r="CM2020" s="102"/>
      <c r="CN2020" s="112" t="s">
        <v>4975</v>
      </c>
      <c r="CO2020" s="112" t="s">
        <v>547</v>
      </c>
      <c r="CP2020" s="112" t="s">
        <v>523</v>
      </c>
      <c r="CQ2020" s="112" t="s">
        <v>4976</v>
      </c>
      <c r="CR2020" s="112" t="s">
        <v>4976</v>
      </c>
      <c r="CS2020" s="112" t="s">
        <v>610</v>
      </c>
      <c r="CT2020" s="112" t="s">
        <v>611</v>
      </c>
      <c r="CU2020" s="112" t="s">
        <v>527</v>
      </c>
      <c r="CV2020" s="113" t="s">
        <v>612</v>
      </c>
      <c r="CX2020" s="36">
        <v>1</v>
      </c>
    </row>
    <row r="2021" spans="91:102" ht="21" customHeight="1" x14ac:dyDescent="0.25">
      <c r="CM2021" s="102"/>
      <c r="CN2021" s="112" t="s">
        <v>4977</v>
      </c>
      <c r="CO2021" s="112" t="s">
        <v>547</v>
      </c>
      <c r="CP2021" s="112" t="s">
        <v>523</v>
      </c>
      <c r="CQ2021" s="112" t="s">
        <v>4978</v>
      </c>
      <c r="CR2021" s="112" t="s">
        <v>4978</v>
      </c>
      <c r="CS2021" s="112" t="s">
        <v>525</v>
      </c>
      <c r="CT2021" s="112" t="s">
        <v>4946</v>
      </c>
      <c r="CU2021" s="112" t="s">
        <v>527</v>
      </c>
      <c r="CV2021" s="113" t="s">
        <v>528</v>
      </c>
      <c r="CX2021" s="36">
        <v>1</v>
      </c>
    </row>
    <row r="2022" spans="91:102" ht="21" customHeight="1" x14ac:dyDescent="0.25">
      <c r="CM2022" s="102"/>
      <c r="CN2022" s="112" t="s">
        <v>4979</v>
      </c>
      <c r="CO2022" s="112" t="s">
        <v>547</v>
      </c>
      <c r="CP2022" s="112" t="s">
        <v>523</v>
      </c>
      <c r="CQ2022" s="112" t="s">
        <v>4980</v>
      </c>
      <c r="CR2022" s="112" t="s">
        <v>4980</v>
      </c>
      <c r="CS2022" s="112" t="s">
        <v>525</v>
      </c>
      <c r="CT2022" s="112" t="s">
        <v>4946</v>
      </c>
      <c r="CU2022" s="112" t="s">
        <v>527</v>
      </c>
      <c r="CV2022" s="113" t="s">
        <v>528</v>
      </c>
      <c r="CX2022" s="36">
        <v>1</v>
      </c>
    </row>
    <row r="2023" spans="91:102" ht="21" customHeight="1" x14ac:dyDescent="0.25">
      <c r="CM2023" s="102"/>
      <c r="CN2023" s="112" t="s">
        <v>4981</v>
      </c>
      <c r="CO2023" s="112" t="s">
        <v>547</v>
      </c>
      <c r="CP2023" s="112" t="s">
        <v>523</v>
      </c>
      <c r="CQ2023" s="112" t="s">
        <v>4982</v>
      </c>
      <c r="CR2023" s="112" t="s">
        <v>4983</v>
      </c>
      <c r="CS2023" s="112" t="s">
        <v>525</v>
      </c>
      <c r="CT2023" s="112" t="s">
        <v>4946</v>
      </c>
      <c r="CU2023" s="112" t="s">
        <v>527</v>
      </c>
      <c r="CV2023" s="113" t="s">
        <v>528</v>
      </c>
      <c r="CX2023" s="36">
        <v>1</v>
      </c>
    </row>
    <row r="2024" spans="91:102" ht="21" customHeight="1" x14ac:dyDescent="0.25">
      <c r="CM2024" s="102"/>
      <c r="CN2024" s="112" t="s">
        <v>4984</v>
      </c>
      <c r="CO2024" s="112" t="s">
        <v>547</v>
      </c>
      <c r="CP2024" s="112" t="s">
        <v>1119</v>
      </c>
      <c r="CQ2024" s="112" t="s">
        <v>1130</v>
      </c>
      <c r="CR2024" s="112" t="s">
        <v>1130</v>
      </c>
      <c r="CS2024" s="112" t="s">
        <v>525</v>
      </c>
      <c r="CT2024" s="112" t="s">
        <v>3553</v>
      </c>
      <c r="CU2024" s="112" t="s">
        <v>527</v>
      </c>
      <c r="CV2024" s="113" t="s">
        <v>528</v>
      </c>
      <c r="CX2024" s="36">
        <v>1</v>
      </c>
    </row>
    <row r="2025" spans="91:102" ht="21" customHeight="1" x14ac:dyDescent="0.25">
      <c r="CM2025" s="102"/>
      <c r="CN2025" s="112" t="s">
        <v>4985</v>
      </c>
      <c r="CO2025" s="112" t="s">
        <v>547</v>
      </c>
      <c r="CP2025" s="112" t="s">
        <v>1119</v>
      </c>
      <c r="CQ2025" s="112" t="s">
        <v>4986</v>
      </c>
      <c r="CR2025" s="112" t="s">
        <v>4986</v>
      </c>
      <c r="CS2025" s="112" t="s">
        <v>525</v>
      </c>
      <c r="CT2025" s="112" t="s">
        <v>3553</v>
      </c>
      <c r="CU2025" s="112" t="s">
        <v>527</v>
      </c>
      <c r="CV2025" s="113" t="s">
        <v>528</v>
      </c>
      <c r="CX2025" s="36">
        <v>1</v>
      </c>
    </row>
    <row r="2026" spans="91:102" ht="21" customHeight="1" x14ac:dyDescent="0.25">
      <c r="CM2026" s="102"/>
      <c r="CN2026" s="112" t="s">
        <v>4987</v>
      </c>
      <c r="CO2026" s="112" t="s">
        <v>547</v>
      </c>
      <c r="CP2026" s="112" t="s">
        <v>1119</v>
      </c>
      <c r="CQ2026" s="112" t="s">
        <v>4988</v>
      </c>
      <c r="CR2026" s="112" t="s">
        <v>4988</v>
      </c>
      <c r="CS2026" s="112" t="s">
        <v>525</v>
      </c>
      <c r="CT2026" s="112" t="s">
        <v>3553</v>
      </c>
      <c r="CU2026" s="112" t="s">
        <v>527</v>
      </c>
      <c r="CV2026" s="113" t="s">
        <v>528</v>
      </c>
      <c r="CX2026" s="36">
        <v>1</v>
      </c>
    </row>
    <row r="2027" spans="91:102" ht="21" customHeight="1" x14ac:dyDescent="0.25">
      <c r="CM2027" s="102"/>
      <c r="CN2027" s="112" t="s">
        <v>4989</v>
      </c>
      <c r="CO2027" s="112" t="s">
        <v>547</v>
      </c>
      <c r="CP2027" s="112" t="s">
        <v>1119</v>
      </c>
      <c r="CQ2027" s="112" t="s">
        <v>456</v>
      </c>
      <c r="CR2027" s="112" t="s">
        <v>456</v>
      </c>
      <c r="CS2027" s="112" t="s">
        <v>525</v>
      </c>
      <c r="CT2027" s="112" t="s">
        <v>3553</v>
      </c>
      <c r="CU2027" s="112" t="s">
        <v>527</v>
      </c>
      <c r="CV2027" s="113" t="s">
        <v>528</v>
      </c>
      <c r="CX2027" s="36">
        <v>1</v>
      </c>
    </row>
    <row r="2028" spans="91:102" ht="21" customHeight="1" x14ac:dyDescent="0.25">
      <c r="CM2028" s="102"/>
      <c r="CN2028" s="112" t="s">
        <v>4990</v>
      </c>
      <c r="CO2028" s="112" t="s">
        <v>547</v>
      </c>
      <c r="CP2028" s="112" t="s">
        <v>1119</v>
      </c>
      <c r="CQ2028" s="112" t="s">
        <v>1623</v>
      </c>
      <c r="CR2028" s="112" t="s">
        <v>1624</v>
      </c>
      <c r="CS2028" s="112" t="s">
        <v>525</v>
      </c>
      <c r="CT2028" s="112" t="s">
        <v>3553</v>
      </c>
      <c r="CU2028" s="112" t="s">
        <v>527</v>
      </c>
      <c r="CV2028" s="113" t="s">
        <v>528</v>
      </c>
      <c r="CX2028" s="36">
        <v>1</v>
      </c>
    </row>
    <row r="2029" spans="91:102" ht="21" customHeight="1" x14ac:dyDescent="0.25">
      <c r="CM2029" s="102"/>
      <c r="CN2029" s="112" t="s">
        <v>4991</v>
      </c>
      <c r="CO2029" s="112" t="s">
        <v>547</v>
      </c>
      <c r="CP2029" s="112" t="s">
        <v>1119</v>
      </c>
      <c r="CQ2029" s="112" t="s">
        <v>4992</v>
      </c>
      <c r="CR2029" s="112" t="s">
        <v>4992</v>
      </c>
      <c r="CS2029" s="112" t="s">
        <v>525</v>
      </c>
      <c r="CT2029" s="112" t="s">
        <v>3553</v>
      </c>
      <c r="CU2029" s="112" t="s">
        <v>527</v>
      </c>
      <c r="CV2029" s="113" t="s">
        <v>528</v>
      </c>
      <c r="CX2029" s="36">
        <v>1</v>
      </c>
    </row>
    <row r="2030" spans="91:102" ht="21" customHeight="1" x14ac:dyDescent="0.25">
      <c r="CM2030" s="102"/>
      <c r="CN2030" s="112" t="s">
        <v>4993</v>
      </c>
      <c r="CO2030" s="112" t="s">
        <v>547</v>
      </c>
      <c r="CP2030" s="112" t="s">
        <v>1119</v>
      </c>
      <c r="CQ2030" s="112" t="s">
        <v>4994</v>
      </c>
      <c r="CR2030" s="112" t="s">
        <v>4994</v>
      </c>
      <c r="CS2030" s="112" t="s">
        <v>525</v>
      </c>
      <c r="CT2030" s="112" t="s">
        <v>3553</v>
      </c>
      <c r="CU2030" s="112" t="s">
        <v>527</v>
      </c>
      <c r="CV2030" s="113" t="s">
        <v>528</v>
      </c>
      <c r="CX2030" s="36">
        <v>1</v>
      </c>
    </row>
    <row r="2031" spans="91:102" ht="21" customHeight="1" x14ac:dyDescent="0.25">
      <c r="CM2031" s="102"/>
      <c r="CN2031" s="112" t="s">
        <v>4995</v>
      </c>
      <c r="CO2031" s="112" t="s">
        <v>547</v>
      </c>
      <c r="CP2031" s="112" t="s">
        <v>1119</v>
      </c>
      <c r="CQ2031" s="112" t="s">
        <v>4996</v>
      </c>
      <c r="CR2031" s="112" t="s">
        <v>4996</v>
      </c>
      <c r="CS2031" s="112" t="s">
        <v>525</v>
      </c>
      <c r="CT2031" s="112" t="s">
        <v>3553</v>
      </c>
      <c r="CU2031" s="112" t="s">
        <v>527</v>
      </c>
      <c r="CV2031" s="113" t="s">
        <v>528</v>
      </c>
      <c r="CX2031" s="36">
        <v>1</v>
      </c>
    </row>
    <row r="2032" spans="91:102" ht="21" customHeight="1" x14ac:dyDescent="0.25">
      <c r="CM2032" s="102"/>
      <c r="CN2032" s="112" t="s">
        <v>4997</v>
      </c>
      <c r="CO2032" s="112" t="s">
        <v>547</v>
      </c>
      <c r="CP2032" s="112" t="s">
        <v>1119</v>
      </c>
      <c r="CQ2032" s="112" t="s">
        <v>1577</v>
      </c>
      <c r="CR2032" s="112" t="s">
        <v>1577</v>
      </c>
      <c r="CS2032" s="112" t="s">
        <v>525</v>
      </c>
      <c r="CT2032" s="112" t="s">
        <v>3553</v>
      </c>
      <c r="CU2032" s="112" t="s">
        <v>527</v>
      </c>
      <c r="CV2032" s="113" t="s">
        <v>528</v>
      </c>
      <c r="CX2032" s="36">
        <v>1</v>
      </c>
    </row>
    <row r="2033" spans="91:102" ht="21" customHeight="1" x14ac:dyDescent="0.25">
      <c r="CM2033" s="102"/>
      <c r="CN2033" s="112" t="s">
        <v>4998</v>
      </c>
      <c r="CO2033" s="112" t="s">
        <v>547</v>
      </c>
      <c r="CP2033" s="112" t="s">
        <v>1119</v>
      </c>
      <c r="CQ2033" s="112" t="s">
        <v>1581</v>
      </c>
      <c r="CR2033" s="112" t="s">
        <v>1582</v>
      </c>
      <c r="CS2033" s="112" t="s">
        <v>525</v>
      </c>
      <c r="CT2033" s="112" t="s">
        <v>3553</v>
      </c>
      <c r="CU2033" s="112" t="s">
        <v>527</v>
      </c>
      <c r="CV2033" s="113" t="s">
        <v>528</v>
      </c>
      <c r="CX2033" s="36">
        <v>1</v>
      </c>
    </row>
    <row r="2034" spans="91:102" ht="21" customHeight="1" x14ac:dyDescent="0.25">
      <c r="CM2034" s="102"/>
      <c r="CN2034" s="112" t="s">
        <v>4999</v>
      </c>
      <c r="CO2034" s="112" t="s">
        <v>547</v>
      </c>
      <c r="CP2034" s="112" t="s">
        <v>1119</v>
      </c>
      <c r="CQ2034" s="112" t="s">
        <v>1584</v>
      </c>
      <c r="CR2034" s="112" t="s">
        <v>1584</v>
      </c>
      <c r="CS2034" s="112" t="s">
        <v>525</v>
      </c>
      <c r="CT2034" s="112" t="s">
        <v>3553</v>
      </c>
      <c r="CU2034" s="112" t="s">
        <v>527</v>
      </c>
      <c r="CV2034" s="113" t="s">
        <v>528</v>
      </c>
      <c r="CX2034" s="36">
        <v>1</v>
      </c>
    </row>
    <row r="2035" spans="91:102" ht="21" customHeight="1" x14ac:dyDescent="0.25">
      <c r="CM2035" s="102"/>
      <c r="CN2035" s="112" t="s">
        <v>5000</v>
      </c>
      <c r="CO2035" s="112" t="s">
        <v>547</v>
      </c>
      <c r="CP2035" s="112" t="s">
        <v>1119</v>
      </c>
      <c r="CQ2035" s="112" t="s">
        <v>1155</v>
      </c>
      <c r="CR2035" s="112" t="s">
        <v>1155</v>
      </c>
      <c r="CS2035" s="112" t="s">
        <v>525</v>
      </c>
      <c r="CT2035" s="112" t="s">
        <v>3553</v>
      </c>
      <c r="CU2035" s="112" t="s">
        <v>527</v>
      </c>
      <c r="CV2035" s="113" t="s">
        <v>528</v>
      </c>
      <c r="CX2035" s="36">
        <v>1</v>
      </c>
    </row>
    <row r="2036" spans="91:102" ht="21" customHeight="1" x14ac:dyDescent="0.25">
      <c r="CM2036" s="102"/>
      <c r="CN2036" s="112" t="s">
        <v>5001</v>
      </c>
      <c r="CO2036" s="112" t="s">
        <v>547</v>
      </c>
      <c r="CP2036" s="112" t="s">
        <v>1119</v>
      </c>
      <c r="CQ2036" s="112" t="s">
        <v>1157</v>
      </c>
      <c r="CR2036" s="112" t="s">
        <v>1157</v>
      </c>
      <c r="CS2036" s="112" t="s">
        <v>525</v>
      </c>
      <c r="CT2036" s="112" t="s">
        <v>3553</v>
      </c>
      <c r="CU2036" s="112" t="s">
        <v>527</v>
      </c>
      <c r="CV2036" s="113" t="s">
        <v>528</v>
      </c>
      <c r="CX2036" s="36">
        <v>1</v>
      </c>
    </row>
    <row r="2037" spans="91:102" ht="21" customHeight="1" x14ac:dyDescent="0.25">
      <c r="CM2037" s="102"/>
      <c r="CN2037" s="112" t="s">
        <v>5002</v>
      </c>
      <c r="CO2037" s="112" t="s">
        <v>547</v>
      </c>
      <c r="CP2037" s="112" t="s">
        <v>1119</v>
      </c>
      <c r="CQ2037" s="112" t="s">
        <v>1638</v>
      </c>
      <c r="CR2037" s="112" t="s">
        <v>1638</v>
      </c>
      <c r="CS2037" s="112" t="s">
        <v>525</v>
      </c>
      <c r="CT2037" s="112" t="s">
        <v>3553</v>
      </c>
      <c r="CU2037" s="112" t="s">
        <v>527</v>
      </c>
      <c r="CV2037" s="113" t="s">
        <v>528</v>
      </c>
      <c r="CX2037" s="36">
        <v>1</v>
      </c>
    </row>
    <row r="2038" spans="91:102" ht="21" customHeight="1" x14ac:dyDescent="0.25">
      <c r="CM2038" s="102"/>
      <c r="CN2038" s="112" t="s">
        <v>5003</v>
      </c>
      <c r="CO2038" s="112" t="s">
        <v>547</v>
      </c>
      <c r="CP2038" s="112" t="s">
        <v>1119</v>
      </c>
      <c r="CQ2038" s="112" t="s">
        <v>455</v>
      </c>
      <c r="CR2038" s="112" t="s">
        <v>455</v>
      </c>
      <c r="CS2038" s="112" t="s">
        <v>525</v>
      </c>
      <c r="CT2038" s="112" t="s">
        <v>3553</v>
      </c>
      <c r="CU2038" s="112" t="s">
        <v>527</v>
      </c>
      <c r="CV2038" s="113" t="s">
        <v>528</v>
      </c>
      <c r="CX2038" s="36">
        <v>1</v>
      </c>
    </row>
    <row r="2039" spans="91:102" ht="21" customHeight="1" x14ac:dyDescent="0.25">
      <c r="CM2039" s="102"/>
      <c r="CN2039" s="112" t="s">
        <v>5004</v>
      </c>
      <c r="CO2039" s="112" t="s">
        <v>548</v>
      </c>
      <c r="CP2039" s="112" t="s">
        <v>523</v>
      </c>
      <c r="CQ2039" s="112" t="s">
        <v>5005</v>
      </c>
      <c r="CR2039" s="112" t="s">
        <v>5005</v>
      </c>
      <c r="CS2039" s="112" t="s">
        <v>525</v>
      </c>
      <c r="CT2039" s="112" t="s">
        <v>5006</v>
      </c>
      <c r="CU2039" s="112" t="s">
        <v>527</v>
      </c>
      <c r="CV2039" s="113" t="s">
        <v>528</v>
      </c>
      <c r="CX2039" s="36">
        <v>1</v>
      </c>
    </row>
    <row r="2040" spans="91:102" ht="21" customHeight="1" x14ac:dyDescent="0.25">
      <c r="CM2040" s="102"/>
      <c r="CN2040" s="112" t="s">
        <v>5007</v>
      </c>
      <c r="CO2040" s="112" t="s">
        <v>548</v>
      </c>
      <c r="CP2040" s="112" t="s">
        <v>523</v>
      </c>
      <c r="CQ2040" s="112" t="s">
        <v>5008</v>
      </c>
      <c r="CR2040" s="112" t="s">
        <v>5008</v>
      </c>
      <c r="CS2040" s="112" t="s">
        <v>525</v>
      </c>
      <c r="CT2040" s="112" t="s">
        <v>5006</v>
      </c>
      <c r="CU2040" s="112" t="s">
        <v>527</v>
      </c>
      <c r="CV2040" s="113" t="s">
        <v>528</v>
      </c>
      <c r="CX2040" s="36">
        <v>1</v>
      </c>
    </row>
    <row r="2041" spans="91:102" ht="21" customHeight="1" x14ac:dyDescent="0.25">
      <c r="CM2041" s="102"/>
      <c r="CN2041" s="112" t="s">
        <v>5009</v>
      </c>
      <c r="CO2041" s="112" t="s">
        <v>548</v>
      </c>
      <c r="CP2041" s="112" t="s">
        <v>523</v>
      </c>
      <c r="CQ2041" s="112" t="s">
        <v>5010</v>
      </c>
      <c r="CR2041" s="112" t="s">
        <v>5011</v>
      </c>
      <c r="CS2041" s="112" t="s">
        <v>525</v>
      </c>
      <c r="CT2041" s="112" t="s">
        <v>5006</v>
      </c>
      <c r="CU2041" s="112" t="s">
        <v>527</v>
      </c>
      <c r="CV2041" s="113" t="s">
        <v>528</v>
      </c>
      <c r="CX2041" s="36">
        <v>1</v>
      </c>
    </row>
    <row r="2042" spans="91:102" ht="21" customHeight="1" x14ac:dyDescent="0.25">
      <c r="CM2042" s="102"/>
      <c r="CN2042" s="112" t="s">
        <v>5012</v>
      </c>
      <c r="CO2042" s="112" t="s">
        <v>548</v>
      </c>
      <c r="CP2042" s="112" t="s">
        <v>523</v>
      </c>
      <c r="CQ2042" s="112" t="s">
        <v>5013</v>
      </c>
      <c r="CR2042" s="112" t="s">
        <v>5014</v>
      </c>
      <c r="CS2042" s="112" t="s">
        <v>525</v>
      </c>
      <c r="CT2042" s="112" t="s">
        <v>5006</v>
      </c>
      <c r="CU2042" s="112" t="s">
        <v>527</v>
      </c>
      <c r="CV2042" s="113" t="s">
        <v>528</v>
      </c>
      <c r="CX2042" s="36">
        <v>1</v>
      </c>
    </row>
    <row r="2043" spans="91:102" ht="21" customHeight="1" x14ac:dyDescent="0.25">
      <c r="CM2043" s="102"/>
      <c r="CN2043" s="112" t="s">
        <v>5015</v>
      </c>
      <c r="CO2043" s="112" t="s">
        <v>548</v>
      </c>
      <c r="CP2043" s="112" t="s">
        <v>523</v>
      </c>
      <c r="CQ2043" s="112" t="s">
        <v>5016</v>
      </c>
      <c r="CR2043" s="112" t="s">
        <v>5016</v>
      </c>
      <c r="CS2043" s="112" t="s">
        <v>525</v>
      </c>
      <c r="CT2043" s="112" t="s">
        <v>5006</v>
      </c>
      <c r="CU2043" s="112" t="s">
        <v>527</v>
      </c>
      <c r="CV2043" s="113" t="s">
        <v>528</v>
      </c>
      <c r="CX2043" s="36">
        <v>1</v>
      </c>
    </row>
    <row r="2044" spans="91:102" ht="21" customHeight="1" x14ac:dyDescent="0.25">
      <c r="CM2044" s="102"/>
      <c r="CN2044" s="112" t="s">
        <v>5017</v>
      </c>
      <c r="CO2044" s="112" t="s">
        <v>548</v>
      </c>
      <c r="CP2044" s="112" t="s">
        <v>523</v>
      </c>
      <c r="CQ2044" s="112" t="s">
        <v>5018</v>
      </c>
      <c r="CR2044" s="112" t="s">
        <v>5018</v>
      </c>
      <c r="CS2044" s="112" t="s">
        <v>525</v>
      </c>
      <c r="CT2044" s="112" t="s">
        <v>5006</v>
      </c>
      <c r="CU2044" s="112" t="s">
        <v>527</v>
      </c>
      <c r="CV2044" s="113" t="s">
        <v>528</v>
      </c>
      <c r="CX2044" s="36">
        <v>1</v>
      </c>
    </row>
    <row r="2045" spans="91:102" ht="21" customHeight="1" x14ac:dyDescent="0.25">
      <c r="CM2045" s="102"/>
      <c r="CN2045" s="112" t="s">
        <v>5019</v>
      </c>
      <c r="CO2045" s="112" t="s">
        <v>548</v>
      </c>
      <c r="CP2045" s="112" t="s">
        <v>523</v>
      </c>
      <c r="CQ2045" s="112" t="s">
        <v>5020</v>
      </c>
      <c r="CR2045" s="112" t="s">
        <v>5021</v>
      </c>
      <c r="CS2045" s="112" t="s">
        <v>525</v>
      </c>
      <c r="CT2045" s="112" t="s">
        <v>5006</v>
      </c>
      <c r="CU2045" s="112" t="s">
        <v>527</v>
      </c>
      <c r="CV2045" s="113" t="s">
        <v>528</v>
      </c>
      <c r="CX2045" s="36">
        <v>1</v>
      </c>
    </row>
    <row r="2046" spans="91:102" ht="21" customHeight="1" x14ac:dyDescent="0.25">
      <c r="CM2046" s="102"/>
      <c r="CN2046" s="112" t="s">
        <v>5022</v>
      </c>
      <c r="CO2046" s="112" t="s">
        <v>548</v>
      </c>
      <c r="CP2046" s="112" t="s">
        <v>523</v>
      </c>
      <c r="CQ2046" s="112" t="s">
        <v>5023</v>
      </c>
      <c r="CR2046" s="112" t="s">
        <v>5024</v>
      </c>
      <c r="CS2046" s="112" t="s">
        <v>525</v>
      </c>
      <c r="CT2046" s="112" t="s">
        <v>5006</v>
      </c>
      <c r="CU2046" s="112" t="s">
        <v>527</v>
      </c>
      <c r="CV2046" s="113" t="s">
        <v>528</v>
      </c>
      <c r="CX2046" s="36">
        <v>1</v>
      </c>
    </row>
    <row r="2047" spans="91:102" ht="21" customHeight="1" x14ac:dyDescent="0.25">
      <c r="CM2047" s="102"/>
      <c r="CN2047" s="112" t="s">
        <v>5025</v>
      </c>
      <c r="CO2047" s="112" t="s">
        <v>548</v>
      </c>
      <c r="CP2047" s="112" t="s">
        <v>523</v>
      </c>
      <c r="CQ2047" s="112" t="s">
        <v>5026</v>
      </c>
      <c r="CR2047" s="112" t="s">
        <v>5027</v>
      </c>
      <c r="CS2047" s="112" t="s">
        <v>525</v>
      </c>
      <c r="CT2047" s="112" t="s">
        <v>5006</v>
      </c>
      <c r="CU2047" s="112" t="s">
        <v>527</v>
      </c>
      <c r="CV2047" s="113" t="s">
        <v>528</v>
      </c>
      <c r="CX2047" s="36">
        <v>1</v>
      </c>
    </row>
    <row r="2048" spans="91:102" ht="21" customHeight="1" x14ac:dyDescent="0.25">
      <c r="CM2048" s="102"/>
      <c r="CN2048" s="112" t="s">
        <v>5028</v>
      </c>
      <c r="CO2048" s="112" t="s">
        <v>548</v>
      </c>
      <c r="CP2048" s="112" t="s">
        <v>523</v>
      </c>
      <c r="CQ2048" s="112" t="s">
        <v>5029</v>
      </c>
      <c r="CR2048" s="112" t="s">
        <v>5030</v>
      </c>
      <c r="CS2048" s="112" t="s">
        <v>525</v>
      </c>
      <c r="CT2048" s="112" t="s">
        <v>5006</v>
      </c>
      <c r="CU2048" s="112" t="s">
        <v>527</v>
      </c>
      <c r="CV2048" s="113" t="s">
        <v>528</v>
      </c>
      <c r="CX2048" s="36">
        <v>1</v>
      </c>
    </row>
    <row r="2049" spans="91:102" ht="21" customHeight="1" x14ac:dyDescent="0.25">
      <c r="CM2049" s="102"/>
      <c r="CN2049" s="112" t="s">
        <v>5031</v>
      </c>
      <c r="CO2049" s="112" t="s">
        <v>548</v>
      </c>
      <c r="CP2049" s="112" t="s">
        <v>523</v>
      </c>
      <c r="CQ2049" s="112" t="s">
        <v>5032</v>
      </c>
      <c r="CR2049" s="112" t="s">
        <v>5033</v>
      </c>
      <c r="CS2049" s="112" t="s">
        <v>525</v>
      </c>
      <c r="CT2049" s="112" t="s">
        <v>5006</v>
      </c>
      <c r="CU2049" s="112" t="s">
        <v>527</v>
      </c>
      <c r="CV2049" s="113" t="s">
        <v>528</v>
      </c>
      <c r="CX2049" s="36">
        <v>1</v>
      </c>
    </row>
    <row r="2050" spans="91:102" ht="21" customHeight="1" x14ac:dyDescent="0.25">
      <c r="CM2050" s="102"/>
      <c r="CN2050" s="112" t="s">
        <v>5034</v>
      </c>
      <c r="CO2050" s="112" t="s">
        <v>548</v>
      </c>
      <c r="CP2050" s="112" t="s">
        <v>523</v>
      </c>
      <c r="CQ2050" s="112" t="s">
        <v>5035</v>
      </c>
      <c r="CR2050" s="112" t="s">
        <v>5036</v>
      </c>
      <c r="CS2050" s="112" t="s">
        <v>525</v>
      </c>
      <c r="CT2050" s="112" t="s">
        <v>5006</v>
      </c>
      <c r="CU2050" s="112" t="s">
        <v>527</v>
      </c>
      <c r="CV2050" s="113" t="s">
        <v>528</v>
      </c>
      <c r="CX2050" s="36">
        <v>1</v>
      </c>
    </row>
    <row r="2051" spans="91:102" ht="21" customHeight="1" x14ac:dyDescent="0.25">
      <c r="CM2051" s="102"/>
      <c r="CN2051" s="112" t="s">
        <v>5037</v>
      </c>
      <c r="CO2051" s="112" t="s">
        <v>548</v>
      </c>
      <c r="CP2051" s="112" t="s">
        <v>523</v>
      </c>
      <c r="CQ2051" s="112" t="s">
        <v>5038</v>
      </c>
      <c r="CR2051" s="112" t="s">
        <v>5039</v>
      </c>
      <c r="CS2051" s="112" t="s">
        <v>525</v>
      </c>
      <c r="CT2051" s="112" t="s">
        <v>5006</v>
      </c>
      <c r="CU2051" s="112" t="s">
        <v>527</v>
      </c>
      <c r="CV2051" s="113" t="s">
        <v>528</v>
      </c>
      <c r="CX2051" s="36">
        <v>1</v>
      </c>
    </row>
    <row r="2052" spans="91:102" ht="21" customHeight="1" x14ac:dyDescent="0.25">
      <c r="CM2052" s="102"/>
      <c r="CN2052" s="112" t="s">
        <v>5040</v>
      </c>
      <c r="CO2052" s="112" t="s">
        <v>548</v>
      </c>
      <c r="CP2052" s="112" t="s">
        <v>523</v>
      </c>
      <c r="CQ2052" s="112" t="s">
        <v>5041</v>
      </c>
      <c r="CR2052" s="112" t="s">
        <v>5041</v>
      </c>
      <c r="CS2052" s="112" t="s">
        <v>610</v>
      </c>
      <c r="CT2052" s="112" t="s">
        <v>611</v>
      </c>
      <c r="CU2052" s="112" t="s">
        <v>527</v>
      </c>
      <c r="CV2052" s="113" t="s">
        <v>612</v>
      </c>
      <c r="CX2052" s="36">
        <v>1</v>
      </c>
    </row>
    <row r="2053" spans="91:102" ht="21" customHeight="1" x14ac:dyDescent="0.25">
      <c r="CM2053" s="102"/>
      <c r="CN2053" s="112" t="s">
        <v>5042</v>
      </c>
      <c r="CO2053" s="112" t="s">
        <v>548</v>
      </c>
      <c r="CP2053" s="112" t="s">
        <v>523</v>
      </c>
      <c r="CQ2053" s="112" t="s">
        <v>5043</v>
      </c>
      <c r="CR2053" s="112" t="s">
        <v>5043</v>
      </c>
      <c r="CS2053" s="112" t="s">
        <v>610</v>
      </c>
      <c r="CT2053" s="112" t="s">
        <v>611</v>
      </c>
      <c r="CU2053" s="112" t="s">
        <v>527</v>
      </c>
      <c r="CV2053" s="113" t="s">
        <v>612</v>
      </c>
      <c r="CX2053" s="36">
        <v>1</v>
      </c>
    </row>
    <row r="2054" spans="91:102" ht="21" customHeight="1" x14ac:dyDescent="0.25">
      <c r="CM2054" s="102"/>
      <c r="CN2054" s="112" t="s">
        <v>5044</v>
      </c>
      <c r="CO2054" s="112" t="s">
        <v>548</v>
      </c>
      <c r="CP2054" s="112" t="s">
        <v>523</v>
      </c>
      <c r="CQ2054" s="112" t="s">
        <v>5045</v>
      </c>
      <c r="CR2054" s="112" t="s">
        <v>5045</v>
      </c>
      <c r="CS2054" s="112" t="s">
        <v>610</v>
      </c>
      <c r="CT2054" s="112" t="s">
        <v>611</v>
      </c>
      <c r="CU2054" s="112" t="s">
        <v>527</v>
      </c>
      <c r="CV2054" s="113" t="s">
        <v>612</v>
      </c>
      <c r="CX2054" s="36">
        <v>1</v>
      </c>
    </row>
    <row r="2055" spans="91:102" ht="21" customHeight="1" x14ac:dyDescent="0.25">
      <c r="CM2055" s="102"/>
      <c r="CN2055" s="112" t="s">
        <v>5046</v>
      </c>
      <c r="CO2055" s="112" t="s">
        <v>548</v>
      </c>
      <c r="CP2055" s="112" t="s">
        <v>523</v>
      </c>
      <c r="CQ2055" s="112" t="s">
        <v>5047</v>
      </c>
      <c r="CR2055" s="112" t="s">
        <v>5047</v>
      </c>
      <c r="CS2055" s="112" t="s">
        <v>525</v>
      </c>
      <c r="CT2055" s="112" t="s">
        <v>5006</v>
      </c>
      <c r="CU2055" s="112" t="s">
        <v>527</v>
      </c>
      <c r="CV2055" s="113" t="s">
        <v>528</v>
      </c>
      <c r="CX2055" s="36">
        <v>1</v>
      </c>
    </row>
    <row r="2056" spans="91:102" ht="21" customHeight="1" x14ac:dyDescent="0.25">
      <c r="CM2056" s="102"/>
      <c r="CN2056" s="112" t="s">
        <v>5048</v>
      </c>
      <c r="CO2056" s="112" t="s">
        <v>548</v>
      </c>
      <c r="CP2056" s="112" t="s">
        <v>523</v>
      </c>
      <c r="CQ2056" s="112" t="s">
        <v>5049</v>
      </c>
      <c r="CR2056" s="112" t="s">
        <v>5049</v>
      </c>
      <c r="CS2056" s="112" t="s">
        <v>525</v>
      </c>
      <c r="CT2056" s="112" t="s">
        <v>5006</v>
      </c>
      <c r="CU2056" s="112" t="s">
        <v>527</v>
      </c>
      <c r="CV2056" s="113" t="s">
        <v>528</v>
      </c>
      <c r="CX2056" s="36">
        <v>1</v>
      </c>
    </row>
    <row r="2057" spans="91:102" ht="21" customHeight="1" x14ac:dyDescent="0.25">
      <c r="CM2057" s="102"/>
      <c r="CN2057" s="112" t="s">
        <v>5050</v>
      </c>
      <c r="CO2057" s="112" t="s">
        <v>548</v>
      </c>
      <c r="CP2057" s="112" t="s">
        <v>523</v>
      </c>
      <c r="CQ2057" s="112" t="s">
        <v>5051</v>
      </c>
      <c r="CR2057" s="112" t="s">
        <v>5051</v>
      </c>
      <c r="CS2057" s="112" t="s">
        <v>525</v>
      </c>
      <c r="CT2057" s="112" t="s">
        <v>5006</v>
      </c>
      <c r="CU2057" s="112" t="s">
        <v>527</v>
      </c>
      <c r="CV2057" s="113" t="s">
        <v>528</v>
      </c>
      <c r="CX2057" s="36">
        <v>1</v>
      </c>
    </row>
    <row r="2058" spans="91:102" ht="21" customHeight="1" x14ac:dyDescent="0.25">
      <c r="CM2058" s="102"/>
      <c r="CN2058" s="112" t="s">
        <v>5052</v>
      </c>
      <c r="CO2058" s="112" t="s">
        <v>548</v>
      </c>
      <c r="CP2058" s="112" t="s">
        <v>1119</v>
      </c>
      <c r="CQ2058" s="112" t="s">
        <v>5053</v>
      </c>
      <c r="CR2058" s="112" t="s">
        <v>5054</v>
      </c>
      <c r="CS2058" s="112" t="s">
        <v>525</v>
      </c>
      <c r="CT2058" s="112" t="s">
        <v>3553</v>
      </c>
      <c r="CU2058" s="112" t="s">
        <v>527</v>
      </c>
      <c r="CV2058" s="113" t="s">
        <v>528</v>
      </c>
      <c r="CX2058" s="36">
        <v>1</v>
      </c>
    </row>
    <row r="2059" spans="91:102" ht="21" customHeight="1" x14ac:dyDescent="0.25">
      <c r="CM2059" s="102"/>
      <c r="CN2059" s="112" t="s">
        <v>5055</v>
      </c>
      <c r="CO2059" s="112" t="s">
        <v>548</v>
      </c>
      <c r="CP2059" s="112" t="s">
        <v>1119</v>
      </c>
      <c r="CQ2059" s="112" t="s">
        <v>5056</v>
      </c>
      <c r="CR2059" s="112" t="s">
        <v>5056</v>
      </c>
      <c r="CS2059" s="112" t="s">
        <v>525</v>
      </c>
      <c r="CT2059" s="112" t="s">
        <v>3553</v>
      </c>
      <c r="CU2059" s="112" t="s">
        <v>527</v>
      </c>
      <c r="CV2059" s="113" t="s">
        <v>528</v>
      </c>
      <c r="CX2059" s="36">
        <v>1</v>
      </c>
    </row>
    <row r="2060" spans="91:102" ht="21" customHeight="1" x14ac:dyDescent="0.25">
      <c r="CM2060" s="102"/>
      <c r="CN2060" s="112" t="s">
        <v>5057</v>
      </c>
      <c r="CO2060" s="112" t="s">
        <v>548</v>
      </c>
      <c r="CP2060" s="112" t="s">
        <v>1119</v>
      </c>
      <c r="CQ2060" s="112" t="s">
        <v>5058</v>
      </c>
      <c r="CR2060" s="112" t="s">
        <v>5058</v>
      </c>
      <c r="CS2060" s="112" t="s">
        <v>525</v>
      </c>
      <c r="CT2060" s="112" t="s">
        <v>3553</v>
      </c>
      <c r="CU2060" s="112" t="s">
        <v>527</v>
      </c>
      <c r="CV2060" s="113" t="s">
        <v>528</v>
      </c>
      <c r="CX2060" s="36">
        <v>1</v>
      </c>
    </row>
    <row r="2061" spans="91:102" ht="21" customHeight="1" x14ac:dyDescent="0.25">
      <c r="CM2061" s="102"/>
      <c r="CN2061" s="112" t="s">
        <v>5059</v>
      </c>
      <c r="CO2061" s="112" t="s">
        <v>548</v>
      </c>
      <c r="CP2061" s="112" t="s">
        <v>1119</v>
      </c>
      <c r="CQ2061" s="112" t="s">
        <v>676</v>
      </c>
      <c r="CR2061" s="112" t="s">
        <v>676</v>
      </c>
      <c r="CS2061" s="112" t="s">
        <v>525</v>
      </c>
      <c r="CT2061" s="112" t="s">
        <v>3553</v>
      </c>
      <c r="CU2061" s="112" t="s">
        <v>527</v>
      </c>
      <c r="CV2061" s="113" t="s">
        <v>528</v>
      </c>
      <c r="CX2061" s="36">
        <v>1</v>
      </c>
    </row>
    <row r="2062" spans="91:102" ht="21" customHeight="1" x14ac:dyDescent="0.25">
      <c r="CM2062" s="102"/>
      <c r="CN2062" s="112" t="s">
        <v>5060</v>
      </c>
      <c r="CO2062" s="112" t="s">
        <v>548</v>
      </c>
      <c r="CP2062" s="112" t="s">
        <v>1119</v>
      </c>
      <c r="CQ2062" s="112" t="s">
        <v>5061</v>
      </c>
      <c r="CR2062" s="112" t="s">
        <v>5061</v>
      </c>
      <c r="CS2062" s="112" t="s">
        <v>525</v>
      </c>
      <c r="CT2062" s="112" t="s">
        <v>3553</v>
      </c>
      <c r="CU2062" s="112" t="s">
        <v>527</v>
      </c>
      <c r="CV2062" s="113" t="s">
        <v>528</v>
      </c>
      <c r="CX2062" s="36">
        <v>1</v>
      </c>
    </row>
    <row r="2063" spans="91:102" ht="21" customHeight="1" x14ac:dyDescent="0.25">
      <c r="CM2063" s="102"/>
      <c r="CN2063" s="112" t="s">
        <v>5062</v>
      </c>
      <c r="CO2063" s="112" t="s">
        <v>548</v>
      </c>
      <c r="CP2063" s="112" t="s">
        <v>1119</v>
      </c>
      <c r="CQ2063" s="112" t="s">
        <v>4857</v>
      </c>
      <c r="CR2063" s="112" t="s">
        <v>4857</v>
      </c>
      <c r="CS2063" s="112" t="s">
        <v>525</v>
      </c>
      <c r="CT2063" s="112" t="s">
        <v>3553</v>
      </c>
      <c r="CU2063" s="112" t="s">
        <v>527</v>
      </c>
      <c r="CV2063" s="113" t="s">
        <v>528</v>
      </c>
      <c r="CX2063" s="36">
        <v>1</v>
      </c>
    </row>
    <row r="2064" spans="91:102" ht="21" customHeight="1" x14ac:dyDescent="0.25">
      <c r="CM2064" s="102"/>
      <c r="CN2064" s="112" t="s">
        <v>5063</v>
      </c>
      <c r="CO2064" s="112" t="s">
        <v>548</v>
      </c>
      <c r="CP2064" s="112" t="s">
        <v>1119</v>
      </c>
      <c r="CQ2064" s="112" t="s">
        <v>5064</v>
      </c>
      <c r="CR2064" s="112" t="s">
        <v>5064</v>
      </c>
      <c r="CS2064" s="112" t="s">
        <v>525</v>
      </c>
      <c r="CT2064" s="112" t="s">
        <v>3553</v>
      </c>
      <c r="CU2064" s="112" t="s">
        <v>527</v>
      </c>
      <c r="CV2064" s="113" t="s">
        <v>528</v>
      </c>
      <c r="CX2064" s="36">
        <v>1</v>
      </c>
    </row>
    <row r="2065" spans="91:102" ht="21" customHeight="1" x14ac:dyDescent="0.25">
      <c r="CM2065" s="102"/>
      <c r="CN2065" s="112" t="s">
        <v>5065</v>
      </c>
      <c r="CO2065" s="112" t="s">
        <v>548</v>
      </c>
      <c r="CP2065" s="112" t="s">
        <v>1119</v>
      </c>
      <c r="CQ2065" s="112" t="s">
        <v>5066</v>
      </c>
      <c r="CR2065" s="112" t="s">
        <v>5066</v>
      </c>
      <c r="CS2065" s="112" t="s">
        <v>525</v>
      </c>
      <c r="CT2065" s="112" t="s">
        <v>3553</v>
      </c>
      <c r="CU2065" s="112" t="s">
        <v>527</v>
      </c>
      <c r="CV2065" s="113" t="s">
        <v>528</v>
      </c>
      <c r="CX2065" s="36">
        <v>1</v>
      </c>
    </row>
    <row r="2066" spans="91:102" ht="21" customHeight="1" x14ac:dyDescent="0.25">
      <c r="CM2066" s="102"/>
      <c r="CN2066" s="112" t="s">
        <v>5067</v>
      </c>
      <c r="CO2066" s="112" t="s">
        <v>548</v>
      </c>
      <c r="CP2066" s="112" t="s">
        <v>1119</v>
      </c>
      <c r="CQ2066" s="112" t="s">
        <v>4863</v>
      </c>
      <c r="CR2066" s="112" t="s">
        <v>4863</v>
      </c>
      <c r="CS2066" s="112" t="s">
        <v>525</v>
      </c>
      <c r="CT2066" s="112" t="s">
        <v>3553</v>
      </c>
      <c r="CU2066" s="112" t="s">
        <v>527</v>
      </c>
      <c r="CV2066" s="113" t="s">
        <v>528</v>
      </c>
      <c r="CX2066" s="36">
        <v>1</v>
      </c>
    </row>
    <row r="2067" spans="91:102" ht="21" customHeight="1" x14ac:dyDescent="0.25">
      <c r="CM2067" s="102"/>
      <c r="CN2067" s="112" t="s">
        <v>5068</v>
      </c>
      <c r="CO2067" s="112" t="s">
        <v>548</v>
      </c>
      <c r="CP2067" s="112" t="s">
        <v>1119</v>
      </c>
      <c r="CQ2067" s="112" t="s">
        <v>5069</v>
      </c>
      <c r="CR2067" s="112" t="s">
        <v>5069</v>
      </c>
      <c r="CS2067" s="112" t="s">
        <v>525</v>
      </c>
      <c r="CT2067" s="112" t="s">
        <v>3553</v>
      </c>
      <c r="CU2067" s="112" t="s">
        <v>527</v>
      </c>
      <c r="CV2067" s="113" t="s">
        <v>528</v>
      </c>
      <c r="CX2067" s="36">
        <v>1</v>
      </c>
    </row>
    <row r="2068" spans="91:102" ht="21" customHeight="1" x14ac:dyDescent="0.25">
      <c r="CM2068" s="102"/>
      <c r="CN2068" s="112" t="s">
        <v>5070</v>
      </c>
      <c r="CO2068" s="112" t="s">
        <v>548</v>
      </c>
      <c r="CP2068" s="112" t="s">
        <v>1119</v>
      </c>
      <c r="CQ2068" s="112" t="s">
        <v>5071</v>
      </c>
      <c r="CR2068" s="112" t="s">
        <v>5071</v>
      </c>
      <c r="CS2068" s="112" t="s">
        <v>525</v>
      </c>
      <c r="CT2068" s="112" t="s">
        <v>3553</v>
      </c>
      <c r="CU2068" s="112" t="s">
        <v>527</v>
      </c>
      <c r="CV2068" s="113" t="s">
        <v>528</v>
      </c>
      <c r="CX2068" s="36">
        <v>1</v>
      </c>
    </row>
    <row r="2069" spans="91:102" ht="21" customHeight="1" x14ac:dyDescent="0.25">
      <c r="CM2069" s="102"/>
      <c r="CN2069" s="112" t="s">
        <v>5072</v>
      </c>
      <c r="CO2069" s="112" t="s">
        <v>548</v>
      </c>
      <c r="CP2069" s="112" t="s">
        <v>1119</v>
      </c>
      <c r="CQ2069" s="112" t="s">
        <v>5073</v>
      </c>
      <c r="CR2069" s="112" t="s">
        <v>5073</v>
      </c>
      <c r="CS2069" s="112" t="s">
        <v>525</v>
      </c>
      <c r="CT2069" s="112" t="s">
        <v>3553</v>
      </c>
      <c r="CU2069" s="112" t="s">
        <v>527</v>
      </c>
      <c r="CV2069" s="113" t="s">
        <v>528</v>
      </c>
      <c r="CX2069" s="36">
        <v>1</v>
      </c>
    </row>
    <row r="2070" spans="91:102" ht="21" customHeight="1" x14ac:dyDescent="0.25">
      <c r="CM2070" s="102"/>
      <c r="CN2070" s="112" t="s">
        <v>5074</v>
      </c>
      <c r="CO2070" s="112" t="s">
        <v>548</v>
      </c>
      <c r="CP2070" s="112" t="s">
        <v>1119</v>
      </c>
      <c r="CQ2070" s="112" t="s">
        <v>857</v>
      </c>
      <c r="CR2070" s="112" t="s">
        <v>857</v>
      </c>
      <c r="CS2070" s="112" t="s">
        <v>525</v>
      </c>
      <c r="CT2070" s="112" t="s">
        <v>3553</v>
      </c>
      <c r="CU2070" s="112" t="s">
        <v>527</v>
      </c>
      <c r="CV2070" s="113" t="s">
        <v>528</v>
      </c>
      <c r="CX2070" s="36">
        <v>1</v>
      </c>
    </row>
    <row r="2071" spans="91:102" ht="21" customHeight="1" x14ac:dyDescent="0.25">
      <c r="CM2071" s="102"/>
      <c r="CN2071" s="112" t="s">
        <v>5075</v>
      </c>
      <c r="CO2071" s="112" t="s">
        <v>548</v>
      </c>
      <c r="CP2071" s="112" t="s">
        <v>1119</v>
      </c>
      <c r="CQ2071" s="112" t="s">
        <v>5076</v>
      </c>
      <c r="CR2071" s="112" t="s">
        <v>5076</v>
      </c>
      <c r="CS2071" s="112" t="s">
        <v>525</v>
      </c>
      <c r="CT2071" s="112" t="s">
        <v>3553</v>
      </c>
      <c r="CU2071" s="112" t="s">
        <v>527</v>
      </c>
      <c r="CV2071" s="113" t="s">
        <v>528</v>
      </c>
      <c r="CX2071" s="36">
        <v>1</v>
      </c>
    </row>
    <row r="2072" spans="91:102" ht="21" customHeight="1" x14ac:dyDescent="0.25">
      <c r="CM2072" s="102"/>
      <c r="CN2072" s="112" t="s">
        <v>5077</v>
      </c>
      <c r="CO2072" s="112" t="s">
        <v>548</v>
      </c>
      <c r="CP2072" s="112" t="s">
        <v>1119</v>
      </c>
      <c r="CQ2072" s="112" t="s">
        <v>5078</v>
      </c>
      <c r="CR2072" s="112" t="s">
        <v>5078</v>
      </c>
      <c r="CS2072" s="112" t="s">
        <v>525</v>
      </c>
      <c r="CT2072" s="112" t="s">
        <v>3553</v>
      </c>
      <c r="CU2072" s="112" t="s">
        <v>527</v>
      </c>
      <c r="CV2072" s="113" t="s">
        <v>528</v>
      </c>
      <c r="CX2072" s="36">
        <v>1</v>
      </c>
    </row>
    <row r="2073" spans="91:102" ht="21" customHeight="1" x14ac:dyDescent="0.25">
      <c r="CM2073" s="102"/>
      <c r="CN2073" s="112" t="s">
        <v>5079</v>
      </c>
      <c r="CO2073" s="112" t="s">
        <v>549</v>
      </c>
      <c r="CP2073" s="112" t="s">
        <v>523</v>
      </c>
      <c r="CQ2073" s="112" t="s">
        <v>5080</v>
      </c>
      <c r="CR2073" s="112" t="s">
        <v>5080</v>
      </c>
      <c r="CS2073" s="112" t="s">
        <v>525</v>
      </c>
      <c r="CT2073" s="112" t="s">
        <v>5081</v>
      </c>
      <c r="CU2073" s="112" t="s">
        <v>527</v>
      </c>
      <c r="CV2073" s="113" t="s">
        <v>528</v>
      </c>
      <c r="CX2073" s="36">
        <v>1</v>
      </c>
    </row>
    <row r="2074" spans="91:102" ht="21" customHeight="1" x14ac:dyDescent="0.25">
      <c r="CM2074" s="102"/>
      <c r="CN2074" s="112" t="s">
        <v>5082</v>
      </c>
      <c r="CO2074" s="112" t="s">
        <v>549</v>
      </c>
      <c r="CP2074" s="112" t="s">
        <v>523</v>
      </c>
      <c r="CQ2074" s="112" t="s">
        <v>5083</v>
      </c>
      <c r="CR2074" s="112" t="s">
        <v>5083</v>
      </c>
      <c r="CS2074" s="112" t="s">
        <v>525</v>
      </c>
      <c r="CT2074" s="112" t="s">
        <v>5081</v>
      </c>
      <c r="CU2074" s="112" t="s">
        <v>527</v>
      </c>
      <c r="CV2074" s="113" t="s">
        <v>528</v>
      </c>
      <c r="CX2074" s="36">
        <v>1</v>
      </c>
    </row>
    <row r="2075" spans="91:102" ht="21" customHeight="1" x14ac:dyDescent="0.25">
      <c r="CM2075" s="102"/>
      <c r="CN2075" s="112" t="s">
        <v>5084</v>
      </c>
      <c r="CO2075" s="112" t="s">
        <v>549</v>
      </c>
      <c r="CP2075" s="112" t="s">
        <v>523</v>
      </c>
      <c r="CQ2075" s="112" t="s">
        <v>5085</v>
      </c>
      <c r="CR2075" s="112" t="s">
        <v>5085</v>
      </c>
      <c r="CS2075" s="112" t="s">
        <v>525</v>
      </c>
      <c r="CT2075" s="112" t="s">
        <v>5081</v>
      </c>
      <c r="CU2075" s="112" t="s">
        <v>527</v>
      </c>
      <c r="CV2075" s="113" t="s">
        <v>528</v>
      </c>
      <c r="CX2075" s="36">
        <v>1</v>
      </c>
    </row>
    <row r="2076" spans="91:102" ht="21" customHeight="1" x14ac:dyDescent="0.25">
      <c r="CM2076" s="102"/>
      <c r="CN2076" s="112" t="s">
        <v>5086</v>
      </c>
      <c r="CO2076" s="112" t="s">
        <v>549</v>
      </c>
      <c r="CP2076" s="112" t="s">
        <v>523</v>
      </c>
      <c r="CQ2076" s="112" t="s">
        <v>5087</v>
      </c>
      <c r="CR2076" s="112" t="s">
        <v>5087</v>
      </c>
      <c r="CS2076" s="112" t="s">
        <v>525</v>
      </c>
      <c r="CT2076" s="112" t="s">
        <v>5081</v>
      </c>
      <c r="CU2076" s="112" t="s">
        <v>527</v>
      </c>
      <c r="CV2076" s="113" t="s">
        <v>528</v>
      </c>
      <c r="CX2076" s="36">
        <v>1</v>
      </c>
    </row>
    <row r="2077" spans="91:102" ht="21" customHeight="1" x14ac:dyDescent="0.25">
      <c r="CM2077" s="102"/>
      <c r="CN2077" s="112" t="s">
        <v>5088</v>
      </c>
      <c r="CO2077" s="112" t="s">
        <v>549</v>
      </c>
      <c r="CP2077" s="112" t="s">
        <v>523</v>
      </c>
      <c r="CQ2077" s="112" t="s">
        <v>5089</v>
      </c>
      <c r="CR2077" s="112" t="s">
        <v>5090</v>
      </c>
      <c r="CS2077" s="112" t="s">
        <v>525</v>
      </c>
      <c r="CT2077" s="112" t="s">
        <v>5081</v>
      </c>
      <c r="CU2077" s="112" t="s">
        <v>527</v>
      </c>
      <c r="CV2077" s="113" t="s">
        <v>528</v>
      </c>
      <c r="CX2077" s="36">
        <v>1</v>
      </c>
    </row>
    <row r="2078" spans="91:102" ht="21" customHeight="1" x14ac:dyDescent="0.25">
      <c r="CM2078" s="102"/>
      <c r="CN2078" s="112" t="s">
        <v>5091</v>
      </c>
      <c r="CO2078" s="112" t="s">
        <v>549</v>
      </c>
      <c r="CP2078" s="112" t="s">
        <v>523</v>
      </c>
      <c r="CQ2078" s="112" t="s">
        <v>5092</v>
      </c>
      <c r="CR2078" s="112" t="s">
        <v>5093</v>
      </c>
      <c r="CS2078" s="112" t="s">
        <v>525</v>
      </c>
      <c r="CT2078" s="112" t="s">
        <v>5081</v>
      </c>
      <c r="CU2078" s="112" t="s">
        <v>527</v>
      </c>
      <c r="CV2078" s="113" t="s">
        <v>528</v>
      </c>
      <c r="CX2078" s="36">
        <v>1</v>
      </c>
    </row>
    <row r="2079" spans="91:102" ht="21" customHeight="1" x14ac:dyDescent="0.25">
      <c r="CM2079" s="102"/>
      <c r="CN2079" s="112" t="s">
        <v>5094</v>
      </c>
      <c r="CO2079" s="112" t="s">
        <v>549</v>
      </c>
      <c r="CP2079" s="112" t="s">
        <v>523</v>
      </c>
      <c r="CQ2079" s="112" t="s">
        <v>5095</v>
      </c>
      <c r="CR2079" s="112" t="s">
        <v>5096</v>
      </c>
      <c r="CS2079" s="112" t="s">
        <v>525</v>
      </c>
      <c r="CT2079" s="112" t="s">
        <v>5081</v>
      </c>
      <c r="CU2079" s="112" t="s">
        <v>527</v>
      </c>
      <c r="CV2079" s="113" t="s">
        <v>528</v>
      </c>
      <c r="CX2079" s="36">
        <v>1</v>
      </c>
    </row>
    <row r="2080" spans="91:102" ht="21" customHeight="1" x14ac:dyDescent="0.25">
      <c r="CM2080" s="102"/>
      <c r="CN2080" s="112" t="s">
        <v>5097</v>
      </c>
      <c r="CO2080" s="112" t="s">
        <v>549</v>
      </c>
      <c r="CP2080" s="112" t="s">
        <v>523</v>
      </c>
      <c r="CQ2080" s="112" t="s">
        <v>5098</v>
      </c>
      <c r="CR2080" s="112" t="s">
        <v>5099</v>
      </c>
      <c r="CS2080" s="112" t="s">
        <v>525</v>
      </c>
      <c r="CT2080" s="112" t="s">
        <v>5081</v>
      </c>
      <c r="CU2080" s="112" t="s">
        <v>527</v>
      </c>
      <c r="CV2080" s="113" t="s">
        <v>528</v>
      </c>
      <c r="CX2080" s="36">
        <v>1</v>
      </c>
    </row>
    <row r="2081" spans="91:102" ht="21" customHeight="1" x14ac:dyDescent="0.25">
      <c r="CM2081" s="102"/>
      <c r="CN2081" s="112" t="s">
        <v>5100</v>
      </c>
      <c r="CO2081" s="112" t="s">
        <v>549</v>
      </c>
      <c r="CP2081" s="112" t="s">
        <v>523</v>
      </c>
      <c r="CQ2081" s="112" t="s">
        <v>5101</v>
      </c>
      <c r="CR2081" s="112" t="s">
        <v>5102</v>
      </c>
      <c r="CS2081" s="112" t="s">
        <v>525</v>
      </c>
      <c r="CT2081" s="112" t="s">
        <v>5081</v>
      </c>
      <c r="CU2081" s="112" t="s">
        <v>527</v>
      </c>
      <c r="CV2081" s="113" t="s">
        <v>528</v>
      </c>
      <c r="CX2081" s="36">
        <v>1</v>
      </c>
    </row>
    <row r="2082" spans="91:102" ht="21" customHeight="1" x14ac:dyDescent="0.25">
      <c r="CM2082" s="102"/>
      <c r="CN2082" s="112" t="s">
        <v>5103</v>
      </c>
      <c r="CO2082" s="112" t="s">
        <v>549</v>
      </c>
      <c r="CP2082" s="112" t="s">
        <v>523</v>
      </c>
      <c r="CQ2082" s="112" t="s">
        <v>5104</v>
      </c>
      <c r="CR2082" s="112" t="s">
        <v>5105</v>
      </c>
      <c r="CS2082" s="112" t="s">
        <v>525</v>
      </c>
      <c r="CT2082" s="112" t="s">
        <v>5081</v>
      </c>
      <c r="CU2082" s="112" t="s">
        <v>527</v>
      </c>
      <c r="CV2082" s="113" t="s">
        <v>528</v>
      </c>
      <c r="CX2082" s="36">
        <v>1</v>
      </c>
    </row>
    <row r="2083" spans="91:102" ht="21" customHeight="1" x14ac:dyDescent="0.25">
      <c r="CM2083" s="102"/>
      <c r="CN2083" s="112" t="s">
        <v>5106</v>
      </c>
      <c r="CO2083" s="112" t="s">
        <v>549</v>
      </c>
      <c r="CP2083" s="112" t="s">
        <v>523</v>
      </c>
      <c r="CQ2083" s="112" t="s">
        <v>5107</v>
      </c>
      <c r="CR2083" s="112" t="s">
        <v>5108</v>
      </c>
      <c r="CS2083" s="112" t="s">
        <v>525</v>
      </c>
      <c r="CT2083" s="112" t="s">
        <v>5081</v>
      </c>
      <c r="CU2083" s="112" t="s">
        <v>527</v>
      </c>
      <c r="CV2083" s="113" t="s">
        <v>528</v>
      </c>
      <c r="CX2083" s="36">
        <v>1</v>
      </c>
    </row>
    <row r="2084" spans="91:102" ht="21" customHeight="1" x14ac:dyDescent="0.25">
      <c r="CM2084" s="102"/>
      <c r="CN2084" s="112" t="s">
        <v>5109</v>
      </c>
      <c r="CO2084" s="112" t="s">
        <v>549</v>
      </c>
      <c r="CP2084" s="112" t="s">
        <v>523</v>
      </c>
      <c r="CQ2084" s="112" t="s">
        <v>5110</v>
      </c>
      <c r="CR2084" s="112" t="s">
        <v>5111</v>
      </c>
      <c r="CS2084" s="112" t="s">
        <v>525</v>
      </c>
      <c r="CT2084" s="112" t="s">
        <v>5081</v>
      </c>
      <c r="CU2084" s="112" t="s">
        <v>527</v>
      </c>
      <c r="CV2084" s="113" t="s">
        <v>528</v>
      </c>
      <c r="CX2084" s="36">
        <v>1</v>
      </c>
    </row>
    <row r="2085" spans="91:102" ht="21" customHeight="1" x14ac:dyDescent="0.25">
      <c r="CM2085" s="102"/>
      <c r="CN2085" s="112" t="s">
        <v>5112</v>
      </c>
      <c r="CO2085" s="112" t="s">
        <v>549</v>
      </c>
      <c r="CP2085" s="112" t="s">
        <v>523</v>
      </c>
      <c r="CQ2085" s="112" t="s">
        <v>5113</v>
      </c>
      <c r="CR2085" s="112" t="s">
        <v>5114</v>
      </c>
      <c r="CS2085" s="112" t="s">
        <v>525</v>
      </c>
      <c r="CT2085" s="112" t="s">
        <v>5081</v>
      </c>
      <c r="CU2085" s="112" t="s">
        <v>527</v>
      </c>
      <c r="CV2085" s="113" t="s">
        <v>528</v>
      </c>
      <c r="CX2085" s="36">
        <v>1</v>
      </c>
    </row>
    <row r="2086" spans="91:102" ht="21" customHeight="1" x14ac:dyDescent="0.25">
      <c r="CM2086" s="102"/>
      <c r="CN2086" s="112" t="s">
        <v>5115</v>
      </c>
      <c r="CO2086" s="112" t="s">
        <v>549</v>
      </c>
      <c r="CP2086" s="112" t="s">
        <v>523</v>
      </c>
      <c r="CQ2086" s="112" t="s">
        <v>5116</v>
      </c>
      <c r="CR2086" s="112" t="s">
        <v>5117</v>
      </c>
      <c r="CS2086" s="112" t="s">
        <v>525</v>
      </c>
      <c r="CT2086" s="112" t="s">
        <v>5081</v>
      </c>
      <c r="CU2086" s="112" t="s">
        <v>527</v>
      </c>
      <c r="CV2086" s="113" t="s">
        <v>528</v>
      </c>
      <c r="CX2086" s="36">
        <v>1</v>
      </c>
    </row>
    <row r="2087" spans="91:102" ht="21" customHeight="1" x14ac:dyDescent="0.25">
      <c r="CM2087" s="102"/>
      <c r="CN2087" s="112" t="s">
        <v>5118</v>
      </c>
      <c r="CO2087" s="112" t="s">
        <v>549</v>
      </c>
      <c r="CP2087" s="112" t="s">
        <v>523</v>
      </c>
      <c r="CQ2087" s="112" t="s">
        <v>5119</v>
      </c>
      <c r="CR2087" s="112" t="s">
        <v>5120</v>
      </c>
      <c r="CS2087" s="112" t="s">
        <v>525</v>
      </c>
      <c r="CT2087" s="112" t="s">
        <v>5081</v>
      </c>
      <c r="CU2087" s="112" t="s">
        <v>527</v>
      </c>
      <c r="CV2087" s="113" t="s">
        <v>528</v>
      </c>
      <c r="CX2087" s="36">
        <v>1</v>
      </c>
    </row>
    <row r="2088" spans="91:102" ht="21" customHeight="1" x14ac:dyDescent="0.25">
      <c r="CM2088" s="102"/>
      <c r="CN2088" s="112" t="s">
        <v>5121</v>
      </c>
      <c r="CO2088" s="112" t="s">
        <v>549</v>
      </c>
      <c r="CP2088" s="112" t="s">
        <v>523</v>
      </c>
      <c r="CQ2088" s="112" t="s">
        <v>5122</v>
      </c>
      <c r="CR2088" s="112" t="s">
        <v>5122</v>
      </c>
      <c r="CS2088" s="112" t="s">
        <v>525</v>
      </c>
      <c r="CT2088" s="112" t="s">
        <v>5081</v>
      </c>
      <c r="CU2088" s="112" t="s">
        <v>527</v>
      </c>
      <c r="CV2088" s="113" t="s">
        <v>528</v>
      </c>
      <c r="CX2088" s="36">
        <v>1</v>
      </c>
    </row>
    <row r="2089" spans="91:102" ht="21" customHeight="1" x14ac:dyDescent="0.25">
      <c r="CM2089" s="102"/>
      <c r="CN2089" s="112" t="s">
        <v>5123</v>
      </c>
      <c r="CO2089" s="112" t="s">
        <v>549</v>
      </c>
      <c r="CP2089" s="112" t="s">
        <v>523</v>
      </c>
      <c r="CQ2089" s="112" t="s">
        <v>5124</v>
      </c>
      <c r="CR2089" s="112" t="s">
        <v>5124</v>
      </c>
      <c r="CS2089" s="112" t="s">
        <v>525</v>
      </c>
      <c r="CT2089" s="112" t="s">
        <v>5081</v>
      </c>
      <c r="CU2089" s="112" t="s">
        <v>527</v>
      </c>
      <c r="CV2089" s="113" t="s">
        <v>528</v>
      </c>
      <c r="CX2089" s="36">
        <v>1</v>
      </c>
    </row>
    <row r="2090" spans="91:102" ht="21" customHeight="1" x14ac:dyDescent="0.25">
      <c r="CM2090" s="102"/>
      <c r="CN2090" s="112" t="s">
        <v>5125</v>
      </c>
      <c r="CO2090" s="112" t="s">
        <v>549</v>
      </c>
      <c r="CP2090" s="112" t="s">
        <v>523</v>
      </c>
      <c r="CQ2090" s="112" t="s">
        <v>5126</v>
      </c>
      <c r="CR2090" s="112" t="s">
        <v>5126</v>
      </c>
      <c r="CS2090" s="112" t="s">
        <v>610</v>
      </c>
      <c r="CT2090" s="112" t="s">
        <v>611</v>
      </c>
      <c r="CU2090" s="112" t="s">
        <v>527</v>
      </c>
      <c r="CV2090" s="113" t="s">
        <v>612</v>
      </c>
      <c r="CX2090" s="36">
        <v>1</v>
      </c>
    </row>
    <row r="2091" spans="91:102" ht="21" customHeight="1" x14ac:dyDescent="0.25">
      <c r="CM2091" s="102"/>
      <c r="CN2091" s="112" t="s">
        <v>5127</v>
      </c>
      <c r="CO2091" s="112" t="s">
        <v>549</v>
      </c>
      <c r="CP2091" s="112" t="s">
        <v>523</v>
      </c>
      <c r="CQ2091" s="112" t="s">
        <v>5128</v>
      </c>
      <c r="CR2091" s="112" t="s">
        <v>5128</v>
      </c>
      <c r="CS2091" s="112" t="s">
        <v>525</v>
      </c>
      <c r="CT2091" s="112" t="s">
        <v>5081</v>
      </c>
      <c r="CU2091" s="112" t="s">
        <v>527</v>
      </c>
      <c r="CV2091" s="113" t="s">
        <v>528</v>
      </c>
      <c r="CX2091" s="36">
        <v>1</v>
      </c>
    </row>
    <row r="2092" spans="91:102" ht="21" customHeight="1" x14ac:dyDescent="0.25">
      <c r="CM2092" s="102"/>
      <c r="CN2092" s="112" t="s">
        <v>5129</v>
      </c>
      <c r="CO2092" s="112" t="s">
        <v>549</v>
      </c>
      <c r="CP2092" s="112" t="s">
        <v>523</v>
      </c>
      <c r="CQ2092" s="112" t="s">
        <v>5130</v>
      </c>
      <c r="CR2092" s="112" t="s">
        <v>5130</v>
      </c>
      <c r="CS2092" s="112" t="s">
        <v>525</v>
      </c>
      <c r="CT2092" s="112" t="s">
        <v>5081</v>
      </c>
      <c r="CU2092" s="112" t="s">
        <v>527</v>
      </c>
      <c r="CV2092" s="113" t="s">
        <v>528</v>
      </c>
      <c r="CX2092" s="36">
        <v>1</v>
      </c>
    </row>
    <row r="2093" spans="91:102" ht="21" customHeight="1" x14ac:dyDescent="0.25">
      <c r="CM2093" s="102"/>
      <c r="CN2093" s="112" t="s">
        <v>5131</v>
      </c>
      <c r="CO2093" s="112" t="s">
        <v>549</v>
      </c>
      <c r="CP2093" s="112" t="s">
        <v>523</v>
      </c>
      <c r="CQ2093" s="112" t="s">
        <v>5132</v>
      </c>
      <c r="CR2093" s="112" t="s">
        <v>5132</v>
      </c>
      <c r="CS2093" s="112" t="s">
        <v>610</v>
      </c>
      <c r="CT2093" s="112" t="s">
        <v>611</v>
      </c>
      <c r="CU2093" s="112" t="s">
        <v>527</v>
      </c>
      <c r="CV2093" s="113" t="s">
        <v>612</v>
      </c>
      <c r="CX2093" s="36">
        <v>1</v>
      </c>
    </row>
    <row r="2094" spans="91:102" ht="21" customHeight="1" x14ac:dyDescent="0.25">
      <c r="CM2094" s="102"/>
      <c r="CN2094" s="112" t="s">
        <v>5133</v>
      </c>
      <c r="CO2094" s="112" t="s">
        <v>549</v>
      </c>
      <c r="CP2094" s="112" t="s">
        <v>1119</v>
      </c>
      <c r="CQ2094" s="112" t="s">
        <v>5134</v>
      </c>
      <c r="CR2094" s="112" t="s">
        <v>5134</v>
      </c>
      <c r="CS2094" s="112" t="s">
        <v>525</v>
      </c>
      <c r="CT2094" s="112" t="s">
        <v>5135</v>
      </c>
      <c r="CU2094" s="112" t="s">
        <v>527</v>
      </c>
      <c r="CV2094" s="113" t="s">
        <v>528</v>
      </c>
      <c r="CX2094" s="36">
        <v>1</v>
      </c>
    </row>
    <row r="2095" spans="91:102" ht="21" customHeight="1" x14ac:dyDescent="0.25">
      <c r="CM2095" s="102"/>
      <c r="CN2095" s="112" t="s">
        <v>5136</v>
      </c>
      <c r="CO2095" s="112" t="s">
        <v>549</v>
      </c>
      <c r="CP2095" s="112" t="s">
        <v>1119</v>
      </c>
      <c r="CQ2095" s="112" t="s">
        <v>614</v>
      </c>
      <c r="CR2095" s="112" t="s">
        <v>615</v>
      </c>
      <c r="CS2095" s="112" t="s">
        <v>525</v>
      </c>
      <c r="CT2095" s="112" t="s">
        <v>5135</v>
      </c>
      <c r="CU2095" s="112" t="s">
        <v>527</v>
      </c>
      <c r="CV2095" s="113" t="s">
        <v>528</v>
      </c>
      <c r="CX2095" s="36">
        <v>1</v>
      </c>
    </row>
    <row r="2096" spans="91:102" ht="21" customHeight="1" x14ac:dyDescent="0.25">
      <c r="CM2096" s="102"/>
      <c r="CN2096" s="112" t="s">
        <v>5137</v>
      </c>
      <c r="CO2096" s="112" t="s">
        <v>549</v>
      </c>
      <c r="CP2096" s="112" t="s">
        <v>1119</v>
      </c>
      <c r="CQ2096" s="112" t="s">
        <v>5138</v>
      </c>
      <c r="CR2096" s="112" t="s">
        <v>5138</v>
      </c>
      <c r="CS2096" s="112" t="s">
        <v>525</v>
      </c>
      <c r="CT2096" s="112" t="s">
        <v>5135</v>
      </c>
      <c r="CU2096" s="112" t="s">
        <v>527</v>
      </c>
      <c r="CV2096" s="113" t="s">
        <v>528</v>
      </c>
      <c r="CX2096" s="36">
        <v>1</v>
      </c>
    </row>
    <row r="2097" spans="91:102" ht="21" customHeight="1" x14ac:dyDescent="0.25">
      <c r="CM2097" s="102"/>
      <c r="CN2097" s="112" t="s">
        <v>5139</v>
      </c>
      <c r="CO2097" s="112" t="s">
        <v>549</v>
      </c>
      <c r="CP2097" s="112" t="s">
        <v>1119</v>
      </c>
      <c r="CQ2097" s="112" t="s">
        <v>5140</v>
      </c>
      <c r="CR2097" s="112" t="s">
        <v>5140</v>
      </c>
      <c r="CS2097" s="112" t="s">
        <v>525</v>
      </c>
      <c r="CT2097" s="112" t="s">
        <v>5135</v>
      </c>
      <c r="CU2097" s="112" t="s">
        <v>527</v>
      </c>
      <c r="CV2097" s="113" t="s">
        <v>528</v>
      </c>
      <c r="CX2097" s="36">
        <v>1</v>
      </c>
    </row>
    <row r="2098" spans="91:102" ht="21" customHeight="1" x14ac:dyDescent="0.25">
      <c r="CM2098" s="102"/>
      <c r="CN2098" s="112" t="s">
        <v>5141</v>
      </c>
      <c r="CO2098" s="112" t="s">
        <v>549</v>
      </c>
      <c r="CP2098" s="112" t="s">
        <v>1119</v>
      </c>
      <c r="CQ2098" s="112" t="s">
        <v>5142</v>
      </c>
      <c r="CR2098" s="112" t="s">
        <v>5142</v>
      </c>
      <c r="CS2098" s="112" t="s">
        <v>525</v>
      </c>
      <c r="CT2098" s="112" t="s">
        <v>5135</v>
      </c>
      <c r="CU2098" s="112" t="s">
        <v>527</v>
      </c>
      <c r="CV2098" s="113" t="s">
        <v>528</v>
      </c>
      <c r="CX2098" s="36">
        <v>1</v>
      </c>
    </row>
    <row r="2099" spans="91:102" ht="21" customHeight="1" x14ac:dyDescent="0.25">
      <c r="CM2099" s="102"/>
      <c r="CN2099" s="112" t="s">
        <v>5143</v>
      </c>
      <c r="CO2099" s="112" t="s">
        <v>549</v>
      </c>
      <c r="CP2099" s="112" t="s">
        <v>1119</v>
      </c>
      <c r="CQ2099" s="112" t="s">
        <v>5144</v>
      </c>
      <c r="CR2099" s="112" t="s">
        <v>5144</v>
      </c>
      <c r="CS2099" s="112" t="s">
        <v>525</v>
      </c>
      <c r="CT2099" s="112" t="s">
        <v>5135</v>
      </c>
      <c r="CU2099" s="112" t="s">
        <v>527</v>
      </c>
      <c r="CV2099" s="113" t="s">
        <v>528</v>
      </c>
      <c r="CX2099" s="36">
        <v>1</v>
      </c>
    </row>
    <row r="2100" spans="91:102" ht="21" customHeight="1" x14ac:dyDescent="0.25">
      <c r="CM2100" s="102"/>
      <c r="CN2100" s="112" t="s">
        <v>5145</v>
      </c>
      <c r="CO2100" s="112" t="s">
        <v>549</v>
      </c>
      <c r="CP2100" s="112" t="s">
        <v>1119</v>
      </c>
      <c r="CQ2100" s="112" t="s">
        <v>5146</v>
      </c>
      <c r="CR2100" s="112" t="s">
        <v>5146</v>
      </c>
      <c r="CS2100" s="112" t="s">
        <v>610</v>
      </c>
      <c r="CT2100" s="112" t="s">
        <v>1126</v>
      </c>
      <c r="CU2100" s="112" t="s">
        <v>527</v>
      </c>
      <c r="CV2100" s="113" t="s">
        <v>612</v>
      </c>
      <c r="CX2100" s="36">
        <v>1</v>
      </c>
    </row>
    <row r="2101" spans="91:102" ht="21" customHeight="1" x14ac:dyDescent="0.25">
      <c r="CM2101" s="102"/>
      <c r="CN2101" s="112" t="s">
        <v>5147</v>
      </c>
      <c r="CO2101" s="112" t="s">
        <v>549</v>
      </c>
      <c r="CP2101" s="112" t="s">
        <v>1119</v>
      </c>
      <c r="CQ2101" s="112" t="s">
        <v>5148</v>
      </c>
      <c r="CR2101" s="112" t="s">
        <v>5148</v>
      </c>
      <c r="CS2101" s="112" t="s">
        <v>525</v>
      </c>
      <c r="CT2101" s="112" t="s">
        <v>5135</v>
      </c>
      <c r="CU2101" s="112" t="s">
        <v>527</v>
      </c>
      <c r="CV2101" s="113" t="s">
        <v>528</v>
      </c>
      <c r="CX2101" s="36">
        <v>1</v>
      </c>
    </row>
    <row r="2102" spans="91:102" ht="21" customHeight="1" x14ac:dyDescent="0.25">
      <c r="CM2102" s="102"/>
      <c r="CN2102" s="112" t="s">
        <v>5149</v>
      </c>
      <c r="CO2102" s="112" t="s">
        <v>549</v>
      </c>
      <c r="CP2102" s="112" t="s">
        <v>1119</v>
      </c>
      <c r="CQ2102" s="112" t="s">
        <v>5150</v>
      </c>
      <c r="CR2102" s="112" t="s">
        <v>5151</v>
      </c>
      <c r="CS2102" s="112" t="s">
        <v>525</v>
      </c>
      <c r="CT2102" s="112" t="s">
        <v>5135</v>
      </c>
      <c r="CU2102" s="112" t="s">
        <v>527</v>
      </c>
      <c r="CV2102" s="113" t="s">
        <v>528</v>
      </c>
      <c r="CX2102" s="36">
        <v>1</v>
      </c>
    </row>
    <row r="2103" spans="91:102" ht="21" customHeight="1" x14ac:dyDescent="0.25">
      <c r="CM2103" s="102"/>
      <c r="CN2103" s="112" t="s">
        <v>5152</v>
      </c>
      <c r="CO2103" s="112" t="s">
        <v>549</v>
      </c>
      <c r="CP2103" s="112" t="s">
        <v>1119</v>
      </c>
      <c r="CQ2103" s="112" t="s">
        <v>5153</v>
      </c>
      <c r="CR2103" s="112" t="s">
        <v>5154</v>
      </c>
      <c r="CS2103" s="112" t="s">
        <v>525</v>
      </c>
      <c r="CT2103" s="112" t="s">
        <v>5135</v>
      </c>
      <c r="CU2103" s="112" t="s">
        <v>527</v>
      </c>
      <c r="CV2103" s="113" t="s">
        <v>528</v>
      </c>
      <c r="CX2103" s="36">
        <v>1</v>
      </c>
    </row>
    <row r="2104" spans="91:102" ht="21" customHeight="1" x14ac:dyDescent="0.25">
      <c r="CM2104" s="102"/>
      <c r="CN2104" s="112" t="s">
        <v>5155</v>
      </c>
      <c r="CO2104" s="112" t="s">
        <v>549</v>
      </c>
      <c r="CP2104" s="112" t="s">
        <v>1119</v>
      </c>
      <c r="CQ2104" s="112" t="s">
        <v>5156</v>
      </c>
      <c r="CR2104" s="112" t="s">
        <v>5157</v>
      </c>
      <c r="CS2104" s="112" t="s">
        <v>525</v>
      </c>
      <c r="CT2104" s="112" t="s">
        <v>5135</v>
      </c>
      <c r="CU2104" s="112" t="s">
        <v>527</v>
      </c>
      <c r="CV2104" s="113" t="s">
        <v>528</v>
      </c>
      <c r="CX2104" s="36">
        <v>1</v>
      </c>
    </row>
    <row r="2105" spans="91:102" ht="21" customHeight="1" x14ac:dyDescent="0.25">
      <c r="CM2105" s="102"/>
      <c r="CN2105" s="112" t="s">
        <v>5158</v>
      </c>
      <c r="CO2105" s="112" t="s">
        <v>549</v>
      </c>
      <c r="CP2105" s="112" t="s">
        <v>1119</v>
      </c>
      <c r="CQ2105" s="112" t="s">
        <v>5159</v>
      </c>
      <c r="CR2105" s="112" t="s">
        <v>5159</v>
      </c>
      <c r="CS2105" s="112" t="s">
        <v>525</v>
      </c>
      <c r="CT2105" s="112" t="s">
        <v>5135</v>
      </c>
      <c r="CU2105" s="112" t="s">
        <v>527</v>
      </c>
      <c r="CV2105" s="113" t="s">
        <v>528</v>
      </c>
      <c r="CX2105" s="36">
        <v>1</v>
      </c>
    </row>
    <row r="2106" spans="91:102" ht="21" customHeight="1" x14ac:dyDescent="0.25">
      <c r="CM2106" s="102"/>
      <c r="CN2106" s="112" t="s">
        <v>5160</v>
      </c>
      <c r="CO2106" s="112" t="s">
        <v>549</v>
      </c>
      <c r="CP2106" s="112" t="s">
        <v>1119</v>
      </c>
      <c r="CQ2106" s="112" t="s">
        <v>5161</v>
      </c>
      <c r="CR2106" s="112" t="s">
        <v>5161</v>
      </c>
      <c r="CS2106" s="112" t="s">
        <v>525</v>
      </c>
      <c r="CT2106" s="112" t="s">
        <v>5135</v>
      </c>
      <c r="CU2106" s="112" t="s">
        <v>527</v>
      </c>
      <c r="CV2106" s="113" t="s">
        <v>528</v>
      </c>
      <c r="CX2106" s="36">
        <v>1</v>
      </c>
    </row>
    <row r="2107" spans="91:102" ht="21" customHeight="1" x14ac:dyDescent="0.25">
      <c r="CM2107" s="102"/>
      <c r="CN2107" s="112" t="s">
        <v>5162</v>
      </c>
      <c r="CO2107" s="112" t="s">
        <v>549</v>
      </c>
      <c r="CP2107" s="112" t="s">
        <v>1119</v>
      </c>
      <c r="CQ2107" s="112" t="s">
        <v>5163</v>
      </c>
      <c r="CR2107" s="112" t="s">
        <v>5163</v>
      </c>
      <c r="CS2107" s="112" t="s">
        <v>525</v>
      </c>
      <c r="CT2107" s="112" t="s">
        <v>5135</v>
      </c>
      <c r="CU2107" s="112" t="s">
        <v>527</v>
      </c>
      <c r="CV2107" s="113" t="s">
        <v>528</v>
      </c>
      <c r="CX2107" s="36">
        <v>1</v>
      </c>
    </row>
    <row r="2108" spans="91:102" ht="21" customHeight="1" x14ac:dyDescent="0.25">
      <c r="CM2108" s="102"/>
      <c r="CN2108" s="112" t="s">
        <v>5164</v>
      </c>
      <c r="CO2108" s="112" t="s">
        <v>549</v>
      </c>
      <c r="CP2108" s="112" t="s">
        <v>1119</v>
      </c>
      <c r="CQ2108" s="112" t="s">
        <v>5165</v>
      </c>
      <c r="CR2108" s="112" t="s">
        <v>5165</v>
      </c>
      <c r="CS2108" s="112" t="s">
        <v>525</v>
      </c>
      <c r="CT2108" s="112" t="s">
        <v>5135</v>
      </c>
      <c r="CU2108" s="112" t="s">
        <v>527</v>
      </c>
      <c r="CV2108" s="113" t="s">
        <v>528</v>
      </c>
      <c r="CX2108" s="36">
        <v>1</v>
      </c>
    </row>
    <row r="2109" spans="91:102" ht="21" customHeight="1" x14ac:dyDescent="0.25">
      <c r="CM2109" s="102"/>
      <c r="CN2109" s="112" t="s">
        <v>5166</v>
      </c>
      <c r="CO2109" s="112" t="s">
        <v>549</v>
      </c>
      <c r="CP2109" s="112" t="s">
        <v>1119</v>
      </c>
      <c r="CQ2109" s="112" t="s">
        <v>5167</v>
      </c>
      <c r="CR2109" s="112" t="s">
        <v>5167</v>
      </c>
      <c r="CS2109" s="112" t="s">
        <v>610</v>
      </c>
      <c r="CT2109" s="112" t="s">
        <v>1126</v>
      </c>
      <c r="CU2109" s="112" t="s">
        <v>527</v>
      </c>
      <c r="CV2109" s="113" t="s">
        <v>612</v>
      </c>
      <c r="CX2109" s="36">
        <v>1</v>
      </c>
    </row>
    <row r="2110" spans="91:102" ht="21" customHeight="1" x14ac:dyDescent="0.25">
      <c r="CM2110" s="102"/>
      <c r="CN2110" s="112" t="s">
        <v>5168</v>
      </c>
      <c r="CO2110" s="112" t="s">
        <v>549</v>
      </c>
      <c r="CP2110" s="112" t="s">
        <v>1119</v>
      </c>
      <c r="CQ2110" s="112" t="s">
        <v>5169</v>
      </c>
      <c r="CR2110" s="112" t="s">
        <v>5169</v>
      </c>
      <c r="CS2110" s="112" t="s">
        <v>610</v>
      </c>
      <c r="CT2110" s="112" t="s">
        <v>1126</v>
      </c>
      <c r="CU2110" s="112" t="s">
        <v>527</v>
      </c>
      <c r="CV2110" s="113" t="s">
        <v>612</v>
      </c>
      <c r="CX2110" s="36">
        <v>1</v>
      </c>
    </row>
    <row r="2111" spans="91:102" ht="21" customHeight="1" x14ac:dyDescent="0.25">
      <c r="CM2111" s="102"/>
      <c r="CN2111" s="112" t="s">
        <v>5170</v>
      </c>
      <c r="CO2111" s="112" t="s">
        <v>549</v>
      </c>
      <c r="CP2111" s="112" t="s">
        <v>1119</v>
      </c>
      <c r="CQ2111" s="112" t="s">
        <v>5171</v>
      </c>
      <c r="CR2111" s="112" t="s">
        <v>5172</v>
      </c>
      <c r="CS2111" s="112" t="s">
        <v>525</v>
      </c>
      <c r="CT2111" s="112" t="s">
        <v>5135</v>
      </c>
      <c r="CU2111" s="112" t="s">
        <v>527</v>
      </c>
      <c r="CV2111" s="113" t="s">
        <v>528</v>
      </c>
      <c r="CX2111" s="36">
        <v>1</v>
      </c>
    </row>
    <row r="2112" spans="91:102" ht="21" customHeight="1" x14ac:dyDescent="0.25">
      <c r="CM2112" s="102"/>
      <c r="CN2112" s="112" t="s">
        <v>5173</v>
      </c>
      <c r="CO2112" s="112" t="s">
        <v>549</v>
      </c>
      <c r="CP2112" s="112" t="s">
        <v>1119</v>
      </c>
      <c r="CQ2112" s="112" t="s">
        <v>5174</v>
      </c>
      <c r="CR2112" s="112" t="s">
        <v>5175</v>
      </c>
      <c r="CS2112" s="112" t="s">
        <v>525</v>
      </c>
      <c r="CT2112" s="112" t="s">
        <v>5176</v>
      </c>
      <c r="CU2112" s="112" t="s">
        <v>796</v>
      </c>
      <c r="CV2112" s="113" t="s">
        <v>612</v>
      </c>
      <c r="CX2112" s="36">
        <v>1</v>
      </c>
    </row>
    <row r="2113" spans="91:102" ht="21" customHeight="1" x14ac:dyDescent="0.25">
      <c r="CM2113" s="102"/>
      <c r="CN2113" s="112" t="s">
        <v>5177</v>
      </c>
      <c r="CO2113" s="112" t="s">
        <v>549</v>
      </c>
      <c r="CP2113" s="112" t="s">
        <v>1119</v>
      </c>
      <c r="CQ2113" s="112" t="s">
        <v>5178</v>
      </c>
      <c r="CR2113" s="112" t="s">
        <v>5179</v>
      </c>
      <c r="CS2113" s="112" t="s">
        <v>525</v>
      </c>
      <c r="CT2113" s="112" t="s">
        <v>5135</v>
      </c>
      <c r="CU2113" s="112" t="s">
        <v>527</v>
      </c>
      <c r="CV2113" s="113" t="s">
        <v>528</v>
      </c>
      <c r="CX2113" s="36">
        <v>1</v>
      </c>
    </row>
    <row r="2114" spans="91:102" ht="21" customHeight="1" x14ac:dyDescent="0.25">
      <c r="CM2114" s="102"/>
      <c r="CN2114" s="112" t="s">
        <v>5180</v>
      </c>
      <c r="CO2114" s="112" t="s">
        <v>549</v>
      </c>
      <c r="CP2114" s="112" t="s">
        <v>1119</v>
      </c>
      <c r="CQ2114" s="112" t="s">
        <v>5181</v>
      </c>
      <c r="CR2114" s="112" t="s">
        <v>5181</v>
      </c>
      <c r="CS2114" s="112" t="s">
        <v>525</v>
      </c>
      <c r="CT2114" s="112" t="s">
        <v>5135</v>
      </c>
      <c r="CU2114" s="112" t="s">
        <v>527</v>
      </c>
      <c r="CV2114" s="113" t="s">
        <v>528</v>
      </c>
      <c r="CX2114" s="36">
        <v>1</v>
      </c>
    </row>
    <row r="2115" spans="91:102" ht="21" customHeight="1" x14ac:dyDescent="0.25">
      <c r="CM2115" s="102"/>
      <c r="CN2115" s="112" t="s">
        <v>5182</v>
      </c>
      <c r="CO2115" s="112" t="s">
        <v>549</v>
      </c>
      <c r="CP2115" s="112" t="s">
        <v>1119</v>
      </c>
      <c r="CQ2115" s="112" t="s">
        <v>5183</v>
      </c>
      <c r="CR2115" s="112" t="s">
        <v>5184</v>
      </c>
      <c r="CS2115" s="112" t="s">
        <v>525</v>
      </c>
      <c r="CT2115" s="112" t="s">
        <v>5135</v>
      </c>
      <c r="CU2115" s="112" t="s">
        <v>527</v>
      </c>
      <c r="CV2115" s="113" t="s">
        <v>528</v>
      </c>
      <c r="CX2115" s="36">
        <v>1</v>
      </c>
    </row>
    <row r="2116" spans="91:102" ht="21" customHeight="1" x14ac:dyDescent="0.25">
      <c r="CM2116" s="102"/>
      <c r="CN2116" s="112" t="s">
        <v>5185</v>
      </c>
      <c r="CO2116" s="112" t="s">
        <v>549</v>
      </c>
      <c r="CP2116" s="112" t="s">
        <v>1119</v>
      </c>
      <c r="CQ2116" s="112" t="s">
        <v>5186</v>
      </c>
      <c r="CR2116" s="112" t="s">
        <v>5186</v>
      </c>
      <c r="CS2116" s="112" t="s">
        <v>525</v>
      </c>
      <c r="CT2116" s="112" t="s">
        <v>5135</v>
      </c>
      <c r="CU2116" s="112" t="s">
        <v>527</v>
      </c>
      <c r="CV2116" s="113" t="s">
        <v>528</v>
      </c>
      <c r="CX2116" s="36">
        <v>1</v>
      </c>
    </row>
    <row r="2117" spans="91:102" ht="21" customHeight="1" x14ac:dyDescent="0.25">
      <c r="CM2117" s="102"/>
      <c r="CN2117" s="112" t="s">
        <v>5187</v>
      </c>
      <c r="CO2117" s="112" t="s">
        <v>549</v>
      </c>
      <c r="CP2117" s="112" t="s">
        <v>1119</v>
      </c>
      <c r="CQ2117" s="112" t="s">
        <v>5188</v>
      </c>
      <c r="CR2117" s="112" t="s">
        <v>5188</v>
      </c>
      <c r="CS2117" s="112" t="s">
        <v>525</v>
      </c>
      <c r="CT2117" s="112" t="s">
        <v>5135</v>
      </c>
      <c r="CU2117" s="112" t="s">
        <v>527</v>
      </c>
      <c r="CV2117" s="113" t="s">
        <v>528</v>
      </c>
      <c r="CX2117" s="36">
        <v>1</v>
      </c>
    </row>
    <row r="2118" spans="91:102" ht="21" customHeight="1" x14ac:dyDescent="0.25">
      <c r="CM2118" s="102"/>
      <c r="CN2118" s="112" t="s">
        <v>5189</v>
      </c>
      <c r="CO2118" s="112" t="s">
        <v>549</v>
      </c>
      <c r="CP2118" s="112" t="s">
        <v>1119</v>
      </c>
      <c r="CQ2118" s="112" t="s">
        <v>5190</v>
      </c>
      <c r="CR2118" s="112" t="s">
        <v>5191</v>
      </c>
      <c r="CS2118" s="112" t="s">
        <v>525</v>
      </c>
      <c r="CT2118" s="112" t="s">
        <v>5135</v>
      </c>
      <c r="CU2118" s="112" t="s">
        <v>527</v>
      </c>
      <c r="CV2118" s="113" t="s">
        <v>528</v>
      </c>
      <c r="CX2118" s="36">
        <v>1</v>
      </c>
    </row>
    <row r="2119" spans="91:102" ht="21" customHeight="1" x14ac:dyDescent="0.25">
      <c r="CM2119" s="102"/>
      <c r="CN2119" s="112" t="s">
        <v>5192</v>
      </c>
      <c r="CO2119" s="112" t="s">
        <v>549</v>
      </c>
      <c r="CP2119" s="112" t="s">
        <v>1119</v>
      </c>
      <c r="CQ2119" s="112" t="s">
        <v>5193</v>
      </c>
      <c r="CR2119" s="112" t="s">
        <v>5193</v>
      </c>
      <c r="CS2119" s="112" t="s">
        <v>525</v>
      </c>
      <c r="CT2119" s="112" t="s">
        <v>5135</v>
      </c>
      <c r="CU2119" s="112" t="s">
        <v>527</v>
      </c>
      <c r="CV2119" s="113" t="s">
        <v>528</v>
      </c>
      <c r="CX2119" s="36">
        <v>1</v>
      </c>
    </row>
    <row r="2120" spans="91:102" ht="21" customHeight="1" x14ac:dyDescent="0.25">
      <c r="CM2120" s="102"/>
      <c r="CN2120" s="112" t="s">
        <v>5194</v>
      </c>
      <c r="CO2120" s="112" t="s">
        <v>549</v>
      </c>
      <c r="CP2120" s="112" t="s">
        <v>1119</v>
      </c>
      <c r="CQ2120" s="112" t="s">
        <v>5195</v>
      </c>
      <c r="CR2120" s="112" t="s">
        <v>5195</v>
      </c>
      <c r="CS2120" s="112" t="s">
        <v>610</v>
      </c>
      <c r="CT2120" s="112" t="s">
        <v>1126</v>
      </c>
      <c r="CU2120" s="112" t="s">
        <v>527</v>
      </c>
      <c r="CV2120" s="113" t="s">
        <v>612</v>
      </c>
      <c r="CX2120" s="36">
        <v>1</v>
      </c>
    </row>
    <row r="2121" spans="91:102" ht="21" customHeight="1" x14ac:dyDescent="0.25">
      <c r="CM2121" s="102"/>
      <c r="CN2121" s="112" t="s">
        <v>5196</v>
      </c>
      <c r="CO2121" s="112" t="s">
        <v>549</v>
      </c>
      <c r="CP2121" s="112" t="s">
        <v>1119</v>
      </c>
      <c r="CQ2121" s="112" t="s">
        <v>5197</v>
      </c>
      <c r="CR2121" s="112" t="s">
        <v>5197</v>
      </c>
      <c r="CS2121" s="112" t="s">
        <v>525</v>
      </c>
      <c r="CT2121" s="112" t="s">
        <v>5135</v>
      </c>
      <c r="CU2121" s="112" t="s">
        <v>527</v>
      </c>
      <c r="CV2121" s="113" t="s">
        <v>528</v>
      </c>
      <c r="CX2121" s="36">
        <v>1</v>
      </c>
    </row>
    <row r="2122" spans="91:102" ht="21" customHeight="1" x14ac:dyDescent="0.25">
      <c r="CM2122" s="102"/>
      <c r="CN2122" s="112" t="s">
        <v>5198</v>
      </c>
      <c r="CO2122" s="112" t="s">
        <v>549</v>
      </c>
      <c r="CP2122" s="112" t="s">
        <v>1119</v>
      </c>
      <c r="CQ2122" s="112" t="s">
        <v>5199</v>
      </c>
      <c r="CR2122" s="112" t="s">
        <v>5199</v>
      </c>
      <c r="CS2122" s="112" t="s">
        <v>525</v>
      </c>
      <c r="CT2122" s="112" t="s">
        <v>5135</v>
      </c>
      <c r="CU2122" s="112" t="s">
        <v>527</v>
      </c>
      <c r="CV2122" s="113" t="s">
        <v>528</v>
      </c>
      <c r="CX2122" s="36">
        <v>1</v>
      </c>
    </row>
    <row r="2123" spans="91:102" ht="21" customHeight="1" x14ac:dyDescent="0.25">
      <c r="CM2123" s="102"/>
      <c r="CN2123" s="112" t="s">
        <v>5200</v>
      </c>
      <c r="CO2123" s="112" t="s">
        <v>549</v>
      </c>
      <c r="CP2123" s="112" t="s">
        <v>1119</v>
      </c>
      <c r="CQ2123" s="112" t="s">
        <v>5201</v>
      </c>
      <c r="CR2123" s="112" t="s">
        <v>5201</v>
      </c>
      <c r="CS2123" s="112" t="s">
        <v>610</v>
      </c>
      <c r="CT2123" s="112" t="s">
        <v>1126</v>
      </c>
      <c r="CU2123" s="112" t="s">
        <v>527</v>
      </c>
      <c r="CV2123" s="113" t="s">
        <v>612</v>
      </c>
      <c r="CX2123" s="36">
        <v>1</v>
      </c>
    </row>
    <row r="2124" spans="91:102" ht="21" customHeight="1" x14ac:dyDescent="0.25">
      <c r="CM2124" s="102"/>
      <c r="CN2124" s="112" t="s">
        <v>5202</v>
      </c>
      <c r="CO2124" s="112" t="s">
        <v>549</v>
      </c>
      <c r="CP2124" s="112" t="s">
        <v>1119</v>
      </c>
      <c r="CQ2124" s="112" t="s">
        <v>5203</v>
      </c>
      <c r="CR2124" s="112" t="s">
        <v>5203</v>
      </c>
      <c r="CS2124" s="112" t="s">
        <v>525</v>
      </c>
      <c r="CT2124" s="112" t="s">
        <v>5135</v>
      </c>
      <c r="CU2124" s="112" t="s">
        <v>527</v>
      </c>
      <c r="CV2124" s="113" t="s">
        <v>528</v>
      </c>
      <c r="CX2124" s="36">
        <v>1</v>
      </c>
    </row>
    <row r="2125" spans="91:102" ht="21" customHeight="1" x14ac:dyDescent="0.25">
      <c r="CM2125" s="102"/>
      <c r="CN2125" s="112" t="s">
        <v>5204</v>
      </c>
      <c r="CO2125" s="112" t="s">
        <v>549</v>
      </c>
      <c r="CP2125" s="112" t="s">
        <v>1119</v>
      </c>
      <c r="CQ2125" s="112" t="s">
        <v>5205</v>
      </c>
      <c r="CR2125" s="112" t="s">
        <v>5205</v>
      </c>
      <c r="CS2125" s="112" t="s">
        <v>525</v>
      </c>
      <c r="CT2125" s="112" t="s">
        <v>5135</v>
      </c>
      <c r="CU2125" s="112" t="s">
        <v>527</v>
      </c>
      <c r="CV2125" s="113" t="s">
        <v>528</v>
      </c>
      <c r="CX2125" s="36">
        <v>1</v>
      </c>
    </row>
    <row r="2126" spans="91:102" ht="21" customHeight="1" x14ac:dyDescent="0.25">
      <c r="CM2126" s="102"/>
      <c r="CN2126" s="112" t="s">
        <v>5206</v>
      </c>
      <c r="CO2126" s="112" t="s">
        <v>549</v>
      </c>
      <c r="CP2126" s="112" t="s">
        <v>1119</v>
      </c>
      <c r="CQ2126" s="112" t="s">
        <v>5207</v>
      </c>
      <c r="CR2126" s="112" t="s">
        <v>5207</v>
      </c>
      <c r="CS2126" s="112" t="s">
        <v>525</v>
      </c>
      <c r="CT2126" s="112" t="s">
        <v>5135</v>
      </c>
      <c r="CU2126" s="112" t="s">
        <v>527</v>
      </c>
      <c r="CV2126" s="113" t="s">
        <v>528</v>
      </c>
      <c r="CX2126" s="36">
        <v>1</v>
      </c>
    </row>
    <row r="2127" spans="91:102" ht="21" customHeight="1" x14ac:dyDescent="0.25">
      <c r="CM2127" s="102"/>
      <c r="CN2127" s="112" t="s">
        <v>5208</v>
      </c>
      <c r="CO2127" s="112" t="s">
        <v>549</v>
      </c>
      <c r="CP2127" s="112" t="s">
        <v>1119</v>
      </c>
      <c r="CQ2127" s="112" t="s">
        <v>5209</v>
      </c>
      <c r="CR2127" s="112" t="s">
        <v>5210</v>
      </c>
      <c r="CS2127" s="112" t="s">
        <v>525</v>
      </c>
      <c r="CT2127" s="112" t="s">
        <v>5135</v>
      </c>
      <c r="CU2127" s="112" t="s">
        <v>527</v>
      </c>
      <c r="CV2127" s="113" t="s">
        <v>528</v>
      </c>
      <c r="CX2127" s="36">
        <v>1</v>
      </c>
    </row>
    <row r="2128" spans="91:102" ht="21" customHeight="1" x14ac:dyDescent="0.25">
      <c r="CM2128" s="102"/>
      <c r="CN2128" s="112" t="s">
        <v>5211</v>
      </c>
      <c r="CO2128" s="112" t="s">
        <v>549</v>
      </c>
      <c r="CP2128" s="112" t="s">
        <v>1119</v>
      </c>
      <c r="CQ2128" s="112" t="s">
        <v>5212</v>
      </c>
      <c r="CR2128" s="112" t="s">
        <v>5212</v>
      </c>
      <c r="CS2128" s="112" t="s">
        <v>525</v>
      </c>
      <c r="CT2128" s="112" t="s">
        <v>5135</v>
      </c>
      <c r="CU2128" s="112" t="s">
        <v>527</v>
      </c>
      <c r="CV2128" s="113" t="s">
        <v>528</v>
      </c>
      <c r="CX2128" s="36">
        <v>1</v>
      </c>
    </row>
    <row r="2129" spans="91:102" ht="21" customHeight="1" x14ac:dyDescent="0.25">
      <c r="CM2129" s="102"/>
      <c r="CN2129" s="112" t="s">
        <v>5213</v>
      </c>
      <c r="CO2129" s="112" t="s">
        <v>549</v>
      </c>
      <c r="CP2129" s="112" t="s">
        <v>1119</v>
      </c>
      <c r="CQ2129" s="112" t="s">
        <v>5214</v>
      </c>
      <c r="CR2129" s="112" t="s">
        <v>5214</v>
      </c>
      <c r="CS2129" s="112" t="s">
        <v>525</v>
      </c>
      <c r="CT2129" s="112" t="s">
        <v>5135</v>
      </c>
      <c r="CU2129" s="112" t="s">
        <v>527</v>
      </c>
      <c r="CV2129" s="113" t="s">
        <v>528</v>
      </c>
      <c r="CX2129" s="36">
        <v>1</v>
      </c>
    </row>
    <row r="2130" spans="91:102" ht="21" customHeight="1" x14ac:dyDescent="0.25">
      <c r="CM2130" s="102"/>
      <c r="CN2130" s="112" t="s">
        <v>5215</v>
      </c>
      <c r="CO2130" s="112" t="s">
        <v>549</v>
      </c>
      <c r="CP2130" s="112" t="s">
        <v>1119</v>
      </c>
      <c r="CQ2130" s="112" t="s">
        <v>5216</v>
      </c>
      <c r="CR2130" s="112" t="s">
        <v>5216</v>
      </c>
      <c r="CS2130" s="112" t="s">
        <v>525</v>
      </c>
      <c r="CT2130" s="112" t="s">
        <v>5135</v>
      </c>
      <c r="CU2130" s="112" t="s">
        <v>527</v>
      </c>
      <c r="CV2130" s="113" t="s">
        <v>528</v>
      </c>
      <c r="CX2130" s="36">
        <v>1</v>
      </c>
    </row>
    <row r="2131" spans="91:102" ht="21" customHeight="1" x14ac:dyDescent="0.25">
      <c r="CM2131" s="102"/>
      <c r="CN2131" s="112" t="s">
        <v>5217</v>
      </c>
      <c r="CO2131" s="112" t="s">
        <v>549</v>
      </c>
      <c r="CP2131" s="112" t="s">
        <v>523</v>
      </c>
      <c r="CQ2131" s="112" t="s">
        <v>5218</v>
      </c>
      <c r="CR2131" s="112" t="s">
        <v>5218</v>
      </c>
      <c r="CS2131" s="112" t="s">
        <v>525</v>
      </c>
      <c r="CT2131" s="112" t="s">
        <v>5219</v>
      </c>
      <c r="CU2131" s="112" t="s">
        <v>527</v>
      </c>
      <c r="CV2131" s="113" t="s">
        <v>528</v>
      </c>
      <c r="CX2131" s="36">
        <v>1</v>
      </c>
    </row>
    <row r="2132" spans="91:102" ht="21" customHeight="1" x14ac:dyDescent="0.25">
      <c r="CM2132" s="102"/>
      <c r="CN2132" s="112" t="s">
        <v>5220</v>
      </c>
      <c r="CO2132" s="112" t="s">
        <v>549</v>
      </c>
      <c r="CP2132" s="112" t="s">
        <v>1119</v>
      </c>
      <c r="CQ2132" s="112" t="s">
        <v>5221</v>
      </c>
      <c r="CR2132" s="112" t="s">
        <v>5221</v>
      </c>
      <c r="CS2132" s="112" t="s">
        <v>610</v>
      </c>
      <c r="CT2132" s="112" t="s">
        <v>1126</v>
      </c>
      <c r="CU2132" s="112" t="s">
        <v>527</v>
      </c>
      <c r="CV2132" s="113" t="s">
        <v>612</v>
      </c>
      <c r="CX2132" s="36">
        <v>1</v>
      </c>
    </row>
    <row r="2133" spans="91:102" ht="21" customHeight="1" x14ac:dyDescent="0.25">
      <c r="CM2133" s="102"/>
      <c r="CN2133" s="112" t="s">
        <v>5222</v>
      </c>
      <c r="CO2133" s="112" t="s">
        <v>549</v>
      </c>
      <c r="CP2133" s="112" t="s">
        <v>1119</v>
      </c>
      <c r="CQ2133" s="112" t="s">
        <v>5223</v>
      </c>
      <c r="CR2133" s="112" t="s">
        <v>5224</v>
      </c>
      <c r="CS2133" s="112" t="s">
        <v>525</v>
      </c>
      <c r="CT2133" s="112" t="s">
        <v>5135</v>
      </c>
      <c r="CU2133" s="112" t="s">
        <v>527</v>
      </c>
      <c r="CV2133" s="113" t="s">
        <v>528</v>
      </c>
      <c r="CX2133" s="36">
        <v>1</v>
      </c>
    </row>
    <row r="2134" spans="91:102" ht="21" customHeight="1" x14ac:dyDescent="0.25">
      <c r="CM2134" s="102"/>
      <c r="CN2134" s="112" t="s">
        <v>5225</v>
      </c>
      <c r="CO2134" s="112" t="s">
        <v>550</v>
      </c>
      <c r="CP2134" s="112" t="s">
        <v>523</v>
      </c>
      <c r="CQ2134" s="112" t="s">
        <v>1056</v>
      </c>
      <c r="CR2134" s="112" t="s">
        <v>1056</v>
      </c>
      <c r="CS2134" s="112" t="s">
        <v>525</v>
      </c>
      <c r="CT2134" s="112" t="s">
        <v>5226</v>
      </c>
      <c r="CU2134" s="112" t="s">
        <v>527</v>
      </c>
      <c r="CV2134" s="113" t="s">
        <v>528</v>
      </c>
      <c r="CX2134" s="36">
        <v>1</v>
      </c>
    </row>
    <row r="2135" spans="91:102" ht="21" customHeight="1" x14ac:dyDescent="0.25">
      <c r="CM2135" s="102"/>
      <c r="CN2135" s="112" t="s">
        <v>5227</v>
      </c>
      <c r="CO2135" s="112" t="s">
        <v>550</v>
      </c>
      <c r="CP2135" s="112" t="s">
        <v>523</v>
      </c>
      <c r="CQ2135" s="112" t="s">
        <v>5228</v>
      </c>
      <c r="CR2135" s="112" t="s">
        <v>5228</v>
      </c>
      <c r="CS2135" s="112" t="s">
        <v>525</v>
      </c>
      <c r="CT2135" s="112" t="s">
        <v>5226</v>
      </c>
      <c r="CU2135" s="112" t="s">
        <v>527</v>
      </c>
      <c r="CV2135" s="113" t="s">
        <v>528</v>
      </c>
      <c r="CX2135" s="36">
        <v>1</v>
      </c>
    </row>
    <row r="2136" spans="91:102" ht="21" customHeight="1" x14ac:dyDescent="0.25">
      <c r="CM2136" s="102"/>
      <c r="CN2136" s="112" t="s">
        <v>5229</v>
      </c>
      <c r="CO2136" s="112" t="s">
        <v>550</v>
      </c>
      <c r="CP2136" s="112" t="s">
        <v>523</v>
      </c>
      <c r="CQ2136" s="112" t="s">
        <v>5230</v>
      </c>
      <c r="CR2136" s="112" t="s">
        <v>5230</v>
      </c>
      <c r="CS2136" s="112" t="s">
        <v>525</v>
      </c>
      <c r="CT2136" s="112" t="s">
        <v>5226</v>
      </c>
      <c r="CU2136" s="112" t="s">
        <v>527</v>
      </c>
      <c r="CV2136" s="113" t="s">
        <v>528</v>
      </c>
      <c r="CX2136" s="36">
        <v>1</v>
      </c>
    </row>
    <row r="2137" spans="91:102" ht="21" customHeight="1" x14ac:dyDescent="0.25">
      <c r="CM2137" s="102"/>
      <c r="CN2137" s="112" t="s">
        <v>5231</v>
      </c>
      <c r="CO2137" s="112" t="s">
        <v>550</v>
      </c>
      <c r="CP2137" s="112" t="s">
        <v>523</v>
      </c>
      <c r="CQ2137" s="112" t="s">
        <v>5232</v>
      </c>
      <c r="CR2137" s="112" t="s">
        <v>5232</v>
      </c>
      <c r="CS2137" s="112" t="s">
        <v>525</v>
      </c>
      <c r="CT2137" s="112" t="s">
        <v>5226</v>
      </c>
      <c r="CU2137" s="112" t="s">
        <v>527</v>
      </c>
      <c r="CV2137" s="113" t="s">
        <v>528</v>
      </c>
      <c r="CX2137" s="36">
        <v>1</v>
      </c>
    </row>
    <row r="2138" spans="91:102" ht="21" customHeight="1" x14ac:dyDescent="0.25">
      <c r="CM2138" s="102"/>
      <c r="CN2138" s="112" t="s">
        <v>5233</v>
      </c>
      <c r="CO2138" s="112" t="s">
        <v>550</v>
      </c>
      <c r="CP2138" s="112" t="s">
        <v>523</v>
      </c>
      <c r="CQ2138" s="112" t="s">
        <v>5234</v>
      </c>
      <c r="CR2138" s="112" t="s">
        <v>5234</v>
      </c>
      <c r="CS2138" s="112" t="s">
        <v>525</v>
      </c>
      <c r="CT2138" s="112" t="s">
        <v>5226</v>
      </c>
      <c r="CU2138" s="112" t="s">
        <v>527</v>
      </c>
      <c r="CV2138" s="113" t="s">
        <v>528</v>
      </c>
      <c r="CX2138" s="36">
        <v>1</v>
      </c>
    </row>
    <row r="2139" spans="91:102" ht="21" customHeight="1" x14ac:dyDescent="0.25">
      <c r="CM2139" s="102"/>
      <c r="CN2139" s="112" t="s">
        <v>5235</v>
      </c>
      <c r="CO2139" s="112" t="s">
        <v>550</v>
      </c>
      <c r="CP2139" s="112" t="s">
        <v>523</v>
      </c>
      <c r="CQ2139" s="112" t="s">
        <v>5236</v>
      </c>
      <c r="CR2139" s="112" t="s">
        <v>5236</v>
      </c>
      <c r="CS2139" s="112" t="s">
        <v>525</v>
      </c>
      <c r="CT2139" s="112" t="s">
        <v>5226</v>
      </c>
      <c r="CU2139" s="112" t="s">
        <v>527</v>
      </c>
      <c r="CV2139" s="113" t="s">
        <v>528</v>
      </c>
      <c r="CX2139" s="36">
        <v>1</v>
      </c>
    </row>
    <row r="2140" spans="91:102" ht="21" customHeight="1" x14ac:dyDescent="0.25">
      <c r="CM2140" s="102"/>
      <c r="CN2140" s="112" t="s">
        <v>5237</v>
      </c>
      <c r="CO2140" s="112" t="s">
        <v>550</v>
      </c>
      <c r="CP2140" s="112" t="s">
        <v>523</v>
      </c>
      <c r="CQ2140" s="112" t="s">
        <v>5238</v>
      </c>
      <c r="CR2140" s="112" t="s">
        <v>5238</v>
      </c>
      <c r="CS2140" s="112" t="s">
        <v>610</v>
      </c>
      <c r="CT2140" s="112" t="s">
        <v>611</v>
      </c>
      <c r="CU2140" s="112" t="s">
        <v>527</v>
      </c>
      <c r="CV2140" s="113" t="s">
        <v>612</v>
      </c>
      <c r="CX2140" s="36">
        <v>1</v>
      </c>
    </row>
    <row r="2141" spans="91:102" ht="21" customHeight="1" x14ac:dyDescent="0.25">
      <c r="CM2141" s="102"/>
      <c r="CN2141" s="112" t="s">
        <v>5239</v>
      </c>
      <c r="CO2141" s="112" t="s">
        <v>550</v>
      </c>
      <c r="CP2141" s="112" t="s">
        <v>523</v>
      </c>
      <c r="CQ2141" s="112" t="s">
        <v>5240</v>
      </c>
      <c r="CR2141" s="112" t="s">
        <v>5240</v>
      </c>
      <c r="CS2141" s="112" t="s">
        <v>610</v>
      </c>
      <c r="CT2141" s="112" t="s">
        <v>611</v>
      </c>
      <c r="CU2141" s="112" t="s">
        <v>527</v>
      </c>
      <c r="CV2141" s="113" t="s">
        <v>612</v>
      </c>
      <c r="CX2141" s="36">
        <v>1</v>
      </c>
    </row>
    <row r="2142" spans="91:102" ht="21" customHeight="1" x14ac:dyDescent="0.25">
      <c r="CM2142" s="102"/>
      <c r="CN2142" s="112" t="s">
        <v>5241</v>
      </c>
      <c r="CO2142" s="112" t="s">
        <v>550</v>
      </c>
      <c r="CP2142" s="112" t="s">
        <v>523</v>
      </c>
      <c r="CQ2142" s="112" t="s">
        <v>5242</v>
      </c>
      <c r="CR2142" s="112" t="s">
        <v>5242</v>
      </c>
      <c r="CS2142" s="112" t="s">
        <v>525</v>
      </c>
      <c r="CT2142" s="112" t="s">
        <v>5226</v>
      </c>
      <c r="CU2142" s="112" t="s">
        <v>527</v>
      </c>
      <c r="CV2142" s="113" t="s">
        <v>528</v>
      </c>
      <c r="CX2142" s="36">
        <v>1</v>
      </c>
    </row>
    <row r="2143" spans="91:102" ht="21" customHeight="1" x14ac:dyDescent="0.25">
      <c r="CM2143" s="102"/>
      <c r="CN2143" s="112" t="s">
        <v>5243</v>
      </c>
      <c r="CO2143" s="112" t="s">
        <v>550</v>
      </c>
      <c r="CP2143" s="112" t="s">
        <v>523</v>
      </c>
      <c r="CQ2143" s="112" t="s">
        <v>5244</v>
      </c>
      <c r="CR2143" s="112" t="s">
        <v>5245</v>
      </c>
      <c r="CS2143" s="112" t="s">
        <v>525</v>
      </c>
      <c r="CT2143" s="112" t="s">
        <v>5226</v>
      </c>
      <c r="CU2143" s="112" t="s">
        <v>527</v>
      </c>
      <c r="CV2143" s="113" t="s">
        <v>528</v>
      </c>
      <c r="CX2143" s="36">
        <v>1</v>
      </c>
    </row>
    <row r="2144" spans="91:102" ht="21" customHeight="1" x14ac:dyDescent="0.25">
      <c r="CM2144" s="102"/>
      <c r="CN2144" s="112" t="s">
        <v>5246</v>
      </c>
      <c r="CO2144" s="112" t="s">
        <v>550</v>
      </c>
      <c r="CP2144" s="112" t="s">
        <v>523</v>
      </c>
      <c r="CQ2144" s="112" t="s">
        <v>5247</v>
      </c>
      <c r="CR2144" s="112" t="s">
        <v>5248</v>
      </c>
      <c r="CS2144" s="112" t="s">
        <v>525</v>
      </c>
      <c r="CT2144" s="112" t="s">
        <v>5226</v>
      </c>
      <c r="CU2144" s="112" t="s">
        <v>527</v>
      </c>
      <c r="CV2144" s="113" t="s">
        <v>528</v>
      </c>
      <c r="CX2144" s="36">
        <v>1</v>
      </c>
    </row>
    <row r="2145" spans="91:102" ht="21" customHeight="1" x14ac:dyDescent="0.25">
      <c r="CM2145" s="102"/>
      <c r="CN2145" s="112" t="s">
        <v>5249</v>
      </c>
      <c r="CO2145" s="112" t="s">
        <v>550</v>
      </c>
      <c r="CP2145" s="112" t="s">
        <v>523</v>
      </c>
      <c r="CQ2145" s="112" t="s">
        <v>5250</v>
      </c>
      <c r="CR2145" s="112" t="s">
        <v>5250</v>
      </c>
      <c r="CS2145" s="112" t="s">
        <v>525</v>
      </c>
      <c r="CT2145" s="112" t="s">
        <v>5226</v>
      </c>
      <c r="CU2145" s="112" t="s">
        <v>527</v>
      </c>
      <c r="CV2145" s="113" t="s">
        <v>528</v>
      </c>
      <c r="CX2145" s="36">
        <v>1</v>
      </c>
    </row>
    <row r="2146" spans="91:102" ht="21" customHeight="1" x14ac:dyDescent="0.25">
      <c r="CM2146" s="102"/>
      <c r="CN2146" s="112" t="s">
        <v>5251</v>
      </c>
      <c r="CO2146" s="112" t="s">
        <v>550</v>
      </c>
      <c r="CP2146" s="112" t="s">
        <v>523</v>
      </c>
      <c r="CQ2146" s="112" t="s">
        <v>5252</v>
      </c>
      <c r="CR2146" s="112" t="s">
        <v>5252</v>
      </c>
      <c r="CS2146" s="112" t="s">
        <v>525</v>
      </c>
      <c r="CT2146" s="112" t="s">
        <v>5226</v>
      </c>
      <c r="CU2146" s="112" t="s">
        <v>527</v>
      </c>
      <c r="CV2146" s="113" t="s">
        <v>528</v>
      </c>
      <c r="CX2146" s="36">
        <v>1</v>
      </c>
    </row>
    <row r="2147" spans="91:102" ht="21" customHeight="1" x14ac:dyDescent="0.25">
      <c r="CM2147" s="102"/>
      <c r="CN2147" s="112" t="s">
        <v>5253</v>
      </c>
      <c r="CO2147" s="112" t="s">
        <v>550</v>
      </c>
      <c r="CP2147" s="112" t="s">
        <v>1119</v>
      </c>
      <c r="CQ2147" s="112" t="s">
        <v>1048</v>
      </c>
      <c r="CR2147" s="112" t="s">
        <v>1048</v>
      </c>
      <c r="CS2147" s="112" t="s">
        <v>525</v>
      </c>
      <c r="CT2147" s="112" t="s">
        <v>5254</v>
      </c>
      <c r="CU2147" s="112" t="s">
        <v>527</v>
      </c>
      <c r="CV2147" s="113" t="s">
        <v>528</v>
      </c>
      <c r="CX2147" s="36">
        <v>1</v>
      </c>
    </row>
    <row r="2148" spans="91:102" ht="21" customHeight="1" x14ac:dyDescent="0.25">
      <c r="CM2148" s="102"/>
      <c r="CN2148" s="112" t="s">
        <v>5255</v>
      </c>
      <c r="CO2148" s="112" t="s">
        <v>550</v>
      </c>
      <c r="CP2148" s="112" t="s">
        <v>1119</v>
      </c>
      <c r="CQ2148" s="112" t="s">
        <v>1100</v>
      </c>
      <c r="CR2148" s="112" t="s">
        <v>1100</v>
      </c>
      <c r="CS2148" s="112" t="s">
        <v>525</v>
      </c>
      <c r="CT2148" s="112" t="s">
        <v>5254</v>
      </c>
      <c r="CU2148" s="112" t="s">
        <v>527</v>
      </c>
      <c r="CV2148" s="113" t="s">
        <v>528</v>
      </c>
      <c r="CX2148" s="36">
        <v>1</v>
      </c>
    </row>
    <row r="2149" spans="91:102" ht="21" customHeight="1" x14ac:dyDescent="0.25">
      <c r="CM2149" s="102"/>
      <c r="CN2149" s="112" t="s">
        <v>5256</v>
      </c>
      <c r="CO2149" s="112" t="s">
        <v>550</v>
      </c>
      <c r="CP2149" s="112" t="s">
        <v>1119</v>
      </c>
      <c r="CQ2149" s="112" t="s">
        <v>1106</v>
      </c>
      <c r="CR2149" s="112" t="s">
        <v>1107</v>
      </c>
      <c r="CS2149" s="112" t="s">
        <v>525</v>
      </c>
      <c r="CT2149" s="112" t="s">
        <v>5254</v>
      </c>
      <c r="CU2149" s="112" t="s">
        <v>527</v>
      </c>
      <c r="CV2149" s="113" t="s">
        <v>528</v>
      </c>
      <c r="CX2149" s="36">
        <v>1</v>
      </c>
    </row>
    <row r="2150" spans="91:102" ht="21" customHeight="1" x14ac:dyDescent="0.25">
      <c r="CM2150" s="102"/>
      <c r="CN2150" s="112" t="s">
        <v>5257</v>
      </c>
      <c r="CO2150" s="112" t="s">
        <v>550</v>
      </c>
      <c r="CP2150" s="112" t="s">
        <v>1119</v>
      </c>
      <c r="CQ2150" s="112" t="s">
        <v>5258</v>
      </c>
      <c r="CR2150" s="112" t="s">
        <v>5259</v>
      </c>
      <c r="CS2150" s="112" t="s">
        <v>525</v>
      </c>
      <c r="CT2150" s="112" t="s">
        <v>5254</v>
      </c>
      <c r="CU2150" s="112" t="s">
        <v>527</v>
      </c>
      <c r="CV2150" s="113" t="s">
        <v>528</v>
      </c>
      <c r="CX2150" s="36">
        <v>1</v>
      </c>
    </row>
    <row r="2151" spans="91:102" ht="21" customHeight="1" x14ac:dyDescent="0.25">
      <c r="CM2151" s="102"/>
      <c r="CN2151" s="112" t="s">
        <v>5260</v>
      </c>
      <c r="CO2151" s="112" t="s">
        <v>550</v>
      </c>
      <c r="CP2151" s="112" t="s">
        <v>1119</v>
      </c>
      <c r="CQ2151" s="112" t="s">
        <v>3730</v>
      </c>
      <c r="CR2151" s="112" t="s">
        <v>3731</v>
      </c>
      <c r="CS2151" s="112" t="s">
        <v>525</v>
      </c>
      <c r="CT2151" s="112" t="s">
        <v>5254</v>
      </c>
      <c r="CU2151" s="112" t="s">
        <v>527</v>
      </c>
      <c r="CV2151" s="113" t="s">
        <v>528</v>
      </c>
      <c r="CX2151" s="36">
        <v>1</v>
      </c>
    </row>
    <row r="2152" spans="91:102" ht="21" customHeight="1" x14ac:dyDescent="0.25">
      <c r="CM2152" s="102"/>
      <c r="CN2152" s="112" t="s">
        <v>5261</v>
      </c>
      <c r="CO2152" s="112" t="s">
        <v>550</v>
      </c>
      <c r="CP2152" s="112" t="s">
        <v>1119</v>
      </c>
      <c r="CQ2152" s="112" t="s">
        <v>5262</v>
      </c>
      <c r="CR2152" s="112" t="s">
        <v>5263</v>
      </c>
      <c r="CS2152" s="112" t="s">
        <v>525</v>
      </c>
      <c r="CT2152" s="112" t="s">
        <v>5254</v>
      </c>
      <c r="CU2152" s="112" t="s">
        <v>527</v>
      </c>
      <c r="CV2152" s="113" t="s">
        <v>528</v>
      </c>
      <c r="CX2152" s="36">
        <v>1</v>
      </c>
    </row>
    <row r="2153" spans="91:102" ht="21" customHeight="1" x14ac:dyDescent="0.25">
      <c r="CM2153" s="102"/>
      <c r="CN2153" s="112" t="s">
        <v>5264</v>
      </c>
      <c r="CO2153" s="112" t="s">
        <v>551</v>
      </c>
      <c r="CP2153" s="112" t="s">
        <v>523</v>
      </c>
      <c r="CQ2153" s="112" t="s">
        <v>5265</v>
      </c>
      <c r="CR2153" s="112" t="s">
        <v>5265</v>
      </c>
      <c r="CS2153" s="112" t="s">
        <v>1168</v>
      </c>
      <c r="CT2153" s="112" t="s">
        <v>1169</v>
      </c>
      <c r="CU2153" s="112" t="s">
        <v>1170</v>
      </c>
      <c r="CV2153" s="113" t="s">
        <v>5266</v>
      </c>
      <c r="CX2153" s="36">
        <v>1</v>
      </c>
    </row>
    <row r="2154" spans="91:102" ht="21" customHeight="1" x14ac:dyDescent="0.25">
      <c r="CM2154" s="102"/>
      <c r="CN2154" s="112" t="s">
        <v>5267</v>
      </c>
      <c r="CO2154" s="112" t="s">
        <v>551</v>
      </c>
      <c r="CP2154" s="112" t="s">
        <v>523</v>
      </c>
      <c r="CQ2154" s="112" t="s">
        <v>5268</v>
      </c>
      <c r="CR2154" s="112" t="s">
        <v>5268</v>
      </c>
      <c r="CS2154" s="112" t="s">
        <v>1168</v>
      </c>
      <c r="CT2154" s="112" t="s">
        <v>1169</v>
      </c>
      <c r="CU2154" s="112" t="s">
        <v>1170</v>
      </c>
      <c r="CV2154" s="113" t="s">
        <v>5266</v>
      </c>
      <c r="CX2154" s="36">
        <v>1</v>
      </c>
    </row>
    <row r="2155" spans="91:102" ht="21" customHeight="1" x14ac:dyDescent="0.25">
      <c r="CM2155" s="102"/>
      <c r="CN2155" s="112" t="s">
        <v>5269</v>
      </c>
      <c r="CO2155" s="112" t="s">
        <v>551</v>
      </c>
      <c r="CP2155" s="112" t="s">
        <v>523</v>
      </c>
      <c r="CQ2155" s="112" t="s">
        <v>5270</v>
      </c>
      <c r="CR2155" s="112" t="s">
        <v>5270</v>
      </c>
      <c r="CS2155" s="112" t="s">
        <v>1168</v>
      </c>
      <c r="CT2155" s="112" t="s">
        <v>1169</v>
      </c>
      <c r="CU2155" s="112" t="s">
        <v>1170</v>
      </c>
      <c r="CV2155" s="113" t="s">
        <v>5266</v>
      </c>
      <c r="CX2155" s="36">
        <v>1</v>
      </c>
    </row>
    <row r="2156" spans="91:102" ht="21" customHeight="1" x14ac:dyDescent="0.25">
      <c r="CM2156" s="102"/>
      <c r="CN2156" s="112" t="s">
        <v>5271</v>
      </c>
      <c r="CO2156" s="112" t="s">
        <v>551</v>
      </c>
      <c r="CP2156" s="112" t="s">
        <v>523</v>
      </c>
      <c r="CQ2156" s="112" t="s">
        <v>4796</v>
      </c>
      <c r="CR2156" s="112" t="s">
        <v>4796</v>
      </c>
      <c r="CS2156" s="112" t="s">
        <v>1168</v>
      </c>
      <c r="CT2156" s="112" t="s">
        <v>1169</v>
      </c>
      <c r="CU2156" s="112" t="s">
        <v>1170</v>
      </c>
      <c r="CV2156" s="113" t="s">
        <v>5266</v>
      </c>
      <c r="CX2156" s="36">
        <v>1</v>
      </c>
    </row>
    <row r="2157" spans="91:102" ht="21" customHeight="1" x14ac:dyDescent="0.25">
      <c r="CM2157" s="102"/>
      <c r="CN2157" s="112" t="s">
        <v>5272</v>
      </c>
      <c r="CO2157" s="112" t="s">
        <v>551</v>
      </c>
      <c r="CP2157" s="112" t="s">
        <v>523</v>
      </c>
      <c r="CQ2157" s="112" t="s">
        <v>5273</v>
      </c>
      <c r="CR2157" s="112" t="s">
        <v>5273</v>
      </c>
      <c r="CS2157" s="112" t="s">
        <v>1168</v>
      </c>
      <c r="CT2157" s="112" t="s">
        <v>1169</v>
      </c>
      <c r="CU2157" s="112" t="s">
        <v>1170</v>
      </c>
      <c r="CV2157" s="113" t="s">
        <v>5266</v>
      </c>
      <c r="CX2157" s="36">
        <v>1</v>
      </c>
    </row>
    <row r="2158" spans="91:102" ht="21" customHeight="1" x14ac:dyDescent="0.25">
      <c r="CM2158" s="102"/>
      <c r="CN2158" s="112" t="s">
        <v>5274</v>
      </c>
      <c r="CO2158" s="112" t="s">
        <v>551</v>
      </c>
      <c r="CP2158" s="112" t="s">
        <v>523</v>
      </c>
      <c r="CQ2158" s="112" t="s">
        <v>4798</v>
      </c>
      <c r="CR2158" s="112" t="s">
        <v>4798</v>
      </c>
      <c r="CS2158" s="112" t="s">
        <v>610</v>
      </c>
      <c r="CT2158" s="112" t="s">
        <v>5275</v>
      </c>
      <c r="CU2158" s="112" t="s">
        <v>527</v>
      </c>
      <c r="CV2158" s="113" t="s">
        <v>612</v>
      </c>
      <c r="CX2158" s="36">
        <v>1</v>
      </c>
    </row>
    <row r="2159" spans="91:102" ht="21" customHeight="1" x14ac:dyDescent="0.25">
      <c r="CM2159" s="102"/>
      <c r="CN2159" s="112" t="s">
        <v>5276</v>
      </c>
      <c r="CO2159" s="112" t="s">
        <v>551</v>
      </c>
      <c r="CP2159" s="112" t="s">
        <v>523</v>
      </c>
      <c r="CQ2159" s="112" t="s">
        <v>5277</v>
      </c>
      <c r="CR2159" s="112" t="s">
        <v>5277</v>
      </c>
      <c r="CS2159" s="112" t="s">
        <v>1168</v>
      </c>
      <c r="CT2159" s="112" t="s">
        <v>1169</v>
      </c>
      <c r="CU2159" s="112" t="s">
        <v>1170</v>
      </c>
      <c r="CV2159" s="113" t="s">
        <v>5266</v>
      </c>
      <c r="CX2159" s="36">
        <v>1</v>
      </c>
    </row>
    <row r="2160" spans="91:102" ht="21" customHeight="1" x14ac:dyDescent="0.25">
      <c r="CM2160" s="102"/>
      <c r="CN2160" s="112" t="s">
        <v>5278</v>
      </c>
      <c r="CO2160" s="112" t="s">
        <v>551</v>
      </c>
      <c r="CP2160" s="112" t="s">
        <v>523</v>
      </c>
      <c r="CQ2160" s="112" t="s">
        <v>5279</v>
      </c>
      <c r="CR2160" s="112" t="s">
        <v>5279</v>
      </c>
      <c r="CS2160" s="112" t="s">
        <v>1168</v>
      </c>
      <c r="CT2160" s="112" t="s">
        <v>1169</v>
      </c>
      <c r="CU2160" s="112" t="s">
        <v>1170</v>
      </c>
      <c r="CV2160" s="113" t="s">
        <v>5266</v>
      </c>
      <c r="CX2160" s="36">
        <v>1</v>
      </c>
    </row>
    <row r="2161" spans="91:102" ht="21" customHeight="1" x14ac:dyDescent="0.25">
      <c r="CM2161" s="102"/>
      <c r="CN2161" s="112" t="s">
        <v>5280</v>
      </c>
      <c r="CO2161" s="112" t="s">
        <v>551</v>
      </c>
      <c r="CP2161" s="112" t="s">
        <v>523</v>
      </c>
      <c r="CQ2161" s="112" t="s">
        <v>5281</v>
      </c>
      <c r="CR2161" s="112" t="s">
        <v>5281</v>
      </c>
      <c r="CS2161" s="112" t="s">
        <v>1168</v>
      </c>
      <c r="CT2161" s="112" t="s">
        <v>1169</v>
      </c>
      <c r="CU2161" s="112" t="s">
        <v>1170</v>
      </c>
      <c r="CV2161" s="113" t="s">
        <v>5266</v>
      </c>
      <c r="CX2161" s="36">
        <v>1</v>
      </c>
    </row>
    <row r="2162" spans="91:102" ht="21" customHeight="1" x14ac:dyDescent="0.25">
      <c r="CM2162" s="102"/>
      <c r="CN2162" s="112" t="s">
        <v>5282</v>
      </c>
      <c r="CO2162" s="112" t="s">
        <v>551</v>
      </c>
      <c r="CP2162" s="112" t="s">
        <v>523</v>
      </c>
      <c r="CQ2162" s="112" t="s">
        <v>5283</v>
      </c>
      <c r="CR2162" s="112" t="s">
        <v>5283</v>
      </c>
      <c r="CS2162" s="112" t="s">
        <v>1168</v>
      </c>
      <c r="CT2162" s="112" t="s">
        <v>1169</v>
      </c>
      <c r="CU2162" s="112" t="s">
        <v>1170</v>
      </c>
      <c r="CV2162" s="113" t="s">
        <v>5266</v>
      </c>
      <c r="CX2162" s="36">
        <v>1</v>
      </c>
    </row>
    <row r="2163" spans="91:102" ht="21" customHeight="1" x14ac:dyDescent="0.25">
      <c r="CM2163" s="102"/>
      <c r="CN2163" s="112" t="s">
        <v>5284</v>
      </c>
      <c r="CO2163" s="112" t="s">
        <v>551</v>
      </c>
      <c r="CP2163" s="112" t="s">
        <v>523</v>
      </c>
      <c r="CQ2163" s="112" t="s">
        <v>5285</v>
      </c>
      <c r="CR2163" s="112" t="s">
        <v>5285</v>
      </c>
      <c r="CS2163" s="112" t="s">
        <v>1168</v>
      </c>
      <c r="CT2163" s="112" t="s">
        <v>1169</v>
      </c>
      <c r="CU2163" s="112" t="s">
        <v>1170</v>
      </c>
      <c r="CV2163" s="113" t="s">
        <v>5266</v>
      </c>
      <c r="CX2163" s="36">
        <v>1</v>
      </c>
    </row>
    <row r="2164" spans="91:102" ht="21" customHeight="1" x14ac:dyDescent="0.25">
      <c r="CM2164" s="102"/>
      <c r="CN2164" s="112" t="s">
        <v>5286</v>
      </c>
      <c r="CO2164" s="112" t="s">
        <v>551</v>
      </c>
      <c r="CP2164" s="112" t="s">
        <v>523</v>
      </c>
      <c r="CQ2164" s="112" t="s">
        <v>5287</v>
      </c>
      <c r="CR2164" s="112" t="s">
        <v>5287</v>
      </c>
      <c r="CS2164" s="112" t="s">
        <v>1168</v>
      </c>
      <c r="CT2164" s="112" t="s">
        <v>1169</v>
      </c>
      <c r="CU2164" s="112" t="s">
        <v>1170</v>
      </c>
      <c r="CV2164" s="113" t="s">
        <v>5266</v>
      </c>
      <c r="CX2164" s="36">
        <v>1</v>
      </c>
    </row>
    <row r="2165" spans="91:102" ht="21" customHeight="1" x14ac:dyDescent="0.25">
      <c r="CM2165" s="102"/>
      <c r="CN2165" s="112" t="s">
        <v>5288</v>
      </c>
      <c r="CO2165" s="112" t="s">
        <v>551</v>
      </c>
      <c r="CP2165" s="112" t="s">
        <v>523</v>
      </c>
      <c r="CQ2165" s="112" t="s">
        <v>5289</v>
      </c>
      <c r="CR2165" s="112" t="s">
        <v>5289</v>
      </c>
      <c r="CS2165" s="112" t="s">
        <v>1168</v>
      </c>
      <c r="CT2165" s="112" t="s">
        <v>1169</v>
      </c>
      <c r="CU2165" s="112" t="s">
        <v>1170</v>
      </c>
      <c r="CV2165" s="113" t="s">
        <v>5266</v>
      </c>
      <c r="CX2165" s="36">
        <v>1</v>
      </c>
    </row>
    <row r="2166" spans="91:102" ht="21" customHeight="1" x14ac:dyDescent="0.25">
      <c r="CM2166" s="102"/>
      <c r="CN2166" s="112" t="s">
        <v>5290</v>
      </c>
      <c r="CO2166" s="112" t="s">
        <v>551</v>
      </c>
      <c r="CP2166" s="112" t="s">
        <v>523</v>
      </c>
      <c r="CQ2166" s="112" t="s">
        <v>5291</v>
      </c>
      <c r="CR2166" s="112" t="s">
        <v>5291</v>
      </c>
      <c r="CS2166" s="112" t="s">
        <v>1168</v>
      </c>
      <c r="CT2166" s="112" t="s">
        <v>1169</v>
      </c>
      <c r="CU2166" s="112" t="s">
        <v>1170</v>
      </c>
      <c r="CV2166" s="113" t="s">
        <v>5266</v>
      </c>
      <c r="CX2166" s="36">
        <v>1</v>
      </c>
    </row>
    <row r="2167" spans="91:102" ht="21" customHeight="1" x14ac:dyDescent="0.25">
      <c r="CM2167" s="102"/>
      <c r="CN2167" s="112" t="s">
        <v>5292</v>
      </c>
      <c r="CO2167" s="112" t="s">
        <v>551</v>
      </c>
      <c r="CP2167" s="112" t="s">
        <v>523</v>
      </c>
      <c r="CQ2167" s="112" t="s">
        <v>5293</v>
      </c>
      <c r="CR2167" s="112" t="s">
        <v>5293</v>
      </c>
      <c r="CS2167" s="112" t="s">
        <v>525</v>
      </c>
      <c r="CT2167" s="112" t="s">
        <v>5294</v>
      </c>
      <c r="CU2167" s="112" t="s">
        <v>527</v>
      </c>
      <c r="CV2167" s="113" t="s">
        <v>528</v>
      </c>
      <c r="CX2167" s="36">
        <v>1</v>
      </c>
    </row>
    <row r="2168" spans="91:102" ht="21" customHeight="1" x14ac:dyDescent="0.25">
      <c r="CM2168" s="102"/>
      <c r="CN2168" s="112" t="s">
        <v>5295</v>
      </c>
      <c r="CO2168" s="112" t="s">
        <v>551</v>
      </c>
      <c r="CP2168" s="112" t="s">
        <v>523</v>
      </c>
      <c r="CQ2168" s="112" t="s">
        <v>5296</v>
      </c>
      <c r="CR2168" s="112" t="s">
        <v>5296</v>
      </c>
      <c r="CS2168" s="112" t="s">
        <v>1168</v>
      </c>
      <c r="CT2168" s="112" t="s">
        <v>1169</v>
      </c>
      <c r="CU2168" s="112" t="s">
        <v>1170</v>
      </c>
      <c r="CV2168" s="113" t="s">
        <v>5266</v>
      </c>
      <c r="CX2168" s="36">
        <v>1</v>
      </c>
    </row>
    <row r="2169" spans="91:102" ht="21" customHeight="1" x14ac:dyDescent="0.25">
      <c r="CM2169" s="102"/>
      <c r="CN2169" s="112" t="s">
        <v>5297</v>
      </c>
      <c r="CO2169" s="112" t="s">
        <v>551</v>
      </c>
      <c r="CP2169" s="112" t="s">
        <v>523</v>
      </c>
      <c r="CQ2169" s="112" t="s">
        <v>5298</v>
      </c>
      <c r="CR2169" s="112" t="s">
        <v>5298</v>
      </c>
      <c r="CS2169" s="112" t="s">
        <v>1168</v>
      </c>
      <c r="CT2169" s="112" t="s">
        <v>1169</v>
      </c>
      <c r="CU2169" s="112" t="s">
        <v>1170</v>
      </c>
      <c r="CV2169" s="113" t="s">
        <v>5266</v>
      </c>
      <c r="CX2169" s="36">
        <v>1</v>
      </c>
    </row>
    <row r="2170" spans="91:102" ht="21" customHeight="1" x14ac:dyDescent="0.25">
      <c r="CM2170" s="102"/>
      <c r="CN2170" s="112" t="s">
        <v>5299</v>
      </c>
      <c r="CO2170" s="112" t="s">
        <v>551</v>
      </c>
      <c r="CP2170" s="112" t="s">
        <v>523</v>
      </c>
      <c r="CQ2170" s="112" t="s">
        <v>5300</v>
      </c>
      <c r="CR2170" s="112" t="s">
        <v>5300</v>
      </c>
      <c r="CS2170" s="112" t="s">
        <v>525</v>
      </c>
      <c r="CT2170" s="112" t="s">
        <v>5294</v>
      </c>
      <c r="CU2170" s="112" t="s">
        <v>527</v>
      </c>
      <c r="CV2170" s="113" t="s">
        <v>528</v>
      </c>
      <c r="CX2170" s="36">
        <v>1</v>
      </c>
    </row>
    <row r="2171" spans="91:102" ht="21" customHeight="1" x14ac:dyDescent="0.25">
      <c r="CM2171" s="102"/>
      <c r="CN2171" s="112" t="s">
        <v>5301</v>
      </c>
      <c r="CO2171" s="112" t="s">
        <v>551</v>
      </c>
      <c r="CP2171" s="112" t="s">
        <v>523</v>
      </c>
      <c r="CQ2171" s="112" t="s">
        <v>5302</v>
      </c>
      <c r="CR2171" s="112" t="s">
        <v>5302</v>
      </c>
      <c r="CS2171" s="112" t="s">
        <v>1168</v>
      </c>
      <c r="CT2171" s="112" t="s">
        <v>1169</v>
      </c>
      <c r="CU2171" s="112" t="s">
        <v>1170</v>
      </c>
      <c r="CV2171" s="113" t="s">
        <v>5266</v>
      </c>
      <c r="CX2171" s="36">
        <v>1</v>
      </c>
    </row>
    <row r="2172" spans="91:102" ht="21" customHeight="1" x14ac:dyDescent="0.25">
      <c r="CM2172" s="102"/>
      <c r="CN2172" s="112" t="s">
        <v>5303</v>
      </c>
      <c r="CO2172" s="112" t="s">
        <v>551</v>
      </c>
      <c r="CP2172" s="112" t="s">
        <v>523</v>
      </c>
      <c r="CQ2172" s="112" t="s">
        <v>5304</v>
      </c>
      <c r="CR2172" s="112" t="s">
        <v>5304</v>
      </c>
      <c r="CS2172" s="112" t="s">
        <v>1168</v>
      </c>
      <c r="CT2172" s="112" t="s">
        <v>1169</v>
      </c>
      <c r="CU2172" s="112" t="s">
        <v>1170</v>
      </c>
      <c r="CV2172" s="113" t="s">
        <v>5266</v>
      </c>
      <c r="CX2172" s="36">
        <v>1</v>
      </c>
    </row>
    <row r="2173" spans="91:102" ht="21" customHeight="1" x14ac:dyDescent="0.25">
      <c r="CM2173" s="102"/>
      <c r="CN2173" s="112" t="s">
        <v>5305</v>
      </c>
      <c r="CO2173" s="112" t="s">
        <v>551</v>
      </c>
      <c r="CP2173" s="112" t="s">
        <v>523</v>
      </c>
      <c r="CQ2173" s="112" t="s">
        <v>5306</v>
      </c>
      <c r="CR2173" s="112" t="s">
        <v>5306</v>
      </c>
      <c r="CS2173" s="112" t="s">
        <v>525</v>
      </c>
      <c r="CT2173" s="112" t="s">
        <v>5294</v>
      </c>
      <c r="CU2173" s="112" t="s">
        <v>527</v>
      </c>
      <c r="CV2173" s="113" t="s">
        <v>528</v>
      </c>
      <c r="CX2173" s="36">
        <v>1</v>
      </c>
    </row>
    <row r="2174" spans="91:102" ht="21" customHeight="1" x14ac:dyDescent="0.25">
      <c r="CM2174" s="102"/>
      <c r="CN2174" s="112" t="s">
        <v>5307</v>
      </c>
      <c r="CO2174" s="112" t="s">
        <v>551</v>
      </c>
      <c r="CP2174" s="112" t="s">
        <v>523</v>
      </c>
      <c r="CQ2174" s="112" t="s">
        <v>5308</v>
      </c>
      <c r="CR2174" s="112" t="s">
        <v>5308</v>
      </c>
      <c r="CS2174" s="112" t="s">
        <v>1168</v>
      </c>
      <c r="CT2174" s="112" t="s">
        <v>1169</v>
      </c>
      <c r="CU2174" s="112" t="s">
        <v>1170</v>
      </c>
      <c r="CV2174" s="113" t="s">
        <v>5266</v>
      </c>
      <c r="CX2174" s="36">
        <v>1</v>
      </c>
    </row>
    <row r="2175" spans="91:102" ht="21" customHeight="1" x14ac:dyDescent="0.25">
      <c r="CM2175" s="102"/>
      <c r="CN2175" s="112" t="s">
        <v>5309</v>
      </c>
      <c r="CO2175" s="112" t="s">
        <v>551</v>
      </c>
      <c r="CP2175" s="112" t="s">
        <v>523</v>
      </c>
      <c r="CQ2175" s="112" t="s">
        <v>5310</v>
      </c>
      <c r="CR2175" s="112" t="s">
        <v>5310</v>
      </c>
      <c r="CS2175" s="112" t="s">
        <v>1168</v>
      </c>
      <c r="CT2175" s="112" t="s">
        <v>1169</v>
      </c>
      <c r="CU2175" s="112" t="s">
        <v>1170</v>
      </c>
      <c r="CV2175" s="113" t="s">
        <v>5266</v>
      </c>
      <c r="CX2175" s="36">
        <v>1</v>
      </c>
    </row>
    <row r="2176" spans="91:102" ht="21" customHeight="1" x14ac:dyDescent="0.25">
      <c r="CM2176" s="102"/>
      <c r="CN2176" s="112" t="s">
        <v>5311</v>
      </c>
      <c r="CO2176" s="112" t="s">
        <v>551</v>
      </c>
      <c r="CP2176" s="112" t="s">
        <v>523</v>
      </c>
      <c r="CQ2176" s="112" t="s">
        <v>5312</v>
      </c>
      <c r="CR2176" s="112" t="s">
        <v>5312</v>
      </c>
      <c r="CS2176" s="112" t="s">
        <v>525</v>
      </c>
      <c r="CT2176" s="112" t="s">
        <v>5294</v>
      </c>
      <c r="CU2176" s="112" t="s">
        <v>527</v>
      </c>
      <c r="CV2176" s="113" t="s">
        <v>528</v>
      </c>
      <c r="CX2176" s="36">
        <v>1</v>
      </c>
    </row>
    <row r="2177" spans="91:102" ht="21" customHeight="1" x14ac:dyDescent="0.25">
      <c r="CM2177" s="102"/>
      <c r="CN2177" s="112" t="s">
        <v>5313</v>
      </c>
      <c r="CO2177" s="112" t="s">
        <v>551</v>
      </c>
      <c r="CP2177" s="112" t="s">
        <v>523</v>
      </c>
      <c r="CQ2177" s="112" t="s">
        <v>5314</v>
      </c>
      <c r="CR2177" s="112" t="s">
        <v>5314</v>
      </c>
      <c r="CS2177" s="112" t="s">
        <v>1168</v>
      </c>
      <c r="CT2177" s="112" t="s">
        <v>1169</v>
      </c>
      <c r="CU2177" s="112" t="s">
        <v>1170</v>
      </c>
      <c r="CV2177" s="113" t="s">
        <v>5266</v>
      </c>
      <c r="CX2177" s="36">
        <v>1</v>
      </c>
    </row>
    <row r="2178" spans="91:102" ht="21" customHeight="1" x14ac:dyDescent="0.25">
      <c r="CM2178" s="102"/>
      <c r="CN2178" s="112" t="s">
        <v>5315</v>
      </c>
      <c r="CO2178" s="112" t="s">
        <v>551</v>
      </c>
      <c r="CP2178" s="112" t="s">
        <v>523</v>
      </c>
      <c r="CQ2178" s="112" t="s">
        <v>5316</v>
      </c>
      <c r="CR2178" s="112" t="s">
        <v>5316</v>
      </c>
      <c r="CS2178" s="112" t="s">
        <v>1168</v>
      </c>
      <c r="CT2178" s="112" t="s">
        <v>1169</v>
      </c>
      <c r="CU2178" s="112" t="s">
        <v>1170</v>
      </c>
      <c r="CV2178" s="113" t="s">
        <v>5266</v>
      </c>
      <c r="CX2178" s="36">
        <v>1</v>
      </c>
    </row>
    <row r="2179" spans="91:102" ht="21" customHeight="1" x14ac:dyDescent="0.25">
      <c r="CM2179" s="102"/>
      <c r="CN2179" s="112" t="s">
        <v>5317</v>
      </c>
      <c r="CO2179" s="112" t="s">
        <v>551</v>
      </c>
      <c r="CP2179" s="112" t="s">
        <v>523</v>
      </c>
      <c r="CQ2179" s="112" t="s">
        <v>5318</v>
      </c>
      <c r="CR2179" s="112" t="s">
        <v>5318</v>
      </c>
      <c r="CS2179" s="112" t="s">
        <v>1168</v>
      </c>
      <c r="CT2179" s="112" t="s">
        <v>1169</v>
      </c>
      <c r="CU2179" s="112" t="s">
        <v>1170</v>
      </c>
      <c r="CV2179" s="113" t="s">
        <v>5266</v>
      </c>
      <c r="CX2179" s="36">
        <v>1</v>
      </c>
    </row>
    <row r="2180" spans="91:102" ht="21" customHeight="1" x14ac:dyDescent="0.25">
      <c r="CM2180" s="102"/>
      <c r="CN2180" s="112" t="s">
        <v>5319</v>
      </c>
      <c r="CO2180" s="112" t="s">
        <v>551</v>
      </c>
      <c r="CP2180" s="112" t="s">
        <v>523</v>
      </c>
      <c r="CQ2180" s="112" t="s">
        <v>5320</v>
      </c>
      <c r="CR2180" s="112" t="s">
        <v>5320</v>
      </c>
      <c r="CS2180" s="112" t="s">
        <v>1168</v>
      </c>
      <c r="CT2180" s="112" t="s">
        <v>1169</v>
      </c>
      <c r="CU2180" s="112" t="s">
        <v>1170</v>
      </c>
      <c r="CV2180" s="113" t="s">
        <v>5266</v>
      </c>
      <c r="CX2180" s="36">
        <v>1</v>
      </c>
    </row>
    <row r="2181" spans="91:102" ht="21" customHeight="1" x14ac:dyDescent="0.25">
      <c r="CM2181" s="102"/>
      <c r="CN2181" s="112" t="s">
        <v>5321</v>
      </c>
      <c r="CO2181" s="112" t="s">
        <v>551</v>
      </c>
      <c r="CP2181" s="112" t="s">
        <v>523</v>
      </c>
      <c r="CQ2181" s="112" t="s">
        <v>5322</v>
      </c>
      <c r="CR2181" s="112" t="s">
        <v>5322</v>
      </c>
      <c r="CS2181" s="112" t="s">
        <v>1168</v>
      </c>
      <c r="CT2181" s="112" t="s">
        <v>1169</v>
      </c>
      <c r="CU2181" s="112" t="s">
        <v>1170</v>
      </c>
      <c r="CV2181" s="113" t="s">
        <v>5266</v>
      </c>
      <c r="CX2181" s="36">
        <v>1</v>
      </c>
    </row>
    <row r="2182" spans="91:102" ht="21" customHeight="1" x14ac:dyDescent="0.25">
      <c r="CM2182" s="102"/>
      <c r="CN2182" s="112" t="s">
        <v>5323</v>
      </c>
      <c r="CO2182" s="112" t="s">
        <v>551</v>
      </c>
      <c r="CP2182" s="112" t="s">
        <v>523</v>
      </c>
      <c r="CQ2182" s="112" t="s">
        <v>5324</v>
      </c>
      <c r="CR2182" s="112" t="s">
        <v>5324</v>
      </c>
      <c r="CS2182" s="112" t="s">
        <v>1168</v>
      </c>
      <c r="CT2182" s="112" t="s">
        <v>1169</v>
      </c>
      <c r="CU2182" s="112" t="s">
        <v>1170</v>
      </c>
      <c r="CV2182" s="113" t="s">
        <v>5266</v>
      </c>
      <c r="CX2182" s="36">
        <v>1</v>
      </c>
    </row>
    <row r="2183" spans="91:102" ht="21" customHeight="1" x14ac:dyDescent="0.25">
      <c r="CM2183" s="102"/>
      <c r="CN2183" s="112" t="s">
        <v>5325</v>
      </c>
      <c r="CO2183" s="112" t="s">
        <v>551</v>
      </c>
      <c r="CP2183" s="112" t="s">
        <v>523</v>
      </c>
      <c r="CQ2183" s="112" t="s">
        <v>5326</v>
      </c>
      <c r="CR2183" s="112" t="s">
        <v>5326</v>
      </c>
      <c r="CS2183" s="112" t="s">
        <v>1168</v>
      </c>
      <c r="CT2183" s="112" t="s">
        <v>1169</v>
      </c>
      <c r="CU2183" s="112" t="s">
        <v>1170</v>
      </c>
      <c r="CV2183" s="113" t="s">
        <v>5266</v>
      </c>
      <c r="CX2183" s="36">
        <v>1</v>
      </c>
    </row>
    <row r="2184" spans="91:102" ht="21" customHeight="1" x14ac:dyDescent="0.25">
      <c r="CM2184" s="102"/>
      <c r="CN2184" s="112" t="s">
        <v>5327</v>
      </c>
      <c r="CO2184" s="112" t="s">
        <v>551</v>
      </c>
      <c r="CP2184" s="112" t="s">
        <v>523</v>
      </c>
      <c r="CQ2184" s="112" t="s">
        <v>5328</v>
      </c>
      <c r="CR2184" s="112" t="s">
        <v>5328</v>
      </c>
      <c r="CS2184" s="112" t="s">
        <v>1168</v>
      </c>
      <c r="CT2184" s="112" t="s">
        <v>1169</v>
      </c>
      <c r="CU2184" s="112" t="s">
        <v>1170</v>
      </c>
      <c r="CV2184" s="113" t="s">
        <v>5266</v>
      </c>
      <c r="CX2184" s="36">
        <v>1</v>
      </c>
    </row>
    <row r="2185" spans="91:102" ht="21" customHeight="1" x14ac:dyDescent="0.25">
      <c r="CM2185" s="102"/>
      <c r="CN2185" s="112" t="s">
        <v>5329</v>
      </c>
      <c r="CO2185" s="112" t="s">
        <v>551</v>
      </c>
      <c r="CP2185" s="112" t="s">
        <v>523</v>
      </c>
      <c r="CQ2185" s="112" t="s">
        <v>5330</v>
      </c>
      <c r="CR2185" s="112" t="s">
        <v>5330</v>
      </c>
      <c r="CS2185" s="112" t="s">
        <v>1168</v>
      </c>
      <c r="CT2185" s="112" t="s">
        <v>1169</v>
      </c>
      <c r="CU2185" s="112" t="s">
        <v>1170</v>
      </c>
      <c r="CV2185" s="113" t="s">
        <v>5266</v>
      </c>
      <c r="CX2185" s="36">
        <v>1</v>
      </c>
    </row>
    <row r="2186" spans="91:102" ht="21" customHeight="1" x14ac:dyDescent="0.25">
      <c r="CM2186" s="102"/>
      <c r="CN2186" s="112" t="s">
        <v>5331</v>
      </c>
      <c r="CO2186" s="112" t="s">
        <v>551</v>
      </c>
      <c r="CP2186" s="112" t="s">
        <v>523</v>
      </c>
      <c r="CQ2186" s="112" t="s">
        <v>5332</v>
      </c>
      <c r="CR2186" s="112" t="s">
        <v>5332</v>
      </c>
      <c r="CS2186" s="112" t="s">
        <v>1168</v>
      </c>
      <c r="CT2186" s="112" t="s">
        <v>1169</v>
      </c>
      <c r="CU2186" s="112" t="s">
        <v>1170</v>
      </c>
      <c r="CV2186" s="113" t="s">
        <v>5266</v>
      </c>
      <c r="CX2186" s="36">
        <v>1</v>
      </c>
    </row>
    <row r="2187" spans="91:102" ht="21" customHeight="1" x14ac:dyDescent="0.25">
      <c r="CM2187" s="102"/>
      <c r="CN2187" s="112" t="s">
        <v>5333</v>
      </c>
      <c r="CO2187" s="112" t="s">
        <v>551</v>
      </c>
      <c r="CP2187" s="112" t="s">
        <v>523</v>
      </c>
      <c r="CQ2187" s="112" t="s">
        <v>5334</v>
      </c>
      <c r="CR2187" s="112" t="s">
        <v>5334</v>
      </c>
      <c r="CS2187" s="112" t="s">
        <v>1168</v>
      </c>
      <c r="CT2187" s="112" t="s">
        <v>1169</v>
      </c>
      <c r="CU2187" s="112" t="s">
        <v>1170</v>
      </c>
      <c r="CV2187" s="113" t="s">
        <v>5266</v>
      </c>
      <c r="CX2187" s="36">
        <v>1</v>
      </c>
    </row>
    <row r="2188" spans="91:102" ht="21" customHeight="1" x14ac:dyDescent="0.25">
      <c r="CM2188" s="102"/>
      <c r="CN2188" s="112" t="s">
        <v>5335</v>
      </c>
      <c r="CO2188" s="112" t="s">
        <v>551</v>
      </c>
      <c r="CP2188" s="112" t="s">
        <v>523</v>
      </c>
      <c r="CQ2188" s="112" t="s">
        <v>5336</v>
      </c>
      <c r="CR2188" s="112" t="s">
        <v>5336</v>
      </c>
      <c r="CS2188" s="112" t="s">
        <v>1168</v>
      </c>
      <c r="CT2188" s="112" t="s">
        <v>1169</v>
      </c>
      <c r="CU2188" s="112" t="s">
        <v>1170</v>
      </c>
      <c r="CV2188" s="113" t="s">
        <v>5266</v>
      </c>
      <c r="CX2188" s="36">
        <v>1</v>
      </c>
    </row>
    <row r="2189" spans="91:102" ht="21" customHeight="1" x14ac:dyDescent="0.25">
      <c r="CM2189" s="102"/>
      <c r="CN2189" s="112" t="s">
        <v>5337</v>
      </c>
      <c r="CO2189" s="112" t="s">
        <v>551</v>
      </c>
      <c r="CP2189" s="112" t="s">
        <v>523</v>
      </c>
      <c r="CQ2189" s="112" t="s">
        <v>5338</v>
      </c>
      <c r="CR2189" s="112" t="s">
        <v>5338</v>
      </c>
      <c r="CS2189" s="112" t="s">
        <v>525</v>
      </c>
      <c r="CT2189" s="112" t="s">
        <v>5294</v>
      </c>
      <c r="CU2189" s="112" t="s">
        <v>527</v>
      </c>
      <c r="CV2189" s="113" t="s">
        <v>528</v>
      </c>
      <c r="CX2189" s="36">
        <v>1</v>
      </c>
    </row>
    <row r="2190" spans="91:102" ht="21" customHeight="1" x14ac:dyDescent="0.25">
      <c r="CM2190" s="102"/>
      <c r="CN2190" s="112" t="s">
        <v>5339</v>
      </c>
      <c r="CO2190" s="112" t="s">
        <v>551</v>
      </c>
      <c r="CP2190" s="112" t="s">
        <v>523</v>
      </c>
      <c r="CQ2190" s="112" t="s">
        <v>5340</v>
      </c>
      <c r="CR2190" s="112" t="s">
        <v>5340</v>
      </c>
      <c r="CS2190" s="112" t="s">
        <v>1168</v>
      </c>
      <c r="CT2190" s="112" t="s">
        <v>1169</v>
      </c>
      <c r="CU2190" s="112" t="s">
        <v>1170</v>
      </c>
      <c r="CV2190" s="113" t="s">
        <v>5266</v>
      </c>
      <c r="CX2190" s="36">
        <v>1</v>
      </c>
    </row>
    <row r="2191" spans="91:102" ht="21" customHeight="1" x14ac:dyDescent="0.25">
      <c r="CM2191" s="102"/>
      <c r="CN2191" s="112" t="s">
        <v>5341</v>
      </c>
      <c r="CO2191" s="112" t="s">
        <v>551</v>
      </c>
      <c r="CP2191" s="112" t="s">
        <v>523</v>
      </c>
      <c r="CQ2191" s="112" t="s">
        <v>5342</v>
      </c>
      <c r="CR2191" s="112" t="s">
        <v>5342</v>
      </c>
      <c r="CS2191" s="112" t="s">
        <v>1168</v>
      </c>
      <c r="CT2191" s="112" t="s">
        <v>1169</v>
      </c>
      <c r="CU2191" s="112" t="s">
        <v>1170</v>
      </c>
      <c r="CV2191" s="113" t="s">
        <v>5266</v>
      </c>
      <c r="CX2191" s="36">
        <v>1</v>
      </c>
    </row>
    <row r="2192" spans="91:102" ht="21" customHeight="1" x14ac:dyDescent="0.25">
      <c r="CM2192" s="102"/>
      <c r="CN2192" s="112" t="s">
        <v>5343</v>
      </c>
      <c r="CO2192" s="112" t="s">
        <v>551</v>
      </c>
      <c r="CP2192" s="112" t="s">
        <v>523</v>
      </c>
      <c r="CQ2192" s="112" t="s">
        <v>5344</v>
      </c>
      <c r="CR2192" s="112" t="s">
        <v>5344</v>
      </c>
      <c r="CS2192" s="112" t="s">
        <v>1168</v>
      </c>
      <c r="CT2192" s="112" t="s">
        <v>1169</v>
      </c>
      <c r="CU2192" s="112" t="s">
        <v>1170</v>
      </c>
      <c r="CV2192" s="113" t="s">
        <v>5266</v>
      </c>
      <c r="CX2192" s="36">
        <v>1</v>
      </c>
    </row>
    <row r="2193" spans="91:102" ht="21" customHeight="1" x14ac:dyDescent="0.25">
      <c r="CM2193" s="102"/>
      <c r="CN2193" s="112" t="s">
        <v>5345</v>
      </c>
      <c r="CO2193" s="112" t="s">
        <v>551</v>
      </c>
      <c r="CP2193" s="112" t="s">
        <v>523</v>
      </c>
      <c r="CQ2193" s="112" t="s">
        <v>5346</v>
      </c>
      <c r="CR2193" s="112" t="s">
        <v>5346</v>
      </c>
      <c r="CS2193" s="112" t="s">
        <v>1168</v>
      </c>
      <c r="CT2193" s="112" t="s">
        <v>1169</v>
      </c>
      <c r="CU2193" s="112" t="s">
        <v>1170</v>
      </c>
      <c r="CV2193" s="113" t="s">
        <v>5266</v>
      </c>
      <c r="CX2193" s="36">
        <v>1</v>
      </c>
    </row>
    <row r="2194" spans="91:102" ht="21" customHeight="1" x14ac:dyDescent="0.25">
      <c r="CM2194" s="102"/>
      <c r="CN2194" s="112" t="s">
        <v>5347</v>
      </c>
      <c r="CO2194" s="112" t="s">
        <v>551</v>
      </c>
      <c r="CP2194" s="112" t="s">
        <v>523</v>
      </c>
      <c r="CQ2194" s="112" t="s">
        <v>5348</v>
      </c>
      <c r="CR2194" s="112" t="s">
        <v>5348</v>
      </c>
      <c r="CS2194" s="112" t="s">
        <v>1168</v>
      </c>
      <c r="CT2194" s="112" t="s">
        <v>1169</v>
      </c>
      <c r="CU2194" s="112" t="s">
        <v>1170</v>
      </c>
      <c r="CV2194" s="113" t="s">
        <v>5266</v>
      </c>
      <c r="CX2194" s="36">
        <v>1</v>
      </c>
    </row>
    <row r="2195" spans="91:102" ht="21" customHeight="1" x14ac:dyDescent="0.25">
      <c r="CM2195" s="102"/>
      <c r="CN2195" s="112" t="s">
        <v>5349</v>
      </c>
      <c r="CO2195" s="112" t="s">
        <v>551</v>
      </c>
      <c r="CP2195" s="112" t="s">
        <v>523</v>
      </c>
      <c r="CQ2195" s="112" t="s">
        <v>5350</v>
      </c>
      <c r="CR2195" s="112" t="s">
        <v>5350</v>
      </c>
      <c r="CS2195" s="112" t="s">
        <v>1168</v>
      </c>
      <c r="CT2195" s="112" t="s">
        <v>1169</v>
      </c>
      <c r="CU2195" s="112" t="s">
        <v>1170</v>
      </c>
      <c r="CV2195" s="113" t="s">
        <v>5266</v>
      </c>
      <c r="CX2195" s="36">
        <v>1</v>
      </c>
    </row>
    <row r="2196" spans="91:102" ht="21" customHeight="1" x14ac:dyDescent="0.25">
      <c r="CM2196" s="102"/>
      <c r="CN2196" s="112" t="s">
        <v>5351</v>
      </c>
      <c r="CO2196" s="112" t="s">
        <v>551</v>
      </c>
      <c r="CP2196" s="112" t="s">
        <v>523</v>
      </c>
      <c r="CQ2196" s="112" t="s">
        <v>5352</v>
      </c>
      <c r="CR2196" s="112" t="s">
        <v>5352</v>
      </c>
      <c r="CS2196" s="112" t="s">
        <v>1168</v>
      </c>
      <c r="CT2196" s="112" t="s">
        <v>1169</v>
      </c>
      <c r="CU2196" s="112" t="s">
        <v>1170</v>
      </c>
      <c r="CV2196" s="113" t="s">
        <v>5266</v>
      </c>
      <c r="CX2196" s="36">
        <v>1</v>
      </c>
    </row>
    <row r="2197" spans="91:102" ht="21" customHeight="1" x14ac:dyDescent="0.25">
      <c r="CM2197" s="102"/>
      <c r="CN2197" s="112" t="s">
        <v>5353</v>
      </c>
      <c r="CO2197" s="112" t="s">
        <v>551</v>
      </c>
      <c r="CP2197" s="112" t="s">
        <v>523</v>
      </c>
      <c r="CQ2197" s="112" t="s">
        <v>5354</v>
      </c>
      <c r="CR2197" s="112" t="s">
        <v>5354</v>
      </c>
      <c r="CS2197" s="112" t="s">
        <v>610</v>
      </c>
      <c r="CT2197" s="112" t="s">
        <v>611</v>
      </c>
      <c r="CU2197" s="112" t="s">
        <v>527</v>
      </c>
      <c r="CV2197" s="113" t="s">
        <v>612</v>
      </c>
      <c r="CX2197" s="36">
        <v>1</v>
      </c>
    </row>
    <row r="2198" spans="91:102" ht="21" customHeight="1" x14ac:dyDescent="0.25">
      <c r="CM2198" s="102"/>
      <c r="CN2198" s="112" t="s">
        <v>5355</v>
      </c>
      <c r="CO2198" s="112" t="s">
        <v>551</v>
      </c>
      <c r="CP2198" s="112" t="s">
        <v>523</v>
      </c>
      <c r="CQ2198" s="112" t="s">
        <v>5356</v>
      </c>
      <c r="CR2198" s="112" t="s">
        <v>5356</v>
      </c>
      <c r="CS2198" s="112" t="s">
        <v>1168</v>
      </c>
      <c r="CT2198" s="112" t="s">
        <v>1169</v>
      </c>
      <c r="CU2198" s="112" t="s">
        <v>1170</v>
      </c>
      <c r="CV2198" s="113" t="s">
        <v>5266</v>
      </c>
      <c r="CX2198" s="36">
        <v>1</v>
      </c>
    </row>
    <row r="2199" spans="91:102" ht="21" customHeight="1" x14ac:dyDescent="0.25">
      <c r="CM2199" s="102"/>
      <c r="CN2199" s="112" t="s">
        <v>5357</v>
      </c>
      <c r="CO2199" s="112" t="s">
        <v>551</v>
      </c>
      <c r="CP2199" s="112" t="s">
        <v>523</v>
      </c>
      <c r="CQ2199" s="112" t="s">
        <v>5358</v>
      </c>
      <c r="CR2199" s="112" t="s">
        <v>5358</v>
      </c>
      <c r="CS2199" s="112" t="s">
        <v>1168</v>
      </c>
      <c r="CT2199" s="112" t="s">
        <v>1169</v>
      </c>
      <c r="CU2199" s="112" t="s">
        <v>1170</v>
      </c>
      <c r="CV2199" s="113" t="s">
        <v>5266</v>
      </c>
      <c r="CX2199" s="36">
        <v>1</v>
      </c>
    </row>
    <row r="2200" spans="91:102" ht="21" customHeight="1" x14ac:dyDescent="0.25">
      <c r="CM2200" s="102"/>
      <c r="CN2200" s="112" t="s">
        <v>5359</v>
      </c>
      <c r="CO2200" s="112" t="s">
        <v>551</v>
      </c>
      <c r="CP2200" s="112" t="s">
        <v>523</v>
      </c>
      <c r="CQ2200" s="112" t="s">
        <v>5360</v>
      </c>
      <c r="CR2200" s="112" t="s">
        <v>5360</v>
      </c>
      <c r="CS2200" s="112" t="s">
        <v>1168</v>
      </c>
      <c r="CT2200" s="112" t="s">
        <v>1169</v>
      </c>
      <c r="CU2200" s="112" t="s">
        <v>1170</v>
      </c>
      <c r="CV2200" s="113" t="s">
        <v>5266</v>
      </c>
      <c r="CX2200" s="36">
        <v>1</v>
      </c>
    </row>
    <row r="2201" spans="91:102" ht="21" customHeight="1" x14ac:dyDescent="0.25">
      <c r="CM2201" s="102"/>
      <c r="CN2201" s="112" t="s">
        <v>5361</v>
      </c>
      <c r="CO2201" s="112" t="s">
        <v>551</v>
      </c>
      <c r="CP2201" s="112" t="s">
        <v>523</v>
      </c>
      <c r="CQ2201" s="112" t="s">
        <v>5362</v>
      </c>
      <c r="CR2201" s="112" t="s">
        <v>5362</v>
      </c>
      <c r="CS2201" s="112" t="s">
        <v>1168</v>
      </c>
      <c r="CT2201" s="112" t="s">
        <v>1169</v>
      </c>
      <c r="CU2201" s="112" t="s">
        <v>1170</v>
      </c>
      <c r="CV2201" s="113" t="s">
        <v>5266</v>
      </c>
      <c r="CX2201" s="36">
        <v>1</v>
      </c>
    </row>
    <row r="2202" spans="91:102" ht="21" customHeight="1" x14ac:dyDescent="0.25">
      <c r="CM2202" s="102"/>
      <c r="CN2202" s="112" t="s">
        <v>5363</v>
      </c>
      <c r="CO2202" s="112" t="s">
        <v>551</v>
      </c>
      <c r="CP2202" s="112" t="s">
        <v>523</v>
      </c>
      <c r="CQ2202" s="112" t="s">
        <v>5364</v>
      </c>
      <c r="CR2202" s="112" t="s">
        <v>5364</v>
      </c>
      <c r="CS2202" s="112" t="s">
        <v>1168</v>
      </c>
      <c r="CT2202" s="112" t="s">
        <v>1169</v>
      </c>
      <c r="CU2202" s="112" t="s">
        <v>1170</v>
      </c>
      <c r="CV2202" s="113" t="s">
        <v>5266</v>
      </c>
      <c r="CX2202" s="36">
        <v>1</v>
      </c>
    </row>
    <row r="2203" spans="91:102" ht="21" customHeight="1" x14ac:dyDescent="0.25">
      <c r="CM2203" s="102"/>
      <c r="CN2203" s="112" t="s">
        <v>5365</v>
      </c>
      <c r="CO2203" s="112" t="s">
        <v>551</v>
      </c>
      <c r="CP2203" s="112" t="s">
        <v>523</v>
      </c>
      <c r="CQ2203" s="112" t="s">
        <v>5366</v>
      </c>
      <c r="CR2203" s="112" t="s">
        <v>5366</v>
      </c>
      <c r="CS2203" s="112" t="s">
        <v>1168</v>
      </c>
      <c r="CT2203" s="112" t="s">
        <v>1169</v>
      </c>
      <c r="CU2203" s="112" t="s">
        <v>1170</v>
      </c>
      <c r="CV2203" s="113" t="s">
        <v>5266</v>
      </c>
      <c r="CX2203" s="36">
        <v>1</v>
      </c>
    </row>
    <row r="2204" spans="91:102" ht="21" customHeight="1" x14ac:dyDescent="0.25">
      <c r="CM2204" s="102"/>
      <c r="CN2204" s="112" t="s">
        <v>5367</v>
      </c>
      <c r="CO2204" s="112" t="s">
        <v>551</v>
      </c>
      <c r="CP2204" s="112" t="s">
        <v>523</v>
      </c>
      <c r="CQ2204" s="112" t="s">
        <v>5368</v>
      </c>
      <c r="CR2204" s="112" t="s">
        <v>5368</v>
      </c>
      <c r="CS2204" s="112" t="s">
        <v>525</v>
      </c>
      <c r="CT2204" s="112" t="s">
        <v>5294</v>
      </c>
      <c r="CU2204" s="112" t="s">
        <v>527</v>
      </c>
      <c r="CV2204" s="113" t="s">
        <v>528</v>
      </c>
      <c r="CX2204" s="36">
        <v>1</v>
      </c>
    </row>
    <row r="2205" spans="91:102" ht="21" customHeight="1" x14ac:dyDescent="0.25">
      <c r="CM2205" s="102"/>
      <c r="CN2205" s="112" t="s">
        <v>5369</v>
      </c>
      <c r="CO2205" s="112" t="s">
        <v>551</v>
      </c>
      <c r="CP2205" s="112" t="s">
        <v>523</v>
      </c>
      <c r="CQ2205" s="112" t="s">
        <v>5370</v>
      </c>
      <c r="CR2205" s="112" t="s">
        <v>5370</v>
      </c>
      <c r="CS2205" s="112" t="s">
        <v>525</v>
      </c>
      <c r="CT2205" s="112" t="s">
        <v>5294</v>
      </c>
      <c r="CU2205" s="112" t="s">
        <v>527</v>
      </c>
      <c r="CV2205" s="113" t="s">
        <v>528</v>
      </c>
      <c r="CX2205" s="36">
        <v>1</v>
      </c>
    </row>
    <row r="2206" spans="91:102" ht="21" customHeight="1" x14ac:dyDescent="0.25">
      <c r="CM2206" s="102"/>
      <c r="CN2206" s="112" t="s">
        <v>5371</v>
      </c>
      <c r="CO2206" s="112" t="s">
        <v>551</v>
      </c>
      <c r="CP2206" s="112" t="s">
        <v>523</v>
      </c>
      <c r="CQ2206" s="112" t="s">
        <v>5372</v>
      </c>
      <c r="CR2206" s="112" t="s">
        <v>5372</v>
      </c>
      <c r="CS2206" s="112" t="s">
        <v>525</v>
      </c>
      <c r="CT2206" s="112" t="s">
        <v>5294</v>
      </c>
      <c r="CU2206" s="112" t="s">
        <v>527</v>
      </c>
      <c r="CV2206" s="113" t="s">
        <v>528</v>
      </c>
      <c r="CX2206" s="36">
        <v>1</v>
      </c>
    </row>
    <row r="2207" spans="91:102" ht="21" customHeight="1" x14ac:dyDescent="0.25">
      <c r="CM2207" s="102"/>
      <c r="CN2207" s="112" t="s">
        <v>5373</v>
      </c>
      <c r="CO2207" s="112" t="s">
        <v>551</v>
      </c>
      <c r="CP2207" s="112" t="s">
        <v>523</v>
      </c>
      <c r="CQ2207" s="112" t="s">
        <v>5374</v>
      </c>
      <c r="CR2207" s="112" t="s">
        <v>5374</v>
      </c>
      <c r="CS2207" s="112" t="s">
        <v>525</v>
      </c>
      <c r="CT2207" s="112" t="s">
        <v>5294</v>
      </c>
      <c r="CU2207" s="112" t="s">
        <v>527</v>
      </c>
      <c r="CV2207" s="113" t="s">
        <v>528</v>
      </c>
      <c r="CX2207" s="36">
        <v>1</v>
      </c>
    </row>
    <row r="2208" spans="91:102" ht="21" customHeight="1" x14ac:dyDescent="0.25">
      <c r="CM2208" s="102"/>
      <c r="CN2208" s="112" t="s">
        <v>5375</v>
      </c>
      <c r="CO2208" s="112" t="s">
        <v>551</v>
      </c>
      <c r="CP2208" s="112" t="s">
        <v>523</v>
      </c>
      <c r="CQ2208" s="112" t="s">
        <v>5376</v>
      </c>
      <c r="CR2208" s="112" t="s">
        <v>5376</v>
      </c>
      <c r="CS2208" s="112" t="s">
        <v>525</v>
      </c>
      <c r="CT2208" s="112" t="s">
        <v>5294</v>
      </c>
      <c r="CU2208" s="112" t="s">
        <v>527</v>
      </c>
      <c r="CV2208" s="113" t="s">
        <v>528</v>
      </c>
      <c r="CX2208" s="36">
        <v>1</v>
      </c>
    </row>
    <row r="2209" spans="91:102" ht="21" customHeight="1" x14ac:dyDescent="0.25">
      <c r="CM2209" s="102"/>
      <c r="CN2209" s="112" t="s">
        <v>5377</v>
      </c>
      <c r="CO2209" s="112" t="s">
        <v>551</v>
      </c>
      <c r="CP2209" s="112" t="s">
        <v>523</v>
      </c>
      <c r="CQ2209" s="112" t="s">
        <v>5378</v>
      </c>
      <c r="CR2209" s="112" t="s">
        <v>5378</v>
      </c>
      <c r="CS2209" s="112" t="s">
        <v>1168</v>
      </c>
      <c r="CT2209" s="112" t="s">
        <v>1169</v>
      </c>
      <c r="CU2209" s="112" t="s">
        <v>1170</v>
      </c>
      <c r="CV2209" s="113" t="s">
        <v>5266</v>
      </c>
      <c r="CX2209" s="36">
        <v>1</v>
      </c>
    </row>
    <row r="2210" spans="91:102" ht="21" customHeight="1" x14ac:dyDescent="0.25">
      <c r="CM2210" s="102"/>
      <c r="CN2210" s="112" t="s">
        <v>5379</v>
      </c>
      <c r="CO2210" s="112" t="s">
        <v>551</v>
      </c>
      <c r="CP2210" s="112" t="s">
        <v>523</v>
      </c>
      <c r="CQ2210" s="112" t="s">
        <v>5380</v>
      </c>
      <c r="CR2210" s="112" t="s">
        <v>5380</v>
      </c>
      <c r="CS2210" s="112" t="s">
        <v>1168</v>
      </c>
      <c r="CT2210" s="112" t="s">
        <v>1169</v>
      </c>
      <c r="CU2210" s="112" t="s">
        <v>1170</v>
      </c>
      <c r="CV2210" s="113" t="s">
        <v>5266</v>
      </c>
      <c r="CX2210" s="36">
        <v>1</v>
      </c>
    </row>
    <row r="2211" spans="91:102" ht="21" customHeight="1" x14ac:dyDescent="0.25">
      <c r="CM2211" s="102"/>
      <c r="CN2211" s="112" t="s">
        <v>5381</v>
      </c>
      <c r="CO2211" s="112" t="s">
        <v>551</v>
      </c>
      <c r="CP2211" s="112" t="s">
        <v>523</v>
      </c>
      <c r="CQ2211" s="112" t="s">
        <v>5382</v>
      </c>
      <c r="CR2211" s="112" t="s">
        <v>5382</v>
      </c>
      <c r="CS2211" s="112" t="s">
        <v>525</v>
      </c>
      <c r="CT2211" s="112" t="s">
        <v>5294</v>
      </c>
      <c r="CU2211" s="112" t="s">
        <v>527</v>
      </c>
      <c r="CV2211" s="113" t="s">
        <v>528</v>
      </c>
      <c r="CX2211" s="36">
        <v>1</v>
      </c>
    </row>
    <row r="2212" spans="91:102" ht="21" customHeight="1" x14ac:dyDescent="0.25">
      <c r="CM2212" s="102"/>
      <c r="CN2212" s="112" t="s">
        <v>5383</v>
      </c>
      <c r="CO2212" s="112" t="s">
        <v>551</v>
      </c>
      <c r="CP2212" s="112" t="s">
        <v>523</v>
      </c>
      <c r="CQ2212" s="112" t="s">
        <v>5384</v>
      </c>
      <c r="CR2212" s="112" t="s">
        <v>5384</v>
      </c>
      <c r="CS2212" s="112" t="s">
        <v>1168</v>
      </c>
      <c r="CT2212" s="112" t="s">
        <v>1169</v>
      </c>
      <c r="CU2212" s="112" t="s">
        <v>1170</v>
      </c>
      <c r="CV2212" s="113" t="s">
        <v>5266</v>
      </c>
      <c r="CX2212" s="36">
        <v>1</v>
      </c>
    </row>
    <row r="2213" spans="91:102" ht="21" customHeight="1" x14ac:dyDescent="0.25">
      <c r="CM2213" s="102"/>
      <c r="CN2213" s="112" t="s">
        <v>5385</v>
      </c>
      <c r="CO2213" s="112" t="s">
        <v>551</v>
      </c>
      <c r="CP2213" s="112" t="s">
        <v>523</v>
      </c>
      <c r="CQ2213" s="112" t="s">
        <v>5386</v>
      </c>
      <c r="CR2213" s="112" t="s">
        <v>5386</v>
      </c>
      <c r="CS2213" s="112" t="s">
        <v>610</v>
      </c>
      <c r="CT2213" s="112" t="s">
        <v>611</v>
      </c>
      <c r="CU2213" s="112" t="s">
        <v>527</v>
      </c>
      <c r="CV2213" s="113" t="s">
        <v>612</v>
      </c>
      <c r="CX2213" s="36">
        <v>1</v>
      </c>
    </row>
    <row r="2214" spans="91:102" ht="21" customHeight="1" x14ac:dyDescent="0.25">
      <c r="CM2214" s="102"/>
      <c r="CN2214" s="112" t="s">
        <v>5387</v>
      </c>
      <c r="CO2214" s="112" t="s">
        <v>551</v>
      </c>
      <c r="CP2214" s="112" t="s">
        <v>523</v>
      </c>
      <c r="CQ2214" s="112" t="s">
        <v>5388</v>
      </c>
      <c r="CR2214" s="112" t="s">
        <v>5388</v>
      </c>
      <c r="CS2214" s="112" t="s">
        <v>1168</v>
      </c>
      <c r="CT2214" s="112" t="s">
        <v>1169</v>
      </c>
      <c r="CU2214" s="112" t="s">
        <v>1170</v>
      </c>
      <c r="CV2214" s="113" t="s">
        <v>5266</v>
      </c>
      <c r="CX2214" s="36">
        <v>1</v>
      </c>
    </row>
    <row r="2215" spans="91:102" ht="21" customHeight="1" x14ac:dyDescent="0.25">
      <c r="CM2215" s="102"/>
      <c r="CN2215" s="112" t="s">
        <v>5389</v>
      </c>
      <c r="CO2215" s="112" t="s">
        <v>551</v>
      </c>
      <c r="CP2215" s="112" t="s">
        <v>523</v>
      </c>
      <c r="CQ2215" s="112" t="s">
        <v>5390</v>
      </c>
      <c r="CR2215" s="112" t="s">
        <v>5390</v>
      </c>
      <c r="CS2215" s="112" t="s">
        <v>1168</v>
      </c>
      <c r="CT2215" s="112" t="s">
        <v>1169</v>
      </c>
      <c r="CU2215" s="112" t="s">
        <v>1170</v>
      </c>
      <c r="CV2215" s="113" t="s">
        <v>5266</v>
      </c>
      <c r="CX2215" s="36">
        <v>1</v>
      </c>
    </row>
    <row r="2216" spans="91:102" ht="21" customHeight="1" x14ac:dyDescent="0.25">
      <c r="CM2216" s="102"/>
      <c r="CN2216" s="112" t="s">
        <v>5391</v>
      </c>
      <c r="CO2216" s="112" t="s">
        <v>551</v>
      </c>
      <c r="CP2216" s="112" t="s">
        <v>523</v>
      </c>
      <c r="CQ2216" s="112" t="s">
        <v>5392</v>
      </c>
      <c r="CR2216" s="112" t="s">
        <v>5392</v>
      </c>
      <c r="CS2216" s="112" t="s">
        <v>1168</v>
      </c>
      <c r="CT2216" s="112" t="s">
        <v>1169</v>
      </c>
      <c r="CU2216" s="112" t="s">
        <v>1170</v>
      </c>
      <c r="CV2216" s="113" t="s">
        <v>5266</v>
      </c>
      <c r="CX2216" s="36">
        <v>1</v>
      </c>
    </row>
    <row r="2217" spans="91:102" ht="21" customHeight="1" x14ac:dyDescent="0.25">
      <c r="CM2217" s="102"/>
      <c r="CN2217" s="112" t="s">
        <v>5393</v>
      </c>
      <c r="CO2217" s="112" t="s">
        <v>551</v>
      </c>
      <c r="CP2217" s="112" t="s">
        <v>523</v>
      </c>
      <c r="CQ2217" s="112" t="s">
        <v>5394</v>
      </c>
      <c r="CR2217" s="112" t="s">
        <v>5394</v>
      </c>
      <c r="CS2217" s="112" t="s">
        <v>1168</v>
      </c>
      <c r="CT2217" s="112" t="s">
        <v>1169</v>
      </c>
      <c r="CU2217" s="112" t="s">
        <v>1170</v>
      </c>
      <c r="CV2217" s="113" t="s">
        <v>5266</v>
      </c>
      <c r="CX2217" s="36">
        <v>1</v>
      </c>
    </row>
    <row r="2218" spans="91:102" ht="21" customHeight="1" x14ac:dyDescent="0.25">
      <c r="CM2218" s="102"/>
      <c r="CN2218" s="112" t="s">
        <v>5395</v>
      </c>
      <c r="CO2218" s="112" t="s">
        <v>551</v>
      </c>
      <c r="CP2218" s="112" t="s">
        <v>523</v>
      </c>
      <c r="CQ2218" s="112" t="s">
        <v>5396</v>
      </c>
      <c r="CR2218" s="112" t="s">
        <v>5396</v>
      </c>
      <c r="CS2218" s="112" t="s">
        <v>1168</v>
      </c>
      <c r="CT2218" s="112" t="s">
        <v>1169</v>
      </c>
      <c r="CU2218" s="112" t="s">
        <v>1170</v>
      </c>
      <c r="CV2218" s="113" t="s">
        <v>5266</v>
      </c>
      <c r="CX2218" s="36">
        <v>1</v>
      </c>
    </row>
    <row r="2219" spans="91:102" ht="21" customHeight="1" x14ac:dyDescent="0.25">
      <c r="CM2219" s="102"/>
      <c r="CN2219" s="112" t="s">
        <v>5397</v>
      </c>
      <c r="CO2219" s="112" t="s">
        <v>551</v>
      </c>
      <c r="CP2219" s="112" t="s">
        <v>523</v>
      </c>
      <c r="CQ2219" s="112" t="s">
        <v>5398</v>
      </c>
      <c r="CR2219" s="112" t="s">
        <v>5398</v>
      </c>
      <c r="CS2219" s="112" t="s">
        <v>1168</v>
      </c>
      <c r="CT2219" s="112" t="s">
        <v>1169</v>
      </c>
      <c r="CU2219" s="112" t="s">
        <v>1170</v>
      </c>
      <c r="CV2219" s="113" t="s">
        <v>5266</v>
      </c>
      <c r="CX2219" s="36">
        <v>1</v>
      </c>
    </row>
    <row r="2220" spans="91:102" ht="21" customHeight="1" x14ac:dyDescent="0.25">
      <c r="CM2220" s="102"/>
      <c r="CN2220" s="112" t="s">
        <v>5399</v>
      </c>
      <c r="CO2220" s="112" t="s">
        <v>551</v>
      </c>
      <c r="CP2220" s="112" t="s">
        <v>523</v>
      </c>
      <c r="CQ2220" s="112" t="s">
        <v>5400</v>
      </c>
      <c r="CR2220" s="112" t="s">
        <v>5400</v>
      </c>
      <c r="CS2220" s="112" t="s">
        <v>1168</v>
      </c>
      <c r="CT2220" s="112" t="s">
        <v>1169</v>
      </c>
      <c r="CU2220" s="112" t="s">
        <v>1170</v>
      </c>
      <c r="CV2220" s="113" t="s">
        <v>5266</v>
      </c>
      <c r="CX2220" s="36">
        <v>1</v>
      </c>
    </row>
    <row r="2221" spans="91:102" ht="21" customHeight="1" x14ac:dyDescent="0.25">
      <c r="CM2221" s="102"/>
      <c r="CN2221" s="112" t="s">
        <v>5401</v>
      </c>
      <c r="CO2221" s="112" t="s">
        <v>551</v>
      </c>
      <c r="CP2221" s="112" t="s">
        <v>523</v>
      </c>
      <c r="CQ2221" s="112" t="s">
        <v>5402</v>
      </c>
      <c r="CR2221" s="112" t="s">
        <v>5402</v>
      </c>
      <c r="CS2221" s="112" t="s">
        <v>1168</v>
      </c>
      <c r="CT2221" s="112" t="s">
        <v>1169</v>
      </c>
      <c r="CU2221" s="112" t="s">
        <v>1170</v>
      </c>
      <c r="CV2221" s="113" t="s">
        <v>5266</v>
      </c>
      <c r="CX2221" s="36">
        <v>1</v>
      </c>
    </row>
    <row r="2222" spans="91:102" ht="21" customHeight="1" x14ac:dyDescent="0.25">
      <c r="CM2222" s="102"/>
      <c r="CN2222" s="112" t="s">
        <v>5403</v>
      </c>
      <c r="CO2222" s="112" t="s">
        <v>551</v>
      </c>
      <c r="CP2222" s="112" t="s">
        <v>523</v>
      </c>
      <c r="CQ2222" s="112" t="s">
        <v>5404</v>
      </c>
      <c r="CR2222" s="112" t="s">
        <v>5404</v>
      </c>
      <c r="CS2222" s="112" t="s">
        <v>1168</v>
      </c>
      <c r="CT2222" s="112" t="s">
        <v>1169</v>
      </c>
      <c r="CU2222" s="112" t="s">
        <v>1170</v>
      </c>
      <c r="CV2222" s="113" t="s">
        <v>5266</v>
      </c>
      <c r="CX2222" s="36">
        <v>1</v>
      </c>
    </row>
    <row r="2223" spans="91:102" ht="21" customHeight="1" x14ac:dyDescent="0.25">
      <c r="CM2223" s="102"/>
      <c r="CN2223" s="112" t="s">
        <v>5405</v>
      </c>
      <c r="CO2223" s="112" t="s">
        <v>551</v>
      </c>
      <c r="CP2223" s="112" t="s">
        <v>523</v>
      </c>
      <c r="CQ2223" s="112" t="s">
        <v>5406</v>
      </c>
      <c r="CR2223" s="112" t="s">
        <v>5406</v>
      </c>
      <c r="CS2223" s="112" t="s">
        <v>1168</v>
      </c>
      <c r="CT2223" s="112" t="s">
        <v>1169</v>
      </c>
      <c r="CU2223" s="112" t="s">
        <v>1170</v>
      </c>
      <c r="CV2223" s="113" t="s">
        <v>5266</v>
      </c>
      <c r="CX2223" s="36">
        <v>1</v>
      </c>
    </row>
    <row r="2224" spans="91:102" ht="21" customHeight="1" x14ac:dyDescent="0.25">
      <c r="CM2224" s="102"/>
      <c r="CN2224" s="112" t="s">
        <v>5407</v>
      </c>
      <c r="CO2224" s="112" t="s">
        <v>551</v>
      </c>
      <c r="CP2224" s="112" t="s">
        <v>523</v>
      </c>
      <c r="CQ2224" s="112" t="s">
        <v>5408</v>
      </c>
      <c r="CR2224" s="112" t="s">
        <v>5408</v>
      </c>
      <c r="CS2224" s="112" t="s">
        <v>1168</v>
      </c>
      <c r="CT2224" s="112" t="s">
        <v>1169</v>
      </c>
      <c r="CU2224" s="112" t="s">
        <v>1170</v>
      </c>
      <c r="CV2224" s="113" t="s">
        <v>5266</v>
      </c>
      <c r="CX2224" s="36">
        <v>1</v>
      </c>
    </row>
    <row r="2225" spans="91:102" ht="21" customHeight="1" x14ac:dyDescent="0.25">
      <c r="CM2225" s="102"/>
      <c r="CN2225" s="112" t="s">
        <v>5409</v>
      </c>
      <c r="CO2225" s="112" t="s">
        <v>551</v>
      </c>
      <c r="CP2225" s="112" t="s">
        <v>523</v>
      </c>
      <c r="CQ2225" s="112" t="s">
        <v>5410</v>
      </c>
      <c r="CR2225" s="112" t="s">
        <v>5410</v>
      </c>
      <c r="CS2225" s="112" t="s">
        <v>1168</v>
      </c>
      <c r="CT2225" s="112" t="s">
        <v>1169</v>
      </c>
      <c r="CU2225" s="112" t="s">
        <v>1170</v>
      </c>
      <c r="CV2225" s="113" t="s">
        <v>5266</v>
      </c>
      <c r="CX2225" s="36">
        <v>1</v>
      </c>
    </row>
    <row r="2226" spans="91:102" ht="21" customHeight="1" x14ac:dyDescent="0.25">
      <c r="CM2226" s="102"/>
      <c r="CN2226" s="112" t="s">
        <v>5411</v>
      </c>
      <c r="CO2226" s="112" t="s">
        <v>551</v>
      </c>
      <c r="CP2226" s="112" t="s">
        <v>523</v>
      </c>
      <c r="CQ2226" s="112" t="s">
        <v>5412</v>
      </c>
      <c r="CR2226" s="112" t="s">
        <v>5412</v>
      </c>
      <c r="CS2226" s="112" t="s">
        <v>1168</v>
      </c>
      <c r="CT2226" s="112" t="s">
        <v>1169</v>
      </c>
      <c r="CU2226" s="112" t="s">
        <v>1170</v>
      </c>
      <c r="CV2226" s="113" t="s">
        <v>5266</v>
      </c>
      <c r="CX2226" s="36">
        <v>1</v>
      </c>
    </row>
    <row r="2227" spans="91:102" ht="21" customHeight="1" x14ac:dyDescent="0.25">
      <c r="CM2227" s="102"/>
      <c r="CN2227" s="112" t="s">
        <v>5413</v>
      </c>
      <c r="CO2227" s="112" t="s">
        <v>551</v>
      </c>
      <c r="CP2227" s="112" t="s">
        <v>523</v>
      </c>
      <c r="CQ2227" s="112" t="s">
        <v>5414</v>
      </c>
      <c r="CR2227" s="112" t="s">
        <v>5414</v>
      </c>
      <c r="CS2227" s="112" t="s">
        <v>1168</v>
      </c>
      <c r="CT2227" s="112" t="s">
        <v>1169</v>
      </c>
      <c r="CU2227" s="112" t="s">
        <v>1170</v>
      </c>
      <c r="CV2227" s="113" t="s">
        <v>5266</v>
      </c>
      <c r="CX2227" s="36">
        <v>1</v>
      </c>
    </row>
    <row r="2228" spans="91:102" ht="21" customHeight="1" x14ac:dyDescent="0.25">
      <c r="CM2228" s="102"/>
      <c r="CN2228" s="112" t="s">
        <v>5415</v>
      </c>
      <c r="CO2228" s="112" t="s">
        <v>551</v>
      </c>
      <c r="CP2228" s="112" t="s">
        <v>523</v>
      </c>
      <c r="CQ2228" s="112" t="s">
        <v>5416</v>
      </c>
      <c r="CR2228" s="112" t="s">
        <v>5416</v>
      </c>
      <c r="CS2228" s="112" t="s">
        <v>1168</v>
      </c>
      <c r="CT2228" s="112" t="s">
        <v>1169</v>
      </c>
      <c r="CU2228" s="112" t="s">
        <v>1170</v>
      </c>
      <c r="CV2228" s="113" t="s">
        <v>5266</v>
      </c>
      <c r="CX2228" s="36">
        <v>1</v>
      </c>
    </row>
    <row r="2229" spans="91:102" ht="21" customHeight="1" x14ac:dyDescent="0.25">
      <c r="CM2229" s="102"/>
      <c r="CN2229" s="112" t="s">
        <v>5417</v>
      </c>
      <c r="CO2229" s="112" t="s">
        <v>551</v>
      </c>
      <c r="CP2229" s="112" t="s">
        <v>523</v>
      </c>
      <c r="CQ2229" s="112" t="s">
        <v>5418</v>
      </c>
      <c r="CR2229" s="112" t="s">
        <v>5418</v>
      </c>
      <c r="CS2229" s="112" t="s">
        <v>1168</v>
      </c>
      <c r="CT2229" s="112" t="s">
        <v>1169</v>
      </c>
      <c r="CU2229" s="112" t="s">
        <v>1170</v>
      </c>
      <c r="CV2229" s="113" t="s">
        <v>5266</v>
      </c>
      <c r="CX2229" s="36">
        <v>1</v>
      </c>
    </row>
    <row r="2230" spans="91:102" ht="21" customHeight="1" x14ac:dyDescent="0.25">
      <c r="CM2230" s="102"/>
      <c r="CN2230" s="112" t="s">
        <v>5419</v>
      </c>
      <c r="CO2230" s="112" t="s">
        <v>551</v>
      </c>
      <c r="CP2230" s="112" t="s">
        <v>523</v>
      </c>
      <c r="CQ2230" s="112" t="s">
        <v>5420</v>
      </c>
      <c r="CR2230" s="112" t="s">
        <v>5420</v>
      </c>
      <c r="CS2230" s="112" t="s">
        <v>1168</v>
      </c>
      <c r="CT2230" s="112" t="s">
        <v>1169</v>
      </c>
      <c r="CU2230" s="112" t="s">
        <v>1170</v>
      </c>
      <c r="CV2230" s="113" t="s">
        <v>5266</v>
      </c>
      <c r="CX2230" s="36">
        <v>1</v>
      </c>
    </row>
    <row r="2231" spans="91:102" ht="21" customHeight="1" x14ac:dyDescent="0.25">
      <c r="CM2231" s="102"/>
      <c r="CN2231" s="112" t="s">
        <v>5421</v>
      </c>
      <c r="CO2231" s="112" t="s">
        <v>551</v>
      </c>
      <c r="CP2231" s="112" t="s">
        <v>523</v>
      </c>
      <c r="CQ2231" s="112" t="s">
        <v>5422</v>
      </c>
      <c r="CR2231" s="112" t="s">
        <v>5422</v>
      </c>
      <c r="CS2231" s="112" t="s">
        <v>1168</v>
      </c>
      <c r="CT2231" s="112" t="s">
        <v>1169</v>
      </c>
      <c r="CU2231" s="112" t="s">
        <v>1170</v>
      </c>
      <c r="CV2231" s="113" t="s">
        <v>5266</v>
      </c>
      <c r="CX2231" s="36">
        <v>1</v>
      </c>
    </row>
    <row r="2232" spans="91:102" ht="21" customHeight="1" x14ac:dyDescent="0.25">
      <c r="CM2232" s="102"/>
      <c r="CN2232" s="112" t="s">
        <v>5423</v>
      </c>
      <c r="CO2232" s="112" t="s">
        <v>551</v>
      </c>
      <c r="CP2232" s="112" t="s">
        <v>523</v>
      </c>
      <c r="CQ2232" s="112" t="s">
        <v>5424</v>
      </c>
      <c r="CR2232" s="112" t="s">
        <v>5424</v>
      </c>
      <c r="CS2232" s="112" t="s">
        <v>1168</v>
      </c>
      <c r="CT2232" s="112" t="s">
        <v>1169</v>
      </c>
      <c r="CU2232" s="112" t="s">
        <v>1170</v>
      </c>
      <c r="CV2232" s="113" t="s">
        <v>5266</v>
      </c>
      <c r="CX2232" s="36">
        <v>1</v>
      </c>
    </row>
    <row r="2233" spans="91:102" ht="21" customHeight="1" x14ac:dyDescent="0.25">
      <c r="CM2233" s="102"/>
      <c r="CN2233" s="112" t="s">
        <v>5425</v>
      </c>
      <c r="CO2233" s="112" t="s">
        <v>551</v>
      </c>
      <c r="CP2233" s="112" t="s">
        <v>523</v>
      </c>
      <c r="CQ2233" s="112" t="s">
        <v>5426</v>
      </c>
      <c r="CR2233" s="112" t="s">
        <v>5426</v>
      </c>
      <c r="CS2233" s="112" t="s">
        <v>1168</v>
      </c>
      <c r="CT2233" s="112" t="s">
        <v>1169</v>
      </c>
      <c r="CU2233" s="112" t="s">
        <v>1170</v>
      </c>
      <c r="CV2233" s="113" t="s">
        <v>5266</v>
      </c>
      <c r="CX2233" s="36">
        <v>1</v>
      </c>
    </row>
    <row r="2234" spans="91:102" ht="21" customHeight="1" x14ac:dyDescent="0.25">
      <c r="CM2234" s="102"/>
      <c r="CN2234" s="112" t="s">
        <v>5427</v>
      </c>
      <c r="CO2234" s="112" t="s">
        <v>551</v>
      </c>
      <c r="CP2234" s="112" t="s">
        <v>523</v>
      </c>
      <c r="CQ2234" s="112" t="s">
        <v>5428</v>
      </c>
      <c r="CR2234" s="112" t="s">
        <v>5428</v>
      </c>
      <c r="CS2234" s="112" t="s">
        <v>525</v>
      </c>
      <c r="CT2234" s="112" t="s">
        <v>5294</v>
      </c>
      <c r="CU2234" s="112" t="s">
        <v>527</v>
      </c>
      <c r="CV2234" s="113" t="s">
        <v>528</v>
      </c>
      <c r="CX2234" s="36">
        <v>1</v>
      </c>
    </row>
    <row r="2235" spans="91:102" ht="21" customHeight="1" x14ac:dyDescent="0.25">
      <c r="CM2235" s="102"/>
      <c r="CN2235" s="112" t="s">
        <v>5429</v>
      </c>
      <c r="CO2235" s="112" t="s">
        <v>551</v>
      </c>
      <c r="CP2235" s="112" t="s">
        <v>523</v>
      </c>
      <c r="CQ2235" s="112" t="s">
        <v>5430</v>
      </c>
      <c r="CR2235" s="112" t="s">
        <v>5430</v>
      </c>
      <c r="CS2235" s="112" t="s">
        <v>525</v>
      </c>
      <c r="CT2235" s="112" t="s">
        <v>5294</v>
      </c>
      <c r="CU2235" s="112" t="s">
        <v>527</v>
      </c>
      <c r="CV2235" s="113" t="s">
        <v>528</v>
      </c>
      <c r="CX2235" s="36">
        <v>1</v>
      </c>
    </row>
    <row r="2236" spans="91:102" ht="21" customHeight="1" x14ac:dyDescent="0.25">
      <c r="CM2236" s="102"/>
      <c r="CN2236" s="112" t="s">
        <v>5431</v>
      </c>
      <c r="CO2236" s="112" t="s">
        <v>551</v>
      </c>
      <c r="CP2236" s="112" t="s">
        <v>523</v>
      </c>
      <c r="CQ2236" s="112" t="s">
        <v>5432</v>
      </c>
      <c r="CR2236" s="112" t="s">
        <v>5432</v>
      </c>
      <c r="CS2236" s="112" t="s">
        <v>525</v>
      </c>
      <c r="CT2236" s="112" t="s">
        <v>5294</v>
      </c>
      <c r="CU2236" s="112" t="s">
        <v>527</v>
      </c>
      <c r="CV2236" s="113" t="s">
        <v>528</v>
      </c>
      <c r="CX2236" s="36">
        <v>1</v>
      </c>
    </row>
    <row r="2237" spans="91:102" ht="21" customHeight="1" x14ac:dyDescent="0.25">
      <c r="CM2237" s="102"/>
      <c r="CN2237" s="112" t="s">
        <v>5433</v>
      </c>
      <c r="CO2237" s="112" t="s">
        <v>551</v>
      </c>
      <c r="CP2237" s="112" t="s">
        <v>523</v>
      </c>
      <c r="CQ2237" s="112" t="s">
        <v>5434</v>
      </c>
      <c r="CR2237" s="112" t="s">
        <v>5434</v>
      </c>
      <c r="CS2237" s="112" t="s">
        <v>525</v>
      </c>
      <c r="CT2237" s="112" t="s">
        <v>5294</v>
      </c>
      <c r="CU2237" s="112" t="s">
        <v>527</v>
      </c>
      <c r="CV2237" s="113" t="s">
        <v>528</v>
      </c>
      <c r="CX2237" s="36">
        <v>1</v>
      </c>
    </row>
    <row r="2238" spans="91:102" ht="21" customHeight="1" x14ac:dyDescent="0.25">
      <c r="CM2238" s="102"/>
      <c r="CN2238" s="112" t="s">
        <v>5435</v>
      </c>
      <c r="CO2238" s="112" t="s">
        <v>551</v>
      </c>
      <c r="CP2238" s="112" t="s">
        <v>523</v>
      </c>
      <c r="CQ2238" s="112" t="s">
        <v>5436</v>
      </c>
      <c r="CR2238" s="112" t="s">
        <v>5437</v>
      </c>
      <c r="CS2238" s="112" t="s">
        <v>525</v>
      </c>
      <c r="CT2238" s="112" t="s">
        <v>5294</v>
      </c>
      <c r="CU2238" s="112" t="s">
        <v>527</v>
      </c>
      <c r="CV2238" s="113" t="s">
        <v>528</v>
      </c>
      <c r="CX2238" s="36">
        <v>1</v>
      </c>
    </row>
    <row r="2239" spans="91:102" ht="21" customHeight="1" x14ac:dyDescent="0.25">
      <c r="CM2239" s="102"/>
      <c r="CN2239" s="112" t="s">
        <v>5438</v>
      </c>
      <c r="CO2239" s="112" t="s">
        <v>551</v>
      </c>
      <c r="CP2239" s="112" t="s">
        <v>523</v>
      </c>
      <c r="CQ2239" s="112" t="s">
        <v>5439</v>
      </c>
      <c r="CR2239" s="112" t="s">
        <v>5439</v>
      </c>
      <c r="CS2239" s="112" t="s">
        <v>1168</v>
      </c>
      <c r="CT2239" s="112" t="s">
        <v>1169</v>
      </c>
      <c r="CU2239" s="112" t="s">
        <v>1170</v>
      </c>
      <c r="CV2239" s="113" t="s">
        <v>5266</v>
      </c>
      <c r="CX2239" s="36">
        <v>1</v>
      </c>
    </row>
    <row r="2240" spans="91:102" ht="21" customHeight="1" x14ac:dyDescent="0.25">
      <c r="CM2240" s="102"/>
      <c r="CN2240" s="112" t="s">
        <v>5440</v>
      </c>
      <c r="CO2240" s="112" t="s">
        <v>551</v>
      </c>
      <c r="CP2240" s="112" t="s">
        <v>523</v>
      </c>
      <c r="CQ2240" s="112" t="s">
        <v>5441</v>
      </c>
      <c r="CR2240" s="112" t="s">
        <v>5441</v>
      </c>
      <c r="CS2240" s="112" t="s">
        <v>1168</v>
      </c>
      <c r="CT2240" s="112" t="s">
        <v>1169</v>
      </c>
      <c r="CU2240" s="112" t="s">
        <v>1170</v>
      </c>
      <c r="CV2240" s="113" t="s">
        <v>5266</v>
      </c>
      <c r="CX2240" s="36">
        <v>1</v>
      </c>
    </row>
    <row r="2241" spans="91:102" ht="21" customHeight="1" x14ac:dyDescent="0.25">
      <c r="CM2241" s="102"/>
      <c r="CN2241" s="112" t="s">
        <v>5442</v>
      </c>
      <c r="CO2241" s="112" t="s">
        <v>551</v>
      </c>
      <c r="CP2241" s="112" t="s">
        <v>523</v>
      </c>
      <c r="CQ2241" s="112" t="s">
        <v>5443</v>
      </c>
      <c r="CR2241" s="112" t="s">
        <v>5443</v>
      </c>
      <c r="CS2241" s="112" t="s">
        <v>1168</v>
      </c>
      <c r="CT2241" s="112" t="s">
        <v>1169</v>
      </c>
      <c r="CU2241" s="112" t="s">
        <v>1170</v>
      </c>
      <c r="CV2241" s="113" t="s">
        <v>5266</v>
      </c>
      <c r="CX2241" s="36">
        <v>1</v>
      </c>
    </row>
    <row r="2242" spans="91:102" ht="21" customHeight="1" x14ac:dyDescent="0.25">
      <c r="CM2242" s="102"/>
      <c r="CN2242" s="112" t="s">
        <v>5444</v>
      </c>
      <c r="CO2242" s="112" t="s">
        <v>551</v>
      </c>
      <c r="CP2242" s="112" t="s">
        <v>523</v>
      </c>
      <c r="CQ2242" s="112" t="s">
        <v>5445</v>
      </c>
      <c r="CR2242" s="112" t="s">
        <v>5445</v>
      </c>
      <c r="CS2242" s="112" t="s">
        <v>525</v>
      </c>
      <c r="CT2242" s="112" t="s">
        <v>5294</v>
      </c>
      <c r="CU2242" s="112" t="s">
        <v>527</v>
      </c>
      <c r="CV2242" s="113" t="s">
        <v>528</v>
      </c>
      <c r="CX2242" s="36">
        <v>1</v>
      </c>
    </row>
    <row r="2243" spans="91:102" ht="21" customHeight="1" x14ac:dyDescent="0.25">
      <c r="CM2243" s="102"/>
      <c r="CN2243" s="112" t="s">
        <v>5446</v>
      </c>
      <c r="CO2243" s="112" t="s">
        <v>551</v>
      </c>
      <c r="CP2243" s="112" t="s">
        <v>523</v>
      </c>
      <c r="CQ2243" s="112" t="s">
        <v>5447</v>
      </c>
      <c r="CR2243" s="112" t="s">
        <v>5447</v>
      </c>
      <c r="CS2243" s="112" t="s">
        <v>525</v>
      </c>
      <c r="CT2243" s="112" t="s">
        <v>5294</v>
      </c>
      <c r="CU2243" s="112" t="s">
        <v>527</v>
      </c>
      <c r="CV2243" s="113" t="s">
        <v>528</v>
      </c>
      <c r="CX2243" s="36">
        <v>1</v>
      </c>
    </row>
    <row r="2244" spans="91:102" ht="21" customHeight="1" x14ac:dyDescent="0.25">
      <c r="CM2244" s="102"/>
      <c r="CN2244" s="112" t="s">
        <v>5448</v>
      </c>
      <c r="CO2244" s="112" t="s">
        <v>551</v>
      </c>
      <c r="CP2244" s="112" t="s">
        <v>523</v>
      </c>
      <c r="CQ2244" s="112" t="s">
        <v>5449</v>
      </c>
      <c r="CR2244" s="112" t="s">
        <v>5449</v>
      </c>
      <c r="CS2244" s="112" t="s">
        <v>1168</v>
      </c>
      <c r="CT2244" s="112" t="s">
        <v>1169</v>
      </c>
      <c r="CU2244" s="112" t="s">
        <v>1170</v>
      </c>
      <c r="CV2244" s="113" t="s">
        <v>5266</v>
      </c>
      <c r="CX2244" s="36">
        <v>1</v>
      </c>
    </row>
    <row r="2245" spans="91:102" ht="21" customHeight="1" x14ac:dyDescent="0.25">
      <c r="CM2245" s="102"/>
      <c r="CN2245" s="112" t="s">
        <v>5450</v>
      </c>
      <c r="CO2245" s="112" t="s">
        <v>551</v>
      </c>
      <c r="CP2245" s="112" t="s">
        <v>523</v>
      </c>
      <c r="CQ2245" s="112" t="s">
        <v>5451</v>
      </c>
      <c r="CR2245" s="112" t="s">
        <v>5451</v>
      </c>
      <c r="CS2245" s="112" t="s">
        <v>1168</v>
      </c>
      <c r="CT2245" s="112" t="s">
        <v>1169</v>
      </c>
      <c r="CU2245" s="112" t="s">
        <v>1170</v>
      </c>
      <c r="CV2245" s="113" t="s">
        <v>5266</v>
      </c>
      <c r="CX2245" s="36">
        <v>1</v>
      </c>
    </row>
    <row r="2246" spans="91:102" ht="21" customHeight="1" x14ac:dyDescent="0.25">
      <c r="CM2246" s="102"/>
      <c r="CN2246" s="112" t="s">
        <v>5452</v>
      </c>
      <c r="CO2246" s="112" t="s">
        <v>551</v>
      </c>
      <c r="CP2246" s="112" t="s">
        <v>523</v>
      </c>
      <c r="CQ2246" s="112" t="s">
        <v>5453</v>
      </c>
      <c r="CR2246" s="112" t="s">
        <v>5453</v>
      </c>
      <c r="CS2246" s="112" t="s">
        <v>1168</v>
      </c>
      <c r="CT2246" s="112" t="s">
        <v>1169</v>
      </c>
      <c r="CU2246" s="112" t="s">
        <v>1170</v>
      </c>
      <c r="CV2246" s="113" t="s">
        <v>5266</v>
      </c>
      <c r="CX2246" s="36">
        <v>1</v>
      </c>
    </row>
    <row r="2247" spans="91:102" ht="21" customHeight="1" x14ac:dyDescent="0.25">
      <c r="CM2247" s="102"/>
      <c r="CN2247" s="112" t="s">
        <v>5454</v>
      </c>
      <c r="CO2247" s="112" t="s">
        <v>551</v>
      </c>
      <c r="CP2247" s="112" t="s">
        <v>523</v>
      </c>
      <c r="CQ2247" s="112" t="s">
        <v>5455</v>
      </c>
      <c r="CR2247" s="112" t="s">
        <v>5455</v>
      </c>
      <c r="CS2247" s="112" t="s">
        <v>1168</v>
      </c>
      <c r="CT2247" s="112" t="s">
        <v>1169</v>
      </c>
      <c r="CU2247" s="112" t="s">
        <v>1170</v>
      </c>
      <c r="CV2247" s="113" t="s">
        <v>5266</v>
      </c>
      <c r="CX2247" s="36">
        <v>1</v>
      </c>
    </row>
    <row r="2248" spans="91:102" ht="21" customHeight="1" x14ac:dyDescent="0.25">
      <c r="CM2248" s="102"/>
      <c r="CN2248" s="112" t="s">
        <v>5456</v>
      </c>
      <c r="CO2248" s="112" t="s">
        <v>551</v>
      </c>
      <c r="CP2248" s="112" t="s">
        <v>523</v>
      </c>
      <c r="CQ2248" s="112" t="s">
        <v>5457</v>
      </c>
      <c r="CR2248" s="112" t="s">
        <v>5457</v>
      </c>
      <c r="CS2248" s="112" t="s">
        <v>1168</v>
      </c>
      <c r="CT2248" s="112" t="s">
        <v>1169</v>
      </c>
      <c r="CU2248" s="112" t="s">
        <v>1170</v>
      </c>
      <c r="CV2248" s="113" t="s">
        <v>5266</v>
      </c>
      <c r="CX2248" s="36">
        <v>1</v>
      </c>
    </row>
    <row r="2249" spans="91:102" ht="21" customHeight="1" x14ac:dyDescent="0.25">
      <c r="CM2249" s="102"/>
      <c r="CN2249" s="112" t="s">
        <v>5458</v>
      </c>
      <c r="CO2249" s="112" t="s">
        <v>551</v>
      </c>
      <c r="CP2249" s="112" t="s">
        <v>523</v>
      </c>
      <c r="CQ2249" s="112" t="s">
        <v>5459</v>
      </c>
      <c r="CR2249" s="112" t="s">
        <v>5460</v>
      </c>
      <c r="CS2249" s="112" t="s">
        <v>525</v>
      </c>
      <c r="CT2249" s="112" t="s">
        <v>5294</v>
      </c>
      <c r="CU2249" s="112" t="s">
        <v>527</v>
      </c>
      <c r="CV2249" s="113" t="s">
        <v>528</v>
      </c>
      <c r="CX2249" s="36">
        <v>1</v>
      </c>
    </row>
    <row r="2250" spans="91:102" ht="21" customHeight="1" x14ac:dyDescent="0.25">
      <c r="CM2250" s="102"/>
      <c r="CN2250" s="112" t="s">
        <v>5461</v>
      </c>
      <c r="CO2250" s="112" t="s">
        <v>551</v>
      </c>
      <c r="CP2250" s="112" t="s">
        <v>523</v>
      </c>
      <c r="CQ2250" s="112" t="s">
        <v>5462</v>
      </c>
      <c r="CR2250" s="112" t="s">
        <v>5462</v>
      </c>
      <c r="CS2250" s="112" t="s">
        <v>1168</v>
      </c>
      <c r="CT2250" s="112" t="s">
        <v>1169</v>
      </c>
      <c r="CU2250" s="112" t="s">
        <v>1170</v>
      </c>
      <c r="CV2250" s="113" t="s">
        <v>5266</v>
      </c>
      <c r="CX2250" s="36">
        <v>1</v>
      </c>
    </row>
    <row r="2251" spans="91:102" ht="21" customHeight="1" x14ac:dyDescent="0.25">
      <c r="CM2251" s="102"/>
      <c r="CN2251" s="112" t="s">
        <v>5463</v>
      </c>
      <c r="CO2251" s="112" t="s">
        <v>551</v>
      </c>
      <c r="CP2251" s="112" t="s">
        <v>523</v>
      </c>
      <c r="CQ2251" s="112" t="s">
        <v>5464</v>
      </c>
      <c r="CR2251" s="112" t="s">
        <v>5464</v>
      </c>
      <c r="CS2251" s="112" t="s">
        <v>1168</v>
      </c>
      <c r="CT2251" s="112" t="s">
        <v>1169</v>
      </c>
      <c r="CU2251" s="112" t="s">
        <v>1170</v>
      </c>
      <c r="CV2251" s="113" t="s">
        <v>5266</v>
      </c>
      <c r="CX2251" s="36">
        <v>1</v>
      </c>
    </row>
    <row r="2252" spans="91:102" ht="21" customHeight="1" x14ac:dyDescent="0.25">
      <c r="CM2252" s="102"/>
      <c r="CN2252" s="112" t="s">
        <v>5465</v>
      </c>
      <c r="CO2252" s="112" t="s">
        <v>551</v>
      </c>
      <c r="CP2252" s="112" t="s">
        <v>523</v>
      </c>
      <c r="CQ2252" s="112" t="s">
        <v>5466</v>
      </c>
      <c r="CR2252" s="112" t="s">
        <v>5466</v>
      </c>
      <c r="CS2252" s="112" t="s">
        <v>1168</v>
      </c>
      <c r="CT2252" s="112" t="s">
        <v>1169</v>
      </c>
      <c r="CU2252" s="112" t="s">
        <v>1170</v>
      </c>
      <c r="CV2252" s="113" t="s">
        <v>5266</v>
      </c>
      <c r="CX2252" s="36">
        <v>1</v>
      </c>
    </row>
    <row r="2253" spans="91:102" ht="21" customHeight="1" x14ac:dyDescent="0.25">
      <c r="CM2253" s="102"/>
      <c r="CN2253" s="112" t="s">
        <v>5467</v>
      </c>
      <c r="CO2253" s="112" t="s">
        <v>551</v>
      </c>
      <c r="CP2253" s="112" t="s">
        <v>523</v>
      </c>
      <c r="CQ2253" s="112" t="s">
        <v>5468</v>
      </c>
      <c r="CR2253" s="112" t="s">
        <v>5468</v>
      </c>
      <c r="CS2253" s="112" t="s">
        <v>1168</v>
      </c>
      <c r="CT2253" s="112" t="s">
        <v>1169</v>
      </c>
      <c r="CU2253" s="112" t="s">
        <v>1170</v>
      </c>
      <c r="CV2253" s="113" t="s">
        <v>5266</v>
      </c>
      <c r="CX2253" s="36">
        <v>1</v>
      </c>
    </row>
    <row r="2254" spans="91:102" ht="21" customHeight="1" x14ac:dyDescent="0.25">
      <c r="CM2254" s="102"/>
      <c r="CN2254" s="112" t="s">
        <v>5469</v>
      </c>
      <c r="CO2254" s="112" t="s">
        <v>551</v>
      </c>
      <c r="CP2254" s="112" t="s">
        <v>523</v>
      </c>
      <c r="CQ2254" s="112" t="s">
        <v>5470</v>
      </c>
      <c r="CR2254" s="112" t="s">
        <v>5470</v>
      </c>
      <c r="CS2254" s="112" t="s">
        <v>1168</v>
      </c>
      <c r="CT2254" s="112" t="s">
        <v>1169</v>
      </c>
      <c r="CU2254" s="112" t="s">
        <v>1170</v>
      </c>
      <c r="CV2254" s="113" t="s">
        <v>5266</v>
      </c>
      <c r="CX2254" s="36">
        <v>1</v>
      </c>
    </row>
    <row r="2255" spans="91:102" ht="21" customHeight="1" x14ac:dyDescent="0.25">
      <c r="CM2255" s="102"/>
      <c r="CN2255" s="112" t="s">
        <v>5471</v>
      </c>
      <c r="CO2255" s="112" t="s">
        <v>551</v>
      </c>
      <c r="CP2255" s="112" t="s">
        <v>523</v>
      </c>
      <c r="CQ2255" s="112" t="s">
        <v>5472</v>
      </c>
      <c r="CR2255" s="112" t="s">
        <v>5472</v>
      </c>
      <c r="CS2255" s="112" t="s">
        <v>1168</v>
      </c>
      <c r="CT2255" s="112" t="s">
        <v>1169</v>
      </c>
      <c r="CU2255" s="112" t="s">
        <v>1170</v>
      </c>
      <c r="CV2255" s="113" t="s">
        <v>5266</v>
      </c>
      <c r="CX2255" s="36">
        <v>1</v>
      </c>
    </row>
    <row r="2256" spans="91:102" ht="21" customHeight="1" x14ac:dyDescent="0.25">
      <c r="CM2256" s="102"/>
      <c r="CN2256" s="112" t="s">
        <v>5473</v>
      </c>
      <c r="CO2256" s="112" t="s">
        <v>551</v>
      </c>
      <c r="CP2256" s="112" t="s">
        <v>523</v>
      </c>
      <c r="CQ2256" s="112" t="s">
        <v>5474</v>
      </c>
      <c r="CR2256" s="112" t="s">
        <v>5474</v>
      </c>
      <c r="CS2256" s="112" t="s">
        <v>1168</v>
      </c>
      <c r="CT2256" s="112" t="s">
        <v>1169</v>
      </c>
      <c r="CU2256" s="112" t="s">
        <v>1170</v>
      </c>
      <c r="CV2256" s="113" t="s">
        <v>5266</v>
      </c>
      <c r="CX2256" s="36">
        <v>1</v>
      </c>
    </row>
    <row r="2257" spans="91:102" ht="21" customHeight="1" x14ac:dyDescent="0.25">
      <c r="CM2257" s="102"/>
      <c r="CN2257" s="112" t="s">
        <v>5475</v>
      </c>
      <c r="CO2257" s="112" t="s">
        <v>551</v>
      </c>
      <c r="CP2257" s="112" t="s">
        <v>523</v>
      </c>
      <c r="CQ2257" s="112" t="s">
        <v>5476</v>
      </c>
      <c r="CR2257" s="112" t="s">
        <v>5476</v>
      </c>
      <c r="CS2257" s="112" t="s">
        <v>1168</v>
      </c>
      <c r="CT2257" s="112" t="s">
        <v>1169</v>
      </c>
      <c r="CU2257" s="112" t="s">
        <v>1170</v>
      </c>
      <c r="CV2257" s="113" t="s">
        <v>5266</v>
      </c>
      <c r="CX2257" s="36">
        <v>1</v>
      </c>
    </row>
    <row r="2258" spans="91:102" ht="21" customHeight="1" x14ac:dyDescent="0.25">
      <c r="CM2258" s="102"/>
      <c r="CN2258" s="112" t="s">
        <v>5477</v>
      </c>
      <c r="CO2258" s="112" t="s">
        <v>551</v>
      </c>
      <c r="CP2258" s="112" t="s">
        <v>523</v>
      </c>
      <c r="CQ2258" s="112" t="s">
        <v>5478</v>
      </c>
      <c r="CR2258" s="112" t="s">
        <v>5478</v>
      </c>
      <c r="CS2258" s="112" t="s">
        <v>1168</v>
      </c>
      <c r="CT2258" s="112" t="s">
        <v>1169</v>
      </c>
      <c r="CU2258" s="112" t="s">
        <v>1170</v>
      </c>
      <c r="CV2258" s="113" t="s">
        <v>5266</v>
      </c>
      <c r="CX2258" s="36">
        <v>1</v>
      </c>
    </row>
    <row r="2259" spans="91:102" ht="21" customHeight="1" x14ac:dyDescent="0.25">
      <c r="CM2259" s="102"/>
      <c r="CN2259" s="112" t="s">
        <v>5479</v>
      </c>
      <c r="CO2259" s="112" t="s">
        <v>551</v>
      </c>
      <c r="CP2259" s="112" t="s">
        <v>523</v>
      </c>
      <c r="CQ2259" s="112" t="s">
        <v>5480</v>
      </c>
      <c r="CR2259" s="112" t="s">
        <v>5480</v>
      </c>
      <c r="CS2259" s="112" t="s">
        <v>1168</v>
      </c>
      <c r="CT2259" s="112" t="s">
        <v>1169</v>
      </c>
      <c r="CU2259" s="112" t="s">
        <v>1170</v>
      </c>
      <c r="CV2259" s="113" t="s">
        <v>5266</v>
      </c>
      <c r="CX2259" s="36">
        <v>1</v>
      </c>
    </row>
    <row r="2260" spans="91:102" ht="21" customHeight="1" x14ac:dyDescent="0.25">
      <c r="CM2260" s="102"/>
      <c r="CN2260" s="112" t="s">
        <v>5481</v>
      </c>
      <c r="CO2260" s="112" t="s">
        <v>551</v>
      </c>
      <c r="CP2260" s="112" t="s">
        <v>523</v>
      </c>
      <c r="CQ2260" s="112" t="s">
        <v>5482</v>
      </c>
      <c r="CR2260" s="112" t="s">
        <v>5482</v>
      </c>
      <c r="CS2260" s="112" t="s">
        <v>1168</v>
      </c>
      <c r="CT2260" s="112" t="s">
        <v>1169</v>
      </c>
      <c r="CU2260" s="112" t="s">
        <v>1170</v>
      </c>
      <c r="CV2260" s="113" t="s">
        <v>5266</v>
      </c>
      <c r="CX2260" s="36">
        <v>1</v>
      </c>
    </row>
    <row r="2261" spans="91:102" ht="21" customHeight="1" x14ac:dyDescent="0.25">
      <c r="CM2261" s="102"/>
      <c r="CN2261" s="112" t="s">
        <v>5483</v>
      </c>
      <c r="CO2261" s="112" t="s">
        <v>551</v>
      </c>
      <c r="CP2261" s="112" t="s">
        <v>523</v>
      </c>
      <c r="CQ2261" s="112" t="s">
        <v>5484</v>
      </c>
      <c r="CR2261" s="112" t="s">
        <v>5485</v>
      </c>
      <c r="CS2261" s="112" t="s">
        <v>525</v>
      </c>
      <c r="CT2261" s="112" t="s">
        <v>5294</v>
      </c>
      <c r="CU2261" s="112" t="s">
        <v>527</v>
      </c>
      <c r="CV2261" s="113" t="s">
        <v>528</v>
      </c>
      <c r="CX2261" s="36">
        <v>1</v>
      </c>
    </row>
    <row r="2262" spans="91:102" ht="21" customHeight="1" x14ac:dyDescent="0.25">
      <c r="CM2262" s="102"/>
      <c r="CN2262" s="112" t="s">
        <v>5486</v>
      </c>
      <c r="CO2262" s="112" t="s">
        <v>551</v>
      </c>
      <c r="CP2262" s="112" t="s">
        <v>523</v>
      </c>
      <c r="CQ2262" s="112" t="s">
        <v>5487</v>
      </c>
      <c r="CR2262" s="112" t="s">
        <v>5487</v>
      </c>
      <c r="CS2262" s="112" t="s">
        <v>1168</v>
      </c>
      <c r="CT2262" s="112" t="s">
        <v>1169</v>
      </c>
      <c r="CU2262" s="112" t="s">
        <v>1170</v>
      </c>
      <c r="CV2262" s="113" t="s">
        <v>5266</v>
      </c>
      <c r="CX2262" s="36">
        <v>1</v>
      </c>
    </row>
    <row r="2263" spans="91:102" ht="21" customHeight="1" x14ac:dyDescent="0.25">
      <c r="CM2263" s="102"/>
      <c r="CN2263" s="112" t="s">
        <v>5488</v>
      </c>
      <c r="CO2263" s="112" t="s">
        <v>551</v>
      </c>
      <c r="CP2263" s="112" t="s">
        <v>523</v>
      </c>
      <c r="CQ2263" s="112" t="s">
        <v>5489</v>
      </c>
      <c r="CR2263" s="112" t="s">
        <v>5489</v>
      </c>
      <c r="CS2263" s="112" t="s">
        <v>1168</v>
      </c>
      <c r="CT2263" s="112" t="s">
        <v>1169</v>
      </c>
      <c r="CU2263" s="112" t="s">
        <v>1170</v>
      </c>
      <c r="CV2263" s="113" t="s">
        <v>5266</v>
      </c>
      <c r="CX2263" s="36">
        <v>1</v>
      </c>
    </row>
    <row r="2264" spans="91:102" ht="21" customHeight="1" x14ac:dyDescent="0.25">
      <c r="CM2264" s="102"/>
      <c r="CN2264" s="112" t="s">
        <v>5490</v>
      </c>
      <c r="CO2264" s="112" t="s">
        <v>551</v>
      </c>
      <c r="CP2264" s="112" t="s">
        <v>523</v>
      </c>
      <c r="CQ2264" s="112" t="s">
        <v>5491</v>
      </c>
      <c r="CR2264" s="112" t="s">
        <v>5491</v>
      </c>
      <c r="CS2264" s="112" t="s">
        <v>525</v>
      </c>
      <c r="CT2264" s="112" t="s">
        <v>5294</v>
      </c>
      <c r="CU2264" s="112" t="s">
        <v>527</v>
      </c>
      <c r="CV2264" s="113" t="s">
        <v>528</v>
      </c>
      <c r="CX2264" s="36">
        <v>1</v>
      </c>
    </row>
    <row r="2265" spans="91:102" ht="21" customHeight="1" x14ac:dyDescent="0.25">
      <c r="CM2265" s="102"/>
      <c r="CN2265" s="112" t="s">
        <v>5492</v>
      </c>
      <c r="CO2265" s="112" t="s">
        <v>551</v>
      </c>
      <c r="CP2265" s="112" t="s">
        <v>523</v>
      </c>
      <c r="CQ2265" s="112" t="s">
        <v>5493</v>
      </c>
      <c r="CR2265" s="112" t="s">
        <v>5493</v>
      </c>
      <c r="CS2265" s="112" t="s">
        <v>1168</v>
      </c>
      <c r="CT2265" s="112" t="s">
        <v>1169</v>
      </c>
      <c r="CU2265" s="112" t="s">
        <v>1170</v>
      </c>
      <c r="CV2265" s="113" t="s">
        <v>5266</v>
      </c>
      <c r="CX2265" s="36">
        <v>1</v>
      </c>
    </row>
    <row r="2266" spans="91:102" ht="21" customHeight="1" x14ac:dyDescent="0.25">
      <c r="CM2266" s="102"/>
      <c r="CN2266" s="112" t="s">
        <v>5494</v>
      </c>
      <c r="CO2266" s="112" t="s">
        <v>551</v>
      </c>
      <c r="CP2266" s="112" t="s">
        <v>523</v>
      </c>
      <c r="CQ2266" s="112" t="s">
        <v>5495</v>
      </c>
      <c r="CR2266" s="112" t="s">
        <v>5495</v>
      </c>
      <c r="CS2266" s="112" t="s">
        <v>1168</v>
      </c>
      <c r="CT2266" s="112" t="s">
        <v>1169</v>
      </c>
      <c r="CU2266" s="112" t="s">
        <v>1170</v>
      </c>
      <c r="CV2266" s="113" t="s">
        <v>5266</v>
      </c>
      <c r="CX2266" s="36">
        <v>1</v>
      </c>
    </row>
    <row r="2267" spans="91:102" ht="21" customHeight="1" x14ac:dyDescent="0.25">
      <c r="CM2267" s="102"/>
      <c r="CN2267" s="112" t="s">
        <v>5496</v>
      </c>
      <c r="CO2267" s="112" t="s">
        <v>551</v>
      </c>
      <c r="CP2267" s="112" t="s">
        <v>523</v>
      </c>
      <c r="CQ2267" s="112" t="s">
        <v>5497</v>
      </c>
      <c r="CR2267" s="112" t="s">
        <v>5497</v>
      </c>
      <c r="CS2267" s="112" t="s">
        <v>1168</v>
      </c>
      <c r="CT2267" s="112" t="s">
        <v>1169</v>
      </c>
      <c r="CU2267" s="112" t="s">
        <v>1170</v>
      </c>
      <c r="CV2267" s="113" t="s">
        <v>5266</v>
      </c>
      <c r="CX2267" s="36">
        <v>1</v>
      </c>
    </row>
    <row r="2268" spans="91:102" ht="21" customHeight="1" x14ac:dyDescent="0.25">
      <c r="CM2268" s="102"/>
      <c r="CN2268" s="112" t="s">
        <v>5498</v>
      </c>
      <c r="CO2268" s="112" t="s">
        <v>551</v>
      </c>
      <c r="CP2268" s="112" t="s">
        <v>523</v>
      </c>
      <c r="CQ2268" s="112" t="s">
        <v>5499</v>
      </c>
      <c r="CR2268" s="112" t="s">
        <v>5499</v>
      </c>
      <c r="CS2268" s="112" t="s">
        <v>1168</v>
      </c>
      <c r="CT2268" s="112" t="s">
        <v>1169</v>
      </c>
      <c r="CU2268" s="112" t="s">
        <v>1170</v>
      </c>
      <c r="CV2268" s="113" t="s">
        <v>5266</v>
      </c>
      <c r="CX2268" s="36">
        <v>1</v>
      </c>
    </row>
    <row r="2269" spans="91:102" ht="21" customHeight="1" x14ac:dyDescent="0.25">
      <c r="CM2269" s="102"/>
      <c r="CN2269" s="112" t="s">
        <v>5500</v>
      </c>
      <c r="CO2269" s="112" t="s">
        <v>551</v>
      </c>
      <c r="CP2269" s="112" t="s">
        <v>523</v>
      </c>
      <c r="CQ2269" s="112" t="s">
        <v>5501</v>
      </c>
      <c r="CR2269" s="112" t="s">
        <v>5501</v>
      </c>
      <c r="CS2269" s="112" t="s">
        <v>1168</v>
      </c>
      <c r="CT2269" s="112" t="s">
        <v>1169</v>
      </c>
      <c r="CU2269" s="112" t="s">
        <v>1170</v>
      </c>
      <c r="CV2269" s="113" t="s">
        <v>5266</v>
      </c>
      <c r="CX2269" s="36">
        <v>1</v>
      </c>
    </row>
    <row r="2270" spans="91:102" ht="21" customHeight="1" x14ac:dyDescent="0.25">
      <c r="CM2270" s="102"/>
      <c r="CN2270" s="112" t="s">
        <v>5502</v>
      </c>
      <c r="CO2270" s="112" t="s">
        <v>551</v>
      </c>
      <c r="CP2270" s="112" t="s">
        <v>523</v>
      </c>
      <c r="CQ2270" s="112" t="s">
        <v>5503</v>
      </c>
      <c r="CR2270" s="112" t="s">
        <v>5503</v>
      </c>
      <c r="CS2270" s="112" t="s">
        <v>1168</v>
      </c>
      <c r="CT2270" s="112" t="s">
        <v>1169</v>
      </c>
      <c r="CU2270" s="112" t="s">
        <v>1170</v>
      </c>
      <c r="CV2270" s="113" t="s">
        <v>5266</v>
      </c>
      <c r="CX2270" s="36">
        <v>1</v>
      </c>
    </row>
    <row r="2271" spans="91:102" ht="21" customHeight="1" x14ac:dyDescent="0.25">
      <c r="CM2271" s="102"/>
      <c r="CN2271" s="112" t="s">
        <v>5504</v>
      </c>
      <c r="CO2271" s="112" t="s">
        <v>551</v>
      </c>
      <c r="CP2271" s="112" t="s">
        <v>523</v>
      </c>
      <c r="CQ2271" s="112" t="s">
        <v>5505</v>
      </c>
      <c r="CR2271" s="112" t="s">
        <v>5505</v>
      </c>
      <c r="CS2271" s="112" t="s">
        <v>1168</v>
      </c>
      <c r="CT2271" s="112" t="s">
        <v>1169</v>
      </c>
      <c r="CU2271" s="112" t="s">
        <v>1170</v>
      </c>
      <c r="CV2271" s="113" t="s">
        <v>5266</v>
      </c>
      <c r="CX2271" s="36">
        <v>1</v>
      </c>
    </row>
    <row r="2272" spans="91:102" ht="21" customHeight="1" x14ac:dyDescent="0.25">
      <c r="CM2272" s="102"/>
      <c r="CN2272" s="112" t="s">
        <v>5506</v>
      </c>
      <c r="CO2272" s="112" t="s">
        <v>551</v>
      </c>
      <c r="CP2272" s="112" t="s">
        <v>523</v>
      </c>
      <c r="CQ2272" s="112" t="s">
        <v>5507</v>
      </c>
      <c r="CR2272" s="112" t="s">
        <v>5507</v>
      </c>
      <c r="CS2272" s="112" t="s">
        <v>1168</v>
      </c>
      <c r="CT2272" s="112" t="s">
        <v>1169</v>
      </c>
      <c r="CU2272" s="112" t="s">
        <v>1170</v>
      </c>
      <c r="CV2272" s="113" t="s">
        <v>5266</v>
      </c>
      <c r="CX2272" s="36">
        <v>1</v>
      </c>
    </row>
    <row r="2273" spans="91:102" ht="21" customHeight="1" x14ac:dyDescent="0.25">
      <c r="CM2273" s="102"/>
      <c r="CN2273" s="112" t="s">
        <v>5508</v>
      </c>
      <c r="CO2273" s="112" t="s">
        <v>551</v>
      </c>
      <c r="CP2273" s="112" t="s">
        <v>523</v>
      </c>
      <c r="CQ2273" s="112" t="s">
        <v>5509</v>
      </c>
      <c r="CR2273" s="112" t="s">
        <v>5509</v>
      </c>
      <c r="CS2273" s="112" t="s">
        <v>1168</v>
      </c>
      <c r="CT2273" s="112" t="s">
        <v>1169</v>
      </c>
      <c r="CU2273" s="112" t="s">
        <v>1170</v>
      </c>
      <c r="CV2273" s="113" t="s">
        <v>5266</v>
      </c>
      <c r="CX2273" s="36">
        <v>1</v>
      </c>
    </row>
    <row r="2274" spans="91:102" ht="21" customHeight="1" x14ac:dyDescent="0.25">
      <c r="CM2274" s="102"/>
      <c r="CN2274" s="112" t="s">
        <v>5510</v>
      </c>
      <c r="CO2274" s="112" t="s">
        <v>551</v>
      </c>
      <c r="CP2274" s="112" t="s">
        <v>523</v>
      </c>
      <c r="CQ2274" s="112" t="s">
        <v>5511</v>
      </c>
      <c r="CR2274" s="112" t="s">
        <v>5511</v>
      </c>
      <c r="CS2274" s="112" t="s">
        <v>1168</v>
      </c>
      <c r="CT2274" s="112" t="s">
        <v>1169</v>
      </c>
      <c r="CU2274" s="112" t="s">
        <v>1170</v>
      </c>
      <c r="CV2274" s="113" t="s">
        <v>5266</v>
      </c>
      <c r="CX2274" s="36">
        <v>1</v>
      </c>
    </row>
    <row r="2275" spans="91:102" ht="21" customHeight="1" x14ac:dyDescent="0.25">
      <c r="CM2275" s="102"/>
      <c r="CN2275" s="112" t="s">
        <v>5512</v>
      </c>
      <c r="CO2275" s="112" t="s">
        <v>551</v>
      </c>
      <c r="CP2275" s="112" t="s">
        <v>523</v>
      </c>
      <c r="CQ2275" s="112" t="s">
        <v>5513</v>
      </c>
      <c r="CR2275" s="112" t="s">
        <v>5513</v>
      </c>
      <c r="CS2275" s="112" t="s">
        <v>1168</v>
      </c>
      <c r="CT2275" s="112" t="s">
        <v>1169</v>
      </c>
      <c r="CU2275" s="112" t="s">
        <v>1170</v>
      </c>
      <c r="CV2275" s="113" t="s">
        <v>5266</v>
      </c>
      <c r="CX2275" s="36">
        <v>1</v>
      </c>
    </row>
    <row r="2276" spans="91:102" ht="21" customHeight="1" x14ac:dyDescent="0.25">
      <c r="CM2276" s="102"/>
      <c r="CN2276" s="112" t="s">
        <v>5514</v>
      </c>
      <c r="CO2276" s="112" t="s">
        <v>551</v>
      </c>
      <c r="CP2276" s="112" t="s">
        <v>523</v>
      </c>
      <c r="CQ2276" s="112" t="s">
        <v>5515</v>
      </c>
      <c r="CR2276" s="112" t="s">
        <v>5515</v>
      </c>
      <c r="CS2276" s="112" t="s">
        <v>1168</v>
      </c>
      <c r="CT2276" s="112" t="s">
        <v>1169</v>
      </c>
      <c r="CU2276" s="112" t="s">
        <v>1170</v>
      </c>
      <c r="CV2276" s="113" t="s">
        <v>5266</v>
      </c>
      <c r="CX2276" s="36">
        <v>1</v>
      </c>
    </row>
    <row r="2277" spans="91:102" ht="21" customHeight="1" x14ac:dyDescent="0.25">
      <c r="CM2277" s="102"/>
      <c r="CN2277" s="112" t="s">
        <v>5516</v>
      </c>
      <c r="CO2277" s="112" t="s">
        <v>551</v>
      </c>
      <c r="CP2277" s="112" t="s">
        <v>523</v>
      </c>
      <c r="CQ2277" s="112" t="s">
        <v>5517</v>
      </c>
      <c r="CR2277" s="112" t="s">
        <v>5517</v>
      </c>
      <c r="CS2277" s="112" t="s">
        <v>1168</v>
      </c>
      <c r="CT2277" s="112" t="s">
        <v>1169</v>
      </c>
      <c r="CU2277" s="112" t="s">
        <v>1170</v>
      </c>
      <c r="CV2277" s="113" t="s">
        <v>5266</v>
      </c>
      <c r="CX2277" s="36">
        <v>1</v>
      </c>
    </row>
    <row r="2278" spans="91:102" ht="21" customHeight="1" x14ac:dyDescent="0.25">
      <c r="CM2278" s="102"/>
      <c r="CN2278" s="112" t="s">
        <v>5518</v>
      </c>
      <c r="CO2278" s="112" t="s">
        <v>551</v>
      </c>
      <c r="CP2278" s="112" t="s">
        <v>523</v>
      </c>
      <c r="CQ2278" s="112" t="s">
        <v>5519</v>
      </c>
      <c r="CR2278" s="112" t="s">
        <v>5519</v>
      </c>
      <c r="CS2278" s="112" t="s">
        <v>610</v>
      </c>
      <c r="CT2278" s="112" t="s">
        <v>611</v>
      </c>
      <c r="CU2278" s="112" t="s">
        <v>527</v>
      </c>
      <c r="CV2278" s="113" t="s">
        <v>612</v>
      </c>
      <c r="CX2278" s="36">
        <v>1</v>
      </c>
    </row>
    <row r="2279" spans="91:102" ht="21" customHeight="1" x14ac:dyDescent="0.25">
      <c r="CM2279" s="102"/>
      <c r="CN2279" s="112" t="s">
        <v>5520</v>
      </c>
      <c r="CO2279" s="112" t="s">
        <v>551</v>
      </c>
      <c r="CP2279" s="112" t="s">
        <v>523</v>
      </c>
      <c r="CQ2279" s="112" t="s">
        <v>5521</v>
      </c>
      <c r="CR2279" s="112" t="s">
        <v>5521</v>
      </c>
      <c r="CS2279" s="112" t="s">
        <v>610</v>
      </c>
      <c r="CT2279" s="112" t="s">
        <v>611</v>
      </c>
      <c r="CU2279" s="112" t="s">
        <v>527</v>
      </c>
      <c r="CV2279" s="113" t="s">
        <v>612</v>
      </c>
      <c r="CX2279" s="36">
        <v>1</v>
      </c>
    </row>
    <row r="2280" spans="91:102" ht="21" customHeight="1" x14ac:dyDescent="0.25">
      <c r="CM2280" s="102"/>
      <c r="CN2280" s="112" t="s">
        <v>5522</v>
      </c>
      <c r="CO2280" s="112" t="s">
        <v>551</v>
      </c>
      <c r="CP2280" s="112" t="s">
        <v>523</v>
      </c>
      <c r="CQ2280" s="112" t="s">
        <v>5523</v>
      </c>
      <c r="CR2280" s="112" t="s">
        <v>5523</v>
      </c>
      <c r="CS2280" s="112" t="s">
        <v>525</v>
      </c>
      <c r="CT2280" s="112" t="s">
        <v>5294</v>
      </c>
      <c r="CU2280" s="112" t="s">
        <v>527</v>
      </c>
      <c r="CV2280" s="113" t="s">
        <v>528</v>
      </c>
      <c r="CX2280" s="36">
        <v>1</v>
      </c>
    </row>
    <row r="2281" spans="91:102" ht="21" customHeight="1" x14ac:dyDescent="0.25">
      <c r="CM2281" s="102"/>
      <c r="CN2281" s="112" t="s">
        <v>5524</v>
      </c>
      <c r="CO2281" s="112" t="s">
        <v>551</v>
      </c>
      <c r="CP2281" s="112" t="s">
        <v>523</v>
      </c>
      <c r="CQ2281" s="112" t="s">
        <v>5525</v>
      </c>
      <c r="CR2281" s="112" t="s">
        <v>5525</v>
      </c>
      <c r="CS2281" s="112" t="s">
        <v>525</v>
      </c>
      <c r="CT2281" s="112" t="s">
        <v>5294</v>
      </c>
      <c r="CU2281" s="112" t="s">
        <v>527</v>
      </c>
      <c r="CV2281" s="113" t="s">
        <v>528</v>
      </c>
      <c r="CX2281" s="36">
        <v>1</v>
      </c>
    </row>
    <row r="2282" spans="91:102" ht="21" customHeight="1" x14ac:dyDescent="0.25">
      <c r="CM2282" s="102"/>
      <c r="CN2282" s="112" t="s">
        <v>5526</v>
      </c>
      <c r="CO2282" s="112" t="s">
        <v>551</v>
      </c>
      <c r="CP2282" s="112" t="s">
        <v>523</v>
      </c>
      <c r="CQ2282" s="112" t="s">
        <v>5527</v>
      </c>
      <c r="CR2282" s="112" t="s">
        <v>5527</v>
      </c>
      <c r="CS2282" s="112" t="s">
        <v>1168</v>
      </c>
      <c r="CT2282" s="112" t="s">
        <v>1169</v>
      </c>
      <c r="CU2282" s="112" t="s">
        <v>1170</v>
      </c>
      <c r="CV2282" s="113" t="s">
        <v>5266</v>
      </c>
      <c r="CX2282" s="36">
        <v>1</v>
      </c>
    </row>
    <row r="2283" spans="91:102" ht="21" customHeight="1" x14ac:dyDescent="0.25">
      <c r="CM2283" s="102"/>
      <c r="CN2283" s="112" t="s">
        <v>5528</v>
      </c>
      <c r="CO2283" s="112" t="s">
        <v>551</v>
      </c>
      <c r="CP2283" s="112" t="s">
        <v>523</v>
      </c>
      <c r="CQ2283" s="112" t="s">
        <v>5529</v>
      </c>
      <c r="CR2283" s="112" t="s">
        <v>5529</v>
      </c>
      <c r="CS2283" s="112" t="s">
        <v>1168</v>
      </c>
      <c r="CT2283" s="112" t="s">
        <v>1169</v>
      </c>
      <c r="CU2283" s="112" t="s">
        <v>1170</v>
      </c>
      <c r="CV2283" s="113" t="s">
        <v>5266</v>
      </c>
      <c r="CX2283" s="36">
        <v>1</v>
      </c>
    </row>
    <row r="2284" spans="91:102" ht="21" customHeight="1" x14ac:dyDescent="0.25">
      <c r="CM2284" s="102"/>
      <c r="CN2284" s="112" t="s">
        <v>5530</v>
      </c>
      <c r="CO2284" s="112" t="s">
        <v>551</v>
      </c>
      <c r="CP2284" s="112" t="s">
        <v>523</v>
      </c>
      <c r="CQ2284" s="112" t="s">
        <v>5531</v>
      </c>
      <c r="CR2284" s="112" t="s">
        <v>5531</v>
      </c>
      <c r="CS2284" s="112" t="s">
        <v>1168</v>
      </c>
      <c r="CT2284" s="112" t="s">
        <v>1169</v>
      </c>
      <c r="CU2284" s="112" t="s">
        <v>1170</v>
      </c>
      <c r="CV2284" s="113" t="s">
        <v>5266</v>
      </c>
      <c r="CX2284" s="36">
        <v>1</v>
      </c>
    </row>
    <row r="2285" spans="91:102" ht="21" customHeight="1" x14ac:dyDescent="0.25">
      <c r="CM2285" s="102"/>
      <c r="CN2285" s="112" t="s">
        <v>5532</v>
      </c>
      <c r="CO2285" s="112" t="s">
        <v>551</v>
      </c>
      <c r="CP2285" s="112" t="s">
        <v>523</v>
      </c>
      <c r="CQ2285" s="112" t="s">
        <v>5533</v>
      </c>
      <c r="CR2285" s="112" t="s">
        <v>5533</v>
      </c>
      <c r="CS2285" s="112" t="s">
        <v>1168</v>
      </c>
      <c r="CT2285" s="112" t="s">
        <v>1169</v>
      </c>
      <c r="CU2285" s="112" t="s">
        <v>1170</v>
      </c>
      <c r="CV2285" s="113" t="s">
        <v>5266</v>
      </c>
      <c r="CX2285" s="36">
        <v>1</v>
      </c>
    </row>
    <row r="2286" spans="91:102" ht="21" customHeight="1" x14ac:dyDescent="0.25">
      <c r="CM2286" s="102"/>
      <c r="CN2286" s="112" t="s">
        <v>5534</v>
      </c>
      <c r="CO2286" s="112" t="s">
        <v>551</v>
      </c>
      <c r="CP2286" s="112" t="s">
        <v>523</v>
      </c>
      <c r="CQ2286" s="112" t="s">
        <v>5535</v>
      </c>
      <c r="CR2286" s="112" t="s">
        <v>5535</v>
      </c>
      <c r="CS2286" s="112" t="s">
        <v>1168</v>
      </c>
      <c r="CT2286" s="112" t="s">
        <v>1169</v>
      </c>
      <c r="CU2286" s="112" t="s">
        <v>1170</v>
      </c>
      <c r="CV2286" s="113" t="s">
        <v>5266</v>
      </c>
      <c r="CX2286" s="36">
        <v>1</v>
      </c>
    </row>
    <row r="2287" spans="91:102" ht="21" customHeight="1" x14ac:dyDescent="0.25">
      <c r="CM2287" s="102"/>
      <c r="CN2287" s="112" t="s">
        <v>5536</v>
      </c>
      <c r="CO2287" s="112" t="s">
        <v>551</v>
      </c>
      <c r="CP2287" s="112" t="s">
        <v>523</v>
      </c>
      <c r="CQ2287" s="112" t="s">
        <v>5537</v>
      </c>
      <c r="CR2287" s="112" t="s">
        <v>5537</v>
      </c>
      <c r="CS2287" s="112" t="s">
        <v>1168</v>
      </c>
      <c r="CT2287" s="112" t="s">
        <v>1169</v>
      </c>
      <c r="CU2287" s="112" t="s">
        <v>1170</v>
      </c>
      <c r="CV2287" s="113" t="s">
        <v>5266</v>
      </c>
      <c r="CX2287" s="36">
        <v>1</v>
      </c>
    </row>
    <row r="2288" spans="91:102" ht="21" customHeight="1" x14ac:dyDescent="0.25">
      <c r="CM2288" s="102"/>
      <c r="CN2288" s="112" t="s">
        <v>5538</v>
      </c>
      <c r="CO2288" s="112" t="s">
        <v>551</v>
      </c>
      <c r="CP2288" s="112" t="s">
        <v>523</v>
      </c>
      <c r="CQ2288" s="112" t="s">
        <v>5539</v>
      </c>
      <c r="CR2288" s="112" t="s">
        <v>5539</v>
      </c>
      <c r="CS2288" s="112" t="s">
        <v>1168</v>
      </c>
      <c r="CT2288" s="112" t="s">
        <v>1169</v>
      </c>
      <c r="CU2288" s="112" t="s">
        <v>1170</v>
      </c>
      <c r="CV2288" s="113" t="s">
        <v>5266</v>
      </c>
      <c r="CX2288" s="36">
        <v>1</v>
      </c>
    </row>
    <row r="2289" spans="91:102" ht="21" customHeight="1" x14ac:dyDescent="0.25">
      <c r="CM2289" s="102"/>
      <c r="CN2289" s="112" t="s">
        <v>5540</v>
      </c>
      <c r="CO2289" s="112" t="s">
        <v>551</v>
      </c>
      <c r="CP2289" s="112" t="s">
        <v>523</v>
      </c>
      <c r="CQ2289" s="112" t="s">
        <v>5541</v>
      </c>
      <c r="CR2289" s="112" t="s">
        <v>5541</v>
      </c>
      <c r="CS2289" s="112" t="s">
        <v>1168</v>
      </c>
      <c r="CT2289" s="112" t="s">
        <v>1169</v>
      </c>
      <c r="CU2289" s="112" t="s">
        <v>1170</v>
      </c>
      <c r="CV2289" s="113" t="s">
        <v>5266</v>
      </c>
      <c r="CX2289" s="36">
        <v>1</v>
      </c>
    </row>
    <row r="2290" spans="91:102" ht="21" customHeight="1" x14ac:dyDescent="0.25">
      <c r="CM2290" s="102"/>
      <c r="CN2290" s="112" t="s">
        <v>5542</v>
      </c>
      <c r="CO2290" s="112" t="s">
        <v>551</v>
      </c>
      <c r="CP2290" s="112" t="s">
        <v>523</v>
      </c>
      <c r="CQ2290" s="112" t="s">
        <v>5543</v>
      </c>
      <c r="CR2290" s="112" t="s">
        <v>5543</v>
      </c>
      <c r="CS2290" s="112" t="s">
        <v>1168</v>
      </c>
      <c r="CT2290" s="112" t="s">
        <v>1169</v>
      </c>
      <c r="CU2290" s="112" t="s">
        <v>1170</v>
      </c>
      <c r="CV2290" s="113" t="s">
        <v>5266</v>
      </c>
      <c r="CX2290" s="36">
        <v>1</v>
      </c>
    </row>
    <row r="2291" spans="91:102" ht="21" customHeight="1" x14ac:dyDescent="0.25">
      <c r="CM2291" s="102"/>
      <c r="CN2291" s="112" t="s">
        <v>5544</v>
      </c>
      <c r="CO2291" s="112" t="s">
        <v>551</v>
      </c>
      <c r="CP2291" s="112" t="s">
        <v>523</v>
      </c>
      <c r="CQ2291" s="112" t="s">
        <v>5545</v>
      </c>
      <c r="CR2291" s="112" t="s">
        <v>5545</v>
      </c>
      <c r="CS2291" s="112" t="s">
        <v>1168</v>
      </c>
      <c r="CT2291" s="112" t="s">
        <v>1169</v>
      </c>
      <c r="CU2291" s="112" t="s">
        <v>1170</v>
      </c>
      <c r="CV2291" s="113" t="s">
        <v>5266</v>
      </c>
      <c r="CX2291" s="36">
        <v>1</v>
      </c>
    </row>
    <row r="2292" spans="91:102" ht="21" customHeight="1" x14ac:dyDescent="0.25">
      <c r="CM2292" s="102"/>
      <c r="CN2292" s="112" t="s">
        <v>5546</v>
      </c>
      <c r="CO2292" s="112" t="s">
        <v>551</v>
      </c>
      <c r="CP2292" s="112" t="s">
        <v>523</v>
      </c>
      <c r="CQ2292" s="112" t="s">
        <v>5547</v>
      </c>
      <c r="CR2292" s="112" t="s">
        <v>5547</v>
      </c>
      <c r="CS2292" s="112" t="s">
        <v>1168</v>
      </c>
      <c r="CT2292" s="112" t="s">
        <v>1169</v>
      </c>
      <c r="CU2292" s="112" t="s">
        <v>1170</v>
      </c>
      <c r="CV2292" s="113" t="s">
        <v>5266</v>
      </c>
      <c r="CX2292" s="36">
        <v>1</v>
      </c>
    </row>
    <row r="2293" spans="91:102" ht="21" customHeight="1" x14ac:dyDescent="0.25">
      <c r="CM2293" s="102"/>
      <c r="CN2293" s="112" t="s">
        <v>5548</v>
      </c>
      <c r="CO2293" s="112" t="s">
        <v>551</v>
      </c>
      <c r="CP2293" s="112" t="s">
        <v>523</v>
      </c>
      <c r="CQ2293" s="112" t="s">
        <v>5549</v>
      </c>
      <c r="CR2293" s="112" t="s">
        <v>5549</v>
      </c>
      <c r="CS2293" s="112" t="s">
        <v>525</v>
      </c>
      <c r="CT2293" s="112" t="s">
        <v>5294</v>
      </c>
      <c r="CU2293" s="112" t="s">
        <v>527</v>
      </c>
      <c r="CV2293" s="113" t="s">
        <v>528</v>
      </c>
      <c r="CX2293" s="36">
        <v>1</v>
      </c>
    </row>
    <row r="2294" spans="91:102" ht="21" customHeight="1" x14ac:dyDescent="0.25">
      <c r="CM2294" s="102"/>
      <c r="CN2294" s="112" t="s">
        <v>5550</v>
      </c>
      <c r="CO2294" s="112" t="s">
        <v>551</v>
      </c>
      <c r="CP2294" s="112" t="s">
        <v>523</v>
      </c>
      <c r="CQ2294" s="112" t="s">
        <v>5551</v>
      </c>
      <c r="CR2294" s="112" t="s">
        <v>5551</v>
      </c>
      <c r="CS2294" s="112" t="s">
        <v>1168</v>
      </c>
      <c r="CT2294" s="112" t="s">
        <v>1169</v>
      </c>
      <c r="CU2294" s="112" t="s">
        <v>1170</v>
      </c>
      <c r="CV2294" s="113" t="s">
        <v>5266</v>
      </c>
      <c r="CX2294" s="36">
        <v>1</v>
      </c>
    </row>
    <row r="2295" spans="91:102" ht="21" customHeight="1" x14ac:dyDescent="0.25">
      <c r="CM2295" s="102"/>
      <c r="CN2295" s="112" t="s">
        <v>5552</v>
      </c>
      <c r="CO2295" s="112" t="s">
        <v>551</v>
      </c>
      <c r="CP2295" s="112" t="s">
        <v>523</v>
      </c>
      <c r="CQ2295" s="112" t="s">
        <v>5553</v>
      </c>
      <c r="CR2295" s="112" t="s">
        <v>5553</v>
      </c>
      <c r="CS2295" s="112" t="s">
        <v>610</v>
      </c>
      <c r="CT2295" s="112" t="s">
        <v>611</v>
      </c>
      <c r="CU2295" s="112" t="s">
        <v>527</v>
      </c>
      <c r="CV2295" s="113" t="s">
        <v>612</v>
      </c>
      <c r="CX2295" s="36">
        <v>1</v>
      </c>
    </row>
    <row r="2296" spans="91:102" ht="21" customHeight="1" x14ac:dyDescent="0.25">
      <c r="CM2296" s="102"/>
      <c r="CN2296" s="112" t="s">
        <v>5554</v>
      </c>
      <c r="CO2296" s="112" t="s">
        <v>551</v>
      </c>
      <c r="CP2296" s="112" t="s">
        <v>523</v>
      </c>
      <c r="CQ2296" s="112" t="s">
        <v>5555</v>
      </c>
      <c r="CR2296" s="112" t="s">
        <v>5555</v>
      </c>
      <c r="CS2296" s="112" t="s">
        <v>610</v>
      </c>
      <c r="CT2296" s="112" t="s">
        <v>611</v>
      </c>
      <c r="CU2296" s="112" t="s">
        <v>527</v>
      </c>
      <c r="CV2296" s="113" t="s">
        <v>612</v>
      </c>
      <c r="CX2296" s="36">
        <v>1</v>
      </c>
    </row>
    <row r="2297" spans="91:102" ht="21" customHeight="1" x14ac:dyDescent="0.25">
      <c r="CM2297" s="102"/>
      <c r="CN2297" s="112" t="s">
        <v>5556</v>
      </c>
      <c r="CO2297" s="112" t="s">
        <v>551</v>
      </c>
      <c r="CP2297" s="112" t="s">
        <v>523</v>
      </c>
      <c r="CQ2297" s="112" t="s">
        <v>5557</v>
      </c>
      <c r="CR2297" s="112" t="s">
        <v>5557</v>
      </c>
      <c r="CS2297" s="112" t="s">
        <v>1168</v>
      </c>
      <c r="CT2297" s="112" t="s">
        <v>1169</v>
      </c>
      <c r="CU2297" s="112" t="s">
        <v>1170</v>
      </c>
      <c r="CV2297" s="113" t="s">
        <v>5266</v>
      </c>
      <c r="CX2297" s="36">
        <v>1</v>
      </c>
    </row>
    <row r="2298" spans="91:102" ht="21" customHeight="1" x14ac:dyDescent="0.25">
      <c r="CM2298" s="102"/>
      <c r="CN2298" s="112" t="s">
        <v>5558</v>
      </c>
      <c r="CO2298" s="112" t="s">
        <v>551</v>
      </c>
      <c r="CP2298" s="112" t="s">
        <v>523</v>
      </c>
      <c r="CQ2298" s="112" t="s">
        <v>5559</v>
      </c>
      <c r="CR2298" s="112" t="s">
        <v>5559</v>
      </c>
      <c r="CS2298" s="112" t="s">
        <v>1168</v>
      </c>
      <c r="CT2298" s="112" t="s">
        <v>1169</v>
      </c>
      <c r="CU2298" s="112" t="s">
        <v>1170</v>
      </c>
      <c r="CV2298" s="113" t="s">
        <v>5266</v>
      </c>
      <c r="CX2298" s="36">
        <v>1</v>
      </c>
    </row>
    <row r="2299" spans="91:102" ht="21" customHeight="1" x14ac:dyDescent="0.25">
      <c r="CM2299" s="102"/>
      <c r="CN2299" s="112" t="s">
        <v>5560</v>
      </c>
      <c r="CO2299" s="112" t="s">
        <v>551</v>
      </c>
      <c r="CP2299" s="112" t="s">
        <v>523</v>
      </c>
      <c r="CQ2299" s="112" t="s">
        <v>5561</v>
      </c>
      <c r="CR2299" s="112" t="s">
        <v>5561</v>
      </c>
      <c r="CS2299" s="112" t="s">
        <v>1168</v>
      </c>
      <c r="CT2299" s="112" t="s">
        <v>1169</v>
      </c>
      <c r="CU2299" s="112" t="s">
        <v>1170</v>
      </c>
      <c r="CV2299" s="113" t="s">
        <v>5266</v>
      </c>
      <c r="CX2299" s="36">
        <v>1</v>
      </c>
    </row>
    <row r="2300" spans="91:102" ht="21" customHeight="1" x14ac:dyDescent="0.25">
      <c r="CM2300" s="102"/>
      <c r="CN2300" s="112" t="s">
        <v>5562</v>
      </c>
      <c r="CO2300" s="112" t="s">
        <v>551</v>
      </c>
      <c r="CP2300" s="112" t="s">
        <v>523</v>
      </c>
      <c r="CQ2300" s="112" t="s">
        <v>5563</v>
      </c>
      <c r="CR2300" s="112" t="s">
        <v>5563</v>
      </c>
      <c r="CS2300" s="112" t="s">
        <v>1168</v>
      </c>
      <c r="CT2300" s="112" t="s">
        <v>1169</v>
      </c>
      <c r="CU2300" s="112" t="s">
        <v>1170</v>
      </c>
      <c r="CV2300" s="113" t="s">
        <v>5266</v>
      </c>
      <c r="CX2300" s="36">
        <v>1</v>
      </c>
    </row>
    <row r="2301" spans="91:102" ht="21" customHeight="1" x14ac:dyDescent="0.25">
      <c r="CM2301" s="102"/>
      <c r="CN2301" s="112" t="s">
        <v>5564</v>
      </c>
      <c r="CO2301" s="112" t="s">
        <v>551</v>
      </c>
      <c r="CP2301" s="112" t="s">
        <v>523</v>
      </c>
      <c r="CQ2301" s="112" t="s">
        <v>5565</v>
      </c>
      <c r="CR2301" s="112" t="s">
        <v>5565</v>
      </c>
      <c r="CS2301" s="112" t="s">
        <v>1168</v>
      </c>
      <c r="CT2301" s="112" t="s">
        <v>1169</v>
      </c>
      <c r="CU2301" s="112" t="s">
        <v>1170</v>
      </c>
      <c r="CV2301" s="113" t="s">
        <v>5266</v>
      </c>
      <c r="CX2301" s="36">
        <v>1</v>
      </c>
    </row>
    <row r="2302" spans="91:102" ht="21" customHeight="1" x14ac:dyDescent="0.25">
      <c r="CM2302" s="102"/>
      <c r="CN2302" s="112" t="s">
        <v>5566</v>
      </c>
      <c r="CO2302" s="112" t="s">
        <v>551</v>
      </c>
      <c r="CP2302" s="112" t="s">
        <v>523</v>
      </c>
      <c r="CQ2302" s="112" t="s">
        <v>4831</v>
      </c>
      <c r="CR2302" s="112" t="s">
        <v>4831</v>
      </c>
      <c r="CS2302" s="112" t="s">
        <v>525</v>
      </c>
      <c r="CT2302" s="112" t="s">
        <v>5294</v>
      </c>
      <c r="CU2302" s="112" t="s">
        <v>527</v>
      </c>
      <c r="CV2302" s="113" t="s">
        <v>528</v>
      </c>
      <c r="CX2302" s="36">
        <v>1</v>
      </c>
    </row>
    <row r="2303" spans="91:102" ht="21" customHeight="1" x14ac:dyDescent="0.25">
      <c r="CM2303" s="102"/>
      <c r="CN2303" s="112" t="s">
        <v>5567</v>
      </c>
      <c r="CO2303" s="112" t="s">
        <v>551</v>
      </c>
      <c r="CP2303" s="112" t="s">
        <v>523</v>
      </c>
      <c r="CQ2303" s="112" t="s">
        <v>4833</v>
      </c>
      <c r="CR2303" s="112" t="s">
        <v>4833</v>
      </c>
      <c r="CS2303" s="112" t="s">
        <v>525</v>
      </c>
      <c r="CT2303" s="112" t="s">
        <v>5294</v>
      </c>
      <c r="CU2303" s="112" t="s">
        <v>527</v>
      </c>
      <c r="CV2303" s="113" t="s">
        <v>528</v>
      </c>
      <c r="CX2303" s="36">
        <v>1</v>
      </c>
    </row>
    <row r="2304" spans="91:102" ht="21" customHeight="1" x14ac:dyDescent="0.25">
      <c r="CM2304" s="102"/>
      <c r="CN2304" s="112" t="s">
        <v>5568</v>
      </c>
      <c r="CO2304" s="112" t="s">
        <v>551</v>
      </c>
      <c r="CP2304" s="112" t="s">
        <v>523</v>
      </c>
      <c r="CQ2304" s="112" t="s">
        <v>5569</v>
      </c>
      <c r="CR2304" s="112" t="s">
        <v>5569</v>
      </c>
      <c r="CS2304" s="112" t="s">
        <v>525</v>
      </c>
      <c r="CT2304" s="112" t="s">
        <v>5294</v>
      </c>
      <c r="CU2304" s="112" t="s">
        <v>527</v>
      </c>
      <c r="CV2304" s="113" t="s">
        <v>528</v>
      </c>
      <c r="CX2304" s="36">
        <v>1</v>
      </c>
    </row>
    <row r="2305" spans="91:102" ht="21" customHeight="1" x14ac:dyDescent="0.25">
      <c r="CM2305" s="102"/>
      <c r="CN2305" s="112" t="s">
        <v>5570</v>
      </c>
      <c r="CO2305" s="112" t="s">
        <v>551</v>
      </c>
      <c r="CP2305" s="112" t="s">
        <v>523</v>
      </c>
      <c r="CQ2305" s="112" t="s">
        <v>5571</v>
      </c>
      <c r="CR2305" s="112" t="s">
        <v>5571</v>
      </c>
      <c r="CS2305" s="112" t="s">
        <v>1168</v>
      </c>
      <c r="CT2305" s="112" t="s">
        <v>1169</v>
      </c>
      <c r="CU2305" s="112" t="s">
        <v>1170</v>
      </c>
      <c r="CV2305" s="113" t="s">
        <v>5266</v>
      </c>
      <c r="CX2305" s="36">
        <v>1</v>
      </c>
    </row>
    <row r="2306" spans="91:102" ht="21" customHeight="1" x14ac:dyDescent="0.25">
      <c r="CM2306" s="102"/>
      <c r="CN2306" s="112" t="s">
        <v>5572</v>
      </c>
      <c r="CO2306" s="112" t="s">
        <v>551</v>
      </c>
      <c r="CP2306" s="112" t="s">
        <v>523</v>
      </c>
      <c r="CQ2306" s="112" t="s">
        <v>5573</v>
      </c>
      <c r="CR2306" s="112" t="s">
        <v>5573</v>
      </c>
      <c r="CS2306" s="112" t="s">
        <v>1168</v>
      </c>
      <c r="CT2306" s="112" t="s">
        <v>1169</v>
      </c>
      <c r="CU2306" s="112" t="s">
        <v>1170</v>
      </c>
      <c r="CV2306" s="113" t="s">
        <v>5266</v>
      </c>
      <c r="CX2306" s="36">
        <v>1</v>
      </c>
    </row>
    <row r="2307" spans="91:102" ht="21" customHeight="1" x14ac:dyDescent="0.25">
      <c r="CM2307" s="102"/>
      <c r="CN2307" s="112" t="s">
        <v>5574</v>
      </c>
      <c r="CO2307" s="112" t="s">
        <v>551</v>
      </c>
      <c r="CP2307" s="112" t="s">
        <v>523</v>
      </c>
      <c r="CQ2307" s="112" t="s">
        <v>5575</v>
      </c>
      <c r="CR2307" s="112" t="s">
        <v>5575</v>
      </c>
      <c r="CS2307" s="112" t="s">
        <v>1168</v>
      </c>
      <c r="CT2307" s="112" t="s">
        <v>1169</v>
      </c>
      <c r="CU2307" s="112" t="s">
        <v>1170</v>
      </c>
      <c r="CV2307" s="113" t="s">
        <v>5266</v>
      </c>
      <c r="CX2307" s="36">
        <v>1</v>
      </c>
    </row>
    <row r="2308" spans="91:102" ht="21" customHeight="1" x14ac:dyDescent="0.25">
      <c r="CM2308" s="102"/>
      <c r="CN2308" s="112" t="s">
        <v>5576</v>
      </c>
      <c r="CO2308" s="112" t="s">
        <v>551</v>
      </c>
      <c r="CP2308" s="112" t="s">
        <v>523</v>
      </c>
      <c r="CQ2308" s="112" t="s">
        <v>5577</v>
      </c>
      <c r="CR2308" s="112" t="s">
        <v>5577</v>
      </c>
      <c r="CS2308" s="112" t="s">
        <v>1168</v>
      </c>
      <c r="CT2308" s="112" t="s">
        <v>1169</v>
      </c>
      <c r="CU2308" s="112" t="s">
        <v>1170</v>
      </c>
      <c r="CV2308" s="113" t="s">
        <v>5266</v>
      </c>
      <c r="CX2308" s="36">
        <v>1</v>
      </c>
    </row>
    <row r="2309" spans="91:102" ht="21" customHeight="1" x14ac:dyDescent="0.25">
      <c r="CM2309" s="102"/>
      <c r="CN2309" s="112" t="s">
        <v>5578</v>
      </c>
      <c r="CO2309" s="112" t="s">
        <v>551</v>
      </c>
      <c r="CP2309" s="112" t="s">
        <v>523</v>
      </c>
      <c r="CQ2309" s="112" t="s">
        <v>5579</v>
      </c>
      <c r="CR2309" s="112" t="s">
        <v>5579</v>
      </c>
      <c r="CS2309" s="112" t="s">
        <v>1168</v>
      </c>
      <c r="CT2309" s="112" t="s">
        <v>1169</v>
      </c>
      <c r="CU2309" s="112" t="s">
        <v>1170</v>
      </c>
      <c r="CV2309" s="113" t="s">
        <v>5266</v>
      </c>
      <c r="CX2309" s="36">
        <v>1</v>
      </c>
    </row>
    <row r="2310" spans="91:102" ht="21" customHeight="1" x14ac:dyDescent="0.25">
      <c r="CM2310" s="102"/>
      <c r="CN2310" s="112" t="s">
        <v>5580</v>
      </c>
      <c r="CO2310" s="112" t="s">
        <v>551</v>
      </c>
      <c r="CP2310" s="112" t="s">
        <v>523</v>
      </c>
      <c r="CQ2310" s="112" t="s">
        <v>5581</v>
      </c>
      <c r="CR2310" s="112" t="s">
        <v>5581</v>
      </c>
      <c r="CS2310" s="112" t="s">
        <v>525</v>
      </c>
      <c r="CT2310" s="112" t="s">
        <v>5294</v>
      </c>
      <c r="CU2310" s="112" t="s">
        <v>527</v>
      </c>
      <c r="CV2310" s="113" t="s">
        <v>528</v>
      </c>
      <c r="CX2310" s="36">
        <v>1</v>
      </c>
    </row>
    <row r="2311" spans="91:102" ht="21" customHeight="1" x14ac:dyDescent="0.25">
      <c r="CM2311" s="102"/>
      <c r="CN2311" s="112" t="s">
        <v>5582</v>
      </c>
      <c r="CO2311" s="112" t="s">
        <v>551</v>
      </c>
      <c r="CP2311" s="112" t="s">
        <v>523</v>
      </c>
      <c r="CQ2311" s="112" t="s">
        <v>5583</v>
      </c>
      <c r="CR2311" s="112" t="s">
        <v>5583</v>
      </c>
      <c r="CS2311" s="112" t="s">
        <v>1168</v>
      </c>
      <c r="CT2311" s="112" t="s">
        <v>1169</v>
      </c>
      <c r="CU2311" s="112" t="s">
        <v>1170</v>
      </c>
      <c r="CV2311" s="113" t="s">
        <v>5266</v>
      </c>
      <c r="CX2311" s="36">
        <v>1</v>
      </c>
    </row>
    <row r="2312" spans="91:102" ht="21" customHeight="1" x14ac:dyDescent="0.25">
      <c r="CM2312" s="102"/>
      <c r="CN2312" s="112" t="s">
        <v>5584</v>
      </c>
      <c r="CO2312" s="112" t="s">
        <v>551</v>
      </c>
      <c r="CP2312" s="112" t="s">
        <v>523</v>
      </c>
      <c r="CQ2312" s="112" t="s">
        <v>5585</v>
      </c>
      <c r="CR2312" s="112" t="s">
        <v>5585</v>
      </c>
      <c r="CS2312" s="112" t="s">
        <v>1168</v>
      </c>
      <c r="CT2312" s="112" t="s">
        <v>1169</v>
      </c>
      <c r="CU2312" s="112" t="s">
        <v>1170</v>
      </c>
      <c r="CV2312" s="113" t="s">
        <v>5266</v>
      </c>
      <c r="CX2312" s="36">
        <v>1</v>
      </c>
    </row>
    <row r="2313" spans="91:102" ht="21" customHeight="1" x14ac:dyDescent="0.25">
      <c r="CM2313" s="102"/>
      <c r="CN2313" s="112" t="s">
        <v>5586</v>
      </c>
      <c r="CO2313" s="112" t="s">
        <v>551</v>
      </c>
      <c r="CP2313" s="112" t="s">
        <v>523</v>
      </c>
      <c r="CQ2313" s="112" t="s">
        <v>5587</v>
      </c>
      <c r="CR2313" s="112" t="s">
        <v>5587</v>
      </c>
      <c r="CS2313" s="112" t="s">
        <v>610</v>
      </c>
      <c r="CT2313" s="112" t="s">
        <v>611</v>
      </c>
      <c r="CU2313" s="112" t="s">
        <v>527</v>
      </c>
      <c r="CV2313" s="113" t="s">
        <v>612</v>
      </c>
      <c r="CX2313" s="36">
        <v>1</v>
      </c>
    </row>
    <row r="2314" spans="91:102" ht="21" customHeight="1" x14ac:dyDescent="0.25">
      <c r="CM2314" s="102"/>
      <c r="CN2314" s="112" t="s">
        <v>5588</v>
      </c>
      <c r="CO2314" s="112" t="s">
        <v>551</v>
      </c>
      <c r="CP2314" s="112" t="s">
        <v>523</v>
      </c>
      <c r="CQ2314" s="112" t="s">
        <v>5589</v>
      </c>
      <c r="CR2314" s="112" t="s">
        <v>5589</v>
      </c>
      <c r="CS2314" s="112" t="s">
        <v>610</v>
      </c>
      <c r="CT2314" s="112" t="s">
        <v>611</v>
      </c>
      <c r="CU2314" s="112" t="s">
        <v>527</v>
      </c>
      <c r="CV2314" s="113" t="s">
        <v>612</v>
      </c>
      <c r="CX2314" s="36">
        <v>1</v>
      </c>
    </row>
    <row r="2315" spans="91:102" ht="21" customHeight="1" x14ac:dyDescent="0.25">
      <c r="CM2315" s="102"/>
      <c r="CN2315" s="112" t="s">
        <v>5590</v>
      </c>
      <c r="CO2315" s="112" t="s">
        <v>551</v>
      </c>
      <c r="CP2315" s="112" t="s">
        <v>523</v>
      </c>
      <c r="CQ2315" s="112" t="s">
        <v>5591</v>
      </c>
      <c r="CR2315" s="112" t="s">
        <v>5591</v>
      </c>
      <c r="CS2315" s="112" t="s">
        <v>1168</v>
      </c>
      <c r="CT2315" s="112" t="s">
        <v>1169</v>
      </c>
      <c r="CU2315" s="112" t="s">
        <v>1170</v>
      </c>
      <c r="CV2315" s="113" t="s">
        <v>5266</v>
      </c>
      <c r="CX2315" s="36">
        <v>1</v>
      </c>
    </row>
    <row r="2316" spans="91:102" ht="21" customHeight="1" x14ac:dyDescent="0.25">
      <c r="CM2316" s="102"/>
      <c r="CN2316" s="112" t="s">
        <v>5592</v>
      </c>
      <c r="CO2316" s="112" t="s">
        <v>551</v>
      </c>
      <c r="CP2316" s="112" t="s">
        <v>523</v>
      </c>
      <c r="CQ2316" s="112" t="s">
        <v>5593</v>
      </c>
      <c r="CR2316" s="112" t="s">
        <v>5593</v>
      </c>
      <c r="CS2316" s="112" t="s">
        <v>1168</v>
      </c>
      <c r="CT2316" s="112" t="s">
        <v>1169</v>
      </c>
      <c r="CU2316" s="112" t="s">
        <v>1170</v>
      </c>
      <c r="CV2316" s="113" t="s">
        <v>5266</v>
      </c>
      <c r="CX2316" s="36">
        <v>1</v>
      </c>
    </row>
    <row r="2317" spans="91:102" ht="21" customHeight="1" x14ac:dyDescent="0.25">
      <c r="CM2317" s="102"/>
      <c r="CN2317" s="112" t="s">
        <v>5594</v>
      </c>
      <c r="CO2317" s="112" t="s">
        <v>551</v>
      </c>
      <c r="CP2317" s="112" t="s">
        <v>523</v>
      </c>
      <c r="CQ2317" s="112" t="s">
        <v>5595</v>
      </c>
      <c r="CR2317" s="112" t="s">
        <v>5595</v>
      </c>
      <c r="CS2317" s="112" t="s">
        <v>1168</v>
      </c>
      <c r="CT2317" s="112" t="s">
        <v>1169</v>
      </c>
      <c r="CU2317" s="112" t="s">
        <v>1170</v>
      </c>
      <c r="CV2317" s="113" t="s">
        <v>5266</v>
      </c>
      <c r="CX2317" s="36">
        <v>1</v>
      </c>
    </row>
    <row r="2318" spans="91:102" ht="21" customHeight="1" x14ac:dyDescent="0.25">
      <c r="CM2318" s="102"/>
      <c r="CN2318" s="112" t="s">
        <v>5596</v>
      </c>
      <c r="CO2318" s="112" t="s">
        <v>551</v>
      </c>
      <c r="CP2318" s="112" t="s">
        <v>523</v>
      </c>
      <c r="CQ2318" s="112" t="s">
        <v>5597</v>
      </c>
      <c r="CR2318" s="112" t="s">
        <v>5597</v>
      </c>
      <c r="CS2318" s="112" t="s">
        <v>1168</v>
      </c>
      <c r="CT2318" s="112" t="s">
        <v>1169</v>
      </c>
      <c r="CU2318" s="112" t="s">
        <v>1170</v>
      </c>
      <c r="CV2318" s="113" t="s">
        <v>5266</v>
      </c>
      <c r="CX2318" s="36">
        <v>1</v>
      </c>
    </row>
    <row r="2319" spans="91:102" ht="21" customHeight="1" x14ac:dyDescent="0.25">
      <c r="CM2319" s="102"/>
      <c r="CN2319" s="112" t="s">
        <v>5598</v>
      </c>
      <c r="CO2319" s="112" t="s">
        <v>551</v>
      </c>
      <c r="CP2319" s="112" t="s">
        <v>523</v>
      </c>
      <c r="CQ2319" s="112" t="s">
        <v>5599</v>
      </c>
      <c r="CR2319" s="112" t="s">
        <v>5599</v>
      </c>
      <c r="CS2319" s="112" t="s">
        <v>1168</v>
      </c>
      <c r="CT2319" s="112" t="s">
        <v>1169</v>
      </c>
      <c r="CU2319" s="112" t="s">
        <v>1170</v>
      </c>
      <c r="CV2319" s="113" t="s">
        <v>5266</v>
      </c>
      <c r="CX2319" s="36">
        <v>1</v>
      </c>
    </row>
    <row r="2320" spans="91:102" ht="21" customHeight="1" x14ac:dyDescent="0.25">
      <c r="CM2320" s="102"/>
      <c r="CN2320" s="112" t="s">
        <v>5600</v>
      </c>
      <c r="CO2320" s="112" t="s">
        <v>551</v>
      </c>
      <c r="CP2320" s="112" t="s">
        <v>523</v>
      </c>
      <c r="CQ2320" s="112" t="s">
        <v>5601</v>
      </c>
      <c r="CR2320" s="112" t="s">
        <v>5601</v>
      </c>
      <c r="CS2320" s="112" t="s">
        <v>1168</v>
      </c>
      <c r="CT2320" s="112" t="s">
        <v>1169</v>
      </c>
      <c r="CU2320" s="112" t="s">
        <v>1170</v>
      </c>
      <c r="CV2320" s="113" t="s">
        <v>5266</v>
      </c>
      <c r="CX2320" s="36">
        <v>1</v>
      </c>
    </row>
    <row r="2321" spans="91:102" ht="21" customHeight="1" x14ac:dyDescent="0.25">
      <c r="CM2321" s="102"/>
      <c r="CN2321" s="112" t="s">
        <v>5602</v>
      </c>
      <c r="CO2321" s="112" t="s">
        <v>551</v>
      </c>
      <c r="CP2321" s="112" t="s">
        <v>523</v>
      </c>
      <c r="CQ2321" s="112" t="s">
        <v>5603</v>
      </c>
      <c r="CR2321" s="112" t="s">
        <v>5603</v>
      </c>
      <c r="CS2321" s="112" t="s">
        <v>1168</v>
      </c>
      <c r="CT2321" s="112" t="s">
        <v>1169</v>
      </c>
      <c r="CU2321" s="112" t="s">
        <v>1170</v>
      </c>
      <c r="CV2321" s="113" t="s">
        <v>5266</v>
      </c>
      <c r="CX2321" s="36">
        <v>1</v>
      </c>
    </row>
    <row r="2322" spans="91:102" ht="21" customHeight="1" x14ac:dyDescent="0.25">
      <c r="CM2322" s="102"/>
      <c r="CN2322" s="112" t="s">
        <v>5604</v>
      </c>
      <c r="CO2322" s="112" t="s">
        <v>551</v>
      </c>
      <c r="CP2322" s="112" t="s">
        <v>523</v>
      </c>
      <c r="CQ2322" s="112" t="s">
        <v>5605</v>
      </c>
      <c r="CR2322" s="112" t="s">
        <v>5605</v>
      </c>
      <c r="CS2322" s="112" t="s">
        <v>1168</v>
      </c>
      <c r="CT2322" s="112" t="s">
        <v>1169</v>
      </c>
      <c r="CU2322" s="112" t="s">
        <v>1170</v>
      </c>
      <c r="CV2322" s="113" t="s">
        <v>5266</v>
      </c>
      <c r="CX2322" s="36">
        <v>1</v>
      </c>
    </row>
    <row r="2323" spans="91:102" ht="21" customHeight="1" x14ac:dyDescent="0.25">
      <c r="CM2323" s="102"/>
      <c r="CN2323" s="112" t="s">
        <v>5606</v>
      </c>
      <c r="CO2323" s="112" t="s">
        <v>551</v>
      </c>
      <c r="CP2323" s="112" t="s">
        <v>523</v>
      </c>
      <c r="CQ2323" s="112" t="s">
        <v>5607</v>
      </c>
      <c r="CR2323" s="112" t="s">
        <v>5607</v>
      </c>
      <c r="CS2323" s="112" t="s">
        <v>1168</v>
      </c>
      <c r="CT2323" s="112" t="s">
        <v>1169</v>
      </c>
      <c r="CU2323" s="112" t="s">
        <v>1170</v>
      </c>
      <c r="CV2323" s="113" t="s">
        <v>5266</v>
      </c>
      <c r="CX2323" s="36">
        <v>1</v>
      </c>
    </row>
    <row r="2324" spans="91:102" ht="21" customHeight="1" x14ac:dyDescent="0.25">
      <c r="CM2324" s="102"/>
      <c r="CN2324" s="112" t="s">
        <v>5608</v>
      </c>
      <c r="CO2324" s="112" t="s">
        <v>551</v>
      </c>
      <c r="CP2324" s="112" t="s">
        <v>523</v>
      </c>
      <c r="CQ2324" s="112" t="s">
        <v>5609</v>
      </c>
      <c r="CR2324" s="112" t="s">
        <v>5609</v>
      </c>
      <c r="CS2324" s="112" t="s">
        <v>525</v>
      </c>
      <c r="CT2324" s="112" t="s">
        <v>5294</v>
      </c>
      <c r="CU2324" s="112" t="s">
        <v>527</v>
      </c>
      <c r="CV2324" s="113" t="s">
        <v>528</v>
      </c>
      <c r="CX2324" s="36">
        <v>1</v>
      </c>
    </row>
    <row r="2325" spans="91:102" ht="21" customHeight="1" x14ac:dyDescent="0.25">
      <c r="CM2325" s="102"/>
      <c r="CN2325" s="112" t="s">
        <v>5610</v>
      </c>
      <c r="CO2325" s="112" t="s">
        <v>551</v>
      </c>
      <c r="CP2325" s="112" t="s">
        <v>523</v>
      </c>
      <c r="CQ2325" s="112" t="s">
        <v>5611</v>
      </c>
      <c r="CR2325" s="112" t="s">
        <v>5611</v>
      </c>
      <c r="CS2325" s="112" t="s">
        <v>1168</v>
      </c>
      <c r="CT2325" s="112" t="s">
        <v>1169</v>
      </c>
      <c r="CU2325" s="112" t="s">
        <v>1170</v>
      </c>
      <c r="CV2325" s="113" t="s">
        <v>5266</v>
      </c>
      <c r="CX2325" s="36">
        <v>1</v>
      </c>
    </row>
    <row r="2326" spans="91:102" ht="21" customHeight="1" x14ac:dyDescent="0.25">
      <c r="CM2326" s="102"/>
      <c r="CN2326" s="112" t="s">
        <v>5612</v>
      </c>
      <c r="CO2326" s="112" t="s">
        <v>551</v>
      </c>
      <c r="CP2326" s="112" t="s">
        <v>523</v>
      </c>
      <c r="CQ2326" s="112" t="s">
        <v>5613</v>
      </c>
      <c r="CR2326" s="112" t="s">
        <v>5613</v>
      </c>
      <c r="CS2326" s="112" t="s">
        <v>1168</v>
      </c>
      <c r="CT2326" s="112" t="s">
        <v>1169</v>
      </c>
      <c r="CU2326" s="112" t="s">
        <v>1170</v>
      </c>
      <c r="CV2326" s="113" t="s">
        <v>5266</v>
      </c>
      <c r="CX2326" s="36">
        <v>1</v>
      </c>
    </row>
    <row r="2327" spans="91:102" ht="21" customHeight="1" x14ac:dyDescent="0.25">
      <c r="CM2327" s="102"/>
      <c r="CN2327" s="112" t="s">
        <v>5614</v>
      </c>
      <c r="CO2327" s="112" t="s">
        <v>551</v>
      </c>
      <c r="CP2327" s="112" t="s">
        <v>523</v>
      </c>
      <c r="CQ2327" s="112" t="s">
        <v>5615</v>
      </c>
      <c r="CR2327" s="112" t="s">
        <v>5615</v>
      </c>
      <c r="CS2327" s="112" t="s">
        <v>1168</v>
      </c>
      <c r="CT2327" s="112" t="s">
        <v>1169</v>
      </c>
      <c r="CU2327" s="112" t="s">
        <v>1170</v>
      </c>
      <c r="CV2327" s="113" t="s">
        <v>5266</v>
      </c>
      <c r="CX2327" s="36">
        <v>1</v>
      </c>
    </row>
    <row r="2328" spans="91:102" ht="21" customHeight="1" x14ac:dyDescent="0.25">
      <c r="CM2328" s="102"/>
      <c r="CN2328" s="112" t="s">
        <v>5616</v>
      </c>
      <c r="CO2328" s="112" t="s">
        <v>551</v>
      </c>
      <c r="CP2328" s="112" t="s">
        <v>523</v>
      </c>
      <c r="CQ2328" s="112" t="s">
        <v>5617</v>
      </c>
      <c r="CR2328" s="112" t="s">
        <v>5617</v>
      </c>
      <c r="CS2328" s="112" t="s">
        <v>1168</v>
      </c>
      <c r="CT2328" s="112" t="s">
        <v>1169</v>
      </c>
      <c r="CU2328" s="112" t="s">
        <v>1170</v>
      </c>
      <c r="CV2328" s="113" t="s">
        <v>5266</v>
      </c>
      <c r="CX2328" s="36">
        <v>1</v>
      </c>
    </row>
    <row r="2329" spans="91:102" ht="21" customHeight="1" x14ac:dyDescent="0.25">
      <c r="CM2329" s="102"/>
      <c r="CN2329" s="112" t="s">
        <v>5618</v>
      </c>
      <c r="CO2329" s="112" t="s">
        <v>551</v>
      </c>
      <c r="CP2329" s="112" t="s">
        <v>523</v>
      </c>
      <c r="CQ2329" s="112" t="s">
        <v>5619</v>
      </c>
      <c r="CR2329" s="112" t="s">
        <v>5620</v>
      </c>
      <c r="CS2329" s="112" t="s">
        <v>525</v>
      </c>
      <c r="CT2329" s="112" t="s">
        <v>5294</v>
      </c>
      <c r="CU2329" s="112" t="s">
        <v>527</v>
      </c>
      <c r="CV2329" s="113" t="s">
        <v>528</v>
      </c>
      <c r="CX2329" s="36">
        <v>1</v>
      </c>
    </row>
    <row r="2330" spans="91:102" ht="21" customHeight="1" x14ac:dyDescent="0.25">
      <c r="CM2330" s="102"/>
      <c r="CN2330" s="112" t="s">
        <v>5621</v>
      </c>
      <c r="CO2330" s="112" t="s">
        <v>551</v>
      </c>
      <c r="CP2330" s="112" t="s">
        <v>523</v>
      </c>
      <c r="CQ2330" s="112" t="s">
        <v>5622</v>
      </c>
      <c r="CR2330" s="112" t="s">
        <v>5623</v>
      </c>
      <c r="CS2330" s="112" t="s">
        <v>525</v>
      </c>
      <c r="CT2330" s="112" t="s">
        <v>5294</v>
      </c>
      <c r="CU2330" s="112" t="s">
        <v>527</v>
      </c>
      <c r="CV2330" s="113" t="s">
        <v>528</v>
      </c>
      <c r="CX2330" s="36">
        <v>1</v>
      </c>
    </row>
    <row r="2331" spans="91:102" ht="21" customHeight="1" x14ac:dyDescent="0.25">
      <c r="CM2331" s="102"/>
      <c r="CN2331" s="112" t="s">
        <v>5624</v>
      </c>
      <c r="CO2331" s="112" t="s">
        <v>551</v>
      </c>
      <c r="CP2331" s="112" t="s">
        <v>523</v>
      </c>
      <c r="CQ2331" s="112" t="s">
        <v>5625</v>
      </c>
      <c r="CR2331" s="112" t="s">
        <v>5625</v>
      </c>
      <c r="CS2331" s="112" t="s">
        <v>1168</v>
      </c>
      <c r="CT2331" s="112" t="s">
        <v>1169</v>
      </c>
      <c r="CU2331" s="112" t="s">
        <v>1170</v>
      </c>
      <c r="CV2331" s="113" t="s">
        <v>5266</v>
      </c>
      <c r="CX2331" s="36">
        <v>1</v>
      </c>
    </row>
    <row r="2332" spans="91:102" ht="21" customHeight="1" x14ac:dyDescent="0.25">
      <c r="CM2332" s="102"/>
      <c r="CN2332" s="112" t="s">
        <v>5626</v>
      </c>
      <c r="CO2332" s="112" t="s">
        <v>551</v>
      </c>
      <c r="CP2332" s="112" t="s">
        <v>523</v>
      </c>
      <c r="CQ2332" s="112" t="s">
        <v>5627</v>
      </c>
      <c r="CR2332" s="112" t="s">
        <v>5627</v>
      </c>
      <c r="CS2332" s="112" t="s">
        <v>1168</v>
      </c>
      <c r="CT2332" s="112" t="s">
        <v>1169</v>
      </c>
      <c r="CU2332" s="112" t="s">
        <v>1170</v>
      </c>
      <c r="CV2332" s="113" t="s">
        <v>5266</v>
      </c>
      <c r="CX2332" s="36">
        <v>1</v>
      </c>
    </row>
    <row r="2333" spans="91:102" ht="21" customHeight="1" x14ac:dyDescent="0.25">
      <c r="CM2333" s="102"/>
      <c r="CN2333" s="112" t="s">
        <v>5628</v>
      </c>
      <c r="CO2333" s="112" t="s">
        <v>551</v>
      </c>
      <c r="CP2333" s="112" t="s">
        <v>523</v>
      </c>
      <c r="CQ2333" s="112" t="s">
        <v>5629</v>
      </c>
      <c r="CR2333" s="112" t="s">
        <v>5629</v>
      </c>
      <c r="CS2333" s="112" t="s">
        <v>1168</v>
      </c>
      <c r="CT2333" s="112" t="s">
        <v>1169</v>
      </c>
      <c r="CU2333" s="112" t="s">
        <v>1170</v>
      </c>
      <c r="CV2333" s="113" t="s">
        <v>5266</v>
      </c>
      <c r="CX2333" s="36">
        <v>1</v>
      </c>
    </row>
    <row r="2334" spans="91:102" ht="21" customHeight="1" x14ac:dyDescent="0.25">
      <c r="CM2334" s="102"/>
      <c r="CN2334" s="112" t="s">
        <v>5630</v>
      </c>
      <c r="CO2334" s="112" t="s">
        <v>551</v>
      </c>
      <c r="CP2334" s="112" t="s">
        <v>523</v>
      </c>
      <c r="CQ2334" s="112" t="s">
        <v>5631</v>
      </c>
      <c r="CR2334" s="112" t="s">
        <v>5631</v>
      </c>
      <c r="CS2334" s="112" t="s">
        <v>525</v>
      </c>
      <c r="CT2334" s="112" t="s">
        <v>5294</v>
      </c>
      <c r="CU2334" s="112" t="s">
        <v>527</v>
      </c>
      <c r="CV2334" s="113" t="s">
        <v>528</v>
      </c>
      <c r="CX2334" s="36">
        <v>1</v>
      </c>
    </row>
    <row r="2335" spans="91:102" ht="21" customHeight="1" x14ac:dyDescent="0.25">
      <c r="CM2335" s="102"/>
      <c r="CN2335" s="112" t="s">
        <v>5632</v>
      </c>
      <c r="CO2335" s="112" t="s">
        <v>551</v>
      </c>
      <c r="CP2335" s="112" t="s">
        <v>523</v>
      </c>
      <c r="CQ2335" s="112" t="s">
        <v>5633</v>
      </c>
      <c r="CR2335" s="112" t="s">
        <v>5633</v>
      </c>
      <c r="CS2335" s="112" t="s">
        <v>1168</v>
      </c>
      <c r="CT2335" s="112" t="s">
        <v>1169</v>
      </c>
      <c r="CU2335" s="112" t="s">
        <v>1170</v>
      </c>
      <c r="CV2335" s="113" t="s">
        <v>5266</v>
      </c>
      <c r="CX2335" s="36">
        <v>1</v>
      </c>
    </row>
    <row r="2336" spans="91:102" ht="21" customHeight="1" x14ac:dyDescent="0.25">
      <c r="CM2336" s="102"/>
      <c r="CN2336" s="112" t="s">
        <v>5634</v>
      </c>
      <c r="CO2336" s="112" t="s">
        <v>551</v>
      </c>
      <c r="CP2336" s="112" t="s">
        <v>523</v>
      </c>
      <c r="CQ2336" s="112" t="s">
        <v>5635</v>
      </c>
      <c r="CR2336" s="112" t="s">
        <v>5635</v>
      </c>
      <c r="CS2336" s="112" t="s">
        <v>1168</v>
      </c>
      <c r="CT2336" s="112" t="s">
        <v>1169</v>
      </c>
      <c r="CU2336" s="112" t="s">
        <v>1170</v>
      </c>
      <c r="CV2336" s="113" t="s">
        <v>5266</v>
      </c>
      <c r="CX2336" s="36">
        <v>1</v>
      </c>
    </row>
    <row r="2337" spans="91:102" ht="21" customHeight="1" x14ac:dyDescent="0.25">
      <c r="CM2337" s="102"/>
      <c r="CN2337" s="112" t="s">
        <v>5636</v>
      </c>
      <c r="CO2337" s="112" t="s">
        <v>551</v>
      </c>
      <c r="CP2337" s="112" t="s">
        <v>523</v>
      </c>
      <c r="CQ2337" s="112" t="s">
        <v>5637</v>
      </c>
      <c r="CR2337" s="112" t="s">
        <v>5637</v>
      </c>
      <c r="CS2337" s="112" t="s">
        <v>1168</v>
      </c>
      <c r="CT2337" s="112" t="s">
        <v>1169</v>
      </c>
      <c r="CU2337" s="112" t="s">
        <v>1170</v>
      </c>
      <c r="CV2337" s="113" t="s">
        <v>5266</v>
      </c>
      <c r="CX2337" s="36">
        <v>1</v>
      </c>
    </row>
    <row r="2338" spans="91:102" ht="21" customHeight="1" x14ac:dyDescent="0.25">
      <c r="CM2338" s="102"/>
      <c r="CN2338" s="112" t="s">
        <v>5638</v>
      </c>
      <c r="CO2338" s="112" t="s">
        <v>551</v>
      </c>
      <c r="CP2338" s="112" t="s">
        <v>523</v>
      </c>
      <c r="CQ2338" s="112" t="s">
        <v>5639</v>
      </c>
      <c r="CR2338" s="112" t="s">
        <v>5639</v>
      </c>
      <c r="CS2338" s="112" t="s">
        <v>1168</v>
      </c>
      <c r="CT2338" s="112" t="s">
        <v>1169</v>
      </c>
      <c r="CU2338" s="112" t="s">
        <v>1170</v>
      </c>
      <c r="CV2338" s="113" t="s">
        <v>5266</v>
      </c>
      <c r="CX2338" s="36">
        <v>1</v>
      </c>
    </row>
    <row r="2339" spans="91:102" ht="21" customHeight="1" x14ac:dyDescent="0.25">
      <c r="CM2339" s="102"/>
      <c r="CN2339" s="112" t="s">
        <v>5640</v>
      </c>
      <c r="CO2339" s="112" t="s">
        <v>551</v>
      </c>
      <c r="CP2339" s="112" t="s">
        <v>523</v>
      </c>
      <c r="CQ2339" s="112" t="s">
        <v>5641</v>
      </c>
      <c r="CR2339" s="112" t="s">
        <v>5641</v>
      </c>
      <c r="CS2339" s="112" t="s">
        <v>1168</v>
      </c>
      <c r="CT2339" s="112" t="s">
        <v>1169</v>
      </c>
      <c r="CU2339" s="112" t="s">
        <v>1170</v>
      </c>
      <c r="CV2339" s="113" t="s">
        <v>5266</v>
      </c>
      <c r="CX2339" s="36">
        <v>1</v>
      </c>
    </row>
    <row r="2340" spans="91:102" ht="21" customHeight="1" x14ac:dyDescent="0.25">
      <c r="CM2340" s="102"/>
      <c r="CN2340" s="112" t="s">
        <v>5642</v>
      </c>
      <c r="CO2340" s="112" t="s">
        <v>551</v>
      </c>
      <c r="CP2340" s="112" t="s">
        <v>523</v>
      </c>
      <c r="CQ2340" s="112" t="s">
        <v>5643</v>
      </c>
      <c r="CR2340" s="112" t="s">
        <v>5643</v>
      </c>
      <c r="CS2340" s="112" t="s">
        <v>1168</v>
      </c>
      <c r="CT2340" s="112" t="s">
        <v>1169</v>
      </c>
      <c r="CU2340" s="112" t="s">
        <v>1170</v>
      </c>
      <c r="CV2340" s="113" t="s">
        <v>5266</v>
      </c>
      <c r="CX2340" s="36">
        <v>1</v>
      </c>
    </row>
    <row r="2341" spans="91:102" ht="21" customHeight="1" x14ac:dyDescent="0.25">
      <c r="CM2341" s="102"/>
      <c r="CN2341" s="112" t="s">
        <v>5644</v>
      </c>
      <c r="CO2341" s="112" t="s">
        <v>551</v>
      </c>
      <c r="CP2341" s="112" t="s">
        <v>523</v>
      </c>
      <c r="CQ2341" s="112" t="s">
        <v>5645</v>
      </c>
      <c r="CR2341" s="112" t="s">
        <v>5645</v>
      </c>
      <c r="CS2341" s="112" t="s">
        <v>1168</v>
      </c>
      <c r="CT2341" s="112" t="s">
        <v>1169</v>
      </c>
      <c r="CU2341" s="112" t="s">
        <v>1170</v>
      </c>
      <c r="CV2341" s="113" t="s">
        <v>5266</v>
      </c>
      <c r="CX2341" s="36">
        <v>1</v>
      </c>
    </row>
    <row r="2342" spans="91:102" ht="21" customHeight="1" x14ac:dyDescent="0.25">
      <c r="CM2342" s="102"/>
      <c r="CN2342" s="112" t="s">
        <v>5646</v>
      </c>
      <c r="CO2342" s="112" t="s">
        <v>551</v>
      </c>
      <c r="CP2342" s="112" t="s">
        <v>523</v>
      </c>
      <c r="CQ2342" s="112" t="s">
        <v>5647</v>
      </c>
      <c r="CR2342" s="112" t="s">
        <v>5647</v>
      </c>
      <c r="CS2342" s="112" t="s">
        <v>1168</v>
      </c>
      <c r="CT2342" s="112" t="s">
        <v>1169</v>
      </c>
      <c r="CU2342" s="112" t="s">
        <v>1170</v>
      </c>
      <c r="CV2342" s="113" t="s">
        <v>5266</v>
      </c>
      <c r="CX2342" s="36">
        <v>1</v>
      </c>
    </row>
    <row r="2343" spans="91:102" ht="21" customHeight="1" x14ac:dyDescent="0.25">
      <c r="CM2343" s="102"/>
      <c r="CN2343" s="112" t="s">
        <v>5648</v>
      </c>
      <c r="CO2343" s="112" t="s">
        <v>551</v>
      </c>
      <c r="CP2343" s="112" t="s">
        <v>523</v>
      </c>
      <c r="CQ2343" s="112" t="s">
        <v>5649</v>
      </c>
      <c r="CR2343" s="112" t="s">
        <v>5649</v>
      </c>
      <c r="CS2343" s="112" t="s">
        <v>525</v>
      </c>
      <c r="CT2343" s="112" t="s">
        <v>5294</v>
      </c>
      <c r="CU2343" s="112" t="s">
        <v>527</v>
      </c>
      <c r="CV2343" s="113" t="s">
        <v>528</v>
      </c>
      <c r="CX2343" s="36">
        <v>1</v>
      </c>
    </row>
    <row r="2344" spans="91:102" ht="21" customHeight="1" x14ac:dyDescent="0.25">
      <c r="CM2344" s="102"/>
      <c r="CN2344" s="112" t="s">
        <v>5650</v>
      </c>
      <c r="CO2344" s="112" t="s">
        <v>551</v>
      </c>
      <c r="CP2344" s="112" t="s">
        <v>523</v>
      </c>
      <c r="CQ2344" s="112" t="s">
        <v>5651</v>
      </c>
      <c r="CR2344" s="112" t="s">
        <v>5651</v>
      </c>
      <c r="CS2344" s="112" t="s">
        <v>1168</v>
      </c>
      <c r="CT2344" s="112" t="s">
        <v>1169</v>
      </c>
      <c r="CU2344" s="112" t="s">
        <v>1170</v>
      </c>
      <c r="CV2344" s="113" t="s">
        <v>5266</v>
      </c>
      <c r="CX2344" s="36">
        <v>1</v>
      </c>
    </row>
    <row r="2345" spans="91:102" ht="21" customHeight="1" x14ac:dyDescent="0.25">
      <c r="CM2345" s="102"/>
      <c r="CN2345" s="112" t="s">
        <v>5652</v>
      </c>
      <c r="CO2345" s="112" t="s">
        <v>551</v>
      </c>
      <c r="CP2345" s="112" t="s">
        <v>523</v>
      </c>
      <c r="CQ2345" s="112" t="s">
        <v>5653</v>
      </c>
      <c r="CR2345" s="112" t="s">
        <v>5653</v>
      </c>
      <c r="CS2345" s="112" t="s">
        <v>1168</v>
      </c>
      <c r="CT2345" s="112" t="s">
        <v>1169</v>
      </c>
      <c r="CU2345" s="112" t="s">
        <v>1170</v>
      </c>
      <c r="CV2345" s="113" t="s">
        <v>5266</v>
      </c>
      <c r="CX2345" s="36">
        <v>1</v>
      </c>
    </row>
    <row r="2346" spans="91:102" ht="21" customHeight="1" x14ac:dyDescent="0.25">
      <c r="CM2346" s="102"/>
      <c r="CN2346" s="112" t="s">
        <v>5654</v>
      </c>
      <c r="CO2346" s="112" t="s">
        <v>551</v>
      </c>
      <c r="CP2346" s="112" t="s">
        <v>523</v>
      </c>
      <c r="CQ2346" s="112" t="s">
        <v>5655</v>
      </c>
      <c r="CR2346" s="112" t="s">
        <v>5655</v>
      </c>
      <c r="CS2346" s="112" t="s">
        <v>525</v>
      </c>
      <c r="CT2346" s="112" t="s">
        <v>5294</v>
      </c>
      <c r="CU2346" s="112" t="s">
        <v>527</v>
      </c>
      <c r="CV2346" s="113" t="s">
        <v>528</v>
      </c>
      <c r="CX2346" s="36">
        <v>1</v>
      </c>
    </row>
    <row r="2347" spans="91:102" ht="21" customHeight="1" x14ac:dyDescent="0.25">
      <c r="CM2347" s="102"/>
      <c r="CN2347" s="112" t="s">
        <v>5656</v>
      </c>
      <c r="CO2347" s="112" t="s">
        <v>551</v>
      </c>
      <c r="CP2347" s="112" t="s">
        <v>523</v>
      </c>
      <c r="CQ2347" s="112" t="s">
        <v>5657</v>
      </c>
      <c r="CR2347" s="112" t="s">
        <v>5657</v>
      </c>
      <c r="CS2347" s="112" t="s">
        <v>1168</v>
      </c>
      <c r="CT2347" s="112" t="s">
        <v>1169</v>
      </c>
      <c r="CU2347" s="112" t="s">
        <v>1170</v>
      </c>
      <c r="CV2347" s="113" t="s">
        <v>5266</v>
      </c>
      <c r="CX2347" s="36">
        <v>1</v>
      </c>
    </row>
    <row r="2348" spans="91:102" ht="21" customHeight="1" x14ac:dyDescent="0.25">
      <c r="CM2348" s="102"/>
      <c r="CN2348" s="112" t="s">
        <v>5658</v>
      </c>
      <c r="CO2348" s="112" t="s">
        <v>551</v>
      </c>
      <c r="CP2348" s="112" t="s">
        <v>523</v>
      </c>
      <c r="CQ2348" s="112" t="s">
        <v>5659</v>
      </c>
      <c r="CR2348" s="112" t="s">
        <v>5659</v>
      </c>
      <c r="CS2348" s="112" t="s">
        <v>1168</v>
      </c>
      <c r="CT2348" s="112" t="s">
        <v>1169</v>
      </c>
      <c r="CU2348" s="112" t="s">
        <v>1170</v>
      </c>
      <c r="CV2348" s="113" t="s">
        <v>5266</v>
      </c>
      <c r="CX2348" s="36">
        <v>1</v>
      </c>
    </row>
    <row r="2349" spans="91:102" ht="21" customHeight="1" x14ac:dyDescent="0.25">
      <c r="CM2349" s="102"/>
      <c r="CN2349" s="112" t="s">
        <v>5660</v>
      </c>
      <c r="CO2349" s="112" t="s">
        <v>551</v>
      </c>
      <c r="CP2349" s="112" t="s">
        <v>523</v>
      </c>
      <c r="CQ2349" s="112" t="s">
        <v>5661</v>
      </c>
      <c r="CR2349" s="112" t="s">
        <v>5661</v>
      </c>
      <c r="CS2349" s="112" t="s">
        <v>1168</v>
      </c>
      <c r="CT2349" s="112" t="s">
        <v>1169</v>
      </c>
      <c r="CU2349" s="112" t="s">
        <v>1170</v>
      </c>
      <c r="CV2349" s="113" t="s">
        <v>5266</v>
      </c>
      <c r="CX2349" s="36">
        <v>1</v>
      </c>
    </row>
    <row r="2350" spans="91:102" ht="21" customHeight="1" x14ac:dyDescent="0.25">
      <c r="CM2350" s="102"/>
      <c r="CN2350" s="112" t="s">
        <v>5662</v>
      </c>
      <c r="CO2350" s="112" t="s">
        <v>551</v>
      </c>
      <c r="CP2350" s="112" t="s">
        <v>523</v>
      </c>
      <c r="CQ2350" s="112" t="s">
        <v>5663</v>
      </c>
      <c r="CR2350" s="112" t="s">
        <v>5663</v>
      </c>
      <c r="CS2350" s="112" t="s">
        <v>1168</v>
      </c>
      <c r="CT2350" s="112" t="s">
        <v>1169</v>
      </c>
      <c r="CU2350" s="112" t="s">
        <v>1170</v>
      </c>
      <c r="CV2350" s="113" t="s">
        <v>5266</v>
      </c>
      <c r="CX2350" s="36">
        <v>1</v>
      </c>
    </row>
    <row r="2351" spans="91:102" ht="21" customHeight="1" x14ac:dyDescent="0.25">
      <c r="CM2351" s="102"/>
      <c r="CN2351" s="112" t="s">
        <v>5664</v>
      </c>
      <c r="CO2351" s="112" t="s">
        <v>551</v>
      </c>
      <c r="CP2351" s="112" t="s">
        <v>523</v>
      </c>
      <c r="CQ2351" s="112" t="s">
        <v>5665</v>
      </c>
      <c r="CR2351" s="112" t="s">
        <v>5665</v>
      </c>
      <c r="CS2351" s="112" t="s">
        <v>1168</v>
      </c>
      <c r="CT2351" s="112" t="s">
        <v>1169</v>
      </c>
      <c r="CU2351" s="112" t="s">
        <v>1170</v>
      </c>
      <c r="CV2351" s="113" t="s">
        <v>5266</v>
      </c>
      <c r="CX2351" s="36">
        <v>1</v>
      </c>
    </row>
    <row r="2352" spans="91:102" ht="21" customHeight="1" x14ac:dyDescent="0.25">
      <c r="CM2352" s="102"/>
      <c r="CN2352" s="112" t="s">
        <v>5666</v>
      </c>
      <c r="CO2352" s="112" t="s">
        <v>551</v>
      </c>
      <c r="CP2352" s="112" t="s">
        <v>523</v>
      </c>
      <c r="CQ2352" s="112" t="s">
        <v>5667</v>
      </c>
      <c r="CR2352" s="112" t="s">
        <v>5667</v>
      </c>
      <c r="CS2352" s="112" t="s">
        <v>525</v>
      </c>
      <c r="CT2352" s="112" t="s">
        <v>5294</v>
      </c>
      <c r="CU2352" s="112" t="s">
        <v>527</v>
      </c>
      <c r="CV2352" s="113" t="s">
        <v>528</v>
      </c>
      <c r="CX2352" s="36">
        <v>1</v>
      </c>
    </row>
    <row r="2353" spans="91:102" ht="21" customHeight="1" x14ac:dyDescent="0.25">
      <c r="CM2353" s="102"/>
      <c r="CN2353" s="112" t="s">
        <v>5668</v>
      </c>
      <c r="CO2353" s="112" t="s">
        <v>551</v>
      </c>
      <c r="CP2353" s="112" t="s">
        <v>523</v>
      </c>
      <c r="CQ2353" s="112" t="s">
        <v>5669</v>
      </c>
      <c r="CR2353" s="112" t="s">
        <v>5669</v>
      </c>
      <c r="CS2353" s="112" t="s">
        <v>1168</v>
      </c>
      <c r="CT2353" s="112" t="s">
        <v>1169</v>
      </c>
      <c r="CU2353" s="112" t="s">
        <v>1170</v>
      </c>
      <c r="CV2353" s="113" t="s">
        <v>5266</v>
      </c>
      <c r="CX2353" s="36">
        <v>1</v>
      </c>
    </row>
    <row r="2354" spans="91:102" ht="21" customHeight="1" x14ac:dyDescent="0.25">
      <c r="CM2354" s="102"/>
      <c r="CN2354" s="112" t="s">
        <v>5670</v>
      </c>
      <c r="CO2354" s="112" t="s">
        <v>551</v>
      </c>
      <c r="CP2354" s="112" t="s">
        <v>523</v>
      </c>
      <c r="CQ2354" s="112" t="s">
        <v>5671</v>
      </c>
      <c r="CR2354" s="112" t="s">
        <v>5671</v>
      </c>
      <c r="CS2354" s="112" t="s">
        <v>525</v>
      </c>
      <c r="CT2354" s="112" t="s">
        <v>5294</v>
      </c>
      <c r="CU2354" s="112" t="s">
        <v>527</v>
      </c>
      <c r="CV2354" s="113" t="s">
        <v>528</v>
      </c>
      <c r="CX2354" s="36">
        <v>1</v>
      </c>
    </row>
    <row r="2355" spans="91:102" ht="21" customHeight="1" x14ac:dyDescent="0.25">
      <c r="CM2355" s="102"/>
      <c r="CN2355" s="112" t="s">
        <v>5672</v>
      </c>
      <c r="CO2355" s="112" t="s">
        <v>551</v>
      </c>
      <c r="CP2355" s="112" t="s">
        <v>523</v>
      </c>
      <c r="CQ2355" s="112" t="s">
        <v>5673</v>
      </c>
      <c r="CR2355" s="112" t="s">
        <v>5673</v>
      </c>
      <c r="CS2355" s="112" t="s">
        <v>1168</v>
      </c>
      <c r="CT2355" s="112" t="s">
        <v>1169</v>
      </c>
      <c r="CU2355" s="112" t="s">
        <v>1170</v>
      </c>
      <c r="CV2355" s="113" t="s">
        <v>5266</v>
      </c>
      <c r="CX2355" s="36">
        <v>1</v>
      </c>
    </row>
    <row r="2356" spans="91:102" ht="21" customHeight="1" x14ac:dyDescent="0.25">
      <c r="CM2356" s="102"/>
      <c r="CN2356" s="112" t="s">
        <v>5674</v>
      </c>
      <c r="CO2356" s="112" t="s">
        <v>551</v>
      </c>
      <c r="CP2356" s="112" t="s">
        <v>523</v>
      </c>
      <c r="CQ2356" s="112" t="s">
        <v>5675</v>
      </c>
      <c r="CR2356" s="112" t="s">
        <v>5676</v>
      </c>
      <c r="CS2356" s="112" t="s">
        <v>525</v>
      </c>
      <c r="CT2356" s="112" t="s">
        <v>5294</v>
      </c>
      <c r="CU2356" s="112" t="s">
        <v>527</v>
      </c>
      <c r="CV2356" s="113" t="s">
        <v>528</v>
      </c>
      <c r="CX2356" s="36">
        <v>1</v>
      </c>
    </row>
    <row r="2357" spans="91:102" ht="21" customHeight="1" x14ac:dyDescent="0.25">
      <c r="CM2357" s="102"/>
      <c r="CN2357" s="112" t="s">
        <v>5677</v>
      </c>
      <c r="CO2357" s="112" t="s">
        <v>551</v>
      </c>
      <c r="CP2357" s="112" t="s">
        <v>523</v>
      </c>
      <c r="CQ2357" s="112" t="s">
        <v>5678</v>
      </c>
      <c r="CR2357" s="112" t="s">
        <v>5679</v>
      </c>
      <c r="CS2357" s="112" t="s">
        <v>525</v>
      </c>
      <c r="CT2357" s="112" t="s">
        <v>5294</v>
      </c>
      <c r="CU2357" s="112" t="s">
        <v>527</v>
      </c>
      <c r="CV2357" s="113" t="s">
        <v>528</v>
      </c>
      <c r="CX2357" s="36">
        <v>1</v>
      </c>
    </row>
    <row r="2358" spans="91:102" ht="21" customHeight="1" x14ac:dyDescent="0.25">
      <c r="CM2358" s="102"/>
      <c r="CN2358" s="112" t="s">
        <v>5680</v>
      </c>
      <c r="CO2358" s="112" t="s">
        <v>551</v>
      </c>
      <c r="CP2358" s="112" t="s">
        <v>523</v>
      </c>
      <c r="CQ2358" s="112" t="s">
        <v>5681</v>
      </c>
      <c r="CR2358" s="112" t="s">
        <v>5681</v>
      </c>
      <c r="CS2358" s="112" t="s">
        <v>1168</v>
      </c>
      <c r="CT2358" s="112" t="s">
        <v>1169</v>
      </c>
      <c r="CU2358" s="112" t="s">
        <v>1170</v>
      </c>
      <c r="CV2358" s="113" t="s">
        <v>5266</v>
      </c>
      <c r="CX2358" s="36">
        <v>1</v>
      </c>
    </row>
    <row r="2359" spans="91:102" ht="21" customHeight="1" x14ac:dyDescent="0.25">
      <c r="CM2359" s="102"/>
      <c r="CN2359" s="112" t="s">
        <v>5682</v>
      </c>
      <c r="CO2359" s="112" t="s">
        <v>551</v>
      </c>
      <c r="CP2359" s="112" t="s">
        <v>523</v>
      </c>
      <c r="CQ2359" s="112" t="s">
        <v>5683</v>
      </c>
      <c r="CR2359" s="112" t="s">
        <v>5683</v>
      </c>
      <c r="CS2359" s="112" t="s">
        <v>610</v>
      </c>
      <c r="CT2359" s="112" t="s">
        <v>611</v>
      </c>
      <c r="CU2359" s="112" t="s">
        <v>527</v>
      </c>
      <c r="CV2359" s="113" t="s">
        <v>612</v>
      </c>
      <c r="CX2359" s="36">
        <v>1</v>
      </c>
    </row>
    <row r="2360" spans="91:102" ht="21" customHeight="1" x14ac:dyDescent="0.25">
      <c r="CM2360" s="102"/>
      <c r="CN2360" s="112" t="s">
        <v>5684</v>
      </c>
      <c r="CO2360" s="112" t="s">
        <v>551</v>
      </c>
      <c r="CP2360" s="112" t="s">
        <v>523</v>
      </c>
      <c r="CQ2360" s="112" t="s">
        <v>5685</v>
      </c>
      <c r="CR2360" s="112" t="s">
        <v>5685</v>
      </c>
      <c r="CS2360" s="112" t="s">
        <v>610</v>
      </c>
      <c r="CT2360" s="112" t="s">
        <v>611</v>
      </c>
      <c r="CU2360" s="112" t="s">
        <v>527</v>
      </c>
      <c r="CV2360" s="113" t="s">
        <v>612</v>
      </c>
      <c r="CX2360" s="36">
        <v>1</v>
      </c>
    </row>
    <row r="2361" spans="91:102" ht="21" customHeight="1" x14ac:dyDescent="0.25">
      <c r="CM2361" s="102"/>
      <c r="CN2361" s="112" t="s">
        <v>5686</v>
      </c>
      <c r="CO2361" s="112" t="s">
        <v>551</v>
      </c>
      <c r="CP2361" s="112" t="s">
        <v>523</v>
      </c>
      <c r="CQ2361" s="112" t="s">
        <v>5687</v>
      </c>
      <c r="CR2361" s="112" t="s">
        <v>5687</v>
      </c>
      <c r="CS2361" s="112" t="s">
        <v>1168</v>
      </c>
      <c r="CT2361" s="112" t="s">
        <v>1169</v>
      </c>
      <c r="CU2361" s="112" t="s">
        <v>1170</v>
      </c>
      <c r="CV2361" s="113" t="s">
        <v>5266</v>
      </c>
      <c r="CX2361" s="36">
        <v>1</v>
      </c>
    </row>
    <row r="2362" spans="91:102" ht="21" customHeight="1" x14ac:dyDescent="0.25">
      <c r="CM2362" s="102"/>
      <c r="CN2362" s="112" t="s">
        <v>5688</v>
      </c>
      <c r="CO2362" s="112" t="s">
        <v>551</v>
      </c>
      <c r="CP2362" s="112" t="s">
        <v>523</v>
      </c>
      <c r="CQ2362" s="112" t="s">
        <v>5689</v>
      </c>
      <c r="CR2362" s="112" t="s">
        <v>5689</v>
      </c>
      <c r="CS2362" s="112" t="s">
        <v>1168</v>
      </c>
      <c r="CT2362" s="112" t="s">
        <v>1169</v>
      </c>
      <c r="CU2362" s="112" t="s">
        <v>1170</v>
      </c>
      <c r="CV2362" s="113" t="s">
        <v>5266</v>
      </c>
      <c r="CX2362" s="36">
        <v>1</v>
      </c>
    </row>
    <row r="2363" spans="91:102" ht="21" customHeight="1" x14ac:dyDescent="0.25">
      <c r="CM2363" s="102"/>
      <c r="CN2363" s="112" t="s">
        <v>5690</v>
      </c>
      <c r="CO2363" s="112" t="s">
        <v>551</v>
      </c>
      <c r="CP2363" s="112" t="s">
        <v>523</v>
      </c>
      <c r="CQ2363" s="112" t="s">
        <v>5691</v>
      </c>
      <c r="CR2363" s="112" t="s">
        <v>5691</v>
      </c>
      <c r="CS2363" s="112" t="s">
        <v>1168</v>
      </c>
      <c r="CT2363" s="112" t="s">
        <v>1169</v>
      </c>
      <c r="CU2363" s="112" t="s">
        <v>1170</v>
      </c>
      <c r="CV2363" s="113" t="s">
        <v>5266</v>
      </c>
      <c r="CX2363" s="36">
        <v>1</v>
      </c>
    </row>
    <row r="2364" spans="91:102" ht="21" customHeight="1" x14ac:dyDescent="0.25">
      <c r="CM2364" s="102"/>
      <c r="CN2364" s="112" t="s">
        <v>5692</v>
      </c>
      <c r="CO2364" s="112" t="s">
        <v>551</v>
      </c>
      <c r="CP2364" s="112" t="s">
        <v>523</v>
      </c>
      <c r="CQ2364" s="112" t="s">
        <v>5693</v>
      </c>
      <c r="CR2364" s="112" t="s">
        <v>5693</v>
      </c>
      <c r="CS2364" s="112" t="s">
        <v>1168</v>
      </c>
      <c r="CT2364" s="112" t="s">
        <v>1169</v>
      </c>
      <c r="CU2364" s="112" t="s">
        <v>1170</v>
      </c>
      <c r="CV2364" s="113" t="s">
        <v>5266</v>
      </c>
      <c r="CX2364" s="36">
        <v>1</v>
      </c>
    </row>
    <row r="2365" spans="91:102" ht="21" customHeight="1" x14ac:dyDescent="0.25">
      <c r="CM2365" s="102"/>
      <c r="CN2365" s="112" t="s">
        <v>5694</v>
      </c>
      <c r="CO2365" s="112" t="s">
        <v>551</v>
      </c>
      <c r="CP2365" s="112" t="s">
        <v>523</v>
      </c>
      <c r="CQ2365" s="112" t="s">
        <v>5695</v>
      </c>
      <c r="CR2365" s="112" t="s">
        <v>5695</v>
      </c>
      <c r="CS2365" s="112" t="s">
        <v>1168</v>
      </c>
      <c r="CT2365" s="112" t="s">
        <v>1169</v>
      </c>
      <c r="CU2365" s="112" t="s">
        <v>1170</v>
      </c>
      <c r="CV2365" s="113" t="s">
        <v>5266</v>
      </c>
      <c r="CX2365" s="36">
        <v>1</v>
      </c>
    </row>
    <row r="2366" spans="91:102" ht="21" customHeight="1" x14ac:dyDescent="0.25">
      <c r="CM2366" s="102"/>
      <c r="CN2366" s="112" t="s">
        <v>5696</v>
      </c>
      <c r="CO2366" s="112" t="s">
        <v>551</v>
      </c>
      <c r="CP2366" s="112" t="s">
        <v>523</v>
      </c>
      <c r="CQ2366" s="112" t="s">
        <v>5697</v>
      </c>
      <c r="CR2366" s="112" t="s">
        <v>5697</v>
      </c>
      <c r="CS2366" s="112" t="s">
        <v>1168</v>
      </c>
      <c r="CT2366" s="112" t="s">
        <v>1169</v>
      </c>
      <c r="CU2366" s="112" t="s">
        <v>1170</v>
      </c>
      <c r="CV2366" s="113" t="s">
        <v>5266</v>
      </c>
      <c r="CX2366" s="36">
        <v>1</v>
      </c>
    </row>
    <row r="2367" spans="91:102" ht="21" customHeight="1" x14ac:dyDescent="0.25">
      <c r="CM2367" s="102"/>
      <c r="CN2367" s="112" t="s">
        <v>5698</v>
      </c>
      <c r="CO2367" s="112" t="s">
        <v>551</v>
      </c>
      <c r="CP2367" s="112" t="s">
        <v>523</v>
      </c>
      <c r="CQ2367" s="112" t="s">
        <v>5699</v>
      </c>
      <c r="CR2367" s="112" t="s">
        <v>5699</v>
      </c>
      <c r="CS2367" s="112" t="s">
        <v>525</v>
      </c>
      <c r="CT2367" s="112" t="s">
        <v>5294</v>
      </c>
      <c r="CU2367" s="112" t="s">
        <v>527</v>
      </c>
      <c r="CV2367" s="113" t="s">
        <v>528</v>
      </c>
      <c r="CX2367" s="36">
        <v>1</v>
      </c>
    </row>
    <row r="2368" spans="91:102" ht="21" customHeight="1" x14ac:dyDescent="0.25">
      <c r="CM2368" s="102"/>
      <c r="CN2368" s="112" t="s">
        <v>5700</v>
      </c>
      <c r="CO2368" s="112" t="s">
        <v>551</v>
      </c>
      <c r="CP2368" s="112" t="s">
        <v>523</v>
      </c>
      <c r="CQ2368" s="112" t="s">
        <v>5701</v>
      </c>
      <c r="CR2368" s="112" t="s">
        <v>5701</v>
      </c>
      <c r="CS2368" s="112" t="s">
        <v>1168</v>
      </c>
      <c r="CT2368" s="112" t="s">
        <v>1169</v>
      </c>
      <c r="CU2368" s="112" t="s">
        <v>1170</v>
      </c>
      <c r="CV2368" s="113" t="s">
        <v>5266</v>
      </c>
      <c r="CX2368" s="36">
        <v>1</v>
      </c>
    </row>
    <row r="2369" spans="91:102" ht="21" customHeight="1" x14ac:dyDescent="0.25">
      <c r="CM2369" s="102"/>
      <c r="CN2369" s="112" t="s">
        <v>5702</v>
      </c>
      <c r="CO2369" s="112" t="s">
        <v>551</v>
      </c>
      <c r="CP2369" s="112" t="s">
        <v>523</v>
      </c>
      <c r="CQ2369" s="112" t="s">
        <v>5703</v>
      </c>
      <c r="CR2369" s="112" t="s">
        <v>5703</v>
      </c>
      <c r="CS2369" s="112" t="s">
        <v>1168</v>
      </c>
      <c r="CT2369" s="112" t="s">
        <v>1169</v>
      </c>
      <c r="CU2369" s="112" t="s">
        <v>1170</v>
      </c>
      <c r="CV2369" s="113" t="s">
        <v>5266</v>
      </c>
      <c r="CX2369" s="36">
        <v>1</v>
      </c>
    </row>
    <row r="2370" spans="91:102" ht="21" customHeight="1" x14ac:dyDescent="0.25">
      <c r="CM2370" s="102"/>
      <c r="CN2370" s="112" t="s">
        <v>5704</v>
      </c>
      <c r="CO2370" s="112" t="s">
        <v>551</v>
      </c>
      <c r="CP2370" s="112" t="s">
        <v>523</v>
      </c>
      <c r="CQ2370" s="112" t="s">
        <v>5705</v>
      </c>
      <c r="CR2370" s="112" t="s">
        <v>5705</v>
      </c>
      <c r="CS2370" s="112" t="s">
        <v>1168</v>
      </c>
      <c r="CT2370" s="112" t="s">
        <v>1169</v>
      </c>
      <c r="CU2370" s="112" t="s">
        <v>1170</v>
      </c>
      <c r="CV2370" s="113" t="s">
        <v>5266</v>
      </c>
      <c r="CX2370" s="36">
        <v>1</v>
      </c>
    </row>
    <row r="2371" spans="91:102" ht="21" customHeight="1" x14ac:dyDescent="0.25">
      <c r="CM2371" s="102"/>
      <c r="CN2371" s="112" t="s">
        <v>5706</v>
      </c>
      <c r="CO2371" s="112" t="s">
        <v>551</v>
      </c>
      <c r="CP2371" s="112" t="s">
        <v>523</v>
      </c>
      <c r="CQ2371" s="112" t="s">
        <v>5707</v>
      </c>
      <c r="CR2371" s="112" t="s">
        <v>5707</v>
      </c>
      <c r="CS2371" s="112" t="s">
        <v>1168</v>
      </c>
      <c r="CT2371" s="112" t="s">
        <v>1169</v>
      </c>
      <c r="CU2371" s="112" t="s">
        <v>1170</v>
      </c>
      <c r="CV2371" s="113" t="s">
        <v>5266</v>
      </c>
      <c r="CX2371" s="36">
        <v>1</v>
      </c>
    </row>
    <row r="2372" spans="91:102" ht="21" customHeight="1" x14ac:dyDescent="0.25">
      <c r="CM2372" s="102"/>
      <c r="CN2372" s="112" t="s">
        <v>5708</v>
      </c>
      <c r="CO2372" s="112" t="s">
        <v>551</v>
      </c>
      <c r="CP2372" s="112" t="s">
        <v>523</v>
      </c>
      <c r="CQ2372" s="112" t="s">
        <v>5709</v>
      </c>
      <c r="CR2372" s="112" t="s">
        <v>5709</v>
      </c>
      <c r="CS2372" s="112" t="s">
        <v>1168</v>
      </c>
      <c r="CT2372" s="112" t="s">
        <v>1169</v>
      </c>
      <c r="CU2372" s="112" t="s">
        <v>1170</v>
      </c>
      <c r="CV2372" s="113" t="s">
        <v>5266</v>
      </c>
      <c r="CX2372" s="36">
        <v>1</v>
      </c>
    </row>
    <row r="2373" spans="91:102" ht="21" customHeight="1" x14ac:dyDescent="0.25">
      <c r="CM2373" s="102"/>
      <c r="CN2373" s="112" t="s">
        <v>5710</v>
      </c>
      <c r="CO2373" s="112" t="s">
        <v>551</v>
      </c>
      <c r="CP2373" s="112" t="s">
        <v>523</v>
      </c>
      <c r="CQ2373" s="112" t="s">
        <v>5711</v>
      </c>
      <c r="CR2373" s="112" t="s">
        <v>5711</v>
      </c>
      <c r="CS2373" s="112" t="s">
        <v>610</v>
      </c>
      <c r="CT2373" s="112" t="s">
        <v>611</v>
      </c>
      <c r="CU2373" s="112" t="s">
        <v>527</v>
      </c>
      <c r="CV2373" s="113" t="s">
        <v>612</v>
      </c>
      <c r="CX2373" s="36">
        <v>1</v>
      </c>
    </row>
    <row r="2374" spans="91:102" ht="21" customHeight="1" x14ac:dyDescent="0.25">
      <c r="CM2374" s="102"/>
      <c r="CN2374" s="112" t="s">
        <v>5712</v>
      </c>
      <c r="CO2374" s="112" t="s">
        <v>551</v>
      </c>
      <c r="CP2374" s="112" t="s">
        <v>523</v>
      </c>
      <c r="CQ2374" s="112" t="s">
        <v>5713</v>
      </c>
      <c r="CR2374" s="112" t="s">
        <v>5713</v>
      </c>
      <c r="CS2374" s="112" t="s">
        <v>1168</v>
      </c>
      <c r="CT2374" s="112" t="s">
        <v>1169</v>
      </c>
      <c r="CU2374" s="112" t="s">
        <v>1170</v>
      </c>
      <c r="CV2374" s="113" t="s">
        <v>5266</v>
      </c>
      <c r="CX2374" s="36">
        <v>1</v>
      </c>
    </row>
    <row r="2375" spans="91:102" ht="21" customHeight="1" x14ac:dyDescent="0.25">
      <c r="CM2375" s="102"/>
      <c r="CN2375" s="112" t="s">
        <v>5714</v>
      </c>
      <c r="CO2375" s="112" t="s">
        <v>551</v>
      </c>
      <c r="CP2375" s="112" t="s">
        <v>523</v>
      </c>
      <c r="CQ2375" s="112" t="s">
        <v>5715</v>
      </c>
      <c r="CR2375" s="112" t="s">
        <v>5715</v>
      </c>
      <c r="CS2375" s="112" t="s">
        <v>1168</v>
      </c>
      <c r="CT2375" s="112" t="s">
        <v>1169</v>
      </c>
      <c r="CU2375" s="112" t="s">
        <v>1170</v>
      </c>
      <c r="CV2375" s="113" t="s">
        <v>5266</v>
      </c>
      <c r="CX2375" s="36">
        <v>1</v>
      </c>
    </row>
    <row r="2376" spans="91:102" ht="21" customHeight="1" x14ac:dyDescent="0.25">
      <c r="CM2376" s="102"/>
      <c r="CN2376" s="112" t="s">
        <v>5716</v>
      </c>
      <c r="CO2376" s="112" t="s">
        <v>551</v>
      </c>
      <c r="CP2376" s="112" t="s">
        <v>523</v>
      </c>
      <c r="CQ2376" s="112" t="s">
        <v>5717</v>
      </c>
      <c r="CR2376" s="112" t="s">
        <v>5717</v>
      </c>
      <c r="CS2376" s="112" t="s">
        <v>1168</v>
      </c>
      <c r="CT2376" s="112" t="s">
        <v>1169</v>
      </c>
      <c r="CU2376" s="112" t="s">
        <v>1170</v>
      </c>
      <c r="CV2376" s="113" t="s">
        <v>5266</v>
      </c>
      <c r="CX2376" s="36">
        <v>1</v>
      </c>
    </row>
    <row r="2377" spans="91:102" ht="21" customHeight="1" x14ac:dyDescent="0.25">
      <c r="CM2377" s="102"/>
      <c r="CN2377" s="112" t="s">
        <v>5718</v>
      </c>
      <c r="CO2377" s="112" t="s">
        <v>551</v>
      </c>
      <c r="CP2377" s="112" t="s">
        <v>523</v>
      </c>
      <c r="CQ2377" s="112" t="s">
        <v>5719</v>
      </c>
      <c r="CR2377" s="112" t="s">
        <v>5719</v>
      </c>
      <c r="CS2377" s="112" t="s">
        <v>1168</v>
      </c>
      <c r="CT2377" s="112" t="s">
        <v>1169</v>
      </c>
      <c r="CU2377" s="112" t="s">
        <v>1170</v>
      </c>
      <c r="CV2377" s="113" t="s">
        <v>5266</v>
      </c>
      <c r="CX2377" s="36">
        <v>1</v>
      </c>
    </row>
    <row r="2378" spans="91:102" ht="21" customHeight="1" x14ac:dyDescent="0.25">
      <c r="CM2378" s="102"/>
      <c r="CN2378" s="112" t="s">
        <v>5720</v>
      </c>
      <c r="CO2378" s="112" t="s">
        <v>551</v>
      </c>
      <c r="CP2378" s="112" t="s">
        <v>523</v>
      </c>
      <c r="CQ2378" s="112" t="s">
        <v>5721</v>
      </c>
      <c r="CR2378" s="112" t="s">
        <v>5721</v>
      </c>
      <c r="CS2378" s="112" t="s">
        <v>525</v>
      </c>
      <c r="CT2378" s="112" t="s">
        <v>5294</v>
      </c>
      <c r="CU2378" s="112" t="s">
        <v>527</v>
      </c>
      <c r="CV2378" s="113" t="s">
        <v>528</v>
      </c>
      <c r="CX2378" s="36">
        <v>1</v>
      </c>
    </row>
    <row r="2379" spans="91:102" ht="21" customHeight="1" x14ac:dyDescent="0.25">
      <c r="CM2379" s="102"/>
      <c r="CN2379" s="112" t="s">
        <v>5722</v>
      </c>
      <c r="CO2379" s="112" t="s">
        <v>551</v>
      </c>
      <c r="CP2379" s="112" t="s">
        <v>523</v>
      </c>
      <c r="CQ2379" s="112" t="s">
        <v>5723</v>
      </c>
      <c r="CR2379" s="112" t="s">
        <v>5723</v>
      </c>
      <c r="CS2379" s="112" t="s">
        <v>1168</v>
      </c>
      <c r="CT2379" s="112" t="s">
        <v>1169</v>
      </c>
      <c r="CU2379" s="112" t="s">
        <v>1170</v>
      </c>
      <c r="CV2379" s="113" t="s">
        <v>5266</v>
      </c>
      <c r="CX2379" s="36">
        <v>1</v>
      </c>
    </row>
    <row r="2380" spans="91:102" ht="21" customHeight="1" x14ac:dyDescent="0.25">
      <c r="CM2380" s="102"/>
      <c r="CN2380" s="112" t="s">
        <v>5724</v>
      </c>
      <c r="CO2380" s="112" t="s">
        <v>551</v>
      </c>
      <c r="CP2380" s="112" t="s">
        <v>523</v>
      </c>
      <c r="CQ2380" s="112" t="s">
        <v>5725</v>
      </c>
      <c r="CR2380" s="112" t="s">
        <v>5725</v>
      </c>
      <c r="CS2380" s="112" t="s">
        <v>1168</v>
      </c>
      <c r="CT2380" s="112" t="s">
        <v>1169</v>
      </c>
      <c r="CU2380" s="112" t="s">
        <v>1170</v>
      </c>
      <c r="CV2380" s="113" t="s">
        <v>5266</v>
      </c>
      <c r="CX2380" s="36">
        <v>1</v>
      </c>
    </row>
    <row r="2381" spans="91:102" ht="21" customHeight="1" x14ac:dyDescent="0.25">
      <c r="CM2381" s="102"/>
      <c r="CN2381" s="112" t="s">
        <v>5726</v>
      </c>
      <c r="CO2381" s="112" t="s">
        <v>551</v>
      </c>
      <c r="CP2381" s="112" t="s">
        <v>523</v>
      </c>
      <c r="CQ2381" s="112" t="s">
        <v>5727</v>
      </c>
      <c r="CR2381" s="112" t="s">
        <v>5727</v>
      </c>
      <c r="CS2381" s="112" t="s">
        <v>1168</v>
      </c>
      <c r="CT2381" s="112" t="s">
        <v>1169</v>
      </c>
      <c r="CU2381" s="112" t="s">
        <v>1170</v>
      </c>
      <c r="CV2381" s="113" t="s">
        <v>5266</v>
      </c>
      <c r="CX2381" s="36">
        <v>1</v>
      </c>
    </row>
    <row r="2382" spans="91:102" ht="21" customHeight="1" x14ac:dyDescent="0.25">
      <c r="CM2382" s="102"/>
      <c r="CN2382" s="112" t="s">
        <v>5728</v>
      </c>
      <c r="CO2382" s="112" t="s">
        <v>551</v>
      </c>
      <c r="CP2382" s="112" t="s">
        <v>523</v>
      </c>
      <c r="CQ2382" s="112" t="s">
        <v>5729</v>
      </c>
      <c r="CR2382" s="112" t="s">
        <v>5729</v>
      </c>
      <c r="CS2382" s="112" t="s">
        <v>1168</v>
      </c>
      <c r="CT2382" s="112" t="s">
        <v>1169</v>
      </c>
      <c r="CU2382" s="112" t="s">
        <v>1170</v>
      </c>
      <c r="CV2382" s="113" t="s">
        <v>5266</v>
      </c>
      <c r="CX2382" s="36">
        <v>1</v>
      </c>
    </row>
    <row r="2383" spans="91:102" ht="21" customHeight="1" x14ac:dyDescent="0.25">
      <c r="CM2383" s="102"/>
      <c r="CN2383" s="112" t="s">
        <v>5730</v>
      </c>
      <c r="CO2383" s="112" t="s">
        <v>551</v>
      </c>
      <c r="CP2383" s="112" t="s">
        <v>523</v>
      </c>
      <c r="CQ2383" s="112" t="s">
        <v>5731</v>
      </c>
      <c r="CR2383" s="112" t="s">
        <v>5731</v>
      </c>
      <c r="CS2383" s="112" t="s">
        <v>1168</v>
      </c>
      <c r="CT2383" s="112" t="s">
        <v>1169</v>
      </c>
      <c r="CU2383" s="112" t="s">
        <v>1170</v>
      </c>
      <c r="CV2383" s="113" t="s">
        <v>5266</v>
      </c>
      <c r="CX2383" s="36">
        <v>1</v>
      </c>
    </row>
    <row r="2384" spans="91:102" ht="21" customHeight="1" x14ac:dyDescent="0.25">
      <c r="CM2384" s="102"/>
      <c r="CN2384" s="112" t="s">
        <v>5732</v>
      </c>
      <c r="CO2384" s="112" t="s">
        <v>551</v>
      </c>
      <c r="CP2384" s="112" t="s">
        <v>523</v>
      </c>
      <c r="CQ2384" s="112" t="s">
        <v>5733</v>
      </c>
      <c r="CR2384" s="112" t="s">
        <v>5733</v>
      </c>
      <c r="CS2384" s="112" t="s">
        <v>1168</v>
      </c>
      <c r="CT2384" s="112" t="s">
        <v>1169</v>
      </c>
      <c r="CU2384" s="112" t="s">
        <v>1170</v>
      </c>
      <c r="CV2384" s="113" t="s">
        <v>5266</v>
      </c>
      <c r="CX2384" s="36">
        <v>1</v>
      </c>
    </row>
    <row r="2385" spans="91:102" ht="21" customHeight="1" x14ac:dyDescent="0.25">
      <c r="CM2385" s="102"/>
      <c r="CN2385" s="112" t="s">
        <v>5734</v>
      </c>
      <c r="CO2385" s="112" t="s">
        <v>551</v>
      </c>
      <c r="CP2385" s="112" t="s">
        <v>523</v>
      </c>
      <c r="CQ2385" s="112" t="s">
        <v>5735</v>
      </c>
      <c r="CR2385" s="112" t="s">
        <v>5735</v>
      </c>
      <c r="CS2385" s="112" t="s">
        <v>1168</v>
      </c>
      <c r="CT2385" s="112" t="s">
        <v>1169</v>
      </c>
      <c r="CU2385" s="112" t="s">
        <v>1170</v>
      </c>
      <c r="CV2385" s="113" t="s">
        <v>5266</v>
      </c>
      <c r="CX2385" s="36">
        <v>1</v>
      </c>
    </row>
    <row r="2386" spans="91:102" ht="21" customHeight="1" x14ac:dyDescent="0.25">
      <c r="CM2386" s="102"/>
      <c r="CN2386" s="112" t="s">
        <v>5736</v>
      </c>
      <c r="CO2386" s="112" t="s">
        <v>551</v>
      </c>
      <c r="CP2386" s="112" t="s">
        <v>523</v>
      </c>
      <c r="CQ2386" s="112" t="s">
        <v>5737</v>
      </c>
      <c r="CR2386" s="112" t="s">
        <v>5737</v>
      </c>
      <c r="CS2386" s="112" t="s">
        <v>1168</v>
      </c>
      <c r="CT2386" s="112" t="s">
        <v>1169</v>
      </c>
      <c r="CU2386" s="112" t="s">
        <v>1170</v>
      </c>
      <c r="CV2386" s="113" t="s">
        <v>5266</v>
      </c>
      <c r="CX2386" s="36">
        <v>1</v>
      </c>
    </row>
    <row r="2387" spans="91:102" ht="21" customHeight="1" x14ac:dyDescent="0.25">
      <c r="CM2387" s="102"/>
      <c r="CN2387" s="112" t="s">
        <v>5738</v>
      </c>
      <c r="CO2387" s="112" t="s">
        <v>551</v>
      </c>
      <c r="CP2387" s="112" t="s">
        <v>523</v>
      </c>
      <c r="CQ2387" s="112" t="s">
        <v>5739</v>
      </c>
      <c r="CR2387" s="112" t="s">
        <v>5739</v>
      </c>
      <c r="CS2387" s="112" t="s">
        <v>1168</v>
      </c>
      <c r="CT2387" s="112" t="s">
        <v>1169</v>
      </c>
      <c r="CU2387" s="112" t="s">
        <v>1170</v>
      </c>
      <c r="CV2387" s="113" t="s">
        <v>5266</v>
      </c>
      <c r="CX2387" s="36">
        <v>1</v>
      </c>
    </row>
    <row r="2388" spans="91:102" ht="21" customHeight="1" x14ac:dyDescent="0.25">
      <c r="CM2388" s="102"/>
      <c r="CN2388" s="112" t="s">
        <v>5740</v>
      </c>
      <c r="CO2388" s="112" t="s">
        <v>551</v>
      </c>
      <c r="CP2388" s="112" t="s">
        <v>523</v>
      </c>
      <c r="CQ2388" s="112" t="s">
        <v>5741</v>
      </c>
      <c r="CR2388" s="112" t="s">
        <v>5741</v>
      </c>
      <c r="CS2388" s="112" t="s">
        <v>1168</v>
      </c>
      <c r="CT2388" s="112" t="s">
        <v>1169</v>
      </c>
      <c r="CU2388" s="112" t="s">
        <v>1170</v>
      </c>
      <c r="CV2388" s="113" t="s">
        <v>5266</v>
      </c>
      <c r="CX2388" s="36">
        <v>1</v>
      </c>
    </row>
    <row r="2389" spans="91:102" ht="21" customHeight="1" x14ac:dyDescent="0.25">
      <c r="CM2389" s="102"/>
      <c r="CN2389" s="112" t="s">
        <v>5742</v>
      </c>
      <c r="CO2389" s="112" t="s">
        <v>551</v>
      </c>
      <c r="CP2389" s="112" t="s">
        <v>523</v>
      </c>
      <c r="CQ2389" s="112" t="s">
        <v>5743</v>
      </c>
      <c r="CR2389" s="112" t="s">
        <v>5743</v>
      </c>
      <c r="CS2389" s="112" t="s">
        <v>1168</v>
      </c>
      <c r="CT2389" s="112" t="s">
        <v>1169</v>
      </c>
      <c r="CU2389" s="112" t="s">
        <v>1170</v>
      </c>
      <c r="CV2389" s="113" t="s">
        <v>5266</v>
      </c>
      <c r="CX2389" s="36">
        <v>1</v>
      </c>
    </row>
    <row r="2390" spans="91:102" ht="21" customHeight="1" x14ac:dyDescent="0.25">
      <c r="CM2390" s="102"/>
      <c r="CN2390" s="112" t="s">
        <v>5744</v>
      </c>
      <c r="CO2390" s="112" t="s">
        <v>551</v>
      </c>
      <c r="CP2390" s="112" t="s">
        <v>523</v>
      </c>
      <c r="CQ2390" s="112" t="s">
        <v>5745</v>
      </c>
      <c r="CR2390" s="112" t="s">
        <v>5745</v>
      </c>
      <c r="CS2390" s="112" t="s">
        <v>1168</v>
      </c>
      <c r="CT2390" s="112" t="s">
        <v>1169</v>
      </c>
      <c r="CU2390" s="112" t="s">
        <v>1170</v>
      </c>
      <c r="CV2390" s="113" t="s">
        <v>5266</v>
      </c>
      <c r="CX2390" s="36">
        <v>1</v>
      </c>
    </row>
    <row r="2391" spans="91:102" ht="21" customHeight="1" x14ac:dyDescent="0.25">
      <c r="CM2391" s="102"/>
      <c r="CN2391" s="112" t="s">
        <v>5746</v>
      </c>
      <c r="CO2391" s="112" t="s">
        <v>551</v>
      </c>
      <c r="CP2391" s="112" t="s">
        <v>523</v>
      </c>
      <c r="CQ2391" s="112" t="s">
        <v>5747</v>
      </c>
      <c r="CR2391" s="112" t="s">
        <v>5747</v>
      </c>
      <c r="CS2391" s="112" t="s">
        <v>1168</v>
      </c>
      <c r="CT2391" s="112" t="s">
        <v>1169</v>
      </c>
      <c r="CU2391" s="112" t="s">
        <v>1170</v>
      </c>
      <c r="CV2391" s="113" t="s">
        <v>5266</v>
      </c>
      <c r="CX2391" s="36">
        <v>1</v>
      </c>
    </row>
    <row r="2392" spans="91:102" ht="21" customHeight="1" x14ac:dyDescent="0.25">
      <c r="CM2392" s="102"/>
      <c r="CN2392" s="112" t="s">
        <v>5748</v>
      </c>
      <c r="CO2392" s="112" t="s">
        <v>551</v>
      </c>
      <c r="CP2392" s="112" t="s">
        <v>523</v>
      </c>
      <c r="CQ2392" s="112" t="s">
        <v>5749</v>
      </c>
      <c r="CR2392" s="112" t="s">
        <v>5749</v>
      </c>
      <c r="CS2392" s="112" t="s">
        <v>1168</v>
      </c>
      <c r="CT2392" s="112" t="s">
        <v>1169</v>
      </c>
      <c r="CU2392" s="112" t="s">
        <v>1170</v>
      </c>
      <c r="CV2392" s="113" t="s">
        <v>5266</v>
      </c>
      <c r="CX2392" s="36">
        <v>1</v>
      </c>
    </row>
    <row r="2393" spans="91:102" ht="21" customHeight="1" x14ac:dyDescent="0.25">
      <c r="CM2393" s="102"/>
      <c r="CN2393" s="112" t="s">
        <v>5750</v>
      </c>
      <c r="CO2393" s="112" t="s">
        <v>551</v>
      </c>
      <c r="CP2393" s="112" t="s">
        <v>523</v>
      </c>
      <c r="CQ2393" s="112" t="s">
        <v>5751</v>
      </c>
      <c r="CR2393" s="112" t="s">
        <v>5751</v>
      </c>
      <c r="CS2393" s="112" t="s">
        <v>610</v>
      </c>
      <c r="CT2393" s="112" t="s">
        <v>611</v>
      </c>
      <c r="CU2393" s="112" t="s">
        <v>527</v>
      </c>
      <c r="CV2393" s="113" t="s">
        <v>612</v>
      </c>
      <c r="CX2393" s="36">
        <v>1</v>
      </c>
    </row>
    <row r="2394" spans="91:102" ht="21" customHeight="1" x14ac:dyDescent="0.25">
      <c r="CM2394" s="102"/>
      <c r="CN2394" s="112" t="s">
        <v>5752</v>
      </c>
      <c r="CO2394" s="112" t="s">
        <v>551</v>
      </c>
      <c r="CP2394" s="112" t="s">
        <v>523</v>
      </c>
      <c r="CQ2394" s="112" t="s">
        <v>5753</v>
      </c>
      <c r="CR2394" s="112" t="s">
        <v>5753</v>
      </c>
      <c r="CS2394" s="112" t="s">
        <v>610</v>
      </c>
      <c r="CT2394" s="112" t="s">
        <v>611</v>
      </c>
      <c r="CU2394" s="112" t="s">
        <v>527</v>
      </c>
      <c r="CV2394" s="113" t="s">
        <v>612</v>
      </c>
      <c r="CX2394" s="36">
        <v>1</v>
      </c>
    </row>
    <row r="2395" spans="91:102" ht="21" customHeight="1" x14ac:dyDescent="0.25">
      <c r="CM2395" s="102"/>
      <c r="CN2395" s="112" t="s">
        <v>5754</v>
      </c>
      <c r="CO2395" s="112" t="s">
        <v>551</v>
      </c>
      <c r="CP2395" s="112" t="s">
        <v>523</v>
      </c>
      <c r="CQ2395" s="112" t="s">
        <v>5755</v>
      </c>
      <c r="CR2395" s="112" t="s">
        <v>5755</v>
      </c>
      <c r="CS2395" s="112" t="s">
        <v>1168</v>
      </c>
      <c r="CT2395" s="112" t="s">
        <v>1169</v>
      </c>
      <c r="CU2395" s="112" t="s">
        <v>1170</v>
      </c>
      <c r="CV2395" s="113" t="s">
        <v>5266</v>
      </c>
      <c r="CX2395" s="36">
        <v>1</v>
      </c>
    </row>
    <row r="2396" spans="91:102" ht="21" customHeight="1" x14ac:dyDescent="0.25">
      <c r="CM2396" s="102"/>
      <c r="CN2396" s="112" t="s">
        <v>5756</v>
      </c>
      <c r="CO2396" s="112" t="s">
        <v>551</v>
      </c>
      <c r="CP2396" s="112" t="s">
        <v>935</v>
      </c>
      <c r="CQ2396" s="112" t="s">
        <v>5757</v>
      </c>
      <c r="CR2396" s="112" t="s">
        <v>5757</v>
      </c>
      <c r="CS2396" s="112" t="s">
        <v>525</v>
      </c>
      <c r="CT2396" s="112" t="s">
        <v>5758</v>
      </c>
      <c r="CU2396" s="112" t="s">
        <v>527</v>
      </c>
      <c r="CV2396" s="113" t="s">
        <v>528</v>
      </c>
      <c r="CX2396" s="36">
        <v>1</v>
      </c>
    </row>
    <row r="2397" spans="91:102" ht="21" customHeight="1" x14ac:dyDescent="0.25">
      <c r="CM2397" s="102"/>
      <c r="CN2397" s="112" t="s">
        <v>5759</v>
      </c>
      <c r="CO2397" s="112" t="s">
        <v>551</v>
      </c>
      <c r="CP2397" s="112" t="s">
        <v>935</v>
      </c>
      <c r="CQ2397" s="112" t="s">
        <v>5760</v>
      </c>
      <c r="CR2397" s="112" t="s">
        <v>5760</v>
      </c>
      <c r="CS2397" s="112" t="s">
        <v>525</v>
      </c>
      <c r="CT2397" s="112" t="s">
        <v>5758</v>
      </c>
      <c r="CU2397" s="112" t="s">
        <v>527</v>
      </c>
      <c r="CV2397" s="113" t="s">
        <v>528</v>
      </c>
      <c r="CX2397" s="36">
        <v>1</v>
      </c>
    </row>
    <row r="2398" spans="91:102" ht="21" customHeight="1" x14ac:dyDescent="0.25">
      <c r="CM2398" s="102"/>
      <c r="CN2398" s="112" t="s">
        <v>5761</v>
      </c>
      <c r="CO2398" s="112" t="s">
        <v>551</v>
      </c>
      <c r="CP2398" s="112" t="s">
        <v>935</v>
      </c>
      <c r="CQ2398" s="112" t="s">
        <v>5762</v>
      </c>
      <c r="CR2398" s="112" t="s">
        <v>5762</v>
      </c>
      <c r="CS2398" s="112" t="s">
        <v>525</v>
      </c>
      <c r="CT2398" s="112" t="s">
        <v>5758</v>
      </c>
      <c r="CU2398" s="112" t="s">
        <v>527</v>
      </c>
      <c r="CV2398" s="113" t="s">
        <v>528</v>
      </c>
      <c r="CX2398" s="36">
        <v>1</v>
      </c>
    </row>
    <row r="2399" spans="91:102" ht="21" customHeight="1" x14ac:dyDescent="0.25">
      <c r="CM2399" s="102"/>
      <c r="CN2399" s="112" t="s">
        <v>5763</v>
      </c>
      <c r="CO2399" s="112" t="s">
        <v>551</v>
      </c>
      <c r="CP2399" s="112" t="s">
        <v>935</v>
      </c>
      <c r="CQ2399" s="112" t="s">
        <v>5764</v>
      </c>
      <c r="CR2399" s="112" t="s">
        <v>5764</v>
      </c>
      <c r="CS2399" s="112" t="s">
        <v>525</v>
      </c>
      <c r="CT2399" s="112" t="s">
        <v>5758</v>
      </c>
      <c r="CU2399" s="112" t="s">
        <v>527</v>
      </c>
      <c r="CV2399" s="113" t="s">
        <v>528</v>
      </c>
      <c r="CX2399" s="36">
        <v>1</v>
      </c>
    </row>
    <row r="2400" spans="91:102" ht="21" customHeight="1" x14ac:dyDescent="0.25">
      <c r="CM2400" s="102"/>
      <c r="CN2400" s="112" t="s">
        <v>5765</v>
      </c>
      <c r="CO2400" s="112" t="s">
        <v>551</v>
      </c>
      <c r="CP2400" s="112" t="s">
        <v>935</v>
      </c>
      <c r="CQ2400" s="112" t="s">
        <v>5766</v>
      </c>
      <c r="CR2400" s="112" t="s">
        <v>5766</v>
      </c>
      <c r="CS2400" s="112" t="s">
        <v>525</v>
      </c>
      <c r="CT2400" s="112" t="s">
        <v>5758</v>
      </c>
      <c r="CU2400" s="112" t="s">
        <v>527</v>
      </c>
      <c r="CV2400" s="113" t="s">
        <v>528</v>
      </c>
      <c r="CX2400" s="36">
        <v>1</v>
      </c>
    </row>
    <row r="2401" spans="91:102" ht="21" customHeight="1" x14ac:dyDescent="0.25">
      <c r="CM2401" s="102"/>
      <c r="CN2401" s="112" t="s">
        <v>5767</v>
      </c>
      <c r="CO2401" s="112" t="s">
        <v>551</v>
      </c>
      <c r="CP2401" s="112" t="s">
        <v>935</v>
      </c>
      <c r="CQ2401" s="112" t="s">
        <v>5768</v>
      </c>
      <c r="CR2401" s="112" t="s">
        <v>5768</v>
      </c>
      <c r="CS2401" s="112" t="s">
        <v>525</v>
      </c>
      <c r="CT2401" s="112" t="s">
        <v>5758</v>
      </c>
      <c r="CU2401" s="112" t="s">
        <v>527</v>
      </c>
      <c r="CV2401" s="113" t="s">
        <v>528</v>
      </c>
      <c r="CX2401" s="36">
        <v>1</v>
      </c>
    </row>
    <row r="2402" spans="91:102" ht="21" customHeight="1" x14ac:dyDescent="0.25">
      <c r="CM2402" s="102"/>
      <c r="CN2402" s="112" t="s">
        <v>5769</v>
      </c>
      <c r="CO2402" s="112" t="s">
        <v>551</v>
      </c>
      <c r="CP2402" s="112" t="s">
        <v>935</v>
      </c>
      <c r="CQ2402" s="112" t="s">
        <v>1079</v>
      </c>
      <c r="CR2402" s="112" t="s">
        <v>1080</v>
      </c>
      <c r="CS2402" s="112" t="s">
        <v>610</v>
      </c>
      <c r="CT2402" s="112" t="s">
        <v>937</v>
      </c>
      <c r="CU2402" s="112" t="s">
        <v>527</v>
      </c>
      <c r="CV2402" s="113" t="s">
        <v>612</v>
      </c>
      <c r="CX2402" s="36">
        <v>1</v>
      </c>
    </row>
    <row r="2403" spans="91:102" ht="21" customHeight="1" x14ac:dyDescent="0.25">
      <c r="CM2403" s="102"/>
      <c r="CN2403" s="112" t="s">
        <v>5770</v>
      </c>
      <c r="CO2403" s="112" t="s">
        <v>551</v>
      </c>
      <c r="CP2403" s="112" t="s">
        <v>935</v>
      </c>
      <c r="CQ2403" s="112" t="s">
        <v>1082</v>
      </c>
      <c r="CR2403" s="112" t="s">
        <v>1083</v>
      </c>
      <c r="CS2403" s="112" t="s">
        <v>525</v>
      </c>
      <c r="CT2403" s="112" t="s">
        <v>5758</v>
      </c>
      <c r="CU2403" s="112" t="s">
        <v>527</v>
      </c>
      <c r="CV2403" s="113" t="s">
        <v>528</v>
      </c>
      <c r="CX2403" s="36">
        <v>1</v>
      </c>
    </row>
    <row r="2404" spans="91:102" ht="21" customHeight="1" x14ac:dyDescent="0.25">
      <c r="CM2404" s="102"/>
      <c r="CN2404" s="112" t="s">
        <v>5771</v>
      </c>
      <c r="CO2404" s="112" t="s">
        <v>551</v>
      </c>
      <c r="CP2404" s="112" t="s">
        <v>935</v>
      </c>
      <c r="CQ2404" s="112" t="s">
        <v>1085</v>
      </c>
      <c r="CR2404" s="112" t="s">
        <v>1086</v>
      </c>
      <c r="CS2404" s="112" t="s">
        <v>525</v>
      </c>
      <c r="CT2404" s="112" t="s">
        <v>5758</v>
      </c>
      <c r="CU2404" s="112" t="s">
        <v>527</v>
      </c>
      <c r="CV2404" s="113" t="s">
        <v>528</v>
      </c>
      <c r="CX2404" s="36">
        <v>1</v>
      </c>
    </row>
    <row r="2405" spans="91:102" ht="21" customHeight="1" x14ac:dyDescent="0.25">
      <c r="CM2405" s="102"/>
      <c r="CN2405" s="112" t="s">
        <v>5772</v>
      </c>
      <c r="CO2405" s="112" t="s">
        <v>551</v>
      </c>
      <c r="CP2405" s="112" t="s">
        <v>935</v>
      </c>
      <c r="CQ2405" s="112" t="s">
        <v>1088</v>
      </c>
      <c r="CR2405" s="112" t="s">
        <v>1089</v>
      </c>
      <c r="CS2405" s="112" t="s">
        <v>610</v>
      </c>
      <c r="CT2405" s="112" t="s">
        <v>937</v>
      </c>
      <c r="CU2405" s="112" t="s">
        <v>527</v>
      </c>
      <c r="CV2405" s="113" t="s">
        <v>612</v>
      </c>
      <c r="CX2405" s="36">
        <v>1</v>
      </c>
    </row>
    <row r="2406" spans="91:102" ht="21" customHeight="1" x14ac:dyDescent="0.25">
      <c r="CM2406" s="102"/>
      <c r="CN2406" s="112" t="s">
        <v>5773</v>
      </c>
      <c r="CO2406" s="112" t="s">
        <v>551</v>
      </c>
      <c r="CP2406" s="112" t="s">
        <v>935</v>
      </c>
      <c r="CQ2406" s="112" t="s">
        <v>1091</v>
      </c>
      <c r="CR2406" s="112" t="s">
        <v>1092</v>
      </c>
      <c r="CS2406" s="112" t="s">
        <v>610</v>
      </c>
      <c r="CT2406" s="112" t="s">
        <v>937</v>
      </c>
      <c r="CU2406" s="112" t="s">
        <v>527</v>
      </c>
      <c r="CV2406" s="113" t="s">
        <v>612</v>
      </c>
      <c r="CX2406" s="36">
        <v>1</v>
      </c>
    </row>
    <row r="2407" spans="91:102" ht="21" customHeight="1" x14ac:dyDescent="0.25">
      <c r="CM2407" s="102"/>
      <c r="CN2407" s="112" t="s">
        <v>5774</v>
      </c>
      <c r="CO2407" s="112" t="s">
        <v>551</v>
      </c>
      <c r="CP2407" s="112" t="s">
        <v>935</v>
      </c>
      <c r="CQ2407" s="112" t="s">
        <v>1094</v>
      </c>
      <c r="CR2407" s="112" t="s">
        <v>1095</v>
      </c>
      <c r="CS2407" s="112" t="s">
        <v>610</v>
      </c>
      <c r="CT2407" s="112" t="s">
        <v>937</v>
      </c>
      <c r="CU2407" s="112" t="s">
        <v>527</v>
      </c>
      <c r="CV2407" s="113" t="s">
        <v>612</v>
      </c>
      <c r="CX2407" s="36">
        <v>1</v>
      </c>
    </row>
    <row r="2408" spans="91:102" ht="21" customHeight="1" x14ac:dyDescent="0.25">
      <c r="CM2408" s="102"/>
      <c r="CN2408" s="112" t="s">
        <v>5775</v>
      </c>
      <c r="CO2408" s="112" t="s">
        <v>551</v>
      </c>
      <c r="CP2408" s="112" t="s">
        <v>935</v>
      </c>
      <c r="CQ2408" s="112" t="s">
        <v>1097</v>
      </c>
      <c r="CR2408" s="112" t="s">
        <v>1098</v>
      </c>
      <c r="CS2408" s="112" t="s">
        <v>525</v>
      </c>
      <c r="CT2408" s="112" t="s">
        <v>5758</v>
      </c>
      <c r="CU2408" s="112" t="s">
        <v>527</v>
      </c>
      <c r="CV2408" s="113" t="s">
        <v>528</v>
      </c>
      <c r="CX2408" s="36">
        <v>1</v>
      </c>
    </row>
    <row r="2409" spans="91:102" ht="21" customHeight="1" x14ac:dyDescent="0.25">
      <c r="CM2409" s="102"/>
      <c r="CN2409" s="112" t="s">
        <v>5776</v>
      </c>
      <c r="CO2409" s="112" t="s">
        <v>551</v>
      </c>
      <c r="CP2409" s="112" t="s">
        <v>935</v>
      </c>
      <c r="CQ2409" s="112" t="s">
        <v>5777</v>
      </c>
      <c r="CR2409" s="112" t="s">
        <v>5777</v>
      </c>
      <c r="CS2409" s="112" t="s">
        <v>525</v>
      </c>
      <c r="CT2409" s="112" t="s">
        <v>5758</v>
      </c>
      <c r="CU2409" s="112" t="s">
        <v>527</v>
      </c>
      <c r="CV2409" s="113" t="s">
        <v>528</v>
      </c>
      <c r="CX2409" s="36">
        <v>1</v>
      </c>
    </row>
    <row r="2410" spans="91:102" ht="21" customHeight="1" x14ac:dyDescent="0.25">
      <c r="CM2410" s="102"/>
      <c r="CN2410" s="112" t="s">
        <v>5778</v>
      </c>
      <c r="CO2410" s="112" t="s">
        <v>551</v>
      </c>
      <c r="CP2410" s="112" t="s">
        <v>935</v>
      </c>
      <c r="CQ2410" s="112" t="s">
        <v>5779</v>
      </c>
      <c r="CR2410" s="112" t="s">
        <v>5780</v>
      </c>
      <c r="CS2410" s="112" t="s">
        <v>525</v>
      </c>
      <c r="CT2410" s="112" t="s">
        <v>5758</v>
      </c>
      <c r="CU2410" s="112" t="s">
        <v>527</v>
      </c>
      <c r="CV2410" s="113" t="s">
        <v>528</v>
      </c>
      <c r="CX2410" s="36">
        <v>1</v>
      </c>
    </row>
    <row r="2411" spans="91:102" ht="21" customHeight="1" x14ac:dyDescent="0.25">
      <c r="CM2411" s="102"/>
      <c r="CN2411" s="112" t="s">
        <v>5781</v>
      </c>
      <c r="CO2411" s="112" t="s">
        <v>551</v>
      </c>
      <c r="CP2411" s="112" t="s">
        <v>935</v>
      </c>
      <c r="CQ2411" s="112" t="s">
        <v>5782</v>
      </c>
      <c r="CR2411" s="112" t="s">
        <v>5782</v>
      </c>
      <c r="CS2411" s="112" t="s">
        <v>525</v>
      </c>
      <c r="CT2411" s="112" t="s">
        <v>5758</v>
      </c>
      <c r="CU2411" s="112" t="s">
        <v>527</v>
      </c>
      <c r="CV2411" s="113" t="s">
        <v>528</v>
      </c>
      <c r="CX2411" s="36">
        <v>1</v>
      </c>
    </row>
    <row r="2412" spans="91:102" ht="21" customHeight="1" x14ac:dyDescent="0.25">
      <c r="CM2412" s="102"/>
      <c r="CN2412" s="112" t="s">
        <v>5783</v>
      </c>
      <c r="CO2412" s="112" t="s">
        <v>551</v>
      </c>
      <c r="CP2412" s="112" t="s">
        <v>1119</v>
      </c>
      <c r="CQ2412" s="112" t="s">
        <v>3555</v>
      </c>
      <c r="CR2412" s="112" t="s">
        <v>3555</v>
      </c>
      <c r="CS2412" s="112" t="s">
        <v>525</v>
      </c>
      <c r="CT2412" s="112" t="s">
        <v>3553</v>
      </c>
      <c r="CU2412" s="112" t="s">
        <v>527</v>
      </c>
      <c r="CV2412" s="113" t="s">
        <v>528</v>
      </c>
      <c r="CX2412" s="36">
        <v>1</v>
      </c>
    </row>
    <row r="2413" spans="91:102" ht="21" customHeight="1" x14ac:dyDescent="0.25">
      <c r="CM2413" s="102"/>
      <c r="CN2413" s="112" t="s">
        <v>5784</v>
      </c>
      <c r="CO2413" s="112" t="s">
        <v>551</v>
      </c>
      <c r="CP2413" s="112" t="s">
        <v>1119</v>
      </c>
      <c r="CQ2413" s="112" t="s">
        <v>3562</v>
      </c>
      <c r="CR2413" s="112" t="s">
        <v>3562</v>
      </c>
      <c r="CS2413" s="112" t="s">
        <v>525</v>
      </c>
      <c r="CT2413" s="112" t="s">
        <v>3553</v>
      </c>
      <c r="CU2413" s="112" t="s">
        <v>527</v>
      </c>
      <c r="CV2413" s="113" t="s">
        <v>528</v>
      </c>
      <c r="CX2413" s="36">
        <v>1</v>
      </c>
    </row>
    <row r="2414" spans="91:102" ht="21" customHeight="1" x14ac:dyDescent="0.25">
      <c r="CM2414" s="102"/>
      <c r="CN2414" s="112" t="s">
        <v>5785</v>
      </c>
      <c r="CO2414" s="112" t="s">
        <v>551</v>
      </c>
      <c r="CP2414" s="112" t="s">
        <v>1119</v>
      </c>
      <c r="CQ2414" s="112" t="s">
        <v>5786</v>
      </c>
      <c r="CR2414" s="112" t="s">
        <v>5787</v>
      </c>
      <c r="CS2414" s="112" t="s">
        <v>525</v>
      </c>
      <c r="CT2414" s="112" t="s">
        <v>3553</v>
      </c>
      <c r="CU2414" s="112" t="s">
        <v>527</v>
      </c>
      <c r="CV2414" s="113" t="s">
        <v>528</v>
      </c>
      <c r="CX2414" s="36">
        <v>1</v>
      </c>
    </row>
    <row r="2415" spans="91:102" ht="21" customHeight="1" x14ac:dyDescent="0.25">
      <c r="CM2415" s="102"/>
      <c r="CN2415" s="112" t="s">
        <v>5788</v>
      </c>
      <c r="CO2415" s="112" t="s">
        <v>551</v>
      </c>
      <c r="CP2415" s="112" t="s">
        <v>1119</v>
      </c>
      <c r="CQ2415" s="112" t="s">
        <v>5789</v>
      </c>
      <c r="CR2415" s="112" t="s">
        <v>5790</v>
      </c>
      <c r="CS2415" s="112" t="s">
        <v>525</v>
      </c>
      <c r="CT2415" s="112" t="s">
        <v>3553</v>
      </c>
      <c r="CU2415" s="112" t="s">
        <v>527</v>
      </c>
      <c r="CV2415" s="113" t="s">
        <v>528</v>
      </c>
      <c r="CX2415" s="36">
        <v>1</v>
      </c>
    </row>
    <row r="2416" spans="91:102" ht="21" customHeight="1" x14ac:dyDescent="0.25">
      <c r="CM2416" s="102"/>
      <c r="CN2416" s="112" t="s">
        <v>5791</v>
      </c>
      <c r="CO2416" s="112" t="s">
        <v>551</v>
      </c>
      <c r="CP2416" s="112" t="s">
        <v>1119</v>
      </c>
      <c r="CQ2416" s="112" t="s">
        <v>3187</v>
      </c>
      <c r="CR2416" s="112" t="s">
        <v>3187</v>
      </c>
      <c r="CS2416" s="112" t="s">
        <v>525</v>
      </c>
      <c r="CT2416" s="112" t="s">
        <v>3553</v>
      </c>
      <c r="CU2416" s="112" t="s">
        <v>527</v>
      </c>
      <c r="CV2416" s="113" t="s">
        <v>528</v>
      </c>
      <c r="CX2416" s="36">
        <v>1</v>
      </c>
    </row>
    <row r="2417" spans="92:102" ht="21" customHeight="1" x14ac:dyDescent="0.25">
      <c r="CN2417" s="112" t="s">
        <v>5792</v>
      </c>
      <c r="CO2417" s="112" t="s">
        <v>522</v>
      </c>
      <c r="CP2417" s="112" t="s">
        <v>935</v>
      </c>
      <c r="CQ2417" s="112" t="s">
        <v>669</v>
      </c>
      <c r="CR2417" s="112" t="s">
        <v>669</v>
      </c>
      <c r="CS2417" s="112" t="s">
        <v>525</v>
      </c>
      <c r="CT2417" s="112" t="s">
        <v>5793</v>
      </c>
      <c r="CU2417" s="112" t="s">
        <v>527</v>
      </c>
      <c r="CV2417" s="113" t="s">
        <v>612</v>
      </c>
      <c r="CX2417" s="36">
        <v>1</v>
      </c>
    </row>
    <row r="2418" spans="92:102" ht="21" customHeight="1" x14ac:dyDescent="0.25">
      <c r="CN2418" s="112" t="s">
        <v>5794</v>
      </c>
      <c r="CO2418" s="112" t="s">
        <v>522</v>
      </c>
      <c r="CP2418" s="112" t="s">
        <v>523</v>
      </c>
      <c r="CQ2418" s="112" t="s">
        <v>5795</v>
      </c>
      <c r="CR2418" s="112" t="s">
        <v>5795</v>
      </c>
      <c r="CS2418" s="112" t="s">
        <v>5796</v>
      </c>
      <c r="CT2418" s="112" t="s">
        <v>5797</v>
      </c>
      <c r="CU2418" s="112" t="s">
        <v>527</v>
      </c>
      <c r="CV2418" s="113" t="s">
        <v>612</v>
      </c>
      <c r="CX2418" s="36">
        <v>1</v>
      </c>
    </row>
    <row r="2419" spans="92:102" ht="21" customHeight="1" x14ac:dyDescent="0.25">
      <c r="CN2419" s="112" t="s">
        <v>5798</v>
      </c>
      <c r="CO2419" s="112" t="s">
        <v>522</v>
      </c>
      <c r="CP2419" s="112" t="s">
        <v>523</v>
      </c>
      <c r="CQ2419" s="112" t="s">
        <v>5799</v>
      </c>
      <c r="CR2419" s="112" t="s">
        <v>5799</v>
      </c>
      <c r="CS2419" s="112" t="s">
        <v>5796</v>
      </c>
      <c r="CT2419" s="112" t="s">
        <v>5800</v>
      </c>
      <c r="CU2419" s="112" t="s">
        <v>527</v>
      </c>
      <c r="CV2419" s="113" t="s">
        <v>612</v>
      </c>
      <c r="CX2419" s="36">
        <v>1</v>
      </c>
    </row>
    <row r="2420" spans="92:102" ht="21" customHeight="1" x14ac:dyDescent="0.25">
      <c r="CN2420" s="112" t="s">
        <v>5801</v>
      </c>
      <c r="CO2420" s="112" t="s">
        <v>522</v>
      </c>
      <c r="CP2420" s="112" t="s">
        <v>523</v>
      </c>
      <c r="CQ2420" s="112" t="s">
        <v>5802</v>
      </c>
      <c r="CR2420" s="112" t="s">
        <v>5802</v>
      </c>
      <c r="CS2420" s="112" t="s">
        <v>5796</v>
      </c>
      <c r="CT2420" s="112" t="s">
        <v>5803</v>
      </c>
      <c r="CU2420" s="112" t="s">
        <v>527</v>
      </c>
      <c r="CV2420" s="113" t="s">
        <v>612</v>
      </c>
      <c r="CX2420" s="36">
        <v>1</v>
      </c>
    </row>
    <row r="2421" spans="92:102" ht="21" customHeight="1" x14ac:dyDescent="0.25">
      <c r="CN2421" s="112" t="s">
        <v>5804</v>
      </c>
      <c r="CO2421" s="112" t="s">
        <v>541</v>
      </c>
      <c r="CP2421" s="112" t="s">
        <v>523</v>
      </c>
      <c r="CQ2421" s="112" t="s">
        <v>5805</v>
      </c>
      <c r="CR2421" s="112" t="s">
        <v>5805</v>
      </c>
      <c r="CS2421" s="112" t="s">
        <v>5796</v>
      </c>
      <c r="CT2421" s="112" t="s">
        <v>5806</v>
      </c>
      <c r="CU2421" s="112" t="s">
        <v>527</v>
      </c>
      <c r="CV2421" s="113" t="s">
        <v>612</v>
      </c>
      <c r="CX2421" s="36">
        <v>1</v>
      </c>
    </row>
    <row r="2422" spans="92:102" ht="21" customHeight="1" x14ac:dyDescent="0.25">
      <c r="CN2422" s="112" t="s">
        <v>5807</v>
      </c>
      <c r="CO2422" s="112" t="s">
        <v>541</v>
      </c>
      <c r="CP2422" s="112" t="s">
        <v>523</v>
      </c>
      <c r="CQ2422" s="112" t="s">
        <v>5808</v>
      </c>
      <c r="CR2422" s="112" t="s">
        <v>5808</v>
      </c>
      <c r="CS2422" s="112" t="s">
        <v>5796</v>
      </c>
      <c r="CT2422" s="112" t="s">
        <v>5809</v>
      </c>
      <c r="CU2422" s="112" t="s">
        <v>527</v>
      </c>
      <c r="CV2422" s="113" t="s">
        <v>612</v>
      </c>
      <c r="CX2422" s="36">
        <v>1</v>
      </c>
    </row>
    <row r="2423" spans="92:102" ht="21" customHeight="1" x14ac:dyDescent="0.25">
      <c r="CN2423" s="112" t="s">
        <v>5810</v>
      </c>
      <c r="CO2423" s="112" t="s">
        <v>544</v>
      </c>
      <c r="CP2423" s="112" t="s">
        <v>523</v>
      </c>
      <c r="CQ2423" s="112" t="s">
        <v>5811</v>
      </c>
      <c r="CR2423" s="112" t="s">
        <v>5811</v>
      </c>
      <c r="CS2423" s="112" t="s">
        <v>5812</v>
      </c>
      <c r="CT2423" s="112" t="s">
        <v>5813</v>
      </c>
      <c r="CU2423" s="112" t="s">
        <v>527</v>
      </c>
      <c r="CV2423" s="113" t="s">
        <v>612</v>
      </c>
      <c r="CX2423" s="36">
        <v>1</v>
      </c>
    </row>
    <row r="2424" spans="92:102" ht="21" customHeight="1" x14ac:dyDescent="0.25">
      <c r="CN2424" s="112" t="s">
        <v>5814</v>
      </c>
      <c r="CO2424" s="112" t="s">
        <v>544</v>
      </c>
      <c r="CP2424" s="112" t="s">
        <v>523</v>
      </c>
      <c r="CQ2424" s="112" t="s">
        <v>5815</v>
      </c>
      <c r="CR2424" s="112" t="s">
        <v>5815</v>
      </c>
      <c r="CS2424" s="112" t="s">
        <v>5812</v>
      </c>
      <c r="CT2424" s="112" t="s">
        <v>5816</v>
      </c>
      <c r="CU2424" s="112" t="s">
        <v>527</v>
      </c>
      <c r="CV2424" s="113" t="s">
        <v>612</v>
      </c>
      <c r="CX2424" s="36">
        <v>1</v>
      </c>
    </row>
    <row r="2425" spans="92:102" ht="21" customHeight="1" x14ac:dyDescent="0.25">
      <c r="CN2425" s="112"/>
      <c r="CO2425" s="112"/>
      <c r="CP2425" s="112"/>
      <c r="CQ2425" s="112" t="s">
        <v>5817</v>
      </c>
      <c r="CR2425" s="112" t="s">
        <v>5818</v>
      </c>
      <c r="CS2425" s="112" t="s">
        <v>525</v>
      </c>
      <c r="CT2425" s="112" t="s">
        <v>5819</v>
      </c>
      <c r="CU2425" s="112" t="s">
        <v>796</v>
      </c>
      <c r="CV2425" s="113" t="s">
        <v>612</v>
      </c>
      <c r="CX2425" s="36">
        <v>1</v>
      </c>
    </row>
    <row r="2426" spans="92:102" ht="21" customHeight="1" x14ac:dyDescent="0.25">
      <c r="CN2426" s="112"/>
      <c r="CO2426" s="112"/>
      <c r="CP2426" s="112"/>
      <c r="CQ2426" s="112" t="s">
        <v>5820</v>
      </c>
      <c r="CR2426" s="112" t="s">
        <v>5821</v>
      </c>
      <c r="CS2426" s="112" t="s">
        <v>525</v>
      </c>
      <c r="CT2426" s="112" t="s">
        <v>5822</v>
      </c>
      <c r="CU2426" s="112" t="s">
        <v>796</v>
      </c>
      <c r="CV2426" s="113" t="s">
        <v>612</v>
      </c>
      <c r="CX2426" s="36">
        <v>1</v>
      </c>
    </row>
    <row r="2427" spans="92:102" ht="21" customHeight="1" x14ac:dyDescent="0.25">
      <c r="CN2427" s="112"/>
      <c r="CO2427" s="112"/>
      <c r="CP2427" s="112"/>
      <c r="CQ2427" s="112" t="s">
        <v>5823</v>
      </c>
      <c r="CR2427" s="112" t="s">
        <v>5824</v>
      </c>
      <c r="CS2427" s="112" t="s">
        <v>525</v>
      </c>
      <c r="CT2427" s="112" t="s">
        <v>5825</v>
      </c>
      <c r="CU2427" s="112" t="s">
        <v>796</v>
      </c>
      <c r="CV2427" s="113" t="s">
        <v>612</v>
      </c>
      <c r="CX2427" s="36">
        <v>1</v>
      </c>
    </row>
    <row r="2428" spans="92:102" ht="21" customHeight="1" x14ac:dyDescent="0.25">
      <c r="CN2428" s="112"/>
      <c r="CO2428" s="112"/>
      <c r="CP2428" s="112"/>
      <c r="CQ2428" s="112" t="s">
        <v>5826</v>
      </c>
      <c r="CR2428" s="112" t="s">
        <v>5827</v>
      </c>
      <c r="CS2428" s="112" t="s">
        <v>525</v>
      </c>
      <c r="CT2428" s="112" t="s">
        <v>5822</v>
      </c>
      <c r="CU2428" s="112" t="s">
        <v>796</v>
      </c>
      <c r="CV2428" s="113" t="s">
        <v>612</v>
      </c>
      <c r="CX2428" s="36">
        <v>1</v>
      </c>
    </row>
    <row r="2429" spans="92:102" ht="21" customHeight="1" x14ac:dyDescent="0.25">
      <c r="CN2429" s="112"/>
      <c r="CO2429" s="112"/>
      <c r="CP2429" s="112"/>
      <c r="CQ2429" s="112" t="s">
        <v>5828</v>
      </c>
      <c r="CR2429" s="112" t="s">
        <v>5829</v>
      </c>
      <c r="CS2429" s="112" t="s">
        <v>525</v>
      </c>
      <c r="CT2429" s="112" t="s">
        <v>5830</v>
      </c>
      <c r="CU2429" s="112" t="s">
        <v>796</v>
      </c>
      <c r="CV2429" s="113" t="s">
        <v>612</v>
      </c>
      <c r="CX2429" s="36">
        <v>1</v>
      </c>
    </row>
    <row r="2430" spans="92:102" ht="21" customHeight="1" x14ac:dyDescent="0.25">
      <c r="CN2430" s="112"/>
      <c r="CO2430" s="112"/>
      <c r="CP2430" s="112"/>
      <c r="CQ2430" s="112" t="s">
        <v>793</v>
      </c>
      <c r="CR2430" s="112" t="s">
        <v>5831</v>
      </c>
      <c r="CS2430" s="112" t="s">
        <v>525</v>
      </c>
      <c r="CT2430" s="112" t="s">
        <v>5819</v>
      </c>
      <c r="CU2430" s="112" t="s">
        <v>796</v>
      </c>
      <c r="CV2430" s="113" t="s">
        <v>612</v>
      </c>
      <c r="CX2430" s="36">
        <v>1</v>
      </c>
    </row>
    <row r="2431" spans="92:102" ht="21" customHeight="1" x14ac:dyDescent="0.25">
      <c r="CN2431" s="112"/>
      <c r="CO2431" s="112"/>
      <c r="CP2431" s="112"/>
      <c r="CQ2431" s="112" t="s">
        <v>5832</v>
      </c>
      <c r="CR2431" s="112" t="s">
        <v>5833</v>
      </c>
      <c r="CS2431" s="112" t="s">
        <v>525</v>
      </c>
      <c r="CT2431" s="112" t="s">
        <v>5822</v>
      </c>
      <c r="CU2431" s="112" t="s">
        <v>796</v>
      </c>
      <c r="CV2431" s="113" t="s">
        <v>612</v>
      </c>
      <c r="CX2431" s="36">
        <v>1</v>
      </c>
    </row>
    <row r="2432" spans="92:102" ht="21" customHeight="1" x14ac:dyDescent="0.25">
      <c r="CN2432" s="112"/>
      <c r="CO2432" s="112"/>
      <c r="CP2432" s="112"/>
      <c r="CQ2432" s="112" t="s">
        <v>5834</v>
      </c>
      <c r="CR2432" s="112" t="s">
        <v>5835</v>
      </c>
      <c r="CS2432" s="112" t="s">
        <v>525</v>
      </c>
      <c r="CT2432" s="112" t="s">
        <v>5825</v>
      </c>
      <c r="CU2432" s="112" t="s">
        <v>796</v>
      </c>
      <c r="CV2432" s="113" t="s">
        <v>612</v>
      </c>
      <c r="CX2432" s="36">
        <v>1</v>
      </c>
    </row>
    <row r="2433" spans="92:102" ht="21" customHeight="1" x14ac:dyDescent="0.25">
      <c r="CN2433" s="112"/>
      <c r="CO2433" s="112"/>
      <c r="CP2433" s="112"/>
      <c r="CQ2433" s="112" t="s">
        <v>5836</v>
      </c>
      <c r="CR2433" s="112" t="s">
        <v>5837</v>
      </c>
      <c r="CS2433" s="112" t="s">
        <v>525</v>
      </c>
      <c r="CT2433" s="112" t="s">
        <v>5822</v>
      </c>
      <c r="CU2433" s="112" t="s">
        <v>796</v>
      </c>
      <c r="CV2433" s="113" t="s">
        <v>612</v>
      </c>
      <c r="CX2433" s="36">
        <v>1</v>
      </c>
    </row>
    <row r="2434" spans="92:102" ht="21" customHeight="1" x14ac:dyDescent="0.25">
      <c r="CN2434" s="112"/>
      <c r="CO2434" s="112"/>
      <c r="CP2434" s="112"/>
      <c r="CQ2434" s="112" t="s">
        <v>5838</v>
      </c>
      <c r="CR2434" s="112" t="s">
        <v>5839</v>
      </c>
      <c r="CS2434" s="112" t="s">
        <v>525</v>
      </c>
      <c r="CT2434" s="112" t="s">
        <v>5819</v>
      </c>
      <c r="CU2434" s="112" t="s">
        <v>796</v>
      </c>
      <c r="CV2434" s="113" t="s">
        <v>612</v>
      </c>
      <c r="CX2434" s="36">
        <v>1</v>
      </c>
    </row>
    <row r="2435" spans="92:102" ht="21" customHeight="1" x14ac:dyDescent="0.25">
      <c r="CN2435" s="112"/>
      <c r="CO2435" s="112"/>
      <c r="CP2435" s="112"/>
      <c r="CQ2435" s="112" t="s">
        <v>5840</v>
      </c>
      <c r="CR2435" s="112" t="s">
        <v>5841</v>
      </c>
      <c r="CS2435" s="112" t="s">
        <v>525</v>
      </c>
      <c r="CT2435" s="112" t="s">
        <v>5822</v>
      </c>
      <c r="CU2435" s="112" t="s">
        <v>796</v>
      </c>
      <c r="CV2435" s="113" t="s">
        <v>612</v>
      </c>
      <c r="CX2435" s="36">
        <v>1</v>
      </c>
    </row>
    <row r="2436" spans="92:102" ht="21" customHeight="1" x14ac:dyDescent="0.25">
      <c r="CN2436" s="112"/>
      <c r="CO2436" s="112"/>
      <c r="CP2436" s="112"/>
      <c r="CQ2436" s="112" t="s">
        <v>5842</v>
      </c>
      <c r="CR2436" s="112" t="s">
        <v>5843</v>
      </c>
      <c r="CS2436" s="112" t="s">
        <v>525</v>
      </c>
      <c r="CT2436" s="112" t="s">
        <v>5825</v>
      </c>
      <c r="CU2436" s="112" t="s">
        <v>796</v>
      </c>
      <c r="CV2436" s="113" t="s">
        <v>612</v>
      </c>
      <c r="CX2436" s="36">
        <v>1</v>
      </c>
    </row>
    <row r="2437" spans="92:102" ht="21" customHeight="1" x14ac:dyDescent="0.25">
      <c r="CN2437" s="112"/>
      <c r="CO2437" s="112"/>
      <c r="CP2437" s="112"/>
      <c r="CQ2437" s="112" t="s">
        <v>5844</v>
      </c>
      <c r="CR2437" s="112" t="s">
        <v>5845</v>
      </c>
      <c r="CS2437" s="112" t="s">
        <v>525</v>
      </c>
      <c r="CT2437" s="112" t="s">
        <v>5822</v>
      </c>
      <c r="CU2437" s="112" t="s">
        <v>796</v>
      </c>
      <c r="CV2437" s="113" t="s">
        <v>612</v>
      </c>
      <c r="CX2437" s="36">
        <v>1</v>
      </c>
    </row>
    <row r="2438" spans="92:102" ht="21" customHeight="1" x14ac:dyDescent="0.25">
      <c r="CN2438" s="112"/>
      <c r="CO2438" s="112"/>
      <c r="CP2438" s="112"/>
      <c r="CQ2438" s="112" t="s">
        <v>5218</v>
      </c>
      <c r="CR2438" s="112" t="s">
        <v>5218</v>
      </c>
      <c r="CS2438" s="112" t="s">
        <v>525</v>
      </c>
      <c r="CT2438" s="112" t="s">
        <v>5846</v>
      </c>
      <c r="CU2438" s="112" t="s">
        <v>939</v>
      </c>
      <c r="CV2438" s="113" t="s">
        <v>612</v>
      </c>
      <c r="CX2438" s="36">
        <v>1</v>
      </c>
    </row>
    <row r="2439" spans="92:102" ht="21" customHeight="1" x14ac:dyDescent="0.25">
      <c r="CN2439" s="112"/>
      <c r="CO2439" s="112"/>
      <c r="CP2439" s="112"/>
      <c r="CQ2439" s="112" t="s">
        <v>5847</v>
      </c>
      <c r="CR2439" s="112" t="s">
        <v>5847</v>
      </c>
      <c r="CS2439" s="112" t="s">
        <v>525</v>
      </c>
      <c r="CT2439" s="112" t="s">
        <v>5846</v>
      </c>
      <c r="CU2439" s="112" t="s">
        <v>939</v>
      </c>
      <c r="CV2439" s="113" t="s">
        <v>612</v>
      </c>
      <c r="CX2439" s="36">
        <v>1</v>
      </c>
    </row>
    <row r="2440" spans="92:102" ht="21" customHeight="1" x14ac:dyDescent="0.25">
      <c r="CN2440" s="112"/>
      <c r="CO2440" s="112"/>
      <c r="CP2440" s="112"/>
      <c r="CQ2440" s="112" t="s">
        <v>5205</v>
      </c>
      <c r="CR2440" s="112" t="s">
        <v>5205</v>
      </c>
      <c r="CS2440" s="112" t="s">
        <v>525</v>
      </c>
      <c r="CT2440" s="112" t="s">
        <v>5848</v>
      </c>
      <c r="CU2440" s="112" t="s">
        <v>939</v>
      </c>
      <c r="CV2440" s="113" t="s">
        <v>612</v>
      </c>
      <c r="CX2440" s="36">
        <v>1</v>
      </c>
    </row>
    <row r="2441" spans="92:102" ht="21" customHeight="1" x14ac:dyDescent="0.25">
      <c r="CN2441" s="112"/>
      <c r="CO2441" s="112"/>
      <c r="CP2441" s="112"/>
      <c r="CQ2441" s="112" t="s">
        <v>5142</v>
      </c>
      <c r="CR2441" s="112" t="s">
        <v>5142</v>
      </c>
      <c r="CS2441" s="112" t="s">
        <v>525</v>
      </c>
      <c r="CT2441" s="112" t="s">
        <v>5848</v>
      </c>
      <c r="CU2441" s="112" t="s">
        <v>939</v>
      </c>
      <c r="CV2441" s="113" t="s">
        <v>612</v>
      </c>
      <c r="CX2441" s="36">
        <v>1</v>
      </c>
    </row>
    <row r="2442" spans="92:102" ht="21" customHeight="1" x14ac:dyDescent="0.25">
      <c r="CN2442" s="112"/>
      <c r="CO2442" s="112"/>
      <c r="CP2442" s="112"/>
      <c r="CQ2442" s="112" t="s">
        <v>5150</v>
      </c>
      <c r="CR2442" s="112" t="s">
        <v>5151</v>
      </c>
      <c r="CS2442" s="112" t="s">
        <v>525</v>
      </c>
      <c r="CT2442" s="112" t="s">
        <v>5848</v>
      </c>
      <c r="CU2442" s="112" t="s">
        <v>939</v>
      </c>
      <c r="CV2442" s="113" t="s">
        <v>612</v>
      </c>
      <c r="CX2442" s="36">
        <v>1</v>
      </c>
    </row>
    <row r="2443" spans="92:102" ht="21" customHeight="1" x14ac:dyDescent="0.25">
      <c r="CN2443" s="112"/>
      <c r="CO2443" s="112"/>
      <c r="CP2443" s="112"/>
      <c r="CQ2443" s="112" t="s">
        <v>5138</v>
      </c>
      <c r="CR2443" s="112" t="s">
        <v>5138</v>
      </c>
      <c r="CS2443" s="112" t="s">
        <v>525</v>
      </c>
      <c r="CT2443" s="112" t="s">
        <v>5848</v>
      </c>
      <c r="CU2443" s="112" t="s">
        <v>939</v>
      </c>
      <c r="CV2443" s="113" t="s">
        <v>612</v>
      </c>
      <c r="CX2443" s="36">
        <v>1</v>
      </c>
    </row>
    <row r="2444" spans="92:102" ht="21" customHeight="1" x14ac:dyDescent="0.25">
      <c r="CN2444" s="112"/>
      <c r="CO2444" s="112"/>
      <c r="CP2444" s="112"/>
      <c r="CQ2444" s="112" t="s">
        <v>5186</v>
      </c>
      <c r="CR2444" s="112" t="s">
        <v>5186</v>
      </c>
      <c r="CS2444" s="112" t="s">
        <v>525</v>
      </c>
      <c r="CT2444" s="112" t="s">
        <v>5848</v>
      </c>
      <c r="CU2444" s="112" t="s">
        <v>939</v>
      </c>
      <c r="CV2444" s="113" t="s">
        <v>612</v>
      </c>
      <c r="CX2444" s="36">
        <v>1</v>
      </c>
    </row>
    <row r="2445" spans="92:102" ht="21" customHeight="1" x14ac:dyDescent="0.25">
      <c r="CN2445" s="112"/>
      <c r="CO2445" s="112"/>
      <c r="CP2445" s="112"/>
      <c r="CQ2445" s="112" t="s">
        <v>5181</v>
      </c>
      <c r="CR2445" s="112" t="s">
        <v>5181</v>
      </c>
      <c r="CS2445" s="112" t="s">
        <v>525</v>
      </c>
      <c r="CT2445" s="112" t="s">
        <v>5848</v>
      </c>
      <c r="CU2445" s="112" t="s">
        <v>939</v>
      </c>
      <c r="CV2445" s="113" t="s">
        <v>612</v>
      </c>
      <c r="CX2445" s="36">
        <v>1</v>
      </c>
    </row>
    <row r="2446" spans="92:102" ht="21" customHeight="1" x14ac:dyDescent="0.25">
      <c r="CN2446" s="112"/>
      <c r="CO2446" s="112"/>
      <c r="CP2446" s="112"/>
      <c r="CQ2446" s="112" t="s">
        <v>5197</v>
      </c>
      <c r="CR2446" s="112" t="s">
        <v>5197</v>
      </c>
      <c r="CS2446" s="112" t="s">
        <v>525</v>
      </c>
      <c r="CT2446" s="112" t="s">
        <v>5848</v>
      </c>
      <c r="CU2446" s="112" t="s">
        <v>939</v>
      </c>
      <c r="CV2446" s="113" t="s">
        <v>612</v>
      </c>
      <c r="CX2446" s="36">
        <v>1</v>
      </c>
    </row>
    <row r="2447" spans="92:102" ht="21" customHeight="1" x14ac:dyDescent="0.25">
      <c r="CN2447" s="112"/>
      <c r="CO2447" s="112"/>
      <c r="CP2447" s="112"/>
      <c r="CQ2447" s="112" t="s">
        <v>5223</v>
      </c>
      <c r="CR2447" s="112" t="s">
        <v>5224</v>
      </c>
      <c r="CS2447" s="112" t="s">
        <v>525</v>
      </c>
      <c r="CT2447" s="112" t="s">
        <v>5848</v>
      </c>
      <c r="CU2447" s="112" t="s">
        <v>939</v>
      </c>
      <c r="CV2447" s="113" t="s">
        <v>612</v>
      </c>
      <c r="CX2447" s="36">
        <v>1</v>
      </c>
    </row>
    <row r="2448" spans="92:102" ht="21" customHeight="1" x14ac:dyDescent="0.25">
      <c r="CN2448" s="112"/>
      <c r="CO2448" s="112"/>
      <c r="CP2448" s="112"/>
      <c r="CQ2448" s="112" t="s">
        <v>5171</v>
      </c>
      <c r="CR2448" s="112" t="s">
        <v>5172</v>
      </c>
      <c r="CS2448" s="112" t="s">
        <v>525</v>
      </c>
      <c r="CT2448" s="112" t="s">
        <v>5848</v>
      </c>
      <c r="CU2448" s="112" t="s">
        <v>939</v>
      </c>
      <c r="CV2448" s="113" t="s">
        <v>612</v>
      </c>
      <c r="CX2448" s="36">
        <v>1</v>
      </c>
    </row>
    <row r="2449" spans="1:102" ht="21" customHeight="1" x14ac:dyDescent="0.25">
      <c r="CN2449" s="112"/>
      <c r="CO2449" s="112"/>
      <c r="CP2449" s="112"/>
      <c r="CQ2449" s="112" t="s">
        <v>5203</v>
      </c>
      <c r="CR2449" s="112" t="s">
        <v>5203</v>
      </c>
      <c r="CS2449" s="112" t="s">
        <v>525</v>
      </c>
      <c r="CT2449" s="112" t="s">
        <v>5848</v>
      </c>
      <c r="CU2449" s="112" t="s">
        <v>939</v>
      </c>
      <c r="CV2449" s="113" t="s">
        <v>612</v>
      </c>
      <c r="CX2449" s="36">
        <v>1</v>
      </c>
    </row>
    <row r="2450" spans="1:102" ht="21" customHeight="1" x14ac:dyDescent="0.25">
      <c r="CN2450" s="112"/>
      <c r="CO2450" s="112"/>
      <c r="CP2450" s="112"/>
      <c r="CQ2450" s="112" t="s">
        <v>5167</v>
      </c>
      <c r="CR2450" s="112" t="s">
        <v>5167</v>
      </c>
      <c r="CS2450" s="112" t="s">
        <v>525</v>
      </c>
      <c r="CT2450" s="112" t="s">
        <v>5848</v>
      </c>
      <c r="CU2450" s="112" t="s">
        <v>939</v>
      </c>
      <c r="CV2450" s="113" t="s">
        <v>612</v>
      </c>
      <c r="CX2450" s="36">
        <v>1</v>
      </c>
    </row>
    <row r="2451" spans="1:102" ht="21" customHeight="1" x14ac:dyDescent="0.25">
      <c r="CN2451" s="112"/>
      <c r="CO2451" s="112"/>
      <c r="CP2451" s="112"/>
      <c r="CQ2451" s="112" t="s">
        <v>5195</v>
      </c>
      <c r="CR2451" s="112" t="s">
        <v>5195</v>
      </c>
      <c r="CS2451" s="112" t="s">
        <v>525</v>
      </c>
      <c r="CT2451" s="112" t="s">
        <v>5848</v>
      </c>
      <c r="CU2451" s="112" t="s">
        <v>939</v>
      </c>
      <c r="CV2451" s="113" t="s">
        <v>612</v>
      </c>
      <c r="CX2451" s="36">
        <v>1</v>
      </c>
    </row>
    <row r="2452" spans="1:102" ht="21" customHeight="1" x14ac:dyDescent="0.25">
      <c r="CN2452" s="112"/>
      <c r="CO2452" s="112"/>
      <c r="CP2452" s="112"/>
      <c r="CQ2452" s="112" t="s">
        <v>5201</v>
      </c>
      <c r="CR2452" s="112" t="s">
        <v>5201</v>
      </c>
      <c r="CS2452" s="112" t="s">
        <v>525</v>
      </c>
      <c r="CT2452" s="112" t="s">
        <v>5848</v>
      </c>
      <c r="CU2452" s="112" t="s">
        <v>939</v>
      </c>
      <c r="CV2452" s="113" t="s">
        <v>612</v>
      </c>
      <c r="CX2452" s="36">
        <v>1</v>
      </c>
    </row>
    <row r="2453" spans="1:102" ht="21" customHeight="1" x14ac:dyDescent="0.25">
      <c r="CN2453" s="149"/>
      <c r="CO2453" s="149"/>
      <c r="CP2453" s="149"/>
      <c r="CQ2453" s="149" t="s">
        <v>5221</v>
      </c>
      <c r="CR2453" s="149" t="s">
        <v>5221</v>
      </c>
      <c r="CS2453" s="149" t="s">
        <v>525</v>
      </c>
      <c r="CT2453" s="149" t="s">
        <v>5848</v>
      </c>
      <c r="CU2453" s="149" t="s">
        <v>939</v>
      </c>
      <c r="CV2453" s="150" t="s">
        <v>612</v>
      </c>
      <c r="CX2453" s="36">
        <v>1</v>
      </c>
    </row>
    <row r="2454" spans="1:102" ht="21" customHeight="1" x14ac:dyDescent="0.25">
      <c r="CP2454" s="90" t="s">
        <v>1119</v>
      </c>
      <c r="CQ2454" s="90" t="s">
        <v>708</v>
      </c>
      <c r="CR2454" s="90" t="s">
        <v>708</v>
      </c>
      <c r="CS2454" s="90" t="s">
        <v>525</v>
      </c>
      <c r="CT2454" s="90" t="s">
        <v>5888</v>
      </c>
      <c r="CU2454" s="90" t="s">
        <v>527</v>
      </c>
      <c r="CV2454" s="90" t="s">
        <v>528</v>
      </c>
      <c r="CX2454" s="36">
        <v>1</v>
      </c>
    </row>
    <row r="2455" spans="1:102" ht="21" customHeight="1" x14ac:dyDescent="0.25">
      <c r="CO2455" s="90"/>
      <c r="CP2455" s="90" t="s">
        <v>1643</v>
      </c>
      <c r="CQ2455" s="90" t="s">
        <v>5894</v>
      </c>
      <c r="CR2455" s="90" t="s">
        <v>5894</v>
      </c>
      <c r="CS2455" s="90" t="s">
        <v>525</v>
      </c>
      <c r="CT2455" s="90" t="s">
        <v>6092</v>
      </c>
      <c r="CU2455" s="90" t="s">
        <v>796</v>
      </c>
      <c r="CV2455" s="90" t="s">
        <v>6093</v>
      </c>
      <c r="CX2455" s="36">
        <v>1</v>
      </c>
    </row>
    <row r="2456" spans="1:102" ht="21" customHeight="1" x14ac:dyDescent="0.25">
      <c r="CX2456" s="36">
        <v>1</v>
      </c>
    </row>
    <row r="2457" spans="1:102" ht="21" customHeight="1" x14ac:dyDescent="0.25">
      <c r="CX2457" s="36">
        <v>1</v>
      </c>
    </row>
    <row r="2458" spans="1:102" ht="21" customHeight="1" x14ac:dyDescent="0.25">
      <c r="CX2458" s="91" t="s">
        <v>5889</v>
      </c>
    </row>
    <row r="2459" spans="1:102" ht="21" customHeight="1" x14ac:dyDescent="0.25">
      <c r="A2459" s="36">
        <v>1</v>
      </c>
      <c r="B2459" s="36">
        <v>1</v>
      </c>
      <c r="C2459" s="36">
        <v>1</v>
      </c>
      <c r="D2459" s="36">
        <v>1</v>
      </c>
      <c r="E2459" s="36">
        <v>1</v>
      </c>
      <c r="F2459" s="36">
        <v>1</v>
      </c>
      <c r="G2459" s="36">
        <v>1</v>
      </c>
      <c r="H2459" s="36">
        <v>1</v>
      </c>
      <c r="I2459" s="36">
        <v>1</v>
      </c>
      <c r="J2459" s="36">
        <v>1</v>
      </c>
      <c r="K2459" s="36">
        <v>1</v>
      </c>
      <c r="L2459" s="36">
        <v>1</v>
      </c>
      <c r="M2459" s="36">
        <v>1</v>
      </c>
      <c r="N2459" s="36">
        <v>1</v>
      </c>
      <c r="O2459" s="36">
        <v>1</v>
      </c>
      <c r="P2459" s="36">
        <v>1</v>
      </c>
      <c r="Q2459" s="36">
        <v>1</v>
      </c>
      <c r="R2459" s="36">
        <v>1</v>
      </c>
      <c r="S2459" s="36">
        <v>1</v>
      </c>
      <c r="T2459" s="36">
        <v>1</v>
      </c>
      <c r="U2459" s="36">
        <v>1</v>
      </c>
      <c r="V2459" s="36">
        <v>1</v>
      </c>
      <c r="W2459" s="36">
        <v>1</v>
      </c>
      <c r="X2459" s="36">
        <v>1</v>
      </c>
      <c r="Y2459" s="36">
        <v>1</v>
      </c>
      <c r="Z2459" s="36">
        <v>1</v>
      </c>
      <c r="AA2459" s="36">
        <v>1</v>
      </c>
      <c r="AB2459" s="36">
        <v>1</v>
      </c>
      <c r="AC2459" s="36">
        <v>1</v>
      </c>
      <c r="AD2459" s="36">
        <v>1</v>
      </c>
      <c r="AE2459" s="36">
        <v>1</v>
      </c>
      <c r="AF2459" s="36">
        <v>1</v>
      </c>
      <c r="AG2459" s="36">
        <v>1</v>
      </c>
      <c r="AH2459" s="36">
        <v>1</v>
      </c>
      <c r="AI2459" s="36">
        <v>1</v>
      </c>
      <c r="AJ2459" s="36">
        <v>1</v>
      </c>
      <c r="AK2459" s="36">
        <v>1</v>
      </c>
      <c r="AL2459" s="36">
        <v>1</v>
      </c>
      <c r="AM2459" s="36">
        <v>1</v>
      </c>
      <c r="AN2459" s="36">
        <v>1</v>
      </c>
      <c r="AO2459" s="36">
        <v>1</v>
      </c>
      <c r="AP2459" s="36">
        <v>1</v>
      </c>
      <c r="AQ2459" s="36">
        <v>1</v>
      </c>
      <c r="AR2459" s="36">
        <v>1</v>
      </c>
      <c r="AS2459" s="36">
        <v>1</v>
      </c>
      <c r="AT2459" s="36">
        <v>1</v>
      </c>
      <c r="AU2459" s="36">
        <v>1</v>
      </c>
      <c r="AV2459" s="36">
        <v>1</v>
      </c>
      <c r="AW2459" s="36">
        <v>1</v>
      </c>
      <c r="AX2459" s="36">
        <v>1</v>
      </c>
      <c r="AY2459" s="36">
        <v>1</v>
      </c>
      <c r="AZ2459" s="36">
        <v>1</v>
      </c>
      <c r="BA2459" s="36">
        <v>1</v>
      </c>
      <c r="BB2459" s="36">
        <v>1</v>
      </c>
      <c r="BC2459" s="36">
        <v>1</v>
      </c>
      <c r="BD2459" s="36">
        <v>1</v>
      </c>
      <c r="BE2459" s="36">
        <v>1</v>
      </c>
      <c r="BF2459" s="36">
        <v>1</v>
      </c>
      <c r="BG2459" s="36">
        <v>1</v>
      </c>
      <c r="BH2459" s="36">
        <v>1</v>
      </c>
      <c r="BI2459" s="36">
        <v>1</v>
      </c>
      <c r="BJ2459" s="36">
        <v>1</v>
      </c>
      <c r="BK2459" s="36">
        <v>1</v>
      </c>
      <c r="BL2459" s="36">
        <v>1</v>
      </c>
      <c r="BM2459" s="36">
        <v>1</v>
      </c>
      <c r="BN2459" s="36">
        <v>1</v>
      </c>
      <c r="BO2459" s="36">
        <v>1</v>
      </c>
      <c r="BP2459" s="36">
        <v>1</v>
      </c>
      <c r="BQ2459" s="36">
        <v>1</v>
      </c>
      <c r="BR2459" s="36">
        <v>1</v>
      </c>
      <c r="BS2459" s="36">
        <v>1</v>
      </c>
      <c r="BT2459" s="36">
        <v>1</v>
      </c>
      <c r="BU2459" s="36">
        <v>1</v>
      </c>
      <c r="BV2459" s="36">
        <v>1</v>
      </c>
      <c r="BW2459" s="36">
        <v>1</v>
      </c>
      <c r="BX2459" s="36">
        <v>1</v>
      </c>
      <c r="BY2459" s="36">
        <v>1</v>
      </c>
      <c r="BZ2459" s="36">
        <v>1</v>
      </c>
      <c r="CA2459" s="36">
        <v>1</v>
      </c>
      <c r="CB2459" s="36">
        <v>1</v>
      </c>
      <c r="CC2459" s="36">
        <v>1</v>
      </c>
      <c r="CD2459" s="36">
        <v>1</v>
      </c>
      <c r="CE2459" s="36">
        <v>1</v>
      </c>
      <c r="CF2459" s="36">
        <v>1</v>
      </c>
      <c r="CG2459" s="36">
        <v>1</v>
      </c>
      <c r="CH2459" s="36">
        <v>1</v>
      </c>
      <c r="CI2459" s="36">
        <v>1</v>
      </c>
      <c r="CJ2459" s="36">
        <v>1</v>
      </c>
      <c r="CK2459" s="36">
        <v>1</v>
      </c>
      <c r="CL2459" s="36">
        <v>1</v>
      </c>
      <c r="CM2459" s="36">
        <v>1</v>
      </c>
      <c r="CN2459" s="36">
        <v>1</v>
      </c>
      <c r="CO2459" s="36">
        <v>1</v>
      </c>
      <c r="CP2459" s="36">
        <v>1</v>
      </c>
      <c r="CQ2459" s="36">
        <v>1</v>
      </c>
      <c r="CR2459" s="36">
        <v>1</v>
      </c>
      <c r="CS2459" s="36">
        <v>1</v>
      </c>
      <c r="CT2459" s="36">
        <v>1</v>
      </c>
      <c r="CU2459" s="36">
        <v>1</v>
      </c>
      <c r="CV2459" s="36">
        <v>1</v>
      </c>
      <c r="CW2459" s="36">
        <v>1</v>
      </c>
      <c r="CX2459" s="38" t="str">
        <f>ADDRESS(ROW(),COLUMN(),4)</f>
        <v>CX2459</v>
      </c>
    </row>
  </sheetData>
  <mergeCells count="7">
    <mergeCell ref="A94:S94"/>
    <mergeCell ref="A1:S1"/>
    <mergeCell ref="A2:S2"/>
    <mergeCell ref="A3:S3"/>
    <mergeCell ref="B5:D5"/>
    <mergeCell ref="A70:S70"/>
    <mergeCell ref="A80:S80"/>
  </mergeCells>
  <conditionalFormatting sqref="E7:R66">
    <cfRule type="expression" dxfId="3" priority="1">
      <formula>E7="X"</formula>
    </cfRule>
    <cfRule type="expression" dxfId="2" priority="2">
      <formula>E7="?"</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8D47B-5E8C-4315-AE1D-62CAD5644C1E}">
  <dimension ref="A1:W28"/>
  <sheetViews>
    <sheetView showGridLines="0" workbookViewId="0">
      <selection activeCell="M7" sqref="M7"/>
    </sheetView>
  </sheetViews>
  <sheetFormatPr baseColWidth="10" defaultColWidth="10.28515625" defaultRowHeight="15" x14ac:dyDescent="0.25"/>
  <cols>
    <col min="1" max="1" width="30.5703125" style="151" customWidth="1"/>
    <col min="2" max="2" width="24" style="151" customWidth="1"/>
    <col min="3" max="3" width="56.28515625" style="151" customWidth="1"/>
    <col min="4" max="4" width="48" style="151" customWidth="1"/>
    <col min="5" max="5" width="24" style="151" customWidth="1"/>
    <col min="6" max="6" width="22" style="151" customWidth="1"/>
    <col min="7" max="7" width="20.28515625" style="151" customWidth="1"/>
    <col min="8" max="8" width="23.42578125" style="151" customWidth="1"/>
    <col min="9" max="9" width="22" style="151" customWidth="1"/>
    <col min="10" max="11" width="30.85546875" style="151" customWidth="1"/>
    <col min="12" max="12" width="25.140625" style="151" customWidth="1"/>
    <col min="13" max="13" width="30.5703125" style="151" customWidth="1"/>
    <col min="14" max="14" width="30.85546875" style="151" customWidth="1"/>
    <col min="15" max="15" width="27.7109375" style="151" customWidth="1"/>
    <col min="16" max="16" width="3.42578125" style="151" customWidth="1"/>
    <col min="17" max="18" width="21.7109375" style="151" customWidth="1"/>
    <col min="19" max="23" width="22.85546875" style="151" customWidth="1"/>
    <col min="24" max="16384" width="10.28515625" style="151"/>
  </cols>
  <sheetData>
    <row r="1" spans="1:23" ht="27.95" customHeight="1" x14ac:dyDescent="0.25">
      <c r="A1" s="787" t="s">
        <v>7795</v>
      </c>
      <c r="B1" s="788"/>
      <c r="C1" s="788"/>
      <c r="D1" s="788"/>
      <c r="E1" s="788"/>
      <c r="F1" s="788"/>
      <c r="G1" s="218"/>
      <c r="H1" s="218"/>
      <c r="I1" s="787" t="s">
        <v>7795</v>
      </c>
      <c r="J1" s="788"/>
      <c r="K1" s="788"/>
      <c r="L1" s="788"/>
      <c r="M1" s="788"/>
      <c r="N1" s="788"/>
      <c r="O1" s="219"/>
      <c r="P1" s="220"/>
      <c r="Q1" s="778" t="s">
        <v>7796</v>
      </c>
      <c r="R1" s="778"/>
      <c r="S1" s="778"/>
      <c r="T1" s="778"/>
      <c r="U1" s="778"/>
      <c r="V1" s="778"/>
      <c r="W1" s="778"/>
    </row>
    <row r="2" spans="1:23" ht="27.95" customHeight="1" x14ac:dyDescent="0.25">
      <c r="A2" s="789"/>
      <c r="B2" s="790"/>
      <c r="C2" s="790"/>
      <c r="D2" s="790"/>
      <c r="E2" s="790"/>
      <c r="F2" s="790"/>
      <c r="G2" s="221"/>
      <c r="H2" s="221"/>
      <c r="I2" s="789"/>
      <c r="J2" s="790"/>
      <c r="K2" s="790"/>
      <c r="L2" s="790"/>
      <c r="M2" s="790"/>
      <c r="N2" s="790"/>
      <c r="O2" s="222"/>
      <c r="P2" s="220"/>
      <c r="Q2" s="778"/>
      <c r="R2" s="778"/>
      <c r="S2" s="778"/>
      <c r="T2" s="778"/>
      <c r="U2" s="778"/>
      <c r="V2" s="778"/>
      <c r="W2" s="778"/>
    </row>
    <row r="3" spans="1:23" ht="27.95" customHeight="1" x14ac:dyDescent="0.25">
      <c r="A3" s="791" t="s">
        <v>7797</v>
      </c>
      <c r="B3" s="791"/>
      <c r="C3" s="791"/>
      <c r="D3" s="791"/>
      <c r="E3" s="791"/>
      <c r="F3" s="791"/>
      <c r="G3" s="791"/>
      <c r="H3" s="791"/>
      <c r="I3" s="791"/>
      <c r="J3" s="791"/>
      <c r="K3" s="791"/>
      <c r="L3" s="791"/>
      <c r="M3" s="791"/>
      <c r="N3" s="791"/>
      <c r="O3" s="791"/>
      <c r="P3" s="220"/>
      <c r="Q3" s="792" t="s">
        <v>7798</v>
      </c>
      <c r="R3" s="792"/>
      <c r="S3" s="792"/>
      <c r="T3" s="792"/>
      <c r="U3" s="792"/>
      <c r="V3" s="792"/>
      <c r="W3" s="792"/>
    </row>
    <row r="4" spans="1:23" ht="33.950000000000003" customHeight="1" x14ac:dyDescent="0.25">
      <c r="A4" s="223" t="s">
        <v>7799</v>
      </c>
      <c r="B4" s="779"/>
      <c r="C4" s="780"/>
      <c r="D4" s="224"/>
      <c r="E4" s="781" t="s">
        <v>7800</v>
      </c>
      <c r="F4" s="782"/>
      <c r="G4" s="783"/>
      <c r="H4" s="784"/>
      <c r="I4" s="225"/>
      <c r="J4" s="226"/>
      <c r="K4" s="226"/>
      <c r="L4" s="226"/>
      <c r="M4" s="226"/>
      <c r="N4" s="226"/>
      <c r="O4" s="227"/>
      <c r="P4" s="220"/>
      <c r="Q4" s="776" t="s">
        <v>7801</v>
      </c>
      <c r="R4" s="776"/>
      <c r="S4" s="777"/>
      <c r="T4" s="777"/>
      <c r="U4" s="777"/>
      <c r="V4" s="777"/>
      <c r="W4" s="777"/>
    </row>
    <row r="5" spans="1:23" ht="33.950000000000003" customHeight="1" x14ac:dyDescent="0.25">
      <c r="A5" s="223" t="s">
        <v>7802</v>
      </c>
      <c r="B5" s="779"/>
      <c r="C5" s="780"/>
      <c r="D5" s="228"/>
      <c r="E5" s="781" t="s">
        <v>7803</v>
      </c>
      <c r="F5" s="782"/>
      <c r="G5" s="783"/>
      <c r="H5" s="784"/>
      <c r="I5" s="156"/>
      <c r="J5" s="229"/>
      <c r="K5" s="229"/>
      <c r="L5" s="229"/>
      <c r="M5" s="229"/>
      <c r="N5" s="1" t="s">
        <v>0</v>
      </c>
      <c r="O5" s="230"/>
      <c r="P5" s="220"/>
      <c r="Q5" s="776" t="s">
        <v>7804</v>
      </c>
      <c r="R5" s="776"/>
      <c r="S5" s="777"/>
      <c r="T5" s="777"/>
      <c r="U5" s="777"/>
      <c r="V5" s="777"/>
      <c r="W5" s="777"/>
    </row>
    <row r="6" spans="1:23" ht="33.950000000000003" customHeight="1" x14ac:dyDescent="0.25">
      <c r="A6" s="223" t="s">
        <v>7805</v>
      </c>
      <c r="B6" s="779"/>
      <c r="C6" s="780"/>
      <c r="D6" s="228"/>
      <c r="E6" s="781" t="s">
        <v>7806</v>
      </c>
      <c r="F6" s="782"/>
      <c r="G6" s="783"/>
      <c r="H6" s="784"/>
      <c r="I6" s="156"/>
      <c r="J6" s="229"/>
      <c r="K6" s="229"/>
      <c r="L6" s="229"/>
      <c r="M6" s="229"/>
      <c r="N6" s="229"/>
      <c r="O6" s="230"/>
      <c r="P6" s="220"/>
      <c r="Q6" s="776" t="s">
        <v>7807</v>
      </c>
      <c r="R6" s="776"/>
      <c r="S6" s="777" t="s">
        <v>7808</v>
      </c>
      <c r="T6" s="777"/>
      <c r="U6" s="777"/>
      <c r="V6" s="777"/>
      <c r="W6" s="777"/>
    </row>
    <row r="7" spans="1:23" ht="33.950000000000003" customHeight="1" x14ac:dyDescent="0.25">
      <c r="A7" s="223" t="s">
        <v>7809</v>
      </c>
      <c r="B7" s="779"/>
      <c r="C7" s="780"/>
      <c r="D7" s="228"/>
      <c r="E7" s="781" t="s">
        <v>7810</v>
      </c>
      <c r="F7" s="782"/>
      <c r="G7" s="783"/>
      <c r="H7" s="784"/>
      <c r="I7" s="156"/>
      <c r="J7" s="229"/>
      <c r="K7" s="229"/>
      <c r="L7" s="229"/>
      <c r="M7" s="229"/>
      <c r="N7" s="229"/>
      <c r="O7" s="230"/>
      <c r="P7" s="220"/>
      <c r="Q7" s="776" t="s">
        <v>7811</v>
      </c>
      <c r="R7" s="776"/>
      <c r="S7" s="777" t="s">
        <v>7808</v>
      </c>
      <c r="T7" s="777"/>
      <c r="U7" s="777"/>
      <c r="V7" s="777"/>
      <c r="W7" s="777"/>
    </row>
    <row r="8" spans="1:23" ht="33.950000000000003" customHeight="1" x14ac:dyDescent="0.25">
      <c r="A8" s="223" t="s">
        <v>7812</v>
      </c>
      <c r="B8" s="779"/>
      <c r="C8" s="780"/>
      <c r="D8" s="231"/>
      <c r="E8" s="781" t="s">
        <v>7813</v>
      </c>
      <c r="F8" s="782"/>
      <c r="G8" s="785"/>
      <c r="H8" s="786"/>
      <c r="I8" s="232"/>
      <c r="J8" s="233"/>
      <c r="K8" s="233"/>
      <c r="L8" s="233"/>
      <c r="M8" s="233"/>
      <c r="N8" s="233"/>
      <c r="O8" s="234"/>
      <c r="P8" s="220"/>
      <c r="Q8" s="776" t="s">
        <v>7814</v>
      </c>
      <c r="R8" s="776"/>
      <c r="S8" s="777" t="s">
        <v>7808</v>
      </c>
      <c r="T8" s="777"/>
      <c r="U8" s="777"/>
      <c r="V8" s="777"/>
      <c r="W8" s="777"/>
    </row>
    <row r="9" spans="1:23" ht="33.950000000000003" customHeight="1" x14ac:dyDescent="0.25">
      <c r="A9" s="235" t="s">
        <v>324</v>
      </c>
      <c r="B9" s="235" t="s">
        <v>7815</v>
      </c>
      <c r="C9" s="235" t="s">
        <v>7816</v>
      </c>
      <c r="D9" s="235" t="s">
        <v>7817</v>
      </c>
      <c r="E9" s="235" t="s">
        <v>7818</v>
      </c>
      <c r="F9" s="235" t="s">
        <v>7819</v>
      </c>
      <c r="G9" s="235" t="s">
        <v>7820</v>
      </c>
      <c r="H9" s="235" t="s">
        <v>7821</v>
      </c>
      <c r="I9" s="235" t="s">
        <v>7822</v>
      </c>
      <c r="J9" s="235" t="s">
        <v>7823</v>
      </c>
      <c r="K9" s="235" t="s">
        <v>7824</v>
      </c>
      <c r="L9" s="235" t="s">
        <v>7825</v>
      </c>
      <c r="M9" s="235" t="s">
        <v>7826</v>
      </c>
      <c r="N9" s="235" t="s">
        <v>7827</v>
      </c>
      <c r="O9" s="235" t="s">
        <v>7828</v>
      </c>
      <c r="P9" s="220"/>
      <c r="Q9" s="776" t="s">
        <v>7829</v>
      </c>
      <c r="R9" s="776"/>
      <c r="S9" s="777" t="s">
        <v>7808</v>
      </c>
      <c r="T9" s="777"/>
      <c r="U9" s="777"/>
      <c r="V9" s="777"/>
      <c r="W9" s="777"/>
    </row>
    <row r="10" spans="1:23" ht="39.950000000000003" customHeight="1" x14ac:dyDescent="0.25">
      <c r="A10" s="236">
        <v>1</v>
      </c>
      <c r="B10" s="237" t="s">
        <v>7830</v>
      </c>
      <c r="C10" s="238" t="s">
        <v>7831</v>
      </c>
      <c r="D10" s="238" t="s">
        <v>7832</v>
      </c>
      <c r="E10" s="239" t="str">
        <f>$S$11</f>
        <v>À RENSEIGNER</v>
      </c>
      <c r="F10" s="238" t="s">
        <v>7833</v>
      </c>
      <c r="G10" s="240"/>
      <c r="H10" s="241"/>
      <c r="I10" s="240"/>
      <c r="J10" s="242"/>
      <c r="K10" s="243"/>
      <c r="L10" s="242"/>
      <c r="M10" s="241"/>
      <c r="N10" s="240"/>
      <c r="O10" s="244" t="str">
        <f t="shared" ref="O10:O21" si="0">IF(AND(COUNTIF(G10:I10,"X")=1,COUNTA(G10:I10)=1),"OK","À CONTRÔLER")</f>
        <v>À CONTRÔLER</v>
      </c>
      <c r="P10" s="220"/>
      <c r="Q10" s="776" t="s">
        <v>7834</v>
      </c>
      <c r="R10" s="776"/>
      <c r="S10" s="777" t="s">
        <v>7808</v>
      </c>
      <c r="T10" s="777"/>
      <c r="U10" s="777"/>
      <c r="V10" s="777"/>
      <c r="W10" s="777"/>
    </row>
    <row r="11" spans="1:23" ht="39.950000000000003" customHeight="1" x14ac:dyDescent="0.25">
      <c r="A11" s="236">
        <v>2</v>
      </c>
      <c r="B11" s="237" t="s">
        <v>7835</v>
      </c>
      <c r="C11" s="238" t="s">
        <v>7836</v>
      </c>
      <c r="D11" s="238" t="s">
        <v>7837</v>
      </c>
      <c r="E11" s="239" t="str">
        <f>$S$11</f>
        <v>À RENSEIGNER</v>
      </c>
      <c r="F11" s="238" t="s">
        <v>7833</v>
      </c>
      <c r="G11" s="240"/>
      <c r="H11" s="241"/>
      <c r="I11" s="240"/>
      <c r="J11" s="242"/>
      <c r="K11" s="243"/>
      <c r="L11" s="242"/>
      <c r="M11" s="241"/>
      <c r="N11" s="240"/>
      <c r="O11" s="244" t="str">
        <f t="shared" si="0"/>
        <v>À CONTRÔLER</v>
      </c>
      <c r="P11" s="220"/>
      <c r="Q11" s="776" t="s">
        <v>7838</v>
      </c>
      <c r="R11" s="776"/>
      <c r="S11" s="777" t="s">
        <v>7808</v>
      </c>
      <c r="T11" s="777"/>
      <c r="U11" s="777"/>
      <c r="V11" s="777"/>
      <c r="W11" s="777"/>
    </row>
    <row r="12" spans="1:23" ht="39.950000000000003" customHeight="1" x14ac:dyDescent="0.25">
      <c r="A12" s="236">
        <v>3</v>
      </c>
      <c r="B12" s="237" t="s">
        <v>7839</v>
      </c>
      <c r="C12" s="238" t="s">
        <v>7840</v>
      </c>
      <c r="D12" s="238" t="s">
        <v>7841</v>
      </c>
      <c r="E12" s="239" t="str">
        <f>$S$6</f>
        <v>À RENSEIGNER</v>
      </c>
      <c r="F12" s="238" t="s">
        <v>7842</v>
      </c>
      <c r="G12" s="240"/>
      <c r="H12" s="241"/>
      <c r="I12" s="240"/>
      <c r="J12" s="242"/>
      <c r="K12" s="243"/>
      <c r="L12" s="242"/>
      <c r="M12" s="241"/>
      <c r="N12" s="240"/>
      <c r="O12" s="244" t="str">
        <f t="shared" si="0"/>
        <v>À CONTRÔLER</v>
      </c>
      <c r="P12" s="220"/>
      <c r="Q12" s="776" t="s">
        <v>7843</v>
      </c>
      <c r="R12" s="776"/>
      <c r="S12" s="777" t="s">
        <v>7844</v>
      </c>
      <c r="T12" s="777"/>
      <c r="U12" s="777"/>
      <c r="V12" s="777"/>
      <c r="W12" s="777"/>
    </row>
    <row r="13" spans="1:23" ht="39.950000000000003" customHeight="1" x14ac:dyDescent="0.25">
      <c r="A13" s="236">
        <v>4</v>
      </c>
      <c r="B13" s="237" t="s">
        <v>7845</v>
      </c>
      <c r="C13" s="238" t="s">
        <v>7846</v>
      </c>
      <c r="D13" s="238" t="s">
        <v>7847</v>
      </c>
      <c r="E13" s="239" t="str">
        <f>$S$7</f>
        <v>À RENSEIGNER</v>
      </c>
      <c r="F13" s="238" t="s">
        <v>7848</v>
      </c>
      <c r="G13" s="240"/>
      <c r="H13" s="241"/>
      <c r="I13" s="240"/>
      <c r="J13" s="242"/>
      <c r="K13" s="243"/>
      <c r="L13" s="242"/>
      <c r="M13" s="241"/>
      <c r="N13" s="240"/>
      <c r="O13" s="244" t="str">
        <f t="shared" si="0"/>
        <v>À CONTRÔLER</v>
      </c>
      <c r="P13" s="220"/>
      <c r="Q13" s="776" t="s">
        <v>7849</v>
      </c>
      <c r="R13" s="776"/>
      <c r="S13" s="777" t="s">
        <v>7844</v>
      </c>
      <c r="T13" s="777"/>
      <c r="U13" s="777"/>
      <c r="V13" s="777"/>
      <c r="W13" s="777"/>
    </row>
    <row r="14" spans="1:23" ht="39.950000000000003" customHeight="1" x14ac:dyDescent="0.25">
      <c r="A14" s="236">
        <v>5</v>
      </c>
      <c r="B14" s="237" t="s">
        <v>7356</v>
      </c>
      <c r="C14" s="238" t="s">
        <v>7850</v>
      </c>
      <c r="D14" s="238" t="s">
        <v>7851</v>
      </c>
      <c r="E14" s="239" t="str">
        <f>$S$7</f>
        <v>À RENSEIGNER</v>
      </c>
      <c r="F14" s="238" t="s">
        <v>7356</v>
      </c>
      <c r="G14" s="240"/>
      <c r="H14" s="241"/>
      <c r="I14" s="240"/>
      <c r="J14" s="242"/>
      <c r="K14" s="243"/>
      <c r="L14" s="242"/>
      <c r="M14" s="241"/>
      <c r="N14" s="240"/>
      <c r="O14" s="244" t="str">
        <f t="shared" si="0"/>
        <v>À CONTRÔLER</v>
      </c>
      <c r="P14" s="220"/>
      <c r="Q14" s="776" t="s">
        <v>7852</v>
      </c>
      <c r="R14" s="776"/>
      <c r="S14" s="777" t="s">
        <v>7853</v>
      </c>
      <c r="T14" s="777"/>
      <c r="U14" s="777"/>
      <c r="V14" s="777"/>
      <c r="W14" s="777"/>
    </row>
    <row r="15" spans="1:23" ht="39.950000000000003" customHeight="1" x14ac:dyDescent="0.25">
      <c r="A15" s="236">
        <v>6</v>
      </c>
      <c r="B15" s="237" t="s">
        <v>7854</v>
      </c>
      <c r="C15" s="238" t="s">
        <v>7855</v>
      </c>
      <c r="D15" s="238" t="s">
        <v>7856</v>
      </c>
      <c r="E15" s="239" t="str">
        <f>$S$7</f>
        <v>À RENSEIGNER</v>
      </c>
      <c r="F15" s="238" t="s">
        <v>7356</v>
      </c>
      <c r="G15" s="240"/>
      <c r="H15" s="241"/>
      <c r="I15" s="240"/>
      <c r="J15" s="242"/>
      <c r="K15" s="243"/>
      <c r="L15" s="242"/>
      <c r="M15" s="241"/>
      <c r="N15" s="240"/>
      <c r="O15" s="244" t="str">
        <f t="shared" si="0"/>
        <v>À CONTRÔLER</v>
      </c>
      <c r="P15" s="220"/>
      <c r="Q15" s="776" t="s">
        <v>7857</v>
      </c>
      <c r="R15" s="776"/>
      <c r="S15" s="777" t="s">
        <v>7808</v>
      </c>
      <c r="T15" s="777"/>
      <c r="U15" s="777"/>
      <c r="V15" s="777"/>
      <c r="W15" s="777"/>
    </row>
    <row r="16" spans="1:23" ht="39.950000000000003" customHeight="1" x14ac:dyDescent="0.25">
      <c r="A16" s="236">
        <v>7</v>
      </c>
      <c r="B16" s="237" t="s">
        <v>7858</v>
      </c>
      <c r="C16" s="238" t="s">
        <v>7859</v>
      </c>
      <c r="D16" s="238" t="s">
        <v>7860</v>
      </c>
      <c r="E16" s="239" t="str">
        <f>$S$8</f>
        <v>À RENSEIGNER</v>
      </c>
      <c r="F16" s="238" t="s">
        <v>7861</v>
      </c>
      <c r="G16" s="240"/>
      <c r="H16" s="241"/>
      <c r="I16" s="240"/>
      <c r="J16" s="242"/>
      <c r="K16" s="243"/>
      <c r="L16" s="242"/>
      <c r="M16" s="241"/>
      <c r="N16" s="240"/>
      <c r="O16" s="244" t="str">
        <f t="shared" si="0"/>
        <v>À CONTRÔLER</v>
      </c>
      <c r="P16" s="220"/>
      <c r="Q16" s="220"/>
      <c r="R16" s="220"/>
      <c r="S16" s="220"/>
      <c r="T16" s="220"/>
      <c r="U16" s="220"/>
      <c r="V16" s="220"/>
      <c r="W16" s="220"/>
    </row>
    <row r="17" spans="1:23" ht="39.950000000000003" customHeight="1" x14ac:dyDescent="0.25">
      <c r="A17" s="236">
        <v>8</v>
      </c>
      <c r="B17" s="237" t="s">
        <v>7862</v>
      </c>
      <c r="C17" s="238" t="s">
        <v>7863</v>
      </c>
      <c r="D17" s="238" t="s">
        <v>7864</v>
      </c>
      <c r="E17" s="239" t="str">
        <f>$S$8</f>
        <v>À RENSEIGNER</v>
      </c>
      <c r="F17" s="238" t="s">
        <v>7865</v>
      </c>
      <c r="G17" s="240"/>
      <c r="H17" s="241"/>
      <c r="I17" s="240"/>
      <c r="J17" s="242"/>
      <c r="K17" s="243"/>
      <c r="L17" s="242"/>
      <c r="M17" s="241"/>
      <c r="N17" s="240"/>
      <c r="O17" s="244" t="str">
        <f t="shared" si="0"/>
        <v>À CONTRÔLER</v>
      </c>
      <c r="P17" s="220"/>
      <c r="Q17" s="778" t="s">
        <v>7866</v>
      </c>
      <c r="R17" s="778"/>
      <c r="S17" s="778"/>
      <c r="T17" s="778"/>
      <c r="U17" s="778"/>
      <c r="V17" s="778"/>
      <c r="W17" s="778"/>
    </row>
    <row r="18" spans="1:23" ht="39.950000000000003" customHeight="1" x14ac:dyDescent="0.25">
      <c r="A18" s="236">
        <v>9</v>
      </c>
      <c r="B18" s="237" t="s">
        <v>7867</v>
      </c>
      <c r="C18" s="238" t="s">
        <v>7868</v>
      </c>
      <c r="D18" s="238" t="s">
        <v>7869</v>
      </c>
      <c r="E18" s="239" t="str">
        <f>$S$9</f>
        <v>À RENSEIGNER</v>
      </c>
      <c r="F18" s="238" t="s">
        <v>7870</v>
      </c>
      <c r="G18" s="240"/>
      <c r="H18" s="241"/>
      <c r="I18" s="240"/>
      <c r="J18" s="242"/>
      <c r="K18" s="243"/>
      <c r="L18" s="242"/>
      <c r="M18" s="241"/>
      <c r="N18" s="240"/>
      <c r="O18" s="244" t="str">
        <f t="shared" si="0"/>
        <v>À CONTRÔLER</v>
      </c>
      <c r="P18" s="220"/>
      <c r="Q18" s="774" t="s">
        <v>7871</v>
      </c>
      <c r="R18" s="774"/>
      <c r="S18" s="774"/>
      <c r="T18" s="774"/>
      <c r="U18" s="774"/>
      <c r="V18" s="774"/>
      <c r="W18" s="774"/>
    </row>
    <row r="19" spans="1:23" ht="39.950000000000003" customHeight="1" x14ac:dyDescent="0.25">
      <c r="A19" s="236">
        <v>10</v>
      </c>
      <c r="B19" s="237" t="s">
        <v>7872</v>
      </c>
      <c r="C19" s="238" t="s">
        <v>7873</v>
      </c>
      <c r="D19" s="238" t="s">
        <v>7874</v>
      </c>
      <c r="E19" s="239" t="str">
        <f>$S$10</f>
        <v>À RENSEIGNER</v>
      </c>
      <c r="F19" s="238" t="s">
        <v>7299</v>
      </c>
      <c r="G19" s="240"/>
      <c r="H19" s="241"/>
      <c r="I19" s="240"/>
      <c r="J19" s="242"/>
      <c r="K19" s="243"/>
      <c r="L19" s="242"/>
      <c r="M19" s="241"/>
      <c r="N19" s="240"/>
      <c r="O19" s="244" t="str">
        <f t="shared" si="0"/>
        <v>À CONTRÔLER</v>
      </c>
      <c r="P19" s="220"/>
      <c r="Q19" s="774" t="s">
        <v>7875</v>
      </c>
      <c r="R19" s="774"/>
      <c r="S19" s="774"/>
      <c r="T19" s="774"/>
      <c r="U19" s="774"/>
      <c r="V19" s="774"/>
      <c r="W19" s="774"/>
    </row>
    <row r="20" spans="1:23" ht="39.950000000000003" customHeight="1" x14ac:dyDescent="0.25">
      <c r="A20" s="236">
        <v>11</v>
      </c>
      <c r="B20" s="237" t="s">
        <v>7876</v>
      </c>
      <c r="C20" s="238" t="s">
        <v>7877</v>
      </c>
      <c r="D20" s="238" t="s">
        <v>7878</v>
      </c>
      <c r="E20" s="239" t="str">
        <f>$S$10</f>
        <v>À RENSEIGNER</v>
      </c>
      <c r="F20" s="238" t="s">
        <v>7310</v>
      </c>
      <c r="G20" s="240"/>
      <c r="H20" s="241"/>
      <c r="I20" s="240"/>
      <c r="J20" s="242"/>
      <c r="K20" s="243"/>
      <c r="L20" s="242"/>
      <c r="M20" s="241"/>
      <c r="N20" s="240"/>
      <c r="O20" s="244" t="str">
        <f t="shared" si="0"/>
        <v>À CONTRÔLER</v>
      </c>
      <c r="P20" s="220"/>
      <c r="Q20" s="774" t="s">
        <v>7879</v>
      </c>
      <c r="R20" s="774"/>
      <c r="S20" s="774"/>
      <c r="T20" s="774"/>
      <c r="U20" s="774"/>
      <c r="V20" s="774"/>
      <c r="W20" s="774"/>
    </row>
    <row r="21" spans="1:23" ht="39.950000000000003" customHeight="1" x14ac:dyDescent="0.25">
      <c r="A21" s="236">
        <v>12</v>
      </c>
      <c r="B21" s="237" t="s">
        <v>7880</v>
      </c>
      <c r="C21" s="238" t="s">
        <v>7881</v>
      </c>
      <c r="D21" s="238" t="s">
        <v>7882</v>
      </c>
      <c r="E21" s="239" t="str">
        <f>$S$11</f>
        <v>À RENSEIGNER</v>
      </c>
      <c r="F21" s="238" t="s">
        <v>7883</v>
      </c>
      <c r="G21" s="240"/>
      <c r="H21" s="241"/>
      <c r="I21" s="240"/>
      <c r="J21" s="242"/>
      <c r="K21" s="243"/>
      <c r="L21" s="242"/>
      <c r="M21" s="241"/>
      <c r="N21" s="240"/>
      <c r="O21" s="244" t="str">
        <f t="shared" si="0"/>
        <v>À CONTRÔLER</v>
      </c>
      <c r="P21" s="220"/>
      <c r="Q21" s="774" t="s">
        <v>7884</v>
      </c>
      <c r="R21" s="774"/>
      <c r="S21" s="774"/>
      <c r="T21" s="774"/>
      <c r="U21" s="774"/>
      <c r="V21" s="774"/>
      <c r="W21" s="774"/>
    </row>
    <row r="22" spans="1:23" ht="32.1" customHeight="1" x14ac:dyDescent="0.25">
      <c r="A22" s="35" t="s">
        <v>6107</v>
      </c>
      <c r="B22" s="220"/>
      <c r="C22" s="220"/>
      <c r="D22" s="220"/>
      <c r="E22" s="220"/>
      <c r="F22" s="220"/>
      <c r="G22" s="220"/>
      <c r="H22" s="220"/>
      <c r="I22" s="220"/>
      <c r="J22" s="220"/>
      <c r="K22" s="220"/>
      <c r="L22" s="220"/>
      <c r="M22" s="220"/>
      <c r="N22" s="220"/>
      <c r="O22" s="220"/>
      <c r="P22" s="220"/>
      <c r="Q22" s="774" t="s">
        <v>7885</v>
      </c>
      <c r="R22" s="774"/>
      <c r="S22" s="774"/>
      <c r="T22" s="774"/>
      <c r="U22" s="774"/>
      <c r="V22" s="774"/>
      <c r="W22" s="774"/>
    </row>
    <row r="23" spans="1:23" ht="32.1" customHeight="1" x14ac:dyDescent="0.25">
      <c r="A23" s="775" t="s">
        <v>7886</v>
      </c>
      <c r="B23" s="775"/>
      <c r="C23" s="775"/>
      <c r="D23" s="775"/>
      <c r="E23" s="775"/>
      <c r="F23" s="775"/>
      <c r="G23" s="775"/>
      <c r="H23" s="775"/>
      <c r="I23" s="775"/>
      <c r="J23" s="775"/>
      <c r="K23" s="775"/>
      <c r="L23" s="775"/>
      <c r="M23" s="775"/>
      <c r="N23" s="775"/>
      <c r="O23" s="775"/>
      <c r="P23" s="220"/>
      <c r="Q23" s="774" t="s">
        <v>7887</v>
      </c>
      <c r="R23" s="774"/>
      <c r="S23" s="774"/>
      <c r="T23" s="774"/>
      <c r="U23" s="774"/>
      <c r="V23" s="774"/>
      <c r="W23" s="774"/>
    </row>
    <row r="24" spans="1:23" ht="33.950000000000003" customHeight="1" x14ac:dyDescent="0.25">
      <c r="A24" s="769" t="s">
        <v>7888</v>
      </c>
      <c r="B24" s="770"/>
      <c r="C24" s="769" t="s">
        <v>7889</v>
      </c>
      <c r="D24" s="770"/>
      <c r="E24" s="769" t="s">
        <v>7890</v>
      </c>
      <c r="F24" s="770"/>
      <c r="G24" s="769" t="s">
        <v>7891</v>
      </c>
      <c r="H24" s="770"/>
      <c r="I24" s="769" t="s">
        <v>7892</v>
      </c>
      <c r="J24" s="770"/>
      <c r="K24" s="769" t="s">
        <v>7893</v>
      </c>
      <c r="L24" s="770"/>
      <c r="M24" s="770"/>
      <c r="N24" s="769" t="s">
        <v>7894</v>
      </c>
      <c r="O24" s="770"/>
      <c r="P24" s="220"/>
      <c r="Q24" s="220"/>
      <c r="R24" s="220"/>
      <c r="S24" s="220"/>
      <c r="T24" s="220"/>
      <c r="U24" s="220"/>
      <c r="V24" s="220"/>
      <c r="W24" s="220"/>
    </row>
    <row r="25" spans="1:23" ht="33.950000000000003" customHeight="1" x14ac:dyDescent="0.25">
      <c r="A25" s="771">
        <f>COUNTIF(G10:G21,"X")</f>
        <v>0</v>
      </c>
      <c r="B25" s="770"/>
      <c r="C25" s="771">
        <f>COUNTIF(H10:H21,"X")</f>
        <v>0</v>
      </c>
      <c r="D25" s="770"/>
      <c r="E25" s="771">
        <f>COUNTIF(I10:I21,"X")</f>
        <v>0</v>
      </c>
      <c r="F25" s="770"/>
      <c r="G25" s="771">
        <f>COUNTIF(O10:O21,"À CONTRÔLER")</f>
        <v>12</v>
      </c>
      <c r="H25" s="770"/>
      <c r="I25" s="771">
        <f>COUNTA(A10:A21)</f>
        <v>12</v>
      </c>
      <c r="J25" s="770"/>
      <c r="K25" s="772" t="str">
        <f>IF(C25&gt;0,"BLOCAGE / ACTION REQUISE",IF(G25&gt;0,"CONTRÔLE INCOMPLET","LIBÉRATION POSSIBLE"))</f>
        <v>CONTRÔLE INCOMPLET</v>
      </c>
      <c r="L25" s="772"/>
      <c r="M25" s="772"/>
      <c r="N25" s="773"/>
      <c r="O25" s="773"/>
      <c r="P25" s="220"/>
      <c r="Q25" s="767" t="s">
        <v>7895</v>
      </c>
      <c r="R25" s="767"/>
      <c r="S25" s="767"/>
      <c r="T25" s="767"/>
      <c r="U25" s="767"/>
      <c r="V25" s="767"/>
      <c r="W25" s="767"/>
    </row>
    <row r="26" spans="1:23" ht="33.950000000000003" customHeight="1" x14ac:dyDescent="0.25">
      <c r="A26" s="220"/>
      <c r="B26" s="220"/>
      <c r="C26" s="220"/>
      <c r="D26" s="220"/>
      <c r="E26" s="220"/>
      <c r="F26" s="220"/>
      <c r="G26" s="220"/>
      <c r="H26" s="220"/>
      <c r="I26" s="220"/>
      <c r="J26" s="220"/>
      <c r="K26" s="220"/>
      <c r="L26" s="220"/>
      <c r="M26" s="220"/>
      <c r="N26" s="220"/>
      <c r="O26" s="220"/>
      <c r="P26" s="220"/>
      <c r="Q26" s="767"/>
      <c r="R26" s="767"/>
      <c r="S26" s="767"/>
      <c r="T26" s="767"/>
      <c r="U26" s="767"/>
      <c r="V26" s="767"/>
      <c r="W26" s="767"/>
    </row>
    <row r="27" spans="1:23" ht="38.1" customHeight="1" x14ac:dyDescent="0.25">
      <c r="A27" s="768" t="s">
        <v>7896</v>
      </c>
      <c r="B27" s="768"/>
      <c r="C27" s="768"/>
      <c r="D27" s="768"/>
      <c r="E27" s="768"/>
      <c r="F27" s="768"/>
      <c r="G27" s="768"/>
      <c r="H27" s="768"/>
      <c r="I27" s="768"/>
      <c r="J27" s="768"/>
      <c r="K27" s="768"/>
      <c r="L27" s="768"/>
      <c r="M27" s="768"/>
      <c r="N27" s="768"/>
      <c r="O27" s="768"/>
      <c r="P27" s="220"/>
      <c r="Q27" s="220"/>
      <c r="R27" s="220"/>
      <c r="S27" s="220"/>
      <c r="T27" s="220"/>
      <c r="U27" s="220"/>
      <c r="V27" s="220"/>
      <c r="W27" s="220"/>
    </row>
    <row r="28" spans="1:23" ht="38.1" customHeight="1" x14ac:dyDescent="0.25">
      <c r="A28" s="768"/>
      <c r="B28" s="768"/>
      <c r="C28" s="768"/>
      <c r="D28" s="768"/>
      <c r="E28" s="768"/>
      <c r="F28" s="768"/>
      <c r="G28" s="768"/>
      <c r="H28" s="768"/>
      <c r="I28" s="768"/>
      <c r="J28" s="768"/>
      <c r="K28" s="768"/>
      <c r="L28" s="768"/>
      <c r="M28" s="768"/>
      <c r="N28" s="768"/>
      <c r="O28" s="768"/>
      <c r="P28" s="220"/>
      <c r="Q28" s="220"/>
      <c r="R28" s="220"/>
      <c r="S28" s="220"/>
      <c r="T28" s="220"/>
      <c r="U28" s="220"/>
      <c r="V28" s="220"/>
      <c r="W28" s="220"/>
    </row>
  </sheetData>
  <mergeCells count="68">
    <mergeCell ref="B4:C4"/>
    <mergeCell ref="E4:F4"/>
    <mergeCell ref="G4:H4"/>
    <mergeCell ref="Q4:R4"/>
    <mergeCell ref="S4:W4"/>
    <mergeCell ref="A1:F2"/>
    <mergeCell ref="I1:N2"/>
    <mergeCell ref="Q1:W2"/>
    <mergeCell ref="A3:O3"/>
    <mergeCell ref="Q3:W3"/>
    <mergeCell ref="B6:C6"/>
    <mergeCell ref="E6:F6"/>
    <mergeCell ref="G6:H6"/>
    <mergeCell ref="Q6:R6"/>
    <mergeCell ref="S6:W6"/>
    <mergeCell ref="B5:C5"/>
    <mergeCell ref="E5:F5"/>
    <mergeCell ref="G5:H5"/>
    <mergeCell ref="Q5:R5"/>
    <mergeCell ref="S5:W5"/>
    <mergeCell ref="B8:C8"/>
    <mergeCell ref="E8:F8"/>
    <mergeCell ref="G8:H8"/>
    <mergeCell ref="Q8:R8"/>
    <mergeCell ref="S8:W8"/>
    <mergeCell ref="B7:C7"/>
    <mergeCell ref="E7:F7"/>
    <mergeCell ref="G7:H7"/>
    <mergeCell ref="Q7:R7"/>
    <mergeCell ref="S7:W7"/>
    <mergeCell ref="Q9:R9"/>
    <mergeCell ref="S9:W9"/>
    <mergeCell ref="Q10:R10"/>
    <mergeCell ref="S10:W10"/>
    <mergeCell ref="Q11:R11"/>
    <mergeCell ref="S11:W11"/>
    <mergeCell ref="Q20:W20"/>
    <mergeCell ref="Q12:R12"/>
    <mergeCell ref="S12:W12"/>
    <mergeCell ref="Q13:R13"/>
    <mergeCell ref="S13:W13"/>
    <mergeCell ref="Q14:R14"/>
    <mergeCell ref="S14:W14"/>
    <mergeCell ref="Q15:R15"/>
    <mergeCell ref="S15:W15"/>
    <mergeCell ref="Q17:W17"/>
    <mergeCell ref="Q18:W18"/>
    <mergeCell ref="Q19:W19"/>
    <mergeCell ref="Q21:W21"/>
    <mergeCell ref="Q22:W22"/>
    <mergeCell ref="A23:O23"/>
    <mergeCell ref="Q23:W23"/>
    <mergeCell ref="A24:B24"/>
    <mergeCell ref="C24:D24"/>
    <mergeCell ref="E24:F24"/>
    <mergeCell ref="G24:H24"/>
    <mergeCell ref="I24:J24"/>
    <mergeCell ref="K24:M24"/>
    <mergeCell ref="Q25:W26"/>
    <mergeCell ref="A27:O28"/>
    <mergeCell ref="N24:O24"/>
    <mergeCell ref="A25:B25"/>
    <mergeCell ref="C25:D25"/>
    <mergeCell ref="E25:F25"/>
    <mergeCell ref="G25:H25"/>
    <mergeCell ref="I25:J25"/>
    <mergeCell ref="K25:M25"/>
    <mergeCell ref="N25:O25"/>
  </mergeCells>
  <conditionalFormatting sqref="O10:O21">
    <cfRule type="containsText" dxfId="1" priority="1" operator="containsText" text="À CONTRÔLER"/>
    <cfRule type="containsText" dxfId="0" priority="2" operator="containsText" text="OK"/>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38FBA-C9A6-4B9A-8C94-2A9D74822CB3}">
  <dimension ref="A1:CK82"/>
  <sheetViews>
    <sheetView workbookViewId="0">
      <selection activeCell="A13" sqref="A13"/>
    </sheetView>
  </sheetViews>
  <sheetFormatPr baseColWidth="10" defaultColWidth="10.28515625" defaultRowHeight="15.75" x14ac:dyDescent="0.25"/>
  <cols>
    <col min="1" max="1" width="41.7109375" style="151" customWidth="1"/>
    <col min="2" max="2" width="10.5703125" style="151" customWidth="1"/>
    <col min="3" max="3" width="18.85546875" style="151" customWidth="1"/>
    <col min="4" max="4" width="7.42578125" style="151" customWidth="1"/>
    <col min="5" max="5" width="16.85546875" style="151" customWidth="1"/>
    <col min="6" max="6" width="17.7109375" style="151" customWidth="1"/>
    <col min="7" max="7" width="55.7109375" style="151" customWidth="1"/>
    <col min="8" max="8" width="12" style="151" customWidth="1"/>
    <col min="9" max="9" width="10.85546875" style="151" customWidth="1"/>
    <col min="10" max="10" width="11.42578125" style="151" customWidth="1"/>
    <col min="11" max="11" width="23.7109375" style="151" customWidth="1"/>
    <col min="12" max="12" width="46.5703125" style="151" customWidth="1"/>
    <col min="13" max="13" width="25.7109375" style="151" customWidth="1"/>
    <col min="14" max="14" width="18.5703125" style="151" customWidth="1"/>
    <col min="15" max="17" width="18.28515625" style="151" customWidth="1"/>
    <col min="18" max="18" width="16.85546875" style="151" customWidth="1"/>
    <col min="19" max="21" width="16" style="151" customWidth="1"/>
    <col min="22" max="22" width="32.28515625" style="151" customWidth="1"/>
    <col min="23" max="23" width="16" style="151" customWidth="1"/>
    <col min="24" max="24" width="24.5703125" style="151" customWidth="1"/>
    <col min="25" max="25" width="20.5703125" style="151" customWidth="1"/>
    <col min="26" max="27" width="10.28515625" style="151"/>
    <col min="28" max="28" width="32.85546875" style="151" customWidth="1"/>
    <col min="29" max="29" width="13.140625" style="151" customWidth="1"/>
    <col min="30" max="30" width="10.28515625" style="151"/>
    <col min="31" max="31" width="22.5703125" style="151" customWidth="1"/>
    <col min="32" max="32" width="15.7109375" style="151" customWidth="1"/>
    <col min="33" max="33" width="17.140625" style="151" customWidth="1"/>
    <col min="34" max="34" width="20.28515625" style="151" customWidth="1"/>
    <col min="35" max="35" width="7.42578125" style="151" customWidth="1"/>
    <col min="36" max="36" width="18" style="151" customWidth="1"/>
    <col min="37" max="37" width="17.140625" style="151" customWidth="1"/>
    <col min="38" max="38" width="13.7109375" style="151" customWidth="1"/>
    <col min="40" max="40" width="11.42578125" style="151" customWidth="1"/>
    <col min="41" max="41" width="14.85546875" style="151" customWidth="1"/>
    <col min="42" max="42" width="3.42578125" style="151" customWidth="1"/>
    <col min="43" max="43" width="11.42578125" style="151" customWidth="1"/>
    <col min="44" max="44" width="13.7109375" style="151" customWidth="1"/>
    <col min="45" max="45" width="11.42578125" style="151" customWidth="1"/>
    <col min="46" max="47" width="14.85546875" style="151" customWidth="1"/>
    <col min="48" max="56" width="10.28515625" style="151"/>
    <col min="57" max="57" width="10.28515625" style="92"/>
    <col min="58" max="16384" width="10.28515625" style="151"/>
  </cols>
  <sheetData>
    <row r="1" spans="1:89" ht="48" customHeight="1" x14ac:dyDescent="0.25">
      <c r="A1" s="156"/>
      <c r="B1" s="156"/>
      <c r="C1" s="156"/>
      <c r="D1" s="538" t="s">
        <v>7898</v>
      </c>
      <c r="E1" s="539"/>
      <c r="F1" s="539"/>
      <c r="G1" s="539"/>
      <c r="H1" s="539"/>
      <c r="I1" s="539"/>
      <c r="J1" s="540"/>
      <c r="K1" s="156"/>
      <c r="L1" s="528"/>
      <c r="M1" s="276" t="s">
        <v>7899</v>
      </c>
      <c r="N1" s="277"/>
      <c r="O1" s="277"/>
      <c r="P1" s="277"/>
      <c r="Q1" s="277"/>
      <c r="R1" s="277"/>
      <c r="S1" s="277"/>
      <c r="T1" s="277"/>
      <c r="U1" s="277"/>
      <c r="V1" s="277"/>
      <c r="W1" s="277"/>
      <c r="X1" s="277"/>
      <c r="Y1" s="277"/>
      <c r="Z1" s="277"/>
      <c r="AA1" s="156"/>
      <c r="AB1" s="530" t="s">
        <v>0</v>
      </c>
      <c r="AC1" s="156"/>
      <c r="AD1" s="156"/>
      <c r="AE1" s="156"/>
      <c r="AF1" s="156"/>
      <c r="AG1" s="156"/>
      <c r="AH1" s="156"/>
      <c r="AI1" s="156"/>
      <c r="AJ1" s="156"/>
      <c r="AK1" s="435"/>
      <c r="AL1" s="435"/>
      <c r="AM1" s="535"/>
      <c r="AN1" s="435"/>
      <c r="AO1" s="435"/>
      <c r="AP1" s="435"/>
      <c r="AQ1" s="435"/>
      <c r="AR1" s="435"/>
      <c r="AS1" s="435"/>
      <c r="AT1" s="435"/>
      <c r="AU1" s="435"/>
      <c r="AV1" s="156"/>
      <c r="AW1" s="156"/>
      <c r="AX1" s="156"/>
      <c r="AY1" s="156"/>
      <c r="AZ1" s="156"/>
      <c r="BA1" s="156"/>
      <c r="BB1" s="156"/>
      <c r="BC1" s="156"/>
      <c r="BD1" s="156"/>
      <c r="BE1" s="279">
        <v>1</v>
      </c>
    </row>
    <row r="2" spans="1:89" ht="21.95" customHeight="1" x14ac:dyDescent="0.25">
      <c r="A2" s="156"/>
      <c r="B2" s="156"/>
      <c r="C2" s="156"/>
      <c r="D2" s="541" t="s">
        <v>7901</v>
      </c>
      <c r="E2" s="542"/>
      <c r="F2" s="542"/>
      <c r="G2" s="542"/>
      <c r="H2" s="542"/>
      <c r="I2" s="542"/>
      <c r="J2" s="543"/>
      <c r="K2" s="156"/>
      <c r="L2" s="528"/>
      <c r="M2" s="282" t="s">
        <v>7902</v>
      </c>
      <c r="N2" s="283"/>
      <c r="O2" s="283"/>
      <c r="P2" s="283"/>
      <c r="Q2" s="283"/>
      <c r="R2" s="283"/>
      <c r="S2" s="283"/>
      <c r="T2" s="283"/>
      <c r="U2" s="283"/>
      <c r="V2" s="283"/>
      <c r="W2" s="283"/>
      <c r="X2" s="283"/>
      <c r="Y2" s="283"/>
      <c r="Z2" s="283"/>
      <c r="AA2" s="156"/>
      <c r="AB2" s="156"/>
      <c r="AC2" s="156"/>
      <c r="AD2" s="156"/>
      <c r="AL2" s="508" t="s">
        <v>5849</v>
      </c>
      <c r="AM2" s="293" t="str">
        <f>$BE$82</f>
        <v>BE82</v>
      </c>
      <c r="AN2" s="435"/>
      <c r="AO2" s="435"/>
      <c r="AP2" s="435"/>
      <c r="AQ2" s="435"/>
      <c r="AR2" s="435"/>
      <c r="AS2" s="435"/>
      <c r="AT2" s="435"/>
      <c r="AU2" s="435"/>
      <c r="AV2" s="156"/>
      <c r="AW2" s="156"/>
      <c r="AX2" s="156"/>
      <c r="AY2" s="156"/>
      <c r="AZ2" s="156"/>
      <c r="BA2" s="156"/>
      <c r="BB2" s="156"/>
      <c r="BC2" s="156"/>
      <c r="BD2" s="156"/>
      <c r="BE2" s="279">
        <v>1</v>
      </c>
    </row>
    <row r="3" spans="1:89" ht="21.95" customHeight="1" thickBot="1" x14ac:dyDescent="0.3">
      <c r="A3" s="156"/>
      <c r="B3" s="156"/>
      <c r="C3" s="156"/>
      <c r="D3" s="544"/>
      <c r="E3" s="545"/>
      <c r="F3" s="545"/>
      <c r="G3" s="545"/>
      <c r="H3" s="545"/>
      <c r="I3" s="545"/>
      <c r="J3" s="546"/>
      <c r="K3" s="156"/>
      <c r="L3" s="528"/>
      <c r="M3" s="286" t="s">
        <v>5975</v>
      </c>
      <c r="N3" s="287" t="s">
        <v>7904</v>
      </c>
      <c r="O3" s="287" t="s">
        <v>7905</v>
      </c>
      <c r="P3" s="550" t="s">
        <v>7906</v>
      </c>
      <c r="Q3" s="550"/>
      <c r="R3" s="288" t="s">
        <v>7907</v>
      </c>
      <c r="S3" s="289"/>
      <c r="T3" s="289"/>
      <c r="U3" s="289"/>
      <c r="V3" s="290"/>
      <c r="W3" s="290"/>
      <c r="X3" s="290"/>
      <c r="Y3" s="290"/>
      <c r="Z3" s="290"/>
      <c r="AA3" s="156"/>
      <c r="AB3" s="156"/>
      <c r="AC3" s="156"/>
      <c r="AD3" s="156"/>
      <c r="AE3" s="448" t="s">
        <v>8201</v>
      </c>
      <c r="AF3" s="449"/>
      <c r="AG3" s="449"/>
      <c r="AH3" s="450"/>
      <c r="AI3" s="156"/>
      <c r="AJ3" s="156"/>
      <c r="AK3" s="156"/>
      <c r="AL3" s="435"/>
      <c r="AM3" s="535"/>
      <c r="AN3" s="435"/>
      <c r="AO3" s="435"/>
      <c r="AP3" s="435"/>
      <c r="AQ3" s="435"/>
      <c r="AR3" s="435"/>
      <c r="AS3" s="435"/>
      <c r="AT3" s="435"/>
      <c r="AU3" s="435"/>
      <c r="AV3" s="156"/>
      <c r="AW3" s="156"/>
      <c r="AX3" s="156"/>
      <c r="AY3" s="156"/>
      <c r="AZ3" s="156"/>
      <c r="BA3" s="156"/>
      <c r="BB3" s="156"/>
      <c r="BC3" s="156"/>
      <c r="BD3" s="156"/>
      <c r="BE3" s="279">
        <v>1</v>
      </c>
    </row>
    <row r="4" spans="1:89" ht="21.95" customHeight="1" x14ac:dyDescent="0.25">
      <c r="A4" s="526"/>
      <c r="B4" s="156"/>
      <c r="C4" s="156"/>
      <c r="D4" s="547"/>
      <c r="E4" s="548"/>
      <c r="F4" s="548"/>
      <c r="G4" s="548"/>
      <c r="H4" s="548"/>
      <c r="I4" s="548"/>
      <c r="J4" s="549"/>
      <c r="K4" s="156"/>
      <c r="L4" s="528"/>
      <c r="M4" s="294" t="s">
        <v>7909</v>
      </c>
      <c r="N4" s="295"/>
      <c r="O4" s="296"/>
      <c r="P4" s="295"/>
      <c r="Q4" s="295"/>
      <c r="R4" s="295"/>
      <c r="S4" s="295"/>
      <c r="T4" s="295"/>
      <c r="U4" s="295"/>
      <c r="V4" s="295"/>
      <c r="W4" s="295"/>
      <c r="X4" s="295"/>
      <c r="Y4" s="295"/>
      <c r="Z4" s="295"/>
      <c r="AA4" s="156"/>
      <c r="AB4" s="526"/>
      <c r="AC4" s="156"/>
      <c r="AD4" s="156"/>
      <c r="AE4" s="448" t="s">
        <v>8118</v>
      </c>
      <c r="AF4" s="448" t="s">
        <v>8119</v>
      </c>
      <c r="AG4" s="448"/>
      <c r="AH4" s="458"/>
      <c r="AI4" s="156"/>
      <c r="AJ4" s="156"/>
      <c r="AK4" s="156"/>
      <c r="AL4" s="435"/>
      <c r="AM4" s="535"/>
      <c r="AN4" s="435"/>
      <c r="AO4" s="435"/>
      <c r="AP4" s="435"/>
      <c r="AQ4" s="156"/>
      <c r="AR4" s="156"/>
      <c r="AS4" s="156"/>
      <c r="AT4" s="156"/>
      <c r="AU4" s="156"/>
      <c r="AV4" s="156"/>
      <c r="AW4" s="156"/>
      <c r="AX4" s="156"/>
      <c r="AY4" s="156"/>
      <c r="AZ4" s="156"/>
      <c r="BA4" s="156"/>
      <c r="BB4" s="156"/>
      <c r="BC4" s="156"/>
      <c r="BD4" s="156"/>
      <c r="BE4" s="279">
        <v>1</v>
      </c>
    </row>
    <row r="5" spans="1:89" ht="21.95" customHeight="1" x14ac:dyDescent="0.25">
      <c r="A5" s="526"/>
      <c r="B5" s="526"/>
      <c r="C5" s="156"/>
      <c r="D5" s="299"/>
      <c r="E5" s="271"/>
      <c r="F5" s="271"/>
      <c r="G5" s="271"/>
      <c r="H5" s="271"/>
      <c r="I5" s="271"/>
      <c r="J5" s="300"/>
      <c r="K5" s="156"/>
      <c r="L5" s="528"/>
      <c r="M5" s="301" t="s">
        <v>7858</v>
      </c>
      <c r="N5" s="302" t="s">
        <v>7910</v>
      </c>
      <c r="O5" s="303" t="s">
        <v>7915</v>
      </c>
      <c r="P5" s="551" t="s">
        <v>281</v>
      </c>
      <c r="Q5" s="551"/>
      <c r="R5" s="304" t="s">
        <v>7916</v>
      </c>
      <c r="S5" s="304"/>
      <c r="T5" s="304"/>
      <c r="U5" s="304"/>
      <c r="V5" s="304"/>
      <c r="W5" s="304"/>
      <c r="X5" s="304"/>
      <c r="Y5" s="304"/>
      <c r="Z5" s="304"/>
      <c r="AA5" s="156"/>
      <c r="AB5" s="156"/>
      <c r="AC5" s="156"/>
      <c r="AD5" s="156"/>
      <c r="AE5" s="418"/>
      <c r="AF5" s="418"/>
      <c r="AG5" s="418"/>
      <c r="AH5" s="419"/>
      <c r="AI5" s="156"/>
      <c r="AJ5" s="156"/>
      <c r="AK5" s="156"/>
      <c r="AL5" s="435"/>
      <c r="AM5" s="535"/>
      <c r="AN5" s="435"/>
      <c r="AO5" s="435"/>
      <c r="AP5" s="435"/>
      <c r="AQ5" s="156"/>
      <c r="AR5" s="156"/>
      <c r="AS5" s="156"/>
      <c r="AT5" s="156"/>
      <c r="AU5" s="156"/>
      <c r="AV5" s="156"/>
      <c r="AW5" s="156"/>
      <c r="AX5" s="156"/>
      <c r="AY5" s="156"/>
      <c r="AZ5" s="156"/>
      <c r="BA5" s="156"/>
      <c r="BB5" s="156"/>
      <c r="BC5" s="156"/>
      <c r="BD5" s="156"/>
      <c r="BE5" s="279">
        <v>1</v>
      </c>
    </row>
    <row r="6" spans="1:89" ht="21.95" customHeight="1" x14ac:dyDescent="0.25">
      <c r="A6" s="156"/>
      <c r="B6" s="156"/>
      <c r="C6" s="156"/>
      <c r="D6" s="558" t="s">
        <v>7917</v>
      </c>
      <c r="E6" s="559"/>
      <c r="F6" s="559"/>
      <c r="G6" s="559"/>
      <c r="H6" s="559"/>
      <c r="I6" s="559"/>
      <c r="J6" s="560"/>
      <c r="K6" s="156"/>
      <c r="L6" s="528"/>
      <c r="M6" s="301" t="s">
        <v>7858</v>
      </c>
      <c r="N6" s="302" t="s">
        <v>7912</v>
      </c>
      <c r="O6" s="303" t="s">
        <v>7918</v>
      </c>
      <c r="P6" s="561" t="s">
        <v>7919</v>
      </c>
      <c r="Q6" s="561"/>
      <c r="R6" s="311" t="s">
        <v>7920</v>
      </c>
      <c r="S6" s="311"/>
      <c r="T6" s="311"/>
      <c r="U6" s="311"/>
      <c r="V6" s="311"/>
      <c r="W6" s="311"/>
      <c r="X6" s="311"/>
      <c r="Y6" s="311"/>
      <c r="Z6" s="311"/>
      <c r="AA6" s="156"/>
      <c r="AB6" s="156"/>
      <c r="AC6" s="156"/>
      <c r="AD6" s="156"/>
      <c r="AE6" s="440" t="s">
        <v>8110</v>
      </c>
      <c r="AF6" s="485" t="s">
        <v>34</v>
      </c>
      <c r="AG6" s="485" t="s">
        <v>8123</v>
      </c>
      <c r="AH6" s="486" t="s">
        <v>8124</v>
      </c>
      <c r="AI6" s="156"/>
      <c r="AJ6" s="229" t="s">
        <v>8084</v>
      </c>
      <c r="AK6" s="529"/>
      <c r="AL6" s="529"/>
      <c r="AM6" s="529"/>
      <c r="AN6" s="435"/>
      <c r="AO6" s="435"/>
      <c r="AP6" s="435"/>
      <c r="AQ6" s="156"/>
      <c r="AR6" s="156"/>
      <c r="AS6" s="156"/>
      <c r="AT6" s="156"/>
      <c r="AU6" s="156"/>
      <c r="AV6" s="156"/>
      <c r="AW6" s="156"/>
      <c r="AX6" s="156"/>
      <c r="AY6" s="156"/>
      <c r="AZ6" s="156"/>
      <c r="BA6" s="156"/>
      <c r="BB6" s="156"/>
      <c r="BC6" s="156"/>
      <c r="BD6" s="156"/>
      <c r="BE6" s="279">
        <v>1</v>
      </c>
    </row>
    <row r="7" spans="1:89" ht="15.75" customHeight="1" x14ac:dyDescent="0.25">
      <c r="A7" s="156"/>
      <c r="B7" s="156"/>
      <c r="C7" s="156"/>
      <c r="D7" s="562" t="s">
        <v>7921</v>
      </c>
      <c r="E7" s="563"/>
      <c r="F7" s="563"/>
      <c r="G7" s="563"/>
      <c r="H7" s="563"/>
      <c r="I7" s="563"/>
      <c r="J7" s="564"/>
      <c r="K7" s="156"/>
      <c r="L7" s="528"/>
      <c r="M7" s="301" t="s">
        <v>7858</v>
      </c>
      <c r="N7" s="302" t="s">
        <v>326</v>
      </c>
      <c r="O7" s="303" t="s">
        <v>7922</v>
      </c>
      <c r="P7" s="565" t="s">
        <v>7923</v>
      </c>
      <c r="Q7" s="565"/>
      <c r="R7" s="311" t="s">
        <v>7924</v>
      </c>
      <c r="S7" s="311"/>
      <c r="T7" s="311"/>
      <c r="U7" s="311"/>
      <c r="V7" s="311"/>
      <c r="W7" s="311"/>
      <c r="X7" s="311"/>
      <c r="Y7" s="311"/>
      <c r="Z7" s="311"/>
      <c r="AA7" s="156"/>
      <c r="AB7" s="156"/>
      <c r="AC7" s="156"/>
      <c r="AD7" s="156"/>
      <c r="AE7" s="14" t="s">
        <v>7</v>
      </c>
      <c r="AF7" s="488" t="s">
        <v>35</v>
      </c>
      <c r="AG7" s="418">
        <v>1</v>
      </c>
      <c r="AH7" s="419" t="s">
        <v>36</v>
      </c>
      <c r="AI7" s="156"/>
      <c r="AJ7" s="28" t="s">
        <v>21</v>
      </c>
      <c r="AK7" s="417" t="s">
        <v>35</v>
      </c>
      <c r="AL7" s="418">
        <v>2.835E-2</v>
      </c>
      <c r="AM7" s="419" t="s">
        <v>36</v>
      </c>
      <c r="AN7" s="435"/>
      <c r="AO7" s="435"/>
      <c r="AP7" s="435"/>
      <c r="AQ7" s="156"/>
      <c r="AR7" s="156"/>
      <c r="AS7" s="156"/>
      <c r="AT7" s="156"/>
      <c r="AU7" s="156"/>
      <c r="AV7" s="156"/>
      <c r="AW7" s="156"/>
      <c r="AX7" s="156"/>
      <c r="AY7" s="156"/>
      <c r="AZ7" s="156"/>
      <c r="BA7" s="156"/>
      <c r="BB7" s="156"/>
      <c r="BC7" s="156"/>
      <c r="BD7" s="156"/>
      <c r="BE7" s="279">
        <v>1</v>
      </c>
    </row>
    <row r="8" spans="1:89" ht="23.1" customHeight="1" x14ac:dyDescent="0.25">
      <c r="A8" s="156"/>
      <c r="B8" s="156"/>
      <c r="C8" s="156"/>
      <c r="D8" s="553"/>
      <c r="E8" s="554"/>
      <c r="F8" s="554"/>
      <c r="G8" s="554"/>
      <c r="H8" s="554"/>
      <c r="I8" s="554"/>
      <c r="J8" s="555"/>
      <c r="K8" s="156"/>
      <c r="L8" s="528"/>
      <c r="M8" s="301" t="s">
        <v>7858</v>
      </c>
      <c r="N8" s="302" t="s">
        <v>327</v>
      </c>
      <c r="O8" s="303" t="s">
        <v>7926</v>
      </c>
      <c r="P8" s="566" t="s">
        <v>7927</v>
      </c>
      <c r="Q8" s="566"/>
      <c r="R8" s="311" t="s">
        <v>7928</v>
      </c>
      <c r="S8" s="311"/>
      <c r="T8" s="311"/>
      <c r="U8" s="311"/>
      <c r="V8" s="311"/>
      <c r="W8" s="311"/>
      <c r="X8" s="311"/>
      <c r="Y8" s="311"/>
      <c r="Z8" s="311"/>
      <c r="AA8" s="156"/>
      <c r="AB8" s="156"/>
      <c r="AC8" s="156"/>
      <c r="AD8" s="156"/>
      <c r="AE8" s="27" t="s">
        <v>8</v>
      </c>
      <c r="AF8" s="488" t="s">
        <v>35</v>
      </c>
      <c r="AG8" s="489">
        <v>1E-3</v>
      </c>
      <c r="AH8" s="419" t="s">
        <v>36</v>
      </c>
      <c r="AI8" s="156"/>
      <c r="AJ8" s="28" t="s">
        <v>22</v>
      </c>
      <c r="AK8" s="417" t="s">
        <v>35</v>
      </c>
      <c r="AL8" s="418">
        <v>0.13</v>
      </c>
      <c r="AM8" s="419" t="s">
        <v>36</v>
      </c>
      <c r="AN8" s="435"/>
      <c r="AO8" s="435"/>
      <c r="AP8" s="435"/>
      <c r="AQ8" s="156"/>
      <c r="AR8" s="156"/>
      <c r="AS8" s="156"/>
      <c r="AT8" s="156"/>
      <c r="AU8" s="156"/>
      <c r="AV8" s="156"/>
      <c r="AW8" s="156"/>
      <c r="AX8" s="156"/>
      <c r="AY8" s="156"/>
      <c r="AZ8" s="156"/>
      <c r="BA8" s="156"/>
      <c r="BB8" s="156"/>
      <c r="BC8" s="156"/>
      <c r="BD8" s="156"/>
      <c r="BE8" s="279">
        <v>1</v>
      </c>
    </row>
    <row r="9" spans="1:89" ht="23.1" customHeight="1" x14ac:dyDescent="0.25">
      <c r="A9" s="156"/>
      <c r="B9" s="156"/>
      <c r="C9" s="156"/>
      <c r="D9" s="314" t="s">
        <v>7929</v>
      </c>
      <c r="E9" s="315"/>
      <c r="F9" s="315"/>
      <c r="G9" s="315"/>
      <c r="H9" s="315"/>
      <c r="I9" s="315"/>
      <c r="J9" s="316"/>
      <c r="K9" s="156"/>
      <c r="L9" s="528"/>
      <c r="M9" s="301" t="s">
        <v>7858</v>
      </c>
      <c r="N9" s="317" t="s">
        <v>7930</v>
      </c>
      <c r="O9" s="303" t="s">
        <v>7931</v>
      </c>
      <c r="P9" s="552" t="s">
        <v>239</v>
      </c>
      <c r="Q9" s="551"/>
      <c r="R9" s="304" t="s">
        <v>7932</v>
      </c>
      <c r="S9" s="304"/>
      <c r="T9" s="304"/>
      <c r="U9" s="304"/>
      <c r="V9" s="304"/>
      <c r="W9" s="304"/>
      <c r="X9" s="304"/>
      <c r="Y9" s="304"/>
      <c r="Z9" s="304"/>
      <c r="AA9" s="156"/>
      <c r="AB9" s="156"/>
      <c r="AC9" s="156"/>
      <c r="AD9" s="156"/>
      <c r="AE9" s="28" t="s">
        <v>13</v>
      </c>
      <c r="AF9" s="488" t="s">
        <v>35</v>
      </c>
      <c r="AG9" s="489">
        <v>0.25</v>
      </c>
      <c r="AH9" s="419" t="s">
        <v>36</v>
      </c>
      <c r="AI9" s="156"/>
      <c r="AJ9" s="28" t="s">
        <v>23</v>
      </c>
      <c r="AK9" s="417" t="s">
        <v>35</v>
      </c>
      <c r="AL9" s="418">
        <v>0.2</v>
      </c>
      <c r="AM9" s="419" t="s">
        <v>36</v>
      </c>
      <c r="AN9" s="435"/>
      <c r="AO9" s="435"/>
      <c r="AP9" s="435"/>
      <c r="AQ9" s="156"/>
      <c r="AR9" s="156"/>
      <c r="AS9" s="156"/>
      <c r="AT9" s="156"/>
      <c r="AU9" s="156"/>
      <c r="AV9" s="156"/>
      <c r="AW9" s="156"/>
      <c r="AX9" s="156"/>
      <c r="AY9" s="156"/>
      <c r="AZ9" s="156"/>
      <c r="BA9" s="156"/>
      <c r="BB9" s="156"/>
      <c r="BC9" s="156"/>
      <c r="BD9" s="156"/>
      <c r="BE9" s="279">
        <v>1</v>
      </c>
      <c r="BP9" s="151">
        <v>1</v>
      </c>
      <c r="BQ9" s="151">
        <v>2</v>
      </c>
      <c r="BR9" s="151">
        <v>3</v>
      </c>
      <c r="BS9" s="151">
        <v>4</v>
      </c>
      <c r="BT9" s="151">
        <v>5</v>
      </c>
      <c r="BU9" s="151">
        <v>6</v>
      </c>
      <c r="BV9" s="151">
        <v>7</v>
      </c>
      <c r="BW9" s="151">
        <v>8</v>
      </c>
      <c r="BX9" s="151">
        <v>9</v>
      </c>
      <c r="BY9" s="151">
        <v>10</v>
      </c>
      <c r="BZ9" s="151">
        <v>11</v>
      </c>
      <c r="CA9" s="151">
        <v>12</v>
      </c>
      <c r="CB9" s="151">
        <v>13</v>
      </c>
      <c r="CC9" s="151">
        <v>14</v>
      </c>
      <c r="CD9" s="151">
        <v>15</v>
      </c>
      <c r="CE9" s="151">
        <v>16</v>
      </c>
      <c r="CF9" s="151">
        <v>17</v>
      </c>
      <c r="CG9" s="151">
        <v>18</v>
      </c>
      <c r="CH9" s="151">
        <v>19</v>
      </c>
      <c r="CI9" s="151">
        <v>20</v>
      </c>
      <c r="CJ9" s="151">
        <v>21</v>
      </c>
      <c r="CK9" s="151">
        <v>22</v>
      </c>
    </row>
    <row r="10" spans="1:89" ht="23.1" customHeight="1" thickBot="1" x14ac:dyDescent="0.3">
      <c r="A10" s="156"/>
      <c r="B10" s="156"/>
      <c r="C10" s="156"/>
      <c r="D10" s="553" t="s">
        <v>7935</v>
      </c>
      <c r="E10" s="554"/>
      <c r="F10" s="554"/>
      <c r="G10" s="554"/>
      <c r="H10" s="554"/>
      <c r="I10" s="554"/>
      <c r="J10" s="555"/>
      <c r="K10" s="156"/>
      <c r="L10" s="528"/>
      <c r="M10" s="319" t="s">
        <v>7936</v>
      </c>
      <c r="N10" s="320" t="s">
        <v>7937</v>
      </c>
      <c r="O10" s="321" t="s">
        <v>7938</v>
      </c>
      <c r="P10" s="556" t="s">
        <v>7939</v>
      </c>
      <c r="Q10" s="557"/>
      <c r="R10" s="311" t="s">
        <v>7940</v>
      </c>
      <c r="S10" s="311"/>
      <c r="T10" s="311"/>
      <c r="U10" s="311"/>
      <c r="V10" s="311"/>
      <c r="W10" s="311"/>
      <c r="X10" s="311"/>
      <c r="Y10" s="311"/>
      <c r="Z10" s="311"/>
      <c r="AA10" s="156"/>
      <c r="AB10" s="156"/>
      <c r="AC10" s="156"/>
      <c r="AD10" s="156"/>
      <c r="AE10" s="28" t="s">
        <v>14</v>
      </c>
      <c r="AF10" s="488" t="s">
        <v>35</v>
      </c>
      <c r="AG10" s="489">
        <v>0.33333333300000001</v>
      </c>
      <c r="AH10" s="419" t="s">
        <v>36</v>
      </c>
      <c r="AI10" s="156"/>
      <c r="AJ10" s="28" t="s">
        <v>24</v>
      </c>
      <c r="AK10" s="417" t="s">
        <v>35</v>
      </c>
      <c r="AL10" s="418">
        <v>0.23</v>
      </c>
      <c r="AM10" s="419" t="s">
        <v>36</v>
      </c>
      <c r="AN10" s="435"/>
      <c r="AO10" s="435"/>
      <c r="AP10" s="435"/>
      <c r="AQ10" s="156"/>
      <c r="AR10" s="156"/>
      <c r="AS10" s="156"/>
      <c r="AT10" s="156"/>
      <c r="AU10" s="156"/>
      <c r="AV10" s="156"/>
      <c r="AW10" s="156"/>
      <c r="AX10" s="156"/>
      <c r="AY10" s="156"/>
      <c r="AZ10" s="156"/>
      <c r="BA10" s="156"/>
      <c r="BB10" s="156"/>
      <c r="BC10" s="156"/>
      <c r="BD10" s="156"/>
      <c r="BE10" s="279">
        <v>1</v>
      </c>
    </row>
    <row r="11" spans="1:89" ht="23.1" customHeight="1" x14ac:dyDescent="0.25">
      <c r="A11" s="156"/>
      <c r="B11" s="156"/>
      <c r="C11" s="156"/>
      <c r="D11" s="553"/>
      <c r="E11" s="554"/>
      <c r="F11" s="554"/>
      <c r="G11" s="554"/>
      <c r="H11" s="554"/>
      <c r="I11" s="554"/>
      <c r="J11" s="555"/>
      <c r="K11" s="156"/>
      <c r="L11" s="528"/>
      <c r="M11" s="328" t="s">
        <v>7942</v>
      </c>
      <c r="N11" s="329"/>
      <c r="O11" s="330"/>
      <c r="P11" s="329"/>
      <c r="Q11" s="329"/>
      <c r="R11" s="329"/>
      <c r="S11" s="329"/>
      <c r="T11" s="329"/>
      <c r="U11" s="329"/>
      <c r="V11" s="329"/>
      <c r="W11" s="329"/>
      <c r="X11" s="329"/>
      <c r="Y11" s="329"/>
      <c r="Z11" s="329"/>
      <c r="AA11" s="156"/>
      <c r="AB11" s="156"/>
      <c r="AC11" s="156"/>
      <c r="AD11" s="156"/>
      <c r="AE11" s="28" t="s">
        <v>15</v>
      </c>
      <c r="AF11" s="488" t="s">
        <v>35</v>
      </c>
      <c r="AG11" s="489">
        <v>0.5</v>
      </c>
      <c r="AH11" s="419" t="s">
        <v>36</v>
      </c>
      <c r="AI11" s="156"/>
      <c r="AJ11" s="31" t="s">
        <v>25</v>
      </c>
      <c r="AK11" s="417" t="s">
        <v>37</v>
      </c>
      <c r="AL11" s="418">
        <v>0.22500000000000001</v>
      </c>
      <c r="AM11" s="419" t="s">
        <v>9</v>
      </c>
      <c r="AN11" s="435"/>
      <c r="AO11" s="435"/>
      <c r="AP11" s="435"/>
      <c r="AQ11" s="156"/>
      <c r="AR11" s="156"/>
      <c r="AS11" s="156"/>
      <c r="AT11" s="156"/>
      <c r="AU11" s="156"/>
      <c r="AV11" s="156"/>
      <c r="AW11" s="156"/>
      <c r="AX11" s="156"/>
      <c r="AY11" s="156"/>
      <c r="AZ11" s="156"/>
      <c r="BA11" s="156"/>
      <c r="BB11" s="156"/>
      <c r="BC11" s="156"/>
      <c r="BD11" s="156"/>
      <c r="BE11" s="279">
        <v>1</v>
      </c>
    </row>
    <row r="12" spans="1:89" ht="23.1" customHeight="1" x14ac:dyDescent="0.25">
      <c r="A12" s="156"/>
      <c r="B12" s="156"/>
      <c r="C12" s="156"/>
      <c r="D12" s="553" t="s">
        <v>7943</v>
      </c>
      <c r="E12" s="554"/>
      <c r="F12" s="554"/>
      <c r="G12" s="554"/>
      <c r="H12" s="554"/>
      <c r="I12" s="554"/>
      <c r="J12" s="555"/>
      <c r="K12" s="156"/>
      <c r="L12" s="528"/>
      <c r="M12" s="301" t="s">
        <v>7944</v>
      </c>
      <c r="N12" s="311" t="s">
        <v>7945</v>
      </c>
      <c r="O12" s="303" t="s">
        <v>7946</v>
      </c>
      <c r="P12" s="17" t="s">
        <v>7947</v>
      </c>
      <c r="Q12" s="17"/>
      <c r="R12" s="311" t="s">
        <v>7948</v>
      </c>
      <c r="S12" s="311"/>
      <c r="T12" s="311"/>
      <c r="U12" s="311"/>
      <c r="V12" s="311"/>
      <c r="W12" s="311"/>
      <c r="X12" s="311"/>
      <c r="Y12" s="311"/>
      <c r="Z12" s="311"/>
      <c r="AA12" s="156"/>
      <c r="AB12" s="156"/>
      <c r="AC12" s="156"/>
      <c r="AD12" s="156"/>
      <c r="AE12" s="29" t="s">
        <v>9</v>
      </c>
      <c r="AF12" s="488" t="s">
        <v>37</v>
      </c>
      <c r="AG12" s="489">
        <v>1</v>
      </c>
      <c r="AH12" s="419" t="s">
        <v>9</v>
      </c>
      <c r="AI12" s="156"/>
      <c r="AJ12" s="31" t="s">
        <v>26</v>
      </c>
      <c r="AK12" s="417" t="s">
        <v>37</v>
      </c>
      <c r="AL12" s="418">
        <v>0.35</v>
      </c>
      <c r="AM12" s="419" t="s">
        <v>9</v>
      </c>
      <c r="AN12" s="435"/>
      <c r="AO12" s="435"/>
      <c r="AP12" s="435"/>
      <c r="AQ12" s="156"/>
      <c r="AR12" s="156"/>
      <c r="AS12" s="156"/>
      <c r="AT12" s="156"/>
      <c r="AU12" s="156"/>
      <c r="AV12" s="156"/>
      <c r="AW12" s="156"/>
      <c r="AX12" s="156"/>
      <c r="AY12" s="156"/>
      <c r="AZ12" s="156"/>
      <c r="BA12" s="156"/>
      <c r="BB12" s="156"/>
      <c r="BC12" s="156"/>
      <c r="BD12" s="156"/>
      <c r="BE12" s="279">
        <v>1</v>
      </c>
    </row>
    <row r="13" spans="1:89" ht="23.1" customHeight="1" x14ac:dyDescent="0.25">
      <c r="A13" s="156"/>
      <c r="B13" s="156"/>
      <c r="C13" s="156"/>
      <c r="D13" s="567"/>
      <c r="E13" s="568"/>
      <c r="F13" s="568"/>
      <c r="G13" s="568"/>
      <c r="H13" s="568"/>
      <c r="I13" s="568"/>
      <c r="J13" s="569"/>
      <c r="K13" s="156"/>
      <c r="L13" s="528"/>
      <c r="M13" s="301" t="s">
        <v>7828</v>
      </c>
      <c r="N13" s="322" t="s">
        <v>338</v>
      </c>
      <c r="O13" s="303" t="s">
        <v>7951</v>
      </c>
      <c r="P13" s="34" t="s">
        <v>7952</v>
      </c>
      <c r="Q13" s="34"/>
      <c r="R13" s="311" t="s">
        <v>7953</v>
      </c>
      <c r="S13" s="311"/>
      <c r="T13" s="311"/>
      <c r="U13" s="311"/>
      <c r="V13" s="311"/>
      <c r="W13" s="311"/>
      <c r="X13" s="311"/>
      <c r="Y13" s="311"/>
      <c r="Z13" s="311"/>
      <c r="AA13" s="156"/>
      <c r="AB13" s="156"/>
      <c r="AC13" s="156"/>
      <c r="AD13" s="156"/>
      <c r="AE13" s="30" t="s">
        <v>10</v>
      </c>
      <c r="AF13" s="488" t="s">
        <v>37</v>
      </c>
      <c r="AG13" s="489">
        <v>0.1</v>
      </c>
      <c r="AH13" s="419" t="s">
        <v>9</v>
      </c>
      <c r="AI13" s="156"/>
      <c r="AJ13" s="31" t="s">
        <v>31</v>
      </c>
      <c r="AK13" s="417" t="s">
        <v>37</v>
      </c>
      <c r="AL13" s="418">
        <v>0.22500000000000001</v>
      </c>
      <c r="AM13" s="419" t="s">
        <v>9</v>
      </c>
      <c r="AN13" s="435"/>
      <c r="AO13" s="435"/>
      <c r="AP13" s="435"/>
      <c r="AQ13" s="156"/>
      <c r="AR13" s="156"/>
      <c r="AS13" s="156"/>
      <c r="AT13" s="156"/>
      <c r="AU13" s="156"/>
      <c r="AV13" s="156"/>
      <c r="AW13" s="156"/>
      <c r="AX13" s="156"/>
      <c r="AY13" s="156"/>
      <c r="AZ13" s="156"/>
      <c r="BA13" s="156"/>
      <c r="BB13" s="156"/>
      <c r="BC13" s="156"/>
      <c r="BD13" s="156"/>
      <c r="BE13" s="279">
        <v>1</v>
      </c>
    </row>
    <row r="14" spans="1:89" ht="23.1" customHeight="1" x14ac:dyDescent="0.25">
      <c r="A14" s="156"/>
      <c r="B14" s="156"/>
      <c r="C14" s="156"/>
      <c r="D14" s="299"/>
      <c r="E14" s="271"/>
      <c r="F14" s="271"/>
      <c r="G14" s="271"/>
      <c r="H14" s="271"/>
      <c r="I14" s="271"/>
      <c r="J14" s="300"/>
      <c r="K14" s="156"/>
      <c r="L14" s="528"/>
      <c r="M14" s="301" t="s">
        <v>7828</v>
      </c>
      <c r="N14" s="322" t="s">
        <v>338</v>
      </c>
      <c r="O14" s="303" t="s">
        <v>7951</v>
      </c>
      <c r="P14" s="34" t="s">
        <v>7954</v>
      </c>
      <c r="Q14" s="34"/>
      <c r="R14" s="311" t="s">
        <v>7955</v>
      </c>
      <c r="S14" s="311"/>
      <c r="T14" s="311"/>
      <c r="U14" s="311"/>
      <c r="V14" s="311"/>
      <c r="W14" s="311"/>
      <c r="X14" s="311"/>
      <c r="Y14" s="311"/>
      <c r="Z14" s="311"/>
      <c r="AA14" s="156"/>
      <c r="AB14" s="156"/>
      <c r="AC14" s="156"/>
      <c r="AD14" s="156"/>
      <c r="AE14" s="30" t="s">
        <v>11</v>
      </c>
      <c r="AF14" s="488" t="s">
        <v>37</v>
      </c>
      <c r="AG14" s="489">
        <v>0.01</v>
      </c>
      <c r="AH14" s="419" t="s">
        <v>9</v>
      </c>
      <c r="AI14" s="156"/>
      <c r="AJ14" s="156"/>
      <c r="AK14" s="156"/>
      <c r="AL14" s="435"/>
      <c r="AM14" s="535"/>
      <c r="AN14" s="435"/>
      <c r="AO14" s="435"/>
      <c r="AP14" s="435"/>
      <c r="AQ14" s="156"/>
      <c r="AR14" s="156"/>
      <c r="AS14" s="156"/>
      <c r="AT14" s="156"/>
      <c r="AU14" s="156"/>
      <c r="AV14" s="156"/>
      <c r="AW14" s="156"/>
      <c r="AX14" s="156"/>
      <c r="AY14" s="156"/>
      <c r="AZ14" s="156"/>
      <c r="BA14" s="156"/>
      <c r="BB14" s="156"/>
      <c r="BC14" s="156"/>
      <c r="BD14" s="156"/>
      <c r="BE14" s="279">
        <v>1</v>
      </c>
    </row>
    <row r="15" spans="1:89" ht="23.1" customHeight="1" x14ac:dyDescent="0.25">
      <c r="A15" s="156"/>
      <c r="B15" s="156"/>
      <c r="C15" s="156"/>
      <c r="D15" s="558" t="s">
        <v>7899</v>
      </c>
      <c r="E15" s="559"/>
      <c r="F15" s="559"/>
      <c r="G15" s="559"/>
      <c r="H15" s="559"/>
      <c r="I15" s="559"/>
      <c r="J15" s="560"/>
      <c r="K15" s="156"/>
      <c r="L15" s="528"/>
      <c r="M15" s="301" t="s">
        <v>7828</v>
      </c>
      <c r="N15" s="322" t="s">
        <v>338</v>
      </c>
      <c r="O15" s="303" t="s">
        <v>7951</v>
      </c>
      <c r="P15" s="34" t="s">
        <v>139</v>
      </c>
      <c r="Q15" s="34"/>
      <c r="R15" s="311" t="s">
        <v>7957</v>
      </c>
      <c r="S15" s="311"/>
      <c r="T15" s="311"/>
      <c r="U15" s="311"/>
      <c r="V15" s="311"/>
      <c r="W15" s="311"/>
      <c r="X15" s="311"/>
      <c r="Y15" s="311"/>
      <c r="Z15" s="311"/>
      <c r="AA15" s="156"/>
      <c r="AB15" s="156"/>
      <c r="AC15" s="156"/>
      <c r="AD15" s="156"/>
      <c r="AE15" s="30" t="s">
        <v>12</v>
      </c>
      <c r="AF15" s="488" t="s">
        <v>37</v>
      </c>
      <c r="AG15" s="489">
        <v>1E-3</v>
      </c>
      <c r="AH15" s="419" t="s">
        <v>9</v>
      </c>
      <c r="AI15" s="156"/>
      <c r="AJ15" s="156"/>
      <c r="AK15" s="156"/>
      <c r="AL15" s="435"/>
      <c r="AM15" s="535"/>
      <c r="AN15" s="435"/>
      <c r="AO15" s="435"/>
      <c r="AP15" s="435"/>
      <c r="AQ15" s="156"/>
      <c r="AR15" s="156"/>
      <c r="AS15" s="156"/>
      <c r="AT15" s="156"/>
      <c r="AU15" s="156"/>
      <c r="AV15" s="156"/>
      <c r="AW15" s="156"/>
      <c r="AX15" s="156"/>
      <c r="AY15" s="156"/>
      <c r="AZ15" s="156"/>
      <c r="BA15" s="156"/>
      <c r="BB15" s="156"/>
      <c r="BC15" s="156"/>
      <c r="BD15" s="156"/>
      <c r="BE15" s="279">
        <v>1</v>
      </c>
    </row>
    <row r="16" spans="1:89" ht="23.1" customHeight="1" x14ac:dyDescent="0.25">
      <c r="A16" s="156"/>
      <c r="B16" s="156"/>
      <c r="C16" s="156"/>
      <c r="D16" s="570" t="s">
        <v>281</v>
      </c>
      <c r="E16" s="572" t="s">
        <v>7959</v>
      </c>
      <c r="F16" s="574" t="s">
        <v>7911</v>
      </c>
      <c r="G16" s="574"/>
      <c r="H16" s="574"/>
      <c r="I16" s="574"/>
      <c r="J16" s="575"/>
      <c r="K16" s="156"/>
      <c r="L16" s="528"/>
      <c r="M16" s="301" t="s">
        <v>7828</v>
      </c>
      <c r="N16" s="322" t="s">
        <v>7960</v>
      </c>
      <c r="O16" s="303" t="s">
        <v>7951</v>
      </c>
      <c r="P16" s="34" t="s">
        <v>7961</v>
      </c>
      <c r="Q16" s="34"/>
      <c r="R16" s="311" t="s">
        <v>7962</v>
      </c>
      <c r="S16" s="311"/>
      <c r="T16" s="311"/>
      <c r="U16" s="311"/>
      <c r="V16" s="311"/>
      <c r="W16" s="311"/>
      <c r="X16" s="311"/>
      <c r="Y16" s="311"/>
      <c r="Z16" s="311"/>
      <c r="AA16" s="156"/>
      <c r="AB16" s="156"/>
      <c r="AC16" s="156"/>
      <c r="AD16" s="156"/>
      <c r="AE16" s="31" t="s">
        <v>16</v>
      </c>
      <c r="AF16" s="488" t="s">
        <v>37</v>
      </c>
      <c r="AG16" s="489">
        <v>0.5</v>
      </c>
      <c r="AH16" s="419" t="s">
        <v>9</v>
      </c>
      <c r="AI16" s="156"/>
      <c r="AJ16" s="156"/>
      <c r="AK16" s="156"/>
      <c r="AL16" s="435"/>
      <c r="AM16" s="535"/>
      <c r="AN16" s="435"/>
      <c r="AO16" s="435"/>
      <c r="AP16" s="435"/>
      <c r="AQ16" s="156"/>
      <c r="AR16" s="156"/>
      <c r="AS16" s="156"/>
      <c r="AT16" s="156"/>
      <c r="AU16" s="156"/>
      <c r="AV16" s="156"/>
      <c r="AW16" s="156"/>
      <c r="AX16" s="156"/>
      <c r="AY16" s="156"/>
      <c r="AZ16" s="156"/>
      <c r="BA16" s="156"/>
      <c r="BB16" s="156"/>
      <c r="BC16" s="156"/>
      <c r="BD16" s="156"/>
      <c r="BE16" s="279">
        <v>1</v>
      </c>
    </row>
    <row r="17" spans="1:57" ht="23.1" customHeight="1" thickBot="1" x14ac:dyDescent="0.3">
      <c r="A17" s="156"/>
      <c r="B17" s="156"/>
      <c r="C17" s="156"/>
      <c r="D17" s="571"/>
      <c r="E17" s="573"/>
      <c r="F17" s="576"/>
      <c r="G17" s="576"/>
      <c r="H17" s="576"/>
      <c r="I17" s="576"/>
      <c r="J17" s="577"/>
      <c r="K17" s="156"/>
      <c r="L17" s="528"/>
      <c r="M17" s="301" t="s">
        <v>7964</v>
      </c>
      <c r="N17" s="322" t="s">
        <v>7965</v>
      </c>
      <c r="O17" s="303" t="s">
        <v>7966</v>
      </c>
      <c r="P17" s="578" t="s">
        <v>7967</v>
      </c>
      <c r="Q17" s="578"/>
      <c r="R17" s="311" t="s">
        <v>7968</v>
      </c>
      <c r="S17" s="311"/>
      <c r="T17" s="311"/>
      <c r="U17" s="311"/>
      <c r="V17" s="311"/>
      <c r="W17" s="311"/>
      <c r="X17" s="311"/>
      <c r="Y17" s="311"/>
      <c r="Z17" s="311"/>
      <c r="AA17" s="156"/>
      <c r="AB17" s="156"/>
      <c r="AC17" s="156"/>
      <c r="AD17" s="156"/>
      <c r="AE17" s="31" t="s">
        <v>17</v>
      </c>
      <c r="AF17" s="488" t="s">
        <v>37</v>
      </c>
      <c r="AG17" s="489">
        <v>0.25</v>
      </c>
      <c r="AH17" s="419" t="s">
        <v>9</v>
      </c>
      <c r="AI17" s="156"/>
      <c r="AJ17" s="156"/>
      <c r="AK17" s="156"/>
      <c r="AL17" s="435"/>
      <c r="AM17" s="535"/>
      <c r="AN17" s="435"/>
      <c r="AO17" s="435"/>
      <c r="AP17" s="435"/>
      <c r="AQ17" s="156"/>
      <c r="AR17" s="156"/>
      <c r="AS17" s="156"/>
      <c r="AT17" s="156"/>
      <c r="AU17" s="156"/>
      <c r="AV17" s="156"/>
      <c r="AW17" s="156"/>
      <c r="AX17" s="156"/>
      <c r="AY17" s="156"/>
      <c r="AZ17" s="156"/>
      <c r="BA17" s="156"/>
      <c r="BB17" s="156"/>
      <c r="BC17" s="156"/>
      <c r="BD17" s="156"/>
      <c r="BE17" s="279">
        <v>1</v>
      </c>
    </row>
    <row r="18" spans="1:57" ht="18.75" x14ac:dyDescent="0.25">
      <c r="A18" s="156"/>
      <c r="B18" s="156"/>
      <c r="C18" s="156"/>
      <c r="D18" s="579" t="s">
        <v>6154</v>
      </c>
      <c r="E18" s="581" t="s">
        <v>7969</v>
      </c>
      <c r="F18" s="583" t="s">
        <v>7970</v>
      </c>
      <c r="G18" s="583"/>
      <c r="H18" s="583"/>
      <c r="I18" s="583"/>
      <c r="J18" s="584"/>
      <c r="K18" s="156"/>
      <c r="L18" s="528"/>
      <c r="M18" s="352" t="s">
        <v>7971</v>
      </c>
      <c r="N18" s="353"/>
      <c r="O18" s="354"/>
      <c r="P18" s="353"/>
      <c r="Q18" s="353"/>
      <c r="R18" s="353"/>
      <c r="S18" s="353"/>
      <c r="T18" s="353"/>
      <c r="U18" s="353"/>
      <c r="V18" s="353"/>
      <c r="W18" s="353"/>
      <c r="X18" s="353"/>
      <c r="Y18" s="353"/>
      <c r="Z18" s="353"/>
      <c r="AA18" s="156"/>
      <c r="AB18" s="156"/>
      <c r="AC18" s="156"/>
      <c r="AD18" s="156"/>
      <c r="AE18" s="31" t="s">
        <v>18</v>
      </c>
      <c r="AF18" s="488" t="s">
        <v>37</v>
      </c>
      <c r="AG18" s="489">
        <v>0.75</v>
      </c>
      <c r="AH18" s="419" t="s">
        <v>9</v>
      </c>
      <c r="AI18" s="156"/>
      <c r="AJ18" s="156"/>
      <c r="AK18" s="156"/>
      <c r="AL18" s="435"/>
      <c r="AM18" s="535"/>
      <c r="AN18" s="435"/>
      <c r="AO18" s="435"/>
      <c r="AP18" s="435"/>
      <c r="AQ18" s="156"/>
      <c r="AR18" s="156"/>
      <c r="AS18" s="156"/>
      <c r="AT18" s="156"/>
      <c r="AU18" s="156"/>
      <c r="AV18" s="156"/>
      <c r="AW18" s="156"/>
      <c r="AX18" s="156"/>
      <c r="AY18" s="156"/>
      <c r="AZ18" s="156"/>
      <c r="BA18" s="156"/>
      <c r="BB18" s="156"/>
      <c r="BC18" s="156"/>
      <c r="BD18" s="156"/>
      <c r="BE18" s="279">
        <v>1</v>
      </c>
    </row>
    <row r="19" spans="1:57" ht="23.1" customHeight="1" x14ac:dyDescent="0.25">
      <c r="A19" s="156"/>
      <c r="B19" s="156"/>
      <c r="C19" s="156"/>
      <c r="D19" s="580"/>
      <c r="E19" s="582"/>
      <c r="F19" s="585"/>
      <c r="G19" s="585"/>
      <c r="H19" s="585"/>
      <c r="I19" s="585"/>
      <c r="J19" s="586"/>
      <c r="K19" s="156"/>
      <c r="L19" s="528"/>
      <c r="M19" s="301" t="s">
        <v>7973</v>
      </c>
      <c r="N19" s="355" t="s">
        <v>7974</v>
      </c>
      <c r="O19" s="303" t="s">
        <v>7975</v>
      </c>
      <c r="P19" s="356" t="s">
        <v>7976</v>
      </c>
      <c r="Q19" s="357"/>
      <c r="R19" s="358" t="s">
        <v>7977</v>
      </c>
      <c r="S19" s="358"/>
      <c r="T19" s="358"/>
      <c r="U19" s="358"/>
      <c r="V19" s="358"/>
      <c r="W19" s="358"/>
      <c r="X19" s="358"/>
      <c r="Y19" s="358"/>
      <c r="Z19" s="358"/>
      <c r="AA19" s="156"/>
      <c r="AB19" s="156"/>
      <c r="AC19" s="156"/>
      <c r="AD19" s="156"/>
      <c r="AE19" s="31" t="s">
        <v>19</v>
      </c>
      <c r="AF19" s="488" t="s">
        <v>37</v>
      </c>
      <c r="AG19" s="489">
        <v>0.33333333300000001</v>
      </c>
      <c r="AH19" s="419" t="s">
        <v>9</v>
      </c>
      <c r="AI19" s="156"/>
      <c r="AJ19" s="156"/>
      <c r="AK19" s="156"/>
      <c r="AL19" s="435"/>
      <c r="AM19" s="535"/>
      <c r="AN19" s="435"/>
      <c r="AO19" s="435"/>
      <c r="AP19" s="435"/>
      <c r="AQ19" s="156"/>
      <c r="AR19" s="156"/>
      <c r="AS19" s="156"/>
      <c r="AT19" s="156"/>
      <c r="AU19" s="156"/>
      <c r="AV19" s="156"/>
      <c r="AW19" s="156"/>
      <c r="AX19" s="156"/>
      <c r="AY19" s="156"/>
      <c r="AZ19" s="156"/>
      <c r="BA19" s="156"/>
      <c r="BB19" s="156"/>
      <c r="BC19" s="156"/>
      <c r="BD19" s="156"/>
      <c r="BE19" s="279">
        <v>1</v>
      </c>
    </row>
    <row r="20" spans="1:57" ht="21.95" customHeight="1" x14ac:dyDescent="0.25">
      <c r="A20" s="156"/>
      <c r="B20" s="156"/>
      <c r="C20" s="156"/>
      <c r="D20" s="587" t="s">
        <v>6146</v>
      </c>
      <c r="E20" s="589" t="s">
        <v>7978</v>
      </c>
      <c r="F20" s="591" t="s">
        <v>7979</v>
      </c>
      <c r="G20" s="591"/>
      <c r="H20" s="591"/>
      <c r="I20" s="591"/>
      <c r="J20" s="592"/>
      <c r="K20" s="156"/>
      <c r="L20" s="528"/>
      <c r="M20" s="301" t="s">
        <v>7973</v>
      </c>
      <c r="N20" s="355" t="s">
        <v>7974</v>
      </c>
      <c r="O20" s="303" t="s">
        <v>7975</v>
      </c>
      <c r="P20" s="356" t="s">
        <v>7980</v>
      </c>
      <c r="Q20" s="357"/>
      <c r="R20" s="362" t="s">
        <v>7981</v>
      </c>
      <c r="S20" s="362"/>
      <c r="T20" s="362"/>
      <c r="U20" s="362"/>
      <c r="V20" s="362"/>
      <c r="W20" s="362"/>
      <c r="X20" s="362"/>
      <c r="Y20" s="362"/>
      <c r="Z20" s="362"/>
      <c r="AA20" s="156"/>
      <c r="AB20" s="156"/>
      <c r="AC20" s="156"/>
      <c r="AD20" s="156"/>
      <c r="AE20" s="31" t="s">
        <v>211</v>
      </c>
      <c r="AF20" s="488" t="s">
        <v>37</v>
      </c>
      <c r="AG20" s="489">
        <v>0.66666666699999999</v>
      </c>
      <c r="AH20" s="419" t="s">
        <v>9</v>
      </c>
      <c r="AI20" s="156"/>
      <c r="AJ20" s="156"/>
      <c r="AK20" s="156"/>
      <c r="AL20" s="435"/>
      <c r="AM20" s="535"/>
      <c r="AN20" s="435"/>
      <c r="AO20" s="435"/>
      <c r="AP20" s="435"/>
      <c r="AQ20" s="156"/>
      <c r="AR20" s="156"/>
      <c r="AS20" s="156"/>
      <c r="AT20" s="156"/>
      <c r="AU20" s="156"/>
      <c r="AV20" s="156"/>
      <c r="AW20" s="156"/>
      <c r="AX20" s="156"/>
      <c r="AY20" s="156"/>
      <c r="AZ20" s="156"/>
      <c r="BA20" s="156"/>
      <c r="BB20" s="156"/>
      <c r="BC20" s="156"/>
      <c r="BD20" s="156"/>
      <c r="BE20" s="279">
        <v>1</v>
      </c>
    </row>
    <row r="21" spans="1:57" ht="21.95" customHeight="1" x14ac:dyDescent="0.25">
      <c r="A21" s="156"/>
      <c r="B21" s="156"/>
      <c r="C21" s="156"/>
      <c r="D21" s="588"/>
      <c r="E21" s="590"/>
      <c r="F21" s="593"/>
      <c r="G21" s="593"/>
      <c r="H21" s="593"/>
      <c r="I21" s="593"/>
      <c r="J21" s="594"/>
      <c r="K21" s="156"/>
      <c r="L21" s="528"/>
      <c r="M21" s="370" t="s">
        <v>7984</v>
      </c>
      <c r="N21" s="371" t="s">
        <v>7974</v>
      </c>
      <c r="O21" s="372" t="s">
        <v>7975</v>
      </c>
      <c r="P21" s="356" t="s">
        <v>7985</v>
      </c>
      <c r="Q21" s="357"/>
      <c r="R21" s="373" t="s">
        <v>7986</v>
      </c>
      <c r="S21" s="373"/>
      <c r="T21" s="373"/>
      <c r="U21" s="373"/>
      <c r="V21" s="373"/>
      <c r="W21" s="373"/>
      <c r="X21" s="373"/>
      <c r="Y21" s="373"/>
      <c r="Z21" s="373"/>
      <c r="AA21" s="156"/>
      <c r="AB21" s="156"/>
      <c r="AC21" s="156"/>
      <c r="AD21" s="156"/>
      <c r="AE21" s="31" t="s">
        <v>20</v>
      </c>
      <c r="AF21" s="488" t="s">
        <v>37</v>
      </c>
      <c r="AG21" s="489">
        <v>0.2</v>
      </c>
      <c r="AH21" s="419" t="s">
        <v>9</v>
      </c>
      <c r="AI21" s="156"/>
      <c r="AJ21" s="156"/>
      <c r="AK21" s="156"/>
      <c r="AL21" s="435"/>
      <c r="AM21" s="535"/>
      <c r="AN21" s="435"/>
      <c r="AO21" s="435"/>
      <c r="AP21" s="435"/>
      <c r="AQ21" s="156"/>
      <c r="AR21" s="156"/>
      <c r="AS21" s="156"/>
      <c r="AT21" s="156"/>
      <c r="AU21" s="156"/>
      <c r="AV21" s="156"/>
      <c r="AW21" s="156"/>
      <c r="AX21" s="156"/>
      <c r="AY21" s="156"/>
      <c r="AZ21" s="156"/>
      <c r="BA21" s="156"/>
      <c r="BB21" s="156"/>
      <c r="BC21" s="156"/>
      <c r="BD21" s="156"/>
      <c r="BE21" s="279">
        <v>1</v>
      </c>
    </row>
    <row r="22" spans="1:57" ht="21.95" customHeight="1" thickBot="1" x14ac:dyDescent="0.3">
      <c r="A22" s="156"/>
      <c r="B22" s="156"/>
      <c r="C22" s="156"/>
      <c r="D22" s="602" t="s">
        <v>6174</v>
      </c>
      <c r="E22" s="604" t="s">
        <v>7987</v>
      </c>
      <c r="F22" s="606" t="s">
        <v>7988</v>
      </c>
      <c r="G22" s="606"/>
      <c r="H22" s="606"/>
      <c r="I22" s="606"/>
      <c r="J22" s="607"/>
      <c r="K22" s="156"/>
      <c r="L22" s="528"/>
      <c r="M22" s="370" t="s">
        <v>7984</v>
      </c>
      <c r="N22" s="385" t="s">
        <v>7974</v>
      </c>
      <c r="O22" s="372" t="s">
        <v>7975</v>
      </c>
      <c r="P22" s="356" t="s">
        <v>7989</v>
      </c>
      <c r="Q22" s="357"/>
      <c r="R22" s="373" t="s">
        <v>7990</v>
      </c>
      <c r="S22" s="373"/>
      <c r="T22" s="373"/>
      <c r="U22" s="373"/>
      <c r="V22" s="373"/>
      <c r="W22" s="373"/>
      <c r="X22" s="373"/>
      <c r="Y22" s="373"/>
      <c r="Z22" s="373"/>
      <c r="AA22" s="156"/>
      <c r="AB22" s="156"/>
      <c r="AC22" s="156"/>
      <c r="AD22" s="156"/>
      <c r="AE22" s="31" t="s">
        <v>304</v>
      </c>
      <c r="AF22" s="488" t="s">
        <v>37</v>
      </c>
      <c r="AG22" s="489">
        <v>0.125</v>
      </c>
      <c r="AH22" s="419" t="s">
        <v>9</v>
      </c>
      <c r="AI22" s="156"/>
      <c r="AJ22" s="156"/>
      <c r="AK22" s="156"/>
      <c r="AL22" s="435"/>
      <c r="AM22" s="535"/>
      <c r="AN22" s="435"/>
      <c r="AO22" s="435"/>
      <c r="AP22" s="435"/>
      <c r="AQ22" s="156"/>
      <c r="AR22" s="156"/>
      <c r="AS22" s="156"/>
      <c r="AT22" s="156"/>
      <c r="AU22" s="156"/>
      <c r="AV22" s="156"/>
      <c r="AW22" s="156"/>
      <c r="AX22" s="156"/>
      <c r="AY22" s="156"/>
      <c r="AZ22" s="156"/>
      <c r="BA22" s="156"/>
      <c r="BB22" s="156"/>
      <c r="BC22" s="156"/>
      <c r="BD22" s="156"/>
      <c r="BE22" s="279">
        <v>1</v>
      </c>
    </row>
    <row r="23" spans="1:57" ht="21.95" customHeight="1" x14ac:dyDescent="0.25">
      <c r="A23" s="156"/>
      <c r="B23" s="156"/>
      <c r="C23" s="156"/>
      <c r="D23" s="603"/>
      <c r="E23" s="605"/>
      <c r="F23" s="608"/>
      <c r="G23" s="608"/>
      <c r="H23" s="608"/>
      <c r="I23" s="608"/>
      <c r="J23" s="609"/>
      <c r="K23" s="156"/>
      <c r="L23" s="528"/>
      <c r="M23" s="386" t="s">
        <v>7991</v>
      </c>
      <c r="N23" s="387"/>
      <c r="O23" s="388"/>
      <c r="P23" s="387"/>
      <c r="Q23" s="387"/>
      <c r="R23" s="387"/>
      <c r="S23" s="387"/>
      <c r="T23" s="387"/>
      <c r="U23" s="387"/>
      <c r="V23" s="387"/>
      <c r="W23" s="387"/>
      <c r="X23" s="387"/>
      <c r="Y23" s="387"/>
      <c r="Z23" s="387"/>
      <c r="AA23" s="156"/>
      <c r="AB23" s="156"/>
      <c r="AC23" s="156"/>
      <c r="AD23" s="156"/>
      <c r="AE23" s="31" t="s">
        <v>352</v>
      </c>
      <c r="AF23" s="488" t="s">
        <v>37</v>
      </c>
      <c r="AG23" s="489">
        <v>0.125</v>
      </c>
      <c r="AH23" s="419" t="s">
        <v>9</v>
      </c>
      <c r="AI23" s="156"/>
      <c r="AJ23" s="156"/>
      <c r="AK23" s="435"/>
      <c r="AL23" s="435"/>
      <c r="AM23" s="535"/>
      <c r="AN23" s="435"/>
      <c r="AO23" s="435"/>
      <c r="AP23" s="435"/>
      <c r="AQ23" s="156"/>
      <c r="AR23" s="156"/>
      <c r="AS23" s="156"/>
      <c r="AT23" s="156"/>
      <c r="AU23" s="156"/>
      <c r="AV23" s="156"/>
      <c r="AW23" s="156"/>
      <c r="AX23" s="156"/>
      <c r="AY23" s="156"/>
      <c r="AZ23" s="156"/>
      <c r="BA23" s="156"/>
      <c r="BB23" s="156"/>
      <c r="BC23" s="156"/>
      <c r="BD23" s="156"/>
      <c r="BE23" s="279">
        <v>1</v>
      </c>
    </row>
    <row r="24" spans="1:57" ht="21.95" customHeight="1" x14ac:dyDescent="0.25">
      <c r="A24" s="156"/>
      <c r="B24" s="156"/>
      <c r="C24" s="156"/>
      <c r="D24" s="610" t="s">
        <v>136</v>
      </c>
      <c r="E24" s="612" t="s">
        <v>7992</v>
      </c>
      <c r="F24" s="614" t="s">
        <v>7993</v>
      </c>
      <c r="G24" s="614"/>
      <c r="H24" s="614"/>
      <c r="I24" s="614"/>
      <c r="J24" s="615"/>
      <c r="K24" s="156"/>
      <c r="L24" s="528"/>
      <c r="M24" s="301" t="s">
        <v>7994</v>
      </c>
      <c r="N24" s="322" t="s">
        <v>339</v>
      </c>
      <c r="O24" s="303" t="s">
        <v>7995</v>
      </c>
      <c r="P24" s="389" t="s">
        <v>136</v>
      </c>
      <c r="Q24" s="14"/>
      <c r="R24" s="304" t="s">
        <v>7996</v>
      </c>
      <c r="S24" s="304"/>
      <c r="T24" s="304"/>
      <c r="U24" s="304"/>
      <c r="V24" s="304"/>
      <c r="W24" s="304"/>
      <c r="X24" s="304"/>
      <c r="Y24" s="304"/>
      <c r="Z24" s="304"/>
      <c r="AA24" s="156"/>
      <c r="AB24" s="156"/>
      <c r="AC24" s="156"/>
      <c r="AD24" s="156"/>
      <c r="AE24" s="31" t="s">
        <v>27</v>
      </c>
      <c r="AF24" s="488" t="s">
        <v>37</v>
      </c>
      <c r="AG24" s="489">
        <v>5.0000000000000001E-3</v>
      </c>
      <c r="AH24" s="419" t="s">
        <v>9</v>
      </c>
      <c r="AI24" s="156"/>
      <c r="AJ24" s="156"/>
      <c r="AK24" s="435"/>
      <c r="AL24" s="435"/>
      <c r="AM24" s="535"/>
      <c r="AN24" s="435"/>
      <c r="AO24" s="435"/>
      <c r="AP24" s="435"/>
      <c r="AQ24" s="156"/>
      <c r="AR24" s="156"/>
      <c r="AS24" s="156"/>
      <c r="AT24" s="156"/>
      <c r="AU24" s="156"/>
      <c r="AV24" s="156"/>
      <c r="AW24" s="156"/>
      <c r="AX24" s="156"/>
      <c r="AY24" s="156"/>
      <c r="AZ24" s="156"/>
      <c r="BA24" s="156"/>
      <c r="BB24" s="156"/>
      <c r="BC24" s="156"/>
      <c r="BD24" s="156"/>
      <c r="BE24" s="279">
        <v>1</v>
      </c>
    </row>
    <row r="25" spans="1:57" ht="21.95" customHeight="1" x14ac:dyDescent="0.25">
      <c r="A25" s="156"/>
      <c r="B25" s="156"/>
      <c r="C25" s="156"/>
      <c r="D25" s="611"/>
      <c r="E25" s="613"/>
      <c r="F25" s="616"/>
      <c r="G25" s="616"/>
      <c r="H25" s="616"/>
      <c r="I25" s="616"/>
      <c r="J25" s="617"/>
      <c r="K25" s="156"/>
      <c r="L25" s="528"/>
      <c r="M25" s="301" t="s">
        <v>7994</v>
      </c>
      <c r="N25" s="322" t="s">
        <v>7997</v>
      </c>
      <c r="O25" s="303" t="s">
        <v>7998</v>
      </c>
      <c r="P25" s="390"/>
      <c r="Q25" s="391" t="s">
        <v>7999</v>
      </c>
      <c r="R25" s="311" t="s">
        <v>8000</v>
      </c>
      <c r="S25" s="311"/>
      <c r="T25" s="311"/>
      <c r="U25" s="311"/>
      <c r="V25" s="311"/>
      <c r="W25" s="311"/>
      <c r="X25" s="311"/>
      <c r="Y25" s="311"/>
      <c r="Z25" s="311"/>
      <c r="AA25" s="156"/>
      <c r="AB25" s="156"/>
      <c r="AC25" s="156"/>
      <c r="AD25" s="156"/>
      <c r="AE25" s="31" t="s">
        <v>28</v>
      </c>
      <c r="AF25" s="488" t="s">
        <v>37</v>
      </c>
      <c r="AG25" s="489">
        <v>5.0000000000000001E-3</v>
      </c>
      <c r="AH25" s="419" t="s">
        <v>9</v>
      </c>
      <c r="AI25" s="156"/>
      <c r="AJ25" s="156"/>
      <c r="AK25" s="435"/>
      <c r="AL25" s="435"/>
      <c r="AM25" s="535"/>
      <c r="AN25" s="435"/>
      <c r="AO25" s="435"/>
      <c r="AP25" s="435"/>
      <c r="AQ25" s="156"/>
      <c r="AR25" s="156"/>
      <c r="AS25" s="156"/>
      <c r="AT25" s="156"/>
      <c r="AU25" s="156"/>
      <c r="AV25" s="156"/>
      <c r="AW25" s="156"/>
      <c r="AX25" s="156"/>
      <c r="AY25" s="156"/>
      <c r="AZ25" s="156"/>
      <c r="BA25" s="156"/>
      <c r="BB25" s="156"/>
      <c r="BC25" s="156"/>
      <c r="BD25" s="156"/>
      <c r="BE25" s="279">
        <v>1</v>
      </c>
    </row>
    <row r="26" spans="1:57" ht="21.95" customHeight="1" x14ac:dyDescent="0.25">
      <c r="A26" s="156"/>
      <c r="B26" s="156"/>
      <c r="C26" s="156"/>
      <c r="D26" s="618" t="s">
        <v>8001</v>
      </c>
      <c r="E26" s="619" t="s">
        <v>8002</v>
      </c>
      <c r="F26" s="620" t="s">
        <v>8003</v>
      </c>
      <c r="G26" s="620"/>
      <c r="H26" s="620"/>
      <c r="I26" s="620"/>
      <c r="J26" s="621"/>
      <c r="K26" s="156"/>
      <c r="L26" s="528"/>
      <c r="M26" s="301" t="s">
        <v>8004</v>
      </c>
      <c r="N26" s="322" t="s">
        <v>8005</v>
      </c>
      <c r="O26" s="303" t="s">
        <v>8006</v>
      </c>
      <c r="P26" s="624" t="s">
        <v>8007</v>
      </c>
      <c r="Q26" s="624"/>
      <c r="R26" s="311" t="s">
        <v>8008</v>
      </c>
      <c r="S26" s="311"/>
      <c r="T26" s="311"/>
      <c r="U26" s="311"/>
      <c r="V26" s="311"/>
      <c r="W26" s="311"/>
      <c r="X26" s="311"/>
      <c r="Y26" s="311"/>
      <c r="Z26" s="311"/>
      <c r="AA26" s="156"/>
      <c r="AB26" s="156"/>
      <c r="AC26" s="156"/>
      <c r="AD26" s="156"/>
      <c r="AE26" s="31" t="s">
        <v>29</v>
      </c>
      <c r="AF26" s="488" t="s">
        <v>37</v>
      </c>
      <c r="AG26" s="489">
        <v>1.4999999999999999E-2</v>
      </c>
      <c r="AH26" s="419" t="s">
        <v>9</v>
      </c>
      <c r="AI26" s="156"/>
      <c r="AJ26" s="156"/>
      <c r="AK26" s="435"/>
      <c r="AL26" s="435"/>
      <c r="AM26" s="535"/>
      <c r="AN26" s="435"/>
      <c r="AO26" s="435"/>
      <c r="AP26" s="435"/>
      <c r="AQ26" s="156"/>
      <c r="AR26" s="156"/>
      <c r="AS26" s="156"/>
      <c r="AT26" s="156"/>
      <c r="AU26" s="156"/>
      <c r="AV26" s="156"/>
      <c r="AW26" s="156"/>
      <c r="AX26" s="156"/>
      <c r="AY26" s="156"/>
      <c r="AZ26" s="156"/>
      <c r="BA26" s="156"/>
      <c r="BB26" s="156"/>
      <c r="BC26" s="156"/>
      <c r="BD26" s="156"/>
      <c r="BE26" s="279">
        <v>1</v>
      </c>
    </row>
    <row r="27" spans="1:57" ht="21.95" customHeight="1" thickBot="1" x14ac:dyDescent="0.3">
      <c r="A27" s="156"/>
      <c r="B27" s="156"/>
      <c r="C27" s="156"/>
      <c r="D27" s="588"/>
      <c r="E27" s="590"/>
      <c r="F27" s="622"/>
      <c r="G27" s="622"/>
      <c r="H27" s="622"/>
      <c r="I27" s="622"/>
      <c r="J27" s="623"/>
      <c r="K27" s="156"/>
      <c r="L27" s="528"/>
      <c r="M27" s="301" t="s">
        <v>8009</v>
      </c>
      <c r="N27" s="355" t="s">
        <v>8010</v>
      </c>
      <c r="O27" s="303" t="s">
        <v>8011</v>
      </c>
      <c r="P27" s="625" t="s">
        <v>8012</v>
      </c>
      <c r="Q27" s="625"/>
      <c r="R27" s="304" t="s">
        <v>8013</v>
      </c>
      <c r="S27" s="304"/>
      <c r="T27" s="304"/>
      <c r="U27" s="304"/>
      <c r="V27" s="304"/>
      <c r="W27" s="304"/>
      <c r="X27" s="304"/>
      <c r="Y27" s="304"/>
      <c r="Z27" s="304"/>
      <c r="AA27" s="156"/>
      <c r="AB27" s="156"/>
      <c r="AC27" s="156"/>
      <c r="AD27" s="156"/>
      <c r="AE27" s="31" t="s">
        <v>30</v>
      </c>
      <c r="AF27" s="488" t="s">
        <v>37</v>
      </c>
      <c r="AG27" s="489">
        <v>0.1</v>
      </c>
      <c r="AH27" s="419" t="s">
        <v>9</v>
      </c>
      <c r="AI27" s="156"/>
      <c r="AJ27" s="156"/>
      <c r="AK27" s="435"/>
      <c r="AL27" s="435"/>
      <c r="AM27" s="535"/>
      <c r="AN27" s="435"/>
      <c r="AO27" s="435"/>
      <c r="AP27" s="435"/>
      <c r="AQ27" s="156"/>
      <c r="AR27" s="156"/>
      <c r="AS27" s="156"/>
      <c r="AT27" s="156"/>
      <c r="AU27" s="156"/>
      <c r="AV27" s="156"/>
      <c r="AW27" s="156"/>
      <c r="AX27" s="156"/>
      <c r="AY27" s="156"/>
      <c r="AZ27" s="156"/>
      <c r="BA27" s="156"/>
      <c r="BB27" s="156"/>
      <c r="BC27" s="156"/>
      <c r="BD27" s="156"/>
      <c r="BE27" s="279">
        <v>1</v>
      </c>
    </row>
    <row r="28" spans="1:57" ht="21.95" customHeight="1" x14ac:dyDescent="0.25">
      <c r="A28" s="156"/>
      <c r="B28" s="156"/>
      <c r="C28" s="156"/>
      <c r="D28" s="595" t="s">
        <v>8014</v>
      </c>
      <c r="E28" s="392" t="s">
        <v>4</v>
      </c>
      <c r="F28" s="597" t="s">
        <v>8015</v>
      </c>
      <c r="G28" s="597"/>
      <c r="H28" s="597"/>
      <c r="I28" s="597"/>
      <c r="J28" s="598"/>
      <c r="K28" s="156"/>
      <c r="L28" s="528"/>
      <c r="M28" s="328" t="s">
        <v>8016</v>
      </c>
      <c r="N28" s="329"/>
      <c r="O28" s="330"/>
      <c r="P28" s="329"/>
      <c r="Q28" s="329"/>
      <c r="R28" s="329"/>
      <c r="S28" s="329"/>
      <c r="T28" s="329"/>
      <c r="U28" s="329"/>
      <c r="V28" s="329"/>
      <c r="W28" s="329"/>
      <c r="X28" s="329"/>
      <c r="Y28" s="329"/>
      <c r="Z28" s="329"/>
      <c r="AA28" s="156"/>
      <c r="AB28" s="156"/>
      <c r="AC28" s="156"/>
      <c r="AD28" s="156"/>
      <c r="AE28" s="32" t="s">
        <v>33</v>
      </c>
      <c r="AF28" s="488" t="s">
        <v>38</v>
      </c>
      <c r="AG28" s="489">
        <v>1</v>
      </c>
      <c r="AH28" s="419" t="s">
        <v>8035</v>
      </c>
      <c r="AI28" s="156"/>
      <c r="AJ28" s="156"/>
      <c r="AK28" s="435"/>
      <c r="AL28" s="435"/>
      <c r="AM28" s="535"/>
      <c r="AN28" s="435"/>
      <c r="AO28" s="435"/>
      <c r="AP28" s="435"/>
      <c r="AQ28" s="156"/>
      <c r="AR28" s="156"/>
      <c r="AS28" s="156"/>
      <c r="AT28" s="156"/>
      <c r="AU28" s="156"/>
      <c r="AV28" s="156"/>
      <c r="AW28" s="156"/>
      <c r="AX28" s="156"/>
      <c r="AY28" s="156"/>
      <c r="AZ28" s="156"/>
      <c r="BA28" s="156"/>
      <c r="BB28" s="156"/>
      <c r="BC28" s="156"/>
      <c r="BD28" s="156"/>
      <c r="BE28" s="279">
        <v>1</v>
      </c>
    </row>
    <row r="29" spans="1:57" ht="21.95" customHeight="1" x14ac:dyDescent="0.25">
      <c r="A29" s="156"/>
      <c r="B29" s="156"/>
      <c r="C29" s="156"/>
      <c r="D29" s="596"/>
      <c r="E29" s="393"/>
      <c r="F29" s="599"/>
      <c r="G29" s="599"/>
      <c r="H29" s="599"/>
      <c r="I29" s="599"/>
      <c r="J29" s="600"/>
      <c r="K29" s="156"/>
      <c r="L29" s="528"/>
      <c r="M29" s="319" t="s">
        <v>8017</v>
      </c>
      <c r="N29" s="394" t="s">
        <v>8018</v>
      </c>
      <c r="O29" s="395" t="s">
        <v>8019</v>
      </c>
      <c r="P29" s="601" t="s">
        <v>8020</v>
      </c>
      <c r="Q29" s="601"/>
      <c r="R29" s="304" t="s">
        <v>8021</v>
      </c>
      <c r="S29" s="304"/>
      <c r="T29" s="304"/>
      <c r="U29" s="304"/>
      <c r="V29" s="304"/>
      <c r="W29" s="304"/>
      <c r="X29" s="304"/>
      <c r="Y29" s="304"/>
      <c r="Z29" s="304"/>
      <c r="AA29" s="156"/>
      <c r="AB29" s="156"/>
      <c r="AC29" s="156"/>
      <c r="AD29" s="156"/>
      <c r="AE29" s="32" t="s">
        <v>8125</v>
      </c>
      <c r="AF29" s="488" t="s">
        <v>38</v>
      </c>
      <c r="AG29" s="489">
        <v>1</v>
      </c>
      <c r="AH29" s="419" t="s">
        <v>8126</v>
      </c>
      <c r="AI29" s="156"/>
      <c r="AJ29" s="156"/>
      <c r="AK29" s="435"/>
      <c r="AL29" s="435"/>
      <c r="AM29" s="535"/>
      <c r="AN29" s="435"/>
      <c r="AO29" s="435"/>
      <c r="AP29" s="435"/>
      <c r="AQ29" s="156"/>
      <c r="AR29" s="156"/>
      <c r="AS29" s="156"/>
      <c r="AT29" s="156"/>
      <c r="AU29" s="156"/>
      <c r="AV29" s="156"/>
      <c r="AW29" s="156"/>
      <c r="AX29" s="156"/>
      <c r="AY29" s="156"/>
      <c r="AZ29" s="156"/>
      <c r="BA29" s="156"/>
      <c r="BB29" s="156"/>
      <c r="BC29" s="156"/>
      <c r="BD29" s="156"/>
      <c r="BE29" s="279">
        <v>1</v>
      </c>
    </row>
    <row r="30" spans="1:57" ht="21.95" customHeight="1" x14ac:dyDescent="0.25">
      <c r="A30" s="156"/>
      <c r="B30" s="156"/>
      <c r="C30" s="156"/>
      <c r="D30" s="626" t="s">
        <v>8022</v>
      </c>
      <c r="E30" s="627"/>
      <c r="F30" s="627"/>
      <c r="G30" s="627"/>
      <c r="H30" s="627"/>
      <c r="I30" s="627"/>
      <c r="J30" s="628"/>
      <c r="K30" s="156"/>
      <c r="L30" s="528"/>
      <c r="M30" s="319" t="s">
        <v>8017</v>
      </c>
      <c r="N30" s="320" t="s">
        <v>8023</v>
      </c>
      <c r="O30" s="395" t="s">
        <v>8024</v>
      </c>
      <c r="P30" s="629" t="s">
        <v>7</v>
      </c>
      <c r="Q30" s="629"/>
      <c r="R30" s="304" t="s">
        <v>8025</v>
      </c>
      <c r="S30" s="304"/>
      <c r="T30" s="304"/>
      <c r="U30" s="304"/>
      <c r="V30" s="304"/>
      <c r="W30" s="304"/>
      <c r="X30" s="304"/>
      <c r="Y30" s="304"/>
      <c r="Z30" s="304"/>
      <c r="AA30" s="156"/>
      <c r="AB30" s="156"/>
      <c r="AC30" s="156"/>
      <c r="AD30" s="156"/>
      <c r="AE30" s="32" t="s">
        <v>8127</v>
      </c>
      <c r="AF30" s="488" t="s">
        <v>38</v>
      </c>
      <c r="AG30" s="489">
        <v>1</v>
      </c>
      <c r="AH30" s="419" t="s">
        <v>8128</v>
      </c>
      <c r="AI30" s="156"/>
      <c r="AJ30" s="156"/>
      <c r="AK30" s="435"/>
      <c r="AL30" s="435"/>
      <c r="AM30" s="535"/>
      <c r="AN30" s="435"/>
      <c r="AO30" s="435"/>
      <c r="AP30" s="435"/>
      <c r="AQ30" s="156"/>
      <c r="AR30" s="156"/>
      <c r="AS30" s="156"/>
      <c r="AT30" s="156"/>
      <c r="AU30" s="156"/>
      <c r="AV30" s="156"/>
      <c r="AW30" s="156"/>
      <c r="AX30" s="156"/>
      <c r="AY30" s="156"/>
      <c r="AZ30" s="156"/>
      <c r="BA30" s="156"/>
      <c r="BB30" s="156"/>
      <c r="BC30" s="156"/>
      <c r="BD30" s="156"/>
      <c r="BE30" s="279">
        <v>1</v>
      </c>
    </row>
    <row r="31" spans="1:57" ht="21.95" customHeight="1" x14ac:dyDescent="0.25">
      <c r="A31" s="156"/>
      <c r="B31" s="156"/>
      <c r="C31" s="156"/>
      <c r="D31" s="630" t="s">
        <v>8026</v>
      </c>
      <c r="E31" s="631"/>
      <c r="F31" s="632" t="s">
        <v>8027</v>
      </c>
      <c r="G31" s="632"/>
      <c r="H31" s="632"/>
      <c r="I31" s="632"/>
      <c r="J31" s="633"/>
      <c r="K31" s="156"/>
      <c r="L31" s="528"/>
      <c r="M31" s="319" t="s">
        <v>8017</v>
      </c>
      <c r="N31" s="320" t="s">
        <v>330</v>
      </c>
      <c r="O31" s="395" t="s">
        <v>8028</v>
      </c>
      <c r="P31" s="634" t="s">
        <v>8029</v>
      </c>
      <c r="Q31" s="634"/>
      <c r="R31" s="304" t="s">
        <v>8030</v>
      </c>
      <c r="S31" s="304"/>
      <c r="T31" s="304"/>
      <c r="U31" s="304"/>
      <c r="V31" s="304"/>
      <c r="W31" s="304"/>
      <c r="X31" s="304"/>
      <c r="Y31" s="304"/>
      <c r="Z31" s="304"/>
      <c r="AA31" s="156"/>
      <c r="AB31" s="156"/>
      <c r="AC31" s="156"/>
      <c r="AD31" s="156"/>
      <c r="AE31" s="32" t="s">
        <v>320</v>
      </c>
      <c r="AF31" s="488" t="s">
        <v>38</v>
      </c>
      <c r="AG31" s="489">
        <v>1</v>
      </c>
      <c r="AH31" s="419" t="s">
        <v>321</v>
      </c>
      <c r="AI31" s="156"/>
      <c r="AJ31" s="156"/>
      <c r="AK31" s="435"/>
      <c r="AL31" s="435"/>
      <c r="AM31" s="535"/>
      <c r="AN31" s="435"/>
      <c r="AO31" s="435"/>
      <c r="AP31" s="435"/>
      <c r="AQ31" s="156"/>
      <c r="AR31" s="156"/>
      <c r="AS31" s="156"/>
      <c r="AT31" s="156"/>
      <c r="AU31" s="156"/>
      <c r="AV31" s="156"/>
      <c r="AW31" s="156"/>
      <c r="AX31" s="156"/>
      <c r="AY31" s="156"/>
      <c r="AZ31" s="156"/>
      <c r="BA31" s="156"/>
      <c r="BB31" s="156"/>
      <c r="BC31" s="156"/>
      <c r="BD31" s="156"/>
      <c r="BE31" s="279">
        <v>1</v>
      </c>
    </row>
    <row r="32" spans="1:57" ht="21.95" customHeight="1" x14ac:dyDescent="0.25">
      <c r="A32" s="156"/>
      <c r="B32" s="156"/>
      <c r="C32" s="156"/>
      <c r="D32" s="630"/>
      <c r="E32" s="631"/>
      <c r="F32" s="632"/>
      <c r="G32" s="632"/>
      <c r="H32" s="632"/>
      <c r="I32" s="632"/>
      <c r="J32" s="633"/>
      <c r="K32" s="156"/>
      <c r="L32" s="528"/>
      <c r="M32" s="319" t="s">
        <v>8017</v>
      </c>
      <c r="N32" s="320" t="s">
        <v>8031</v>
      </c>
      <c r="O32" s="395" t="s">
        <v>8032</v>
      </c>
      <c r="P32" s="634" t="s">
        <v>8033</v>
      </c>
      <c r="Q32" s="634"/>
      <c r="R32" s="311" t="s">
        <v>8034</v>
      </c>
      <c r="S32" s="311"/>
      <c r="T32" s="311"/>
      <c r="U32" s="311"/>
      <c r="V32" s="311"/>
      <c r="W32" s="311"/>
      <c r="X32" s="311"/>
      <c r="Y32" s="311"/>
      <c r="Z32" s="311"/>
      <c r="AA32" s="156"/>
      <c r="AB32" s="156"/>
      <c r="AC32" s="156"/>
      <c r="AD32" s="156"/>
      <c r="AE32" s="32" t="s">
        <v>318</v>
      </c>
      <c r="AF32" s="488" t="s">
        <v>38</v>
      </c>
      <c r="AG32" s="489">
        <v>1</v>
      </c>
      <c r="AH32" s="419" t="s">
        <v>319</v>
      </c>
      <c r="AI32" s="156"/>
      <c r="AJ32" s="156"/>
      <c r="AK32" s="435"/>
      <c r="AL32" s="435"/>
      <c r="AM32" s="535"/>
      <c r="AN32" s="435"/>
      <c r="AO32" s="435"/>
      <c r="AP32" s="435"/>
      <c r="AQ32" s="156"/>
      <c r="AR32" s="156"/>
      <c r="AS32" s="156"/>
      <c r="AT32" s="156"/>
      <c r="AU32" s="156"/>
      <c r="AV32" s="156"/>
      <c r="AW32" s="156"/>
      <c r="AX32" s="156"/>
      <c r="AY32" s="156"/>
      <c r="AZ32" s="156"/>
      <c r="BA32" s="156"/>
      <c r="BB32" s="156"/>
      <c r="BC32" s="156"/>
      <c r="BD32" s="156"/>
      <c r="BE32" s="279">
        <v>1</v>
      </c>
    </row>
    <row r="33" spans="1:57" ht="21.95" customHeight="1" x14ac:dyDescent="0.25">
      <c r="A33" s="156"/>
      <c r="B33" s="156"/>
      <c r="C33" s="156"/>
      <c r="D33" s="635" t="s">
        <v>8035</v>
      </c>
      <c r="E33" s="636"/>
      <c r="F33" s="637" t="s">
        <v>8036</v>
      </c>
      <c r="G33" s="637"/>
      <c r="H33" s="637"/>
      <c r="I33" s="637"/>
      <c r="J33" s="638"/>
      <c r="K33" s="156"/>
      <c r="L33" s="528"/>
      <c r="M33" s="319" t="s">
        <v>8017</v>
      </c>
      <c r="N33" s="394" t="s">
        <v>8037</v>
      </c>
      <c r="O33" s="395" t="s">
        <v>8038</v>
      </c>
      <c r="P33" s="634" t="s">
        <v>8039</v>
      </c>
      <c r="Q33" s="634"/>
      <c r="R33" s="311" t="s">
        <v>8040</v>
      </c>
      <c r="S33" s="311"/>
      <c r="T33" s="311"/>
      <c r="U33" s="311"/>
      <c r="V33" s="311"/>
      <c r="W33" s="311"/>
      <c r="X33" s="311"/>
      <c r="Y33" s="311"/>
      <c r="Z33" s="311"/>
      <c r="AA33" s="156"/>
      <c r="AB33" s="156"/>
      <c r="AC33" s="156"/>
      <c r="AD33" s="156"/>
      <c r="AE33" s="32" t="s">
        <v>316</v>
      </c>
      <c r="AF33" s="488" t="s">
        <v>38</v>
      </c>
      <c r="AG33" s="489">
        <v>1</v>
      </c>
      <c r="AH33" s="419" t="s">
        <v>317</v>
      </c>
      <c r="AI33" s="156"/>
      <c r="AJ33" s="156"/>
      <c r="AK33" s="435"/>
      <c r="AL33" s="435"/>
      <c r="AM33" s="535"/>
      <c r="AN33" s="435"/>
      <c r="AO33" s="435"/>
      <c r="AP33" s="435"/>
      <c r="AQ33" s="156"/>
      <c r="AR33" s="156"/>
      <c r="AS33" s="156"/>
      <c r="AT33" s="156"/>
      <c r="AU33" s="156"/>
      <c r="AV33" s="156"/>
      <c r="AW33" s="156"/>
      <c r="AX33" s="156"/>
      <c r="AY33" s="156"/>
      <c r="AZ33" s="156"/>
      <c r="BA33" s="156"/>
      <c r="BB33" s="156"/>
      <c r="BC33" s="156"/>
      <c r="BD33" s="156"/>
      <c r="BE33" s="279">
        <v>1</v>
      </c>
    </row>
    <row r="34" spans="1:57" ht="21.95" customHeight="1" x14ac:dyDescent="0.25">
      <c r="A34" s="156"/>
      <c r="B34" s="156"/>
      <c r="C34" s="156"/>
      <c r="D34" s="635"/>
      <c r="E34" s="636"/>
      <c r="F34" s="637"/>
      <c r="G34" s="637"/>
      <c r="H34" s="637"/>
      <c r="I34" s="637"/>
      <c r="J34" s="638"/>
      <c r="K34" s="156"/>
      <c r="L34" s="528"/>
      <c r="M34" s="319" t="s">
        <v>8017</v>
      </c>
      <c r="N34" s="320" t="s">
        <v>8041</v>
      </c>
      <c r="O34" s="395" t="s">
        <v>8042</v>
      </c>
      <c r="P34" s="634" t="s">
        <v>8043</v>
      </c>
      <c r="Q34" s="634"/>
      <c r="R34" s="311" t="s">
        <v>8044</v>
      </c>
      <c r="S34" s="311"/>
      <c r="T34" s="311"/>
      <c r="U34" s="311"/>
      <c r="V34" s="311"/>
      <c r="W34" s="311"/>
      <c r="X34" s="311"/>
      <c r="Y34" s="311"/>
      <c r="Z34" s="311"/>
      <c r="AA34" s="156"/>
      <c r="AB34" s="156"/>
      <c r="AC34" s="156"/>
      <c r="AD34" s="156"/>
      <c r="AE34" s="32" t="s">
        <v>313</v>
      </c>
      <c r="AF34" s="488" t="s">
        <v>38</v>
      </c>
      <c r="AG34" s="489">
        <v>1</v>
      </c>
      <c r="AH34" s="419" t="s">
        <v>314</v>
      </c>
      <c r="AI34" s="156"/>
      <c r="AJ34" s="156"/>
      <c r="AK34" s="435"/>
      <c r="AL34" s="435"/>
      <c r="AM34" s="535"/>
      <c r="AN34" s="435"/>
      <c r="AO34" s="435"/>
      <c r="AP34" s="435"/>
      <c r="AQ34" s="156"/>
      <c r="AR34" s="156"/>
      <c r="AS34" s="156"/>
      <c r="AT34" s="156"/>
      <c r="AU34" s="156"/>
      <c r="AV34" s="156"/>
      <c r="AW34" s="156"/>
      <c r="AX34" s="156"/>
      <c r="AY34" s="156"/>
      <c r="AZ34" s="156"/>
      <c r="BA34" s="156"/>
      <c r="BB34" s="156"/>
      <c r="BC34" s="156"/>
      <c r="BD34" s="156"/>
      <c r="BE34" s="279">
        <v>1</v>
      </c>
    </row>
    <row r="35" spans="1:57" ht="21.95" customHeight="1" thickBot="1" x14ac:dyDescent="0.3">
      <c r="A35" s="156"/>
      <c r="B35" s="156"/>
      <c r="C35" s="156"/>
      <c r="D35" s="635" t="s">
        <v>8045</v>
      </c>
      <c r="E35" s="636"/>
      <c r="F35" s="637" t="s">
        <v>8046</v>
      </c>
      <c r="G35" s="637"/>
      <c r="H35" s="637"/>
      <c r="I35" s="637"/>
      <c r="J35" s="638"/>
      <c r="K35" s="156"/>
      <c r="L35" s="528"/>
      <c r="M35" s="301" t="s">
        <v>343</v>
      </c>
      <c r="N35" s="322" t="s">
        <v>343</v>
      </c>
      <c r="O35" s="396" t="s">
        <v>8047</v>
      </c>
      <c r="P35" s="639" t="s">
        <v>8048</v>
      </c>
      <c r="Q35" s="639"/>
      <c r="R35" s="311" t="s">
        <v>8049</v>
      </c>
      <c r="S35" s="311"/>
      <c r="T35" s="311"/>
      <c r="U35" s="311"/>
      <c r="V35" s="311"/>
      <c r="W35" s="311"/>
      <c r="X35" s="311"/>
      <c r="Y35" s="311"/>
      <c r="Z35" s="311"/>
      <c r="AA35" s="156"/>
      <c r="AB35" s="156"/>
      <c r="AC35" s="156"/>
      <c r="AD35" s="156"/>
      <c r="AE35" s="32" t="s">
        <v>307</v>
      </c>
      <c r="AF35" s="488" t="s">
        <v>38</v>
      </c>
      <c r="AG35" s="489">
        <v>1</v>
      </c>
      <c r="AH35" s="419" t="s">
        <v>308</v>
      </c>
      <c r="AI35" s="156"/>
      <c r="AJ35" s="156"/>
      <c r="AK35" s="435"/>
      <c r="AL35" s="435"/>
      <c r="AM35" s="535"/>
      <c r="AN35" s="435"/>
      <c r="AO35" s="435"/>
      <c r="AP35" s="435"/>
      <c r="AQ35" s="156"/>
      <c r="AR35" s="156"/>
      <c r="AS35" s="156"/>
      <c r="AT35" s="156"/>
      <c r="AU35" s="156"/>
      <c r="AV35" s="156"/>
      <c r="AW35" s="156"/>
      <c r="AX35" s="156"/>
      <c r="AY35" s="156"/>
      <c r="AZ35" s="156"/>
      <c r="BA35" s="156"/>
      <c r="BB35" s="156"/>
      <c r="BC35" s="156"/>
      <c r="BD35" s="156"/>
      <c r="BE35" s="279">
        <v>1</v>
      </c>
    </row>
    <row r="36" spans="1:57" ht="20.100000000000001" customHeight="1" x14ac:dyDescent="0.25">
      <c r="A36" s="156"/>
      <c r="B36" s="156"/>
      <c r="C36" s="156"/>
      <c r="D36" s="635"/>
      <c r="E36" s="636"/>
      <c r="F36" s="637"/>
      <c r="G36" s="637"/>
      <c r="H36" s="637"/>
      <c r="I36" s="637"/>
      <c r="J36" s="638"/>
      <c r="K36" s="156"/>
      <c r="L36" s="528"/>
      <c r="M36" s="352" t="s">
        <v>8050</v>
      </c>
      <c r="N36" s="353"/>
      <c r="O36" s="354"/>
      <c r="P36" s="353"/>
      <c r="Q36" s="353"/>
      <c r="R36" s="353"/>
      <c r="S36" s="353"/>
      <c r="T36" s="353"/>
      <c r="U36" s="353"/>
      <c r="V36" s="353"/>
      <c r="W36" s="353"/>
      <c r="X36" s="353"/>
      <c r="Y36" s="353"/>
      <c r="Z36" s="353"/>
      <c r="AA36" s="156"/>
      <c r="AB36" s="156"/>
      <c r="AC36" s="156"/>
      <c r="AD36" s="156"/>
      <c r="AE36" s="32" t="s">
        <v>322</v>
      </c>
      <c r="AF36" s="488" t="s">
        <v>38</v>
      </c>
      <c r="AG36" s="489">
        <v>1</v>
      </c>
      <c r="AH36" s="419" t="s">
        <v>323</v>
      </c>
      <c r="AI36" s="156"/>
      <c r="AJ36" s="156"/>
      <c r="AK36" s="435"/>
      <c r="AL36" s="435"/>
      <c r="AM36" s="535"/>
      <c r="AN36" s="435"/>
      <c r="AO36" s="435"/>
      <c r="AP36" s="435"/>
      <c r="AQ36" s="156"/>
      <c r="AR36" s="156"/>
      <c r="AS36" s="156"/>
      <c r="AT36" s="156"/>
      <c r="AU36" s="156"/>
      <c r="AV36" s="156"/>
      <c r="AW36" s="156"/>
      <c r="AX36" s="156"/>
      <c r="AY36" s="156"/>
      <c r="AZ36" s="156"/>
      <c r="BA36" s="156"/>
      <c r="BB36" s="156"/>
      <c r="BC36" s="156"/>
      <c r="BD36" s="156"/>
      <c r="BE36" s="279">
        <v>1</v>
      </c>
    </row>
    <row r="37" spans="1:57" ht="23.1" customHeight="1" x14ac:dyDescent="0.25">
      <c r="A37" s="156"/>
      <c r="B37" s="156"/>
      <c r="C37" s="156"/>
      <c r="D37" s="635" t="s">
        <v>8051</v>
      </c>
      <c r="E37" s="636"/>
      <c r="F37" s="637" t="s">
        <v>8052</v>
      </c>
      <c r="G37" s="637"/>
      <c r="H37" s="637"/>
      <c r="I37" s="637"/>
      <c r="J37" s="638"/>
      <c r="K37" s="156"/>
      <c r="L37" s="528"/>
      <c r="M37" s="398" t="s">
        <v>343</v>
      </c>
      <c r="N37" s="397" t="s">
        <v>8048</v>
      </c>
      <c r="O37" s="396" t="s">
        <v>8047</v>
      </c>
      <c r="P37" s="639" t="s">
        <v>8048</v>
      </c>
      <c r="Q37" s="639"/>
      <c r="R37" s="399" t="s">
        <v>8053</v>
      </c>
      <c r="S37" s="399"/>
      <c r="T37" s="399"/>
      <c r="U37" s="399"/>
      <c r="V37" s="399"/>
      <c r="W37" s="399"/>
      <c r="X37" s="399"/>
      <c r="Y37" s="399"/>
      <c r="Z37" s="399"/>
      <c r="AA37" s="156"/>
      <c r="AB37" s="156"/>
      <c r="AC37" s="156"/>
      <c r="AD37" s="156"/>
      <c r="AE37" s="32" t="s">
        <v>305</v>
      </c>
      <c r="AF37" s="488" t="s">
        <v>38</v>
      </c>
      <c r="AG37" s="489">
        <v>1</v>
      </c>
      <c r="AH37" s="419" t="s">
        <v>306</v>
      </c>
      <c r="AI37" s="156"/>
      <c r="AJ37" s="156"/>
      <c r="AK37" s="435"/>
      <c r="AL37" s="435"/>
      <c r="AM37" s="535"/>
      <c r="AN37" s="435"/>
      <c r="AO37" s="435"/>
      <c r="AP37" s="435"/>
      <c r="AQ37" s="156"/>
      <c r="AR37" s="156"/>
      <c r="AS37" s="156"/>
      <c r="AT37" s="156"/>
      <c r="AU37" s="156"/>
      <c r="AV37" s="156"/>
      <c r="AW37" s="156"/>
      <c r="AX37" s="156"/>
      <c r="AY37" s="156"/>
      <c r="AZ37" s="156"/>
      <c r="BA37" s="156"/>
      <c r="BB37" s="156"/>
      <c r="BC37" s="156"/>
      <c r="BD37" s="156"/>
      <c r="BE37" s="279">
        <v>1</v>
      </c>
    </row>
    <row r="38" spans="1:57" ht="20.100000000000001" customHeight="1" x14ac:dyDescent="0.25">
      <c r="A38" s="156"/>
      <c r="B38" s="156"/>
      <c r="C38" s="156"/>
      <c r="D38" s="635"/>
      <c r="E38" s="636"/>
      <c r="F38" s="637"/>
      <c r="G38" s="637"/>
      <c r="H38" s="637"/>
      <c r="I38" s="637"/>
      <c r="J38" s="638"/>
      <c r="K38" s="156"/>
      <c r="L38" s="528"/>
      <c r="M38" s="400" t="s">
        <v>343</v>
      </c>
      <c r="N38" s="401" t="s">
        <v>8054</v>
      </c>
      <c r="O38" s="396" t="s">
        <v>8047</v>
      </c>
      <c r="P38" s="644" t="s">
        <v>8054</v>
      </c>
      <c r="Q38" s="644"/>
      <c r="R38" s="402" t="s">
        <v>8055</v>
      </c>
      <c r="S38" s="403"/>
      <c r="T38" s="403"/>
      <c r="U38" s="403"/>
      <c r="V38" s="403"/>
      <c r="W38" s="403"/>
      <c r="X38" s="403"/>
      <c r="Y38" s="403"/>
      <c r="Z38" s="403"/>
      <c r="AA38" s="156"/>
      <c r="AB38" s="156"/>
      <c r="AC38" s="156"/>
      <c r="AD38" s="156"/>
      <c r="AE38" s="32" t="s">
        <v>8129</v>
      </c>
      <c r="AF38" s="488" t="s">
        <v>38</v>
      </c>
      <c r="AG38" s="489">
        <v>1</v>
      </c>
      <c r="AH38" s="419" t="s">
        <v>8130</v>
      </c>
      <c r="AI38" s="156"/>
      <c r="AJ38" s="156"/>
      <c r="AK38" s="435"/>
      <c r="AL38" s="435"/>
      <c r="AM38" s="535"/>
      <c r="AN38" s="435"/>
      <c r="AO38" s="435"/>
      <c r="AP38" s="435"/>
      <c r="AQ38" s="156"/>
      <c r="AR38" s="156"/>
      <c r="AS38" s="156"/>
      <c r="AT38" s="156"/>
      <c r="AU38" s="156"/>
      <c r="AV38" s="156"/>
      <c r="AW38" s="156"/>
      <c r="AX38" s="156"/>
      <c r="AY38" s="156"/>
      <c r="AZ38" s="156"/>
      <c r="BA38" s="156"/>
      <c r="BB38" s="156"/>
      <c r="BC38" s="156"/>
      <c r="BD38" s="156"/>
      <c r="BE38" s="279">
        <v>1</v>
      </c>
    </row>
    <row r="39" spans="1:57" ht="20.100000000000001" customHeight="1" x14ac:dyDescent="0.25">
      <c r="A39" s="156"/>
      <c r="B39" s="156"/>
      <c r="C39" s="156"/>
      <c r="D39" s="635" t="s">
        <v>8056</v>
      </c>
      <c r="E39" s="636"/>
      <c r="F39" s="637" t="s">
        <v>8057</v>
      </c>
      <c r="G39" s="637"/>
      <c r="H39" s="637"/>
      <c r="I39" s="637"/>
      <c r="J39" s="638"/>
      <c r="K39" s="156"/>
      <c r="L39" s="528"/>
      <c r="M39" s="370" t="s">
        <v>343</v>
      </c>
      <c r="N39" s="404" t="s">
        <v>8058</v>
      </c>
      <c r="O39" s="396" t="s">
        <v>8047</v>
      </c>
      <c r="P39" s="645" t="s">
        <v>8058</v>
      </c>
      <c r="Q39" s="645"/>
      <c r="R39" s="405" t="s">
        <v>8059</v>
      </c>
      <c r="S39" s="406"/>
      <c r="T39" s="406"/>
      <c r="U39" s="406"/>
      <c r="V39" s="406"/>
      <c r="W39" s="406"/>
      <c r="X39" s="406"/>
      <c r="Y39" s="406"/>
      <c r="Z39" s="406"/>
      <c r="AA39" s="156"/>
      <c r="AB39" s="156"/>
      <c r="AC39" s="156"/>
      <c r="AD39" s="156"/>
      <c r="AE39" s="32" t="s">
        <v>8131</v>
      </c>
      <c r="AF39" s="488" t="s">
        <v>38</v>
      </c>
      <c r="AG39" s="489">
        <v>1</v>
      </c>
      <c r="AH39" s="419" t="s">
        <v>8132</v>
      </c>
      <c r="AI39" s="156"/>
      <c r="AJ39" s="156"/>
      <c r="AK39" s="435"/>
      <c r="AL39" s="435"/>
      <c r="AM39" s="535"/>
      <c r="AN39" s="435"/>
      <c r="AO39" s="435"/>
      <c r="AP39" s="435"/>
      <c r="AQ39" s="156"/>
      <c r="AR39" s="156"/>
      <c r="AS39" s="156"/>
      <c r="AT39" s="156"/>
      <c r="AU39" s="156"/>
      <c r="AV39" s="156"/>
      <c r="AW39" s="156"/>
      <c r="AX39" s="156"/>
      <c r="AY39" s="156"/>
      <c r="AZ39" s="156"/>
      <c r="BA39" s="156"/>
      <c r="BB39" s="156"/>
      <c r="BC39" s="156"/>
      <c r="BD39" s="156"/>
      <c r="BE39" s="279">
        <v>1</v>
      </c>
    </row>
    <row r="40" spans="1:57" ht="20.100000000000001" customHeight="1" x14ac:dyDescent="0.25">
      <c r="A40" s="156"/>
      <c r="B40" s="156"/>
      <c r="C40" s="156"/>
      <c r="D40" s="635"/>
      <c r="E40" s="636"/>
      <c r="F40" s="637"/>
      <c r="G40" s="637"/>
      <c r="H40" s="637"/>
      <c r="I40" s="637"/>
      <c r="J40" s="638"/>
      <c r="K40" s="156"/>
      <c r="L40" s="528"/>
      <c r="M40" s="370" t="s">
        <v>343</v>
      </c>
      <c r="N40" s="407" t="s">
        <v>8060</v>
      </c>
      <c r="O40" s="396" t="s">
        <v>8047</v>
      </c>
      <c r="P40" s="646" t="s">
        <v>8060</v>
      </c>
      <c r="Q40" s="646"/>
      <c r="R40" s="406" t="s">
        <v>8061</v>
      </c>
      <c r="S40" s="406"/>
      <c r="T40" s="406"/>
      <c r="U40" s="406"/>
      <c r="V40" s="406"/>
      <c r="W40" s="406"/>
      <c r="X40" s="406"/>
      <c r="Y40" s="406"/>
      <c r="Z40" s="406"/>
      <c r="AA40" s="156"/>
      <c r="AB40" s="156"/>
      <c r="AC40" s="156"/>
      <c r="AD40" s="156"/>
      <c r="AE40" s="32" t="s">
        <v>309</v>
      </c>
      <c r="AF40" s="488" t="s">
        <v>38</v>
      </c>
      <c r="AG40" s="489">
        <v>1</v>
      </c>
      <c r="AH40" s="419" t="s">
        <v>310</v>
      </c>
      <c r="AI40" s="156"/>
      <c r="AJ40" s="156"/>
      <c r="AK40" s="435"/>
      <c r="AL40" s="435"/>
      <c r="AM40" s="535"/>
      <c r="AN40" s="435"/>
      <c r="AO40" s="435"/>
      <c r="AP40" s="435"/>
      <c r="AQ40" s="156"/>
      <c r="AR40" s="156"/>
      <c r="AS40" s="156"/>
      <c r="AT40" s="156"/>
      <c r="AU40" s="156"/>
      <c r="AV40" s="156"/>
      <c r="AW40" s="156"/>
      <c r="AX40" s="156"/>
      <c r="AY40" s="156"/>
      <c r="AZ40" s="156"/>
      <c r="BA40" s="156"/>
      <c r="BB40" s="156"/>
      <c r="BC40" s="156"/>
      <c r="BD40" s="156"/>
      <c r="BE40" s="279">
        <v>1</v>
      </c>
    </row>
    <row r="41" spans="1:57" ht="20.100000000000001" customHeight="1" thickBot="1" x14ac:dyDescent="0.3">
      <c r="A41" s="156"/>
      <c r="B41" s="156"/>
      <c r="C41" s="156"/>
      <c r="D41" s="647" t="s">
        <v>8062</v>
      </c>
      <c r="E41" s="648"/>
      <c r="F41" s="648"/>
      <c r="G41" s="648"/>
      <c r="H41" s="648"/>
      <c r="I41" s="648"/>
      <c r="J41" s="649"/>
      <c r="K41" s="156"/>
      <c r="L41" s="156"/>
      <c r="M41" s="408" t="s">
        <v>8063</v>
      </c>
      <c r="N41" s="409" t="s">
        <v>8064</v>
      </c>
      <c r="O41" s="410" t="s">
        <v>8065</v>
      </c>
      <c r="P41" s="650" t="s">
        <v>8066</v>
      </c>
      <c r="Q41" s="650"/>
      <c r="R41" s="411" t="s">
        <v>8067</v>
      </c>
      <c r="S41" s="411"/>
      <c r="T41" s="411"/>
      <c r="U41" s="411"/>
      <c r="V41" s="411"/>
      <c r="W41" s="411"/>
      <c r="X41" s="411"/>
      <c r="Y41" s="411"/>
      <c r="Z41" s="411"/>
      <c r="AA41" s="156"/>
      <c r="AB41" s="156"/>
      <c r="AC41" s="156"/>
      <c r="AD41" s="156"/>
      <c r="AE41" s="32" t="s">
        <v>311</v>
      </c>
      <c r="AF41" s="488" t="s">
        <v>38</v>
      </c>
      <c r="AG41" s="489">
        <v>1</v>
      </c>
      <c r="AH41" s="419" t="s">
        <v>312</v>
      </c>
      <c r="AI41" s="156"/>
      <c r="AJ41" s="156"/>
      <c r="AK41" s="435"/>
      <c r="AL41" s="435"/>
      <c r="AM41" s="535"/>
      <c r="AN41" s="435"/>
      <c r="AO41" s="435"/>
      <c r="AP41" s="435"/>
      <c r="AQ41" s="156"/>
      <c r="AR41" s="156"/>
      <c r="AS41" s="156"/>
      <c r="AT41" s="156"/>
      <c r="AU41" s="156"/>
      <c r="AV41" s="156"/>
      <c r="AW41" s="156"/>
      <c r="AX41" s="156"/>
      <c r="AY41" s="156"/>
      <c r="AZ41" s="156"/>
      <c r="BA41" s="156"/>
      <c r="BB41" s="156"/>
      <c r="BC41" s="156"/>
      <c r="BD41" s="156"/>
      <c r="BE41" s="279">
        <v>1</v>
      </c>
    </row>
    <row r="42" spans="1:57" ht="20.100000000000001" customHeight="1" x14ac:dyDescent="0.25">
      <c r="A42" s="156"/>
      <c r="B42" s="156"/>
      <c r="C42" s="156"/>
      <c r="D42" s="651" t="s">
        <v>8068</v>
      </c>
      <c r="E42" s="652"/>
      <c r="F42" s="653" t="s">
        <v>8069</v>
      </c>
      <c r="G42" s="653"/>
      <c r="H42" s="653"/>
      <c r="I42" s="653"/>
      <c r="J42" s="654"/>
      <c r="K42" s="156"/>
      <c r="L42" s="156"/>
      <c r="M42" s="294" t="s">
        <v>8070</v>
      </c>
      <c r="N42" s="295"/>
      <c r="O42" s="296"/>
      <c r="P42" s="295"/>
      <c r="Q42" s="295"/>
      <c r="R42" s="295"/>
      <c r="S42" s="295"/>
      <c r="T42" s="295"/>
      <c r="U42" s="295"/>
      <c r="V42" s="295"/>
      <c r="W42" s="295"/>
      <c r="X42" s="295"/>
      <c r="Y42" s="295"/>
      <c r="Z42" s="295"/>
      <c r="AA42" s="156"/>
      <c r="AB42" s="156"/>
      <c r="AC42" s="156"/>
      <c r="AD42" s="156"/>
      <c r="AE42" s="32" t="s">
        <v>8135</v>
      </c>
      <c r="AF42" s="488" t="s">
        <v>38</v>
      </c>
      <c r="AG42" s="489">
        <v>1</v>
      </c>
      <c r="AH42" s="419" t="s">
        <v>8136</v>
      </c>
      <c r="AI42" s="156"/>
      <c r="AJ42" s="156"/>
      <c r="AK42" s="435"/>
      <c r="AL42" s="435"/>
      <c r="AM42" s="535"/>
      <c r="AN42" s="435"/>
      <c r="AO42" s="435"/>
      <c r="AP42" s="435"/>
      <c r="AQ42" s="156"/>
      <c r="AR42" s="156"/>
      <c r="AS42" s="156"/>
      <c r="AT42" s="156"/>
      <c r="AU42" s="156"/>
      <c r="AV42" s="156"/>
      <c r="AW42" s="156"/>
      <c r="AX42" s="156"/>
      <c r="AY42" s="156"/>
      <c r="AZ42" s="156"/>
      <c r="BA42" s="156"/>
      <c r="BB42" s="156"/>
      <c r="BC42" s="156"/>
      <c r="BD42" s="156"/>
      <c r="BE42" s="279">
        <v>1</v>
      </c>
    </row>
    <row r="43" spans="1:57" ht="20.100000000000001" customHeight="1" x14ac:dyDescent="0.25">
      <c r="A43" s="156"/>
      <c r="B43" s="156"/>
      <c r="C43" s="156"/>
      <c r="D43" s="651"/>
      <c r="E43" s="652"/>
      <c r="F43" s="653"/>
      <c r="G43" s="653"/>
      <c r="H43" s="653"/>
      <c r="I43" s="653"/>
      <c r="J43" s="654"/>
      <c r="K43" s="156"/>
      <c r="L43" s="156"/>
      <c r="M43" s="301" t="s">
        <v>8071</v>
      </c>
      <c r="N43" s="322" t="s">
        <v>8072</v>
      </c>
      <c r="O43" s="303"/>
      <c r="P43" s="557" t="s">
        <v>8073</v>
      </c>
      <c r="Q43" s="557"/>
      <c r="R43" s="311" t="s">
        <v>8074</v>
      </c>
      <c r="S43" s="311"/>
      <c r="T43" s="311"/>
      <c r="U43" s="311"/>
      <c r="V43" s="311"/>
      <c r="W43" s="311"/>
      <c r="X43" s="311"/>
      <c r="Y43" s="311"/>
      <c r="Z43" s="311"/>
      <c r="AA43" s="156"/>
      <c r="AB43" s="156"/>
      <c r="AC43" s="156"/>
      <c r="AD43" s="156"/>
      <c r="AE43" s="32" t="s">
        <v>8137</v>
      </c>
      <c r="AF43" s="488" t="s">
        <v>38</v>
      </c>
      <c r="AG43" s="489">
        <v>1</v>
      </c>
      <c r="AH43" s="419" t="s">
        <v>8138</v>
      </c>
      <c r="AI43" s="156"/>
      <c r="AJ43" s="156"/>
      <c r="AK43" s="435"/>
      <c r="AL43" s="435"/>
      <c r="AM43" s="535"/>
      <c r="AN43" s="435"/>
      <c r="AO43" s="435"/>
      <c r="AP43" s="435"/>
      <c r="AQ43" s="156"/>
      <c r="AR43" s="156"/>
      <c r="AS43" s="156"/>
      <c r="AT43" s="156"/>
      <c r="AU43" s="156"/>
      <c r="AV43" s="156"/>
      <c r="AW43" s="156"/>
      <c r="AX43" s="156"/>
      <c r="AY43" s="156"/>
      <c r="AZ43" s="156"/>
      <c r="BA43" s="156"/>
      <c r="BB43" s="156"/>
      <c r="BC43" s="156"/>
      <c r="BD43" s="156"/>
      <c r="BE43" s="279">
        <v>1</v>
      </c>
    </row>
    <row r="44" spans="1:57" ht="20.100000000000001" customHeight="1" x14ac:dyDescent="0.25">
      <c r="A44" s="156"/>
      <c r="B44" s="156"/>
      <c r="C44" s="156"/>
      <c r="D44" s="640" t="s">
        <v>343</v>
      </c>
      <c r="E44" s="641"/>
      <c r="F44" s="642" t="s">
        <v>8075</v>
      </c>
      <c r="G44" s="642"/>
      <c r="H44" s="642"/>
      <c r="I44" s="642"/>
      <c r="J44" s="643"/>
      <c r="K44" s="156"/>
      <c r="L44" s="156"/>
      <c r="M44" s="301" t="s">
        <v>8071</v>
      </c>
      <c r="N44" s="322" t="s">
        <v>8076</v>
      </c>
      <c r="O44" s="303"/>
      <c r="P44" s="557" t="s">
        <v>8077</v>
      </c>
      <c r="Q44" s="557"/>
      <c r="R44" s="311" t="s">
        <v>8078</v>
      </c>
      <c r="S44" s="311"/>
      <c r="T44" s="311"/>
      <c r="U44" s="311"/>
      <c r="V44" s="311"/>
      <c r="W44" s="311"/>
      <c r="X44" s="311"/>
      <c r="Y44" s="311"/>
      <c r="Z44" s="311"/>
      <c r="AA44" s="156"/>
      <c r="AB44" s="156"/>
      <c r="AC44" s="156"/>
      <c r="AD44" s="156"/>
      <c r="AE44" s="32" t="s">
        <v>8139</v>
      </c>
      <c r="AF44" s="488" t="s">
        <v>38</v>
      </c>
      <c r="AG44" s="489">
        <v>1</v>
      </c>
      <c r="AH44" s="419" t="s">
        <v>8140</v>
      </c>
      <c r="AI44" s="156"/>
      <c r="AJ44" s="156"/>
      <c r="AK44" s="435"/>
      <c r="AL44" s="435"/>
      <c r="AM44" s="535"/>
      <c r="AN44" s="435"/>
      <c r="AO44" s="435"/>
      <c r="AP44" s="435"/>
      <c r="AQ44" s="156"/>
      <c r="AR44" s="156"/>
      <c r="AS44" s="156"/>
      <c r="AT44" s="156"/>
      <c r="AU44" s="156"/>
      <c r="AV44" s="156"/>
      <c r="AW44" s="156"/>
      <c r="AX44" s="156"/>
      <c r="AY44" s="156"/>
      <c r="AZ44" s="156"/>
      <c r="BA44" s="156"/>
      <c r="BB44" s="156"/>
      <c r="BC44" s="156"/>
      <c r="BD44" s="156"/>
      <c r="BE44" s="279">
        <v>1</v>
      </c>
    </row>
    <row r="45" spans="1:57" ht="20.100000000000001" customHeight="1" x14ac:dyDescent="0.25">
      <c r="A45" s="156"/>
      <c r="B45" s="156"/>
      <c r="C45" s="156"/>
      <c r="D45" s="640"/>
      <c r="E45" s="641"/>
      <c r="F45" s="642"/>
      <c r="G45" s="642"/>
      <c r="H45" s="642"/>
      <c r="I45" s="642"/>
      <c r="J45" s="643"/>
      <c r="K45" s="156"/>
      <c r="L45" s="156"/>
      <c r="M45" s="301" t="s">
        <v>8071</v>
      </c>
      <c r="N45" s="322" t="s">
        <v>8079</v>
      </c>
      <c r="O45" s="303"/>
      <c r="P45" s="557" t="s">
        <v>8080</v>
      </c>
      <c r="Q45" s="557"/>
      <c r="R45" s="311" t="s">
        <v>8081</v>
      </c>
      <c r="S45" s="311"/>
      <c r="T45" s="311"/>
      <c r="U45" s="311"/>
      <c r="V45" s="311"/>
      <c r="W45" s="311"/>
      <c r="X45" s="311"/>
      <c r="Y45" s="311"/>
      <c r="Z45" s="311"/>
      <c r="AA45" s="156"/>
      <c r="AB45" s="156"/>
      <c r="AC45" s="156"/>
      <c r="AD45" s="156"/>
      <c r="AE45" s="32" t="s">
        <v>8141</v>
      </c>
      <c r="AF45" s="488" t="s">
        <v>38</v>
      </c>
      <c r="AG45" s="489">
        <v>1</v>
      </c>
      <c r="AH45" s="419" t="s">
        <v>8142</v>
      </c>
      <c r="AI45" s="156"/>
      <c r="AJ45" s="156"/>
      <c r="AK45" s="435"/>
      <c r="AL45" s="435"/>
      <c r="AM45" s="535"/>
      <c r="AN45" s="435"/>
      <c r="AO45" s="435"/>
      <c r="AP45" s="435"/>
      <c r="AQ45" s="156"/>
      <c r="AR45" s="156"/>
      <c r="AS45" s="156"/>
      <c r="AT45" s="156"/>
      <c r="AU45" s="156"/>
      <c r="AV45" s="156"/>
      <c r="AW45" s="156"/>
      <c r="AX45" s="156"/>
      <c r="AY45" s="156"/>
      <c r="AZ45" s="156"/>
      <c r="BA45" s="156"/>
      <c r="BB45" s="156"/>
      <c r="BC45" s="156"/>
      <c r="BD45" s="156"/>
      <c r="BE45" s="279">
        <v>1</v>
      </c>
    </row>
    <row r="46" spans="1:57" ht="20.100000000000001" customHeight="1" x14ac:dyDescent="0.25">
      <c r="A46" s="156"/>
      <c r="B46" s="156"/>
      <c r="C46" s="156"/>
      <c r="D46" s="156"/>
      <c r="E46" s="156"/>
      <c r="F46" s="156"/>
      <c r="G46" s="156"/>
      <c r="H46" s="156"/>
      <c r="I46" s="156"/>
      <c r="J46" s="156"/>
      <c r="K46" s="156"/>
      <c r="L46" s="156"/>
      <c r="M46" s="412" t="s">
        <v>8082</v>
      </c>
      <c r="N46" s="413" t="s">
        <v>8035</v>
      </c>
      <c r="O46" s="414"/>
      <c r="P46" s="658" t="s">
        <v>33</v>
      </c>
      <c r="Q46" s="658"/>
      <c r="R46" s="415" t="s">
        <v>8083</v>
      </c>
      <c r="S46" s="415"/>
      <c r="T46" s="415"/>
      <c r="U46" s="415"/>
      <c r="V46" s="415"/>
      <c r="W46" s="415"/>
      <c r="X46" s="415"/>
      <c r="Y46" s="415"/>
      <c r="Z46" s="415"/>
      <c r="AA46" s="156"/>
      <c r="AB46" s="156"/>
      <c r="AC46" s="156"/>
      <c r="AD46" s="156"/>
      <c r="AE46" s="32" t="s">
        <v>8143</v>
      </c>
      <c r="AF46" s="488" t="s">
        <v>38</v>
      </c>
      <c r="AG46" s="489">
        <v>1</v>
      </c>
      <c r="AH46" s="419" t="s">
        <v>8144</v>
      </c>
      <c r="AI46" s="529"/>
      <c r="AJ46" s="529"/>
      <c r="AK46" s="529"/>
      <c r="AL46" s="435"/>
      <c r="AM46" s="535"/>
      <c r="AN46" s="435"/>
      <c r="AO46" s="435"/>
      <c r="AP46" s="435"/>
      <c r="AQ46" s="156"/>
      <c r="AR46" s="156"/>
      <c r="AS46" s="156"/>
      <c r="AT46" s="156"/>
      <c r="AU46" s="156"/>
      <c r="AV46" s="156"/>
      <c r="AW46" s="156"/>
      <c r="AX46" s="156"/>
      <c r="AY46" s="156"/>
      <c r="AZ46" s="156"/>
      <c r="BA46" s="156"/>
      <c r="BB46" s="156"/>
      <c r="BC46" s="156"/>
      <c r="BD46" s="156"/>
      <c r="BE46" s="279">
        <v>1</v>
      </c>
    </row>
    <row r="47" spans="1:57" ht="20.100000000000001" customHeight="1" x14ac:dyDescent="0.25">
      <c r="A47" s="156"/>
      <c r="B47" s="156"/>
      <c r="C47" s="156"/>
      <c r="D47" s="156"/>
      <c r="E47" s="156"/>
      <c r="F47" s="156"/>
      <c r="G47" s="156"/>
      <c r="H47" s="156"/>
      <c r="I47" s="156"/>
      <c r="J47" s="156"/>
      <c r="K47" s="156"/>
      <c r="L47" s="156"/>
      <c r="M47" s="156"/>
      <c r="N47" s="156"/>
      <c r="O47" s="156"/>
      <c r="P47" s="156"/>
      <c r="Q47" s="156"/>
      <c r="R47" s="156"/>
      <c r="S47" s="156"/>
      <c r="T47" s="156"/>
      <c r="U47" s="156"/>
      <c r="V47" s="156"/>
      <c r="W47" s="156"/>
      <c r="X47" s="156"/>
      <c r="Y47" s="156"/>
      <c r="Z47" s="156"/>
      <c r="AA47" s="156"/>
      <c r="AB47" s="156"/>
      <c r="AC47" s="156"/>
      <c r="AD47" s="156"/>
      <c r="AE47" s="497" t="s">
        <v>8145</v>
      </c>
      <c r="AF47" s="488" t="s">
        <v>38</v>
      </c>
      <c r="AG47" s="489">
        <v>1</v>
      </c>
      <c r="AH47" s="419" t="s">
        <v>8146</v>
      </c>
      <c r="AI47" s="435"/>
      <c r="AJ47" s="435"/>
      <c r="AK47" s="435"/>
      <c r="AL47" s="435"/>
      <c r="AM47" s="535"/>
      <c r="AN47" s="435"/>
      <c r="AO47" s="435"/>
      <c r="AP47" s="435"/>
      <c r="AQ47" s="156"/>
      <c r="AR47" s="156"/>
      <c r="AS47" s="156"/>
      <c r="AT47" s="156"/>
      <c r="AU47" s="156"/>
      <c r="AV47" s="156"/>
      <c r="AW47" s="156"/>
      <c r="AX47" s="156"/>
      <c r="AY47" s="156"/>
      <c r="AZ47" s="156"/>
      <c r="BA47" s="156"/>
      <c r="BB47" s="156"/>
      <c r="BC47" s="156"/>
      <c r="BD47" s="156"/>
      <c r="BE47" s="279">
        <v>1</v>
      </c>
    </row>
    <row r="48" spans="1:57" ht="20.100000000000001" customHeight="1" x14ac:dyDescent="0.25">
      <c r="A48" s="156"/>
      <c r="B48" s="156"/>
      <c r="C48" s="156"/>
      <c r="D48" s="156"/>
      <c r="E48" s="156"/>
      <c r="F48" s="156"/>
      <c r="G48" s="156"/>
      <c r="H48" s="156"/>
      <c r="I48" s="156"/>
      <c r="J48" s="156"/>
      <c r="K48" s="156"/>
      <c r="L48" s="156"/>
      <c r="M48" s="532" t="s">
        <v>8171</v>
      </c>
      <c r="N48" s="156"/>
      <c r="O48" s="156"/>
      <c r="P48" s="156"/>
      <c r="Q48" s="156"/>
      <c r="R48" s="156"/>
      <c r="S48" s="156"/>
      <c r="T48" s="156"/>
      <c r="U48" s="156"/>
      <c r="V48" s="156"/>
      <c r="W48" s="156"/>
      <c r="X48" s="156"/>
      <c r="Y48" s="156"/>
      <c r="Z48" s="156"/>
      <c r="AA48" s="156"/>
      <c r="AB48" s="156"/>
      <c r="AC48" s="156"/>
      <c r="AD48" s="156"/>
      <c r="AE48" s="497" t="s">
        <v>462</v>
      </c>
      <c r="AF48" s="488" t="s">
        <v>38</v>
      </c>
      <c r="AG48" s="489">
        <v>1</v>
      </c>
      <c r="AH48" s="419" t="s">
        <v>461</v>
      </c>
      <c r="AI48" s="435"/>
      <c r="AJ48" s="435"/>
      <c r="AK48" s="435"/>
      <c r="AL48" s="435"/>
      <c r="AM48" s="535"/>
      <c r="AN48" s="435"/>
      <c r="AO48" s="435"/>
      <c r="AP48" s="435"/>
      <c r="AQ48" s="156"/>
      <c r="AR48" s="156"/>
      <c r="AS48" s="156"/>
      <c r="AT48" s="156"/>
      <c r="AU48" s="156"/>
      <c r="AV48" s="156"/>
      <c r="AW48" s="156"/>
      <c r="AX48" s="156"/>
      <c r="AY48" s="156"/>
      <c r="AZ48" s="156"/>
      <c r="BA48" s="156"/>
      <c r="BB48" s="156"/>
      <c r="BC48" s="156"/>
      <c r="BD48" s="156"/>
      <c r="BE48" s="279">
        <v>1</v>
      </c>
    </row>
    <row r="49" spans="1:57" ht="20.100000000000001" customHeight="1" x14ac:dyDescent="0.25">
      <c r="A49" s="156"/>
      <c r="B49" s="156"/>
      <c r="C49" s="156"/>
      <c r="D49" s="156"/>
      <c r="E49" s="156"/>
      <c r="F49" s="156"/>
      <c r="G49" s="156"/>
      <c r="H49" s="156"/>
      <c r="I49" s="156"/>
      <c r="J49" s="156"/>
      <c r="K49" s="156"/>
      <c r="L49" s="156"/>
      <c r="M49" s="2" t="s">
        <v>1</v>
      </c>
      <c r="N49" s="156"/>
      <c r="O49" s="156"/>
      <c r="P49" s="156"/>
      <c r="Q49" s="156"/>
      <c r="R49" s="156"/>
      <c r="S49" s="156"/>
      <c r="T49" s="156"/>
      <c r="U49" s="156"/>
      <c r="V49" s="156"/>
      <c r="W49" s="156"/>
      <c r="X49" s="156"/>
      <c r="Y49" s="156"/>
      <c r="Z49" s="156"/>
      <c r="AA49" s="156"/>
      <c r="AB49" s="156"/>
      <c r="AC49" s="156"/>
      <c r="AD49" s="156"/>
      <c r="AE49" s="497" t="s">
        <v>463</v>
      </c>
      <c r="AF49" s="488" t="s">
        <v>38</v>
      </c>
      <c r="AG49" s="489">
        <v>1</v>
      </c>
      <c r="AH49" s="419" t="s">
        <v>464</v>
      </c>
      <c r="AI49" s="435"/>
      <c r="AJ49" s="435"/>
      <c r="AK49" s="435"/>
      <c r="AL49" s="435"/>
      <c r="AM49" s="535"/>
      <c r="AN49" s="435"/>
      <c r="AO49" s="435"/>
      <c r="AP49" s="435"/>
      <c r="AQ49" s="156"/>
      <c r="AR49" s="156"/>
      <c r="AS49" s="156"/>
      <c r="AT49" s="156"/>
      <c r="AU49" s="156"/>
      <c r="AV49" s="156"/>
      <c r="AW49" s="156"/>
      <c r="AX49" s="156"/>
      <c r="AY49" s="156"/>
      <c r="AZ49" s="156"/>
      <c r="BA49" s="156"/>
      <c r="BB49" s="156"/>
      <c r="BC49" s="156"/>
      <c r="BD49" s="156"/>
      <c r="BE49" s="279">
        <v>1</v>
      </c>
    </row>
    <row r="50" spans="1:57" ht="20.100000000000001" customHeight="1" x14ac:dyDescent="0.25">
      <c r="A50" s="156"/>
      <c r="B50" s="156"/>
      <c r="C50" s="156"/>
      <c r="D50" s="156"/>
      <c r="E50" s="156"/>
      <c r="F50" s="156"/>
      <c r="G50" s="156"/>
      <c r="H50" s="156"/>
      <c r="I50" s="156"/>
      <c r="J50" s="156"/>
      <c r="K50" s="156"/>
      <c r="L50" s="156"/>
      <c r="M50" s="2" t="s">
        <v>8219</v>
      </c>
      <c r="N50" s="156"/>
      <c r="O50" s="156"/>
      <c r="P50" s="156"/>
      <c r="Q50" s="156"/>
      <c r="R50" s="156"/>
      <c r="S50" s="156"/>
      <c r="T50" s="156"/>
      <c r="U50" s="156"/>
      <c r="V50" s="156"/>
      <c r="W50" s="156"/>
      <c r="X50" s="156"/>
      <c r="Y50" s="156"/>
      <c r="Z50" s="156"/>
      <c r="AA50" s="156"/>
      <c r="AB50" s="156"/>
      <c r="AC50" s="156"/>
      <c r="AD50" s="156"/>
      <c r="AE50" s="497" t="s">
        <v>8147</v>
      </c>
      <c r="AF50" s="488" t="s">
        <v>38</v>
      </c>
      <c r="AG50" s="489">
        <v>1</v>
      </c>
      <c r="AH50" s="419" t="s">
        <v>8148</v>
      </c>
      <c r="AI50" s="435"/>
      <c r="AJ50" s="435"/>
      <c r="AK50" s="435"/>
      <c r="AL50" s="435"/>
      <c r="AM50" s="535"/>
      <c r="AN50" s="435"/>
      <c r="AO50" s="435"/>
      <c r="AP50" s="435"/>
      <c r="AQ50" s="156"/>
      <c r="AR50" s="156"/>
      <c r="AS50" s="156"/>
      <c r="AT50" s="156"/>
      <c r="AU50" s="156"/>
      <c r="AV50" s="156"/>
      <c r="AW50" s="156"/>
      <c r="AX50" s="156"/>
      <c r="AY50" s="156"/>
      <c r="AZ50" s="156"/>
      <c r="BA50" s="156"/>
      <c r="BB50" s="156"/>
      <c r="BC50" s="156"/>
      <c r="BD50" s="156"/>
      <c r="BE50" s="279">
        <v>1</v>
      </c>
    </row>
    <row r="51" spans="1:57" ht="23.1" customHeight="1" x14ac:dyDescent="0.25">
      <c r="A51" s="156"/>
      <c r="B51" s="156"/>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6"/>
      <c r="AE51" s="497" t="s">
        <v>465</v>
      </c>
      <c r="AF51" s="488" t="s">
        <v>38</v>
      </c>
      <c r="AG51" s="489">
        <v>1</v>
      </c>
      <c r="AH51" s="419" t="s">
        <v>460</v>
      </c>
      <c r="AI51" s="435"/>
      <c r="AJ51" s="435"/>
      <c r="AK51" s="435"/>
      <c r="AL51" s="435"/>
      <c r="AM51" s="535"/>
      <c r="AN51" s="435"/>
      <c r="AO51" s="435"/>
      <c r="AP51" s="435"/>
      <c r="AQ51" s="156"/>
      <c r="AR51" s="156"/>
      <c r="AS51" s="156"/>
      <c r="AT51" s="156"/>
      <c r="AU51" s="156"/>
      <c r="AV51" s="156"/>
      <c r="AW51" s="156"/>
      <c r="AX51" s="156"/>
      <c r="AY51" s="156"/>
      <c r="AZ51" s="156"/>
      <c r="BA51" s="156"/>
      <c r="BB51" s="156"/>
      <c r="BC51" s="156"/>
      <c r="BD51" s="156"/>
      <c r="BE51" s="279">
        <v>1</v>
      </c>
    </row>
    <row r="52" spans="1:57" ht="21" customHeight="1" x14ac:dyDescent="0.25">
      <c r="A52" s="156"/>
      <c r="B52" s="156"/>
      <c r="C52" s="156"/>
      <c r="D52" s="156"/>
      <c r="E52" s="156"/>
      <c r="F52" s="156"/>
      <c r="G52" s="156"/>
      <c r="H52" s="156"/>
      <c r="I52" s="156"/>
      <c r="J52" s="156"/>
      <c r="K52" s="156"/>
      <c r="L52" s="156"/>
      <c r="M52" s="156"/>
      <c r="N52" s="156"/>
      <c r="O52" s="156"/>
      <c r="P52" s="156"/>
      <c r="Q52" s="156"/>
      <c r="R52" s="156"/>
      <c r="S52" s="156"/>
      <c r="T52" s="156"/>
      <c r="U52" s="156"/>
      <c r="V52" s="156"/>
      <c r="W52" s="156"/>
      <c r="X52" s="156"/>
      <c r="Y52" s="156"/>
      <c r="Z52" s="156"/>
      <c r="AA52" s="156"/>
      <c r="AB52" s="156"/>
      <c r="AC52" s="156"/>
      <c r="AD52" s="156"/>
      <c r="AE52" s="497" t="s">
        <v>466</v>
      </c>
      <c r="AF52" s="488" t="s">
        <v>38</v>
      </c>
      <c r="AG52" s="489">
        <v>1</v>
      </c>
      <c r="AH52" s="419" t="s">
        <v>467</v>
      </c>
      <c r="AI52" s="435"/>
      <c r="AJ52" s="435"/>
      <c r="AK52" s="435"/>
      <c r="AL52" s="435"/>
      <c r="AM52" s="535"/>
      <c r="AN52" s="435"/>
      <c r="AO52" s="435"/>
      <c r="AP52" s="435"/>
      <c r="AQ52" s="156"/>
      <c r="AR52" s="156"/>
      <c r="AS52" s="156"/>
      <c r="AT52" s="156"/>
      <c r="AU52" s="156"/>
      <c r="AV52" s="156"/>
      <c r="AW52" s="156"/>
      <c r="AX52" s="156"/>
      <c r="AY52" s="156"/>
      <c r="AZ52" s="156"/>
      <c r="BA52" s="156"/>
      <c r="BB52" s="156"/>
      <c r="BC52" s="156"/>
      <c r="BD52" s="156"/>
      <c r="BE52" s="279">
        <v>1</v>
      </c>
    </row>
    <row r="53" spans="1:57" ht="21" customHeight="1" x14ac:dyDescent="0.25">
      <c r="A53" s="156"/>
      <c r="B53" s="156"/>
      <c r="C53" s="156"/>
      <c r="D53" s="420" t="s">
        <v>7905</v>
      </c>
      <c r="E53" s="421"/>
      <c r="F53" s="421" t="s">
        <v>8085</v>
      </c>
      <c r="G53" s="421"/>
      <c r="H53" s="421"/>
      <c r="I53" s="421"/>
      <c r="J53" s="421"/>
      <c r="K53" s="156"/>
      <c r="L53" s="156"/>
      <c r="M53" s="156"/>
      <c r="N53" s="156"/>
      <c r="O53" s="156"/>
      <c r="P53" s="156"/>
      <c r="Q53" s="156"/>
      <c r="R53" s="156"/>
      <c r="S53" s="156"/>
      <c r="T53" s="156"/>
      <c r="U53" s="156"/>
      <c r="V53" s="156"/>
      <c r="W53" s="156"/>
      <c r="X53" s="156"/>
      <c r="Y53" s="156"/>
      <c r="Z53" s="156"/>
      <c r="AA53" s="156"/>
      <c r="AB53" s="156"/>
      <c r="AC53" s="156"/>
      <c r="AD53" s="156"/>
      <c r="AE53" s="498"/>
      <c r="AF53" s="498"/>
      <c r="AG53" s="498"/>
      <c r="AH53" s="448" t="s">
        <v>8202</v>
      </c>
      <c r="AI53" s="435"/>
      <c r="AJ53" s="435"/>
      <c r="AK53" s="435"/>
      <c r="AL53" s="435"/>
      <c r="AM53" s="535"/>
      <c r="AN53" s="435"/>
      <c r="AO53" s="435"/>
      <c r="AP53" s="435"/>
      <c r="AQ53" s="156"/>
      <c r="AR53" s="156"/>
      <c r="AS53" s="156"/>
      <c r="AT53" s="156"/>
      <c r="AU53" s="156"/>
      <c r="AV53" s="156"/>
      <c r="AW53" s="156"/>
      <c r="AX53" s="156"/>
      <c r="AY53" s="156"/>
      <c r="AZ53" s="156"/>
      <c r="BA53" s="156"/>
      <c r="BB53" s="156"/>
      <c r="BC53" s="156"/>
      <c r="BD53" s="156"/>
      <c r="BE53" s="279">
        <v>1</v>
      </c>
    </row>
    <row r="54" spans="1:57" ht="21" customHeight="1" x14ac:dyDescent="0.25">
      <c r="A54" s="156"/>
      <c r="B54" s="156"/>
      <c r="C54" s="156"/>
      <c r="D54" s="422" t="s">
        <v>7915</v>
      </c>
      <c r="E54" s="423" t="s">
        <v>8086</v>
      </c>
      <c r="F54" s="156"/>
      <c r="G54" s="156"/>
      <c r="H54" s="156"/>
      <c r="I54" s="156"/>
      <c r="J54" s="156"/>
      <c r="K54" s="156"/>
      <c r="L54" s="156"/>
      <c r="M54" s="156"/>
      <c r="N54" s="156"/>
      <c r="O54" s="156"/>
      <c r="P54" s="156"/>
      <c r="Q54" s="156"/>
      <c r="R54" s="156"/>
      <c r="S54" s="156"/>
      <c r="T54" s="156"/>
      <c r="U54" s="156"/>
      <c r="V54" s="156"/>
      <c r="W54" s="531" t="s">
        <v>8087</v>
      </c>
      <c r="X54" s="156"/>
      <c r="Y54" s="156"/>
      <c r="Z54" s="156"/>
      <c r="AA54" s="156"/>
      <c r="AB54" s="156"/>
      <c r="AC54" s="156"/>
      <c r="AD54" s="156"/>
      <c r="AL54" s="156"/>
      <c r="AM54" s="535"/>
      <c r="AN54" s="156"/>
      <c r="AO54" s="156"/>
      <c r="AP54" s="156"/>
      <c r="AQ54" s="156"/>
      <c r="AR54" s="156"/>
      <c r="AS54" s="156"/>
      <c r="AT54" s="156"/>
      <c r="AU54" s="156"/>
      <c r="AV54" s="156"/>
      <c r="AW54" s="156"/>
      <c r="AX54" s="156"/>
      <c r="AY54" s="156"/>
      <c r="AZ54" s="156"/>
      <c r="BA54" s="156"/>
      <c r="BB54" s="156"/>
      <c r="BC54" s="156"/>
      <c r="BD54" s="156"/>
      <c r="BE54" s="279">
        <v>1</v>
      </c>
    </row>
    <row r="55" spans="1:57" ht="21" customHeight="1" x14ac:dyDescent="0.25">
      <c r="A55" s="156"/>
      <c r="B55" s="156"/>
      <c r="C55" s="156"/>
      <c r="D55" s="422" t="s">
        <v>7918</v>
      </c>
      <c r="E55" s="423" t="s">
        <v>8088</v>
      </c>
      <c r="F55" s="156"/>
      <c r="G55" s="156"/>
      <c r="H55" s="156"/>
      <c r="I55" s="156"/>
      <c r="J55" s="156"/>
      <c r="K55" s="156"/>
      <c r="L55" s="156"/>
      <c r="M55" s="156"/>
      <c r="N55" s="156"/>
      <c r="O55" s="156"/>
      <c r="P55" s="156"/>
      <c r="Q55" s="156"/>
      <c r="R55" s="156"/>
      <c r="S55" s="156"/>
      <c r="T55" s="156"/>
      <c r="U55" s="156"/>
      <c r="V55" s="156"/>
      <c r="W55" s="659" t="s">
        <v>8089</v>
      </c>
      <c r="X55" s="659"/>
      <c r="Y55" s="659"/>
      <c r="Z55" s="659"/>
      <c r="AA55" s="659"/>
      <c r="AB55" s="659"/>
      <c r="AC55" s="659"/>
      <c r="AD55" s="659"/>
      <c r="AE55" s="659"/>
      <c r="AF55" s="659"/>
      <c r="AG55" s="659"/>
      <c r="AH55" s="659"/>
      <c r="AI55" s="659"/>
      <c r="AJ55" s="659"/>
      <c r="AK55" s="659"/>
      <c r="AL55" s="156"/>
      <c r="AM55" s="535"/>
      <c r="AN55" s="156"/>
      <c r="AO55" s="156"/>
      <c r="AP55" s="156"/>
      <c r="AQ55" s="156"/>
      <c r="AR55" s="156"/>
      <c r="AS55" s="156"/>
      <c r="AT55" s="156"/>
      <c r="AU55" s="156"/>
      <c r="AV55" s="156"/>
      <c r="AW55" s="156"/>
      <c r="AX55" s="156"/>
      <c r="AY55" s="156"/>
      <c r="AZ55" s="156"/>
      <c r="BA55" s="156"/>
      <c r="BB55" s="156"/>
      <c r="BC55" s="156"/>
      <c r="BD55" s="156"/>
      <c r="BE55" s="279">
        <v>1</v>
      </c>
    </row>
    <row r="56" spans="1:57" ht="21" customHeight="1" x14ac:dyDescent="0.25">
      <c r="A56" s="156"/>
      <c r="B56" s="156"/>
      <c r="C56" s="156"/>
      <c r="D56" s="422" t="s">
        <v>7922</v>
      </c>
      <c r="E56" s="423" t="s">
        <v>8090</v>
      </c>
      <c r="F56" s="156"/>
      <c r="G56" s="156"/>
      <c r="H56" s="156"/>
      <c r="I56" s="156"/>
      <c r="J56" s="156"/>
      <c r="K56" s="156"/>
      <c r="L56" s="156"/>
      <c r="M56" s="156"/>
      <c r="N56" s="156"/>
      <c r="O56" s="156"/>
      <c r="P56" s="156"/>
      <c r="Q56" s="156"/>
      <c r="R56" s="156"/>
      <c r="S56" s="156"/>
      <c r="T56" s="156"/>
      <c r="U56" s="156"/>
      <c r="V56" s="156"/>
      <c r="W56" s="659"/>
      <c r="X56" s="659"/>
      <c r="Y56" s="659"/>
      <c r="Z56" s="659"/>
      <c r="AA56" s="659"/>
      <c r="AB56" s="659"/>
      <c r="AC56" s="659"/>
      <c r="AD56" s="659"/>
      <c r="AE56" s="659"/>
      <c r="AF56" s="659"/>
      <c r="AG56" s="659"/>
      <c r="AH56" s="659"/>
      <c r="AI56" s="659"/>
      <c r="AJ56" s="659"/>
      <c r="AK56" s="659"/>
      <c r="AL56" s="156"/>
      <c r="AM56" s="535"/>
      <c r="AN56" s="156"/>
      <c r="AO56" s="156"/>
      <c r="AP56" s="156"/>
      <c r="AQ56" s="156"/>
      <c r="AR56" s="156"/>
      <c r="AS56" s="156"/>
      <c r="AT56" s="156"/>
      <c r="AU56" s="156"/>
      <c r="AV56" s="156"/>
      <c r="AW56" s="156"/>
      <c r="AX56" s="156"/>
      <c r="AY56" s="156"/>
      <c r="AZ56" s="156"/>
      <c r="BA56" s="156"/>
      <c r="BB56" s="156"/>
      <c r="BC56" s="156"/>
      <c r="BD56" s="156"/>
      <c r="BE56" s="279">
        <v>1</v>
      </c>
    </row>
    <row r="57" spans="1:57" ht="21" customHeight="1" x14ac:dyDescent="0.25">
      <c r="A57" s="156"/>
      <c r="B57" s="156"/>
      <c r="C57" s="156"/>
      <c r="D57" s="422" t="s">
        <v>7926</v>
      </c>
      <c r="E57" s="423" t="s">
        <v>8091</v>
      </c>
      <c r="F57" s="156"/>
      <c r="G57" s="156"/>
      <c r="H57" s="156"/>
      <c r="I57" s="156"/>
      <c r="J57" s="156"/>
      <c r="K57" s="156"/>
      <c r="L57" s="156"/>
      <c r="M57" s="156"/>
      <c r="N57" s="156"/>
      <c r="O57" s="156"/>
      <c r="P57" s="156"/>
      <c r="Q57" s="156"/>
      <c r="R57" s="156"/>
      <c r="S57" s="156"/>
      <c r="T57" s="156"/>
      <c r="U57" s="156"/>
      <c r="V57" s="156"/>
      <c r="W57" s="659"/>
      <c r="X57" s="659"/>
      <c r="Y57" s="659"/>
      <c r="Z57" s="659"/>
      <c r="AA57" s="659"/>
      <c r="AB57" s="659"/>
      <c r="AC57" s="659"/>
      <c r="AD57" s="659"/>
      <c r="AE57" s="659"/>
      <c r="AF57" s="659"/>
      <c r="AG57" s="659"/>
      <c r="AH57" s="659"/>
      <c r="AI57" s="659"/>
      <c r="AJ57" s="659"/>
      <c r="AK57" s="659"/>
      <c r="AL57" s="156"/>
      <c r="AM57" s="535"/>
      <c r="AN57" s="156"/>
      <c r="AO57" s="156"/>
      <c r="AP57" s="156"/>
      <c r="AQ57" s="156"/>
      <c r="AR57" s="435"/>
      <c r="AS57" s="435"/>
      <c r="AT57" s="435"/>
      <c r="AU57" s="435"/>
      <c r="AV57" s="156"/>
      <c r="AW57" s="156"/>
      <c r="AX57" s="156"/>
      <c r="AY57" s="156"/>
      <c r="AZ57" s="156"/>
      <c r="BA57" s="156"/>
      <c r="BB57" s="156"/>
      <c r="BC57" s="156"/>
      <c r="BD57" s="156"/>
      <c r="BE57" s="279">
        <v>1</v>
      </c>
    </row>
    <row r="58" spans="1:57" ht="21" customHeight="1" x14ac:dyDescent="0.25">
      <c r="A58" s="156"/>
      <c r="B58" s="156"/>
      <c r="C58" s="156"/>
      <c r="D58" s="422" t="s">
        <v>7931</v>
      </c>
      <c r="E58" s="423" t="s">
        <v>8093</v>
      </c>
      <c r="F58" s="156"/>
      <c r="G58" s="156"/>
      <c r="H58" s="156"/>
      <c r="I58" s="156"/>
      <c r="J58" s="156"/>
      <c r="K58" s="156"/>
      <c r="L58" s="156"/>
      <c r="M58" s="156"/>
      <c r="N58" s="156"/>
      <c r="O58" s="156"/>
      <c r="P58" s="156"/>
      <c r="Q58" s="156"/>
      <c r="R58" s="156"/>
      <c r="S58" s="156"/>
      <c r="T58" s="156"/>
      <c r="U58" s="156"/>
      <c r="V58" s="156"/>
      <c r="W58" s="659"/>
      <c r="X58" s="659"/>
      <c r="Y58" s="659"/>
      <c r="Z58" s="659"/>
      <c r="AA58" s="659"/>
      <c r="AB58" s="659"/>
      <c r="AC58" s="659"/>
      <c r="AD58" s="659"/>
      <c r="AE58" s="659"/>
      <c r="AF58" s="659"/>
      <c r="AG58" s="659"/>
      <c r="AH58" s="659"/>
      <c r="AI58" s="659"/>
      <c r="AJ58" s="659"/>
      <c r="AK58" s="659"/>
      <c r="AL58" s="156"/>
      <c r="AM58" s="535"/>
      <c r="AN58" s="156"/>
      <c r="AO58" s="156"/>
      <c r="AP58" s="156"/>
      <c r="AQ58" s="156"/>
      <c r="AR58" s="435"/>
      <c r="AS58" s="435"/>
      <c r="AT58" s="435"/>
      <c r="AU58" s="435"/>
      <c r="AV58" s="156"/>
      <c r="AW58" s="156"/>
      <c r="AX58" s="156"/>
      <c r="AY58" s="156"/>
      <c r="AZ58" s="156"/>
      <c r="BA58" s="156"/>
      <c r="BB58" s="156"/>
      <c r="BC58" s="156"/>
      <c r="BD58" s="156"/>
      <c r="BE58" s="279">
        <v>1</v>
      </c>
    </row>
    <row r="59" spans="1:57" ht="21" customHeight="1" x14ac:dyDescent="0.25">
      <c r="A59" s="156"/>
      <c r="B59" s="156"/>
      <c r="C59" s="156"/>
      <c r="D59" s="422" t="s">
        <v>7938</v>
      </c>
      <c r="E59" s="423" t="s">
        <v>8094</v>
      </c>
      <c r="F59" s="156"/>
      <c r="G59" s="156"/>
      <c r="H59" s="156"/>
      <c r="I59" s="156"/>
      <c r="J59" s="156"/>
      <c r="K59" s="156"/>
      <c r="L59" s="156"/>
      <c r="M59" s="156"/>
      <c r="N59" s="156"/>
      <c r="O59" s="156"/>
      <c r="P59" s="156"/>
      <c r="Q59" s="156"/>
      <c r="R59" s="156"/>
      <c r="S59" s="156"/>
      <c r="T59" s="156"/>
      <c r="U59" s="156"/>
      <c r="V59" s="156"/>
      <c r="W59" s="659"/>
      <c r="X59" s="659"/>
      <c r="Y59" s="659"/>
      <c r="Z59" s="659"/>
      <c r="AA59" s="659"/>
      <c r="AB59" s="659"/>
      <c r="AC59" s="659"/>
      <c r="AD59" s="659"/>
      <c r="AE59" s="659"/>
      <c r="AF59" s="659"/>
      <c r="AG59" s="659"/>
      <c r="AH59" s="659"/>
      <c r="AI59" s="659"/>
      <c r="AJ59" s="659"/>
      <c r="AK59" s="659"/>
      <c r="AL59" s="156"/>
      <c r="AM59" s="535"/>
      <c r="AN59" s="156"/>
      <c r="AO59" s="156"/>
      <c r="AP59" s="156"/>
      <c r="AQ59" s="156"/>
      <c r="AR59" s="435"/>
      <c r="AS59" s="435"/>
      <c r="AT59" s="435"/>
      <c r="AU59" s="435"/>
      <c r="AV59" s="156"/>
      <c r="AW59" s="156"/>
      <c r="AX59" s="156"/>
      <c r="AY59" s="156"/>
      <c r="AZ59" s="156"/>
      <c r="BA59" s="156"/>
      <c r="BB59" s="156"/>
      <c r="BC59" s="156"/>
      <c r="BD59" s="156"/>
      <c r="BE59" s="279">
        <v>1</v>
      </c>
    </row>
    <row r="60" spans="1:57" ht="21" customHeight="1" x14ac:dyDescent="0.25">
      <c r="A60" s="156"/>
      <c r="B60" s="156"/>
      <c r="C60" s="156"/>
      <c r="D60" s="422" t="s">
        <v>7946</v>
      </c>
      <c r="E60" s="423" t="s">
        <v>8096</v>
      </c>
      <c r="F60" s="156"/>
      <c r="G60" s="156"/>
      <c r="H60" s="156"/>
      <c r="I60" s="156"/>
      <c r="J60" s="156"/>
      <c r="K60" s="156"/>
      <c r="L60" s="156"/>
      <c r="M60" s="156"/>
      <c r="N60" s="156"/>
      <c r="O60" s="156"/>
      <c r="P60" s="156"/>
      <c r="Q60" s="156"/>
      <c r="R60" s="156"/>
      <c r="S60" s="156"/>
      <c r="T60" s="156"/>
      <c r="U60" s="156"/>
      <c r="V60" s="156"/>
      <c r="W60" s="659"/>
      <c r="X60" s="659"/>
      <c r="Y60" s="659"/>
      <c r="Z60" s="659"/>
      <c r="AA60" s="659"/>
      <c r="AB60" s="659"/>
      <c r="AC60" s="659"/>
      <c r="AD60" s="659"/>
      <c r="AE60" s="659"/>
      <c r="AF60" s="659"/>
      <c r="AG60" s="659"/>
      <c r="AH60" s="659"/>
      <c r="AI60" s="659"/>
      <c r="AJ60" s="659"/>
      <c r="AK60" s="659"/>
      <c r="AL60" s="156"/>
      <c r="AM60" s="535"/>
      <c r="AN60" s="156"/>
      <c r="AO60" s="156"/>
      <c r="AP60" s="156"/>
      <c r="AQ60" s="156"/>
      <c r="AR60" s="435"/>
      <c r="AS60" s="435"/>
      <c r="AT60" s="435"/>
      <c r="AU60" s="435"/>
      <c r="AV60" s="156"/>
      <c r="AW60" s="156"/>
      <c r="AX60" s="156"/>
      <c r="AY60" s="156"/>
      <c r="AZ60" s="156"/>
      <c r="BA60" s="156"/>
      <c r="BB60" s="156"/>
      <c r="BC60" s="156"/>
      <c r="BD60" s="156"/>
      <c r="BE60" s="279">
        <v>1</v>
      </c>
    </row>
    <row r="61" spans="1:57" ht="21" customHeight="1" x14ac:dyDescent="0.25">
      <c r="A61" s="156"/>
      <c r="B61" s="156"/>
      <c r="C61" s="156"/>
      <c r="D61" s="422" t="s">
        <v>7951</v>
      </c>
      <c r="E61" s="423" t="s">
        <v>8098</v>
      </c>
      <c r="F61" s="156"/>
      <c r="G61" s="156"/>
      <c r="H61" s="156"/>
      <c r="I61" s="156"/>
      <c r="J61" s="156"/>
      <c r="K61" s="156"/>
      <c r="L61" s="156"/>
      <c r="M61" s="156"/>
      <c r="N61" s="156"/>
      <c r="O61" s="156"/>
      <c r="P61" s="156"/>
      <c r="Q61" s="156"/>
      <c r="R61" s="156"/>
      <c r="S61" s="156"/>
      <c r="T61" s="156"/>
      <c r="U61" s="156"/>
      <c r="V61" s="156"/>
      <c r="W61" s="659"/>
      <c r="X61" s="659"/>
      <c r="Y61" s="659"/>
      <c r="Z61" s="659"/>
      <c r="AA61" s="659"/>
      <c r="AB61" s="659"/>
      <c r="AC61" s="659"/>
      <c r="AD61" s="659"/>
      <c r="AE61" s="659"/>
      <c r="AF61" s="659"/>
      <c r="AG61" s="659"/>
      <c r="AH61" s="659"/>
      <c r="AI61" s="659"/>
      <c r="AJ61" s="659"/>
      <c r="AK61" s="659"/>
      <c r="AL61" s="156"/>
      <c r="AM61" s="535"/>
      <c r="AN61" s="156"/>
      <c r="AO61" s="156"/>
      <c r="AP61" s="156"/>
      <c r="AQ61" s="156"/>
      <c r="AR61" s="435"/>
      <c r="AS61" s="435"/>
      <c r="AT61" s="435"/>
      <c r="AU61" s="435"/>
      <c r="AV61" s="156"/>
      <c r="AW61" s="156"/>
      <c r="AX61" s="156"/>
      <c r="AY61" s="156"/>
      <c r="AZ61" s="156"/>
      <c r="BA61" s="156"/>
      <c r="BB61" s="156"/>
      <c r="BC61" s="156"/>
      <c r="BD61" s="156"/>
      <c r="BE61" s="279">
        <v>1</v>
      </c>
    </row>
    <row r="62" spans="1:57" ht="21" customHeight="1" x14ac:dyDescent="0.25">
      <c r="A62" s="156"/>
      <c r="B62" s="156"/>
      <c r="C62" s="156"/>
      <c r="D62" s="422" t="s">
        <v>7975</v>
      </c>
      <c r="E62" s="430" t="s">
        <v>8099</v>
      </c>
      <c r="F62" s="156"/>
      <c r="G62" s="156"/>
      <c r="H62" s="156"/>
      <c r="I62" s="156"/>
      <c r="J62" s="156"/>
      <c r="K62" s="156"/>
      <c r="L62" s="156"/>
      <c r="M62" s="156"/>
      <c r="N62" s="156"/>
      <c r="O62" s="156"/>
      <c r="P62" s="156"/>
      <c r="Q62" s="156"/>
      <c r="R62" s="156"/>
      <c r="S62" s="156"/>
      <c r="T62" s="156"/>
      <c r="U62" s="156"/>
      <c r="V62" s="156"/>
      <c r="W62" s="659"/>
      <c r="X62" s="659"/>
      <c r="Y62" s="659"/>
      <c r="Z62" s="659"/>
      <c r="AA62" s="659"/>
      <c r="AB62" s="659"/>
      <c r="AC62" s="659"/>
      <c r="AD62" s="659"/>
      <c r="AE62" s="659"/>
      <c r="AF62" s="659"/>
      <c r="AG62" s="659"/>
      <c r="AH62" s="659"/>
      <c r="AI62" s="659"/>
      <c r="AJ62" s="659"/>
      <c r="AK62" s="659"/>
      <c r="AL62" s="156"/>
      <c r="AM62" s="535"/>
      <c r="AN62" s="156"/>
      <c r="AO62" s="156"/>
      <c r="AP62" s="156"/>
      <c r="AQ62" s="156"/>
      <c r="AR62" s="435"/>
      <c r="AS62" s="435"/>
      <c r="AT62" s="435"/>
      <c r="AU62" s="435"/>
      <c r="AV62" s="156"/>
      <c r="AW62" s="156"/>
      <c r="AX62" s="156"/>
      <c r="AY62" s="156"/>
      <c r="AZ62" s="156"/>
      <c r="BA62" s="156"/>
      <c r="BB62" s="156"/>
      <c r="BC62" s="156"/>
      <c r="BD62" s="156"/>
      <c r="BE62" s="279">
        <v>1</v>
      </c>
    </row>
    <row r="63" spans="1:57" ht="21" customHeight="1" x14ac:dyDescent="0.25">
      <c r="A63" s="156"/>
      <c r="B63" s="156"/>
      <c r="C63" s="156"/>
      <c r="D63" s="422" t="s">
        <v>7995</v>
      </c>
      <c r="E63" s="423" t="s">
        <v>8100</v>
      </c>
      <c r="F63" s="156"/>
      <c r="G63" s="156"/>
      <c r="H63" s="156"/>
      <c r="I63" s="156"/>
      <c r="J63" s="156"/>
      <c r="K63" s="156"/>
      <c r="L63" s="156"/>
      <c r="M63" s="156"/>
      <c r="N63" s="156"/>
      <c r="O63" s="156"/>
      <c r="P63" s="156"/>
      <c r="Q63" s="156"/>
      <c r="R63" s="156"/>
      <c r="S63" s="156"/>
      <c r="T63" s="156"/>
      <c r="U63" s="156"/>
      <c r="V63" s="156"/>
      <c r="W63" s="659"/>
      <c r="X63" s="659"/>
      <c r="Y63" s="659"/>
      <c r="Z63" s="659"/>
      <c r="AA63" s="659"/>
      <c r="AB63" s="659"/>
      <c r="AC63" s="659"/>
      <c r="AD63" s="659"/>
      <c r="AE63" s="659"/>
      <c r="AF63" s="659"/>
      <c r="AG63" s="659"/>
      <c r="AH63" s="659"/>
      <c r="AI63" s="659"/>
      <c r="AJ63" s="659"/>
      <c r="AK63" s="659"/>
      <c r="AL63" s="435"/>
      <c r="AM63" s="535"/>
      <c r="AN63" s="435"/>
      <c r="AO63" s="435"/>
      <c r="AP63" s="435"/>
      <c r="AQ63" s="435"/>
      <c r="AR63" s="435"/>
      <c r="AS63" s="435"/>
      <c r="AT63" s="435"/>
      <c r="AU63" s="435"/>
      <c r="AV63" s="156"/>
      <c r="AW63" s="156"/>
      <c r="AX63" s="156"/>
      <c r="AY63" s="156"/>
      <c r="AZ63" s="156"/>
      <c r="BA63" s="156"/>
      <c r="BB63" s="156"/>
      <c r="BC63" s="156"/>
      <c r="BD63" s="156"/>
      <c r="BE63" s="279">
        <v>1</v>
      </c>
    </row>
    <row r="64" spans="1:57" ht="15.75" customHeight="1" x14ac:dyDescent="0.25">
      <c r="A64" s="435"/>
      <c r="B64" s="435"/>
      <c r="C64" s="156"/>
      <c r="D64" s="422" t="s">
        <v>7998</v>
      </c>
      <c r="E64" s="423" t="s">
        <v>8101</v>
      </c>
      <c r="F64" s="156"/>
      <c r="G64" s="156"/>
      <c r="H64" s="156"/>
      <c r="I64" s="156"/>
      <c r="J64" s="156"/>
      <c r="K64" s="529"/>
      <c r="L64" s="529"/>
      <c r="M64" s="529"/>
      <c r="N64" s="529"/>
      <c r="O64" s="529"/>
      <c r="P64" s="529"/>
      <c r="Q64" s="529"/>
      <c r="R64" s="529"/>
      <c r="S64" s="529"/>
      <c r="T64" s="529"/>
      <c r="U64" s="529"/>
      <c r="V64" s="156"/>
      <c r="W64" s="659"/>
      <c r="X64" s="659"/>
      <c r="Y64" s="659"/>
      <c r="Z64" s="659"/>
      <c r="AA64" s="659"/>
      <c r="AB64" s="659"/>
      <c r="AC64" s="659"/>
      <c r="AD64" s="659"/>
      <c r="AE64" s="659"/>
      <c r="AF64" s="659"/>
      <c r="AG64" s="659"/>
      <c r="AH64" s="659"/>
      <c r="AI64" s="659"/>
      <c r="AJ64" s="659"/>
      <c r="AK64" s="659"/>
      <c r="AL64" s="435"/>
      <c r="AM64" s="535"/>
      <c r="AN64" s="435"/>
      <c r="AO64" s="435"/>
      <c r="AP64" s="435"/>
      <c r="AQ64" s="435"/>
      <c r="AR64" s="435"/>
      <c r="AS64" s="435"/>
      <c r="AT64" s="435"/>
      <c r="AU64" s="435"/>
      <c r="AV64" s="156"/>
      <c r="AW64" s="156"/>
      <c r="AX64" s="156"/>
      <c r="AY64" s="156"/>
      <c r="AZ64" s="156"/>
      <c r="BA64" s="156"/>
      <c r="BB64" s="156"/>
      <c r="BC64" s="156"/>
      <c r="BD64" s="156"/>
      <c r="BE64" s="279">
        <v>1</v>
      </c>
    </row>
    <row r="65" spans="1:89" x14ac:dyDescent="0.25">
      <c r="A65" s="435"/>
      <c r="B65" s="435"/>
      <c r="C65" s="435"/>
      <c r="D65" s="422" t="s">
        <v>8102</v>
      </c>
      <c r="E65" s="434" t="s">
        <v>8103</v>
      </c>
      <c r="F65" s="156"/>
      <c r="G65" s="156"/>
      <c r="H65" s="156"/>
      <c r="I65" s="156"/>
      <c r="J65" s="156"/>
      <c r="K65" s="529"/>
      <c r="L65" s="529"/>
      <c r="M65" s="529"/>
      <c r="N65" s="529"/>
      <c r="O65" s="529"/>
      <c r="P65" s="529"/>
      <c r="Q65" s="529"/>
      <c r="R65" s="529"/>
      <c r="S65" s="529"/>
      <c r="T65" s="435"/>
      <c r="U65" s="435"/>
      <c r="V65" s="156"/>
      <c r="W65" s="659"/>
      <c r="X65" s="659"/>
      <c r="Y65" s="659"/>
      <c r="Z65" s="659"/>
      <c r="AA65" s="659"/>
      <c r="AB65" s="659"/>
      <c r="AC65" s="659"/>
      <c r="AD65" s="659"/>
      <c r="AE65" s="659"/>
      <c r="AF65" s="659"/>
      <c r="AG65" s="659"/>
      <c r="AH65" s="659"/>
      <c r="AI65" s="659"/>
      <c r="AJ65" s="659"/>
      <c r="AK65" s="659"/>
      <c r="AL65" s="435"/>
      <c r="AM65" s="535"/>
      <c r="AN65" s="435"/>
      <c r="AO65" s="435"/>
      <c r="AP65" s="435"/>
      <c r="AQ65" s="435"/>
      <c r="AR65" s="435"/>
      <c r="AS65" s="435"/>
      <c r="AT65" s="435"/>
      <c r="AU65" s="435"/>
      <c r="AV65" s="435"/>
      <c r="AW65" s="435"/>
      <c r="AX65" s="435"/>
      <c r="AY65" s="435"/>
      <c r="AZ65" s="435"/>
      <c r="BA65" s="435"/>
      <c r="BB65" s="435"/>
      <c r="BC65" s="435"/>
      <c r="BD65" s="435"/>
      <c r="BE65" s="279">
        <v>1</v>
      </c>
      <c r="BF65" s="271"/>
      <c r="BG65" s="271"/>
      <c r="BH65" s="271"/>
      <c r="BI65" s="271"/>
      <c r="BJ65" s="271"/>
      <c r="BK65" s="271"/>
      <c r="BL65" s="271"/>
      <c r="BM65" s="271"/>
      <c r="BN65" s="271"/>
      <c r="BO65" s="271"/>
      <c r="BP65" s="271"/>
      <c r="BQ65" s="271"/>
      <c r="BR65" s="271"/>
      <c r="BS65" s="271"/>
      <c r="BT65" s="271"/>
      <c r="BU65" s="271"/>
      <c r="BV65" s="271"/>
      <c r="BW65" s="271"/>
      <c r="BX65" s="271"/>
      <c r="BY65" s="271"/>
      <c r="BZ65" s="271"/>
      <c r="CA65" s="271"/>
      <c r="CB65" s="271"/>
      <c r="CC65" s="271"/>
      <c r="CD65" s="271"/>
      <c r="CE65" s="271"/>
      <c r="CF65" s="271"/>
      <c r="CG65" s="271"/>
      <c r="CH65" s="271"/>
      <c r="CI65" s="271"/>
      <c r="CJ65" s="271"/>
      <c r="CK65" s="271"/>
    </row>
    <row r="66" spans="1:89" ht="15.75" customHeight="1" x14ac:dyDescent="0.25">
      <c r="A66" s="156"/>
      <c r="B66" s="156"/>
      <c r="C66" s="156"/>
      <c r="D66" s="422" t="s">
        <v>8047</v>
      </c>
      <c r="E66" s="434" t="s">
        <v>8104</v>
      </c>
      <c r="F66" s="435"/>
      <c r="G66" s="435"/>
      <c r="H66" s="435"/>
      <c r="I66" s="435"/>
      <c r="J66" s="435"/>
      <c r="K66" s="435"/>
      <c r="L66" s="435"/>
      <c r="M66" s="529"/>
      <c r="N66" s="529"/>
      <c r="O66" s="529"/>
      <c r="P66" s="529"/>
      <c r="Q66" s="529"/>
      <c r="R66" s="529"/>
      <c r="S66" s="529"/>
      <c r="T66" s="435"/>
      <c r="U66" s="435"/>
      <c r="V66" s="435"/>
      <c r="W66" s="660" t="s">
        <v>8105</v>
      </c>
      <c r="X66" s="660"/>
      <c r="Y66" s="660"/>
      <c r="Z66" s="660"/>
      <c r="AA66" s="660"/>
      <c r="AB66" s="660"/>
      <c r="AC66" s="660"/>
      <c r="AD66" s="660"/>
      <c r="AE66" s="660"/>
      <c r="AF66" s="660"/>
      <c r="AG66" s="660"/>
      <c r="AH66" s="660"/>
      <c r="AI66" s="660"/>
      <c r="AJ66" s="660"/>
      <c r="AK66" s="660"/>
      <c r="AL66" s="435"/>
      <c r="AM66" s="535"/>
      <c r="AN66" s="435"/>
      <c r="AO66" s="435"/>
      <c r="AP66" s="435"/>
      <c r="AQ66" s="435"/>
      <c r="AR66" s="435"/>
      <c r="AS66" s="435"/>
      <c r="AT66" s="435"/>
      <c r="AU66" s="435"/>
      <c r="AV66" s="156"/>
      <c r="AW66" s="156"/>
      <c r="AX66" s="156"/>
      <c r="AY66" s="156"/>
      <c r="AZ66" s="156"/>
      <c r="BA66" s="156"/>
      <c r="BB66" s="156"/>
      <c r="BC66" s="156"/>
      <c r="BD66" s="156"/>
      <c r="BE66" s="279">
        <v>1</v>
      </c>
    </row>
    <row r="67" spans="1:89" ht="15.75" customHeight="1" x14ac:dyDescent="0.25">
      <c r="A67" s="156"/>
      <c r="B67" s="156"/>
      <c r="C67" s="156"/>
      <c r="D67" s="156"/>
      <c r="E67" s="435"/>
      <c r="F67" s="435"/>
      <c r="G67" s="435"/>
      <c r="H67" s="435"/>
      <c r="I67" s="435"/>
      <c r="J67" s="435"/>
      <c r="K67" s="655" t="str">
        <f>IF(AND(COUNTIF(L72:L73,"*~**")=0,COUNTIF(L72:L73,"*~?*")=0),"",IF(COUNTIF(L72:L73,"*~**")&gt;0,COUNTIF(L72:L73,"*~**")&amp;" allergène"&amp;IF(COUNTIF(L72:L73,"*~**")&gt;1,"s","")&amp;" repéré"&amp;IF(COUNTIF(L72:L73,"*~**")&gt;1,"s","")&amp;" par *","")&amp;IF(AND(COUNTIF(L72:L73,"*~**")&gt;0,COUNTIF(L72:L73,"*~?*")&gt;0)," | ","")&amp;IF(COUNTIF(L72:L73,"*~?*")&gt;0,COUNTIF(L72:L73,"*~?*")&amp;" produit"&amp;IF(COUNTIF(L72:L73,"*~?*")&gt;1,"s","")&amp;" à vérifier par ?",""))</f>
        <v/>
      </c>
      <c r="L67" s="655"/>
      <c r="M67" s="533" t="s">
        <v>8106</v>
      </c>
      <c r="N67" s="533"/>
      <c r="O67" s="533"/>
      <c r="P67" s="435"/>
      <c r="Q67" s="435"/>
      <c r="R67" s="435"/>
      <c r="S67" s="435"/>
      <c r="T67" s="435"/>
      <c r="U67" s="435"/>
      <c r="V67" s="435"/>
      <c r="W67" s="660"/>
      <c r="X67" s="660"/>
      <c r="Y67" s="660"/>
      <c r="Z67" s="660"/>
      <c r="AA67" s="660"/>
      <c r="AB67" s="660"/>
      <c r="AC67" s="660"/>
      <c r="AD67" s="660"/>
      <c r="AE67" s="660"/>
      <c r="AF67" s="660"/>
      <c r="AG67" s="660"/>
      <c r="AH67" s="660"/>
      <c r="AI67" s="660"/>
      <c r="AJ67" s="660"/>
      <c r="AK67" s="660"/>
      <c r="AL67" s="435"/>
      <c r="AM67" s="535"/>
      <c r="AN67" s="435"/>
      <c r="AO67" s="435"/>
      <c r="AP67" s="435"/>
      <c r="AQ67" s="435"/>
      <c r="AR67" s="435"/>
      <c r="AS67" s="435"/>
      <c r="AT67" s="435"/>
      <c r="AU67" s="435"/>
      <c r="AV67" s="156"/>
      <c r="AW67" s="156"/>
      <c r="AX67" s="156"/>
      <c r="AY67" s="156"/>
      <c r="AZ67" s="156"/>
      <c r="BA67" s="156"/>
      <c r="BB67" s="156"/>
      <c r="BC67" s="156"/>
      <c r="BD67" s="156"/>
      <c r="BE67" s="279"/>
    </row>
    <row r="68" spans="1:89" ht="15.75" customHeight="1" x14ac:dyDescent="0.25">
      <c r="A68" s="527" t="s">
        <v>8107</v>
      </c>
      <c r="B68" s="156"/>
      <c r="C68" s="156"/>
      <c r="D68" s="156"/>
      <c r="E68" s="435"/>
      <c r="F68" s="435"/>
      <c r="G68" s="435"/>
      <c r="H68" s="435"/>
      <c r="I68" s="435"/>
      <c r="J68" s="435"/>
      <c r="K68" s="655"/>
      <c r="L68" s="655"/>
      <c r="M68" s="533" t="s">
        <v>8108</v>
      </c>
      <c r="N68" s="533"/>
      <c r="O68" s="533"/>
      <c r="P68" s="435"/>
      <c r="Q68" s="435"/>
      <c r="R68" s="435"/>
      <c r="S68" s="435"/>
      <c r="T68" s="435"/>
      <c r="U68" s="435"/>
      <c r="V68" s="435"/>
      <c r="W68" s="438" t="s">
        <v>8109</v>
      </c>
      <c r="X68" s="438"/>
      <c r="Y68" s="271"/>
      <c r="AE68" s="156"/>
      <c r="AF68" s="156"/>
      <c r="AG68" s="156"/>
      <c r="AH68" s="156"/>
      <c r="AI68" s="156"/>
      <c r="AJ68" s="156"/>
      <c r="AK68" s="156"/>
      <c r="AL68" s="435"/>
      <c r="AM68" s="535"/>
      <c r="AN68" s="435"/>
      <c r="AO68" s="435"/>
      <c r="AP68" s="435"/>
      <c r="AQ68" s="435"/>
      <c r="AR68" s="435"/>
      <c r="AS68" s="435"/>
      <c r="AT68" s="435"/>
      <c r="AU68" s="435"/>
      <c r="AV68" s="156"/>
      <c r="AW68" s="156"/>
      <c r="AX68" s="156"/>
      <c r="AY68" s="156"/>
      <c r="AZ68" s="156"/>
      <c r="BA68" s="156"/>
      <c r="BB68" s="156"/>
      <c r="BC68" s="156"/>
      <c r="BD68" s="156"/>
      <c r="BE68" s="279">
        <v>1</v>
      </c>
    </row>
    <row r="69" spans="1:89" x14ac:dyDescent="0.25">
      <c r="A69" s="422" t="s">
        <v>8191</v>
      </c>
      <c r="C69" s="422" t="s">
        <v>8192</v>
      </c>
      <c r="E69" s="422" t="s">
        <v>7915</v>
      </c>
      <c r="F69" s="422" t="s">
        <v>7918</v>
      </c>
      <c r="G69" s="422" t="s">
        <v>7922</v>
      </c>
      <c r="H69" s="422" t="s">
        <v>7926</v>
      </c>
      <c r="I69" s="422" t="s">
        <v>7931</v>
      </c>
      <c r="J69" s="422" t="s">
        <v>7938</v>
      </c>
      <c r="K69" s="422" t="s">
        <v>7946</v>
      </c>
      <c r="L69" s="422" t="s">
        <v>7951</v>
      </c>
      <c r="M69" s="422" t="s">
        <v>7975</v>
      </c>
      <c r="N69" s="422" t="s">
        <v>7995</v>
      </c>
      <c r="O69" s="422" t="s">
        <v>7998</v>
      </c>
      <c r="P69" s="395"/>
      <c r="Q69" s="395"/>
      <c r="R69" s="395"/>
      <c r="S69" s="395"/>
      <c r="T69" s="395"/>
      <c r="U69" s="395"/>
      <c r="V69" s="439" t="s">
        <v>8047</v>
      </c>
      <c r="W69" s="395" t="s">
        <v>8193</v>
      </c>
      <c r="X69" s="395" t="s">
        <v>8194</v>
      </c>
      <c r="Y69" s="395" t="s">
        <v>8195</v>
      </c>
      <c r="Z69" s="395" t="s">
        <v>8196</v>
      </c>
      <c r="AA69" s="395" t="s">
        <v>8197</v>
      </c>
      <c r="AB69" s="395" t="s">
        <v>8198</v>
      </c>
      <c r="AC69" s="395" t="s">
        <v>8199</v>
      </c>
      <c r="AD69" s="395" t="s">
        <v>8200</v>
      </c>
      <c r="AE69" s="156"/>
      <c r="AF69" s="156"/>
      <c r="AG69" s="156"/>
      <c r="AH69" s="156"/>
      <c r="AI69" s="156"/>
      <c r="AJ69" s="156"/>
      <c r="AK69" s="156"/>
      <c r="AL69" s="435"/>
      <c r="AM69" s="535"/>
      <c r="AN69" s="435"/>
      <c r="AO69" s="435"/>
      <c r="AP69" s="435"/>
      <c r="AQ69" s="435"/>
      <c r="AR69" s="435"/>
      <c r="AS69" s="435"/>
      <c r="AT69" s="435"/>
      <c r="AU69" s="435"/>
      <c r="AV69" s="156"/>
      <c r="AW69" s="156"/>
      <c r="AX69" s="156"/>
      <c r="AY69" s="156"/>
      <c r="AZ69" s="156"/>
      <c r="BA69" s="156"/>
      <c r="BB69" s="156"/>
      <c r="BC69" s="156"/>
      <c r="BD69" s="156"/>
      <c r="BE69" s="279">
        <v>1</v>
      </c>
    </row>
    <row r="70" spans="1:89" ht="35.25" customHeight="1" x14ac:dyDescent="0.25">
      <c r="A70" s="440" t="s">
        <v>484</v>
      </c>
      <c r="C70" s="440" t="s">
        <v>8110</v>
      </c>
      <c r="E70" s="441" t="s">
        <v>8111</v>
      </c>
      <c r="F70" s="442"/>
      <c r="G70" s="442"/>
      <c r="H70" s="442"/>
      <c r="I70" s="442"/>
      <c r="J70" s="442"/>
      <c r="K70" s="442"/>
      <c r="L70" s="442"/>
      <c r="M70" s="443"/>
      <c r="N70" s="442"/>
      <c r="O70" s="442"/>
      <c r="P70" s="444" t="s">
        <v>8112</v>
      </c>
      <c r="Q70" s="445"/>
      <c r="R70" s="445"/>
      <c r="S70" s="445"/>
      <c r="T70" s="445"/>
      <c r="U70" s="445"/>
      <c r="V70" s="446"/>
      <c r="W70" s="444" t="s">
        <v>8112</v>
      </c>
      <c r="X70" s="447"/>
      <c r="Y70" s="447"/>
      <c r="Z70" s="447"/>
      <c r="AA70" s="447"/>
      <c r="AB70" s="447"/>
      <c r="AC70" s="447"/>
      <c r="AD70" s="447"/>
      <c r="AE70" s="156"/>
      <c r="AF70" s="156"/>
      <c r="AG70" s="156"/>
      <c r="AH70" s="156"/>
      <c r="AI70" s="156"/>
      <c r="AJ70" s="156"/>
      <c r="AK70" s="156"/>
      <c r="AL70" s="156"/>
      <c r="AM70" s="535"/>
      <c r="AN70" s="156"/>
      <c r="AO70" s="156"/>
      <c r="AP70" s="435"/>
      <c r="AQ70" s="435"/>
      <c r="AR70" s="435"/>
      <c r="AS70" s="435"/>
      <c r="AT70" s="435"/>
      <c r="AU70" s="435"/>
      <c r="AV70" s="156"/>
      <c r="AW70" s="156"/>
      <c r="AX70" s="156"/>
      <c r="AY70" s="156"/>
      <c r="AZ70" s="156"/>
      <c r="BA70" s="156"/>
      <c r="BB70" s="156"/>
      <c r="BC70" s="156"/>
      <c r="BD70" s="156"/>
      <c r="BE70" s="279">
        <v>1</v>
      </c>
    </row>
    <row r="71" spans="1:89" ht="34.5" customHeight="1" x14ac:dyDescent="0.25">
      <c r="A71" s="25" t="s">
        <v>6115</v>
      </c>
      <c r="B71" s="451"/>
      <c r="C71" s="452" t="s">
        <v>8113</v>
      </c>
      <c r="E71" s="453" t="s">
        <v>324</v>
      </c>
      <c r="F71" s="453" t="s">
        <v>7912</v>
      </c>
      <c r="G71" s="453" t="s">
        <v>326</v>
      </c>
      <c r="H71" s="453" t="s">
        <v>327</v>
      </c>
      <c r="I71" s="454" t="s">
        <v>7930</v>
      </c>
      <c r="J71" s="453" t="s">
        <v>7937</v>
      </c>
      <c r="K71" s="455" t="s">
        <v>39</v>
      </c>
      <c r="L71" s="455" t="s">
        <v>338</v>
      </c>
      <c r="M71" s="455" t="s">
        <v>8114</v>
      </c>
      <c r="N71" s="455" t="s">
        <v>339</v>
      </c>
      <c r="O71" s="455" t="s">
        <v>7997</v>
      </c>
      <c r="P71" s="512" t="s">
        <v>8018</v>
      </c>
      <c r="Q71" s="512" t="s">
        <v>8023</v>
      </c>
      <c r="R71" s="512" t="s">
        <v>330</v>
      </c>
      <c r="S71" s="512" t="s">
        <v>8031</v>
      </c>
      <c r="T71" s="513" t="s">
        <v>8037</v>
      </c>
      <c r="U71" s="513" t="s">
        <v>8041</v>
      </c>
      <c r="V71" s="512" t="s">
        <v>343</v>
      </c>
      <c r="W71" s="457" t="s">
        <v>8115</v>
      </c>
      <c r="X71" s="457" t="s">
        <v>8116</v>
      </c>
      <c r="Y71" s="656" t="s">
        <v>8117</v>
      </c>
      <c r="Z71" s="656"/>
      <c r="AA71" s="656"/>
      <c r="AB71" s="656"/>
      <c r="AC71" s="656"/>
      <c r="AD71" s="657"/>
      <c r="AE71" s="156"/>
      <c r="AF71" s="156"/>
      <c r="AG71" s="156"/>
      <c r="AH71" s="156"/>
      <c r="AI71" s="156"/>
      <c r="AJ71" s="156"/>
      <c r="AK71" s="156"/>
      <c r="AL71" s="156"/>
      <c r="AM71" s="535"/>
      <c r="AN71" s="156"/>
      <c r="AO71" s="156"/>
      <c r="AP71" s="435"/>
      <c r="AQ71" s="435"/>
      <c r="AR71" s="435"/>
      <c r="AS71" s="435"/>
      <c r="AT71" s="435"/>
      <c r="AU71" s="435"/>
      <c r="AV71" s="156"/>
      <c r="AW71" s="156"/>
      <c r="AX71" s="156"/>
      <c r="AY71" s="156"/>
      <c r="AZ71" s="156"/>
      <c r="BA71" s="156"/>
      <c r="BB71" s="156"/>
      <c r="BC71" s="156"/>
      <c r="BD71" s="156"/>
      <c r="BE71" s="279">
        <v>1</v>
      </c>
    </row>
    <row r="72" spans="1:89" ht="30" customHeight="1" x14ac:dyDescent="0.25">
      <c r="A72" s="34" t="s">
        <v>471</v>
      </c>
      <c r="B72" s="451"/>
      <c r="C72" s="14" t="s">
        <v>7</v>
      </c>
      <c r="E72" s="459">
        <v>1</v>
      </c>
      <c r="F72" s="460" t="s">
        <v>8120</v>
      </c>
      <c r="G72" s="461" t="s">
        <v>8121</v>
      </c>
      <c r="H72" s="462"/>
      <c r="I72" s="463">
        <v>100</v>
      </c>
      <c r="J72" s="464"/>
      <c r="K72" s="461"/>
      <c r="L72" s="465" t="s">
        <v>8122</v>
      </c>
      <c r="M72" s="390"/>
      <c r="N72" s="390"/>
      <c r="O72" s="466"/>
      <c r="P72" s="517" t="s">
        <v>8211</v>
      </c>
      <c r="Q72" s="518"/>
      <c r="R72" s="514"/>
      <c r="S72" s="515"/>
      <c r="T72" s="515"/>
      <c r="U72" s="514"/>
      <c r="V72" s="525" t="s">
        <v>8058</v>
      </c>
      <c r="W72" s="511" t="s">
        <v>8203</v>
      </c>
      <c r="X72" s="509"/>
      <c r="Y72" s="509"/>
      <c r="Z72" s="510"/>
      <c r="AA72" s="510"/>
      <c r="AB72" s="510"/>
      <c r="AC72" s="510"/>
      <c r="AD72" s="510"/>
      <c r="AE72" s="156"/>
      <c r="AF72" s="156"/>
      <c r="AG72" s="156"/>
      <c r="AH72" s="536"/>
      <c r="AI72" s="536"/>
      <c r="AJ72" s="536"/>
      <c r="AK72" s="537"/>
      <c r="AL72" s="156"/>
      <c r="AM72" s="535"/>
      <c r="AN72" s="156"/>
      <c r="AO72" s="156"/>
      <c r="AP72" s="435"/>
      <c r="AQ72" s="435"/>
      <c r="AR72" s="435"/>
      <c r="AS72" s="435"/>
      <c r="AT72" s="435"/>
      <c r="AU72" s="435"/>
      <c r="AV72" s="156"/>
      <c r="AW72" s="156"/>
      <c r="AX72" s="156"/>
      <c r="AY72" s="156"/>
      <c r="AZ72" s="156"/>
      <c r="BA72" s="156"/>
      <c r="BB72" s="156"/>
      <c r="BC72" s="156"/>
      <c r="BD72" s="156"/>
      <c r="BE72" s="279">
        <v>1</v>
      </c>
    </row>
    <row r="73" spans="1:89" ht="21" customHeight="1" x14ac:dyDescent="0.25">
      <c r="A73" s="34" t="s">
        <v>472</v>
      </c>
      <c r="B73" s="451"/>
      <c r="C73" s="27" t="s">
        <v>8</v>
      </c>
      <c r="E73" s="475">
        <f>$E$72</f>
        <v>1</v>
      </c>
      <c r="F73" s="475" t="str">
        <f>IF($L$73="","",$F$72)</f>
        <v/>
      </c>
      <c r="G73" s="476" t="str">
        <f>IF($L$73="","",$G$72)</f>
        <v/>
      </c>
      <c r="H73" s="477" t="str">
        <f>IF($G$73="","",$H$72)</f>
        <v/>
      </c>
      <c r="I73" s="477" t="str">
        <f>IF($G$73="","",$I$72)</f>
        <v/>
      </c>
      <c r="J73" s="477" t="str">
        <f>IF($L$73="","",ROW(#REF!)-ROW(#REF!))</f>
        <v/>
      </c>
      <c r="K73" s="478"/>
      <c r="L73" s="34"/>
      <c r="M73" s="356"/>
      <c r="N73" s="479"/>
      <c r="O73" s="516"/>
      <c r="P73" s="514" t="str">
        <f>IF($L$73="","",IFERROR(INDEX(#REF!,MATCH($Q$73,#REF!,0)),"AUTRE"))</f>
        <v/>
      </c>
      <c r="Q73" s="519" t="s">
        <v>8212</v>
      </c>
      <c r="R73" s="514" t="str">
        <f>IF($L$73="","",IFERROR(INDEX(#REF!,MATCH($Q$73,#REF!,0)),"AUTRE"))</f>
        <v/>
      </c>
      <c r="S73" s="515" t="str">
        <f>IF($L$73="","",IFERROR(INDEX(#REF!,MATCH($Q$73,#REF!,0)),1))</f>
        <v/>
      </c>
      <c r="T73" s="515" t="str">
        <f t="shared" ref="T73" si="0">IF(OR(P73="",S73=""),"",P73*S73)</f>
        <v/>
      </c>
      <c r="U73" s="514" t="str">
        <f>IF($L$73="","",IFERROR(INDEX(#REF!,MATCH($Q$73,#REF!,0)),$Q$73))</f>
        <v/>
      </c>
      <c r="V73" s="520" t="str">
        <f>IF($L73="","",IF($Q73="QT. SUFFISANTE","OK",IF($P73="","TEXTE",IF(NOT(ISNUMBER($P73)),"QUANTITÉ À CONTRÔLER",IF(COUNTIF(#REF!,$Q73)=0,"UNITÉ À CONTRÔLER","OK")))))</f>
        <v/>
      </c>
      <c r="W73" s="510"/>
      <c r="X73" s="511" t="s">
        <v>8204</v>
      </c>
      <c r="Y73" s="509"/>
      <c r="Z73" s="509"/>
      <c r="AA73" s="509"/>
      <c r="AB73" s="509"/>
      <c r="AC73" s="509"/>
      <c r="AD73" s="509"/>
      <c r="AE73" s="156"/>
      <c r="AF73" s="156"/>
      <c r="AG73" s="156"/>
      <c r="AH73" s="156"/>
      <c r="AI73" s="156"/>
      <c r="AJ73" s="156"/>
      <c r="AK73" s="156"/>
      <c r="AL73" s="156"/>
      <c r="AM73" s="535"/>
      <c r="AN73" s="156"/>
      <c r="AO73" s="156"/>
      <c r="AP73" s="435"/>
      <c r="AQ73" s="435"/>
      <c r="AR73" s="435"/>
      <c r="AS73" s="435"/>
      <c r="AT73" s="435"/>
      <c r="AU73" s="435"/>
      <c r="AV73" s="156"/>
      <c r="AW73" s="156"/>
      <c r="AX73" s="156"/>
      <c r="AY73" s="156"/>
      <c r="AZ73" s="156"/>
      <c r="BA73" s="156"/>
      <c r="BB73" s="156"/>
      <c r="BC73" s="156"/>
      <c r="BD73" s="156"/>
      <c r="BE73" s="279">
        <v>1</v>
      </c>
    </row>
    <row r="74" spans="1:89" x14ac:dyDescent="0.25">
      <c r="A74" s="156"/>
      <c r="B74" s="156"/>
      <c r="C74" s="156"/>
      <c r="D74" s="156"/>
      <c r="E74" s="156"/>
      <c r="F74" s="156"/>
      <c r="G74" s="156"/>
      <c r="H74" s="156"/>
      <c r="I74" s="156"/>
      <c r="J74" s="156"/>
      <c r="K74" s="156"/>
      <c r="L74" s="156"/>
      <c r="M74" s="156"/>
      <c r="N74" s="156"/>
      <c r="O74" s="156"/>
      <c r="P74" s="521"/>
      <c r="Q74" s="521"/>
      <c r="R74" s="522" t="s">
        <v>8213</v>
      </c>
      <c r="S74" s="521"/>
      <c r="T74" s="521"/>
      <c r="U74" s="521"/>
      <c r="V74" s="521"/>
      <c r="W74" s="156"/>
      <c r="X74" s="156"/>
      <c r="Y74" s="511" t="s">
        <v>8205</v>
      </c>
      <c r="Z74" s="156"/>
      <c r="AA74" s="156"/>
      <c r="AB74" s="156"/>
      <c r="AC74" s="156"/>
      <c r="AD74" s="156"/>
      <c r="AE74" s="156"/>
      <c r="AF74" s="156"/>
      <c r="AG74" s="156"/>
      <c r="AH74" s="156"/>
      <c r="AI74" s="156"/>
      <c r="AJ74" s="156"/>
      <c r="AK74" s="156"/>
      <c r="AL74" s="156"/>
      <c r="AM74" s="535"/>
      <c r="AN74" s="156"/>
      <c r="AO74" s="156"/>
      <c r="AP74" s="156"/>
      <c r="AQ74" s="156"/>
      <c r="AR74" s="156"/>
      <c r="AS74" s="156"/>
      <c r="AT74" s="156"/>
      <c r="AU74" s="156"/>
      <c r="AV74" s="156"/>
      <c r="AW74" s="156"/>
      <c r="AX74" s="156"/>
      <c r="AY74" s="156"/>
      <c r="AZ74" s="156"/>
      <c r="BA74" s="156"/>
      <c r="BB74" s="156"/>
      <c r="BC74" s="156"/>
      <c r="BD74" s="156"/>
      <c r="BE74" s="279">
        <v>1</v>
      </c>
    </row>
    <row r="75" spans="1:89" ht="21" customHeight="1" x14ac:dyDescent="0.25">
      <c r="A75" s="156"/>
      <c r="B75" s="534"/>
      <c r="C75" s="156"/>
      <c r="D75" s="156"/>
      <c r="E75" s="435"/>
      <c r="F75" s="435"/>
      <c r="G75" s="435"/>
      <c r="H75" s="435"/>
      <c r="I75" s="435"/>
      <c r="J75" s="435"/>
      <c r="K75" s="435"/>
      <c r="L75" s="435"/>
      <c r="M75" s="435"/>
      <c r="N75" s="435"/>
      <c r="O75" s="435"/>
      <c r="P75" s="523"/>
      <c r="Q75" s="523"/>
      <c r="R75" s="523"/>
      <c r="S75" s="524" t="s">
        <v>8214</v>
      </c>
      <c r="T75" s="523"/>
      <c r="U75" s="523"/>
      <c r="V75" s="523"/>
      <c r="W75" s="435"/>
      <c r="X75" s="435"/>
      <c r="Y75" s="271"/>
      <c r="Z75" s="511" t="s">
        <v>8206</v>
      </c>
      <c r="AA75" s="156"/>
      <c r="AB75" s="156"/>
      <c r="AC75" s="156"/>
      <c r="AD75" s="156"/>
      <c r="AE75" s="156"/>
      <c r="AF75" s="156"/>
      <c r="AG75" s="156"/>
      <c r="AH75" s="435"/>
      <c r="AI75" s="435"/>
      <c r="AJ75" s="435"/>
      <c r="AK75" s="435"/>
      <c r="AL75" s="435"/>
      <c r="AM75" s="535"/>
      <c r="AN75" s="435"/>
      <c r="AO75" s="435"/>
      <c r="AP75" s="435"/>
      <c r="AQ75" s="435"/>
      <c r="AR75" s="435"/>
      <c r="AS75" s="435"/>
      <c r="AT75" s="435"/>
      <c r="AU75" s="435"/>
      <c r="AV75" s="156"/>
      <c r="AW75" s="156"/>
      <c r="AX75" s="156"/>
      <c r="AY75" s="156"/>
      <c r="AZ75" s="156"/>
      <c r="BA75" s="156"/>
      <c r="BB75" s="156"/>
      <c r="BC75" s="156"/>
      <c r="BD75" s="156"/>
      <c r="BE75" s="279">
        <v>1</v>
      </c>
    </row>
    <row r="76" spans="1:89" ht="21" customHeight="1" x14ac:dyDescent="0.25">
      <c r="A76" s="156"/>
      <c r="B76" s="534"/>
      <c r="C76" s="156"/>
      <c r="D76" s="156"/>
      <c r="E76" s="435"/>
      <c r="F76" s="435"/>
      <c r="G76" s="435"/>
      <c r="H76" s="435"/>
      <c r="I76" s="435"/>
      <c r="J76" s="435"/>
      <c r="K76" s="435"/>
      <c r="L76" s="435"/>
      <c r="M76" s="435"/>
      <c r="N76" s="435"/>
      <c r="O76" s="435"/>
      <c r="P76" s="523"/>
      <c r="Q76" s="523"/>
      <c r="R76" s="523"/>
      <c r="S76" s="523"/>
      <c r="T76" s="524" t="s">
        <v>8215</v>
      </c>
      <c r="U76" s="523"/>
      <c r="V76" s="523"/>
      <c r="W76" s="435"/>
      <c r="X76" s="435"/>
      <c r="Y76" s="435"/>
      <c r="AA76" s="511" t="s">
        <v>8207</v>
      </c>
      <c r="AB76" s="156"/>
      <c r="AC76" s="156"/>
      <c r="AD76" s="156"/>
      <c r="AE76" s="156"/>
      <c r="AF76" s="156"/>
      <c r="AG76" s="156"/>
      <c r="AH76" s="435"/>
      <c r="AI76" s="435"/>
      <c r="AJ76" s="435"/>
      <c r="AK76" s="435"/>
      <c r="AL76" s="435"/>
      <c r="AM76" s="535"/>
      <c r="AN76" s="435"/>
      <c r="AO76" s="435"/>
      <c r="AP76" s="435"/>
      <c r="AQ76" s="435"/>
      <c r="AR76" s="435"/>
      <c r="AS76" s="435"/>
      <c r="AT76" s="435"/>
      <c r="AU76" s="435"/>
      <c r="AV76" s="156"/>
      <c r="AW76" s="156"/>
      <c r="AX76" s="156"/>
      <c r="AY76" s="156"/>
      <c r="AZ76" s="156"/>
      <c r="BA76" s="156"/>
      <c r="BB76" s="156"/>
      <c r="BC76" s="156"/>
      <c r="BD76" s="156"/>
      <c r="BE76" s="279">
        <v>1</v>
      </c>
    </row>
    <row r="77" spans="1:89" ht="21" customHeight="1" x14ac:dyDescent="0.25">
      <c r="A77" s="156"/>
      <c r="B77" s="534"/>
      <c r="C77" s="156"/>
      <c r="D77" s="156"/>
      <c r="E77" s="156"/>
      <c r="F77" s="156"/>
      <c r="G77" s="156"/>
      <c r="H77" s="156"/>
      <c r="I77" s="156"/>
      <c r="J77" s="156"/>
      <c r="K77" s="156"/>
      <c r="L77" s="156"/>
      <c r="M77" s="156"/>
      <c r="N77" s="156"/>
      <c r="O77" s="156"/>
      <c r="P77" s="521"/>
      <c r="Q77" s="521"/>
      <c r="R77" s="521"/>
      <c r="S77" s="521"/>
      <c r="T77" s="521"/>
      <c r="U77" s="522" t="s">
        <v>8216</v>
      </c>
      <c r="V77" s="521"/>
      <c r="W77" s="156"/>
      <c r="X77" s="156"/>
      <c r="Y77" s="156"/>
      <c r="Z77" s="156"/>
      <c r="AB77" s="511" t="s">
        <v>8208</v>
      </c>
      <c r="AE77" s="156"/>
      <c r="AF77" s="156"/>
      <c r="AG77" s="156"/>
      <c r="AH77" s="156"/>
      <c r="AI77" s="156"/>
      <c r="AJ77" s="156"/>
      <c r="AK77" s="156"/>
      <c r="AL77" s="156"/>
      <c r="AM77" s="535"/>
      <c r="AN77" s="156"/>
      <c r="AO77" s="156"/>
      <c r="AP77" s="156"/>
      <c r="AQ77" s="156"/>
      <c r="AR77" s="156"/>
      <c r="AS77" s="156"/>
      <c r="AT77" s="156"/>
      <c r="AU77" s="156"/>
      <c r="AV77" s="156"/>
      <c r="AW77" s="156"/>
      <c r="AX77" s="156"/>
      <c r="AY77" s="156"/>
      <c r="AZ77" s="156"/>
      <c r="BA77" s="156"/>
      <c r="BB77" s="156"/>
      <c r="BC77" s="156"/>
      <c r="BD77" s="156"/>
      <c r="BE77" s="279">
        <v>1</v>
      </c>
    </row>
    <row r="78" spans="1:89" ht="21" customHeight="1" x14ac:dyDescent="0.25">
      <c r="A78" s="156"/>
      <c r="B78" s="534"/>
      <c r="C78" s="156"/>
      <c r="D78" s="156"/>
      <c r="E78" s="156"/>
      <c r="F78" s="156"/>
      <c r="G78" s="156"/>
      <c r="H78" s="156"/>
      <c r="I78" s="156"/>
      <c r="J78" s="156"/>
      <c r="K78" s="156"/>
      <c r="L78" s="156"/>
      <c r="M78" s="156"/>
      <c r="N78" s="156"/>
      <c r="O78" s="156"/>
      <c r="P78" s="521"/>
      <c r="Q78" s="521"/>
      <c r="R78" s="521"/>
      <c r="S78" s="521"/>
      <c r="T78" s="521"/>
      <c r="U78" s="521"/>
      <c r="V78" s="525" t="s">
        <v>8217</v>
      </c>
      <c r="W78" s="156"/>
      <c r="X78" s="156"/>
      <c r="Y78" s="156"/>
      <c r="Z78" s="156"/>
      <c r="AA78" s="156"/>
      <c r="AC78" s="511" t="s">
        <v>8209</v>
      </c>
      <c r="AD78" s="156"/>
      <c r="AE78" s="156"/>
      <c r="AF78" s="156"/>
      <c r="AG78" s="156"/>
      <c r="AH78" s="156"/>
      <c r="AI78" s="156"/>
      <c r="AJ78" s="156"/>
      <c r="AK78" s="156"/>
      <c r="AL78" s="156"/>
      <c r="AM78" s="535"/>
      <c r="AN78" s="156"/>
      <c r="AO78" s="156"/>
      <c r="AP78" s="156"/>
      <c r="AQ78" s="156"/>
      <c r="AR78" s="156"/>
      <c r="AS78" s="156"/>
      <c r="AT78" s="156"/>
      <c r="AU78" s="156"/>
      <c r="AV78" s="156"/>
      <c r="AW78" s="156"/>
      <c r="AX78" s="156"/>
      <c r="AY78" s="156"/>
      <c r="AZ78" s="156"/>
      <c r="BA78" s="156"/>
      <c r="BB78" s="156"/>
      <c r="BC78" s="156"/>
      <c r="BD78" s="156"/>
      <c r="BE78" s="279">
        <v>1</v>
      </c>
    </row>
    <row r="79" spans="1:89" ht="21" customHeight="1" x14ac:dyDescent="0.25">
      <c r="A79" s="156"/>
      <c r="B79" s="534"/>
      <c r="C79" s="156"/>
      <c r="D79" s="156"/>
      <c r="E79" s="156"/>
      <c r="F79" s="156"/>
      <c r="G79" s="156"/>
      <c r="H79" s="156"/>
      <c r="I79" s="156"/>
      <c r="J79" s="156"/>
      <c r="K79" s="156"/>
      <c r="L79" s="156"/>
      <c r="M79" s="156"/>
      <c r="N79" s="156"/>
      <c r="O79" s="156"/>
      <c r="P79" s="156"/>
      <c r="Q79" s="156"/>
      <c r="R79" s="156"/>
      <c r="S79" s="156"/>
      <c r="T79" s="156"/>
      <c r="U79" s="156"/>
      <c r="V79" s="156"/>
      <c r="W79" s="156"/>
      <c r="X79" s="156"/>
      <c r="Y79" s="156"/>
      <c r="Z79" s="156"/>
      <c r="AA79" s="156"/>
      <c r="AB79" s="156"/>
      <c r="AC79" s="156"/>
      <c r="AD79" s="511" t="s">
        <v>8210</v>
      </c>
      <c r="AE79" s="156"/>
      <c r="AF79" s="156"/>
      <c r="AG79" s="156"/>
      <c r="AH79" s="156"/>
      <c r="AI79" s="156"/>
      <c r="AJ79" s="156"/>
      <c r="AK79" s="156"/>
      <c r="AL79" s="156"/>
      <c r="AM79" s="535"/>
      <c r="AN79" s="156"/>
      <c r="AO79" s="156"/>
      <c r="AP79" s="156"/>
      <c r="AQ79" s="156"/>
      <c r="AR79" s="156"/>
      <c r="AS79" s="156"/>
      <c r="AT79" s="156"/>
      <c r="AU79" s="156"/>
      <c r="AV79" s="156"/>
      <c r="AW79" s="156"/>
      <c r="AX79" s="156"/>
      <c r="AY79" s="156"/>
      <c r="AZ79" s="156"/>
      <c r="BA79" s="156"/>
      <c r="BB79" s="156"/>
      <c r="BC79" s="156"/>
      <c r="BD79" s="156"/>
      <c r="BE79" s="279">
        <v>1</v>
      </c>
    </row>
    <row r="80" spans="1:89" ht="21" customHeight="1" x14ac:dyDescent="0.25">
      <c r="A80" s="156"/>
      <c r="B80" s="534"/>
      <c r="C80" s="156"/>
      <c r="D80" s="156"/>
      <c r="E80" s="156"/>
      <c r="F80" s="156"/>
      <c r="G80" s="156"/>
      <c r="H80" s="156"/>
      <c r="I80" s="156"/>
      <c r="J80" s="156"/>
      <c r="K80" s="156"/>
      <c r="L80" s="156"/>
      <c r="M80" s="156"/>
      <c r="N80" s="156"/>
      <c r="O80" s="156"/>
      <c r="P80" s="156"/>
      <c r="Q80" s="156"/>
      <c r="R80" s="156"/>
      <c r="S80" s="156"/>
      <c r="T80" s="156"/>
      <c r="U80" s="156"/>
      <c r="V80" s="156"/>
      <c r="W80" s="156"/>
      <c r="X80" s="156"/>
      <c r="Y80" s="156"/>
      <c r="Z80" s="156"/>
      <c r="AA80" s="156"/>
      <c r="AB80" s="156"/>
      <c r="AC80" s="156"/>
      <c r="AD80" s="156"/>
      <c r="AE80" s="156"/>
      <c r="AF80" s="156"/>
      <c r="AG80" s="156"/>
      <c r="AH80" s="156"/>
      <c r="AI80" s="156"/>
      <c r="AJ80" s="156"/>
      <c r="AK80" s="156"/>
      <c r="AL80" s="156"/>
      <c r="AM80" s="535"/>
      <c r="AN80" s="156"/>
      <c r="AO80" s="156"/>
      <c r="AP80" s="156"/>
      <c r="AQ80" s="156"/>
      <c r="AR80" s="156"/>
      <c r="AS80" s="156"/>
      <c r="AT80" s="156"/>
      <c r="AU80" s="156"/>
      <c r="AV80" s="156"/>
      <c r="AW80" s="156"/>
      <c r="AX80" s="156"/>
      <c r="AY80" s="156"/>
      <c r="AZ80" s="156"/>
      <c r="BA80" s="156"/>
      <c r="BB80" s="156"/>
      <c r="BC80" s="156"/>
      <c r="BD80" s="156"/>
      <c r="BE80" s="279">
        <v>1</v>
      </c>
    </row>
    <row r="81" spans="1:57" ht="21" customHeight="1" x14ac:dyDescent="0.25">
      <c r="A81" s="156"/>
      <c r="B81" s="156"/>
      <c r="C81" s="156"/>
      <c r="D81" s="156"/>
      <c r="E81" s="156"/>
      <c r="F81" s="156"/>
      <c r="G81" s="156"/>
      <c r="H81" s="156"/>
      <c r="I81" s="156"/>
      <c r="J81" s="156"/>
      <c r="K81" s="156"/>
      <c r="L81" s="156"/>
      <c r="M81" s="156"/>
      <c r="N81" s="156"/>
      <c r="O81" s="156"/>
      <c r="P81" s="156"/>
      <c r="Q81" s="156"/>
      <c r="R81" s="156"/>
      <c r="S81" s="156"/>
      <c r="T81" s="156"/>
      <c r="U81" s="156"/>
      <c r="V81" s="156"/>
      <c r="W81" s="156"/>
      <c r="X81" s="156"/>
      <c r="Y81" s="156"/>
      <c r="Z81" s="156"/>
      <c r="AA81" s="156"/>
      <c r="AB81" s="156"/>
      <c r="AC81" s="156"/>
      <c r="AD81" s="156"/>
      <c r="AE81" s="156"/>
      <c r="AF81" s="156"/>
      <c r="AG81" s="156"/>
      <c r="AH81" s="156"/>
      <c r="AI81" s="156"/>
      <c r="AJ81" s="156"/>
      <c r="AK81" s="156"/>
      <c r="AL81" s="156"/>
      <c r="AM81" s="535"/>
      <c r="AN81" s="156"/>
      <c r="AO81" s="156"/>
      <c r="AP81" s="156"/>
      <c r="AQ81" s="156"/>
      <c r="AR81" s="156"/>
      <c r="AS81" s="156"/>
      <c r="AT81" s="156"/>
      <c r="AU81" s="156"/>
      <c r="AV81" s="156"/>
      <c r="AW81" s="156"/>
      <c r="AX81" s="156"/>
      <c r="AY81" s="156"/>
      <c r="AZ81" s="156"/>
      <c r="BA81" s="156"/>
      <c r="BB81" s="156"/>
      <c r="BC81" s="156"/>
      <c r="BD81" s="156"/>
      <c r="BE81" s="504" t="s">
        <v>5889</v>
      </c>
    </row>
    <row r="82" spans="1:57" ht="21" customHeight="1" x14ac:dyDescent="0.25">
      <c r="A82" s="279">
        <v>1</v>
      </c>
      <c r="B82" s="279">
        <v>1</v>
      </c>
      <c r="C82" s="279">
        <v>1</v>
      </c>
      <c r="D82" s="279">
        <v>1</v>
      </c>
      <c r="E82" s="279">
        <v>1</v>
      </c>
      <c r="F82" s="279">
        <v>1</v>
      </c>
      <c r="G82" s="279">
        <v>1</v>
      </c>
      <c r="H82" s="279">
        <v>1</v>
      </c>
      <c r="I82" s="279">
        <v>1</v>
      </c>
      <c r="J82" s="279">
        <v>1</v>
      </c>
      <c r="K82" s="279">
        <v>1</v>
      </c>
      <c r="L82" s="279">
        <v>1</v>
      </c>
      <c r="M82" s="279">
        <v>1</v>
      </c>
      <c r="N82" s="279">
        <v>1</v>
      </c>
      <c r="O82" s="279">
        <v>1</v>
      </c>
      <c r="P82" s="279">
        <v>1</v>
      </c>
      <c r="Q82" s="279">
        <v>1</v>
      </c>
      <c r="R82" s="279">
        <v>1</v>
      </c>
      <c r="S82" s="279">
        <v>1</v>
      </c>
      <c r="T82" s="279">
        <v>1</v>
      </c>
      <c r="U82" s="279">
        <v>1</v>
      </c>
      <c r="V82" s="279">
        <v>1</v>
      </c>
      <c r="W82" s="279">
        <v>1</v>
      </c>
      <c r="X82" s="279">
        <v>1</v>
      </c>
      <c r="Y82" s="279">
        <v>1</v>
      </c>
      <c r="Z82" s="279">
        <v>1</v>
      </c>
      <c r="AA82" s="279">
        <v>1</v>
      </c>
      <c r="AB82" s="279">
        <v>1</v>
      </c>
      <c r="AC82" s="279">
        <v>1</v>
      </c>
      <c r="AD82" s="279">
        <v>1</v>
      </c>
      <c r="AE82" s="279">
        <v>1</v>
      </c>
      <c r="AF82" s="279">
        <v>1</v>
      </c>
      <c r="AG82" s="279">
        <v>1</v>
      </c>
      <c r="AH82" s="279">
        <v>1</v>
      </c>
      <c r="AI82" s="279">
        <v>1</v>
      </c>
      <c r="AJ82" s="279">
        <v>1</v>
      </c>
      <c r="AK82" s="279">
        <v>1</v>
      </c>
      <c r="AL82" s="279">
        <v>1</v>
      </c>
      <c r="AM82" s="279">
        <v>1</v>
      </c>
      <c r="AN82" s="279">
        <v>1</v>
      </c>
      <c r="AO82" s="279">
        <v>1</v>
      </c>
      <c r="AP82" s="279">
        <v>1</v>
      </c>
      <c r="AQ82" s="279">
        <v>1</v>
      </c>
      <c r="AR82" s="279">
        <v>1</v>
      </c>
      <c r="AS82" s="279">
        <v>1</v>
      </c>
      <c r="AT82" s="279">
        <v>1</v>
      </c>
      <c r="AU82" s="279">
        <v>1</v>
      </c>
      <c r="AV82" s="279">
        <v>1</v>
      </c>
      <c r="AW82" s="279">
        <v>1</v>
      </c>
      <c r="AX82" s="279">
        <v>1</v>
      </c>
      <c r="AY82" s="279">
        <v>1</v>
      </c>
      <c r="AZ82" s="279">
        <v>1</v>
      </c>
      <c r="BA82" s="279">
        <v>1</v>
      </c>
      <c r="BB82" s="279">
        <v>1</v>
      </c>
      <c r="BC82" s="279">
        <v>1</v>
      </c>
      <c r="BD82" s="279">
        <v>1</v>
      </c>
      <c r="BE82" s="505" t="str">
        <f>ADDRESS(ROW(),COLUMN(),4)</f>
        <v>BE82</v>
      </c>
    </row>
  </sheetData>
  <mergeCells count="73">
    <mergeCell ref="K67:L68"/>
    <mergeCell ref="P43:Q43"/>
    <mergeCell ref="Y71:AD71"/>
    <mergeCell ref="P46:Q46"/>
    <mergeCell ref="W55:AK65"/>
    <mergeCell ref="W66:AK67"/>
    <mergeCell ref="D44:E45"/>
    <mergeCell ref="F44:J45"/>
    <mergeCell ref="P44:Q44"/>
    <mergeCell ref="P45:Q45"/>
    <mergeCell ref="D37:E38"/>
    <mergeCell ref="F37:J38"/>
    <mergeCell ref="P37:Q37"/>
    <mergeCell ref="P38:Q38"/>
    <mergeCell ref="D39:E40"/>
    <mergeCell ref="F39:J40"/>
    <mergeCell ref="P39:Q39"/>
    <mergeCell ref="P40:Q40"/>
    <mergeCell ref="D41:J41"/>
    <mergeCell ref="P41:Q41"/>
    <mergeCell ref="D42:E43"/>
    <mergeCell ref="F42:J43"/>
    <mergeCell ref="D33:E34"/>
    <mergeCell ref="F33:J34"/>
    <mergeCell ref="P33:Q33"/>
    <mergeCell ref="P34:Q34"/>
    <mergeCell ref="D35:E36"/>
    <mergeCell ref="F35:J36"/>
    <mergeCell ref="P35:Q35"/>
    <mergeCell ref="D30:J30"/>
    <mergeCell ref="P30:Q30"/>
    <mergeCell ref="D31:E32"/>
    <mergeCell ref="F31:J32"/>
    <mergeCell ref="P31:Q31"/>
    <mergeCell ref="P32:Q32"/>
    <mergeCell ref="D28:D29"/>
    <mergeCell ref="F28:J29"/>
    <mergeCell ref="P29:Q29"/>
    <mergeCell ref="D22:D23"/>
    <mergeCell ref="E22:E23"/>
    <mergeCell ref="F22:J23"/>
    <mergeCell ref="D24:D25"/>
    <mergeCell ref="E24:E25"/>
    <mergeCell ref="F24:J25"/>
    <mergeCell ref="D26:D27"/>
    <mergeCell ref="E26:E27"/>
    <mergeCell ref="F26:J27"/>
    <mergeCell ref="P26:Q26"/>
    <mergeCell ref="P27:Q27"/>
    <mergeCell ref="P17:Q17"/>
    <mergeCell ref="D18:D19"/>
    <mergeCell ref="E18:E19"/>
    <mergeCell ref="F18:J19"/>
    <mergeCell ref="D20:D21"/>
    <mergeCell ref="E20:E21"/>
    <mergeCell ref="F20:J21"/>
    <mergeCell ref="D12:J13"/>
    <mergeCell ref="D15:J15"/>
    <mergeCell ref="D16:D17"/>
    <mergeCell ref="E16:E17"/>
    <mergeCell ref="F16:J17"/>
    <mergeCell ref="D10:J11"/>
    <mergeCell ref="P10:Q10"/>
    <mergeCell ref="D6:J6"/>
    <mergeCell ref="P6:Q6"/>
    <mergeCell ref="D7:J8"/>
    <mergeCell ref="P7:Q7"/>
    <mergeCell ref="P8:Q8"/>
    <mergeCell ref="D1:J1"/>
    <mergeCell ref="D2:J4"/>
    <mergeCell ref="P3:Q3"/>
    <mergeCell ref="P5:Q5"/>
    <mergeCell ref="P9:Q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8CE03-EB5D-4460-AE06-C52859852DF7}">
  <dimension ref="A1:DG454"/>
  <sheetViews>
    <sheetView tabSelected="1" workbookViewId="0">
      <selection activeCell="J11" sqref="J11"/>
    </sheetView>
  </sheetViews>
  <sheetFormatPr baseColWidth="10" defaultColWidth="10.28515625" defaultRowHeight="15.75" x14ac:dyDescent="0.25"/>
  <cols>
    <col min="1" max="1" width="23.7109375" style="151" customWidth="1"/>
    <col min="2" max="2" width="40.28515625" style="151" customWidth="1"/>
    <col min="3" max="3" width="13.140625" style="151" customWidth="1"/>
    <col min="4" max="4" width="16.28515625" style="151" customWidth="1"/>
    <col min="5" max="5" width="15.140625" style="151" customWidth="1"/>
    <col min="6" max="6" width="18.85546875" style="151" customWidth="1"/>
    <col min="7" max="7" width="15.42578125" style="151" customWidth="1"/>
    <col min="8" max="8" width="13.140625" style="151" customWidth="1"/>
    <col min="9" max="9" width="19.7109375" style="151" customWidth="1"/>
    <col min="10" max="12" width="10.28515625" style="151"/>
    <col min="13" max="13" width="31.140625" style="151" customWidth="1"/>
    <col min="14" max="14" width="14.85546875" style="151" customWidth="1"/>
    <col min="15" max="15" width="10.28515625" style="151"/>
    <col min="16" max="17" width="14.85546875" style="151" customWidth="1"/>
    <col min="18" max="18" width="41.7109375" style="151" customWidth="1"/>
    <col min="19" max="19" width="10.5703125" style="151" customWidth="1"/>
    <col min="20" max="20" width="18.85546875" style="151" customWidth="1"/>
    <col min="21" max="21" width="7.42578125" style="151" customWidth="1"/>
    <col min="22" max="22" width="16.85546875" style="151" customWidth="1"/>
    <col min="23" max="23" width="17.7109375" style="151" customWidth="1"/>
    <col min="24" max="24" width="55.7109375" style="151" customWidth="1"/>
    <col min="25" max="25" width="12" style="151" customWidth="1"/>
    <col min="26" max="26" width="10.85546875" style="151" customWidth="1"/>
    <col min="27" max="27" width="11.42578125" style="151" customWidth="1"/>
    <col min="28" max="28" width="23.7109375" style="151" customWidth="1"/>
    <col min="29" max="29" width="46.5703125" style="151" customWidth="1"/>
    <col min="30" max="30" width="25.7109375" style="151" customWidth="1"/>
    <col min="31" max="31" width="18.5703125" style="151" customWidth="1"/>
    <col min="32" max="34" width="18.28515625" style="151" customWidth="1"/>
    <col min="35" max="35" width="16.85546875" style="151" customWidth="1"/>
    <col min="36" max="38" width="16" style="151" customWidth="1"/>
    <col min="39" max="39" width="32.28515625" style="151" customWidth="1"/>
    <col min="40" max="40" width="16" style="151" customWidth="1"/>
    <col min="41" max="41" width="24.5703125" style="151" customWidth="1"/>
    <col min="42" max="42" width="20.5703125" style="151" customWidth="1"/>
    <col min="43" max="50" width="10.28515625" style="151"/>
    <col min="51" max="51" width="20.28515625" style="151" customWidth="1"/>
    <col min="52" max="52" width="16" style="151" customWidth="1"/>
    <col min="53" max="53" width="35.42578125" style="151" customWidth="1"/>
    <col min="54" max="54" width="17.140625" style="151" customWidth="1"/>
    <col min="55" max="55" width="13.7109375" style="151" customWidth="1"/>
    <col min="56" max="56" width="10.28515625" style="92"/>
    <col min="57" max="57" width="11.42578125" style="151" customWidth="1"/>
    <col min="58" max="58" width="14.85546875" style="151" customWidth="1"/>
    <col min="59" max="59" width="3.42578125" style="151" customWidth="1"/>
    <col min="60" max="60" width="11.42578125" style="151" customWidth="1"/>
    <col min="61" max="61" width="13.7109375" style="151" customWidth="1"/>
    <col min="62" max="62" width="11.42578125" style="151" customWidth="1"/>
    <col min="63" max="64" width="14.85546875" style="151" customWidth="1"/>
    <col min="65" max="16384" width="10.28515625" style="151"/>
  </cols>
  <sheetData>
    <row r="1" spans="1:111" ht="48" customHeight="1" x14ac:dyDescent="0.25">
      <c r="A1" s="702" t="str">
        <f>"RECETTES DE COLLECTIVITÉ &gt; HORS D'ŒUVRES FROIDS"&amp;" - "&amp;B6</f>
        <v>RECETTES DE COLLECTIVITÉ &gt; HORS D'ŒUVRES FROIDS - SALADE COLESLAW</v>
      </c>
      <c r="B1" s="703"/>
      <c r="C1" s="703"/>
      <c r="D1" s="703"/>
      <c r="E1" s="703"/>
      <c r="F1" s="703"/>
      <c r="G1" s="703"/>
      <c r="H1" s="703"/>
      <c r="I1" s="704"/>
      <c r="J1" s="271"/>
      <c r="K1" s="272" t="s">
        <v>7897</v>
      </c>
      <c r="L1" s="273"/>
      <c r="M1" s="273"/>
      <c r="N1" s="273"/>
      <c r="O1" s="273"/>
      <c r="P1" s="274"/>
      <c r="Q1" s="274"/>
      <c r="R1" s="274"/>
      <c r="S1" s="274"/>
      <c r="T1" s="274"/>
      <c r="U1" s="538" t="s">
        <v>7898</v>
      </c>
      <c r="V1" s="539"/>
      <c r="W1" s="539"/>
      <c r="X1" s="539"/>
      <c r="Y1" s="539"/>
      <c r="Z1" s="539"/>
      <c r="AA1" s="540"/>
      <c r="AC1" s="275"/>
      <c r="AD1" s="276" t="s">
        <v>7899</v>
      </c>
      <c r="AE1" s="277"/>
      <c r="AF1" s="277"/>
      <c r="AG1" s="277"/>
      <c r="AH1" s="277"/>
      <c r="AI1" s="277"/>
      <c r="AJ1" s="277"/>
      <c r="AK1" s="277"/>
      <c r="AL1" s="277"/>
      <c r="AM1" s="277"/>
      <c r="AN1" s="277"/>
      <c r="AO1" s="277"/>
      <c r="AP1" s="277"/>
      <c r="AQ1" s="277"/>
      <c r="AS1" s="278" t="s">
        <v>0</v>
      </c>
      <c r="BB1" s="271"/>
      <c r="BC1" s="271"/>
      <c r="BD1" s="279">
        <v>1</v>
      </c>
      <c r="BE1" s="271"/>
      <c r="BF1" s="271"/>
      <c r="BG1" s="271"/>
      <c r="BH1" s="271"/>
      <c r="BI1" s="271"/>
      <c r="BJ1" s="271"/>
      <c r="BK1" s="271"/>
      <c r="BL1" s="271"/>
    </row>
    <row r="2" spans="1:111" ht="21.95" customHeight="1" x14ac:dyDescent="0.25">
      <c r="A2" s="705" t="s">
        <v>7900</v>
      </c>
      <c r="B2" s="706"/>
      <c r="C2" s="706"/>
      <c r="D2" s="706"/>
      <c r="E2" s="706"/>
      <c r="F2" s="706"/>
      <c r="G2" s="706"/>
      <c r="H2" s="706"/>
      <c r="I2" s="707"/>
      <c r="J2" s="271"/>
      <c r="K2" s="280"/>
      <c r="L2" s="280"/>
      <c r="M2" s="280"/>
      <c r="N2" s="281" t="s">
        <v>8218</v>
      </c>
      <c r="O2" s="280"/>
      <c r="P2" s="274"/>
      <c r="Q2" s="274"/>
      <c r="R2" s="274"/>
      <c r="S2" s="274"/>
      <c r="T2" s="274"/>
      <c r="U2" s="541" t="s">
        <v>7901</v>
      </c>
      <c r="V2" s="542"/>
      <c r="W2" s="542"/>
      <c r="X2" s="542"/>
      <c r="Y2" s="542"/>
      <c r="Z2" s="542"/>
      <c r="AA2" s="543"/>
      <c r="AC2" s="275"/>
      <c r="AD2" s="282" t="s">
        <v>7902</v>
      </c>
      <c r="AE2" s="283"/>
      <c r="AF2" s="283"/>
      <c r="AG2" s="283"/>
      <c r="AH2" s="283"/>
      <c r="AI2" s="283"/>
      <c r="AJ2" s="283"/>
      <c r="AK2" s="283"/>
      <c r="AL2" s="283"/>
      <c r="AM2" s="283"/>
      <c r="AN2" s="283"/>
      <c r="AO2" s="283"/>
      <c r="AP2" s="283"/>
      <c r="AQ2" s="283"/>
      <c r="BC2" s="271"/>
      <c r="BD2" s="279">
        <v>1</v>
      </c>
      <c r="BE2" s="271"/>
      <c r="BF2" s="271"/>
      <c r="BG2" s="271"/>
      <c r="BH2" s="271"/>
      <c r="BI2" s="271"/>
      <c r="BJ2" s="271"/>
      <c r="BK2" s="271"/>
      <c r="BL2" s="271"/>
    </row>
    <row r="3" spans="1:111" ht="21.95" customHeight="1" thickBot="1" x14ac:dyDescent="0.3">
      <c r="A3" s="152" t="s">
        <v>7903</v>
      </c>
      <c r="B3" s="284"/>
      <c r="C3" s="284"/>
      <c r="D3" s="284"/>
      <c r="E3" s="284"/>
      <c r="F3" s="284"/>
      <c r="G3" s="284"/>
      <c r="H3" s="284"/>
      <c r="I3" s="284"/>
      <c r="J3" s="271"/>
      <c r="K3" s="285" t="s">
        <v>344</v>
      </c>
      <c r="R3" s="274"/>
      <c r="S3" s="274"/>
      <c r="T3" s="274"/>
      <c r="U3" s="544"/>
      <c r="V3" s="545"/>
      <c r="W3" s="545"/>
      <c r="X3" s="545"/>
      <c r="Y3" s="545"/>
      <c r="Z3" s="545"/>
      <c r="AA3" s="546"/>
      <c r="AC3" s="275"/>
      <c r="AD3" s="286" t="s">
        <v>5975</v>
      </c>
      <c r="AE3" s="287" t="s">
        <v>7904</v>
      </c>
      <c r="AF3" s="287" t="s">
        <v>7905</v>
      </c>
      <c r="AG3" s="550" t="s">
        <v>7906</v>
      </c>
      <c r="AH3" s="550"/>
      <c r="AI3" s="288" t="s">
        <v>7907</v>
      </c>
      <c r="AJ3" s="289"/>
      <c r="AK3" s="289"/>
      <c r="AL3" s="289"/>
      <c r="AM3" s="290"/>
      <c r="AN3" s="290"/>
      <c r="AO3" s="290"/>
      <c r="AP3" s="290"/>
      <c r="AQ3" s="290"/>
      <c r="BC3" s="271"/>
      <c r="BD3" s="279">
        <v>1</v>
      </c>
      <c r="BE3" s="271"/>
      <c r="BF3" s="271"/>
      <c r="BG3" s="271"/>
      <c r="BH3" s="271"/>
      <c r="BI3" s="271"/>
      <c r="BJ3" s="271"/>
      <c r="BK3" s="271"/>
      <c r="BL3" s="271"/>
    </row>
    <row r="4" spans="1:111" ht="21.95" customHeight="1" x14ac:dyDescent="0.25">
      <c r="A4" s="708" t="s">
        <v>328</v>
      </c>
      <c r="B4" s="709"/>
      <c r="C4" s="709"/>
      <c r="D4" s="709"/>
      <c r="E4" s="709"/>
      <c r="F4" s="709"/>
      <c r="G4" s="709"/>
      <c r="H4" s="709"/>
      <c r="I4" s="710"/>
      <c r="J4" s="271"/>
      <c r="K4" s="291" t="s">
        <v>7908</v>
      </c>
      <c r="L4" s="292"/>
      <c r="M4" s="292"/>
      <c r="N4" s="292"/>
      <c r="O4" s="292"/>
      <c r="P4" s="292"/>
      <c r="Q4" s="292"/>
      <c r="R4" s="711" t="s">
        <v>5849</v>
      </c>
      <c r="S4" s="711"/>
      <c r="T4" s="293" t="str">
        <f>$BD$432</f>
        <v>BD432</v>
      </c>
      <c r="U4" s="547"/>
      <c r="V4" s="548"/>
      <c r="W4" s="548"/>
      <c r="X4" s="548"/>
      <c r="Y4" s="548"/>
      <c r="Z4" s="548"/>
      <c r="AA4" s="549"/>
      <c r="AC4" s="275"/>
      <c r="AD4" s="294" t="s">
        <v>7909</v>
      </c>
      <c r="AE4" s="295"/>
      <c r="AF4" s="296"/>
      <c r="AG4" s="295"/>
      <c r="AH4" s="295"/>
      <c r="AI4" s="295"/>
      <c r="AJ4" s="295"/>
      <c r="AK4" s="295"/>
      <c r="AL4" s="295"/>
      <c r="AM4" s="295"/>
      <c r="AN4" s="295"/>
      <c r="AO4" s="295"/>
      <c r="AP4" s="295"/>
      <c r="AQ4" s="295"/>
      <c r="BC4" s="271"/>
      <c r="BD4" s="279">
        <v>1</v>
      </c>
      <c r="BE4" s="271"/>
      <c r="BF4" s="271"/>
      <c r="BG4" s="271"/>
    </row>
    <row r="5" spans="1:111" ht="21.95" customHeight="1" x14ac:dyDescent="0.25">
      <c r="A5" s="297" t="s">
        <v>8170</v>
      </c>
      <c r="B5" s="153">
        <v>1</v>
      </c>
      <c r="C5" s="712" t="s">
        <v>7911</v>
      </c>
      <c r="D5" s="712"/>
      <c r="E5" s="712"/>
      <c r="F5" s="712"/>
      <c r="G5" s="712"/>
      <c r="H5" s="712"/>
      <c r="I5" s="713"/>
      <c r="J5" s="271"/>
      <c r="K5" s="298" t="s">
        <v>324</v>
      </c>
      <c r="L5" s="298" t="s">
        <v>7912</v>
      </c>
      <c r="M5" s="298" t="s">
        <v>326</v>
      </c>
      <c r="N5" s="298" t="s">
        <v>7913</v>
      </c>
      <c r="O5" s="298" t="s">
        <v>7914</v>
      </c>
      <c r="P5" s="298" t="s">
        <v>333</v>
      </c>
      <c r="Q5" s="298" t="s">
        <v>327</v>
      </c>
      <c r="R5" s="711"/>
      <c r="S5" s="711"/>
      <c r="U5" s="299"/>
      <c r="V5" s="271"/>
      <c r="W5" s="271"/>
      <c r="X5" s="271"/>
      <c r="Y5" s="271"/>
      <c r="Z5" s="271"/>
      <c r="AA5" s="300"/>
      <c r="AC5" s="275"/>
      <c r="AD5" s="301" t="s">
        <v>7858</v>
      </c>
      <c r="AE5" s="302" t="s">
        <v>7910</v>
      </c>
      <c r="AF5" s="303" t="s">
        <v>7915</v>
      </c>
      <c r="AG5" s="551" t="s">
        <v>281</v>
      </c>
      <c r="AH5" s="551"/>
      <c r="AI5" s="304" t="s">
        <v>7916</v>
      </c>
      <c r="AJ5" s="304"/>
      <c r="AK5" s="304"/>
      <c r="AL5" s="304"/>
      <c r="AM5" s="304"/>
      <c r="AN5" s="304"/>
      <c r="AO5" s="304"/>
      <c r="AP5" s="304"/>
      <c r="AQ5" s="304"/>
      <c r="BC5" s="271"/>
      <c r="BD5" s="279">
        <v>1</v>
      </c>
      <c r="BE5" s="271"/>
      <c r="BF5" s="271"/>
      <c r="BG5" s="271"/>
    </row>
    <row r="6" spans="1:111" ht="21.95" customHeight="1" x14ac:dyDescent="0.25">
      <c r="A6" s="305" t="s">
        <v>329</v>
      </c>
      <c r="B6" s="698" t="str" cm="1">
        <f t="array" ref="B6">IFERROR(INDEX($M$6:$M$15,$B$5),"")</f>
        <v>SALADE COLESLAW</v>
      </c>
      <c r="C6" s="698"/>
      <c r="D6" s="698"/>
      <c r="E6" s="698"/>
      <c r="F6" s="698"/>
      <c r="G6" s="698"/>
      <c r="H6" s="698"/>
      <c r="I6" s="699"/>
      <c r="J6" s="271"/>
      <c r="K6" s="154">
        <f>$V$72</f>
        <v>1</v>
      </c>
      <c r="L6" s="306" t="str">
        <f>$W$72</f>
        <v>N° 11</v>
      </c>
      <c r="M6" s="307" t="str">
        <f>$X$72</f>
        <v>SALADE COLESLAW</v>
      </c>
      <c r="N6" s="308">
        <f>IF(AK72="","",AK72)</f>
        <v>4</v>
      </c>
      <c r="O6" s="308" t="str">
        <f>IF(AL72="","",AL72)</f>
        <v>kg</v>
      </c>
      <c r="P6" s="309">
        <f>$Z$72</f>
        <v>100</v>
      </c>
      <c r="Q6" s="310">
        <f>$Y$72</f>
        <v>28</v>
      </c>
      <c r="U6" s="558" t="s">
        <v>7917</v>
      </c>
      <c r="V6" s="559"/>
      <c r="W6" s="559"/>
      <c r="X6" s="559"/>
      <c r="Y6" s="559"/>
      <c r="Z6" s="559"/>
      <c r="AA6" s="560"/>
      <c r="AC6" s="275"/>
      <c r="AD6" s="301" t="s">
        <v>7858</v>
      </c>
      <c r="AE6" s="302" t="s">
        <v>7912</v>
      </c>
      <c r="AF6" s="303" t="s">
        <v>7918</v>
      </c>
      <c r="AG6" s="561" t="s">
        <v>7919</v>
      </c>
      <c r="AH6" s="561"/>
      <c r="AI6" s="311" t="s">
        <v>7920</v>
      </c>
      <c r="AJ6" s="311"/>
      <c r="AK6" s="311"/>
      <c r="AL6" s="311"/>
      <c r="AM6" s="311"/>
      <c r="AN6" s="311"/>
      <c r="AO6" s="311"/>
      <c r="AP6" s="311"/>
      <c r="AQ6" s="311"/>
      <c r="BC6" s="271"/>
      <c r="BD6" s="279">
        <v>1</v>
      </c>
      <c r="BE6" s="271"/>
      <c r="BF6" s="271"/>
      <c r="BG6" s="271"/>
    </row>
    <row r="7" spans="1:111" ht="15.75" customHeight="1" x14ac:dyDescent="0.25">
      <c r="A7" s="312" t="s">
        <v>325</v>
      </c>
      <c r="B7" s="700" t="str" cm="1">
        <f t="array" ref="B7">IFERROR(INDEX($L$6:$L$15,$B$5),"")</f>
        <v>N° 11</v>
      </c>
      <c r="C7" s="700"/>
      <c r="D7" s="313" t="s">
        <v>330</v>
      </c>
      <c r="E7" s="700" t="s">
        <v>3</v>
      </c>
      <c r="F7" s="700"/>
      <c r="G7" s="313" t="s">
        <v>327</v>
      </c>
      <c r="H7" s="700" cm="1">
        <f t="array" ref="H7">IFERROR(INDEX($Y$72:$Y$430,1+($B$5-1)*36),"")</f>
        <v>28</v>
      </c>
      <c r="I7" s="701"/>
      <c r="J7" s="271"/>
      <c r="K7" s="155">
        <f>$V$108</f>
        <v>2</v>
      </c>
      <c r="L7" s="306" t="str">
        <f>$W$108</f>
        <v>N° 12</v>
      </c>
      <c r="M7" s="307" t="str">
        <f>$X$108</f>
        <v>SALADE WITLOOF CHATAIGNES HADDOCK *</v>
      </c>
      <c r="N7" s="308">
        <f>IF(AK108="","",AK108)</f>
        <v>10</v>
      </c>
      <c r="O7" s="308" t="str">
        <f>IF(AL108="","",AL108)</f>
        <v>kg</v>
      </c>
      <c r="P7" s="309">
        <f>$Z$108</f>
        <v>100</v>
      </c>
      <c r="Q7" s="310">
        <f>$Y$108</f>
        <v>29</v>
      </c>
      <c r="U7" s="562" t="s">
        <v>7921</v>
      </c>
      <c r="V7" s="563"/>
      <c r="W7" s="563"/>
      <c r="X7" s="563"/>
      <c r="Y7" s="563"/>
      <c r="Z7" s="563"/>
      <c r="AA7" s="564"/>
      <c r="AC7" s="275"/>
      <c r="AD7" s="301" t="s">
        <v>7858</v>
      </c>
      <c r="AE7" s="302" t="s">
        <v>326</v>
      </c>
      <c r="AF7" s="303" t="s">
        <v>7922</v>
      </c>
      <c r="AG7" s="565" t="s">
        <v>7923</v>
      </c>
      <c r="AH7" s="565"/>
      <c r="AI7" s="311" t="s">
        <v>7924</v>
      </c>
      <c r="AJ7" s="311"/>
      <c r="AK7" s="311"/>
      <c r="AL7" s="311"/>
      <c r="AM7" s="311"/>
      <c r="AN7" s="311"/>
      <c r="AO7" s="311"/>
      <c r="AP7" s="311"/>
      <c r="AQ7" s="311"/>
      <c r="BC7" s="271"/>
      <c r="BD7" s="279">
        <v>1</v>
      </c>
      <c r="BE7" s="271"/>
      <c r="BF7" s="271"/>
      <c r="BG7" s="271"/>
    </row>
    <row r="8" spans="1:111" ht="23.1" customHeight="1" x14ac:dyDescent="0.25">
      <c r="A8" s="284"/>
      <c r="B8" s="284"/>
      <c r="C8" s="284"/>
      <c r="D8" s="284"/>
      <c r="E8" s="284"/>
      <c r="F8" s="284"/>
      <c r="G8" s="284"/>
      <c r="H8" s="284"/>
      <c r="I8" s="284"/>
      <c r="J8" s="271" t="s">
        <v>7925</v>
      </c>
      <c r="K8" s="155">
        <f>$V$144</f>
        <v>3</v>
      </c>
      <c r="L8" s="306" t="str">
        <f>$W$144</f>
        <v>N° 13</v>
      </c>
      <c r="M8" s="307" t="str">
        <f>$X$144</f>
        <v>TABOULÉ LIBANAIS*</v>
      </c>
      <c r="N8" s="308">
        <f>IF(AK144="","",AK144)</f>
        <v>1</v>
      </c>
      <c r="O8" s="308" t="str">
        <f>IF(AL144="","",AL144)</f>
        <v>kg</v>
      </c>
      <c r="P8" s="309">
        <f>$Z$144</f>
        <v>100</v>
      </c>
      <c r="Q8" s="310">
        <f>$Y$144</f>
        <v>30</v>
      </c>
      <c r="U8" s="553"/>
      <c r="V8" s="554"/>
      <c r="W8" s="554"/>
      <c r="X8" s="554"/>
      <c r="Y8" s="554"/>
      <c r="Z8" s="554"/>
      <c r="AA8" s="555"/>
      <c r="AC8" s="275"/>
      <c r="AD8" s="301" t="s">
        <v>7858</v>
      </c>
      <c r="AE8" s="302" t="s">
        <v>327</v>
      </c>
      <c r="AF8" s="303" t="s">
        <v>7926</v>
      </c>
      <c r="AG8" s="566" t="s">
        <v>7927</v>
      </c>
      <c r="AH8" s="566"/>
      <c r="AI8" s="311" t="s">
        <v>7928</v>
      </c>
      <c r="AJ8" s="311"/>
      <c r="AK8" s="311"/>
      <c r="AL8" s="311"/>
      <c r="AM8" s="311"/>
      <c r="AN8" s="311"/>
      <c r="AO8" s="311"/>
      <c r="AP8" s="311"/>
      <c r="AQ8" s="311"/>
      <c r="BC8" s="271"/>
      <c r="BD8" s="279">
        <v>1</v>
      </c>
      <c r="BE8" s="271"/>
      <c r="BF8" s="271"/>
      <c r="BG8" s="271"/>
    </row>
    <row r="9" spans="1:111" ht="23.1" customHeight="1" x14ac:dyDescent="0.25">
      <c r="A9" s="664" t="s">
        <v>331</v>
      </c>
      <c r="B9" s="665"/>
      <c r="C9" s="665"/>
      <c r="D9" s="665"/>
      <c r="E9" s="665"/>
      <c r="F9" s="665"/>
      <c r="G9" s="665"/>
      <c r="H9" s="665"/>
      <c r="I9" s="666"/>
      <c r="J9" s="271"/>
      <c r="K9" s="155">
        <f>$V$180</f>
        <v>4</v>
      </c>
      <c r="L9" s="306" t="str">
        <f>$W$180</f>
        <v>N° 14</v>
      </c>
      <c r="M9" s="307" t="str">
        <f>$X$180</f>
        <v>TARAMA*</v>
      </c>
      <c r="N9" s="308">
        <f>IF(AK180="","",AK180)</f>
        <v>1</v>
      </c>
      <c r="O9" s="308" t="str">
        <f>IF(AL180="","",AL180)</f>
        <v>kg</v>
      </c>
      <c r="P9" s="309">
        <f>$Z$180</f>
        <v>100</v>
      </c>
      <c r="Q9" s="310">
        <f>$Y$180</f>
        <v>31</v>
      </c>
      <c r="U9" s="314" t="s">
        <v>7929</v>
      </c>
      <c r="V9" s="315"/>
      <c r="W9" s="315"/>
      <c r="X9" s="315"/>
      <c r="Y9" s="315"/>
      <c r="Z9" s="315"/>
      <c r="AA9" s="316"/>
      <c r="AC9" s="275"/>
      <c r="AD9" s="301" t="s">
        <v>7858</v>
      </c>
      <c r="AE9" s="317" t="s">
        <v>7930</v>
      </c>
      <c r="AF9" s="303" t="s">
        <v>7931</v>
      </c>
      <c r="AG9" s="552" t="s">
        <v>239</v>
      </c>
      <c r="AH9" s="551"/>
      <c r="AI9" s="304" t="s">
        <v>7932</v>
      </c>
      <c r="AJ9" s="304"/>
      <c r="AK9" s="304"/>
      <c r="AL9" s="304"/>
      <c r="AM9" s="304"/>
      <c r="AN9" s="304"/>
      <c r="AO9" s="304"/>
      <c r="AP9" s="304"/>
      <c r="AQ9" s="304"/>
      <c r="BC9" s="271"/>
      <c r="BD9" s="279">
        <v>1</v>
      </c>
      <c r="BE9" s="271"/>
      <c r="BF9" s="271"/>
      <c r="BG9" s="271"/>
      <c r="CL9" s="151">
        <v>1</v>
      </c>
      <c r="CM9" s="151">
        <v>2</v>
      </c>
      <c r="CN9" s="151">
        <v>3</v>
      </c>
      <c r="CO9" s="151">
        <v>4</v>
      </c>
      <c r="CP9" s="151">
        <v>5</v>
      </c>
      <c r="CQ9" s="151">
        <v>6</v>
      </c>
      <c r="CR9" s="151">
        <v>7</v>
      </c>
      <c r="CS9" s="151">
        <v>8</v>
      </c>
      <c r="CT9" s="151">
        <v>9</v>
      </c>
      <c r="CU9" s="151">
        <v>10</v>
      </c>
      <c r="CV9" s="151">
        <v>11</v>
      </c>
      <c r="CW9" s="151">
        <v>12</v>
      </c>
      <c r="CX9" s="151">
        <v>13</v>
      </c>
      <c r="CY9" s="151">
        <v>14</v>
      </c>
      <c r="CZ9" s="151">
        <v>15</v>
      </c>
      <c r="DA9" s="151">
        <v>16</v>
      </c>
      <c r="DB9" s="151">
        <v>17</v>
      </c>
      <c r="DC9" s="151">
        <v>18</v>
      </c>
      <c r="DD9" s="151">
        <v>19</v>
      </c>
      <c r="DE9" s="151">
        <v>20</v>
      </c>
      <c r="DF9" s="151">
        <v>21</v>
      </c>
      <c r="DG9" s="151">
        <v>22</v>
      </c>
    </row>
    <row r="10" spans="1:111" ht="23.1" customHeight="1" thickBot="1" x14ac:dyDescent="0.3">
      <c r="A10" s="690" t="s">
        <v>7933</v>
      </c>
      <c r="B10" s="691"/>
      <c r="C10" s="691"/>
      <c r="D10" s="692"/>
      <c r="E10" s="318"/>
      <c r="F10" s="693" t="s">
        <v>7934</v>
      </c>
      <c r="G10" s="694"/>
      <c r="H10" s="694"/>
      <c r="I10" s="695"/>
      <c r="J10" s="271"/>
      <c r="K10" s="155">
        <f>$V$216</f>
        <v>5</v>
      </c>
      <c r="L10" s="306" t="str">
        <f>$W$216</f>
        <v>N° 15</v>
      </c>
      <c r="M10" s="307" t="str">
        <f>$X$216</f>
        <v>THON CATALANE*</v>
      </c>
      <c r="N10" s="308">
        <f>IF(AK216="","",AK216)</f>
        <v>3</v>
      </c>
      <c r="O10" s="308" t="str">
        <f>IF(AL216="","",AL216)</f>
        <v>bte(s) 3/1</v>
      </c>
      <c r="P10" s="309">
        <f>$Z$216</f>
        <v>100</v>
      </c>
      <c r="Q10" s="310">
        <f>$Y$216</f>
        <v>32</v>
      </c>
      <c r="U10" s="553" t="s">
        <v>7935</v>
      </c>
      <c r="V10" s="554"/>
      <c r="W10" s="554"/>
      <c r="X10" s="554"/>
      <c r="Y10" s="554"/>
      <c r="Z10" s="554"/>
      <c r="AA10" s="555"/>
      <c r="AC10" s="275"/>
      <c r="AD10" s="319" t="s">
        <v>7936</v>
      </c>
      <c r="AE10" s="320" t="s">
        <v>7937</v>
      </c>
      <c r="AF10" s="321" t="s">
        <v>7938</v>
      </c>
      <c r="AG10" s="556" t="s">
        <v>7939</v>
      </c>
      <c r="AH10" s="557"/>
      <c r="AI10" s="311" t="s">
        <v>7940</v>
      </c>
      <c r="AJ10" s="311"/>
      <c r="AK10" s="311"/>
      <c r="AL10" s="311"/>
      <c r="AM10" s="311"/>
      <c r="AN10" s="311"/>
      <c r="AO10" s="311"/>
      <c r="AP10" s="311"/>
      <c r="AQ10" s="311"/>
      <c r="BC10" s="271"/>
      <c r="BD10" s="279">
        <v>1</v>
      </c>
      <c r="BE10" s="271"/>
      <c r="BF10" s="271"/>
      <c r="BG10" s="271"/>
    </row>
    <row r="11" spans="1:111" ht="23.1" customHeight="1" x14ac:dyDescent="0.25">
      <c r="A11" s="323" t="s">
        <v>332</v>
      </c>
      <c r="B11" s="696" t="str" cm="1">
        <f t="array" ref="B11">IFERROR(INDEX($AC$72:$AC$430,1+($B$5-1)*36),"")</f>
        <v>Chou blanc</v>
      </c>
      <c r="C11" s="696"/>
      <c r="D11" s="697"/>
      <c r="E11" s="318"/>
      <c r="F11" s="324" t="s">
        <v>333</v>
      </c>
      <c r="G11" s="325" cm="1">
        <f t="array" ref="G11">IFERROR(INDEX($Z$72:$Z$430,1+($B$5-1)*36),"")</f>
        <v>100</v>
      </c>
      <c r="H11" s="326" t="s">
        <v>7941</v>
      </c>
      <c r="I11" s="327"/>
      <c r="J11" s="271"/>
      <c r="K11" s="155">
        <f>$V$252</f>
        <v>6</v>
      </c>
      <c r="L11" s="306" t="str">
        <f>$W$252</f>
        <v>N° 16</v>
      </c>
      <c r="M11" s="307" t="str">
        <f>$X$252</f>
        <v>TOMATE ET MOZARELLA AU BASILIC</v>
      </c>
      <c r="N11" s="308">
        <f>IF(AK252="","",AK252)</f>
        <v>10</v>
      </c>
      <c r="O11" s="308" t="str">
        <f>IF(AL252="","",AL252)</f>
        <v>kg</v>
      </c>
      <c r="P11" s="309">
        <f>$Z$252</f>
        <v>100</v>
      </c>
      <c r="Q11" s="310">
        <f>$Y$252</f>
        <v>33</v>
      </c>
      <c r="U11" s="553"/>
      <c r="V11" s="554"/>
      <c r="W11" s="554"/>
      <c r="X11" s="554"/>
      <c r="Y11" s="554"/>
      <c r="Z11" s="554"/>
      <c r="AA11" s="555"/>
      <c r="AC11" s="275"/>
      <c r="AD11" s="328" t="s">
        <v>7942</v>
      </c>
      <c r="AE11" s="329"/>
      <c r="AF11" s="330"/>
      <c r="AG11" s="329"/>
      <c r="AH11" s="329"/>
      <c r="AI11" s="329"/>
      <c r="AJ11" s="329"/>
      <c r="AK11" s="329"/>
      <c r="AL11" s="329"/>
      <c r="AM11" s="329"/>
      <c r="AN11" s="329"/>
      <c r="AO11" s="329"/>
      <c r="AP11" s="329"/>
      <c r="AQ11" s="329"/>
      <c r="BC11" s="271"/>
      <c r="BD11" s="279">
        <v>1</v>
      </c>
      <c r="BE11" s="271"/>
      <c r="BF11" s="271"/>
      <c r="BG11" s="271"/>
    </row>
    <row r="12" spans="1:111" ht="23.1" customHeight="1" x14ac:dyDescent="0.25">
      <c r="A12" s="305" t="s">
        <v>334</v>
      </c>
      <c r="B12" s="331" cm="1">
        <f t="array" ref="B12">IFERROR(INDEX($N$6:$N$15,$B$5),"")</f>
        <v>4</v>
      </c>
      <c r="C12" s="332" t="str" cm="1">
        <f t="array" ref="C12">IFERROR(INDEX($O$6:$O$15,$B$5),"")</f>
        <v>kg</v>
      </c>
      <c r="D12" s="333"/>
      <c r="E12" s="506" t="s">
        <v>8169</v>
      </c>
      <c r="F12" s="334" t="s">
        <v>335</v>
      </c>
      <c r="G12" s="335">
        <v>200</v>
      </c>
      <c r="H12" s="336" t="s">
        <v>7941</v>
      </c>
      <c r="I12" s="337"/>
      <c r="J12" s="271"/>
      <c r="K12" s="155">
        <f>$V$288</f>
        <v>7</v>
      </c>
      <c r="L12" s="306" t="str">
        <f>$W$288</f>
        <v>N° 17</v>
      </c>
      <c r="M12" s="307" t="str">
        <f>$X$288</f>
        <v>CONCOMBRE AU YAOURT (TZATZIKI)*</v>
      </c>
      <c r="N12" s="308">
        <f>IF(AK288="","",AK288)</f>
        <v>10</v>
      </c>
      <c r="O12" s="308" t="str">
        <f>IF(AL288="","",AL288)</f>
        <v>kg</v>
      </c>
      <c r="P12" s="309">
        <f>$Z$288</f>
        <v>100</v>
      </c>
      <c r="Q12" s="310">
        <f>$Y$288</f>
        <v>34</v>
      </c>
      <c r="U12" s="553" t="s">
        <v>7943</v>
      </c>
      <c r="V12" s="554"/>
      <c r="W12" s="554"/>
      <c r="X12" s="554"/>
      <c r="Y12" s="554"/>
      <c r="Z12" s="554"/>
      <c r="AA12" s="555"/>
      <c r="AC12" s="275"/>
      <c r="AD12" s="301" t="s">
        <v>7944</v>
      </c>
      <c r="AE12" s="311" t="s">
        <v>7945</v>
      </c>
      <c r="AF12" s="303" t="s">
        <v>7946</v>
      </c>
      <c r="AG12" s="17" t="s">
        <v>7947</v>
      </c>
      <c r="AH12" s="17"/>
      <c r="AI12" s="311" t="s">
        <v>7948</v>
      </c>
      <c r="AJ12" s="311"/>
      <c r="AK12" s="311"/>
      <c r="AL12" s="311"/>
      <c r="AM12" s="311"/>
      <c r="AN12" s="311"/>
      <c r="AO12" s="311"/>
      <c r="AP12" s="311"/>
      <c r="AQ12" s="311"/>
      <c r="BC12" s="271"/>
      <c r="BD12" s="279">
        <v>1</v>
      </c>
      <c r="BE12" s="271"/>
      <c r="BF12" s="271"/>
      <c r="BG12" s="271"/>
    </row>
    <row r="13" spans="1:111" ht="23.1" customHeight="1" x14ac:dyDescent="0.25">
      <c r="A13" s="338" t="s">
        <v>336</v>
      </c>
      <c r="B13" s="339">
        <v>2</v>
      </c>
      <c r="C13" s="340" t="s">
        <v>7949</v>
      </c>
      <c r="D13" s="341"/>
      <c r="E13" s="318"/>
      <c r="F13" s="676" t="s">
        <v>7950</v>
      </c>
      <c r="G13" s="676"/>
      <c r="H13" s="676"/>
      <c r="I13" s="676"/>
      <c r="J13" s="271"/>
      <c r="K13" s="155">
        <f>$V$324</f>
        <v>8</v>
      </c>
      <c r="L13" s="306" t="str">
        <f>$W$324</f>
        <v>N° 18</v>
      </c>
      <c r="M13" s="307" t="str">
        <f>$X$324</f>
        <v>SARDINES A L'ESCABÈCHE*</v>
      </c>
      <c r="N13" s="308">
        <f>IF(AK324="","",AK324)</f>
        <v>200</v>
      </c>
      <c r="O13" s="308" t="str">
        <f>IF(AL324="","",AL324)</f>
        <v>pièce(s)</v>
      </c>
      <c r="P13" s="309">
        <f>$Z$324</f>
        <v>100</v>
      </c>
      <c r="Q13" s="310">
        <f>$Y$324</f>
        <v>35</v>
      </c>
      <c r="U13" s="567"/>
      <c r="V13" s="568"/>
      <c r="W13" s="568"/>
      <c r="X13" s="568"/>
      <c r="Y13" s="568"/>
      <c r="Z13" s="568"/>
      <c r="AA13" s="569"/>
      <c r="AC13" s="275"/>
      <c r="AD13" s="301" t="s">
        <v>7828</v>
      </c>
      <c r="AE13" s="322" t="s">
        <v>338</v>
      </c>
      <c r="AF13" s="303" t="s">
        <v>7951</v>
      </c>
      <c r="AG13" s="34" t="s">
        <v>7952</v>
      </c>
      <c r="AH13" s="34"/>
      <c r="AI13" s="311" t="s">
        <v>7953</v>
      </c>
      <c r="AJ13" s="311"/>
      <c r="AK13" s="311"/>
      <c r="AL13" s="311"/>
      <c r="AM13" s="311"/>
      <c r="AN13" s="311"/>
      <c r="AO13" s="311"/>
      <c r="AP13" s="311"/>
      <c r="AQ13" s="311"/>
      <c r="BC13" s="271"/>
      <c r="BD13" s="279">
        <v>1</v>
      </c>
      <c r="BE13" s="271"/>
      <c r="BF13" s="271"/>
      <c r="BG13" s="271"/>
    </row>
    <row r="14" spans="1:111" ht="23.1" customHeight="1" x14ac:dyDescent="0.25">
      <c r="A14" s="284"/>
      <c r="B14" s="507" t="s">
        <v>8167</v>
      </c>
      <c r="C14" s="507" t="s">
        <v>8168</v>
      </c>
      <c r="D14" s="284"/>
      <c r="E14" s="506"/>
      <c r="F14" s="677"/>
      <c r="G14" s="677"/>
      <c r="H14" s="677"/>
      <c r="I14" s="677"/>
      <c r="J14" s="271"/>
      <c r="K14" s="155">
        <f>$V$360</f>
        <v>9</v>
      </c>
      <c r="L14" s="306" t="str">
        <f>$W$360</f>
        <v>N° 19</v>
      </c>
      <c r="M14" s="307" t="str">
        <f>$X$360</f>
        <v>TERRINE DE SAUMON COULIS DE TOMATE *</v>
      </c>
      <c r="N14" s="308">
        <f>IF(AK360="","",AK360)</f>
        <v>3.5</v>
      </c>
      <c r="O14" s="308" t="str">
        <f>IF(AL360="","",AL360)</f>
        <v>kg</v>
      </c>
      <c r="P14" s="309">
        <f>$Z$360</f>
        <v>100</v>
      </c>
      <c r="Q14" s="310">
        <f>$Y$360</f>
        <v>36</v>
      </c>
      <c r="U14" s="299"/>
      <c r="V14" s="271"/>
      <c r="W14" s="271"/>
      <c r="X14" s="271"/>
      <c r="Y14" s="271"/>
      <c r="Z14" s="271"/>
      <c r="AA14" s="300"/>
      <c r="AC14" s="275"/>
      <c r="AD14" s="301" t="s">
        <v>7828</v>
      </c>
      <c r="AE14" s="322" t="s">
        <v>338</v>
      </c>
      <c r="AF14" s="303" t="s">
        <v>7951</v>
      </c>
      <c r="AG14" s="34" t="s">
        <v>7954</v>
      </c>
      <c r="AH14" s="34"/>
      <c r="AI14" s="311" t="s">
        <v>7955</v>
      </c>
      <c r="AJ14" s="311"/>
      <c r="AK14" s="311"/>
      <c r="AL14" s="311"/>
      <c r="AM14" s="311"/>
      <c r="AN14" s="311"/>
      <c r="AO14" s="311"/>
      <c r="AP14" s="311"/>
      <c r="AQ14" s="311"/>
      <c r="BC14" s="271"/>
      <c r="BD14" s="279">
        <v>1</v>
      </c>
      <c r="BE14" s="271"/>
      <c r="BF14" s="271"/>
      <c r="BG14" s="271"/>
    </row>
    <row r="15" spans="1:111" ht="23.1" customHeight="1" x14ac:dyDescent="0.25">
      <c r="A15" s="664" t="s">
        <v>7956</v>
      </c>
      <c r="B15" s="665"/>
      <c r="C15" s="665"/>
      <c r="D15" s="665"/>
      <c r="E15" s="665"/>
      <c r="F15" s="665"/>
      <c r="G15" s="665"/>
      <c r="H15" s="665"/>
      <c r="I15" s="666"/>
      <c r="J15" s="271"/>
      <c r="K15" s="157">
        <f>$V$396</f>
        <v>10</v>
      </c>
      <c r="L15" s="342" t="str">
        <f>$W$396</f>
        <v>N° 20</v>
      </c>
      <c r="M15" s="343" t="str">
        <f>$X$396</f>
        <v>ARLEQUIN DE LÉGUMES EN TERRINE</v>
      </c>
      <c r="N15" s="344">
        <f>IF(AK396="","",AK396)</f>
        <v>7.5</v>
      </c>
      <c r="O15" s="344" t="str">
        <f>IF(AL396="","",AL396)</f>
        <v>kg</v>
      </c>
      <c r="P15" s="345">
        <f>$Z$396</f>
        <v>100</v>
      </c>
      <c r="Q15" s="346">
        <f>$Y$396</f>
        <v>37</v>
      </c>
      <c r="U15" s="558" t="s">
        <v>7899</v>
      </c>
      <c r="V15" s="559"/>
      <c r="W15" s="559"/>
      <c r="X15" s="559"/>
      <c r="Y15" s="559"/>
      <c r="Z15" s="559"/>
      <c r="AA15" s="560"/>
      <c r="AC15" s="275"/>
      <c r="AD15" s="301" t="s">
        <v>7828</v>
      </c>
      <c r="AE15" s="322" t="s">
        <v>338</v>
      </c>
      <c r="AF15" s="303" t="s">
        <v>7951</v>
      </c>
      <c r="AG15" s="34" t="s">
        <v>139</v>
      </c>
      <c r="AH15" s="34"/>
      <c r="AI15" s="311" t="s">
        <v>7957</v>
      </c>
      <c r="AJ15" s="311"/>
      <c r="AK15" s="311"/>
      <c r="AL15" s="311"/>
      <c r="AM15" s="311"/>
      <c r="AN15" s="311"/>
      <c r="AO15" s="311"/>
      <c r="AP15" s="311"/>
      <c r="AQ15" s="311"/>
      <c r="BC15" s="271"/>
      <c r="BD15" s="279">
        <v>1</v>
      </c>
      <c r="BE15" s="271"/>
      <c r="BF15" s="271"/>
      <c r="BG15" s="271"/>
    </row>
    <row r="16" spans="1:111" ht="23.1" customHeight="1" x14ac:dyDescent="0.25">
      <c r="A16" s="347" t="s">
        <v>7958</v>
      </c>
      <c r="B16" s="678" t="str">
        <f>IF(AND($B$13&lt;&gt;"",$G$12&lt;&gt;""),"DEUX CALCULS ACTIFS — A ET B",IF($B$13&lt;&gt;"","MODE A ACTIF — ÉLÉMENT PRINCIPAL",IF($G$12&lt;&gt;"","MODE B ACTIF — COUVERTS","AUCUN CALCUL ACTIF")))</f>
        <v>DEUX CALCULS ACTIFS — A ET B</v>
      </c>
      <c r="C16" s="678"/>
      <c r="D16" s="678"/>
      <c r="E16" s="678"/>
      <c r="F16" s="678"/>
      <c r="G16" s="678"/>
      <c r="H16" s="678"/>
      <c r="I16" s="678"/>
      <c r="J16" s="271"/>
      <c r="K16" s="271"/>
      <c r="L16" s="271"/>
      <c r="M16" s="271"/>
      <c r="N16" s="271"/>
      <c r="O16" s="271"/>
      <c r="P16" s="271"/>
      <c r="Q16" s="271"/>
      <c r="U16" s="570" t="s">
        <v>281</v>
      </c>
      <c r="V16" s="572" t="s">
        <v>7959</v>
      </c>
      <c r="W16" s="574" t="s">
        <v>7911</v>
      </c>
      <c r="X16" s="574"/>
      <c r="Y16" s="574"/>
      <c r="Z16" s="574"/>
      <c r="AA16" s="575"/>
      <c r="AC16" s="275"/>
      <c r="AD16" s="301" t="s">
        <v>7828</v>
      </c>
      <c r="AE16" s="322" t="s">
        <v>7960</v>
      </c>
      <c r="AF16" s="303" t="s">
        <v>7951</v>
      </c>
      <c r="AG16" s="34" t="s">
        <v>7961</v>
      </c>
      <c r="AH16" s="34"/>
      <c r="AI16" s="311" t="s">
        <v>7962</v>
      </c>
      <c r="AJ16" s="311"/>
      <c r="AK16" s="311"/>
      <c r="AL16" s="311"/>
      <c r="AM16" s="311"/>
      <c r="AN16" s="311"/>
      <c r="AO16" s="311"/>
      <c r="AP16" s="311"/>
      <c r="AQ16" s="311"/>
      <c r="BC16" s="271"/>
      <c r="BD16" s="279">
        <v>1</v>
      </c>
      <c r="BE16" s="271"/>
      <c r="BF16" s="271"/>
      <c r="BG16" s="271"/>
    </row>
    <row r="17" spans="1:59" ht="23.1" customHeight="1" thickBot="1" x14ac:dyDescent="0.3">
      <c r="A17" s="348" t="s">
        <v>6113</v>
      </c>
      <c r="B17" s="679" t="str">
        <f>IF(AND(COUNTIF(B22:B57,"*~**")=0,COUNTIF(B22:B57,"*~?*")=0),"",IF(COUNTIF(B22:B57,"*~**")&gt;0,COUNTIF(B22:B57,"*~**")&amp;" allergène"&amp;IF(COUNTIF(B22:B57,"*~**")&gt;1,"s","")&amp;" repéré"&amp;IF(COUNTIF(B22:B57,"*~**")&gt;1,"s","")&amp;" par *","")&amp;IF(AND(COUNTIF(B22:B57,"*~**")&gt;0,COUNTIF(B22:B57,"*~?*")&gt;0)," | ","")&amp;IF(COUNTIF(B22:B57,"*~?*")&gt;0,COUNTIF(B22:B57,"*~?*")&amp;" produit"&amp;IF(COUNTIF(B22:B57,"*~?*")&gt;1,"s","")&amp;" à vérifier par ?",""))</f>
        <v>3 allergènes repérés par * | 1 produit à vérifier par ?</v>
      </c>
      <c r="C17" s="679"/>
      <c r="D17" s="679"/>
      <c r="E17" s="679"/>
      <c r="F17" s="679"/>
      <c r="G17" s="679"/>
      <c r="H17" s="679"/>
      <c r="I17" s="680"/>
      <c r="J17" s="271"/>
      <c r="K17" s="681" t="s">
        <v>7963</v>
      </c>
      <c r="L17" s="682"/>
      <c r="M17" s="682"/>
      <c r="N17" s="682"/>
      <c r="O17" s="682"/>
      <c r="P17" s="682"/>
      <c r="Q17" s="683"/>
      <c r="U17" s="571"/>
      <c r="V17" s="573"/>
      <c r="W17" s="576"/>
      <c r="X17" s="576"/>
      <c r="Y17" s="576"/>
      <c r="Z17" s="576"/>
      <c r="AA17" s="577"/>
      <c r="AC17" s="275"/>
      <c r="AD17" s="301" t="s">
        <v>7964</v>
      </c>
      <c r="AE17" s="322" t="s">
        <v>7965</v>
      </c>
      <c r="AF17" s="303" t="s">
        <v>7966</v>
      </c>
      <c r="AG17" s="578" t="s">
        <v>7967</v>
      </c>
      <c r="AH17" s="578"/>
      <c r="AI17" s="311" t="s">
        <v>7968</v>
      </c>
      <c r="AJ17" s="311"/>
      <c r="AK17" s="311"/>
      <c r="AL17" s="311"/>
      <c r="AM17" s="311"/>
      <c r="AN17" s="311"/>
      <c r="AO17" s="311"/>
      <c r="AP17" s="311"/>
      <c r="AQ17" s="311"/>
      <c r="BC17" s="271"/>
      <c r="BD17" s="279">
        <v>1</v>
      </c>
      <c r="BE17" s="271"/>
      <c r="BF17" s="271"/>
      <c r="BG17" s="271"/>
    </row>
    <row r="18" spans="1:59" ht="18.75" x14ac:dyDescent="0.25">
      <c r="A18" s="349"/>
      <c r="B18" s="350" t="s">
        <v>6114</v>
      </c>
      <c r="C18" s="351"/>
      <c r="D18" s="351"/>
      <c r="E18" s="351"/>
      <c r="F18" s="351"/>
      <c r="G18" s="351"/>
      <c r="H18" s="351"/>
      <c r="I18" s="351"/>
      <c r="J18" s="271"/>
      <c r="K18" s="684"/>
      <c r="L18" s="685"/>
      <c r="M18" s="685"/>
      <c r="N18" s="685"/>
      <c r="O18" s="685"/>
      <c r="P18" s="685"/>
      <c r="Q18" s="686"/>
      <c r="U18" s="579" t="s">
        <v>6154</v>
      </c>
      <c r="V18" s="581" t="s">
        <v>7969</v>
      </c>
      <c r="W18" s="583" t="s">
        <v>7970</v>
      </c>
      <c r="X18" s="583"/>
      <c r="Y18" s="583"/>
      <c r="Z18" s="583"/>
      <c r="AA18" s="584"/>
      <c r="AC18" s="275"/>
      <c r="AD18" s="352" t="s">
        <v>7971</v>
      </c>
      <c r="AE18" s="353"/>
      <c r="AF18" s="354"/>
      <c r="AG18" s="353"/>
      <c r="AH18" s="353"/>
      <c r="AI18" s="353"/>
      <c r="AJ18" s="353"/>
      <c r="AK18" s="353"/>
      <c r="AL18" s="353"/>
      <c r="AM18" s="353"/>
      <c r="AN18" s="353"/>
      <c r="AO18" s="353"/>
      <c r="AP18" s="353"/>
      <c r="AQ18" s="353"/>
      <c r="BC18" s="271"/>
      <c r="BD18" s="279">
        <v>1</v>
      </c>
      <c r="BE18" s="271"/>
      <c r="BF18" s="271"/>
      <c r="BG18" s="271"/>
    </row>
    <row r="19" spans="1:59" ht="23.1" customHeight="1" x14ac:dyDescent="0.25">
      <c r="A19" s="664" t="s">
        <v>7972</v>
      </c>
      <c r="B19" s="665"/>
      <c r="C19" s="665"/>
      <c r="D19" s="665"/>
      <c r="E19" s="665"/>
      <c r="F19" s="665"/>
      <c r="G19" s="665"/>
      <c r="H19" s="665"/>
      <c r="I19" s="666"/>
      <c r="J19" s="271"/>
      <c r="K19" s="684"/>
      <c r="L19" s="685"/>
      <c r="M19" s="685"/>
      <c r="N19" s="685"/>
      <c r="O19" s="685"/>
      <c r="P19" s="685"/>
      <c r="Q19" s="686"/>
      <c r="U19" s="580"/>
      <c r="V19" s="582"/>
      <c r="W19" s="585"/>
      <c r="X19" s="585"/>
      <c r="Y19" s="585"/>
      <c r="Z19" s="585"/>
      <c r="AA19" s="586"/>
      <c r="AC19" s="275"/>
      <c r="AD19" s="301" t="s">
        <v>7973</v>
      </c>
      <c r="AE19" s="355" t="s">
        <v>7974</v>
      </c>
      <c r="AF19" s="303" t="s">
        <v>7975</v>
      </c>
      <c r="AG19" s="356" t="s">
        <v>7976</v>
      </c>
      <c r="AH19" s="357"/>
      <c r="AI19" s="358" t="s">
        <v>7977</v>
      </c>
      <c r="AJ19" s="358"/>
      <c r="AK19" s="358"/>
      <c r="AL19" s="358"/>
      <c r="AM19" s="358"/>
      <c r="AN19" s="358"/>
      <c r="AO19" s="358"/>
      <c r="AP19" s="358"/>
      <c r="AQ19" s="358"/>
      <c r="BC19" s="271"/>
      <c r="BD19" s="279">
        <v>1</v>
      </c>
      <c r="BE19" s="271"/>
      <c r="BF19" s="271"/>
      <c r="BG19" s="271"/>
    </row>
    <row r="20" spans="1:59" ht="21.95" customHeight="1" x14ac:dyDescent="0.25">
      <c r="A20" s="359"/>
      <c r="B20" s="359"/>
      <c r="C20" s="360" cm="1">
        <f t="array" ref="C20">IFERROR(INDEX($P$6:$P$15,$B$5),"")</f>
        <v>100</v>
      </c>
      <c r="D20" s="361" t="s">
        <v>7941</v>
      </c>
      <c r="E20" s="673" t="str">
        <f>IF($B$13="","MODE A NON RENSEIGNÉ","MODE A — "&amp;$B$13&amp;" "&amp;$C$13)</f>
        <v>MODE A — 2 Kg</v>
      </c>
      <c r="F20" s="673"/>
      <c r="G20" s="674" t="str">
        <f>IF($G$12="","MODE B NON RENSEIGNÉ","MODE B — "&amp;$G$12&amp;" COUVERTS")</f>
        <v>MODE B — 200 COUVERTS</v>
      </c>
      <c r="H20" s="674"/>
      <c r="I20" s="675"/>
      <c r="J20" s="271"/>
      <c r="K20" s="684"/>
      <c r="L20" s="685"/>
      <c r="M20" s="685"/>
      <c r="N20" s="685"/>
      <c r="O20" s="685"/>
      <c r="P20" s="685"/>
      <c r="Q20" s="686"/>
      <c r="U20" s="587" t="s">
        <v>6146</v>
      </c>
      <c r="V20" s="589" t="s">
        <v>7978</v>
      </c>
      <c r="W20" s="591" t="s">
        <v>7979</v>
      </c>
      <c r="X20" s="591"/>
      <c r="Y20" s="591"/>
      <c r="Z20" s="591"/>
      <c r="AA20" s="592"/>
      <c r="AC20" s="275"/>
      <c r="AD20" s="301" t="s">
        <v>7973</v>
      </c>
      <c r="AE20" s="355" t="s">
        <v>7974</v>
      </c>
      <c r="AF20" s="303" t="s">
        <v>7975</v>
      </c>
      <c r="AG20" s="356" t="s">
        <v>7980</v>
      </c>
      <c r="AH20" s="357"/>
      <c r="AI20" s="362" t="s">
        <v>7981</v>
      </c>
      <c r="AJ20" s="362"/>
      <c r="AK20" s="362"/>
      <c r="AL20" s="362"/>
      <c r="AM20" s="362"/>
      <c r="AN20" s="362"/>
      <c r="AO20" s="362"/>
      <c r="AP20" s="362"/>
      <c r="AQ20" s="362"/>
      <c r="BC20" s="271"/>
      <c r="BD20" s="279">
        <v>1</v>
      </c>
      <c r="BE20" s="271"/>
      <c r="BF20" s="271"/>
      <c r="BG20" s="271"/>
    </row>
    <row r="21" spans="1:59" ht="21.95" customHeight="1" x14ac:dyDescent="0.25">
      <c r="A21" s="363" t="s">
        <v>337</v>
      </c>
      <c r="B21" s="364" t="s">
        <v>338</v>
      </c>
      <c r="C21" s="364" t="s">
        <v>339</v>
      </c>
      <c r="D21" s="364" t="s">
        <v>340</v>
      </c>
      <c r="E21" s="365" t="s">
        <v>7982</v>
      </c>
      <c r="F21" s="366" t="s">
        <v>341</v>
      </c>
      <c r="G21" s="367" t="s">
        <v>7983</v>
      </c>
      <c r="H21" s="368" t="s">
        <v>342</v>
      </c>
      <c r="I21" s="369" t="s">
        <v>343</v>
      </c>
      <c r="J21" s="271"/>
      <c r="K21" s="687"/>
      <c r="L21" s="688"/>
      <c r="M21" s="688"/>
      <c r="N21" s="688"/>
      <c r="O21" s="688"/>
      <c r="P21" s="688"/>
      <c r="Q21" s="689"/>
      <c r="U21" s="588"/>
      <c r="V21" s="590"/>
      <c r="W21" s="593"/>
      <c r="X21" s="593"/>
      <c r="Y21" s="593"/>
      <c r="Z21" s="593"/>
      <c r="AA21" s="594"/>
      <c r="AC21" s="275"/>
      <c r="AD21" s="370" t="s">
        <v>7984</v>
      </c>
      <c r="AE21" s="371" t="s">
        <v>7974</v>
      </c>
      <c r="AF21" s="372" t="s">
        <v>7975</v>
      </c>
      <c r="AG21" s="356" t="s">
        <v>7985</v>
      </c>
      <c r="AH21" s="357"/>
      <c r="AI21" s="373" t="s">
        <v>7986</v>
      </c>
      <c r="AJ21" s="373"/>
      <c r="AK21" s="373"/>
      <c r="AL21" s="373"/>
      <c r="AM21" s="373"/>
      <c r="AN21" s="373"/>
      <c r="AO21" s="373"/>
      <c r="AP21" s="373"/>
      <c r="AQ21" s="373"/>
      <c r="BC21" s="271"/>
      <c r="BD21" s="279">
        <v>1</v>
      </c>
      <c r="BE21" s="271"/>
      <c r="BF21" s="271"/>
      <c r="BG21" s="271"/>
    </row>
    <row r="22" spans="1:59" ht="21.95" customHeight="1" thickBot="1" x14ac:dyDescent="0.3">
      <c r="A22" s="374">
        <f>IF($B22="","",0)</f>
        <v>0</v>
      </c>
      <c r="B22" s="375" t="str" cm="1">
        <f t="array" ref="B22">IFERROR(IF(INDEX($AC$72:$AC$430,$K22)="","",INDEX($AC$72:$AC$430,$K22)),"")</f>
        <v>Chou blanc</v>
      </c>
      <c r="C22" s="376" cm="1">
        <f t="array" ref="C22">IF($B22="","",INDEX($AG$72:$AG$430,$K22))</f>
        <v>4</v>
      </c>
      <c r="D22" s="377" t="str" cm="1">
        <f t="array" ref="D22">IF($B22="","",INDEX($AH$72:$AH$430,$K22))</f>
        <v>KG</v>
      </c>
      <c r="E22" s="378">
        <f t="shared" ref="E22:E56" si="0">IF($B22="","",IF(UPPER(TRIM($D22))="QT. SUFFISANTE","",IF($N22="","",IF($L22="MASSE",IF($N22&gt;=1,ROUND($N22,2),ROUND($N22*1000,0)),IF($L22="VOLUME",IF($N22&gt;=1,ROUND($N22,2),ROUND($N22*100,0)),ROUND($N22,0))))))</f>
        <v>2</v>
      </c>
      <c r="F22" s="379" t="str" cm="1">
        <f t="array" ref="F22">IF($B22="","",IF(UPPER(TRIM($D22))="QT. SUFFISANTE","Qt. suffisante",IF($N22="","",IF($L22="MASSE",IF($N22&gt;=1,"Kg","g"),IF($L22="VOLUME",IF($N22&gt;=1,"L","cl"),INDEX($AL$72:$AL$430,$K22))))))</f>
        <v>Kg</v>
      </c>
      <c r="G22" s="380">
        <f t="shared" ref="G22:G56" si="1">IF($B22="","",IF(UPPER(TRIM($D22))="QT. SUFFISANTE","",IF($O22="","",IF($L22="MASSE",IF($O22&gt;=1,ROUND($O22,2),ROUND($O22*1000,0)),IF($L22="VOLUME",IF($O22&gt;=1,ROUND($O22,2),ROUND($O22*100,0)),ROUND($O22,0))))))</f>
        <v>8</v>
      </c>
      <c r="H22" s="381" t="str" cm="1">
        <f t="array" ref="H22">IF($B22="","",IF(UPPER(TRIM($D22))="QT. SUFFISANTE","Qt. suffisante",IF($O22="","",IF($L22="MASSE",IF($O22&gt;=1,"Kg","g"),IF($L22="VOLUME",IF($O22&gt;=1,"L","cl"),INDEX($AL$72:$AL$430,$K22))))))</f>
        <v>Kg</v>
      </c>
      <c r="I22" s="382" t="str" cm="1">
        <f t="array" ref="I22">IF($B22="","",INDEX($AM$72:$AM$430,$K22))</f>
        <v>OK</v>
      </c>
      <c r="J22" s="271"/>
      <c r="K22" s="383">
        <f>1+($B$5-1)*36+0</f>
        <v>1</v>
      </c>
      <c r="L22" s="383" t="str" cm="1">
        <f t="array" ref="L22">IF($B22="","",INDEX($AI$72:$AI$430,$K22))</f>
        <v>MASSE</v>
      </c>
      <c r="M22" s="383" cm="1">
        <f t="array" ref="M22">IF($B22="","",INDEX($AJ$72:$AJ$430,$K22))</f>
        <v>1</v>
      </c>
      <c r="N22" s="384" cm="1">
        <f t="array" ref="N22">IF(OR($B22="",$B$13="",$B$12="",$B$12=0),"",IF($L$22="AUTRE",IFERROR(INDEX($AK$72:$AK$430,$K22)*($B$13/$B$12),""),IF(OR($C$12="",$C$13=""),"",IFERROR(INDEX($AK$72:$AK$430,$K22)*(($B$13*VLOOKUP($C$13,$AY$74:$BA$119,3,FALSE))/($B$12*VLOOKUP($C$12,$AY$74:$BA$119,3,FALSE))),""))))</f>
        <v>2</v>
      </c>
      <c r="O22" s="384" cm="1">
        <f t="array" ref="O22">IF(OR($B22="",$G$12="",$G$11="",$G$11=0),"",IFERROR(INDEX($AK$72:$AK$430,$K22)*($G$12/$G$11),""))</f>
        <v>8</v>
      </c>
      <c r="U22" s="602" t="s">
        <v>6174</v>
      </c>
      <c r="V22" s="604" t="s">
        <v>7987</v>
      </c>
      <c r="W22" s="606" t="s">
        <v>7988</v>
      </c>
      <c r="X22" s="606"/>
      <c r="Y22" s="606"/>
      <c r="Z22" s="606"/>
      <c r="AA22" s="607"/>
      <c r="AC22" s="275"/>
      <c r="AD22" s="370" t="s">
        <v>7984</v>
      </c>
      <c r="AE22" s="385" t="s">
        <v>7974</v>
      </c>
      <c r="AF22" s="372" t="s">
        <v>7975</v>
      </c>
      <c r="AG22" s="356" t="s">
        <v>7989</v>
      </c>
      <c r="AH22" s="357"/>
      <c r="AI22" s="373" t="s">
        <v>7990</v>
      </c>
      <c r="AJ22" s="373"/>
      <c r="AK22" s="373"/>
      <c r="AL22" s="373"/>
      <c r="AM22" s="373"/>
      <c r="AN22" s="373"/>
      <c r="AO22" s="373"/>
      <c r="AP22" s="373"/>
      <c r="AQ22" s="373"/>
      <c r="BC22" s="271"/>
      <c r="BD22" s="279">
        <v>1</v>
      </c>
      <c r="BE22" s="271"/>
      <c r="BF22" s="271"/>
      <c r="BG22" s="271"/>
    </row>
    <row r="23" spans="1:59" ht="21.95" customHeight="1" x14ac:dyDescent="0.25">
      <c r="A23" s="374">
        <f>IF($B23="","",1)</f>
        <v>1</v>
      </c>
      <c r="B23" s="375" t="str" cm="1">
        <f t="array" ref="B23">IFERROR(IF(INDEX($AC$72:$AC$430,$K23)="","",INDEX($AC$72:$AC$430,$K23)),"")</f>
        <v>Carottes</v>
      </c>
      <c r="C23" s="376" cm="1">
        <f t="array" ref="C23">IF($B23="","",INDEX($AG$72:$AG$430,$K23))</f>
        <v>4</v>
      </c>
      <c r="D23" s="377" t="str" cm="1">
        <f t="array" ref="D23">IF($B23="","",INDEX($AH$72:$AH$430,$K23))</f>
        <v>KG</v>
      </c>
      <c r="E23" s="378">
        <f t="shared" si="0"/>
        <v>2</v>
      </c>
      <c r="F23" s="379" t="str" cm="1">
        <f t="array" ref="F23">IF($B23="","",IF(UPPER(TRIM($D23))="QT. SUFFISANTE","Qt. suffisante",IF($N23="","",IF($L23="MASSE",IF($N23&gt;=1,"Kg","g"),IF($L23="VOLUME",IF($N23&gt;=1,"L","cl"),INDEX($AL$72:$AL$430,$K23))))))</f>
        <v>Kg</v>
      </c>
      <c r="G23" s="380">
        <f t="shared" si="1"/>
        <v>8</v>
      </c>
      <c r="H23" s="381" t="str" cm="1">
        <f t="array" ref="H23">IF($B23="","",IF(UPPER(TRIM($D23))="QT. SUFFISANTE","Qt. suffisante",IF($O23="","",IF($L23="MASSE",IF($O23&gt;=1,"Kg","g"),IF($L23="VOLUME",IF($O23&gt;=1,"L","cl"),INDEX($AL$72:$AL$430,$K23))))))</f>
        <v>Kg</v>
      </c>
      <c r="I23" s="382" t="str" cm="1">
        <f t="array" ref="I23">IF($B23="","",INDEX($AM$72:$AM$430,$K23))</f>
        <v>OK</v>
      </c>
      <c r="J23" s="271"/>
      <c r="K23" s="383">
        <f>1+($B$5-1)*36+1</f>
        <v>2</v>
      </c>
      <c r="L23" s="383" t="str" cm="1">
        <f t="array" ref="L23">IF($B23="","",INDEX($AI$72:$AI$430,$K23))</f>
        <v>MASSE</v>
      </c>
      <c r="M23" s="383" cm="1">
        <f t="array" ref="M23">IF($B23="","",INDEX($AJ$72:$AJ$430,$K23))</f>
        <v>1</v>
      </c>
      <c r="N23" s="384" cm="1">
        <f t="array" ref="N23">IF(OR($B23="",$B$13="",$B$12="",$B$12=0),"",IF($L$22="AUTRE",IFERROR(INDEX($AK$72:$AK$430,$K23)*($B$13/$B$12),""),IF(OR($C$12="",$C$13=""),"",IFERROR(INDEX($AK$72:$AK$430,$K23)*(($B$13*VLOOKUP($C$13,$AY$74:$BA$119,3,FALSE))/($B$12*VLOOKUP($C$12,$AY$74:$BA$119,3,FALSE))),""))))</f>
        <v>2</v>
      </c>
      <c r="O23" s="384" cm="1">
        <f t="array" ref="O23">IF(OR($B23="",$G$12="",$G$11="",$G$11=0),"",IFERROR(INDEX($AK$72:$AK$430,$K23)*($G$12/$G$11),""))</f>
        <v>8</v>
      </c>
      <c r="U23" s="603"/>
      <c r="V23" s="605"/>
      <c r="W23" s="608"/>
      <c r="X23" s="608"/>
      <c r="Y23" s="608"/>
      <c r="Z23" s="608"/>
      <c r="AA23" s="609"/>
      <c r="AC23" s="275"/>
      <c r="AD23" s="386" t="s">
        <v>7991</v>
      </c>
      <c r="AE23" s="387"/>
      <c r="AF23" s="388"/>
      <c r="AG23" s="387"/>
      <c r="AH23" s="387"/>
      <c r="AI23" s="387"/>
      <c r="AJ23" s="387"/>
      <c r="AK23" s="387"/>
      <c r="AL23" s="387"/>
      <c r="AM23" s="387"/>
      <c r="AN23" s="387"/>
      <c r="AO23" s="387"/>
      <c r="AP23" s="387"/>
      <c r="AQ23" s="387"/>
      <c r="BB23" s="271"/>
      <c r="BC23" s="271"/>
      <c r="BD23" s="279">
        <v>1</v>
      </c>
      <c r="BE23" s="271"/>
      <c r="BF23" s="271"/>
      <c r="BG23" s="271"/>
    </row>
    <row r="24" spans="1:59" ht="21.95" customHeight="1" x14ac:dyDescent="0.25">
      <c r="A24" s="374">
        <f>IF($B24="","",2)</f>
        <v>2</v>
      </c>
      <c r="B24" s="375" t="str" cm="1">
        <f t="array" ref="B24">IFERROR(IF(INDEX($AC$72:$AC$430,$K24)="","",INDEX($AC$72:$AC$430,$K24)),"")</f>
        <v>Oignons</v>
      </c>
      <c r="C24" s="376" cm="1">
        <f t="array" ref="C24">IF($B24="","",INDEX($AG$72:$AG$430,$K24))</f>
        <v>2</v>
      </c>
      <c r="D24" s="377" t="str" cm="1">
        <f t="array" ref="D24">IF($B24="","",INDEX($AH$72:$AH$430,$K24))</f>
        <v>KG</v>
      </c>
      <c r="E24" s="378">
        <f t="shared" si="0"/>
        <v>1</v>
      </c>
      <c r="F24" s="379" t="str" cm="1">
        <f t="array" ref="F24">IF($B24="","",IF(UPPER(TRIM($D24))="QT. SUFFISANTE","Qt. suffisante",IF($N24="","",IF($L24="MASSE",IF($N24&gt;=1,"Kg","g"),IF($L24="VOLUME",IF($N24&gt;=1,"L","cl"),INDEX($AL$72:$AL$430,$K24))))))</f>
        <v>Kg</v>
      </c>
      <c r="G24" s="380">
        <f t="shared" si="1"/>
        <v>4</v>
      </c>
      <c r="H24" s="381" t="str" cm="1">
        <f t="array" ref="H24">IF($B24="","",IF(UPPER(TRIM($D24))="QT. SUFFISANTE","Qt. suffisante",IF($O24="","",IF($L24="MASSE",IF($O24&gt;=1,"Kg","g"),IF($L24="VOLUME",IF($O24&gt;=1,"L","cl"),INDEX($AL$72:$AL$430,$K24))))))</f>
        <v>Kg</v>
      </c>
      <c r="I24" s="382" t="str" cm="1">
        <f t="array" ref="I24">IF($B24="","",INDEX($AM$72:$AM$430,$K24))</f>
        <v>OK</v>
      </c>
      <c r="J24" s="271"/>
      <c r="K24" s="383">
        <f>1+($B$5-1)*36+2</f>
        <v>3</v>
      </c>
      <c r="L24" s="383" t="str" cm="1">
        <f t="array" ref="L24">IF($B24="","",INDEX($AI$72:$AI$430,$K24))</f>
        <v>MASSE</v>
      </c>
      <c r="M24" s="383" cm="1">
        <f t="array" ref="M24">IF($B24="","",INDEX($AJ$72:$AJ$430,$K24))</f>
        <v>1</v>
      </c>
      <c r="N24" s="384" cm="1">
        <f t="array" ref="N24">IF(OR($B24="",$B$13="",$B$12="",$B$12=0),"",IF($L$22="AUTRE",IFERROR(INDEX($AK$72:$AK$430,$K24)*($B$13/$B$12),""),IF(OR($C$12="",$C$13=""),"",IFERROR(INDEX($AK$72:$AK$430,$K24)*(($B$13*VLOOKUP($C$13,$AY$74:$BA$119,3,FALSE))/($B$12*VLOOKUP($C$12,$AY$74:$BA$119,3,FALSE))),""))))</f>
        <v>1</v>
      </c>
      <c r="O24" s="384" cm="1">
        <f t="array" ref="O24">IF(OR($B24="",$G$12="",$G$11="",$G$11=0),"",IFERROR(INDEX($AK$72:$AK$430,$K24)*($G$12/$G$11),""))</f>
        <v>4</v>
      </c>
      <c r="U24" s="610" t="s">
        <v>136</v>
      </c>
      <c r="V24" s="612" t="s">
        <v>7992</v>
      </c>
      <c r="W24" s="614" t="s">
        <v>7993</v>
      </c>
      <c r="X24" s="614"/>
      <c r="Y24" s="614"/>
      <c r="Z24" s="614"/>
      <c r="AA24" s="615"/>
      <c r="AC24" s="275"/>
      <c r="AD24" s="301" t="s">
        <v>7994</v>
      </c>
      <c r="AE24" s="322" t="s">
        <v>339</v>
      </c>
      <c r="AF24" s="303" t="s">
        <v>7995</v>
      </c>
      <c r="AG24" s="389" t="s">
        <v>136</v>
      </c>
      <c r="AH24" s="14"/>
      <c r="AI24" s="304" t="s">
        <v>7996</v>
      </c>
      <c r="AJ24" s="304"/>
      <c r="AK24" s="304"/>
      <c r="AL24" s="304"/>
      <c r="AM24" s="304"/>
      <c r="AN24" s="304"/>
      <c r="AO24" s="304"/>
      <c r="AP24" s="304"/>
      <c r="AQ24" s="304"/>
      <c r="BB24" s="271"/>
      <c r="BC24" s="271"/>
      <c r="BD24" s="279">
        <v>1</v>
      </c>
      <c r="BE24" s="271"/>
      <c r="BF24" s="271"/>
      <c r="BG24" s="271"/>
    </row>
    <row r="25" spans="1:59" ht="21.95" customHeight="1" x14ac:dyDescent="0.25">
      <c r="A25" s="374" t="str">
        <f>IF($B25="","",3)</f>
        <v/>
      </c>
      <c r="B25" s="375" t="str" cm="1">
        <f t="array" ref="B25">IFERROR(IF(INDEX($AC$72:$AC$430,$K25)="","",INDEX($AC$72:$AC$430,$K25)),"")</f>
        <v/>
      </c>
      <c r="C25" s="376" t="str" cm="1">
        <f t="array" ref="C25">IF($B25="","",INDEX($AG$72:$AG$430,$K25))</f>
        <v/>
      </c>
      <c r="D25" s="377" t="str" cm="1">
        <f t="array" ref="D25">IF($B25="","",INDEX($AH$72:$AH$430,$K25))</f>
        <v/>
      </c>
      <c r="E25" s="378" t="str">
        <f t="shared" si="0"/>
        <v/>
      </c>
      <c r="F25" s="379" t="str" cm="1">
        <f t="array" ref="F25">IF($B25="","",IF(UPPER(TRIM($D25))="QT. SUFFISANTE","Qt. suffisante",IF($N25="","",IF($L25="MASSE",IF($N25&gt;=1,"Kg","g"),IF($L25="VOLUME",IF($N25&gt;=1,"L","cl"),INDEX($AL$72:$AL$430,$K25))))))</f>
        <v/>
      </c>
      <c r="G25" s="380" t="str">
        <f t="shared" si="1"/>
        <v/>
      </c>
      <c r="H25" s="381" t="str" cm="1">
        <f t="array" ref="H25">IF($B25="","",IF(UPPER(TRIM($D25))="QT. SUFFISANTE","Qt. suffisante",IF($O25="","",IF($L25="MASSE",IF($O25&gt;=1,"Kg","g"),IF($L25="VOLUME",IF($O25&gt;=1,"L","cl"),INDEX($AL$72:$AL$430,$K25))))))</f>
        <v/>
      </c>
      <c r="I25" s="382" t="str" cm="1">
        <f t="array" ref="I25">IF($B25="","",INDEX($AM$72:$AM$430,$K25))</f>
        <v/>
      </c>
      <c r="J25" s="271"/>
      <c r="K25" s="383">
        <f>1+($B$5-1)*36+3</f>
        <v>4</v>
      </c>
      <c r="L25" s="383" t="str" cm="1">
        <f t="array" ref="L25">IF($B25="","",INDEX($AI$72:$AI$430,$K25))</f>
        <v/>
      </c>
      <c r="M25" s="383" t="str" cm="1">
        <f t="array" ref="M25">IF($B25="","",INDEX($AJ$72:$AJ$430,$K25))</f>
        <v/>
      </c>
      <c r="N25" s="384" t="str" cm="1">
        <f t="array" ref="N25">IF(OR($B25="",$B$13="",$B$12="",$B$12=0),"",IF($L$22="AUTRE",IFERROR(INDEX($AK$72:$AK$430,$K25)*($B$13/$B$12),""),IF(OR($C$12="",$C$13=""),"",IFERROR(INDEX($AK$72:$AK$430,$K25)*(($B$13*VLOOKUP($C$13,$AY$74:$BA$119,3,FALSE))/($B$12*VLOOKUP($C$12,$AY$74:$BA$119,3,FALSE))),""))))</f>
        <v/>
      </c>
      <c r="O25" s="384" t="str" cm="1">
        <f t="array" ref="O25">IF(OR($B25="",$G$12="",$G$11="",$G$11=0),"",IFERROR(INDEX($AK$72:$AK$430,$K25)*($G$12/$G$11),""))</f>
        <v/>
      </c>
      <c r="U25" s="611"/>
      <c r="V25" s="613"/>
      <c r="W25" s="616"/>
      <c r="X25" s="616"/>
      <c r="Y25" s="616"/>
      <c r="Z25" s="616"/>
      <c r="AA25" s="617"/>
      <c r="AC25" s="275"/>
      <c r="AD25" s="301" t="s">
        <v>7994</v>
      </c>
      <c r="AE25" s="322" t="s">
        <v>7997</v>
      </c>
      <c r="AF25" s="303" t="s">
        <v>7998</v>
      </c>
      <c r="AG25" s="390"/>
      <c r="AH25" s="391" t="s">
        <v>7999</v>
      </c>
      <c r="AI25" s="311" t="s">
        <v>8000</v>
      </c>
      <c r="AJ25" s="311"/>
      <c r="AK25" s="311"/>
      <c r="AL25" s="311"/>
      <c r="AM25" s="311"/>
      <c r="AN25" s="311"/>
      <c r="AO25" s="311"/>
      <c r="AP25" s="311"/>
      <c r="AQ25" s="311"/>
      <c r="BB25" s="271"/>
      <c r="BC25" s="271"/>
      <c r="BD25" s="279">
        <v>1</v>
      </c>
      <c r="BE25" s="271"/>
      <c r="BF25" s="271"/>
      <c r="BG25" s="271"/>
    </row>
    <row r="26" spans="1:59" ht="21.95" customHeight="1" x14ac:dyDescent="0.25">
      <c r="A26" s="374">
        <f>IF($B26="","",4)</f>
        <v>4</v>
      </c>
      <c r="B26" s="375" t="str" cm="1">
        <f t="array" ref="B26">IFERROR(IF(INDEX($AC$72:$AC$430,$K26)="","",INDEX($AC$72:$AC$430,$K26)),"")</f>
        <v>Crème fraîche épaisse *</v>
      </c>
      <c r="C26" s="376" cm="1">
        <f t="array" ref="C26">IF($B26="","",INDEX($AG$72:$AG$430,$K26))</f>
        <v>2</v>
      </c>
      <c r="D26" s="377" t="str" cm="1">
        <f t="array" ref="D26">IF($B26="","",INDEX($AH$72:$AH$430,$K26))</f>
        <v>L</v>
      </c>
      <c r="E26" s="378">
        <f t="shared" si="0"/>
        <v>1</v>
      </c>
      <c r="F26" s="379" t="str" cm="1">
        <f t="array" ref="F26">IF($B26="","",IF(UPPER(TRIM($D26))="QT. SUFFISANTE","Qt. suffisante",IF($N26="","",IF($L26="MASSE",IF($N26&gt;=1,"Kg","g"),IF($L26="VOLUME",IF($N26&gt;=1,"L","cl"),INDEX($AL$72:$AL$430,$K26))))))</f>
        <v>L</v>
      </c>
      <c r="G26" s="380">
        <f t="shared" si="1"/>
        <v>4</v>
      </c>
      <c r="H26" s="381" t="str" cm="1">
        <f t="array" ref="H26">IF($B26="","",IF(UPPER(TRIM($D26))="QT. SUFFISANTE","Qt. suffisante",IF($O26="","",IF($L26="MASSE",IF($O26&gt;=1,"Kg","g"),IF($L26="VOLUME",IF($O26&gt;=1,"L","cl"),INDEX($AL$72:$AL$430,$K26))))))</f>
        <v>L</v>
      </c>
      <c r="I26" s="382" t="str" cm="1">
        <f t="array" ref="I26">IF($B26="","",INDEX($AM$72:$AM$430,$K26))</f>
        <v>OK</v>
      </c>
      <c r="J26" s="271"/>
      <c r="K26" s="383">
        <f>1+($B$5-1)*36+4</f>
        <v>5</v>
      </c>
      <c r="L26" s="383" t="str" cm="1">
        <f t="array" ref="L26">IF($B26="","",INDEX($AI$72:$AI$430,$K26))</f>
        <v>VOLUME</v>
      </c>
      <c r="M26" s="383" cm="1">
        <f t="array" ref="M26">IF($B26="","",INDEX($AJ$72:$AJ$430,$K26))</f>
        <v>1</v>
      </c>
      <c r="N26" s="384" cm="1">
        <f t="array" ref="N26">IF(OR($B26="",$B$13="",$B$12="",$B$12=0),"",IF($L$22="AUTRE",IFERROR(INDEX($AK$72:$AK$430,$K26)*($B$13/$B$12),""),IF(OR($C$12="",$C$13=""),"",IFERROR(INDEX($AK$72:$AK$430,$K26)*(($B$13*VLOOKUP($C$13,$AY$74:$BA$119,3,FALSE))/($B$12*VLOOKUP($C$12,$AY$74:$BA$119,3,FALSE))),""))))</f>
        <v>1</v>
      </c>
      <c r="O26" s="384" cm="1">
        <f t="array" ref="O26">IF(OR($B26="",$G$12="",$G$11="",$G$11=0),"",IFERROR(INDEX($AK$72:$AK$430,$K26)*($G$12/$G$11),""))</f>
        <v>4</v>
      </c>
      <c r="U26" s="618" t="s">
        <v>8001</v>
      </c>
      <c r="V26" s="619" t="s">
        <v>8002</v>
      </c>
      <c r="W26" s="620" t="s">
        <v>8003</v>
      </c>
      <c r="X26" s="620"/>
      <c r="Y26" s="620"/>
      <c r="Z26" s="620"/>
      <c r="AA26" s="621"/>
      <c r="AC26" s="275"/>
      <c r="AD26" s="301" t="s">
        <v>8004</v>
      </c>
      <c r="AE26" s="322" t="s">
        <v>8005</v>
      </c>
      <c r="AF26" s="303" t="s">
        <v>8006</v>
      </c>
      <c r="AG26" s="624" t="s">
        <v>8007</v>
      </c>
      <c r="AH26" s="624"/>
      <c r="AI26" s="311" t="s">
        <v>8008</v>
      </c>
      <c r="AJ26" s="311"/>
      <c r="AK26" s="311"/>
      <c r="AL26" s="311"/>
      <c r="AM26" s="311"/>
      <c r="AN26" s="311"/>
      <c r="AO26" s="311"/>
      <c r="AP26" s="311"/>
      <c r="AQ26" s="311"/>
      <c r="BB26" s="271"/>
      <c r="BC26" s="271"/>
      <c r="BD26" s="279">
        <v>1</v>
      </c>
      <c r="BE26" s="271"/>
      <c r="BF26" s="271"/>
      <c r="BG26" s="271"/>
    </row>
    <row r="27" spans="1:59" ht="21.95" customHeight="1" thickBot="1" x14ac:dyDescent="0.3">
      <c r="A27" s="374">
        <f>IF($B27="","",5)</f>
        <v>5</v>
      </c>
      <c r="B27" s="375" t="str" cm="1">
        <f t="array" ref="B27">IFERROR(IF(INDEX($AC$72:$AC$430,$K27)="","",INDEX($AC$72:$AC$430,$K27)),"")</f>
        <v>Vinaigre de vin ?</v>
      </c>
      <c r="C27" s="376" cm="1">
        <f t="array" ref="C27">IF($B27="","",INDEX($AG$72:$AG$430,$K27))</f>
        <v>25</v>
      </c>
      <c r="D27" s="377" t="str" cm="1">
        <f t="array" ref="D27">IF($B27="","",INDEX($AH$72:$AH$430,$K27))</f>
        <v>CL</v>
      </c>
      <c r="E27" s="378">
        <f t="shared" si="0"/>
        <v>13</v>
      </c>
      <c r="F27" s="379" t="str" cm="1">
        <f t="array" ref="F27">IF($B27="","",IF(UPPER(TRIM($D27))="QT. SUFFISANTE","Qt. suffisante",IF($N27="","",IF($L27="MASSE",IF($N27&gt;=1,"Kg","g"),IF($L27="VOLUME",IF($N27&gt;=1,"L","cl"),INDEX($AL$72:$AL$430,$K27))))))</f>
        <v>cl</v>
      </c>
      <c r="G27" s="380">
        <f t="shared" si="1"/>
        <v>50</v>
      </c>
      <c r="H27" s="381" t="str" cm="1">
        <f t="array" ref="H27">IF($B27="","",IF(UPPER(TRIM($D27))="QT. SUFFISANTE","Qt. suffisante",IF($O27="","",IF($L27="MASSE",IF($O27&gt;=1,"Kg","g"),IF($L27="VOLUME",IF($O27&gt;=1,"L","cl"),INDEX($AL$72:$AL$430,$K27))))))</f>
        <v>cl</v>
      </c>
      <c r="I27" s="382" t="str" cm="1">
        <f t="array" ref="I27">IF($B27="","",INDEX($AM$72:$AM$430,$K27))</f>
        <v>OK</v>
      </c>
      <c r="J27" s="271"/>
      <c r="K27" s="383">
        <f>1+($B$5-1)*36+5</f>
        <v>6</v>
      </c>
      <c r="L27" s="383" t="str" cm="1">
        <f t="array" ref="L27">IF($B27="","",INDEX($AI$72:$AI$430,$K27))</f>
        <v>VOLUME</v>
      </c>
      <c r="M27" s="383" cm="1">
        <f t="array" ref="M27">IF($B27="","",INDEX($AJ$72:$AJ$430,$K27))</f>
        <v>0.01</v>
      </c>
      <c r="N27" s="384" cm="1">
        <f t="array" ref="N27">IF(OR($B27="",$B$13="",$B$12="",$B$12=0),"",IF($L$22="AUTRE",IFERROR(INDEX($AK$72:$AK$430,$K27)*($B$13/$B$12),""),IF(OR($C$12="",$C$13=""),"",IFERROR(INDEX($AK$72:$AK$430,$K27)*(($B$13*VLOOKUP($C$13,$AY$74:$BA$119,3,FALSE))/($B$12*VLOOKUP($C$12,$AY$74:$BA$119,3,FALSE))),""))))</f>
        <v>0.125</v>
      </c>
      <c r="O27" s="384" cm="1">
        <f t="array" ref="O27">IF(OR($B27="",$G$12="",$G$11="",$G$11=0),"",IFERROR(INDEX($AK$72:$AK$430,$K27)*($G$12/$G$11),""))</f>
        <v>0.5</v>
      </c>
      <c r="U27" s="588"/>
      <c r="V27" s="590"/>
      <c r="W27" s="622"/>
      <c r="X27" s="622"/>
      <c r="Y27" s="622"/>
      <c r="Z27" s="622"/>
      <c r="AA27" s="623"/>
      <c r="AC27" s="275"/>
      <c r="AD27" s="301" t="s">
        <v>8009</v>
      </c>
      <c r="AE27" s="355" t="s">
        <v>8010</v>
      </c>
      <c r="AF27" s="303" t="s">
        <v>8011</v>
      </c>
      <c r="AG27" s="625" t="s">
        <v>8012</v>
      </c>
      <c r="AH27" s="625"/>
      <c r="AI27" s="304" t="s">
        <v>8013</v>
      </c>
      <c r="AJ27" s="304"/>
      <c r="AK27" s="304"/>
      <c r="AL27" s="304"/>
      <c r="AM27" s="304"/>
      <c r="AN27" s="304"/>
      <c r="AO27" s="304"/>
      <c r="AP27" s="304"/>
      <c r="AQ27" s="304"/>
      <c r="BB27" s="271"/>
      <c r="BC27" s="271"/>
      <c r="BD27" s="279">
        <v>1</v>
      </c>
      <c r="BE27" s="271"/>
      <c r="BF27" s="271"/>
      <c r="BG27" s="271"/>
    </row>
    <row r="28" spans="1:59" ht="21.95" customHeight="1" x14ac:dyDescent="0.25">
      <c r="A28" s="374">
        <f>IF($B28="","",6)</f>
        <v>6</v>
      </c>
      <c r="B28" s="375" t="str" cm="1">
        <f t="array" ref="B28">IFERROR(IF(INDEX($AC$72:$AC$430,$K28)="","",INDEX($AC$72:$AC$430,$K28)),"")</f>
        <v>Sucre semoule *</v>
      </c>
      <c r="C28" s="376" cm="1">
        <f t="array" ref="C28">IF($B28="","",INDEX($AG$72:$AG$430,$K28))</f>
        <v>75</v>
      </c>
      <c r="D28" s="377" t="str" cm="1">
        <f t="array" ref="D28">IF($B28="","",INDEX($AH$72:$AH$430,$K28))</f>
        <v>G</v>
      </c>
      <c r="E28" s="378">
        <f t="shared" si="0"/>
        <v>38</v>
      </c>
      <c r="F28" s="379" t="str" cm="1">
        <f t="array" ref="F28">IF($B28="","",IF(UPPER(TRIM($D28))="QT. SUFFISANTE","Qt. suffisante",IF($N28="","",IF($L28="MASSE",IF($N28&gt;=1,"Kg","g"),IF($L28="VOLUME",IF($N28&gt;=1,"L","cl"),INDEX($AL$72:$AL$430,$K28))))))</f>
        <v>g</v>
      </c>
      <c r="G28" s="380">
        <f t="shared" si="1"/>
        <v>150</v>
      </c>
      <c r="H28" s="381" t="str" cm="1">
        <f t="array" ref="H28">IF($B28="","",IF(UPPER(TRIM($D28))="QT. SUFFISANTE","Qt. suffisante",IF($O28="","",IF($L28="MASSE",IF($O28&gt;=1,"Kg","g"),IF($L28="VOLUME",IF($O28&gt;=1,"L","cl"),INDEX($AL$72:$AL$430,$K28))))))</f>
        <v>g</v>
      </c>
      <c r="I28" s="382" t="str" cm="1">
        <f t="array" ref="I28">IF($B28="","",INDEX($AM$72:$AM$430,$K28))</f>
        <v>OK</v>
      </c>
      <c r="J28" s="271"/>
      <c r="K28" s="383">
        <f>1+($B$5-1)*36+6</f>
        <v>7</v>
      </c>
      <c r="L28" s="383" t="str" cm="1">
        <f t="array" ref="L28">IF($B28="","",INDEX($AI$72:$AI$430,$K28))</f>
        <v>MASSE</v>
      </c>
      <c r="M28" s="383" cm="1">
        <f t="array" ref="M28">IF($B28="","",INDEX($AJ$72:$AJ$430,$K28))</f>
        <v>1E-3</v>
      </c>
      <c r="N28" s="384" cm="1">
        <f t="array" ref="N28">IF(OR($B28="",$B$13="",$B$12="",$B$12=0),"",IF($L$22="AUTRE",IFERROR(INDEX($AK$72:$AK$430,$K28)*($B$13/$B$12),""),IF(OR($C$12="",$C$13=""),"",IFERROR(INDEX($AK$72:$AK$430,$K28)*(($B$13*VLOOKUP($C$13,$AY$74:$BA$119,3,FALSE))/($B$12*VLOOKUP($C$12,$AY$74:$BA$119,3,FALSE))),""))))</f>
        <v>3.7499999999999999E-2</v>
      </c>
      <c r="O28" s="384" cm="1">
        <f t="array" ref="O28">IF(OR($B28="",$G$12="",$G$11="",$G$11=0),"",IFERROR(INDEX($AK$72:$AK$430,$K28)*($G$12/$G$11),""))</f>
        <v>0.15</v>
      </c>
      <c r="U28" s="595" t="s">
        <v>8014</v>
      </c>
      <c r="V28" s="392" t="s">
        <v>4</v>
      </c>
      <c r="W28" s="597" t="s">
        <v>8015</v>
      </c>
      <c r="X28" s="597"/>
      <c r="Y28" s="597"/>
      <c r="Z28" s="597"/>
      <c r="AA28" s="598"/>
      <c r="AC28" s="275"/>
      <c r="AD28" s="328" t="s">
        <v>8016</v>
      </c>
      <c r="AE28" s="329"/>
      <c r="AF28" s="330"/>
      <c r="AG28" s="329"/>
      <c r="AH28" s="329"/>
      <c r="AI28" s="329"/>
      <c r="AJ28" s="329"/>
      <c r="AK28" s="329"/>
      <c r="AL28" s="329"/>
      <c r="AM28" s="329"/>
      <c r="AN28" s="329"/>
      <c r="AO28" s="329"/>
      <c r="AP28" s="329"/>
      <c r="AQ28" s="329"/>
      <c r="BB28" s="271"/>
      <c r="BC28" s="271"/>
      <c r="BD28" s="279">
        <v>1</v>
      </c>
      <c r="BE28" s="271"/>
      <c r="BF28" s="271"/>
      <c r="BG28" s="271"/>
    </row>
    <row r="29" spans="1:59" ht="21.95" customHeight="1" x14ac:dyDescent="0.25">
      <c r="A29" s="374">
        <f>IF($B29="","",7)</f>
        <v>7</v>
      </c>
      <c r="B29" s="375" t="str" cm="1">
        <f t="array" ref="B29">IFERROR(IF(INDEX($AC$72:$AC$430,$K29)="","",INDEX($AC$72:$AC$430,$K29)),"")</f>
        <v>Persil plat ou coriandre</v>
      </c>
      <c r="C29" s="376" cm="1">
        <f t="array" ref="C29">IF($B29="","",INDEX($AG$72:$AG$430,$K29))</f>
        <v>250</v>
      </c>
      <c r="D29" s="377" t="str" cm="1">
        <f t="array" ref="D29">IF($B29="","",INDEX($AH$72:$AH$430,$K29))</f>
        <v>G</v>
      </c>
      <c r="E29" s="378">
        <f t="shared" si="0"/>
        <v>125</v>
      </c>
      <c r="F29" s="379" t="str" cm="1">
        <f t="array" ref="F29">IF($B29="","",IF(UPPER(TRIM($D29))="QT. SUFFISANTE","Qt. suffisante",IF($N29="","",IF($L29="MASSE",IF($N29&gt;=1,"Kg","g"),IF($L29="VOLUME",IF($N29&gt;=1,"L","cl"),INDEX($AL$72:$AL$430,$K29))))))</f>
        <v>g</v>
      </c>
      <c r="G29" s="380">
        <f t="shared" si="1"/>
        <v>500</v>
      </c>
      <c r="H29" s="381" t="str" cm="1">
        <f t="array" ref="H29">IF($B29="","",IF(UPPER(TRIM($D29))="QT. SUFFISANTE","Qt. suffisante",IF($O29="","",IF($L29="MASSE",IF($O29&gt;=1,"Kg","g"),IF($L29="VOLUME",IF($O29&gt;=1,"L","cl"),INDEX($AL$72:$AL$430,$K29))))))</f>
        <v>g</v>
      </c>
      <c r="I29" s="382" t="str" cm="1">
        <f t="array" ref="I29">IF($B29="","",INDEX($AM$72:$AM$430,$K29))</f>
        <v>OK</v>
      </c>
      <c r="J29" s="271"/>
      <c r="K29" s="383">
        <f>1+($B$5-1)*36+7</f>
        <v>8</v>
      </c>
      <c r="L29" s="383" t="str" cm="1">
        <f t="array" ref="L29">IF($B29="","",INDEX($AI$72:$AI$430,$K29))</f>
        <v>MASSE</v>
      </c>
      <c r="M29" s="383" cm="1">
        <f t="array" ref="M29">IF($B29="","",INDEX($AJ$72:$AJ$430,$K29))</f>
        <v>1E-3</v>
      </c>
      <c r="N29" s="384" cm="1">
        <f t="array" ref="N29">IF(OR($B29="",$B$13="",$B$12="",$B$12=0),"",IF($L$22="AUTRE",IFERROR(INDEX($AK$72:$AK$430,$K29)*($B$13/$B$12),""),IF(OR($C$12="",$C$13=""),"",IFERROR(INDEX($AK$72:$AK$430,$K29)*(($B$13*VLOOKUP($C$13,$AY$74:$BA$119,3,FALSE))/($B$12*VLOOKUP($C$12,$AY$74:$BA$119,3,FALSE))),""))))</f>
        <v>0.125</v>
      </c>
      <c r="O29" s="384" cm="1">
        <f t="array" ref="O29">IF(OR($B29="",$G$12="",$G$11="",$G$11=0),"",IFERROR(INDEX($AK$72:$AK$430,$K29)*($G$12/$G$11),""))</f>
        <v>0.5</v>
      </c>
      <c r="U29" s="596"/>
      <c r="V29" s="393"/>
      <c r="W29" s="599"/>
      <c r="X29" s="599"/>
      <c r="Y29" s="599"/>
      <c r="Z29" s="599"/>
      <c r="AA29" s="600"/>
      <c r="AC29" s="275"/>
      <c r="AD29" s="319" t="s">
        <v>8017</v>
      </c>
      <c r="AE29" s="394" t="s">
        <v>8018</v>
      </c>
      <c r="AF29" s="395" t="s">
        <v>8019</v>
      </c>
      <c r="AG29" s="601" t="s">
        <v>8020</v>
      </c>
      <c r="AH29" s="601"/>
      <c r="AI29" s="304" t="s">
        <v>8021</v>
      </c>
      <c r="AJ29" s="304"/>
      <c r="AK29" s="304"/>
      <c r="AL29" s="304"/>
      <c r="AM29" s="304"/>
      <c r="AN29" s="304"/>
      <c r="AO29" s="304"/>
      <c r="AP29" s="304"/>
      <c r="AQ29" s="304"/>
      <c r="BB29" s="271"/>
      <c r="BC29" s="271"/>
      <c r="BD29" s="279">
        <v>1</v>
      </c>
      <c r="BE29" s="271"/>
      <c r="BF29" s="271"/>
      <c r="BG29" s="271"/>
    </row>
    <row r="30" spans="1:59" ht="21.95" customHeight="1" x14ac:dyDescent="0.25">
      <c r="A30" s="374">
        <f>IF($B30="","",8)</f>
        <v>8</v>
      </c>
      <c r="B30" s="375" t="str" cm="1">
        <f t="array" ref="B30">IFERROR(IF(INDEX($AC$72:$AC$430,$K30)="","",INDEX($AC$72:$AC$430,$K30)),"")</f>
        <v>Mayonnaise *</v>
      </c>
      <c r="C30" s="376" cm="1">
        <f t="array" ref="C30">IF($B30="","",INDEX($AG$72:$AG$430,$K30))</f>
        <v>2</v>
      </c>
      <c r="D30" s="377" t="str" cm="1">
        <f t="array" ref="D30">IF($B30="","",INDEX($AH$72:$AH$430,$K30))</f>
        <v>L</v>
      </c>
      <c r="E30" s="378">
        <f t="shared" si="0"/>
        <v>1</v>
      </c>
      <c r="F30" s="379" t="str" cm="1">
        <f t="array" ref="F30">IF($B30="","",IF(UPPER(TRIM($D30))="QT. SUFFISANTE","Qt. suffisante",IF($N30="","",IF($L30="MASSE",IF($N30&gt;=1,"Kg","g"),IF($L30="VOLUME",IF($N30&gt;=1,"L","cl"),INDEX($AL$72:$AL$430,$K30))))))</f>
        <v>L</v>
      </c>
      <c r="G30" s="380">
        <f t="shared" si="1"/>
        <v>4</v>
      </c>
      <c r="H30" s="381" t="str" cm="1">
        <f t="array" ref="H30">IF($B30="","",IF(UPPER(TRIM($D30))="QT. SUFFISANTE","Qt. suffisante",IF($O30="","",IF($L30="MASSE",IF($O30&gt;=1,"Kg","g"),IF($L30="VOLUME",IF($O30&gt;=1,"L","cl"),INDEX($AL$72:$AL$430,$K30))))))</f>
        <v>L</v>
      </c>
      <c r="I30" s="382" t="str" cm="1">
        <f t="array" ref="I30">IF($B30="","",INDEX($AM$72:$AM$430,$K30))</f>
        <v>OK</v>
      </c>
      <c r="J30" s="271"/>
      <c r="K30" s="383">
        <f>1+($B$5-1)*36+8</f>
        <v>9</v>
      </c>
      <c r="L30" s="383" t="str" cm="1">
        <f t="array" ref="L30">IF($B30="","",INDEX($AI$72:$AI$430,$K30))</f>
        <v>VOLUME</v>
      </c>
      <c r="M30" s="383" cm="1">
        <f t="array" ref="M30">IF($B30="","",INDEX($AJ$72:$AJ$430,$K30))</f>
        <v>1</v>
      </c>
      <c r="N30" s="384" cm="1">
        <f t="array" ref="N30">IF(OR($B30="",$B$13="",$B$12="",$B$12=0),"",IF($L$22="AUTRE",IFERROR(INDEX($AK$72:$AK$430,$K30)*($B$13/$B$12),""),IF(OR($C$12="",$C$13=""),"",IFERROR(INDEX($AK$72:$AK$430,$K30)*(($B$13*VLOOKUP($C$13,$AY$74:$BA$119,3,FALSE))/($B$12*VLOOKUP($C$12,$AY$74:$BA$119,3,FALSE))),""))))</f>
        <v>1</v>
      </c>
      <c r="O30" s="384" cm="1">
        <f t="array" ref="O30">IF(OR($B30="",$G$12="",$G$11="",$G$11=0),"",IFERROR(INDEX($AK$72:$AK$430,$K30)*($G$12/$G$11),""))</f>
        <v>4</v>
      </c>
      <c r="U30" s="626" t="s">
        <v>8022</v>
      </c>
      <c r="V30" s="627"/>
      <c r="W30" s="627"/>
      <c r="X30" s="627"/>
      <c r="Y30" s="627"/>
      <c r="Z30" s="627"/>
      <c r="AA30" s="628"/>
      <c r="AC30" s="275"/>
      <c r="AD30" s="319" t="s">
        <v>8017</v>
      </c>
      <c r="AE30" s="320" t="s">
        <v>8023</v>
      </c>
      <c r="AF30" s="395" t="s">
        <v>8024</v>
      </c>
      <c r="AG30" s="629" t="s">
        <v>7</v>
      </c>
      <c r="AH30" s="629"/>
      <c r="AI30" s="304" t="s">
        <v>8025</v>
      </c>
      <c r="AJ30" s="304"/>
      <c r="AK30" s="304"/>
      <c r="AL30" s="304"/>
      <c r="AM30" s="304"/>
      <c r="AN30" s="304"/>
      <c r="AO30" s="304"/>
      <c r="AP30" s="304"/>
      <c r="AQ30" s="304"/>
      <c r="BB30" s="271"/>
      <c r="BC30" s="271"/>
      <c r="BD30" s="279">
        <v>1</v>
      </c>
      <c r="BE30" s="271"/>
      <c r="BF30" s="271"/>
      <c r="BG30" s="271"/>
    </row>
    <row r="31" spans="1:59" ht="21.95" customHeight="1" x14ac:dyDescent="0.25">
      <c r="A31" s="374">
        <f>IF($B31="","",9)</f>
        <v>9</v>
      </c>
      <c r="B31" s="375" t="str" cm="1">
        <f t="array" ref="B31">IFERROR(IF(INDEX($AC$72:$AC$430,$K31)="","",INDEX($AC$72:$AC$430,$K31)),"")</f>
        <v>Persil plat ou coriandre</v>
      </c>
      <c r="C31" s="376" cm="1">
        <f t="array" ref="C31">IF($B31="","",INDEX($AG$72:$AG$430,$K31))</f>
        <v>250</v>
      </c>
      <c r="D31" s="377" t="str" cm="1">
        <f t="array" ref="D31">IF($B31="","",INDEX($AH$72:$AH$430,$K31))</f>
        <v>G</v>
      </c>
      <c r="E31" s="378">
        <f t="shared" si="0"/>
        <v>125</v>
      </c>
      <c r="F31" s="379" t="str" cm="1">
        <f t="array" ref="F31">IF($B31="","",IF(UPPER(TRIM($D31))="QT. SUFFISANTE","Qt. suffisante",IF($N31="","",IF($L31="MASSE",IF($N31&gt;=1,"Kg","g"),IF($L31="VOLUME",IF($N31&gt;=1,"L","cl"),INDEX($AL$72:$AL$430,$K31))))))</f>
        <v>g</v>
      </c>
      <c r="G31" s="380">
        <f t="shared" si="1"/>
        <v>500</v>
      </c>
      <c r="H31" s="381" t="str" cm="1">
        <f t="array" ref="H31">IF($B31="","",IF(UPPER(TRIM($D31))="QT. SUFFISANTE","Qt. suffisante",IF($O31="","",IF($L31="MASSE",IF($O31&gt;=1,"Kg","g"),IF($L31="VOLUME",IF($O31&gt;=1,"L","cl"),INDEX($AL$72:$AL$430,$K31))))))</f>
        <v>g</v>
      </c>
      <c r="I31" s="382" t="str" cm="1">
        <f t="array" ref="I31">IF($B31="","",INDEX($AM$72:$AM$430,$K31))</f>
        <v>OK</v>
      </c>
      <c r="J31" s="271"/>
      <c r="K31" s="383">
        <f>1+($B$5-1)*36+9</f>
        <v>10</v>
      </c>
      <c r="L31" s="383" t="str" cm="1">
        <f t="array" ref="L31">IF($B31="","",INDEX($AI$72:$AI$430,$K31))</f>
        <v>MASSE</v>
      </c>
      <c r="M31" s="383" cm="1">
        <f t="array" ref="M31">IF($B31="","",INDEX($AJ$72:$AJ$430,$K31))</f>
        <v>1E-3</v>
      </c>
      <c r="N31" s="384" cm="1">
        <f t="array" ref="N31">IF(OR($B31="",$B$13="",$B$12="",$B$12=0),"",IF($L$22="AUTRE",IFERROR(INDEX($AK$72:$AK$430,$K31)*($B$13/$B$12),""),IF(OR($C$12="",$C$13=""),"",IFERROR(INDEX($AK$72:$AK$430,$K31)*(($B$13*VLOOKUP($C$13,$AY$74:$BA$119,3,FALSE))/($B$12*VLOOKUP($C$12,$AY$74:$BA$119,3,FALSE))),""))))</f>
        <v>0.125</v>
      </c>
      <c r="O31" s="384" cm="1">
        <f t="array" ref="O31">IF(OR($B31="",$G$12="",$G$11="",$G$11=0),"",IFERROR(INDEX($AK$72:$AK$430,$K31)*($G$12/$G$11),""))</f>
        <v>0.5</v>
      </c>
      <c r="U31" s="630" t="s">
        <v>8026</v>
      </c>
      <c r="V31" s="631"/>
      <c r="W31" s="632" t="s">
        <v>8027</v>
      </c>
      <c r="X31" s="632"/>
      <c r="Y31" s="632"/>
      <c r="Z31" s="632"/>
      <c r="AA31" s="633"/>
      <c r="AC31" s="275"/>
      <c r="AD31" s="319" t="s">
        <v>8017</v>
      </c>
      <c r="AE31" s="320" t="s">
        <v>330</v>
      </c>
      <c r="AF31" s="395" t="s">
        <v>8028</v>
      </c>
      <c r="AG31" s="634" t="s">
        <v>8029</v>
      </c>
      <c r="AH31" s="634"/>
      <c r="AI31" s="304" t="s">
        <v>8030</v>
      </c>
      <c r="AJ31" s="304"/>
      <c r="AK31" s="304"/>
      <c r="AL31" s="304"/>
      <c r="AM31" s="304"/>
      <c r="AN31" s="304"/>
      <c r="AO31" s="304"/>
      <c r="AP31" s="304"/>
      <c r="AQ31" s="304"/>
      <c r="BB31" s="271"/>
      <c r="BC31" s="271"/>
      <c r="BD31" s="279">
        <v>1</v>
      </c>
      <c r="BE31" s="271"/>
      <c r="BF31" s="271"/>
      <c r="BG31" s="271"/>
    </row>
    <row r="32" spans="1:59" ht="21.95" customHeight="1" x14ac:dyDescent="0.25">
      <c r="A32" s="374">
        <f>IF($B32="","",10)</f>
        <v>10</v>
      </c>
      <c r="B32" s="375" t="str" cm="1">
        <f t="array" ref="B32">IFERROR(IF(INDEX($AC$72:$AC$430,$K32)="","",INDEX($AC$72:$AC$430,$K32)),"")</f>
        <v>Sel fin</v>
      </c>
      <c r="C32" s="376" cm="1">
        <f t="array" ref="C32">IF($B32="","",INDEX($AG$72:$AG$430,$K32))</f>
        <v>30</v>
      </c>
      <c r="D32" s="377" t="str" cm="1">
        <f t="array" ref="D32">IF($B32="","",INDEX($AH$72:$AH$430,$K32))</f>
        <v>G</v>
      </c>
      <c r="E32" s="378">
        <f t="shared" si="0"/>
        <v>15</v>
      </c>
      <c r="F32" s="379" t="str" cm="1">
        <f t="array" ref="F32">IF($B32="","",IF(UPPER(TRIM($D32))="QT. SUFFISANTE","Qt. suffisante",IF($N32="","",IF($L32="MASSE",IF($N32&gt;=1,"Kg","g"),IF($L32="VOLUME",IF($N32&gt;=1,"L","cl"),INDEX($AL$72:$AL$430,$K32))))))</f>
        <v>g</v>
      </c>
      <c r="G32" s="380">
        <f t="shared" si="1"/>
        <v>60</v>
      </c>
      <c r="H32" s="381" t="str" cm="1">
        <f t="array" ref="H32">IF($B32="","",IF(UPPER(TRIM($D32))="QT. SUFFISANTE","Qt. suffisante",IF($O32="","",IF($L32="MASSE",IF($O32&gt;=1,"Kg","g"),IF($L32="VOLUME",IF($O32&gt;=1,"L","cl"),INDEX($AL$72:$AL$430,$K32))))))</f>
        <v>g</v>
      </c>
      <c r="I32" s="382" t="str" cm="1">
        <f t="array" ref="I32">IF($B32="","",INDEX($AM$72:$AM$430,$K32))</f>
        <v>OK</v>
      </c>
      <c r="J32" s="271"/>
      <c r="K32" s="383">
        <f>1+($B$5-1)*36+10</f>
        <v>11</v>
      </c>
      <c r="L32" s="383" t="str" cm="1">
        <f t="array" ref="L32">IF($B32="","",INDEX($AI$72:$AI$430,$K32))</f>
        <v>MASSE</v>
      </c>
      <c r="M32" s="383" cm="1">
        <f t="array" ref="M32">IF($B32="","",INDEX($AJ$72:$AJ$430,$K32))</f>
        <v>1E-3</v>
      </c>
      <c r="N32" s="384" cm="1">
        <f t="array" ref="N32">IF(OR($B32="",$B$13="",$B$12="",$B$12=0),"",IF($L$22="AUTRE",IFERROR(INDEX($AK$72:$AK$430,$K32)*($B$13/$B$12),""),IF(OR($C$12="",$C$13=""),"",IFERROR(INDEX($AK$72:$AK$430,$K32)*(($B$13*VLOOKUP($C$13,$AY$74:$BA$119,3,FALSE))/($B$12*VLOOKUP($C$12,$AY$74:$BA$119,3,FALSE))),""))))</f>
        <v>1.4999999999999999E-2</v>
      </c>
      <c r="O32" s="384" cm="1">
        <f t="array" ref="O32">IF(OR($B32="",$G$12="",$G$11="",$G$11=0),"",IFERROR(INDEX($AK$72:$AK$430,$K32)*($G$12/$G$11),""))</f>
        <v>0.06</v>
      </c>
      <c r="U32" s="630"/>
      <c r="V32" s="631"/>
      <c r="W32" s="632"/>
      <c r="X32" s="632"/>
      <c r="Y32" s="632"/>
      <c r="Z32" s="632"/>
      <c r="AA32" s="633"/>
      <c r="AC32" s="275"/>
      <c r="AD32" s="319" t="s">
        <v>8017</v>
      </c>
      <c r="AE32" s="320" t="s">
        <v>8031</v>
      </c>
      <c r="AF32" s="395" t="s">
        <v>8032</v>
      </c>
      <c r="AG32" s="634" t="s">
        <v>8033</v>
      </c>
      <c r="AH32" s="634"/>
      <c r="AI32" s="311" t="s">
        <v>8034</v>
      </c>
      <c r="AJ32" s="311"/>
      <c r="AK32" s="311"/>
      <c r="AL32" s="311"/>
      <c r="AM32" s="311"/>
      <c r="AN32" s="311"/>
      <c r="AO32" s="311"/>
      <c r="AP32" s="311"/>
      <c r="AQ32" s="311"/>
      <c r="BB32" s="271"/>
      <c r="BC32" s="271"/>
      <c r="BD32" s="279">
        <v>1</v>
      </c>
      <c r="BE32" s="271"/>
      <c r="BF32" s="271"/>
      <c r="BG32" s="271"/>
    </row>
    <row r="33" spans="1:59" ht="21.95" customHeight="1" x14ac:dyDescent="0.25">
      <c r="A33" s="374">
        <f>IF($B33="","",11)</f>
        <v>11</v>
      </c>
      <c r="B33" s="375" t="str" cm="1">
        <f t="array" ref="B33">IFERROR(IF(INDEX($AC$72:$AC$430,$K33)="","",INDEX($AC$72:$AC$430,$K33)),"")</f>
        <v>Poivre blanc moulu</v>
      </c>
      <c r="C33" s="376" cm="1">
        <f t="array" ref="C33">IF($B33="","",INDEX($AG$72:$AG$430,$K33))</f>
        <v>15</v>
      </c>
      <c r="D33" s="377" t="str" cm="1">
        <f t="array" ref="D33">IF($B33="","",INDEX($AH$72:$AH$430,$K33))</f>
        <v>G</v>
      </c>
      <c r="E33" s="378">
        <f t="shared" si="0"/>
        <v>8</v>
      </c>
      <c r="F33" s="379" t="str" cm="1">
        <f t="array" ref="F33">IF($B33="","",IF(UPPER(TRIM($D33))="QT. SUFFISANTE","Qt. suffisante",IF($N33="","",IF($L33="MASSE",IF($N33&gt;=1,"Kg","g"),IF($L33="VOLUME",IF($N33&gt;=1,"L","cl"),INDEX($AL$72:$AL$430,$K33))))))</f>
        <v>g</v>
      </c>
      <c r="G33" s="380">
        <f t="shared" si="1"/>
        <v>30</v>
      </c>
      <c r="H33" s="381" t="str" cm="1">
        <f t="array" ref="H33">IF($B33="","",IF(UPPER(TRIM($D33))="QT. SUFFISANTE","Qt. suffisante",IF($O33="","",IF($L33="MASSE",IF($O33&gt;=1,"Kg","g"),IF($L33="VOLUME",IF($O33&gt;=1,"L","cl"),INDEX($AL$72:$AL$430,$K33))))))</f>
        <v>g</v>
      </c>
      <c r="I33" s="382" t="str" cm="1">
        <f t="array" ref="I33">IF($B33="","",INDEX($AM$72:$AM$430,$K33))</f>
        <v>OK</v>
      </c>
      <c r="J33" s="271"/>
      <c r="K33" s="383">
        <f>1+($B$5-1)*36+11</f>
        <v>12</v>
      </c>
      <c r="L33" s="383" t="str" cm="1">
        <f t="array" ref="L33">IF($B33="","",INDEX($AI$72:$AI$430,$K33))</f>
        <v>MASSE</v>
      </c>
      <c r="M33" s="383" cm="1">
        <f t="array" ref="M33">IF($B33="","",INDEX($AJ$72:$AJ$430,$K33))</f>
        <v>1E-3</v>
      </c>
      <c r="N33" s="384" cm="1">
        <f t="array" ref="N33">IF(OR($B33="",$B$13="",$B$12="",$B$12=0),"",IF($L$22="AUTRE",IFERROR(INDEX($AK$72:$AK$430,$K33)*($B$13/$B$12),""),IF(OR($C$12="",$C$13=""),"",IFERROR(INDEX($AK$72:$AK$430,$K33)*(($B$13*VLOOKUP($C$13,$AY$74:$BA$119,3,FALSE))/($B$12*VLOOKUP($C$12,$AY$74:$BA$119,3,FALSE))),""))))</f>
        <v>7.4999999999999997E-3</v>
      </c>
      <c r="O33" s="384" cm="1">
        <f t="array" ref="O33">IF(OR($B33="",$G$12="",$G$11="",$G$11=0),"",IFERROR(INDEX($AK$72:$AK$430,$K33)*($G$12/$G$11),""))</f>
        <v>0.03</v>
      </c>
      <c r="U33" s="635" t="s">
        <v>8035</v>
      </c>
      <c r="V33" s="636"/>
      <c r="W33" s="637" t="s">
        <v>8036</v>
      </c>
      <c r="X33" s="637"/>
      <c r="Y33" s="637"/>
      <c r="Z33" s="637"/>
      <c r="AA33" s="638"/>
      <c r="AC33" s="275"/>
      <c r="AD33" s="319" t="s">
        <v>8017</v>
      </c>
      <c r="AE33" s="394" t="s">
        <v>8037</v>
      </c>
      <c r="AF33" s="395" t="s">
        <v>8038</v>
      </c>
      <c r="AG33" s="634" t="s">
        <v>8039</v>
      </c>
      <c r="AH33" s="634"/>
      <c r="AI33" s="311" t="s">
        <v>8040</v>
      </c>
      <c r="AJ33" s="311"/>
      <c r="AK33" s="311"/>
      <c r="AL33" s="311"/>
      <c r="AM33" s="311"/>
      <c r="AN33" s="311"/>
      <c r="AO33" s="311"/>
      <c r="AP33" s="311"/>
      <c r="AQ33" s="311"/>
      <c r="BB33" s="271"/>
      <c r="BC33" s="271"/>
      <c r="BD33" s="279">
        <v>1</v>
      </c>
      <c r="BE33" s="271"/>
      <c r="BF33" s="271"/>
      <c r="BG33" s="271"/>
    </row>
    <row r="34" spans="1:59" ht="21.95" customHeight="1" x14ac:dyDescent="0.25">
      <c r="A34" s="374" t="str">
        <f>IF($B34="","",12)</f>
        <v/>
      </c>
      <c r="B34" s="375" t="str" cm="1">
        <f t="array" ref="B34">IFERROR(IF(INDEX($AC$72:$AC$430,$K34)="","",INDEX($AC$72:$AC$430,$K34)),"")</f>
        <v/>
      </c>
      <c r="C34" s="376" t="str" cm="1">
        <f t="array" ref="C34">IF($B34="","",INDEX($AG$72:$AG$430,$K34))</f>
        <v/>
      </c>
      <c r="D34" s="377" t="str" cm="1">
        <f t="array" ref="D34">IF($B34="","",INDEX($AH$72:$AH$430,$K34))</f>
        <v/>
      </c>
      <c r="E34" s="378" t="str">
        <f t="shared" si="0"/>
        <v/>
      </c>
      <c r="F34" s="379" t="str" cm="1">
        <f t="array" ref="F34">IF($B34="","",IF(UPPER(TRIM($D34))="QT. SUFFISANTE","Qt. suffisante",IF($N34="","",IF($L34="MASSE",IF($N34&gt;=1,"Kg","g"),IF($L34="VOLUME",IF($N34&gt;=1,"L","cl"),INDEX($AL$72:$AL$430,$K34))))))</f>
        <v/>
      </c>
      <c r="G34" s="380" t="str">
        <f t="shared" si="1"/>
        <v/>
      </c>
      <c r="H34" s="381" t="str" cm="1">
        <f t="array" ref="H34">IF($B34="","",IF(UPPER(TRIM($D34))="QT. SUFFISANTE","Qt. suffisante",IF($O34="","",IF($L34="MASSE",IF($O34&gt;=1,"Kg","g"),IF($L34="VOLUME",IF($O34&gt;=1,"L","cl"),INDEX($AL$72:$AL$430,$K34))))))</f>
        <v/>
      </c>
      <c r="I34" s="382" t="str" cm="1">
        <f t="array" ref="I34">IF($B34="","",INDEX($AM$72:$AM$430,$K34))</f>
        <v/>
      </c>
      <c r="J34" s="271"/>
      <c r="K34" s="383">
        <f>1+($B$5-1)*36+12</f>
        <v>13</v>
      </c>
      <c r="L34" s="383" t="str" cm="1">
        <f t="array" ref="L34">IF($B34="","",INDEX($AI$72:$AI$430,$K34))</f>
        <v/>
      </c>
      <c r="M34" s="383" t="str" cm="1">
        <f t="array" ref="M34">IF($B34="","",INDEX($AJ$72:$AJ$430,$K34))</f>
        <v/>
      </c>
      <c r="N34" s="384" t="str" cm="1">
        <f t="array" ref="N34">IF(OR($B34="",$B$13="",$B$12="",$B$12=0),"",IF($L$22="AUTRE",IFERROR(INDEX($AK$72:$AK$430,$K34)*($B$13/$B$12),""),IF(OR($C$12="",$C$13=""),"",IFERROR(INDEX($AK$72:$AK$430,$K34)*(($B$13*VLOOKUP($C$13,$AY$74:$BA$119,3,FALSE))/($B$12*VLOOKUP($C$12,$AY$74:$BA$119,3,FALSE))),""))))</f>
        <v/>
      </c>
      <c r="O34" s="384" t="str" cm="1">
        <f t="array" ref="O34">IF(OR($B34="",$G$12="",$G$11="",$G$11=0),"",IFERROR(INDEX($AK$72:$AK$430,$K34)*($G$12/$G$11),""))</f>
        <v/>
      </c>
      <c r="U34" s="635"/>
      <c r="V34" s="636"/>
      <c r="W34" s="637"/>
      <c r="X34" s="637"/>
      <c r="Y34" s="637"/>
      <c r="Z34" s="637"/>
      <c r="AA34" s="638"/>
      <c r="AC34" s="275"/>
      <c r="AD34" s="319" t="s">
        <v>8017</v>
      </c>
      <c r="AE34" s="320" t="s">
        <v>8041</v>
      </c>
      <c r="AF34" s="395" t="s">
        <v>8042</v>
      </c>
      <c r="AG34" s="634" t="s">
        <v>8043</v>
      </c>
      <c r="AH34" s="634"/>
      <c r="AI34" s="311" t="s">
        <v>8044</v>
      </c>
      <c r="AJ34" s="311"/>
      <c r="AK34" s="311"/>
      <c r="AL34" s="311"/>
      <c r="AM34" s="311"/>
      <c r="AN34" s="311"/>
      <c r="AO34" s="311"/>
      <c r="AP34" s="311"/>
      <c r="AQ34" s="311"/>
      <c r="BB34" s="271"/>
      <c r="BC34" s="271"/>
      <c r="BD34" s="279">
        <v>1</v>
      </c>
      <c r="BE34" s="271"/>
      <c r="BF34" s="271"/>
      <c r="BG34" s="271"/>
    </row>
    <row r="35" spans="1:59" ht="21.95" customHeight="1" thickBot="1" x14ac:dyDescent="0.3">
      <c r="A35" s="374" t="str">
        <f>IF($B35="","",13)</f>
        <v/>
      </c>
      <c r="B35" s="375" t="str" cm="1">
        <f t="array" ref="B35">IFERROR(IF(INDEX($AC$72:$AC$430,$K35)="","",INDEX($AC$72:$AC$430,$K35)),"")</f>
        <v/>
      </c>
      <c r="C35" s="376" t="str" cm="1">
        <f t="array" ref="C35">IF($B35="","",INDEX($AG$72:$AG$430,$K35))</f>
        <v/>
      </c>
      <c r="D35" s="377" t="str" cm="1">
        <f t="array" ref="D35">IF($B35="","",INDEX($AH$72:$AH$430,$K35))</f>
        <v/>
      </c>
      <c r="E35" s="378" t="str">
        <f t="shared" si="0"/>
        <v/>
      </c>
      <c r="F35" s="379" t="str" cm="1">
        <f t="array" ref="F35">IF($B35="","",IF(UPPER(TRIM($D35))="QT. SUFFISANTE","Qt. suffisante",IF($N35="","",IF($L35="MASSE",IF($N35&gt;=1,"Kg","g"),IF($L35="VOLUME",IF($N35&gt;=1,"L","cl"),INDEX($AL$72:$AL$430,$K35))))))</f>
        <v/>
      </c>
      <c r="G35" s="380" t="str">
        <f t="shared" si="1"/>
        <v/>
      </c>
      <c r="H35" s="381" t="str" cm="1">
        <f t="array" ref="H35">IF($B35="","",IF(UPPER(TRIM($D35))="QT. SUFFISANTE","Qt. suffisante",IF($O35="","",IF($L35="MASSE",IF($O35&gt;=1,"Kg","g"),IF($L35="VOLUME",IF($O35&gt;=1,"L","cl"),INDEX($AL$72:$AL$430,$K35))))))</f>
        <v/>
      </c>
      <c r="I35" s="382" t="str" cm="1">
        <f t="array" ref="I35">IF($B35="","",INDEX($AM$72:$AM$430,$K35))</f>
        <v/>
      </c>
      <c r="J35" s="271"/>
      <c r="K35" s="383">
        <f>1+($B$5-1)*36+13</f>
        <v>14</v>
      </c>
      <c r="L35" s="383" t="str" cm="1">
        <f t="array" ref="L35">IF($B35="","",INDEX($AI$72:$AI$430,$K35))</f>
        <v/>
      </c>
      <c r="M35" s="383" t="str" cm="1">
        <f t="array" ref="M35">IF($B35="","",INDEX($AJ$72:$AJ$430,$K35))</f>
        <v/>
      </c>
      <c r="N35" s="384" t="str" cm="1">
        <f t="array" ref="N35">IF(OR($B35="",$B$13="",$B$12="",$B$12=0),"",IF($L$22="AUTRE",IFERROR(INDEX($AK$72:$AK$430,$K35)*($B$13/$B$12),""),IF(OR($C$12="",$C$13=""),"",IFERROR(INDEX($AK$72:$AK$430,$K35)*(($B$13*VLOOKUP($C$13,$AY$74:$BA$119,3,FALSE))/($B$12*VLOOKUP($C$12,$AY$74:$BA$119,3,FALSE))),""))))</f>
        <v/>
      </c>
      <c r="O35" s="384" t="str" cm="1">
        <f t="array" ref="O35">IF(OR($B35="",$G$12="",$G$11="",$G$11=0),"",IFERROR(INDEX($AK$72:$AK$430,$K35)*($G$12/$G$11),""))</f>
        <v/>
      </c>
      <c r="U35" s="635" t="s">
        <v>8045</v>
      </c>
      <c r="V35" s="636"/>
      <c r="W35" s="637" t="s">
        <v>8046</v>
      </c>
      <c r="X35" s="637"/>
      <c r="Y35" s="637"/>
      <c r="Z35" s="637"/>
      <c r="AA35" s="638"/>
      <c r="AC35" s="275"/>
      <c r="AD35" s="301" t="s">
        <v>343</v>
      </c>
      <c r="AE35" s="322" t="s">
        <v>343</v>
      </c>
      <c r="AF35" s="396" t="s">
        <v>8047</v>
      </c>
      <c r="AG35" s="639" t="s">
        <v>8048</v>
      </c>
      <c r="AH35" s="639"/>
      <c r="AI35" s="311" t="s">
        <v>8049</v>
      </c>
      <c r="AJ35" s="311"/>
      <c r="AK35" s="311"/>
      <c r="AL35" s="311"/>
      <c r="AM35" s="311"/>
      <c r="AN35" s="311"/>
      <c r="AO35" s="311"/>
      <c r="AP35" s="311"/>
      <c r="AQ35" s="311"/>
      <c r="BB35" s="271"/>
      <c r="BC35" s="271"/>
      <c r="BD35" s="279">
        <v>1</v>
      </c>
      <c r="BE35" s="271"/>
      <c r="BF35" s="271"/>
      <c r="BG35" s="271"/>
    </row>
    <row r="36" spans="1:59" ht="20.100000000000001" customHeight="1" x14ac:dyDescent="0.25">
      <c r="A36" s="374" t="str">
        <f>IF($B36="","",14)</f>
        <v/>
      </c>
      <c r="B36" s="375" t="str" cm="1">
        <f t="array" ref="B36">IFERROR(IF(INDEX($AC$72:$AC$430,$K36)="","",INDEX($AC$72:$AC$430,$K36)),"")</f>
        <v/>
      </c>
      <c r="C36" s="376" t="str" cm="1">
        <f t="array" ref="C36">IF($B36="","",INDEX($AG$72:$AG$430,$K36))</f>
        <v/>
      </c>
      <c r="D36" s="377" t="str" cm="1">
        <f t="array" ref="D36">IF($B36="","",INDEX($AH$72:$AH$430,$K36))</f>
        <v/>
      </c>
      <c r="E36" s="378" t="str">
        <f t="shared" si="0"/>
        <v/>
      </c>
      <c r="F36" s="379" t="str" cm="1">
        <f t="array" ref="F36">IF($B36="","",IF(UPPER(TRIM($D36))="QT. SUFFISANTE","Qt. suffisante",IF($N36="","",IF($L36="MASSE",IF($N36&gt;=1,"Kg","g"),IF($L36="VOLUME",IF($N36&gt;=1,"L","cl"),INDEX($AL$72:$AL$430,$K36))))))</f>
        <v/>
      </c>
      <c r="G36" s="380" t="str">
        <f t="shared" si="1"/>
        <v/>
      </c>
      <c r="H36" s="381" t="str" cm="1">
        <f t="array" ref="H36">IF($B36="","",IF(UPPER(TRIM($D36))="QT. SUFFISANTE","Qt. suffisante",IF($O36="","",IF($L36="MASSE",IF($O36&gt;=1,"Kg","g"),IF($L36="VOLUME",IF($O36&gt;=1,"L","cl"),INDEX($AL$72:$AL$430,$K36))))))</f>
        <v/>
      </c>
      <c r="I36" s="382" t="str" cm="1">
        <f t="array" ref="I36">IF($B36="","",INDEX($AM$72:$AM$430,$K36))</f>
        <v/>
      </c>
      <c r="J36" s="271"/>
      <c r="K36" s="383">
        <f>1+($B$5-1)*36+14</f>
        <v>15</v>
      </c>
      <c r="L36" s="383" t="str" cm="1">
        <f t="array" ref="L36">IF($B36="","",INDEX($AI$72:$AI$430,$K36))</f>
        <v/>
      </c>
      <c r="M36" s="383" t="str" cm="1">
        <f t="array" ref="M36">IF($B36="","",INDEX($AJ$72:$AJ$430,$K36))</f>
        <v/>
      </c>
      <c r="N36" s="384" t="str" cm="1">
        <f t="array" ref="N36">IF(OR($B36="",$B$13="",$B$12="",$B$12=0),"",IF($L$22="AUTRE",IFERROR(INDEX($AK$72:$AK$430,$K36)*($B$13/$B$12),""),IF(OR($C$12="",$C$13=""),"",IFERROR(INDEX($AK$72:$AK$430,$K36)*(($B$13*VLOOKUP($C$13,$AY$74:$BA$119,3,FALSE))/($B$12*VLOOKUP($C$12,$AY$74:$BA$119,3,FALSE))),""))))</f>
        <v/>
      </c>
      <c r="O36" s="384" t="str" cm="1">
        <f t="array" ref="O36">IF(OR($B36="",$G$12="",$G$11="",$G$11=0),"",IFERROR(INDEX($AK$72:$AK$430,$K36)*($G$12/$G$11),""))</f>
        <v/>
      </c>
      <c r="U36" s="635"/>
      <c r="V36" s="636"/>
      <c r="W36" s="637"/>
      <c r="X36" s="637"/>
      <c r="Y36" s="637"/>
      <c r="Z36" s="637"/>
      <c r="AA36" s="638"/>
      <c r="AC36" s="275"/>
      <c r="AD36" s="352" t="s">
        <v>8050</v>
      </c>
      <c r="AE36" s="353"/>
      <c r="AF36" s="354"/>
      <c r="AG36" s="353"/>
      <c r="AH36" s="353"/>
      <c r="AI36" s="353"/>
      <c r="AJ36" s="353"/>
      <c r="AK36" s="353"/>
      <c r="AL36" s="353"/>
      <c r="AM36" s="353"/>
      <c r="AN36" s="353"/>
      <c r="AO36" s="353"/>
      <c r="AP36" s="353"/>
      <c r="AQ36" s="353"/>
      <c r="BB36" s="271"/>
      <c r="BC36" s="271"/>
      <c r="BD36" s="279">
        <v>1</v>
      </c>
      <c r="BE36" s="271"/>
      <c r="BF36" s="271"/>
      <c r="BG36" s="271"/>
    </row>
    <row r="37" spans="1:59" ht="23.1" customHeight="1" x14ac:dyDescent="0.25">
      <c r="A37" s="374" t="str">
        <f>IF($B37="","",15)</f>
        <v/>
      </c>
      <c r="B37" s="375" t="str" cm="1">
        <f t="array" ref="B37">IFERROR(IF(INDEX($AC$72:$AC$430,$K37)="","",INDEX($AC$72:$AC$430,$K37)),"")</f>
        <v/>
      </c>
      <c r="C37" s="376" t="str" cm="1">
        <f t="array" ref="C37">IF($B37="","",INDEX($AG$72:$AG$430,$K37))</f>
        <v/>
      </c>
      <c r="D37" s="377" t="str" cm="1">
        <f t="array" ref="D37">IF($B37="","",INDEX($AH$72:$AH$430,$K37))</f>
        <v/>
      </c>
      <c r="E37" s="378" t="str">
        <f t="shared" si="0"/>
        <v/>
      </c>
      <c r="F37" s="379" t="str" cm="1">
        <f t="array" ref="F37">IF($B37="","",IF(UPPER(TRIM($D37))="QT. SUFFISANTE","Qt. suffisante",IF($N37="","",IF($L37="MASSE",IF($N37&gt;=1,"Kg","g"),IF($L37="VOLUME",IF($N37&gt;=1,"L","cl"),INDEX($AL$72:$AL$430,$K37))))))</f>
        <v/>
      </c>
      <c r="G37" s="380" t="str">
        <f t="shared" si="1"/>
        <v/>
      </c>
      <c r="H37" s="381" t="str" cm="1">
        <f t="array" ref="H37">IF($B37="","",IF(UPPER(TRIM($D37))="QT. SUFFISANTE","Qt. suffisante",IF($O37="","",IF($L37="MASSE",IF($O37&gt;=1,"Kg","g"),IF($L37="VOLUME",IF($O37&gt;=1,"L","cl"),INDEX($AL$72:$AL$430,$K37))))))</f>
        <v/>
      </c>
      <c r="I37" s="382" t="str" cm="1">
        <f t="array" ref="I37">IF($B37="","",INDEX($AM$72:$AM$430,$K37))</f>
        <v/>
      </c>
      <c r="J37" s="271"/>
      <c r="K37" s="383">
        <f>1+($B$5-1)*36+15</f>
        <v>16</v>
      </c>
      <c r="L37" s="383" t="str" cm="1">
        <f t="array" ref="L37">IF($B37="","",INDEX($AI$72:$AI$430,$K37))</f>
        <v/>
      </c>
      <c r="M37" s="383" t="str" cm="1">
        <f t="array" ref="M37">IF($B37="","",INDEX($AJ$72:$AJ$430,$K37))</f>
        <v/>
      </c>
      <c r="N37" s="384" t="str" cm="1">
        <f t="array" ref="N37">IF(OR($B37="",$B$13="",$B$12="",$B$12=0),"",IF($L$22="AUTRE",IFERROR(INDEX($AK$72:$AK$430,$K37)*($B$13/$B$12),""),IF(OR($C$12="",$C$13=""),"",IFERROR(INDEX($AK$72:$AK$430,$K37)*(($B$13*VLOOKUP($C$13,$AY$74:$BA$119,3,FALSE))/($B$12*VLOOKUP($C$12,$AY$74:$BA$119,3,FALSE))),""))))</f>
        <v/>
      </c>
      <c r="O37" s="384" t="str" cm="1">
        <f t="array" ref="O37">IF(OR($B37="",$G$12="",$G$11="",$G$11=0),"",IFERROR(INDEX($AK$72:$AK$430,$K37)*($G$12/$G$11),""))</f>
        <v/>
      </c>
      <c r="U37" s="635" t="s">
        <v>8051</v>
      </c>
      <c r="V37" s="636"/>
      <c r="W37" s="637" t="s">
        <v>8052</v>
      </c>
      <c r="X37" s="637"/>
      <c r="Y37" s="637"/>
      <c r="Z37" s="637"/>
      <c r="AA37" s="638"/>
      <c r="AC37" s="275"/>
      <c r="AD37" s="398" t="s">
        <v>343</v>
      </c>
      <c r="AE37" s="397" t="s">
        <v>8048</v>
      </c>
      <c r="AF37" s="396" t="s">
        <v>8047</v>
      </c>
      <c r="AG37" s="639" t="s">
        <v>8048</v>
      </c>
      <c r="AH37" s="639"/>
      <c r="AI37" s="399" t="s">
        <v>8053</v>
      </c>
      <c r="AJ37" s="399"/>
      <c r="AK37" s="399"/>
      <c r="AL37" s="399"/>
      <c r="AM37" s="399"/>
      <c r="AN37" s="399"/>
      <c r="AO37" s="399"/>
      <c r="AP37" s="399"/>
      <c r="AQ37" s="399"/>
      <c r="BB37" s="271"/>
      <c r="BC37" s="271"/>
      <c r="BD37" s="279">
        <v>1</v>
      </c>
      <c r="BE37" s="271"/>
      <c r="BF37" s="271"/>
      <c r="BG37" s="271"/>
    </row>
    <row r="38" spans="1:59" ht="20.100000000000001" customHeight="1" x14ac:dyDescent="0.25">
      <c r="A38" s="374" t="str">
        <f>IF($B38="","",16)</f>
        <v/>
      </c>
      <c r="B38" s="375" t="str" cm="1">
        <f t="array" ref="B38">IFERROR(IF(INDEX($AC$72:$AC$430,$K38)="","",INDEX($AC$72:$AC$430,$K38)),"")</f>
        <v/>
      </c>
      <c r="C38" s="376" t="str" cm="1">
        <f t="array" ref="C38">IF($B38="","",INDEX($AG$72:$AG$430,$K38))</f>
        <v/>
      </c>
      <c r="D38" s="377" t="str" cm="1">
        <f t="array" ref="D38">IF($B38="","",INDEX($AH$72:$AH$430,$K38))</f>
        <v/>
      </c>
      <c r="E38" s="378" t="str">
        <f t="shared" si="0"/>
        <v/>
      </c>
      <c r="F38" s="379" t="str" cm="1">
        <f t="array" ref="F38">IF($B38="","",IF(UPPER(TRIM($D38))="QT. SUFFISANTE","Qt. suffisante",IF($N38="","",IF($L38="MASSE",IF($N38&gt;=1,"Kg","g"),IF($L38="VOLUME",IF($N38&gt;=1,"L","cl"),INDEX($AL$72:$AL$430,$K38))))))</f>
        <v/>
      </c>
      <c r="G38" s="380" t="str">
        <f t="shared" si="1"/>
        <v/>
      </c>
      <c r="H38" s="381" t="str" cm="1">
        <f t="array" ref="H38">IF($B38="","",IF(UPPER(TRIM($D38))="QT. SUFFISANTE","Qt. suffisante",IF($O38="","",IF($L38="MASSE",IF($O38&gt;=1,"Kg","g"),IF($L38="VOLUME",IF($O38&gt;=1,"L","cl"),INDEX($AL$72:$AL$430,$K38))))))</f>
        <v/>
      </c>
      <c r="I38" s="382" t="str" cm="1">
        <f t="array" ref="I38">IF($B38="","",INDEX($AM$72:$AM$430,$K38))</f>
        <v/>
      </c>
      <c r="J38" s="271"/>
      <c r="K38" s="383">
        <f>1+($B$5-1)*36+16</f>
        <v>17</v>
      </c>
      <c r="L38" s="383" t="str" cm="1">
        <f t="array" ref="L38">IF($B38="","",INDEX($AI$72:$AI$430,$K38))</f>
        <v/>
      </c>
      <c r="M38" s="383" t="str" cm="1">
        <f t="array" ref="M38">IF($B38="","",INDEX($AJ$72:$AJ$430,$K38))</f>
        <v/>
      </c>
      <c r="N38" s="384" t="str" cm="1">
        <f t="array" ref="N38">IF(OR($B38="",$B$13="",$B$12="",$B$12=0),"",IF($L$22="AUTRE",IFERROR(INDEX($AK$72:$AK$430,$K38)*($B$13/$B$12),""),IF(OR($C$12="",$C$13=""),"",IFERROR(INDEX($AK$72:$AK$430,$K38)*(($B$13*VLOOKUP($C$13,$AY$74:$BA$119,3,FALSE))/($B$12*VLOOKUP($C$12,$AY$74:$BA$119,3,FALSE))),""))))</f>
        <v/>
      </c>
      <c r="O38" s="384" t="str" cm="1">
        <f t="array" ref="O38">IF(OR($B38="",$G$12="",$G$11="",$G$11=0),"",IFERROR(INDEX($AK$72:$AK$430,$K38)*($G$12/$G$11),""))</f>
        <v/>
      </c>
      <c r="U38" s="635"/>
      <c r="V38" s="636"/>
      <c r="W38" s="637"/>
      <c r="X38" s="637"/>
      <c r="Y38" s="637"/>
      <c r="Z38" s="637"/>
      <c r="AA38" s="638"/>
      <c r="AC38" s="275"/>
      <c r="AD38" s="400" t="s">
        <v>343</v>
      </c>
      <c r="AE38" s="401" t="s">
        <v>8054</v>
      </c>
      <c r="AF38" s="396" t="s">
        <v>8047</v>
      </c>
      <c r="AG38" s="644" t="s">
        <v>8054</v>
      </c>
      <c r="AH38" s="644"/>
      <c r="AI38" s="402" t="s">
        <v>8055</v>
      </c>
      <c r="AJ38" s="403"/>
      <c r="AK38" s="403"/>
      <c r="AL38" s="403"/>
      <c r="AM38" s="403"/>
      <c r="AN38" s="403"/>
      <c r="AO38" s="403"/>
      <c r="AP38" s="403"/>
      <c r="AQ38" s="403"/>
      <c r="BB38" s="271"/>
      <c r="BC38" s="271"/>
      <c r="BD38" s="279">
        <v>1</v>
      </c>
      <c r="BE38" s="271"/>
      <c r="BF38" s="271"/>
      <c r="BG38" s="271"/>
    </row>
    <row r="39" spans="1:59" ht="20.100000000000001" customHeight="1" x14ac:dyDescent="0.25">
      <c r="A39" s="374" t="str">
        <f>IF($B39="","",17)</f>
        <v/>
      </c>
      <c r="B39" s="375" t="str" cm="1">
        <f t="array" ref="B39">IFERROR(IF(INDEX($AC$72:$AC$430,$K39)="","",INDEX($AC$72:$AC$430,$K39)),"")</f>
        <v/>
      </c>
      <c r="C39" s="376" t="str" cm="1">
        <f t="array" ref="C39">IF($B39="","",INDEX($AG$72:$AG$430,$K39))</f>
        <v/>
      </c>
      <c r="D39" s="377" t="str" cm="1">
        <f t="array" ref="D39">IF($B39="","",INDEX($AH$72:$AH$430,$K39))</f>
        <v/>
      </c>
      <c r="E39" s="378" t="str">
        <f t="shared" si="0"/>
        <v/>
      </c>
      <c r="F39" s="379" t="str" cm="1">
        <f t="array" ref="F39">IF($B39="","",IF(UPPER(TRIM($D39))="QT. SUFFISANTE","Qt. suffisante",IF($N39="","",IF($L39="MASSE",IF($N39&gt;=1,"Kg","g"),IF($L39="VOLUME",IF($N39&gt;=1,"L","cl"),INDEX($AL$72:$AL$430,$K39))))))</f>
        <v/>
      </c>
      <c r="G39" s="380" t="str">
        <f t="shared" si="1"/>
        <v/>
      </c>
      <c r="H39" s="381" t="str" cm="1">
        <f t="array" ref="H39">IF($B39="","",IF(UPPER(TRIM($D39))="QT. SUFFISANTE","Qt. suffisante",IF($O39="","",IF($L39="MASSE",IF($O39&gt;=1,"Kg","g"),IF($L39="VOLUME",IF($O39&gt;=1,"L","cl"),INDEX($AL$72:$AL$430,$K39))))))</f>
        <v/>
      </c>
      <c r="I39" s="382" t="str" cm="1">
        <f t="array" ref="I39">IF($B39="","",INDEX($AM$72:$AM$430,$K39))</f>
        <v/>
      </c>
      <c r="J39" s="271"/>
      <c r="K39" s="383">
        <f>1+($B$5-1)*36+17</f>
        <v>18</v>
      </c>
      <c r="L39" s="383" t="str" cm="1">
        <f t="array" ref="L39">IF($B39="","",INDEX($AI$72:$AI$430,$K39))</f>
        <v/>
      </c>
      <c r="M39" s="383" t="str" cm="1">
        <f t="array" ref="M39">IF($B39="","",INDEX($AJ$72:$AJ$430,$K39))</f>
        <v/>
      </c>
      <c r="N39" s="384" t="str" cm="1">
        <f t="array" ref="N39">IF(OR($B39="",$B$13="",$B$12="",$B$12=0),"",IF($L$22="AUTRE",IFERROR(INDEX($AK$72:$AK$430,$K39)*($B$13/$B$12),""),IF(OR($C$12="",$C$13=""),"",IFERROR(INDEX($AK$72:$AK$430,$K39)*(($B$13*VLOOKUP($C$13,$AY$74:$BA$119,3,FALSE))/($B$12*VLOOKUP($C$12,$AY$74:$BA$119,3,FALSE))),""))))</f>
        <v/>
      </c>
      <c r="O39" s="384" t="str" cm="1">
        <f t="array" ref="O39">IF(OR($B39="",$G$12="",$G$11="",$G$11=0),"",IFERROR(INDEX($AK$72:$AK$430,$K39)*($G$12/$G$11),""))</f>
        <v/>
      </c>
      <c r="U39" s="635" t="s">
        <v>8056</v>
      </c>
      <c r="V39" s="636"/>
      <c r="W39" s="637" t="s">
        <v>8057</v>
      </c>
      <c r="X39" s="637"/>
      <c r="Y39" s="637"/>
      <c r="Z39" s="637"/>
      <c r="AA39" s="638"/>
      <c r="AC39" s="275"/>
      <c r="AD39" s="370" t="s">
        <v>343</v>
      </c>
      <c r="AE39" s="404" t="s">
        <v>8058</v>
      </c>
      <c r="AF39" s="396" t="s">
        <v>8047</v>
      </c>
      <c r="AG39" s="645" t="s">
        <v>8058</v>
      </c>
      <c r="AH39" s="645"/>
      <c r="AI39" s="405" t="s">
        <v>8059</v>
      </c>
      <c r="AJ39" s="406"/>
      <c r="AK39" s="406"/>
      <c r="AL39" s="406"/>
      <c r="AM39" s="406"/>
      <c r="AN39" s="406"/>
      <c r="AO39" s="406"/>
      <c r="AP39" s="406"/>
      <c r="AQ39" s="406"/>
      <c r="BB39" s="271"/>
      <c r="BC39" s="271"/>
      <c r="BD39" s="279">
        <v>1</v>
      </c>
      <c r="BE39" s="271"/>
      <c r="BF39" s="271"/>
      <c r="BG39" s="271"/>
    </row>
    <row r="40" spans="1:59" ht="20.100000000000001" customHeight="1" x14ac:dyDescent="0.25">
      <c r="A40" s="374" t="str">
        <f>IF($B40="","",18)</f>
        <v/>
      </c>
      <c r="B40" s="375" t="str" cm="1">
        <f t="array" ref="B40">IFERROR(IF(INDEX($AC$72:$AC$430,$K40)="","",INDEX($AC$72:$AC$430,$K40)),"")</f>
        <v/>
      </c>
      <c r="C40" s="376" t="str" cm="1">
        <f t="array" ref="C40">IF($B40="","",INDEX($AG$72:$AG$430,$K40))</f>
        <v/>
      </c>
      <c r="D40" s="377" t="str" cm="1">
        <f t="array" ref="D40">IF($B40="","",INDEX($AH$72:$AH$430,$K40))</f>
        <v/>
      </c>
      <c r="E40" s="378" t="str">
        <f t="shared" si="0"/>
        <v/>
      </c>
      <c r="F40" s="379" t="str" cm="1">
        <f t="array" ref="F40">IF($B40="","",IF(UPPER(TRIM($D40))="QT. SUFFISANTE","Qt. suffisante",IF($N40="","",IF($L40="MASSE",IF($N40&gt;=1,"Kg","g"),IF($L40="VOLUME",IF($N40&gt;=1,"L","cl"),INDEX($AL$72:$AL$430,$K40))))))</f>
        <v/>
      </c>
      <c r="G40" s="380" t="str">
        <f t="shared" si="1"/>
        <v/>
      </c>
      <c r="H40" s="381" t="str" cm="1">
        <f t="array" ref="H40">IF($B40="","",IF(UPPER(TRIM($D40))="QT. SUFFISANTE","Qt. suffisante",IF($O40="","",IF($L40="MASSE",IF($O40&gt;=1,"Kg","g"),IF($L40="VOLUME",IF($O40&gt;=1,"L","cl"),INDEX($AL$72:$AL$430,$K40))))))</f>
        <v/>
      </c>
      <c r="I40" s="382" t="str" cm="1">
        <f t="array" ref="I40">IF($B40="","",INDEX($AM$72:$AM$430,$K40))</f>
        <v/>
      </c>
      <c r="J40" s="271"/>
      <c r="K40" s="383">
        <f>1+($B$5-1)*36+18</f>
        <v>19</v>
      </c>
      <c r="L40" s="383" t="str" cm="1">
        <f t="array" ref="L40">IF($B40="","",INDEX($AI$72:$AI$430,$K40))</f>
        <v/>
      </c>
      <c r="M40" s="383" t="str" cm="1">
        <f t="array" ref="M40">IF($B40="","",INDEX($AJ$72:$AJ$430,$K40))</f>
        <v/>
      </c>
      <c r="N40" s="384" t="str" cm="1">
        <f t="array" ref="N40">IF(OR($B40="",$B$13="",$B$12="",$B$12=0),"",IF($L$22="AUTRE",IFERROR(INDEX($AK$72:$AK$430,$K40)*($B$13/$B$12),""),IF(OR($C$12="",$C$13=""),"",IFERROR(INDEX($AK$72:$AK$430,$K40)*(($B$13*VLOOKUP($C$13,$AY$74:$BA$119,3,FALSE))/($B$12*VLOOKUP($C$12,$AY$74:$BA$119,3,FALSE))),""))))</f>
        <v/>
      </c>
      <c r="O40" s="384" t="str" cm="1">
        <f t="array" ref="O40">IF(OR($B40="",$G$12="",$G$11="",$G$11=0),"",IFERROR(INDEX($AK$72:$AK$430,$K40)*($G$12/$G$11),""))</f>
        <v/>
      </c>
      <c r="U40" s="635"/>
      <c r="V40" s="636"/>
      <c r="W40" s="637"/>
      <c r="X40" s="637"/>
      <c r="Y40" s="637"/>
      <c r="Z40" s="637"/>
      <c r="AA40" s="638"/>
      <c r="AC40" s="275"/>
      <c r="AD40" s="370" t="s">
        <v>343</v>
      </c>
      <c r="AE40" s="407" t="s">
        <v>8060</v>
      </c>
      <c r="AF40" s="396" t="s">
        <v>8047</v>
      </c>
      <c r="AG40" s="646" t="s">
        <v>8060</v>
      </c>
      <c r="AH40" s="646"/>
      <c r="AI40" s="406" t="s">
        <v>8061</v>
      </c>
      <c r="AJ40" s="406"/>
      <c r="AK40" s="406"/>
      <c r="AL40" s="406"/>
      <c r="AM40" s="406"/>
      <c r="AN40" s="406"/>
      <c r="AO40" s="406"/>
      <c r="AP40" s="406"/>
      <c r="AQ40" s="406"/>
      <c r="BB40" s="271"/>
      <c r="BC40" s="271"/>
      <c r="BD40" s="279">
        <v>1</v>
      </c>
      <c r="BE40" s="271"/>
      <c r="BF40" s="271"/>
      <c r="BG40" s="271"/>
    </row>
    <row r="41" spans="1:59" ht="20.100000000000001" customHeight="1" thickBot="1" x14ac:dyDescent="0.3">
      <c r="A41" s="374" t="str">
        <f>IF($B41="","",19)</f>
        <v/>
      </c>
      <c r="B41" s="375" t="str" cm="1">
        <f t="array" ref="B41">IFERROR(IF(INDEX($AC$72:$AC$430,$K41)="","",INDEX($AC$72:$AC$430,$K41)),"")</f>
        <v/>
      </c>
      <c r="C41" s="376" t="str" cm="1">
        <f t="array" ref="C41">IF($B41="","",INDEX($AG$72:$AG$430,$K41))</f>
        <v/>
      </c>
      <c r="D41" s="377" t="str" cm="1">
        <f t="array" ref="D41">IF($B41="","",INDEX($AH$72:$AH$430,$K41))</f>
        <v/>
      </c>
      <c r="E41" s="378" t="str">
        <f t="shared" si="0"/>
        <v/>
      </c>
      <c r="F41" s="379" t="str" cm="1">
        <f t="array" ref="F41">IF($B41="","",IF(UPPER(TRIM($D41))="QT. SUFFISANTE","Qt. suffisante",IF($N41="","",IF($L41="MASSE",IF($N41&gt;=1,"Kg","g"),IF($L41="VOLUME",IF($N41&gt;=1,"L","cl"),INDEX($AL$72:$AL$430,$K41))))))</f>
        <v/>
      </c>
      <c r="G41" s="380" t="str">
        <f t="shared" si="1"/>
        <v/>
      </c>
      <c r="H41" s="381" t="str" cm="1">
        <f t="array" ref="H41">IF($B41="","",IF(UPPER(TRIM($D41))="QT. SUFFISANTE","Qt. suffisante",IF($O41="","",IF($L41="MASSE",IF($O41&gt;=1,"Kg","g"),IF($L41="VOLUME",IF($O41&gt;=1,"L","cl"),INDEX($AL$72:$AL$430,$K41))))))</f>
        <v/>
      </c>
      <c r="I41" s="382" t="str" cm="1">
        <f t="array" ref="I41">IF($B41="","",INDEX($AM$72:$AM$430,$K41))</f>
        <v/>
      </c>
      <c r="J41" s="271"/>
      <c r="K41" s="383">
        <f>1+($B$5-1)*36+19</f>
        <v>20</v>
      </c>
      <c r="L41" s="383" t="str" cm="1">
        <f t="array" ref="L41">IF($B41="","",INDEX($AI$72:$AI$430,$K41))</f>
        <v/>
      </c>
      <c r="M41" s="383" t="str" cm="1">
        <f t="array" ref="M41">IF($B41="","",INDEX($AJ$72:$AJ$430,$K41))</f>
        <v/>
      </c>
      <c r="N41" s="384" t="str" cm="1">
        <f t="array" ref="N41">IF(OR($B41="",$B$13="",$B$12="",$B$12=0),"",IF($L$22="AUTRE",IFERROR(INDEX($AK$72:$AK$430,$K41)*($B$13/$B$12),""),IF(OR($C$12="",$C$13=""),"",IFERROR(INDEX($AK$72:$AK$430,$K41)*(($B$13*VLOOKUP($C$13,$AY$74:$BA$119,3,FALSE))/($B$12*VLOOKUP($C$12,$AY$74:$BA$119,3,FALSE))),""))))</f>
        <v/>
      </c>
      <c r="O41" s="384" t="str" cm="1">
        <f t="array" ref="O41">IF(OR($B41="",$G$12="",$G$11="",$G$11=0),"",IFERROR(INDEX($AK$72:$AK$430,$K41)*($G$12/$G$11),""))</f>
        <v/>
      </c>
      <c r="U41" s="647" t="s">
        <v>8062</v>
      </c>
      <c r="V41" s="648"/>
      <c r="W41" s="648"/>
      <c r="X41" s="648"/>
      <c r="Y41" s="648"/>
      <c r="Z41" s="648"/>
      <c r="AA41" s="649"/>
      <c r="AD41" s="408" t="s">
        <v>8063</v>
      </c>
      <c r="AE41" s="409" t="s">
        <v>8064</v>
      </c>
      <c r="AF41" s="410" t="s">
        <v>8065</v>
      </c>
      <c r="AG41" s="650" t="s">
        <v>8066</v>
      </c>
      <c r="AH41" s="650"/>
      <c r="AI41" s="411" t="s">
        <v>8067</v>
      </c>
      <c r="AJ41" s="411"/>
      <c r="AK41" s="411"/>
      <c r="AL41" s="411"/>
      <c r="AM41" s="411"/>
      <c r="AN41" s="411"/>
      <c r="AO41" s="411"/>
      <c r="AP41" s="411"/>
      <c r="AQ41" s="411"/>
      <c r="BB41" s="271"/>
      <c r="BC41" s="271"/>
      <c r="BD41" s="279">
        <v>1</v>
      </c>
      <c r="BE41" s="271"/>
      <c r="BF41" s="271"/>
      <c r="BG41" s="271"/>
    </row>
    <row r="42" spans="1:59" ht="20.100000000000001" customHeight="1" x14ac:dyDescent="0.25">
      <c r="A42" s="374" t="str">
        <f>IF($B42="","",20)</f>
        <v/>
      </c>
      <c r="B42" s="375" t="str" cm="1">
        <f t="array" ref="B42">IFERROR(IF(INDEX($AC$72:$AC$430,$K42)="","",INDEX($AC$72:$AC$430,$K42)),"")</f>
        <v/>
      </c>
      <c r="C42" s="376" t="str" cm="1">
        <f t="array" ref="C42">IF($B42="","",INDEX($AG$72:$AG$430,$K42))</f>
        <v/>
      </c>
      <c r="D42" s="377" t="str" cm="1">
        <f t="array" ref="D42">IF($B42="","",INDEX($AH$72:$AH$430,$K42))</f>
        <v/>
      </c>
      <c r="E42" s="378" t="str">
        <f t="shared" si="0"/>
        <v/>
      </c>
      <c r="F42" s="379" t="str" cm="1">
        <f t="array" ref="F42">IF($B42="","",IF(UPPER(TRIM($D42))="QT. SUFFISANTE","Qt. suffisante",IF($N42="","",IF($L42="MASSE",IF($N42&gt;=1,"Kg","g"),IF($L42="VOLUME",IF($N42&gt;=1,"L","cl"),INDEX($AL$72:$AL$430,$K42))))))</f>
        <v/>
      </c>
      <c r="G42" s="380" t="str">
        <f t="shared" si="1"/>
        <v/>
      </c>
      <c r="H42" s="381" t="str" cm="1">
        <f t="array" ref="H42">IF($B42="","",IF(UPPER(TRIM($D42))="QT. SUFFISANTE","Qt. suffisante",IF($O42="","",IF($L42="MASSE",IF($O42&gt;=1,"Kg","g"),IF($L42="VOLUME",IF($O42&gt;=1,"L","cl"),INDEX($AL$72:$AL$430,$K42))))))</f>
        <v/>
      </c>
      <c r="I42" s="382" t="str" cm="1">
        <f t="array" ref="I42">IF($B42="","",INDEX($AM$72:$AM$430,$K42))</f>
        <v/>
      </c>
      <c r="J42" s="271"/>
      <c r="K42" s="383">
        <f>1+($B$5-1)*36+20</f>
        <v>21</v>
      </c>
      <c r="L42" s="383" t="str" cm="1">
        <f t="array" ref="L42">IF($B42="","",INDEX($AI$72:$AI$430,$K42))</f>
        <v/>
      </c>
      <c r="M42" s="383" t="str" cm="1">
        <f t="array" ref="M42">IF($B42="","",INDEX($AJ$72:$AJ$430,$K42))</f>
        <v/>
      </c>
      <c r="N42" s="384" t="str" cm="1">
        <f t="array" ref="N42">IF(OR($B42="",$B$13="",$B$12="",$B$12=0),"",IF($L$22="AUTRE",IFERROR(INDEX($AK$72:$AK$430,$K42)*($B$13/$B$12),""),IF(OR($C$12="",$C$13=""),"",IFERROR(INDEX($AK$72:$AK$430,$K42)*(($B$13*VLOOKUP($C$13,$AY$74:$BA$119,3,FALSE))/($B$12*VLOOKUP($C$12,$AY$74:$BA$119,3,FALSE))),""))))</f>
        <v/>
      </c>
      <c r="O42" s="384" t="str" cm="1">
        <f t="array" ref="O42">IF(OR($B42="",$G$12="",$G$11="",$G$11=0),"",IFERROR(INDEX($AK$72:$AK$430,$K42)*($G$12/$G$11),""))</f>
        <v/>
      </c>
      <c r="U42" s="651" t="s">
        <v>8068</v>
      </c>
      <c r="V42" s="652"/>
      <c r="W42" s="653" t="s">
        <v>8069</v>
      </c>
      <c r="X42" s="653"/>
      <c r="Y42" s="653"/>
      <c r="Z42" s="653"/>
      <c r="AA42" s="654"/>
      <c r="AD42" s="294" t="s">
        <v>8070</v>
      </c>
      <c r="AE42" s="295"/>
      <c r="AF42" s="296"/>
      <c r="AG42" s="295"/>
      <c r="AH42" s="295"/>
      <c r="AI42" s="295"/>
      <c r="AJ42" s="295"/>
      <c r="AK42" s="295"/>
      <c r="AL42" s="295"/>
      <c r="AM42" s="295"/>
      <c r="AN42" s="295"/>
      <c r="AO42" s="295"/>
      <c r="AP42" s="295"/>
      <c r="AQ42" s="295"/>
      <c r="BB42" s="271"/>
      <c r="BC42" s="271"/>
      <c r="BD42" s="279">
        <v>1</v>
      </c>
      <c r="BE42" s="271"/>
      <c r="BF42" s="271"/>
      <c r="BG42" s="271"/>
    </row>
    <row r="43" spans="1:59" ht="20.100000000000001" customHeight="1" x14ac:dyDescent="0.25">
      <c r="A43" s="374" t="str">
        <f>IF($B43="","",21)</f>
        <v/>
      </c>
      <c r="B43" s="375" t="str" cm="1">
        <f t="array" ref="B43">IFERROR(IF(INDEX($AC$72:$AC$430,$K43)="","",INDEX($AC$72:$AC$430,$K43)),"")</f>
        <v/>
      </c>
      <c r="C43" s="376" t="str" cm="1">
        <f t="array" ref="C43">IF($B43="","",INDEX($AG$72:$AG$430,$K43))</f>
        <v/>
      </c>
      <c r="D43" s="377" t="str" cm="1">
        <f t="array" ref="D43">IF($B43="","",INDEX($AH$72:$AH$430,$K43))</f>
        <v/>
      </c>
      <c r="E43" s="378" t="str">
        <f t="shared" si="0"/>
        <v/>
      </c>
      <c r="F43" s="379" t="str" cm="1">
        <f t="array" ref="F43">IF($B43="","",IF(UPPER(TRIM($D43))="QT. SUFFISANTE","Qt. suffisante",IF($N43="","",IF($L43="MASSE",IF($N43&gt;=1,"Kg","g"),IF($L43="VOLUME",IF($N43&gt;=1,"L","cl"),INDEX($AL$72:$AL$430,$K43))))))</f>
        <v/>
      </c>
      <c r="G43" s="380" t="str">
        <f t="shared" si="1"/>
        <v/>
      </c>
      <c r="H43" s="381" t="str" cm="1">
        <f t="array" ref="H43">IF($B43="","",IF(UPPER(TRIM($D43))="QT. SUFFISANTE","Qt. suffisante",IF($O43="","",IF($L43="MASSE",IF($O43&gt;=1,"Kg","g"),IF($L43="VOLUME",IF($O43&gt;=1,"L","cl"),INDEX($AL$72:$AL$430,$K43))))))</f>
        <v/>
      </c>
      <c r="I43" s="382" t="str" cm="1">
        <f t="array" ref="I43">IF($B43="","",INDEX($AM$72:$AM$430,$K43))</f>
        <v/>
      </c>
      <c r="J43" s="271"/>
      <c r="K43" s="383">
        <f>1+($B$5-1)*36+21</f>
        <v>22</v>
      </c>
      <c r="L43" s="383" t="str" cm="1">
        <f t="array" ref="L43">IF($B43="","",INDEX($AI$72:$AI$430,$K43))</f>
        <v/>
      </c>
      <c r="M43" s="383" t="str" cm="1">
        <f t="array" ref="M43">IF($B43="","",INDEX($AJ$72:$AJ$430,$K43))</f>
        <v/>
      </c>
      <c r="N43" s="384" t="str" cm="1">
        <f t="array" ref="N43">IF(OR($B43="",$B$13="",$B$12="",$B$12=0),"",IF($L$22="AUTRE",IFERROR(INDEX($AK$72:$AK$430,$K43)*($B$13/$B$12),""),IF(OR($C$12="",$C$13=""),"",IFERROR(INDEX($AK$72:$AK$430,$K43)*(($B$13*VLOOKUP($C$13,$AY$74:$BA$119,3,FALSE))/($B$12*VLOOKUP($C$12,$AY$74:$BA$119,3,FALSE))),""))))</f>
        <v/>
      </c>
      <c r="O43" s="384" t="str" cm="1">
        <f t="array" ref="O43">IF(OR($B43="",$G$12="",$G$11="",$G$11=0),"",IFERROR(INDEX($AK$72:$AK$430,$K43)*($G$12/$G$11),""))</f>
        <v/>
      </c>
      <c r="U43" s="651"/>
      <c r="V43" s="652"/>
      <c r="W43" s="653"/>
      <c r="X43" s="653"/>
      <c r="Y43" s="653"/>
      <c r="Z43" s="653"/>
      <c r="AA43" s="654"/>
      <c r="AD43" s="301" t="s">
        <v>8071</v>
      </c>
      <c r="AE43" s="322" t="s">
        <v>8072</v>
      </c>
      <c r="AF43" s="303"/>
      <c r="AG43" s="557" t="s">
        <v>8073</v>
      </c>
      <c r="AH43" s="557"/>
      <c r="AI43" s="311" t="s">
        <v>8074</v>
      </c>
      <c r="AJ43" s="311"/>
      <c r="AK43" s="311"/>
      <c r="AL43" s="311"/>
      <c r="AM43" s="311"/>
      <c r="AN43" s="311"/>
      <c r="AO43" s="311"/>
      <c r="AP43" s="311"/>
      <c r="AQ43" s="311"/>
      <c r="BB43" s="271"/>
      <c r="BC43" s="271"/>
      <c r="BD43" s="279">
        <v>1</v>
      </c>
      <c r="BE43" s="271"/>
      <c r="BF43" s="271"/>
      <c r="BG43" s="271"/>
    </row>
    <row r="44" spans="1:59" ht="20.100000000000001" customHeight="1" x14ac:dyDescent="0.25">
      <c r="A44" s="374" t="str">
        <f>IF($B44="","",22)</f>
        <v/>
      </c>
      <c r="B44" s="375" t="str" cm="1">
        <f t="array" ref="B44">IFERROR(IF(INDEX($AC$72:$AC$430,$K44)="","",INDEX($AC$72:$AC$430,$K44)),"")</f>
        <v/>
      </c>
      <c r="C44" s="376" t="str" cm="1">
        <f t="array" ref="C44">IF($B44="","",INDEX($AG$72:$AG$430,$K44))</f>
        <v/>
      </c>
      <c r="D44" s="377" t="str" cm="1">
        <f t="array" ref="D44">IF($B44="","",INDEX($AH$72:$AH$430,$K44))</f>
        <v/>
      </c>
      <c r="E44" s="378" t="str">
        <f t="shared" si="0"/>
        <v/>
      </c>
      <c r="F44" s="379" t="str" cm="1">
        <f t="array" ref="F44">IF($B44="","",IF(UPPER(TRIM($D44))="QT. SUFFISANTE","Qt. suffisante",IF($N44="","",IF($L44="MASSE",IF($N44&gt;=1,"Kg","g"),IF($L44="VOLUME",IF($N44&gt;=1,"L","cl"),INDEX($AL$72:$AL$430,$K44))))))</f>
        <v/>
      </c>
      <c r="G44" s="380" t="str">
        <f t="shared" si="1"/>
        <v/>
      </c>
      <c r="H44" s="381" t="str" cm="1">
        <f t="array" ref="H44">IF($B44="","",IF(UPPER(TRIM($D44))="QT. SUFFISANTE","Qt. suffisante",IF($O44="","",IF($L44="MASSE",IF($O44&gt;=1,"Kg","g"),IF($L44="VOLUME",IF($O44&gt;=1,"L","cl"),INDEX($AL$72:$AL$430,$K44))))))</f>
        <v/>
      </c>
      <c r="I44" s="382" t="str" cm="1">
        <f t="array" ref="I44">IF($B44="","",INDEX($AM$72:$AM$430,$K44))</f>
        <v/>
      </c>
      <c r="J44" s="271"/>
      <c r="K44" s="383">
        <f>1+($B$5-1)*36+22</f>
        <v>23</v>
      </c>
      <c r="L44" s="383" t="str" cm="1">
        <f t="array" ref="L44">IF($B44="","",INDEX($AI$72:$AI$430,$K44))</f>
        <v/>
      </c>
      <c r="M44" s="383" t="str" cm="1">
        <f t="array" ref="M44">IF($B44="","",INDEX($AJ$72:$AJ$430,$K44))</f>
        <v/>
      </c>
      <c r="N44" s="384" t="str" cm="1">
        <f t="array" ref="N44">IF(OR($B44="",$B$13="",$B$12="",$B$12=0),"",IF($L$22="AUTRE",IFERROR(INDEX($AK$72:$AK$430,$K44)*($B$13/$B$12),""),IF(OR($C$12="",$C$13=""),"",IFERROR(INDEX($AK$72:$AK$430,$K44)*(($B$13*VLOOKUP($C$13,$AY$74:$BA$119,3,FALSE))/($B$12*VLOOKUP($C$12,$AY$74:$BA$119,3,FALSE))),""))))</f>
        <v/>
      </c>
      <c r="O44" s="384" t="str" cm="1">
        <f t="array" ref="O44">IF(OR($B44="",$G$12="",$G$11="",$G$11=0),"",IFERROR(INDEX($AK$72:$AK$430,$K44)*($G$12/$G$11),""))</f>
        <v/>
      </c>
      <c r="U44" s="640" t="s">
        <v>343</v>
      </c>
      <c r="V44" s="641"/>
      <c r="W44" s="642" t="s">
        <v>8075</v>
      </c>
      <c r="X44" s="642"/>
      <c r="Y44" s="642"/>
      <c r="Z44" s="642"/>
      <c r="AA44" s="643"/>
      <c r="AD44" s="301" t="s">
        <v>8071</v>
      </c>
      <c r="AE44" s="322" t="s">
        <v>8076</v>
      </c>
      <c r="AF44" s="303"/>
      <c r="AG44" s="557" t="s">
        <v>8077</v>
      </c>
      <c r="AH44" s="557"/>
      <c r="AI44" s="311" t="s">
        <v>8078</v>
      </c>
      <c r="AJ44" s="311"/>
      <c r="AK44" s="311"/>
      <c r="AL44" s="311"/>
      <c r="AM44" s="311"/>
      <c r="AN44" s="311"/>
      <c r="AO44" s="311"/>
      <c r="AP44" s="311"/>
      <c r="AQ44" s="311"/>
      <c r="BB44" s="271"/>
      <c r="BC44" s="271"/>
      <c r="BD44" s="279">
        <v>1</v>
      </c>
      <c r="BE44" s="271"/>
      <c r="BF44" s="271"/>
      <c r="BG44" s="271"/>
    </row>
    <row r="45" spans="1:59" ht="20.100000000000001" customHeight="1" x14ac:dyDescent="0.25">
      <c r="A45" s="374" t="str">
        <f>IF($B45="","",23)</f>
        <v/>
      </c>
      <c r="B45" s="375" t="str" cm="1">
        <f t="array" ref="B45">IFERROR(IF(INDEX($AC$72:$AC$430,$K45)="","",INDEX($AC$72:$AC$430,$K45)),"")</f>
        <v/>
      </c>
      <c r="C45" s="376" t="str" cm="1">
        <f t="array" ref="C45">IF($B45="","",INDEX($AG$72:$AG$430,$K45))</f>
        <v/>
      </c>
      <c r="D45" s="377" t="str" cm="1">
        <f t="array" ref="D45">IF($B45="","",INDEX($AH$72:$AH$430,$K45))</f>
        <v/>
      </c>
      <c r="E45" s="378" t="str">
        <f t="shared" si="0"/>
        <v/>
      </c>
      <c r="F45" s="379" t="str" cm="1">
        <f t="array" ref="F45">IF($B45="","",IF(UPPER(TRIM($D45))="QT. SUFFISANTE","Qt. suffisante",IF($N45="","",IF($L45="MASSE",IF($N45&gt;=1,"Kg","g"),IF($L45="VOLUME",IF($N45&gt;=1,"L","cl"),INDEX($AL$72:$AL$430,$K45))))))</f>
        <v/>
      </c>
      <c r="G45" s="380" t="str">
        <f t="shared" si="1"/>
        <v/>
      </c>
      <c r="H45" s="381" t="str" cm="1">
        <f t="array" ref="H45">IF($B45="","",IF(UPPER(TRIM($D45))="QT. SUFFISANTE","Qt. suffisante",IF($O45="","",IF($L45="MASSE",IF($O45&gt;=1,"Kg","g"),IF($L45="VOLUME",IF($O45&gt;=1,"L","cl"),INDEX($AL$72:$AL$430,$K45))))))</f>
        <v/>
      </c>
      <c r="I45" s="382" t="str" cm="1">
        <f t="array" ref="I45">IF($B45="","",INDEX($AM$72:$AM$430,$K45))</f>
        <v/>
      </c>
      <c r="J45" s="271"/>
      <c r="K45" s="383">
        <f>1+($B$5-1)*36+23</f>
        <v>24</v>
      </c>
      <c r="L45" s="383" t="str" cm="1">
        <f t="array" ref="L45">IF($B45="","",INDEX($AI$72:$AI$430,$K45))</f>
        <v/>
      </c>
      <c r="M45" s="383" t="str" cm="1">
        <f t="array" ref="M45">IF($B45="","",INDEX($AJ$72:$AJ$430,$K45))</f>
        <v/>
      </c>
      <c r="N45" s="384" t="str" cm="1">
        <f t="array" ref="N45">IF(OR($B45="",$B$13="",$B$12="",$B$12=0),"",IF($L$22="AUTRE",IFERROR(INDEX($AK$72:$AK$430,$K45)*($B$13/$B$12),""),IF(OR($C$12="",$C$13=""),"",IFERROR(INDEX($AK$72:$AK$430,$K45)*(($B$13*VLOOKUP($C$13,$AY$74:$BA$119,3,FALSE))/($B$12*VLOOKUP($C$12,$AY$74:$BA$119,3,FALSE))),""))))</f>
        <v/>
      </c>
      <c r="O45" s="384" t="str" cm="1">
        <f t="array" ref="O45">IF(OR($B45="",$G$12="",$G$11="",$G$11=0),"",IFERROR(INDEX($AK$72:$AK$430,$K45)*($G$12/$G$11),""))</f>
        <v/>
      </c>
      <c r="U45" s="640"/>
      <c r="V45" s="641"/>
      <c r="W45" s="642"/>
      <c r="X45" s="642"/>
      <c r="Y45" s="642"/>
      <c r="Z45" s="642"/>
      <c r="AA45" s="643"/>
      <c r="AD45" s="301" t="s">
        <v>8071</v>
      </c>
      <c r="AE45" s="322" t="s">
        <v>8079</v>
      </c>
      <c r="AF45" s="303"/>
      <c r="AG45" s="557" t="s">
        <v>8080</v>
      </c>
      <c r="AH45" s="557"/>
      <c r="AI45" s="311" t="s">
        <v>8081</v>
      </c>
      <c r="AJ45" s="311"/>
      <c r="AK45" s="311"/>
      <c r="AL45" s="311"/>
      <c r="AM45" s="311"/>
      <c r="AN45" s="311"/>
      <c r="AO45" s="311"/>
      <c r="AP45" s="311"/>
      <c r="AQ45" s="311"/>
      <c r="BB45" s="271"/>
      <c r="BC45" s="271"/>
      <c r="BD45" s="279">
        <v>1</v>
      </c>
      <c r="BE45" s="271"/>
      <c r="BF45" s="271"/>
      <c r="BG45" s="271"/>
    </row>
    <row r="46" spans="1:59" ht="20.100000000000001" customHeight="1" x14ac:dyDescent="0.25">
      <c r="A46" s="374" t="str">
        <f>IF($B46="","",24)</f>
        <v/>
      </c>
      <c r="B46" s="375" t="str" cm="1">
        <f t="array" ref="B46">IFERROR(IF(INDEX($AC$72:$AC$430,$K46)="","",INDEX($AC$72:$AC$430,$K46)),"")</f>
        <v/>
      </c>
      <c r="C46" s="376" t="str" cm="1">
        <f t="array" ref="C46">IF($B46="","",INDEX($AG$72:$AG$430,$K46))</f>
        <v/>
      </c>
      <c r="D46" s="377" t="str" cm="1">
        <f t="array" ref="D46">IF($B46="","",INDEX($AH$72:$AH$430,$K46))</f>
        <v/>
      </c>
      <c r="E46" s="378" t="str">
        <f t="shared" si="0"/>
        <v/>
      </c>
      <c r="F46" s="379" t="str" cm="1">
        <f t="array" ref="F46">IF($B46="","",IF(UPPER(TRIM($D46))="QT. SUFFISANTE","Qt. suffisante",IF($N46="","",IF($L46="MASSE",IF($N46&gt;=1,"Kg","g"),IF($L46="VOLUME",IF($N46&gt;=1,"L","cl"),INDEX($AL$72:$AL$430,$K46))))))</f>
        <v/>
      </c>
      <c r="G46" s="380" t="str">
        <f t="shared" si="1"/>
        <v/>
      </c>
      <c r="H46" s="381" t="str" cm="1">
        <f t="array" ref="H46">IF($B46="","",IF(UPPER(TRIM($D46))="QT. SUFFISANTE","Qt. suffisante",IF($O46="","",IF($L46="MASSE",IF($O46&gt;=1,"Kg","g"),IF($L46="VOLUME",IF($O46&gt;=1,"L","cl"),INDEX($AL$72:$AL$430,$K46))))))</f>
        <v/>
      </c>
      <c r="I46" s="382" t="str" cm="1">
        <f t="array" ref="I46">IF($B46="","",INDEX($AM$72:$AM$430,$K46))</f>
        <v/>
      </c>
      <c r="J46" s="271"/>
      <c r="K46" s="383">
        <f>1+($B$5-1)*36+24</f>
        <v>25</v>
      </c>
      <c r="L46" s="383" t="str" cm="1">
        <f t="array" ref="L46">IF($B46="","",INDEX($AI$72:$AI$430,$K46))</f>
        <v/>
      </c>
      <c r="M46" s="383" t="str" cm="1">
        <f t="array" ref="M46">IF($B46="","",INDEX($AJ$72:$AJ$430,$K46))</f>
        <v/>
      </c>
      <c r="N46" s="384" t="str" cm="1">
        <f t="array" ref="N46">IF(OR($B46="",$B$13="",$B$12="",$B$12=0),"",IF($L$22="AUTRE",IFERROR(INDEX($AK$72:$AK$430,$K46)*($B$13/$B$12),""),IF(OR($C$12="",$C$13=""),"",IFERROR(INDEX($AK$72:$AK$430,$K46)*(($B$13*VLOOKUP($C$13,$AY$74:$BA$119,3,FALSE))/($B$12*VLOOKUP($C$12,$AY$74:$BA$119,3,FALSE))),""))))</f>
        <v/>
      </c>
      <c r="O46" s="384" t="str" cm="1">
        <f t="array" ref="O46">IF(OR($B46="",$G$12="",$G$11="",$G$11=0),"",IFERROR(INDEX($AK$72:$AK$430,$K46)*($G$12/$G$11),""))</f>
        <v/>
      </c>
      <c r="U46" s="156"/>
      <c r="V46" s="156"/>
      <c r="W46" s="156"/>
      <c r="X46" s="156"/>
      <c r="Y46" s="156"/>
      <c r="Z46" s="156"/>
      <c r="AA46" s="156"/>
      <c r="AD46" s="412" t="s">
        <v>8082</v>
      </c>
      <c r="AE46" s="413" t="s">
        <v>8035</v>
      </c>
      <c r="AF46" s="414"/>
      <c r="AG46" s="658" t="s">
        <v>33</v>
      </c>
      <c r="AH46" s="658"/>
      <c r="AI46" s="415" t="s">
        <v>8083</v>
      </c>
      <c r="AJ46" s="415"/>
      <c r="AK46" s="415"/>
      <c r="AL46" s="415"/>
      <c r="AM46" s="415"/>
      <c r="AN46" s="415"/>
      <c r="AO46" s="415"/>
      <c r="AP46" s="415"/>
      <c r="AQ46" s="415"/>
      <c r="AY46" s="416" t="s">
        <v>8084</v>
      </c>
      <c r="AZ46" s="220"/>
      <c r="BA46" s="220"/>
      <c r="BB46" s="220"/>
      <c r="BC46" s="271"/>
      <c r="BD46" s="279">
        <v>1</v>
      </c>
      <c r="BE46" s="271"/>
      <c r="BF46" s="271"/>
      <c r="BG46" s="271"/>
    </row>
    <row r="47" spans="1:59" ht="20.100000000000001" customHeight="1" x14ac:dyDescent="0.25">
      <c r="A47" s="374" t="str">
        <f>IF($B47="","",25)</f>
        <v/>
      </c>
      <c r="B47" s="375" t="str" cm="1">
        <f t="array" ref="B47">IFERROR(IF(INDEX($AC$72:$AC$430,$K47)="","",INDEX($AC$72:$AC$430,$K47)),"")</f>
        <v/>
      </c>
      <c r="C47" s="376" t="str" cm="1">
        <f t="array" ref="C47">IF($B47="","",INDEX($AG$72:$AG$430,$K47))</f>
        <v/>
      </c>
      <c r="D47" s="377" t="str" cm="1">
        <f t="array" ref="D47">IF($B47="","",INDEX($AH$72:$AH$430,$K47))</f>
        <v/>
      </c>
      <c r="E47" s="378" t="str">
        <f t="shared" si="0"/>
        <v/>
      </c>
      <c r="F47" s="379" t="str" cm="1">
        <f t="array" ref="F47">IF($B47="","",IF(UPPER(TRIM($D47))="QT. SUFFISANTE","Qt. suffisante",IF($N47="","",IF($L47="MASSE",IF($N47&gt;=1,"Kg","g"),IF($L47="VOLUME",IF($N47&gt;=1,"L","cl"),INDEX($AL$72:$AL$430,$K47))))))</f>
        <v/>
      </c>
      <c r="G47" s="380" t="str">
        <f t="shared" si="1"/>
        <v/>
      </c>
      <c r="H47" s="381" t="str" cm="1">
        <f t="array" ref="H47">IF($B47="","",IF(UPPER(TRIM($D47))="QT. SUFFISANTE","Qt. suffisante",IF($O47="","",IF($L47="MASSE",IF($O47&gt;=1,"Kg","g"),IF($L47="VOLUME",IF($O47&gt;=1,"L","cl"),INDEX($AL$72:$AL$430,$K47))))))</f>
        <v/>
      </c>
      <c r="I47" s="382" t="str" cm="1">
        <f t="array" ref="I47">IF($B47="","",INDEX($AM$72:$AM$430,$K47))</f>
        <v/>
      </c>
      <c r="J47" s="271"/>
      <c r="K47" s="383">
        <f>1+($B$5-1)*36+25</f>
        <v>26</v>
      </c>
      <c r="L47" s="383" t="str" cm="1">
        <f t="array" ref="L47">IF($B47="","",INDEX($AI$72:$AI$430,$K47))</f>
        <v/>
      </c>
      <c r="M47" s="383" t="str" cm="1">
        <f t="array" ref="M47">IF($B47="","",INDEX($AJ$72:$AJ$430,$K47))</f>
        <v/>
      </c>
      <c r="N47" s="384" t="str" cm="1">
        <f t="array" ref="N47">IF(OR($B47="",$B$13="",$B$12="",$B$12=0),"",IF($L$22="AUTRE",IFERROR(INDEX($AK$72:$AK$430,$K47)*($B$13/$B$12),""),IF(OR($C$12="",$C$13=""),"",IFERROR(INDEX($AK$72:$AK$430,$K47)*(($B$13*VLOOKUP($C$13,$AY$74:$BA$119,3,FALSE))/($B$12*VLOOKUP($C$12,$AY$74:$BA$119,3,FALSE))),""))))</f>
        <v/>
      </c>
      <c r="O47" s="384" t="str" cm="1">
        <f t="array" ref="O47">IF(OR($B47="",$G$12="",$G$11="",$G$11=0),"",IFERROR(INDEX($AK$72:$AK$430,$K47)*($G$12/$G$11),""))</f>
        <v/>
      </c>
      <c r="U47" s="156"/>
      <c r="V47" s="156"/>
      <c r="W47" s="156"/>
      <c r="X47" s="156"/>
      <c r="Y47" s="156"/>
      <c r="Z47" s="156"/>
      <c r="AA47" s="156"/>
      <c r="AY47" s="28" t="s">
        <v>21</v>
      </c>
      <c r="AZ47" s="417" t="s">
        <v>35</v>
      </c>
      <c r="BA47" s="418">
        <v>2.835E-2</v>
      </c>
      <c r="BB47" s="419" t="s">
        <v>36</v>
      </c>
      <c r="BC47" s="271"/>
      <c r="BD47" s="279">
        <v>1</v>
      </c>
      <c r="BE47" s="271"/>
      <c r="BF47" s="271"/>
      <c r="BG47" s="271"/>
    </row>
    <row r="48" spans="1:59" ht="20.100000000000001" customHeight="1" x14ac:dyDescent="0.25">
      <c r="A48" s="374" t="str">
        <f>IF($B48="","",26)</f>
        <v/>
      </c>
      <c r="B48" s="375" t="str" cm="1">
        <f t="array" ref="B48">IFERROR(IF(INDEX($AC$72:$AC$430,$K48)="","",INDEX($AC$72:$AC$430,$K48)),"")</f>
        <v/>
      </c>
      <c r="C48" s="376" t="str" cm="1">
        <f t="array" ref="C48">IF($B48="","",INDEX($AG$72:$AG$430,$K48))</f>
        <v/>
      </c>
      <c r="D48" s="377" t="str" cm="1">
        <f t="array" ref="D48">IF($B48="","",INDEX($AH$72:$AH$430,$K48))</f>
        <v/>
      </c>
      <c r="E48" s="378" t="str">
        <f t="shared" si="0"/>
        <v/>
      </c>
      <c r="F48" s="379" t="str" cm="1">
        <f t="array" ref="F48">IF($B48="","",IF(UPPER(TRIM($D48))="QT. SUFFISANTE","Qt. suffisante",IF($N48="","",IF($L48="MASSE",IF($N48&gt;=1,"Kg","g"),IF($L48="VOLUME",IF($N48&gt;=1,"L","cl"),INDEX($AL$72:$AL$430,$K48))))))</f>
        <v/>
      </c>
      <c r="G48" s="380" t="str">
        <f t="shared" si="1"/>
        <v/>
      </c>
      <c r="H48" s="381" t="str" cm="1">
        <f t="array" ref="H48">IF($B48="","",IF(UPPER(TRIM($D48))="QT. SUFFISANTE","Qt. suffisante",IF($O48="","",IF($L48="MASSE",IF($O48&gt;=1,"Kg","g"),IF($L48="VOLUME",IF($O48&gt;=1,"L","cl"),INDEX($AL$72:$AL$430,$K48))))))</f>
        <v/>
      </c>
      <c r="I48" s="382" t="str" cm="1">
        <f t="array" ref="I48">IF($B48="","",INDEX($AM$72:$AM$430,$K48))</f>
        <v/>
      </c>
      <c r="J48" s="271"/>
      <c r="K48" s="383">
        <f>1+($B$5-1)*36+26</f>
        <v>27</v>
      </c>
      <c r="L48" s="383" t="str" cm="1">
        <f t="array" ref="L48">IF($B48="","",INDEX($AI$72:$AI$430,$K48))</f>
        <v/>
      </c>
      <c r="M48" s="383" t="str" cm="1">
        <f t="array" ref="M48">IF($B48="","",INDEX($AJ$72:$AJ$430,$K48))</f>
        <v/>
      </c>
      <c r="N48" s="384" t="str" cm="1">
        <f t="array" ref="N48">IF(OR($B48="",$B$13="",$B$12="",$B$12=0),"",IF($L$22="AUTRE",IFERROR(INDEX($AK$72:$AK$430,$K48)*($B$13/$B$12),""),IF(OR($C$12="",$C$13=""),"",IFERROR(INDEX($AK$72:$AK$430,$K48)*(($B$13*VLOOKUP($C$13,$AY$74:$BA$119,3,FALSE))/($B$12*VLOOKUP($C$12,$AY$74:$BA$119,3,FALSE))),""))))</f>
        <v/>
      </c>
      <c r="O48" s="384" t="str" cm="1">
        <f t="array" ref="O48">IF(OR($B48="",$G$12="",$G$11="",$G$11=0),"",IFERROR(INDEX($AK$72:$AK$430,$K48)*($G$12/$G$11),""))</f>
        <v/>
      </c>
      <c r="U48" s="156"/>
      <c r="V48" s="156"/>
      <c r="W48" s="156"/>
      <c r="X48" s="156"/>
      <c r="Y48" s="156"/>
      <c r="Z48" s="156"/>
      <c r="AA48" s="156"/>
      <c r="AD48" s="10" t="s">
        <v>8171</v>
      </c>
      <c r="AY48" s="28" t="s">
        <v>22</v>
      </c>
      <c r="AZ48" s="417" t="s">
        <v>35</v>
      </c>
      <c r="BA48" s="418">
        <v>0.13</v>
      </c>
      <c r="BB48" s="419" t="s">
        <v>36</v>
      </c>
      <c r="BC48" s="271"/>
      <c r="BD48" s="279">
        <v>1</v>
      </c>
      <c r="BE48" s="271"/>
      <c r="BF48" s="271"/>
      <c r="BG48" s="271"/>
    </row>
    <row r="49" spans="1:64" ht="20.100000000000001" customHeight="1" x14ac:dyDescent="0.25">
      <c r="A49" s="374" t="str">
        <f>IF($B49="","",27)</f>
        <v/>
      </c>
      <c r="B49" s="375" t="str" cm="1">
        <f t="array" ref="B49">IFERROR(IF(INDEX($AC$72:$AC$430,$K49)="","",INDEX($AC$72:$AC$430,$K49)),"")</f>
        <v/>
      </c>
      <c r="C49" s="376" t="str" cm="1">
        <f t="array" ref="C49">IF($B49="","",INDEX($AG$72:$AG$430,$K49))</f>
        <v/>
      </c>
      <c r="D49" s="377" t="str" cm="1">
        <f t="array" ref="D49">IF($B49="","",INDEX($AH$72:$AH$430,$K49))</f>
        <v/>
      </c>
      <c r="E49" s="378" t="str">
        <f t="shared" si="0"/>
        <v/>
      </c>
      <c r="F49" s="379" t="str" cm="1">
        <f t="array" ref="F49">IF($B49="","",IF(UPPER(TRIM($D49))="QT. SUFFISANTE","Qt. suffisante",IF($N49="","",IF($L49="MASSE",IF($N49&gt;=1,"Kg","g"),IF($L49="VOLUME",IF($N49&gt;=1,"L","cl"),INDEX($AL$72:$AL$430,$K49))))))</f>
        <v/>
      </c>
      <c r="G49" s="380" t="str">
        <f t="shared" si="1"/>
        <v/>
      </c>
      <c r="H49" s="381" t="str" cm="1">
        <f t="array" ref="H49">IF($B49="","",IF(UPPER(TRIM($D49))="QT. SUFFISANTE","Qt. suffisante",IF($O49="","",IF($L49="MASSE",IF($O49&gt;=1,"Kg","g"),IF($L49="VOLUME",IF($O49&gt;=1,"L","cl"),INDEX($AL$72:$AL$430,$K49))))))</f>
        <v/>
      </c>
      <c r="I49" s="382" t="str" cm="1">
        <f t="array" ref="I49">IF($B49="","",INDEX($AM$72:$AM$430,$K49))</f>
        <v/>
      </c>
      <c r="J49" s="271"/>
      <c r="K49" s="383">
        <f>1+($B$5-1)*36+27</f>
        <v>28</v>
      </c>
      <c r="L49" s="383" t="str" cm="1">
        <f t="array" ref="L49">IF($B49="","",INDEX($AI$72:$AI$430,$K49))</f>
        <v/>
      </c>
      <c r="M49" s="383" t="str" cm="1">
        <f t="array" ref="M49">IF($B49="","",INDEX($AJ$72:$AJ$430,$K49))</f>
        <v/>
      </c>
      <c r="N49" s="384" t="str" cm="1">
        <f t="array" ref="N49">IF(OR($B49="",$B$13="",$B$12="",$B$12=0),"",IF($L$22="AUTRE",IFERROR(INDEX($AK$72:$AK$430,$K49)*($B$13/$B$12),""),IF(OR($C$12="",$C$13=""),"",IFERROR(INDEX($AK$72:$AK$430,$K49)*(($B$13*VLOOKUP($C$13,$AY$74:$BA$119,3,FALSE))/($B$12*VLOOKUP($C$12,$AY$74:$BA$119,3,FALSE))),""))))</f>
        <v/>
      </c>
      <c r="O49" s="384" t="str" cm="1">
        <f t="array" ref="O49">IF(OR($B49="",$G$12="",$G$11="",$G$11=0),"",IFERROR(INDEX($AK$72:$AK$430,$K49)*($G$12/$G$11),""))</f>
        <v/>
      </c>
      <c r="U49" s="156"/>
      <c r="V49" s="156"/>
      <c r="W49" s="156"/>
      <c r="X49" s="156"/>
      <c r="Y49" s="156"/>
      <c r="Z49" s="156"/>
      <c r="AA49" s="156"/>
      <c r="AD49" s="2" t="s">
        <v>1</v>
      </c>
      <c r="AY49" s="28" t="s">
        <v>23</v>
      </c>
      <c r="AZ49" s="417" t="s">
        <v>35</v>
      </c>
      <c r="BA49" s="418">
        <v>0.2</v>
      </c>
      <c r="BB49" s="419" t="s">
        <v>36</v>
      </c>
      <c r="BC49" s="271"/>
      <c r="BD49" s="279">
        <v>1</v>
      </c>
      <c r="BE49" s="271"/>
      <c r="BF49" s="271"/>
      <c r="BG49" s="271"/>
    </row>
    <row r="50" spans="1:64" ht="20.100000000000001" customHeight="1" x14ac:dyDescent="0.25">
      <c r="A50" s="374" t="str">
        <f>IF($B50="","",28)</f>
        <v/>
      </c>
      <c r="B50" s="375" t="str" cm="1">
        <f t="array" ref="B50">IFERROR(IF(INDEX($AC$72:$AC$430,$K50)="","",INDEX($AC$72:$AC$430,$K50)),"")</f>
        <v/>
      </c>
      <c r="C50" s="376" t="str" cm="1">
        <f t="array" ref="C50">IF($B50="","",INDEX($AG$72:$AG$430,$K50))</f>
        <v/>
      </c>
      <c r="D50" s="377" t="str" cm="1">
        <f t="array" ref="D50">IF($B50="","",INDEX($AH$72:$AH$430,$K50))</f>
        <v/>
      </c>
      <c r="E50" s="378" t="str">
        <f t="shared" si="0"/>
        <v/>
      </c>
      <c r="F50" s="379" t="str" cm="1">
        <f t="array" ref="F50">IF($B50="","",IF(UPPER(TRIM($D50))="QT. SUFFISANTE","Qt. suffisante",IF($N50="","",IF($L50="MASSE",IF($N50&gt;=1,"Kg","g"),IF($L50="VOLUME",IF($N50&gt;=1,"L","cl"),INDEX($AL$72:$AL$430,$K50))))))</f>
        <v/>
      </c>
      <c r="G50" s="380" t="str">
        <f t="shared" si="1"/>
        <v/>
      </c>
      <c r="H50" s="381" t="str" cm="1">
        <f t="array" ref="H50">IF($B50="","",IF(UPPER(TRIM($D50))="QT. SUFFISANTE","Qt. suffisante",IF($O50="","",IF($L50="MASSE",IF($O50&gt;=1,"Kg","g"),IF($L50="VOLUME",IF($O50&gt;=1,"L","cl"),INDEX($AL$72:$AL$430,$K50))))))</f>
        <v/>
      </c>
      <c r="I50" s="382" t="str" cm="1">
        <f t="array" ref="I50">IF($B50="","",INDEX($AM$72:$AM$430,$K50))</f>
        <v/>
      </c>
      <c r="J50" s="271"/>
      <c r="K50" s="383">
        <f>1+($B$5-1)*36+28</f>
        <v>29</v>
      </c>
      <c r="L50" s="383" t="str" cm="1">
        <f t="array" ref="L50">IF($B50="","",INDEX($AI$72:$AI$430,$K50))</f>
        <v/>
      </c>
      <c r="M50" s="383" t="str" cm="1">
        <f t="array" ref="M50">IF($B50="","",INDEX($AJ$72:$AJ$430,$K50))</f>
        <v/>
      </c>
      <c r="N50" s="384" t="str" cm="1">
        <f t="array" ref="N50">IF(OR($B50="",$B$13="",$B$12="",$B$12=0),"",IF($L$22="AUTRE",IFERROR(INDEX($AK$72:$AK$430,$K50)*($B$13/$B$12),""),IF(OR($C$12="",$C$13=""),"",IFERROR(INDEX($AK$72:$AK$430,$K50)*(($B$13*VLOOKUP($C$13,$AY$74:$BA$119,3,FALSE))/($B$12*VLOOKUP($C$12,$AY$74:$BA$119,3,FALSE))),""))))</f>
        <v/>
      </c>
      <c r="O50" s="384" t="str" cm="1">
        <f t="array" ref="O50">IF(OR($B50="",$G$12="",$G$11="",$G$11=0),"",IFERROR(INDEX($AK$72:$AK$430,$K50)*($G$12/$G$11),""))</f>
        <v/>
      </c>
      <c r="U50" s="156"/>
      <c r="V50" s="156"/>
      <c r="W50" s="156"/>
      <c r="X50" s="156"/>
      <c r="Y50" s="156"/>
      <c r="Z50" s="156"/>
      <c r="AA50" s="156"/>
      <c r="AD50" s="2" t="s">
        <v>8219</v>
      </c>
      <c r="AY50" s="28" t="s">
        <v>24</v>
      </c>
      <c r="AZ50" s="417" t="s">
        <v>35</v>
      </c>
      <c r="BA50" s="418">
        <v>0.23</v>
      </c>
      <c r="BB50" s="419" t="s">
        <v>36</v>
      </c>
      <c r="BC50" s="271"/>
      <c r="BD50" s="279">
        <v>1</v>
      </c>
      <c r="BE50" s="271"/>
      <c r="BF50" s="271"/>
      <c r="BG50" s="271"/>
    </row>
    <row r="51" spans="1:64" ht="23.1" customHeight="1" x14ac:dyDescent="0.25">
      <c r="A51" s="374" t="str">
        <f>IF($B51="","",29)</f>
        <v/>
      </c>
      <c r="B51" s="375" t="str" cm="1">
        <f t="array" ref="B51">IFERROR(IF(INDEX($AC$72:$AC$430,$K51)="","",INDEX($AC$72:$AC$430,$K51)),"")</f>
        <v/>
      </c>
      <c r="C51" s="376" t="str" cm="1">
        <f t="array" ref="C51">IF($B51="","",INDEX($AG$72:$AG$430,$K51))</f>
        <v/>
      </c>
      <c r="D51" s="377" t="str" cm="1">
        <f t="array" ref="D51">IF($B51="","",INDEX($AH$72:$AH$430,$K51))</f>
        <v/>
      </c>
      <c r="E51" s="378" t="str">
        <f t="shared" si="0"/>
        <v/>
      </c>
      <c r="F51" s="379" t="str" cm="1">
        <f t="array" ref="F51">IF($B51="","",IF(UPPER(TRIM($D51))="QT. SUFFISANTE","Qt. suffisante",IF($N51="","",IF($L51="MASSE",IF($N51&gt;=1,"Kg","g"),IF($L51="VOLUME",IF($N51&gt;=1,"L","cl"),INDEX($AL$72:$AL$430,$K51))))))</f>
        <v/>
      </c>
      <c r="G51" s="380" t="str">
        <f t="shared" si="1"/>
        <v/>
      </c>
      <c r="H51" s="381" t="str" cm="1">
        <f t="array" ref="H51">IF($B51="","",IF(UPPER(TRIM($D51))="QT. SUFFISANTE","Qt. suffisante",IF($O51="","",IF($L51="MASSE",IF($O51&gt;=1,"Kg","g"),IF($L51="VOLUME",IF($O51&gt;=1,"L","cl"),INDEX($AL$72:$AL$430,$K51))))))</f>
        <v/>
      </c>
      <c r="I51" s="382" t="str" cm="1">
        <f t="array" ref="I51">IF($B51="","",INDEX($AM$72:$AM$430,$K51))</f>
        <v/>
      </c>
      <c r="J51" s="271"/>
      <c r="K51" s="383">
        <f>1+($B$5-1)*36+29</f>
        <v>30</v>
      </c>
      <c r="L51" s="383" t="str" cm="1">
        <f t="array" ref="L51">IF($B51="","",INDEX($AI$72:$AI$430,$K51))</f>
        <v/>
      </c>
      <c r="M51" s="383" t="str" cm="1">
        <f t="array" ref="M51">IF($B51="","",INDEX($AJ$72:$AJ$430,$K51))</f>
        <v/>
      </c>
      <c r="N51" s="384" t="str" cm="1">
        <f t="array" ref="N51">IF(OR($B51="",$B$13="",$B$12="",$B$12=0),"",IF($L$22="AUTRE",IFERROR(INDEX($AK$72:$AK$430,$K51)*($B$13/$B$12),""),IF(OR($C$12="",$C$13=""),"",IFERROR(INDEX($AK$72:$AK$430,$K51)*(($B$13*VLOOKUP($C$13,$AY$74:$BA$119,3,FALSE))/($B$12*VLOOKUP($C$12,$AY$74:$BA$119,3,FALSE))),""))))</f>
        <v/>
      </c>
      <c r="O51" s="384" t="str" cm="1">
        <f t="array" ref="O51">IF(OR($B51="",$G$12="",$G$11="",$G$11=0),"",IFERROR(INDEX($AK$72:$AK$430,$K51)*($G$12/$G$11),""))</f>
        <v/>
      </c>
      <c r="U51" s="156"/>
      <c r="V51" s="156"/>
      <c r="W51" s="156"/>
      <c r="X51" s="156"/>
      <c r="Y51" s="156"/>
      <c r="Z51" s="156"/>
      <c r="AA51" s="156"/>
      <c r="AY51" s="31" t="s">
        <v>25</v>
      </c>
      <c r="AZ51" s="417" t="s">
        <v>37</v>
      </c>
      <c r="BA51" s="418">
        <v>0.22500000000000001</v>
      </c>
      <c r="BB51" s="419" t="s">
        <v>9</v>
      </c>
      <c r="BC51" s="271"/>
      <c r="BD51" s="279">
        <v>1</v>
      </c>
      <c r="BE51" s="271"/>
      <c r="BF51" s="271"/>
      <c r="BG51" s="271"/>
    </row>
    <row r="52" spans="1:64" ht="21" customHeight="1" x14ac:dyDescent="0.25">
      <c r="A52" s="374" t="str">
        <f>IF($B52="","",30)</f>
        <v/>
      </c>
      <c r="B52" s="375" t="str" cm="1">
        <f t="array" ref="B52">IFERROR(IF(INDEX($AC$72:$AC$430,$K52)="","",INDEX($AC$72:$AC$430,$K52)),"")</f>
        <v/>
      </c>
      <c r="C52" s="376" t="str" cm="1">
        <f t="array" ref="C52">IF($B52="","",INDEX($AG$72:$AG$430,$K52))</f>
        <v/>
      </c>
      <c r="D52" s="377" t="str" cm="1">
        <f t="array" ref="D52">IF($B52="","",INDEX($AH$72:$AH$430,$K52))</f>
        <v/>
      </c>
      <c r="E52" s="378" t="str">
        <f t="shared" si="0"/>
        <v/>
      </c>
      <c r="F52" s="379" t="str" cm="1">
        <f t="array" ref="F52">IF($B52="","",IF(UPPER(TRIM($D52))="QT. SUFFISANTE","Qt. suffisante",IF($N52="","",IF($L52="MASSE",IF($N52&gt;=1,"Kg","g"),IF($L52="VOLUME",IF($N52&gt;=1,"L","cl"),INDEX($AL$72:$AL$430,$K52))))))</f>
        <v/>
      </c>
      <c r="G52" s="380" t="str">
        <f t="shared" si="1"/>
        <v/>
      </c>
      <c r="H52" s="381" t="str" cm="1">
        <f t="array" ref="H52">IF($B52="","",IF(UPPER(TRIM($D52))="QT. SUFFISANTE","Qt. suffisante",IF($O52="","",IF($L52="MASSE",IF($O52&gt;=1,"Kg","g"),IF($L52="VOLUME",IF($O52&gt;=1,"L","cl"),INDEX($AL$72:$AL$430,$K52))))))</f>
        <v/>
      </c>
      <c r="I52" s="382" t="str" cm="1">
        <f t="array" ref="I52">IF($B52="","",INDEX($AM$72:$AM$430,$K52))</f>
        <v/>
      </c>
      <c r="J52" s="271"/>
      <c r="K52" s="383">
        <f>1+($B$5-1)*36+30</f>
        <v>31</v>
      </c>
      <c r="L52" s="383" t="str" cm="1">
        <f t="array" ref="L52">IF($B52="","",INDEX($AI$72:$AI$430,$K52))</f>
        <v/>
      </c>
      <c r="M52" s="383" t="str" cm="1">
        <f t="array" ref="M52">IF($B52="","",INDEX($AJ$72:$AJ$430,$K52))</f>
        <v/>
      </c>
      <c r="N52" s="384" t="str" cm="1">
        <f t="array" ref="N52">IF(OR($B52="",$B$13="",$B$12="",$B$12=0),"",IF($L$22="AUTRE",IFERROR(INDEX($AK$72:$AK$430,$K52)*($B$13/$B$12),""),IF(OR($C$12="",$C$13=""),"",IFERROR(INDEX($AK$72:$AK$430,$K52)*(($B$13*VLOOKUP($C$13,$AY$74:$BA$119,3,FALSE))/($B$12*VLOOKUP($C$12,$AY$74:$BA$119,3,FALSE))),""))))</f>
        <v/>
      </c>
      <c r="O52" s="384" t="str" cm="1">
        <f t="array" ref="O52">IF(OR($B52="",$G$12="",$G$11="",$G$11=0),"",IFERROR(INDEX($AK$72:$AK$430,$K52)*($G$12/$G$11),""))</f>
        <v/>
      </c>
      <c r="U52" s="156"/>
      <c r="V52" s="156"/>
      <c r="W52" s="156"/>
      <c r="X52" s="156"/>
      <c r="Y52" s="156"/>
      <c r="Z52" s="156"/>
      <c r="AA52" s="156"/>
      <c r="AY52" s="31" t="s">
        <v>26</v>
      </c>
      <c r="AZ52" s="417" t="s">
        <v>37</v>
      </c>
      <c r="BA52" s="418">
        <v>0.35</v>
      </c>
      <c r="BB52" s="419" t="s">
        <v>9</v>
      </c>
      <c r="BC52" s="271"/>
      <c r="BD52" s="279">
        <v>1</v>
      </c>
      <c r="BE52" s="271"/>
      <c r="BF52" s="271"/>
      <c r="BG52" s="271"/>
    </row>
    <row r="53" spans="1:64" ht="21" customHeight="1" x14ac:dyDescent="0.25">
      <c r="A53" s="374" t="str">
        <f>IF($B53="","",31)</f>
        <v/>
      </c>
      <c r="B53" s="375" t="str" cm="1">
        <f t="array" ref="B53">IFERROR(IF(INDEX($AC$72:$AC$430,$K53)="","",INDEX($AC$72:$AC$430,$K53)),"")</f>
        <v/>
      </c>
      <c r="C53" s="376" t="str" cm="1">
        <f t="array" ref="C53">IF($B53="","",INDEX($AG$72:$AG$430,$K53))</f>
        <v/>
      </c>
      <c r="D53" s="377" t="str" cm="1">
        <f t="array" ref="D53">IF($B53="","",INDEX($AH$72:$AH$430,$K53))</f>
        <v/>
      </c>
      <c r="E53" s="378" t="str">
        <f t="shared" si="0"/>
        <v/>
      </c>
      <c r="F53" s="379" t="str" cm="1">
        <f t="array" ref="F53">IF($B53="","",IF(UPPER(TRIM($D53))="QT. SUFFISANTE","Qt. suffisante",IF($N53="","",IF($L53="MASSE",IF($N53&gt;=1,"Kg","g"),IF($L53="VOLUME",IF($N53&gt;=1,"L","cl"),INDEX($AL$72:$AL$430,$K53))))))</f>
        <v/>
      </c>
      <c r="G53" s="380" t="str">
        <f t="shared" si="1"/>
        <v/>
      </c>
      <c r="H53" s="381" t="str" cm="1">
        <f t="array" ref="H53">IF($B53="","",IF(UPPER(TRIM($D53))="QT. SUFFISANTE","Qt. suffisante",IF($O53="","",IF($L53="MASSE",IF($O53&gt;=1,"Kg","g"),IF($L53="VOLUME",IF($O53&gt;=1,"L","cl"),INDEX($AL$72:$AL$430,$K53))))))</f>
        <v/>
      </c>
      <c r="I53" s="382" t="str" cm="1">
        <f t="array" ref="I53">IF($B53="","",INDEX($AM$72:$AM$430,$K53))</f>
        <v/>
      </c>
      <c r="J53" s="271"/>
      <c r="K53" s="383">
        <f>1+($B$5-1)*36+31</f>
        <v>32</v>
      </c>
      <c r="L53" s="383" t="str" cm="1">
        <f t="array" ref="L53">IF($B53="","",INDEX($AI$72:$AI$430,$K53))</f>
        <v/>
      </c>
      <c r="M53" s="383" t="str" cm="1">
        <f t="array" ref="M53">IF($B53="","",INDEX($AJ$72:$AJ$430,$K53))</f>
        <v/>
      </c>
      <c r="N53" s="384" t="str" cm="1">
        <f t="array" ref="N53">IF(OR($B53="",$B$13="",$B$12="",$B$12=0),"",IF($L$22="AUTRE",IFERROR(INDEX($AK$72:$AK$430,$K53)*($B$13/$B$12),""),IF(OR($C$12="",$C$13=""),"",IFERROR(INDEX($AK$72:$AK$430,$K53)*(($B$13*VLOOKUP($C$13,$AY$74:$BA$119,3,FALSE))/($B$12*VLOOKUP($C$12,$AY$74:$BA$119,3,FALSE))),""))))</f>
        <v/>
      </c>
      <c r="O53" s="384" t="str" cm="1">
        <f t="array" ref="O53">IF(OR($B53="",$G$12="",$G$11="",$G$11=0),"",IFERROR(INDEX($AK$72:$AK$430,$K53)*($G$12/$G$11),""))</f>
        <v/>
      </c>
      <c r="U53" s="420" t="s">
        <v>7905</v>
      </c>
      <c r="V53" s="421"/>
      <c r="W53" s="421" t="s">
        <v>8085</v>
      </c>
      <c r="X53" s="421"/>
      <c r="Y53" s="421"/>
      <c r="Z53" s="421"/>
      <c r="AA53" s="421"/>
      <c r="AY53" s="31" t="s">
        <v>31</v>
      </c>
      <c r="AZ53" s="417" t="s">
        <v>37</v>
      </c>
      <c r="BA53" s="418">
        <v>0.22500000000000001</v>
      </c>
      <c r="BB53" s="419" t="s">
        <v>9</v>
      </c>
      <c r="BC53" s="271"/>
      <c r="BD53" s="279">
        <v>1</v>
      </c>
      <c r="BE53" s="271"/>
      <c r="BF53" s="271"/>
      <c r="BG53" s="271"/>
    </row>
    <row r="54" spans="1:64" ht="21" customHeight="1" x14ac:dyDescent="0.25">
      <c r="A54" s="374" t="str">
        <f>IF($B54="","",32)</f>
        <v/>
      </c>
      <c r="B54" s="375" t="str" cm="1">
        <f t="array" ref="B54">IFERROR(IF(INDEX($AC$72:$AC$430,$K54)="","",INDEX($AC$72:$AC$430,$K54)),"")</f>
        <v/>
      </c>
      <c r="C54" s="376" t="str" cm="1">
        <f t="array" ref="C54">IF($B54="","",INDEX($AG$72:$AG$430,$K54))</f>
        <v/>
      </c>
      <c r="D54" s="377" t="str" cm="1">
        <f t="array" ref="D54">IF($B54="","",INDEX($AH$72:$AH$430,$K54))</f>
        <v/>
      </c>
      <c r="E54" s="378" t="str">
        <f t="shared" si="0"/>
        <v/>
      </c>
      <c r="F54" s="379" t="str" cm="1">
        <f t="array" ref="F54">IF($B54="","",IF(UPPER(TRIM($D54))="QT. SUFFISANTE","Qt. suffisante",IF($N54="","",IF($L54="MASSE",IF($N54&gt;=1,"Kg","g"),IF($L54="VOLUME",IF($N54&gt;=1,"L","cl"),INDEX($AL$72:$AL$430,$K54))))))</f>
        <v/>
      </c>
      <c r="G54" s="380" t="str">
        <f t="shared" si="1"/>
        <v/>
      </c>
      <c r="H54" s="381" t="str" cm="1">
        <f t="array" ref="H54">IF($B54="","",IF(UPPER(TRIM($D54))="QT. SUFFISANTE","Qt. suffisante",IF($O54="","",IF($L54="MASSE",IF($O54&gt;=1,"Kg","g"),IF($L54="VOLUME",IF($O54&gt;=1,"L","cl"),INDEX($AL$72:$AL$430,$K54))))))</f>
        <v/>
      </c>
      <c r="I54" s="382" t="str" cm="1">
        <f t="array" ref="I54">IF($B54="","",INDEX($AM$72:$AM$430,$K54))</f>
        <v/>
      </c>
      <c r="J54" s="271"/>
      <c r="K54" s="383">
        <f>1+($B$5-1)*36+32</f>
        <v>33</v>
      </c>
      <c r="L54" s="383" t="str" cm="1">
        <f t="array" ref="L54">IF($B54="","",INDEX($AI$72:$AI$430,$K54))</f>
        <v/>
      </c>
      <c r="M54" s="383" t="str" cm="1">
        <f t="array" ref="M54">IF($B54="","",INDEX($AJ$72:$AJ$430,$K54))</f>
        <v/>
      </c>
      <c r="N54" s="384" t="str" cm="1">
        <f t="array" ref="N54">IF(OR($B54="",$B$13="",$B$12="",$B$12=0),"",IF($L$22="AUTRE",IFERROR(INDEX($AK$72:$AK$430,$K54)*($B$13/$B$12),""),IF(OR($C$12="",$C$13=""),"",IFERROR(INDEX($AK$72:$AK$430,$K54)*(($B$13*VLOOKUP($C$13,$AY$74:$BA$119,3,FALSE))/($B$12*VLOOKUP($C$12,$AY$74:$BA$119,3,FALSE))),""))))</f>
        <v/>
      </c>
      <c r="O54" s="384" t="str" cm="1">
        <f t="array" ref="O54">IF(OR($B54="",$G$12="",$G$11="",$G$11=0),"",IFERROR(INDEX($AK$72:$AK$430,$K54)*($G$12/$G$11),""))</f>
        <v/>
      </c>
      <c r="U54" s="422" t="s">
        <v>7915</v>
      </c>
      <c r="V54" s="423" t="s">
        <v>8086</v>
      </c>
      <c r="W54" s="156"/>
      <c r="X54" s="156"/>
      <c r="Y54" s="156"/>
      <c r="Z54" s="156"/>
      <c r="AA54" s="156"/>
      <c r="AN54" s="424" t="s">
        <v>8087</v>
      </c>
      <c r="BD54" s="279">
        <v>1</v>
      </c>
    </row>
    <row r="55" spans="1:64" ht="21" customHeight="1" x14ac:dyDescent="0.25">
      <c r="A55" s="374">
        <f>IF($B55="","",33)</f>
        <v>33</v>
      </c>
      <c r="B55" s="375" t="str" cm="1">
        <f t="array" ref="B55">IFERROR(IF(INDEX($AC$72:$AC$430,$K55)="","",INDEX($AC$72:$AC$430,$K55)),"")</f>
        <v>2 bac(s) GN 2/1 H 200 en polycarbonate</v>
      </c>
      <c r="C55" s="376" cm="1">
        <f t="array" ref="C55">IF($B55="","",INDEX($AG$72:$AG$430,$K55))</f>
        <v>2</v>
      </c>
      <c r="D55" s="377" t="str" cm="1">
        <f t="array" ref="D55">IF($B55="","",INDEX($AH$72:$AH$430,$K55))</f>
        <v>BAC(S)</v>
      </c>
      <c r="E55" s="378">
        <f t="shared" si="0"/>
        <v>1</v>
      </c>
      <c r="F55" s="379" t="str" cm="1">
        <f t="array" ref="F55">IF($B55="","",IF(UPPER(TRIM($D55))="QT. SUFFISANTE","Qt. suffisante",IF($N55="","",IF($L55="MASSE",IF($N55&gt;=1,"Kg","g"),IF($L55="VOLUME",IF($N55&gt;=1,"L","cl"),INDEX($AL$72:$AL$430,$K55))))))</f>
        <v>bac(s)</v>
      </c>
      <c r="G55" s="380">
        <f t="shared" si="1"/>
        <v>4</v>
      </c>
      <c r="H55" s="381" t="str" cm="1">
        <f t="array" ref="H55">IF($B55="","",IF(UPPER(TRIM($D55))="QT. SUFFISANTE","Qt. suffisante",IF($O55="","",IF($L55="MASSE",IF($O55&gt;=1,"Kg","g"),IF($L55="VOLUME",IF($O55&gt;=1,"L","cl"),INDEX($AL$72:$AL$430,$K55))))))</f>
        <v>bac(s)</v>
      </c>
      <c r="I55" s="382" t="str" cm="1">
        <f t="array" ref="I55">IF($B55="","",INDEX($AM$72:$AM$430,$K55))</f>
        <v>OK</v>
      </c>
      <c r="J55" s="271"/>
      <c r="K55" s="383">
        <f>1+($B$5-1)*36+33</f>
        <v>34</v>
      </c>
      <c r="L55" s="383" t="str" cm="1">
        <f t="array" ref="L55">IF($B55="","",INDEX($AI$72:$AI$430,$K55))</f>
        <v>AUTRE</v>
      </c>
      <c r="M55" s="383" cm="1">
        <f t="array" ref="M55">IF($B55="","",INDEX($AJ$72:$AJ$430,$K55))</f>
        <v>1</v>
      </c>
      <c r="N55" s="384" cm="1">
        <f t="array" ref="N55">IF(OR($B55="",$B$13="",$B$12="",$B$12=0),"",IF($L$22="AUTRE",IFERROR(INDEX($AK$72:$AK$430,$K55)*($B$13/$B$12),""),IF(OR($C$12="",$C$13=""),"",IFERROR(INDEX($AK$72:$AK$430,$K55)*(($B$13*VLOOKUP($C$13,$AY$74:$BA$119,3,FALSE))/($B$12*VLOOKUP($C$12,$AY$74:$BA$119,3,FALSE))),""))))</f>
        <v>1</v>
      </c>
      <c r="O55" s="384" cm="1">
        <f t="array" ref="O55">IF(OR($B55="",$G$12="",$G$11="",$G$11=0),"",IFERROR(INDEX($AK$72:$AK$430,$K55)*($G$12/$G$11),""))</f>
        <v>4</v>
      </c>
      <c r="U55" s="422" t="s">
        <v>7918</v>
      </c>
      <c r="V55" s="423" t="s">
        <v>8088</v>
      </c>
      <c r="W55" s="156"/>
      <c r="X55" s="156"/>
      <c r="Y55" s="156"/>
      <c r="Z55" s="156"/>
      <c r="AA55" s="156"/>
      <c r="AN55" s="659" t="s">
        <v>8089</v>
      </c>
      <c r="AO55" s="659"/>
      <c r="AP55" s="659"/>
      <c r="AQ55" s="659"/>
      <c r="AR55" s="659"/>
      <c r="AS55" s="659"/>
      <c r="AT55" s="659"/>
      <c r="AU55" s="659"/>
      <c r="AV55" s="659"/>
      <c r="AW55" s="659"/>
      <c r="AX55" s="659"/>
      <c r="AY55" s="659"/>
      <c r="AZ55" s="659"/>
      <c r="BA55" s="659"/>
      <c r="BB55" s="659"/>
      <c r="BD55" s="279">
        <v>1</v>
      </c>
    </row>
    <row r="56" spans="1:64" ht="21" customHeight="1" x14ac:dyDescent="0.25">
      <c r="A56" s="374">
        <f>IF($B56="","",34)</f>
        <v>34</v>
      </c>
      <c r="B56" s="375" t="str" cm="1">
        <f t="array" ref="B56">IFERROR(IF(INDEX($AC$72:$AC$430,$K56)="","",INDEX($AC$72:$AC$430,$K56)),"")</f>
        <v>1 grille(s) égouttoir</v>
      </c>
      <c r="C56" s="376" cm="1">
        <f t="array" ref="C56">IF($B56="","",INDEX($AG$72:$AG$430,$K56))</f>
        <v>1</v>
      </c>
      <c r="D56" s="377" t="str" cm="1">
        <f t="array" ref="D56">IF($B56="","",INDEX($AH$72:$AH$430,$K56))</f>
        <v>GRILLE(S)</v>
      </c>
      <c r="E56" s="378">
        <f t="shared" si="0"/>
        <v>1</v>
      </c>
      <c r="F56" s="379" t="str" cm="1">
        <f t="array" ref="F56">IF($B56="","",IF(UPPER(TRIM($D56))="QT. SUFFISANTE","Qt. suffisante",IF($N56="","",IF($L56="MASSE",IF($N56&gt;=1,"Kg","g"),IF($L56="VOLUME",IF($N56&gt;=1,"L","cl"),INDEX($AL$72:$AL$430,$K56))))))</f>
        <v>grille(s)</v>
      </c>
      <c r="G56" s="380">
        <f t="shared" si="1"/>
        <v>2</v>
      </c>
      <c r="H56" s="381" t="str" cm="1">
        <f t="array" ref="H56">IF($B56="","",IF(UPPER(TRIM($D56))="QT. SUFFISANTE","Qt. suffisante",IF($O56="","",IF($L56="MASSE",IF($O56&gt;=1,"Kg","g"),IF($L56="VOLUME",IF($O56&gt;=1,"L","cl"),INDEX($AL$72:$AL$430,$K56))))))</f>
        <v>grille(s)</v>
      </c>
      <c r="I56" s="382" t="str" cm="1">
        <f t="array" ref="I56">IF($B56="","",INDEX($AM$72:$AM$430,$K56))</f>
        <v>OK</v>
      </c>
      <c r="J56" s="271"/>
      <c r="K56" s="383">
        <f>1+($B$5-1)*36+34</f>
        <v>35</v>
      </c>
      <c r="L56" s="383" t="str" cm="1">
        <f t="array" ref="L56">IF($B56="","",INDEX($AI$72:$AI$430,$K56))</f>
        <v>AUTRE</v>
      </c>
      <c r="M56" s="383" cm="1">
        <f t="array" ref="M56">IF($B56="","",INDEX($AJ$72:$AJ$430,$K56))</f>
        <v>1</v>
      </c>
      <c r="N56" s="384" cm="1">
        <f t="array" ref="N56">IF(OR($B56="",$B$13="",$B$12="",$B$12=0),"",IF($L$22="AUTRE",IFERROR(INDEX($AK$72:$AK$430,$K56)*($B$13/$B$12),""),IF(OR($C$12="",$C$13=""),"",IFERROR(INDEX($AK$72:$AK$430,$K56)*(($B$13*VLOOKUP($C$13,$AY$74:$BA$119,3,FALSE))/($B$12*VLOOKUP($C$12,$AY$74:$BA$119,3,FALSE))),""))))</f>
        <v>0.5</v>
      </c>
      <c r="O56" s="384" cm="1">
        <f t="array" ref="O56">IF(OR($B56="",$G$12="",$G$11="",$G$11=0),"",IFERROR(INDEX($AK$72:$AK$430,$K56)*($G$12/$G$11),""))</f>
        <v>2</v>
      </c>
      <c r="U56" s="422" t="s">
        <v>7922</v>
      </c>
      <c r="V56" s="423" t="s">
        <v>8090</v>
      </c>
      <c r="W56" s="156"/>
      <c r="X56" s="156"/>
      <c r="Y56" s="156"/>
      <c r="Z56" s="156"/>
      <c r="AA56" s="156"/>
      <c r="AN56" s="659"/>
      <c r="AO56" s="659"/>
      <c r="AP56" s="659"/>
      <c r="AQ56" s="659"/>
      <c r="AR56" s="659"/>
      <c r="AS56" s="659"/>
      <c r="AT56" s="659"/>
      <c r="AU56" s="659"/>
      <c r="AV56" s="659"/>
      <c r="AW56" s="659"/>
      <c r="AX56" s="659"/>
      <c r="AY56" s="659"/>
      <c r="AZ56" s="659"/>
      <c r="BA56" s="659"/>
      <c r="BB56" s="659"/>
      <c r="BD56" s="279">
        <v>1</v>
      </c>
    </row>
    <row r="57" spans="1:64" ht="21" customHeight="1" x14ac:dyDescent="0.25">
      <c r="A57" s="284"/>
      <c r="B57" s="425"/>
      <c r="C57" s="426"/>
      <c r="D57" s="426"/>
      <c r="E57" s="427"/>
      <c r="F57" s="427"/>
      <c r="G57" s="427"/>
      <c r="H57" s="427"/>
      <c r="I57" s="284"/>
      <c r="J57" s="271"/>
      <c r="U57" s="422" t="s">
        <v>7926</v>
      </c>
      <c r="V57" s="423" t="s">
        <v>8091</v>
      </c>
      <c r="W57" s="156"/>
      <c r="X57" s="156"/>
      <c r="Y57" s="156"/>
      <c r="Z57" s="156"/>
      <c r="AA57" s="156"/>
      <c r="AN57" s="659"/>
      <c r="AO57" s="659"/>
      <c r="AP57" s="659"/>
      <c r="AQ57" s="659"/>
      <c r="AR57" s="659"/>
      <c r="AS57" s="659"/>
      <c r="AT57" s="659"/>
      <c r="AU57" s="659"/>
      <c r="AV57" s="659"/>
      <c r="AW57" s="659"/>
      <c r="AX57" s="659"/>
      <c r="AY57" s="659"/>
      <c r="AZ57" s="659"/>
      <c r="BA57" s="659"/>
      <c r="BB57" s="659"/>
      <c r="BD57" s="279">
        <v>1</v>
      </c>
      <c r="BI57" s="271"/>
      <c r="BJ57" s="271"/>
      <c r="BK57" s="271"/>
      <c r="BL57" s="271"/>
    </row>
    <row r="58" spans="1:64" ht="21" customHeight="1" x14ac:dyDescent="0.25">
      <c r="A58" s="661" t="s">
        <v>8092</v>
      </c>
      <c r="B58" s="662"/>
      <c r="C58" s="662"/>
      <c r="D58" s="662"/>
      <c r="E58" s="662"/>
      <c r="F58" s="662"/>
      <c r="G58" s="662"/>
      <c r="H58" s="662"/>
      <c r="I58" s="663"/>
      <c r="J58" s="271"/>
      <c r="U58" s="422" t="s">
        <v>7931</v>
      </c>
      <c r="V58" s="423" t="s">
        <v>8093</v>
      </c>
      <c r="W58" s="156"/>
      <c r="X58" s="156"/>
      <c r="Y58" s="156"/>
      <c r="Z58" s="156"/>
      <c r="AA58" s="156"/>
      <c r="AN58" s="659"/>
      <c r="AO58" s="659"/>
      <c r="AP58" s="659"/>
      <c r="AQ58" s="659"/>
      <c r="AR58" s="659"/>
      <c r="AS58" s="659"/>
      <c r="AT58" s="659"/>
      <c r="AU58" s="659"/>
      <c r="AV58" s="659"/>
      <c r="AW58" s="659"/>
      <c r="AX58" s="659"/>
      <c r="AY58" s="659"/>
      <c r="AZ58" s="659"/>
      <c r="BA58" s="659"/>
      <c r="BB58" s="659"/>
      <c r="BD58" s="279">
        <v>1</v>
      </c>
      <c r="BI58" s="271"/>
      <c r="BJ58" s="271"/>
      <c r="BK58" s="271"/>
      <c r="BL58" s="271"/>
    </row>
    <row r="59" spans="1:64" ht="21" customHeight="1" x14ac:dyDescent="0.25">
      <c r="A59" s="284"/>
      <c r="B59" s="284"/>
      <c r="C59" s="284"/>
      <c r="D59" s="284"/>
      <c r="E59" s="284"/>
      <c r="F59" s="284"/>
      <c r="G59" s="284"/>
      <c r="H59" s="284"/>
      <c r="I59" s="284"/>
      <c r="J59" s="271"/>
      <c r="U59" s="422" t="s">
        <v>7938</v>
      </c>
      <c r="V59" s="423" t="s">
        <v>8094</v>
      </c>
      <c r="W59" s="156"/>
      <c r="X59" s="156"/>
      <c r="Y59" s="156"/>
      <c r="Z59" s="156"/>
      <c r="AA59" s="156"/>
      <c r="AN59" s="659"/>
      <c r="AO59" s="659"/>
      <c r="AP59" s="659"/>
      <c r="AQ59" s="659"/>
      <c r="AR59" s="659"/>
      <c r="AS59" s="659"/>
      <c r="AT59" s="659"/>
      <c r="AU59" s="659"/>
      <c r="AV59" s="659"/>
      <c r="AW59" s="659"/>
      <c r="AX59" s="659"/>
      <c r="AY59" s="659"/>
      <c r="AZ59" s="659"/>
      <c r="BA59" s="659"/>
      <c r="BB59" s="659"/>
      <c r="BD59" s="279">
        <v>1</v>
      </c>
      <c r="BI59" s="271"/>
      <c r="BJ59" s="271"/>
      <c r="BK59" s="271"/>
      <c r="BL59" s="271"/>
    </row>
    <row r="60" spans="1:64" ht="21" customHeight="1" x14ac:dyDescent="0.25">
      <c r="A60" s="664" t="s">
        <v>8095</v>
      </c>
      <c r="B60" s="665"/>
      <c r="C60" s="665"/>
      <c r="D60" s="665"/>
      <c r="E60" s="665"/>
      <c r="F60" s="665"/>
      <c r="G60" s="665"/>
      <c r="H60" s="665"/>
      <c r="I60" s="666"/>
      <c r="J60" s="271"/>
      <c r="U60" s="422" t="s">
        <v>7946</v>
      </c>
      <c r="V60" s="423" t="s">
        <v>8096</v>
      </c>
      <c r="W60" s="156"/>
      <c r="X60" s="156"/>
      <c r="Y60" s="156"/>
      <c r="Z60" s="156"/>
      <c r="AA60" s="156"/>
      <c r="AN60" s="659"/>
      <c r="AO60" s="659"/>
      <c r="AP60" s="659"/>
      <c r="AQ60" s="659"/>
      <c r="AR60" s="659"/>
      <c r="AS60" s="659"/>
      <c r="AT60" s="659"/>
      <c r="AU60" s="659"/>
      <c r="AV60" s="659"/>
      <c r="AW60" s="659"/>
      <c r="AX60" s="659"/>
      <c r="AY60" s="659"/>
      <c r="AZ60" s="659"/>
      <c r="BA60" s="659"/>
      <c r="BB60" s="659"/>
      <c r="BD60" s="279">
        <v>1</v>
      </c>
      <c r="BI60" s="271"/>
      <c r="BJ60" s="271"/>
      <c r="BK60" s="271"/>
      <c r="BL60" s="271"/>
    </row>
    <row r="61" spans="1:64" ht="21" customHeight="1" x14ac:dyDescent="0.25">
      <c r="A61" s="428"/>
      <c r="B61" s="667" t="s">
        <v>8097</v>
      </c>
      <c r="C61" s="667"/>
      <c r="D61" s="667"/>
      <c r="E61" s="667"/>
      <c r="F61" s="667"/>
      <c r="G61" s="667"/>
      <c r="H61" s="667"/>
      <c r="I61" s="668"/>
      <c r="J61" s="271"/>
      <c r="U61" s="422" t="s">
        <v>7951</v>
      </c>
      <c r="V61" s="423" t="s">
        <v>8098</v>
      </c>
      <c r="W61" s="156"/>
      <c r="X61" s="156"/>
      <c r="Y61" s="156"/>
      <c r="Z61" s="156"/>
      <c r="AA61" s="156"/>
      <c r="AN61" s="659"/>
      <c r="AO61" s="659"/>
      <c r="AP61" s="659"/>
      <c r="AQ61" s="659"/>
      <c r="AR61" s="659"/>
      <c r="AS61" s="659"/>
      <c r="AT61" s="659"/>
      <c r="AU61" s="659"/>
      <c r="AV61" s="659"/>
      <c r="AW61" s="659"/>
      <c r="AX61" s="659"/>
      <c r="AY61" s="659"/>
      <c r="AZ61" s="659"/>
      <c r="BA61" s="659"/>
      <c r="BB61" s="659"/>
      <c r="BD61" s="279">
        <v>1</v>
      </c>
      <c r="BI61" s="271"/>
      <c r="BJ61" s="271"/>
      <c r="BK61" s="271"/>
      <c r="BL61" s="271"/>
    </row>
    <row r="62" spans="1:64" ht="21" customHeight="1" x14ac:dyDescent="0.25">
      <c r="A62" s="429"/>
      <c r="B62" s="669"/>
      <c r="C62" s="669"/>
      <c r="D62" s="669"/>
      <c r="E62" s="669"/>
      <c r="F62" s="669"/>
      <c r="G62" s="669"/>
      <c r="H62" s="669"/>
      <c r="I62" s="670"/>
      <c r="J62" s="271"/>
      <c r="U62" s="422" t="s">
        <v>7975</v>
      </c>
      <c r="V62" s="430" t="s">
        <v>8099</v>
      </c>
      <c r="W62" s="156"/>
      <c r="X62" s="156"/>
      <c r="Y62" s="156"/>
      <c r="Z62" s="156"/>
      <c r="AA62" s="156"/>
      <c r="AN62" s="659"/>
      <c r="AO62" s="659"/>
      <c r="AP62" s="659"/>
      <c r="AQ62" s="659"/>
      <c r="AR62" s="659"/>
      <c r="AS62" s="659"/>
      <c r="AT62" s="659"/>
      <c r="AU62" s="659"/>
      <c r="AV62" s="659"/>
      <c r="AW62" s="659"/>
      <c r="AX62" s="659"/>
      <c r="AY62" s="659"/>
      <c r="AZ62" s="659"/>
      <c r="BA62" s="659"/>
      <c r="BB62" s="659"/>
      <c r="BD62" s="279">
        <v>1</v>
      </c>
      <c r="BI62" s="271"/>
      <c r="BJ62" s="271"/>
      <c r="BK62" s="271"/>
      <c r="BL62" s="271"/>
    </row>
    <row r="63" spans="1:64" ht="21" customHeight="1" x14ac:dyDescent="0.25">
      <c r="A63" s="431"/>
      <c r="B63" s="671"/>
      <c r="C63" s="671"/>
      <c r="D63" s="671"/>
      <c r="E63" s="671"/>
      <c r="F63" s="671"/>
      <c r="G63" s="671"/>
      <c r="H63" s="671"/>
      <c r="I63" s="672"/>
      <c r="J63" s="271"/>
      <c r="U63" s="422" t="s">
        <v>7995</v>
      </c>
      <c r="V63" s="423" t="s">
        <v>8100</v>
      </c>
      <c r="W63" s="156"/>
      <c r="X63" s="156"/>
      <c r="Y63" s="156"/>
      <c r="Z63" s="156"/>
      <c r="AA63" s="156"/>
      <c r="AN63" s="659"/>
      <c r="AO63" s="659"/>
      <c r="AP63" s="659"/>
      <c r="AQ63" s="659"/>
      <c r="AR63" s="659"/>
      <c r="AS63" s="659"/>
      <c r="AT63" s="659"/>
      <c r="AU63" s="659"/>
      <c r="AV63" s="659"/>
      <c r="AW63" s="659"/>
      <c r="AX63" s="659"/>
      <c r="AY63" s="659"/>
      <c r="AZ63" s="659"/>
      <c r="BA63" s="659"/>
      <c r="BB63" s="659"/>
      <c r="BC63" s="271"/>
      <c r="BD63" s="279">
        <v>1</v>
      </c>
      <c r="BE63" s="271"/>
      <c r="BF63" s="271"/>
      <c r="BG63" s="271"/>
      <c r="BH63" s="271"/>
      <c r="BI63" s="271"/>
      <c r="BJ63" s="271"/>
      <c r="BK63" s="271"/>
      <c r="BL63" s="271"/>
    </row>
    <row r="64" spans="1:64" ht="15.75" customHeight="1" x14ac:dyDescent="0.25">
      <c r="A64" s="432" t="s">
        <v>2</v>
      </c>
      <c r="B64" s="433" t="str" cm="1">
        <f t="array" aca="1" ref="B64" ca="1">CELL("nomfichier")</f>
        <v>D:\Données\1.UPRT\0-UPRT.fait\1-UPRT.FR-SITE-WEB\ff-fiches-fabrications\ff.fiches.fabrication.2023\ffr-restaurant-2026\[02-06-recettes-entrees-cuisine-collective-fiches-techniques.xlsx]H.O.FROIDS.11.à.20</v>
      </c>
      <c r="C64" s="271"/>
      <c r="D64" s="271"/>
      <c r="E64" s="271"/>
      <c r="F64" s="271"/>
      <c r="G64" s="271"/>
      <c r="H64" s="271"/>
      <c r="I64" s="271"/>
      <c r="J64" s="271"/>
      <c r="K64" s="271"/>
      <c r="L64" s="271"/>
      <c r="M64" s="271"/>
      <c r="N64" s="271"/>
      <c r="O64" s="271"/>
      <c r="P64" s="271"/>
      <c r="Q64" s="271"/>
      <c r="R64" s="271"/>
      <c r="S64" s="271"/>
      <c r="U64" s="422" t="s">
        <v>7998</v>
      </c>
      <c r="V64" s="423" t="s">
        <v>8101</v>
      </c>
      <c r="W64" s="156"/>
      <c r="X64" s="156"/>
      <c r="Y64" s="156"/>
      <c r="Z64" s="156"/>
      <c r="AA64" s="156"/>
      <c r="AB64" s="220"/>
      <c r="AC64" s="220"/>
      <c r="AD64" s="220"/>
      <c r="AE64" s="220"/>
      <c r="AF64" s="220"/>
      <c r="AG64" s="220"/>
      <c r="AH64" s="220"/>
      <c r="AI64" s="220"/>
      <c r="AJ64" s="220"/>
      <c r="AK64" s="220"/>
      <c r="AL64" s="220"/>
      <c r="AN64" s="659"/>
      <c r="AO64" s="659"/>
      <c r="AP64" s="659"/>
      <c r="AQ64" s="659"/>
      <c r="AR64" s="659"/>
      <c r="AS64" s="659"/>
      <c r="AT64" s="659"/>
      <c r="AU64" s="659"/>
      <c r="AV64" s="659"/>
      <c r="AW64" s="659"/>
      <c r="AX64" s="659"/>
      <c r="AY64" s="659"/>
      <c r="AZ64" s="659"/>
      <c r="BA64" s="659"/>
      <c r="BB64" s="659"/>
      <c r="BC64" s="271"/>
      <c r="BD64" s="279">
        <v>1</v>
      </c>
      <c r="BE64" s="271"/>
      <c r="BF64" s="271"/>
      <c r="BG64" s="271"/>
      <c r="BH64" s="271"/>
      <c r="BI64" s="271"/>
      <c r="BJ64" s="271"/>
      <c r="BK64" s="271"/>
      <c r="BL64" s="271"/>
    </row>
    <row r="65" spans="1:111" x14ac:dyDescent="0.25">
      <c r="A65" s="271"/>
      <c r="B65" s="271"/>
      <c r="C65" s="271"/>
      <c r="D65" s="271"/>
      <c r="E65" s="271"/>
      <c r="F65" s="271"/>
      <c r="G65" s="271"/>
      <c r="H65" s="271"/>
      <c r="I65" s="271"/>
      <c r="J65" s="271"/>
      <c r="K65" s="271"/>
      <c r="L65" s="271"/>
      <c r="M65" s="271"/>
      <c r="N65" s="271"/>
      <c r="O65" s="271"/>
      <c r="P65" s="271"/>
      <c r="Q65" s="271"/>
      <c r="R65" s="271"/>
      <c r="S65" s="271"/>
      <c r="T65" s="271"/>
      <c r="U65" s="422" t="s">
        <v>8102</v>
      </c>
      <c r="V65" s="434" t="s">
        <v>8103</v>
      </c>
      <c r="W65" s="156"/>
      <c r="X65" s="156"/>
      <c r="Y65" s="156"/>
      <c r="Z65" s="156"/>
      <c r="AA65" s="156"/>
      <c r="AB65" s="220"/>
      <c r="AC65" s="220"/>
      <c r="AD65" s="220"/>
      <c r="AE65" s="220"/>
      <c r="AF65" s="220"/>
      <c r="AG65" s="220"/>
      <c r="AH65" s="220"/>
      <c r="AI65" s="220"/>
      <c r="AJ65" s="220"/>
      <c r="AK65" s="271"/>
      <c r="AL65" s="271"/>
      <c r="AN65" s="659"/>
      <c r="AO65" s="659"/>
      <c r="AP65" s="659"/>
      <c r="AQ65" s="659"/>
      <c r="AR65" s="659"/>
      <c r="AS65" s="659"/>
      <c r="AT65" s="659"/>
      <c r="AU65" s="659"/>
      <c r="AV65" s="659"/>
      <c r="AW65" s="659"/>
      <c r="AX65" s="659"/>
      <c r="AY65" s="659"/>
      <c r="AZ65" s="659"/>
      <c r="BA65" s="659"/>
      <c r="BB65" s="659"/>
      <c r="BC65" s="271"/>
      <c r="BD65" s="279">
        <v>1</v>
      </c>
      <c r="BE65" s="271"/>
      <c r="BF65" s="271"/>
      <c r="BG65" s="271"/>
      <c r="BH65" s="271"/>
      <c r="BI65" s="271"/>
      <c r="BJ65" s="271"/>
      <c r="BK65" s="271"/>
      <c r="BL65" s="271"/>
      <c r="BM65" s="271"/>
      <c r="BN65" s="271"/>
      <c r="BO65" s="271"/>
      <c r="BP65" s="271"/>
      <c r="BQ65" s="271"/>
      <c r="BR65" s="271"/>
      <c r="BS65" s="271"/>
      <c r="BT65" s="271"/>
      <c r="BU65" s="271"/>
      <c r="BV65" s="271"/>
      <c r="BW65" s="271"/>
      <c r="BX65" s="271"/>
      <c r="BY65" s="271"/>
      <c r="BZ65" s="271"/>
      <c r="CA65" s="271"/>
      <c r="CB65" s="271"/>
      <c r="CC65" s="271"/>
      <c r="CD65" s="271"/>
      <c r="CE65" s="271"/>
      <c r="CF65" s="271"/>
      <c r="CG65" s="271"/>
      <c r="CH65" s="271"/>
      <c r="CI65" s="271"/>
      <c r="CJ65" s="271"/>
      <c r="CK65" s="271"/>
      <c r="CL65" s="271"/>
      <c r="CM65" s="271"/>
      <c r="CN65" s="271"/>
      <c r="CO65" s="271"/>
      <c r="CP65" s="271"/>
      <c r="CQ65" s="271"/>
      <c r="CR65" s="271"/>
      <c r="CS65" s="271"/>
      <c r="CT65" s="271"/>
      <c r="CU65" s="271"/>
      <c r="CV65" s="271"/>
      <c r="CW65" s="271"/>
      <c r="CX65" s="271"/>
      <c r="CY65" s="271"/>
      <c r="CZ65" s="271"/>
      <c r="DA65" s="271"/>
      <c r="DB65" s="271"/>
      <c r="DC65" s="271"/>
      <c r="DD65" s="271"/>
      <c r="DE65" s="271"/>
      <c r="DF65" s="271"/>
      <c r="DG65" s="271"/>
    </row>
    <row r="66" spans="1:111" ht="15.75" customHeight="1" x14ac:dyDescent="0.25">
      <c r="U66" s="422" t="s">
        <v>8047</v>
      </c>
      <c r="V66" s="434" t="s">
        <v>8104</v>
      </c>
      <c r="W66" s="435"/>
      <c r="X66" s="435"/>
      <c r="Y66" s="435"/>
      <c r="Z66" s="435"/>
      <c r="AA66" s="435"/>
      <c r="AB66" s="271"/>
      <c r="AC66" s="271"/>
      <c r="AD66" s="220"/>
      <c r="AE66" s="220"/>
      <c r="AF66" s="220"/>
      <c r="AG66" s="220"/>
      <c r="AH66" s="220"/>
      <c r="AI66" s="220"/>
      <c r="AJ66" s="220"/>
      <c r="AK66" s="271"/>
      <c r="AL66" s="271"/>
      <c r="AM66" s="271"/>
      <c r="AN66" s="660" t="s">
        <v>8105</v>
      </c>
      <c r="AO66" s="660"/>
      <c r="AP66" s="660"/>
      <c r="AQ66" s="660"/>
      <c r="AR66" s="660"/>
      <c r="AS66" s="660"/>
      <c r="AT66" s="660"/>
      <c r="AU66" s="660"/>
      <c r="AV66" s="660"/>
      <c r="AW66" s="660"/>
      <c r="AX66" s="660"/>
      <c r="AY66" s="660"/>
      <c r="AZ66" s="660"/>
      <c r="BA66" s="660"/>
      <c r="BB66" s="660"/>
      <c r="BC66" s="271"/>
      <c r="BD66" s="279">
        <v>1</v>
      </c>
      <c r="BE66" s="271"/>
      <c r="BF66" s="271"/>
      <c r="BG66" s="271"/>
      <c r="BH66" s="271"/>
      <c r="BI66" s="271"/>
      <c r="BJ66" s="271"/>
      <c r="BK66" s="271"/>
      <c r="BL66" s="271"/>
    </row>
    <row r="67" spans="1:111" ht="15.75" customHeight="1" x14ac:dyDescent="0.25">
      <c r="U67" s="156"/>
      <c r="V67" s="435"/>
      <c r="W67" s="435"/>
      <c r="X67" s="435"/>
      <c r="Y67" s="435"/>
      <c r="Z67" s="435"/>
      <c r="AA67" s="435"/>
      <c r="AB67" s="655" t="str">
        <f>IF(AND(COUNTIF(AC72:AC430,"*~**")=0,COUNTIF(AC72:AC430,"*~?*")=0),"",IF(COUNTIF(AC72:AC430,"*~**")&gt;0,COUNTIF(AC72:AC430,"*~**")&amp;" allergène"&amp;IF(COUNTIF(AC72:AC430,"*~**")&gt;1,"s","")&amp;" repéré"&amp;IF(COUNTIF(AC72:AC430,"*~**")&gt;1,"s","")&amp;" par *","")&amp;IF(AND(COUNTIF(AC72:AC430,"*~**")&gt;0,COUNTIF(AC72:AC430,"*~?*")&gt;0)," | ","")&amp;IF(COUNTIF(AC72:AC430,"*~?*")&gt;0,COUNTIF(AC72:AC430,"*~?*")&amp;" produit"&amp;IF(COUNTIF(AC72:AC430,"*~?*")&gt;1,"s","")&amp;" à vérifier par ?",""))</f>
        <v>22 allergènes repérés par * | 5 produits à vérifier par ?</v>
      </c>
      <c r="AC67" s="655"/>
      <c r="AD67" s="436" t="s">
        <v>8106</v>
      </c>
      <c r="AE67" s="436"/>
      <c r="AF67" s="436"/>
      <c r="AG67" s="271"/>
      <c r="AH67" s="271"/>
      <c r="AI67" s="271"/>
      <c r="AJ67" s="271"/>
      <c r="AK67" s="271"/>
      <c r="AL67" s="271"/>
      <c r="AM67" s="271"/>
      <c r="AN67" s="660"/>
      <c r="AO67" s="660"/>
      <c r="AP67" s="660"/>
      <c r="AQ67" s="660"/>
      <c r="AR67" s="660"/>
      <c r="AS67" s="660"/>
      <c r="AT67" s="660"/>
      <c r="AU67" s="660"/>
      <c r="AV67" s="660"/>
      <c r="AW67" s="660"/>
      <c r="AX67" s="660"/>
      <c r="AY67" s="660"/>
      <c r="AZ67" s="660"/>
      <c r="BA67" s="660"/>
      <c r="BB67" s="660"/>
      <c r="BC67" s="271"/>
      <c r="BD67" s="279"/>
      <c r="BE67" s="271"/>
      <c r="BF67" s="271"/>
      <c r="BG67" s="271"/>
      <c r="BH67" s="271"/>
      <c r="BI67" s="271"/>
      <c r="BJ67" s="271"/>
      <c r="BK67" s="271"/>
      <c r="BL67" s="271"/>
    </row>
    <row r="68" spans="1:111" ht="15.75" customHeight="1" x14ac:dyDescent="0.25">
      <c r="R68" s="437" t="s">
        <v>8107</v>
      </c>
      <c r="U68" s="156"/>
      <c r="V68" s="435"/>
      <c r="W68" s="435"/>
      <c r="X68" s="435"/>
      <c r="Y68" s="435"/>
      <c r="Z68" s="435"/>
      <c r="AA68" s="435"/>
      <c r="AB68" s="655"/>
      <c r="AC68" s="655"/>
      <c r="AD68" s="436" t="s">
        <v>8108</v>
      </c>
      <c r="AE68" s="436"/>
      <c r="AF68" s="436"/>
      <c r="AG68" s="271"/>
      <c r="AH68" s="271"/>
      <c r="AI68" s="271"/>
      <c r="AJ68" s="271"/>
      <c r="AK68" s="271"/>
      <c r="AL68" s="271"/>
      <c r="AM68" s="271"/>
      <c r="AN68" s="438" t="s">
        <v>8109</v>
      </c>
      <c r="AO68" s="438"/>
      <c r="AP68" s="271"/>
      <c r="BC68" s="271"/>
      <c r="BD68" s="279">
        <v>1</v>
      </c>
      <c r="BE68" s="271"/>
      <c r="BF68" s="271"/>
      <c r="BG68" s="271"/>
      <c r="BH68" s="271"/>
      <c r="BI68" s="271"/>
      <c r="BJ68" s="271"/>
      <c r="BK68" s="271"/>
      <c r="BL68" s="271"/>
    </row>
    <row r="69" spans="1:111" x14ac:dyDescent="0.25">
      <c r="R69" s="422" t="str">
        <f>SUBSTITUTE(ADDRESS(1,COLUMN(),4),"1","")</f>
        <v>R</v>
      </c>
      <c r="T69" s="422" t="str">
        <f>SUBSTITUTE(ADDRESS(1,COLUMN(),4),"1","")</f>
        <v>T</v>
      </c>
      <c r="V69" s="422" t="str">
        <f t="shared" ref="V69:AF69" si="2">SUBSTITUTE(ADDRESS(1,COLUMN(),4),"1","")</f>
        <v>V</v>
      </c>
      <c r="W69" s="422" t="str">
        <f t="shared" si="2"/>
        <v>W</v>
      </c>
      <c r="X69" s="422" t="str">
        <f t="shared" si="2"/>
        <v>X</v>
      </c>
      <c r="Y69" s="422" t="str">
        <f t="shared" si="2"/>
        <v>Y</v>
      </c>
      <c r="Z69" s="422" t="str">
        <f t="shared" si="2"/>
        <v>Z</v>
      </c>
      <c r="AA69" s="422" t="str">
        <f t="shared" si="2"/>
        <v>AA</v>
      </c>
      <c r="AB69" s="422" t="str">
        <f t="shared" si="2"/>
        <v>AB</v>
      </c>
      <c r="AC69" s="422" t="str">
        <f t="shared" si="2"/>
        <v>AC</v>
      </c>
      <c r="AD69" s="422" t="str">
        <f t="shared" si="2"/>
        <v>AD</v>
      </c>
      <c r="AE69" s="422" t="str">
        <f t="shared" si="2"/>
        <v>AE</v>
      </c>
      <c r="AF69" s="422" t="str">
        <f t="shared" si="2"/>
        <v>AF</v>
      </c>
      <c r="AG69" s="395"/>
      <c r="AH69" s="395"/>
      <c r="AI69" s="395"/>
      <c r="AJ69" s="395"/>
      <c r="AK69" s="395"/>
      <c r="AL69" s="395"/>
      <c r="AM69" s="439" t="str">
        <f>SUBSTITUTE(ADDRESS(1,COLUMN(),4),"1","")</f>
        <v>AM</v>
      </c>
      <c r="AN69" s="395" t="str">
        <f>SUBSTITUTE(ADDRESS(1,COLUMN(),4),"1","")</f>
        <v>AN</v>
      </c>
      <c r="AO69" s="395" t="str">
        <f>SUBSTITUTE(ADDRESS(1,COLUMN(),4),"1","")</f>
        <v>AO</v>
      </c>
      <c r="AP69" s="395" t="str">
        <f t="shared" ref="AP69:AU69" si="3">SUBSTITUTE(ADDRESS(1,COLUMN(),4),"1","")</f>
        <v>AP</v>
      </c>
      <c r="AQ69" s="395" t="str">
        <f t="shared" si="3"/>
        <v>AQ</v>
      </c>
      <c r="AR69" s="395" t="str">
        <f t="shared" si="3"/>
        <v>AR</v>
      </c>
      <c r="AS69" s="395" t="str">
        <f t="shared" si="3"/>
        <v>AS</v>
      </c>
      <c r="AT69" s="395" t="str">
        <f t="shared" si="3"/>
        <v>AT</v>
      </c>
      <c r="AU69" s="395" t="str">
        <f t="shared" si="3"/>
        <v>AU</v>
      </c>
      <c r="BC69" s="271"/>
      <c r="BD69" s="279">
        <v>1</v>
      </c>
      <c r="BE69" s="271"/>
      <c r="BF69" s="271"/>
      <c r="BG69" s="271"/>
      <c r="BH69" s="271"/>
      <c r="BI69" s="271"/>
      <c r="BJ69" s="271"/>
      <c r="BK69" s="271"/>
      <c r="BL69" s="271"/>
    </row>
    <row r="70" spans="1:111" ht="35.25" customHeight="1" x14ac:dyDescent="0.25">
      <c r="R70" s="440" t="s">
        <v>484</v>
      </c>
      <c r="T70" s="440" t="s">
        <v>8110</v>
      </c>
      <c r="V70" s="441" t="s">
        <v>8111</v>
      </c>
      <c r="W70" s="442"/>
      <c r="X70" s="442"/>
      <c r="Y70" s="442"/>
      <c r="Z70" s="442"/>
      <c r="AA70" s="442"/>
      <c r="AB70" s="442"/>
      <c r="AC70" s="442"/>
      <c r="AD70" s="443"/>
      <c r="AE70" s="442"/>
      <c r="AF70" s="442"/>
      <c r="AG70" s="444" t="s">
        <v>8112</v>
      </c>
      <c r="AH70" s="445"/>
      <c r="AI70" s="445"/>
      <c r="AJ70" s="445"/>
      <c r="AK70" s="445"/>
      <c r="AL70" s="445"/>
      <c r="AM70" s="446"/>
      <c r="AN70" s="444" t="s">
        <v>8112</v>
      </c>
      <c r="AO70" s="447"/>
      <c r="AP70" s="447"/>
      <c r="AQ70" s="447"/>
      <c r="AR70" s="447"/>
      <c r="AS70" s="447"/>
      <c r="AT70" s="447"/>
      <c r="AU70" s="447"/>
      <c r="AY70" s="448" t="str">
        <f>ADDRESS(ROW(),COLUMN(),4)</f>
        <v>AY70</v>
      </c>
      <c r="AZ70" s="449"/>
      <c r="BA70" s="449"/>
      <c r="BB70" s="450"/>
      <c r="BD70" s="279">
        <v>1</v>
      </c>
      <c r="BG70" s="271"/>
      <c r="BH70" s="271"/>
      <c r="BI70" s="271"/>
      <c r="BJ70" s="271"/>
      <c r="BK70" s="271"/>
      <c r="BL70" s="271"/>
    </row>
    <row r="71" spans="1:111" ht="34.5" customHeight="1" x14ac:dyDescent="0.25">
      <c r="R71" s="25" t="s">
        <v>6115</v>
      </c>
      <c r="S71" s="451"/>
      <c r="T71" s="452" t="s">
        <v>8113</v>
      </c>
      <c r="V71" s="453" t="s">
        <v>324</v>
      </c>
      <c r="W71" s="453" t="s">
        <v>7912</v>
      </c>
      <c r="X71" s="453" t="s">
        <v>326</v>
      </c>
      <c r="Y71" s="453" t="s">
        <v>327</v>
      </c>
      <c r="Z71" s="454" t="s">
        <v>7930</v>
      </c>
      <c r="AA71" s="453" t="s">
        <v>7937</v>
      </c>
      <c r="AB71" s="455" t="s">
        <v>39</v>
      </c>
      <c r="AC71" s="455" t="s">
        <v>338</v>
      </c>
      <c r="AD71" s="455" t="s">
        <v>8114</v>
      </c>
      <c r="AE71" s="455" t="s">
        <v>339</v>
      </c>
      <c r="AF71" s="455" t="s">
        <v>7997</v>
      </c>
      <c r="AG71" s="456" t="s">
        <v>8018</v>
      </c>
      <c r="AH71" s="456" t="s">
        <v>8023</v>
      </c>
      <c r="AI71" s="456" t="s">
        <v>330</v>
      </c>
      <c r="AJ71" s="456" t="s">
        <v>8031</v>
      </c>
      <c r="AK71" s="453" t="s">
        <v>8037</v>
      </c>
      <c r="AL71" s="453" t="s">
        <v>8041</v>
      </c>
      <c r="AM71" s="456" t="s">
        <v>343</v>
      </c>
      <c r="AN71" s="457" t="s">
        <v>8115</v>
      </c>
      <c r="AO71" s="457" t="s">
        <v>8116</v>
      </c>
      <c r="AP71" s="656" t="s">
        <v>8117</v>
      </c>
      <c r="AQ71" s="656"/>
      <c r="AR71" s="656"/>
      <c r="AS71" s="656"/>
      <c r="AT71" s="656"/>
      <c r="AU71" s="657"/>
      <c r="AY71" s="448" t="s">
        <v>8118</v>
      </c>
      <c r="AZ71" s="448" t="s">
        <v>8119</v>
      </c>
      <c r="BA71" s="448"/>
      <c r="BB71" s="458"/>
      <c r="BD71" s="279">
        <v>1</v>
      </c>
      <c r="BG71" s="271"/>
      <c r="BH71" s="271"/>
      <c r="BI71" s="271"/>
      <c r="BJ71" s="271"/>
      <c r="BK71" s="271"/>
      <c r="BL71" s="271"/>
    </row>
    <row r="72" spans="1:111" ht="30" customHeight="1" x14ac:dyDescent="0.25">
      <c r="R72" s="34" t="s">
        <v>471</v>
      </c>
      <c r="S72" s="451"/>
      <c r="T72" s="14" t="s">
        <v>7</v>
      </c>
      <c r="V72" s="459">
        <v>1</v>
      </c>
      <c r="W72" s="460" t="s">
        <v>120</v>
      </c>
      <c r="X72" s="461" t="s">
        <v>119</v>
      </c>
      <c r="Y72" s="462">
        <v>28</v>
      </c>
      <c r="Z72" s="463">
        <v>100</v>
      </c>
      <c r="AA72" s="464">
        <f>IF($AC$396="","",ROW($A$396)-ROW($A$396))</f>
        <v>0</v>
      </c>
      <c r="AB72" s="461"/>
      <c r="AC72" s="465" t="s">
        <v>121</v>
      </c>
      <c r="AD72" s="390"/>
      <c r="AE72" s="390">
        <v>4</v>
      </c>
      <c r="AF72" s="466" t="s">
        <v>7</v>
      </c>
      <c r="AG72" s="467">
        <f t="shared" ref="AG72:AG106" si="4">IF($AC72="","",IF(LEN($AN72&amp;"")=0,"",$AN72))</f>
        <v>4</v>
      </c>
      <c r="AH72" s="468" t="str">
        <f t="shared" ref="AH72:AH106" si="5">IF($AC72="","",IF($AF72&lt;&gt;"",UPPER(TRIM(SUBSTITUTE(SUBSTITUTE($AF72&amp;"",CHAR(160)," ")," "," "))),$AP72))</f>
        <v>KG</v>
      </c>
      <c r="AI72" s="469" t="str">
        <f>IF($AC$72="","",IFERROR(INDEX($AZ$74:$AZ$119,MATCH($AH$72,$AY$74:$AY$119,0)),"AUTRE"))</f>
        <v>MASSE</v>
      </c>
      <c r="AJ72" s="470">
        <f>IF($AC$72="","",IFERROR(INDEX($BA$74:$BA$119,MATCH($AH$72,$AY$74:$AY$119,0)),1))</f>
        <v>1</v>
      </c>
      <c r="AK72" s="470">
        <f t="shared" ref="AK72:AK106" si="6">IF(OR(AG72="",AJ72=""),"",AG72*AJ72)</f>
        <v>4</v>
      </c>
      <c r="AL72" s="469" t="str">
        <f>IF($AC$72="","",IFERROR(INDEX($BB$74:$BB$119,MATCH($AH$72,$AY$74:$AY$119,0)),$AH$72))</f>
        <v>kg</v>
      </c>
      <c r="AM72" s="471" t="str">
        <f t="shared" ref="AM72:AM106" si="7">IF($AC72="","",IF($AH72="QT. SUFFISANTE","OK",IF($AG72="","TEXTE",IF(NOT(ISNUMBER($AG72)),"QUANTITÉ À CONTRÔLER",IF(COUNTIF($AY$74:$AY$119,$AH72)=0,"UNITÉ À CONTRÔLER","OK")))))</f>
        <v>OK</v>
      </c>
      <c r="AN72" s="472">
        <f>IF($AE72&lt;&gt;"",$AE72,IF($AD72="","",IF(ISNUMBER($AD72),$AD72,IF($AO72="QT",0,IF($AO72="","",IFERROR(IF(ISNUMBER(SEARCH("/",$AO72)),VALUE(TRIM(LEFT($AO72,SEARCH("/",$AO72)-1)))/VALUE(TRIM(MID($AO72,SEARCH("/",$AO72)+1,99))),VALUE(SUBSTITUTE($AO72,".",","))),""))))))</f>
        <v>4</v>
      </c>
      <c r="AO72" s="473" t="str">
        <f t="shared" ref="AO72:AO106" si="8">IF($AD72="","",IF(ISNUMBER($AD72),$AD72,IF(OR(LEFT($AQ72,3)="QT.",LEFT($AQ72,4)="QUAN"),"QT",IF($AR72=999,$AQ72,TRIM(LEFT($AQ72,$AR72-1))))))</f>
        <v/>
      </c>
      <c r="AP72" s="473" t="str">
        <f t="shared" ref="AP72:AP106" si="9">IF($AD72="","",IF(ISNUMBER($AD72),"",IF(OR(LEFT($AQ72,3)="QT.",LEFT($AQ72,4)="QUAN"),"QT. SUFFISANTE",IF($AO72="","",TRIM(MID($AQ72,LEN($AO72&amp;"")+1,999))))))</f>
        <v/>
      </c>
      <c r="AQ72" s="474" t="str">
        <f t="shared" ref="AQ72:AQ106" si="10">IF($AD72="","",UPPER(TRIM(SUBSTITUTE(SUBSTITUTE($AD72&amp;"",CHAR(160)," ")," "," "))))</f>
        <v/>
      </c>
      <c r="AR72" s="474" t="str">
        <f t="shared" ref="AR72:AR106" si="11">IF($AQ72="","",MIN($AS72,$AT72,$AU72))</f>
        <v/>
      </c>
      <c r="AS72" s="474" t="str">
        <f t="shared" ref="AS72:AS106" si="12">IF($AQ72="","",MIN(IFERROR(SEARCH("A",$AQ72),999),IFERROR(SEARCH("B",$AQ72),999),IFERROR(SEARCH("C",$AQ72),999),IFERROR(SEARCH("D",$AQ72),999),IFERROR(SEARCH("E",$AQ72),999),IFERROR(SEARCH("F",$AQ72),999),IFERROR(SEARCH("G",$AQ72),999),IFERROR(SEARCH("H",$AQ72),999),IFERROR(SEARCH("I",$AQ72),999)))</f>
        <v/>
      </c>
      <c r="AT72" s="474" t="str">
        <f t="shared" ref="AT72:AT106" si="13">IF($AQ72="","",MIN(IFERROR(SEARCH("J",$AQ72),999),IFERROR(SEARCH("K",$AQ72),999),IFERROR(SEARCH("L",$AQ72),999),IFERROR(SEARCH("M",$AQ72),999),IFERROR(SEARCH("N",$AQ72),999),IFERROR(SEARCH("O",$AQ72),999),IFERROR(SEARCH("P",$AQ72),999),IFERROR(SEARCH("Q",$AQ72),999),IFERROR(SEARCH("R",$AQ72),999)))</f>
        <v/>
      </c>
      <c r="AU72" s="474" t="str">
        <f t="shared" ref="AU72:AU106" si="14">IF($AQ72="","",MIN(IFERROR(SEARCH("S",$AQ72),999),IFERROR(SEARCH("T",$AQ72),999),IFERROR(SEARCH("U",$AQ72),999),IFERROR(SEARCH("V",$AQ72),999),IFERROR(SEARCH("W",$AQ72),999),IFERROR(SEARCH("X",$AQ72),999),IFERROR(SEARCH("Y",$AQ72),999),IFERROR(SEARCH("Z",$AQ72),999)))</f>
        <v/>
      </c>
      <c r="AY72" s="418"/>
      <c r="AZ72" s="418"/>
      <c r="BA72" s="418"/>
      <c r="BB72" s="419"/>
      <c r="BD72" s="279">
        <v>1</v>
      </c>
      <c r="BG72" s="271"/>
      <c r="BH72" s="271"/>
      <c r="BI72" s="271"/>
      <c r="BJ72" s="271"/>
      <c r="BK72" s="271"/>
      <c r="BL72" s="271"/>
    </row>
    <row r="73" spans="1:111" ht="21" customHeight="1" x14ac:dyDescent="0.25">
      <c r="R73" s="34" t="s">
        <v>472</v>
      </c>
      <c r="S73" s="451"/>
      <c r="T73" s="27" t="s">
        <v>8</v>
      </c>
      <c r="V73" s="475">
        <f>$V$72</f>
        <v>1</v>
      </c>
      <c r="W73" s="475" t="str">
        <f>IF($AC$73="","",$W$72)</f>
        <v>N° 11</v>
      </c>
      <c r="X73" s="476" t="str">
        <f>IF($AC$73="","",$X$72)</f>
        <v>SALADE COLESLAW</v>
      </c>
      <c r="Y73" s="477">
        <f>IF($X$73="","",$Y$72)</f>
        <v>28</v>
      </c>
      <c r="Z73" s="477">
        <f>IF($X$73="","",$Z$72)</f>
        <v>100</v>
      </c>
      <c r="AA73" s="477">
        <f>IF($AC$73="","",ROW($A$73)-ROW($A$72))</f>
        <v>1</v>
      </c>
      <c r="AB73" s="478"/>
      <c r="AC73" s="34" t="s">
        <v>122</v>
      </c>
      <c r="AD73" s="356"/>
      <c r="AE73" s="479">
        <v>4</v>
      </c>
      <c r="AF73" s="466" t="s">
        <v>7</v>
      </c>
      <c r="AG73" s="480">
        <f t="shared" si="4"/>
        <v>4</v>
      </c>
      <c r="AH73" s="481" t="str">
        <f t="shared" si="5"/>
        <v>KG</v>
      </c>
      <c r="AI73" s="477" t="str">
        <f>IF($AC$73="","",IFERROR(INDEX($AZ$74:$AZ$119,MATCH($AH$73,$AY$74:$AY$119,0)),"AUTRE"))</f>
        <v>MASSE</v>
      </c>
      <c r="AJ73" s="482">
        <f>IF($AC$73="","",IFERROR(INDEX($BA$74:$BA$119,MATCH($AH$73,$AY$74:$AY$119,0)),1))</f>
        <v>1</v>
      </c>
      <c r="AK73" s="482">
        <f t="shared" si="6"/>
        <v>4</v>
      </c>
      <c r="AL73" s="477" t="str">
        <f>IF($AC$73="","",IFERROR(INDEX($BB$74:$BB$119,MATCH($AH$73,$AY$74:$AY$119,0)),$AH$73))</f>
        <v>kg</v>
      </c>
      <c r="AM73" s="483" t="str">
        <f t="shared" si="7"/>
        <v>OK</v>
      </c>
      <c r="AN73" s="484">
        <f t="shared" ref="AN73:AN106" si="15">IF($AE73&lt;&gt;"",$AE73,IF($AD73="","",IF(ISNUMBER($AD73),$AD73,IF($AO73="QT",0,IF($AO73="","",IFERROR(IF(ISNUMBER(SEARCH("/",$AO73)),VALUE(TRIM(LEFT($AO73,SEARCH("/",$AO73)-1)))/VALUE(TRIM(MID($AO73,SEARCH("/",$AO73)+1,99))),VALUE(SUBSTITUTE($AO73,".",","))),""))))))</f>
        <v>4</v>
      </c>
      <c r="AO73" s="473" t="str">
        <f t="shared" si="8"/>
        <v/>
      </c>
      <c r="AP73" s="473" t="str">
        <f t="shared" si="9"/>
        <v/>
      </c>
      <c r="AQ73" s="473" t="str">
        <f t="shared" si="10"/>
        <v/>
      </c>
      <c r="AR73" s="473" t="str">
        <f t="shared" si="11"/>
        <v/>
      </c>
      <c r="AS73" s="473" t="str">
        <f t="shared" si="12"/>
        <v/>
      </c>
      <c r="AT73" s="473" t="str">
        <f t="shared" si="13"/>
        <v/>
      </c>
      <c r="AU73" s="473" t="str">
        <f t="shared" si="14"/>
        <v/>
      </c>
      <c r="AY73" s="440" t="s">
        <v>8110</v>
      </c>
      <c r="AZ73" s="485" t="s">
        <v>34</v>
      </c>
      <c r="BA73" s="485" t="s">
        <v>8123</v>
      </c>
      <c r="BB73" s="486" t="s">
        <v>8124</v>
      </c>
      <c r="BD73" s="279">
        <v>1</v>
      </c>
      <c r="BG73" s="271"/>
      <c r="BH73" s="271"/>
      <c r="BI73" s="271"/>
      <c r="BJ73" s="271"/>
      <c r="BK73" s="271"/>
      <c r="BL73" s="271"/>
    </row>
    <row r="74" spans="1:111" ht="21" customHeight="1" x14ac:dyDescent="0.25">
      <c r="R74" s="34" t="s">
        <v>6112</v>
      </c>
      <c r="S74" s="451"/>
      <c r="T74" s="28" t="s">
        <v>13</v>
      </c>
      <c r="V74" s="475">
        <v>1</v>
      </c>
      <c r="W74" s="475" t="str">
        <f>IF($AC$74="","",$W$72)</f>
        <v>N° 11</v>
      </c>
      <c r="X74" s="476" t="str">
        <f>IF($AC$74="","",$X$72)</f>
        <v>SALADE COLESLAW</v>
      </c>
      <c r="Y74" s="477">
        <f>IF($X$74="","",$Y$72)</f>
        <v>28</v>
      </c>
      <c r="Z74" s="477">
        <f>IF($X$74="","",$Z$72)</f>
        <v>100</v>
      </c>
      <c r="AA74" s="477">
        <f>IF($AC$74="","",ROW($A$74)-ROW($A$72))</f>
        <v>2</v>
      </c>
      <c r="AB74" s="487"/>
      <c r="AC74" s="34" t="s">
        <v>123</v>
      </c>
      <c r="AD74" s="356"/>
      <c r="AE74" s="479">
        <v>2</v>
      </c>
      <c r="AF74" s="466" t="s">
        <v>7</v>
      </c>
      <c r="AG74" s="480">
        <f t="shared" si="4"/>
        <v>2</v>
      </c>
      <c r="AH74" s="481" t="str">
        <f t="shared" si="5"/>
        <v>KG</v>
      </c>
      <c r="AI74" s="477" t="str">
        <f>IF($AC$74="","",IFERROR(INDEX($AZ$74:$AZ$119,MATCH($AH$74,$AY$74:$AY$119,0)),"AUTRE"))</f>
        <v>MASSE</v>
      </c>
      <c r="AJ74" s="482">
        <f>IF($AC$74="","",IFERROR(INDEX($BA$74:$BA$119,MATCH($AH$74,$AY$74:$AY$119,0)),1))</f>
        <v>1</v>
      </c>
      <c r="AK74" s="482">
        <f t="shared" si="6"/>
        <v>2</v>
      </c>
      <c r="AL74" s="477" t="str">
        <f>IF($AC$74="","",IFERROR(INDEX($BB$74:$BB$119,MATCH($AH$74,$AY$74:$AY$119,0)),$AH$74))</f>
        <v>kg</v>
      </c>
      <c r="AM74" s="483" t="str">
        <f t="shared" si="7"/>
        <v>OK</v>
      </c>
      <c r="AN74" s="484">
        <f t="shared" si="15"/>
        <v>2</v>
      </c>
      <c r="AO74" s="473" t="str">
        <f t="shared" si="8"/>
        <v/>
      </c>
      <c r="AP74" s="473" t="str">
        <f t="shared" si="9"/>
        <v/>
      </c>
      <c r="AQ74" s="473" t="str">
        <f t="shared" si="10"/>
        <v/>
      </c>
      <c r="AR74" s="473" t="str">
        <f t="shared" si="11"/>
        <v/>
      </c>
      <c r="AS74" s="473" t="str">
        <f t="shared" si="12"/>
        <v/>
      </c>
      <c r="AT74" s="473" t="str">
        <f t="shared" si="13"/>
        <v/>
      </c>
      <c r="AU74" s="473" t="str">
        <f t="shared" si="14"/>
        <v/>
      </c>
      <c r="AY74" s="14" t="s">
        <v>7</v>
      </c>
      <c r="AZ74" s="488" t="s">
        <v>35</v>
      </c>
      <c r="BA74" s="418">
        <v>1</v>
      </c>
      <c r="BB74" s="419" t="s">
        <v>36</v>
      </c>
      <c r="BD74" s="279">
        <v>1</v>
      </c>
      <c r="BG74" s="271"/>
      <c r="BH74" s="271"/>
      <c r="BI74" s="271"/>
      <c r="BJ74" s="271"/>
      <c r="BK74" s="271"/>
      <c r="BL74" s="271"/>
    </row>
    <row r="75" spans="1:111" ht="21" customHeight="1" x14ac:dyDescent="0.25">
      <c r="R75" s="25" t="s">
        <v>6116</v>
      </c>
      <c r="S75" s="451"/>
      <c r="T75" s="28" t="s">
        <v>14</v>
      </c>
      <c r="V75" s="475">
        <v>1</v>
      </c>
      <c r="W75" s="475" t="str">
        <f>IF($AC$75="","",$W$72)</f>
        <v/>
      </c>
      <c r="X75" s="476" t="str">
        <f>IF($AC$75="","",$X$72)</f>
        <v/>
      </c>
      <c r="Y75" s="477" t="str">
        <f>IF($X$75="","",$Y$72)</f>
        <v/>
      </c>
      <c r="Z75" s="477" t="str">
        <f>IF($X$75="","",$Z$72)</f>
        <v/>
      </c>
      <c r="AA75" s="477" t="str">
        <f>IF($AC$75="","",ROW($A$75)-ROW($A$72))</f>
        <v/>
      </c>
      <c r="AB75" s="478"/>
      <c r="AC75" s="34" t="s">
        <v>345</v>
      </c>
      <c r="AD75" s="356"/>
      <c r="AE75" s="479"/>
      <c r="AF75" s="475"/>
      <c r="AG75" s="480" t="str">
        <f t="shared" si="4"/>
        <v/>
      </c>
      <c r="AH75" s="481" t="str">
        <f t="shared" si="5"/>
        <v/>
      </c>
      <c r="AI75" s="477" t="str">
        <f>IF($AC$75="","",IFERROR(INDEX($AZ$74:$AZ$119,MATCH($AH$75,$AY$74:$AY$119,0)),"AUTRE"))</f>
        <v/>
      </c>
      <c r="AJ75" s="482" t="str">
        <f>IF($AC$75="","",IFERROR(INDEX($BA$74:$BA$119,MATCH($AH$75,$AY$74:$AY$119,0)),1))</f>
        <v/>
      </c>
      <c r="AK75" s="482" t="str">
        <f t="shared" si="6"/>
        <v/>
      </c>
      <c r="AL75" s="477" t="str">
        <f>IF($AC$75="","",IFERROR(INDEX($BB$74:$BB$119,MATCH($AH$75,$AY$74:$AY$119,0)),$AH$75))</f>
        <v/>
      </c>
      <c r="AM75" s="483" t="str">
        <f t="shared" si="7"/>
        <v/>
      </c>
      <c r="AN75" s="484" t="str">
        <f t="shared" si="15"/>
        <v/>
      </c>
      <c r="AO75" s="473" t="str">
        <f t="shared" si="8"/>
        <v/>
      </c>
      <c r="AP75" s="473" t="str">
        <f t="shared" si="9"/>
        <v/>
      </c>
      <c r="AQ75" s="473" t="str">
        <f t="shared" si="10"/>
        <v/>
      </c>
      <c r="AR75" s="473" t="str">
        <f t="shared" si="11"/>
        <v/>
      </c>
      <c r="AS75" s="473" t="str">
        <f t="shared" si="12"/>
        <v/>
      </c>
      <c r="AT75" s="473" t="str">
        <f t="shared" si="13"/>
        <v/>
      </c>
      <c r="AU75" s="473" t="str">
        <f t="shared" si="14"/>
        <v/>
      </c>
      <c r="AY75" s="27" t="s">
        <v>8</v>
      </c>
      <c r="AZ75" s="488" t="s">
        <v>35</v>
      </c>
      <c r="BA75" s="489">
        <v>1E-3</v>
      </c>
      <c r="BB75" s="419" t="s">
        <v>36</v>
      </c>
      <c r="BD75" s="279">
        <v>1</v>
      </c>
      <c r="BG75" s="271"/>
      <c r="BH75" s="271"/>
      <c r="BI75" s="271"/>
      <c r="BJ75" s="271"/>
      <c r="BK75" s="271"/>
      <c r="BL75" s="271"/>
    </row>
    <row r="76" spans="1:111" ht="21" customHeight="1" x14ac:dyDescent="0.25">
      <c r="R76" s="34" t="s">
        <v>6117</v>
      </c>
      <c r="S76" s="451"/>
      <c r="T76" s="28" t="s">
        <v>15</v>
      </c>
      <c r="V76" s="475">
        <v>1</v>
      </c>
      <c r="W76" s="475" t="str">
        <f>IF($AC$76="","",$W$72)</f>
        <v>N° 11</v>
      </c>
      <c r="X76" s="476" t="str">
        <f>IF($AC$76="","",$X$72)</f>
        <v>SALADE COLESLAW</v>
      </c>
      <c r="Y76" s="477">
        <f>IF($X$76="","",$Y$72)</f>
        <v>28</v>
      </c>
      <c r="Z76" s="477">
        <f>IF($X$76="","",$Z$72)</f>
        <v>100</v>
      </c>
      <c r="AA76" s="477">
        <f>IF($AC$76="","",ROW($A$76)-ROW($A$72))</f>
        <v>4</v>
      </c>
      <c r="AB76" s="478"/>
      <c r="AC76" s="34" t="s">
        <v>346</v>
      </c>
      <c r="AD76" s="356"/>
      <c r="AE76" s="479">
        <v>2</v>
      </c>
      <c r="AF76" s="29" t="s">
        <v>9</v>
      </c>
      <c r="AG76" s="480">
        <f t="shared" si="4"/>
        <v>2</v>
      </c>
      <c r="AH76" s="481" t="str">
        <f t="shared" si="5"/>
        <v>L</v>
      </c>
      <c r="AI76" s="477" t="str">
        <f>IF($AC$76="","",IFERROR(INDEX($AZ$74:$AZ$119,MATCH($AH$76,$AY$74:$AY$119,0)),"AUTRE"))</f>
        <v>VOLUME</v>
      </c>
      <c r="AJ76" s="482">
        <f>IF($AC$76="","",IFERROR(INDEX($BA$74:$BA$119,MATCH($AH$76,$AY$74:$AY$119,0)),1))</f>
        <v>1</v>
      </c>
      <c r="AK76" s="482">
        <f t="shared" si="6"/>
        <v>2</v>
      </c>
      <c r="AL76" s="477" t="str">
        <f>IF($AC$76="","",IFERROR(INDEX($BB$74:$BB$119,MATCH($AH$76,$AY$74:$AY$119,0)),$AH$76))</f>
        <v>L</v>
      </c>
      <c r="AM76" s="483" t="str">
        <f t="shared" si="7"/>
        <v>OK</v>
      </c>
      <c r="AN76" s="484">
        <f t="shared" si="15"/>
        <v>2</v>
      </c>
      <c r="AO76" s="473" t="str">
        <f t="shared" si="8"/>
        <v/>
      </c>
      <c r="AP76" s="473" t="str">
        <f t="shared" si="9"/>
        <v/>
      </c>
      <c r="AQ76" s="473" t="str">
        <f t="shared" si="10"/>
        <v/>
      </c>
      <c r="AR76" s="473" t="str">
        <f t="shared" si="11"/>
        <v/>
      </c>
      <c r="AS76" s="473" t="str">
        <f t="shared" si="12"/>
        <v/>
      </c>
      <c r="AT76" s="473" t="str">
        <f t="shared" si="13"/>
        <v/>
      </c>
      <c r="AU76" s="473" t="str">
        <f t="shared" si="14"/>
        <v/>
      </c>
      <c r="AY76" s="28" t="s">
        <v>13</v>
      </c>
      <c r="AZ76" s="488" t="s">
        <v>35</v>
      </c>
      <c r="BA76" s="489">
        <v>0.25</v>
      </c>
      <c r="BB76" s="419" t="s">
        <v>36</v>
      </c>
      <c r="BD76" s="279">
        <v>1</v>
      </c>
      <c r="BG76" s="271"/>
      <c r="BH76" s="271"/>
      <c r="BI76" s="271"/>
      <c r="BJ76" s="271"/>
      <c r="BK76" s="271"/>
      <c r="BL76" s="271"/>
    </row>
    <row r="77" spans="1:111" ht="21" customHeight="1" x14ac:dyDescent="0.25">
      <c r="R77" s="34" t="s">
        <v>469</v>
      </c>
      <c r="S77" s="451"/>
      <c r="T77" s="28" t="s">
        <v>21</v>
      </c>
      <c r="V77" s="475">
        <v>1</v>
      </c>
      <c r="W77" s="475" t="str">
        <f>IF($AC$77="","",$W$72)</f>
        <v>N° 11</v>
      </c>
      <c r="X77" s="476" t="str">
        <f>IF($AC$77="","",$X$72)</f>
        <v>SALADE COLESLAW</v>
      </c>
      <c r="Y77" s="477">
        <f>IF($X$77="","",$Y$72)</f>
        <v>28</v>
      </c>
      <c r="Z77" s="477">
        <f>IF($X$77="","",$Z$72)</f>
        <v>100</v>
      </c>
      <c r="AA77" s="477">
        <f>IF($AC$77="","",ROW($A$77)-ROW($A$72))</f>
        <v>5</v>
      </c>
      <c r="AB77" s="478"/>
      <c r="AC77" s="34" t="s">
        <v>347</v>
      </c>
      <c r="AD77" s="356"/>
      <c r="AE77" s="479">
        <v>25</v>
      </c>
      <c r="AF77" s="30" t="s">
        <v>11</v>
      </c>
      <c r="AG77" s="480">
        <f t="shared" si="4"/>
        <v>25</v>
      </c>
      <c r="AH77" s="481" t="str">
        <f t="shared" si="5"/>
        <v>CL</v>
      </c>
      <c r="AI77" s="477" t="str">
        <f>IF($AC$77="","",IFERROR(INDEX($AZ$74:$AZ$119,MATCH($AH$77,$AY$74:$AY$119,0)),"AUTRE"))</f>
        <v>VOLUME</v>
      </c>
      <c r="AJ77" s="482">
        <f>IF($AC$77="","",IFERROR(INDEX($BA$74:$BA$119,MATCH($AH$77,$AY$74:$AY$119,0)),1))</f>
        <v>0.01</v>
      </c>
      <c r="AK77" s="482">
        <f t="shared" si="6"/>
        <v>0.25</v>
      </c>
      <c r="AL77" s="477" t="str">
        <f>IF($AC$77="","",IFERROR(INDEX($BB$74:$BB$119,MATCH($AH$77,$AY$74:$AY$119,0)),$AH$77))</f>
        <v>L</v>
      </c>
      <c r="AM77" s="483" t="str">
        <f t="shared" si="7"/>
        <v>OK</v>
      </c>
      <c r="AN77" s="484">
        <f t="shared" si="15"/>
        <v>25</v>
      </c>
      <c r="AO77" s="473" t="str">
        <f t="shared" si="8"/>
        <v/>
      </c>
      <c r="AP77" s="473" t="str">
        <f t="shared" si="9"/>
        <v/>
      </c>
      <c r="AQ77" s="473" t="str">
        <f t="shared" si="10"/>
        <v/>
      </c>
      <c r="AR77" s="473" t="str">
        <f t="shared" si="11"/>
        <v/>
      </c>
      <c r="AS77" s="473" t="str">
        <f t="shared" si="12"/>
        <v/>
      </c>
      <c r="AT77" s="473" t="str">
        <f t="shared" si="13"/>
        <v/>
      </c>
      <c r="AU77" s="473" t="str">
        <f t="shared" si="14"/>
        <v/>
      </c>
      <c r="AY77" s="28" t="s">
        <v>14</v>
      </c>
      <c r="AZ77" s="488" t="s">
        <v>35</v>
      </c>
      <c r="BA77" s="489">
        <v>0.33333333300000001</v>
      </c>
      <c r="BB77" s="419" t="s">
        <v>36</v>
      </c>
      <c r="BD77" s="279">
        <v>1</v>
      </c>
      <c r="BG77" s="271"/>
      <c r="BH77" s="271"/>
      <c r="BI77" s="271"/>
      <c r="BJ77" s="271"/>
      <c r="BK77" s="271"/>
      <c r="BL77" s="271"/>
    </row>
    <row r="78" spans="1:111" ht="21" customHeight="1" x14ac:dyDescent="0.25">
      <c r="R78" s="34" t="s">
        <v>6118</v>
      </c>
      <c r="S78" s="451"/>
      <c r="T78" s="28" t="s">
        <v>22</v>
      </c>
      <c r="V78" s="475">
        <v>1</v>
      </c>
      <c r="W78" s="475" t="str">
        <f>IF($AC$78="","",$W$72)</f>
        <v>N° 11</v>
      </c>
      <c r="X78" s="476" t="str">
        <f>IF($AC$78="","",$X$72)</f>
        <v>SALADE COLESLAW</v>
      </c>
      <c r="Y78" s="477">
        <f>IF($X$78="","",$Y$72)</f>
        <v>28</v>
      </c>
      <c r="Z78" s="477">
        <f>IF($X$78="","",$Z$72)</f>
        <v>100</v>
      </c>
      <c r="AA78" s="477">
        <f>IF($AC$78="","",ROW($A$78)-ROW($A$72))</f>
        <v>6</v>
      </c>
      <c r="AB78" s="478"/>
      <c r="AC78" s="34" t="s">
        <v>348</v>
      </c>
      <c r="AD78" s="356"/>
      <c r="AE78" s="479">
        <v>75</v>
      </c>
      <c r="AF78" s="27" t="s">
        <v>8</v>
      </c>
      <c r="AG78" s="480">
        <f t="shared" si="4"/>
        <v>75</v>
      </c>
      <c r="AH78" s="481" t="str">
        <f t="shared" si="5"/>
        <v>G</v>
      </c>
      <c r="AI78" s="477" t="str">
        <f>IF($AC$78="","",IFERROR(INDEX($AZ$74:$AZ$119,MATCH($AH$78,$AY$74:$AY$119,0)),"AUTRE"))</f>
        <v>MASSE</v>
      </c>
      <c r="AJ78" s="482">
        <f>IF($AC$78="","",IFERROR(INDEX($BA$74:$BA$119,MATCH($AH$78,$AY$74:$AY$119,0)),1))</f>
        <v>1E-3</v>
      </c>
      <c r="AK78" s="482">
        <f t="shared" si="6"/>
        <v>7.4999999999999997E-2</v>
      </c>
      <c r="AL78" s="477" t="str">
        <f>IF($AC$78="","",IFERROR(INDEX($BB$74:$BB$119,MATCH($AH$78,$AY$74:$AY$119,0)),$AH$78))</f>
        <v>kg</v>
      </c>
      <c r="AM78" s="483" t="str">
        <f t="shared" si="7"/>
        <v>OK</v>
      </c>
      <c r="AN78" s="484">
        <f t="shared" si="15"/>
        <v>75</v>
      </c>
      <c r="AO78" s="473" t="str">
        <f t="shared" si="8"/>
        <v/>
      </c>
      <c r="AP78" s="473" t="str">
        <f t="shared" si="9"/>
        <v/>
      </c>
      <c r="AQ78" s="473" t="str">
        <f t="shared" si="10"/>
        <v/>
      </c>
      <c r="AR78" s="473" t="str">
        <f t="shared" si="11"/>
        <v/>
      </c>
      <c r="AS78" s="473" t="str">
        <f t="shared" si="12"/>
        <v/>
      </c>
      <c r="AT78" s="473" t="str">
        <f t="shared" si="13"/>
        <v/>
      </c>
      <c r="AU78" s="473" t="str">
        <f t="shared" si="14"/>
        <v/>
      </c>
      <c r="AY78" s="28" t="s">
        <v>15</v>
      </c>
      <c r="AZ78" s="488" t="s">
        <v>35</v>
      </c>
      <c r="BA78" s="489">
        <v>0.5</v>
      </c>
      <c r="BB78" s="419" t="s">
        <v>36</v>
      </c>
      <c r="BD78" s="279">
        <v>1</v>
      </c>
      <c r="BG78" s="271"/>
      <c r="BH78" s="271"/>
      <c r="BI78" s="271"/>
      <c r="BJ78" s="271"/>
      <c r="BK78" s="271"/>
      <c r="BL78" s="271"/>
    </row>
    <row r="79" spans="1:111" ht="21" customHeight="1" x14ac:dyDescent="0.25">
      <c r="R79" s="34" t="s">
        <v>492</v>
      </c>
      <c r="S79" s="451"/>
      <c r="T79" s="28" t="s">
        <v>23</v>
      </c>
      <c r="V79" s="475">
        <v>1</v>
      </c>
      <c r="W79" s="475" t="str">
        <f>IF($AC$79="","",$W$72)</f>
        <v>N° 11</v>
      </c>
      <c r="X79" s="476" t="str">
        <f>IF($AC$79="","",$X$72)</f>
        <v>SALADE COLESLAW</v>
      </c>
      <c r="Y79" s="477">
        <f>IF($X$79="","",$Y$72)</f>
        <v>28</v>
      </c>
      <c r="Z79" s="477">
        <f>IF($X$79="","",$Z$72)</f>
        <v>100</v>
      </c>
      <c r="AA79" s="477">
        <f>IF($AC$79="","",ROW($A$79)-ROW($A$72))</f>
        <v>7</v>
      </c>
      <c r="AB79" s="478"/>
      <c r="AC79" s="34" t="s">
        <v>124</v>
      </c>
      <c r="AD79" s="356"/>
      <c r="AE79" s="479">
        <v>250</v>
      </c>
      <c r="AF79" s="27" t="s">
        <v>8</v>
      </c>
      <c r="AG79" s="480">
        <f t="shared" si="4"/>
        <v>250</v>
      </c>
      <c r="AH79" s="481" t="str">
        <f t="shared" si="5"/>
        <v>G</v>
      </c>
      <c r="AI79" s="477" t="str">
        <f>IF($AC$79="","",IFERROR(INDEX($AZ$74:$AZ$119,MATCH($AH$79,$AY$74:$AY$119,0)),"AUTRE"))</f>
        <v>MASSE</v>
      </c>
      <c r="AJ79" s="482">
        <f>IF($AC$79="","",IFERROR(INDEX($BA$74:$BA$119,MATCH($AH$79,$AY$74:$AY$119,0)),1))</f>
        <v>1E-3</v>
      </c>
      <c r="AK79" s="482">
        <f t="shared" si="6"/>
        <v>0.25</v>
      </c>
      <c r="AL79" s="477" t="str">
        <f>IF($AC$79="","",IFERROR(INDEX($BB$74:$BB$119,MATCH($AH$79,$AY$74:$AY$119,0)),$AH$79))</f>
        <v>kg</v>
      </c>
      <c r="AM79" s="483" t="str">
        <f t="shared" si="7"/>
        <v>OK</v>
      </c>
      <c r="AN79" s="484">
        <f t="shared" si="15"/>
        <v>250</v>
      </c>
      <c r="AO79" s="473" t="str">
        <f t="shared" si="8"/>
        <v/>
      </c>
      <c r="AP79" s="473" t="str">
        <f t="shared" si="9"/>
        <v/>
      </c>
      <c r="AQ79" s="473" t="str">
        <f t="shared" si="10"/>
        <v/>
      </c>
      <c r="AR79" s="473" t="str">
        <f t="shared" si="11"/>
        <v/>
      </c>
      <c r="AS79" s="473" t="str">
        <f t="shared" si="12"/>
        <v/>
      </c>
      <c r="AT79" s="473" t="str">
        <f t="shared" si="13"/>
        <v/>
      </c>
      <c r="AU79" s="473" t="str">
        <f t="shared" si="14"/>
        <v/>
      </c>
      <c r="AY79" s="29" t="s">
        <v>9</v>
      </c>
      <c r="AZ79" s="488" t="s">
        <v>37</v>
      </c>
      <c r="BA79" s="489">
        <v>1</v>
      </c>
      <c r="BB79" s="419" t="s">
        <v>9</v>
      </c>
      <c r="BD79" s="279">
        <v>1</v>
      </c>
      <c r="BG79" s="271"/>
      <c r="BH79" s="271"/>
      <c r="BI79" s="271"/>
      <c r="BJ79" s="271"/>
      <c r="BK79" s="271"/>
      <c r="BL79" s="271"/>
    </row>
    <row r="80" spans="1:111" ht="21" customHeight="1" x14ac:dyDescent="0.25">
      <c r="R80" s="34" t="s">
        <v>458</v>
      </c>
      <c r="S80" s="451"/>
      <c r="T80" s="28" t="s">
        <v>24</v>
      </c>
      <c r="V80" s="475">
        <v>1</v>
      </c>
      <c r="W80" s="475" t="str">
        <f>IF($AC$80="","",$W$72)</f>
        <v>N° 11</v>
      </c>
      <c r="X80" s="476" t="str">
        <f>IF($AC$80="","",$X$72)</f>
        <v>SALADE COLESLAW</v>
      </c>
      <c r="Y80" s="477">
        <f>IF($X$80="","",$Y$72)</f>
        <v>28</v>
      </c>
      <c r="Z80" s="477">
        <f>IF($X$80="","",$Z$72)</f>
        <v>100</v>
      </c>
      <c r="AA80" s="477">
        <f>IF($AC$80="","",ROW($A$80)-ROW($A$72))</f>
        <v>8</v>
      </c>
      <c r="AB80" s="478"/>
      <c r="AC80" s="34" t="s">
        <v>349</v>
      </c>
      <c r="AD80" s="356"/>
      <c r="AE80" s="479">
        <v>2</v>
      </c>
      <c r="AF80" s="29" t="s">
        <v>9</v>
      </c>
      <c r="AG80" s="480">
        <f t="shared" si="4"/>
        <v>2</v>
      </c>
      <c r="AH80" s="481" t="str">
        <f t="shared" si="5"/>
        <v>L</v>
      </c>
      <c r="AI80" s="477" t="str">
        <f>IF($AC$80="","",IFERROR(INDEX($AZ$74:$AZ$119,MATCH($AH$80,$AY$74:$AY$119,0)),"AUTRE"))</f>
        <v>VOLUME</v>
      </c>
      <c r="AJ80" s="482">
        <f>IF($AC$80="","",IFERROR(INDEX($BA$74:$BA$119,MATCH($AH$80,$AY$74:$AY$119,0)),1))</f>
        <v>1</v>
      </c>
      <c r="AK80" s="482">
        <f t="shared" si="6"/>
        <v>2</v>
      </c>
      <c r="AL80" s="477" t="str">
        <f>IF($AC$80="","",IFERROR(INDEX($BB$74:$BB$119,MATCH($AH$80,$AY$74:$AY$119,0)),$AH$80))</f>
        <v>L</v>
      </c>
      <c r="AM80" s="483" t="str">
        <f t="shared" si="7"/>
        <v>OK</v>
      </c>
      <c r="AN80" s="484">
        <f t="shared" si="15"/>
        <v>2</v>
      </c>
      <c r="AO80" s="473" t="str">
        <f t="shared" si="8"/>
        <v/>
      </c>
      <c r="AP80" s="473" t="str">
        <f t="shared" si="9"/>
        <v/>
      </c>
      <c r="AQ80" s="473" t="str">
        <f t="shared" si="10"/>
        <v/>
      </c>
      <c r="AR80" s="473" t="str">
        <f t="shared" si="11"/>
        <v/>
      </c>
      <c r="AS80" s="473" t="str">
        <f t="shared" si="12"/>
        <v/>
      </c>
      <c r="AT80" s="473" t="str">
        <f t="shared" si="13"/>
        <v/>
      </c>
      <c r="AU80" s="473" t="str">
        <f t="shared" si="14"/>
        <v/>
      </c>
      <c r="AY80" s="30" t="s">
        <v>10</v>
      </c>
      <c r="AZ80" s="488" t="s">
        <v>37</v>
      </c>
      <c r="BA80" s="489">
        <v>0.1</v>
      </c>
      <c r="BB80" s="419" t="s">
        <v>9</v>
      </c>
      <c r="BD80" s="279">
        <v>1</v>
      </c>
      <c r="BG80" s="271"/>
      <c r="BH80" s="271"/>
      <c r="BI80" s="271"/>
      <c r="BJ80" s="271"/>
      <c r="BK80" s="271"/>
      <c r="BL80" s="271"/>
    </row>
    <row r="81" spans="18:64" ht="21" customHeight="1" x14ac:dyDescent="0.25">
      <c r="R81" s="490"/>
      <c r="S81" s="451"/>
      <c r="T81" s="29" t="s">
        <v>9</v>
      </c>
      <c r="V81" s="475">
        <v>1</v>
      </c>
      <c r="W81" s="475" t="str">
        <f>IF($AC$81="","",$W$72)</f>
        <v>N° 11</v>
      </c>
      <c r="X81" s="476" t="str">
        <f>IF($AC$81="","",$X$72)</f>
        <v>SALADE COLESLAW</v>
      </c>
      <c r="Y81" s="477">
        <f>IF($X$81="","",$Y$72)</f>
        <v>28</v>
      </c>
      <c r="Z81" s="477">
        <f>IF($X$81="","",$Z$72)</f>
        <v>100</v>
      </c>
      <c r="AA81" s="477">
        <f>IF($AC$81="","",ROW($A$81)-ROW($A$72))</f>
        <v>9</v>
      </c>
      <c r="AB81" s="478"/>
      <c r="AC81" s="34" t="s">
        <v>124</v>
      </c>
      <c r="AD81" s="356"/>
      <c r="AE81" s="479">
        <v>250</v>
      </c>
      <c r="AF81" s="27" t="s">
        <v>8</v>
      </c>
      <c r="AG81" s="480">
        <f t="shared" si="4"/>
        <v>250</v>
      </c>
      <c r="AH81" s="481" t="str">
        <f t="shared" si="5"/>
        <v>G</v>
      </c>
      <c r="AI81" s="477" t="str">
        <f>IF($AC$81="","",IFERROR(INDEX($AZ$74:$AZ$119,MATCH($AH$81,$AY$74:$AY$119,0)),"AUTRE"))</f>
        <v>MASSE</v>
      </c>
      <c r="AJ81" s="482">
        <f>IF($AC$81="","",IFERROR(INDEX($BA$74:$BA$119,MATCH($AH$81,$AY$74:$AY$119,0)),1))</f>
        <v>1E-3</v>
      </c>
      <c r="AK81" s="482">
        <f t="shared" si="6"/>
        <v>0.25</v>
      </c>
      <c r="AL81" s="477" t="str">
        <f>IF($AC$81="","",IFERROR(INDEX($BB$74:$BB$119,MATCH($AH$81,$AY$74:$AY$119,0)),$AH$81))</f>
        <v>kg</v>
      </c>
      <c r="AM81" s="483" t="str">
        <f t="shared" si="7"/>
        <v>OK</v>
      </c>
      <c r="AN81" s="484">
        <f t="shared" si="15"/>
        <v>250</v>
      </c>
      <c r="AO81" s="473" t="str">
        <f t="shared" si="8"/>
        <v/>
      </c>
      <c r="AP81" s="473" t="str">
        <f t="shared" si="9"/>
        <v/>
      </c>
      <c r="AQ81" s="473" t="str">
        <f t="shared" si="10"/>
        <v/>
      </c>
      <c r="AR81" s="473" t="str">
        <f t="shared" si="11"/>
        <v/>
      </c>
      <c r="AS81" s="473" t="str">
        <f t="shared" si="12"/>
        <v/>
      </c>
      <c r="AT81" s="473" t="str">
        <f t="shared" si="13"/>
        <v/>
      </c>
      <c r="AU81" s="473" t="str">
        <f t="shared" si="14"/>
        <v/>
      </c>
      <c r="AY81" s="30" t="s">
        <v>11</v>
      </c>
      <c r="AZ81" s="488" t="s">
        <v>37</v>
      </c>
      <c r="BA81" s="489">
        <v>0.01</v>
      </c>
      <c r="BB81" s="419" t="s">
        <v>9</v>
      </c>
      <c r="BD81" s="279">
        <v>1</v>
      </c>
      <c r="BG81" s="271"/>
      <c r="BH81" s="271"/>
      <c r="BI81" s="271"/>
      <c r="BJ81" s="271"/>
      <c r="BK81" s="271"/>
      <c r="BL81" s="271"/>
    </row>
    <row r="82" spans="18:64" ht="21" customHeight="1" x14ac:dyDescent="0.25">
      <c r="R82" s="25" t="s">
        <v>6119</v>
      </c>
      <c r="S82" s="451"/>
      <c r="T82" s="30" t="s">
        <v>10</v>
      </c>
      <c r="V82" s="475">
        <v>1</v>
      </c>
      <c r="W82" s="475" t="str">
        <f>IF($AC$82="","",$W$72)</f>
        <v>N° 11</v>
      </c>
      <c r="X82" s="476" t="str">
        <f>IF($AC$82="","",$X$72)</f>
        <v>SALADE COLESLAW</v>
      </c>
      <c r="Y82" s="477">
        <f>IF($X$82="","",$Y$72)</f>
        <v>28</v>
      </c>
      <c r="Z82" s="477">
        <f>IF($X$82="","",$Z$72)</f>
        <v>100</v>
      </c>
      <c r="AA82" s="477">
        <f>IF($AC$82="","",ROW($A$82)-ROW($A$72))</f>
        <v>10</v>
      </c>
      <c r="AB82" s="478"/>
      <c r="AC82" s="34" t="s">
        <v>43</v>
      </c>
      <c r="AD82" s="356"/>
      <c r="AE82" s="479">
        <v>30</v>
      </c>
      <c r="AF82" s="27" t="s">
        <v>8</v>
      </c>
      <c r="AG82" s="480">
        <f t="shared" si="4"/>
        <v>30</v>
      </c>
      <c r="AH82" s="481" t="str">
        <f t="shared" si="5"/>
        <v>G</v>
      </c>
      <c r="AI82" s="477" t="str">
        <f>IF($AC$82="","",IFERROR(INDEX($AZ$74:$AZ$119,MATCH($AH$82,$AY$74:$AY$119,0)),"AUTRE"))</f>
        <v>MASSE</v>
      </c>
      <c r="AJ82" s="482">
        <f>IF($AC$82="","",IFERROR(INDEX($BA$74:$BA$119,MATCH($AH$82,$AY$74:$AY$119,0)),1))</f>
        <v>1E-3</v>
      </c>
      <c r="AK82" s="482">
        <f t="shared" si="6"/>
        <v>0.03</v>
      </c>
      <c r="AL82" s="477" t="str">
        <f>IF($AC$82="","",IFERROR(INDEX($BB$74:$BB$119,MATCH($AH$82,$AY$74:$AY$119,0)),$AH$82))</f>
        <v>kg</v>
      </c>
      <c r="AM82" s="483" t="str">
        <f t="shared" si="7"/>
        <v>OK</v>
      </c>
      <c r="AN82" s="484">
        <f t="shared" si="15"/>
        <v>30</v>
      </c>
      <c r="AO82" s="473" t="str">
        <f t="shared" si="8"/>
        <v/>
      </c>
      <c r="AP82" s="473" t="str">
        <f t="shared" si="9"/>
        <v/>
      </c>
      <c r="AQ82" s="473" t="str">
        <f t="shared" si="10"/>
        <v/>
      </c>
      <c r="AR82" s="473" t="str">
        <f t="shared" si="11"/>
        <v/>
      </c>
      <c r="AS82" s="473" t="str">
        <f t="shared" si="12"/>
        <v/>
      </c>
      <c r="AT82" s="473" t="str">
        <f t="shared" si="13"/>
        <v/>
      </c>
      <c r="AU82" s="473" t="str">
        <f t="shared" si="14"/>
        <v/>
      </c>
      <c r="AY82" s="30" t="s">
        <v>12</v>
      </c>
      <c r="AZ82" s="488" t="s">
        <v>37</v>
      </c>
      <c r="BA82" s="489">
        <v>1E-3</v>
      </c>
      <c r="BB82" s="419" t="s">
        <v>9</v>
      </c>
      <c r="BD82" s="279">
        <v>1</v>
      </c>
      <c r="BG82" s="271"/>
      <c r="BH82" s="271"/>
      <c r="BI82" s="271"/>
      <c r="BJ82" s="271"/>
      <c r="BK82" s="271"/>
      <c r="BL82" s="271"/>
    </row>
    <row r="83" spans="18:64" ht="21" customHeight="1" x14ac:dyDescent="0.25">
      <c r="R83" s="34" t="s">
        <v>6120</v>
      </c>
      <c r="S83" s="451"/>
      <c r="T83" s="30" t="s">
        <v>11</v>
      </c>
      <c r="V83" s="475">
        <v>1</v>
      </c>
      <c r="W83" s="475" t="str">
        <f>IF($AC$83="","",$W$72)</f>
        <v>N° 11</v>
      </c>
      <c r="X83" s="476" t="str">
        <f>IF($AC$83="","",$X$72)</f>
        <v>SALADE COLESLAW</v>
      </c>
      <c r="Y83" s="477">
        <f>IF($X$83="","",$Y$72)</f>
        <v>28</v>
      </c>
      <c r="Z83" s="477">
        <f>IF($X$83="","",$Z$72)</f>
        <v>100</v>
      </c>
      <c r="AA83" s="477">
        <f>IF($AC$83="","",ROW($A$83)-ROW($A$72))</f>
        <v>11</v>
      </c>
      <c r="AB83" s="478"/>
      <c r="AC83" s="34" t="s">
        <v>68</v>
      </c>
      <c r="AD83" s="356"/>
      <c r="AE83" s="479">
        <v>15</v>
      </c>
      <c r="AF83" s="27" t="s">
        <v>8</v>
      </c>
      <c r="AG83" s="480">
        <f t="shared" si="4"/>
        <v>15</v>
      </c>
      <c r="AH83" s="481" t="str">
        <f t="shared" si="5"/>
        <v>G</v>
      </c>
      <c r="AI83" s="477" t="str">
        <f>IF($AC$83="","",IFERROR(INDEX($AZ$74:$AZ$119,MATCH($AH$83,$AY$74:$AY$119,0)),"AUTRE"))</f>
        <v>MASSE</v>
      </c>
      <c r="AJ83" s="482">
        <f>IF($AC$83="","",IFERROR(INDEX($BA$74:$BA$119,MATCH($AH$83,$AY$74:$AY$119,0)),1))</f>
        <v>1E-3</v>
      </c>
      <c r="AK83" s="482">
        <f t="shared" si="6"/>
        <v>1.4999999999999999E-2</v>
      </c>
      <c r="AL83" s="477" t="str">
        <f>IF($AC$83="","",IFERROR(INDEX($BB$74:$BB$119,MATCH($AH$83,$AY$74:$AY$119,0)),$AH$83))</f>
        <v>kg</v>
      </c>
      <c r="AM83" s="483" t="str">
        <f t="shared" si="7"/>
        <v>OK</v>
      </c>
      <c r="AN83" s="484">
        <f t="shared" si="15"/>
        <v>15</v>
      </c>
      <c r="AO83" s="473" t="str">
        <f t="shared" si="8"/>
        <v/>
      </c>
      <c r="AP83" s="473" t="str">
        <f t="shared" si="9"/>
        <v/>
      </c>
      <c r="AQ83" s="473" t="str">
        <f t="shared" si="10"/>
        <v/>
      </c>
      <c r="AR83" s="473" t="str">
        <f t="shared" si="11"/>
        <v/>
      </c>
      <c r="AS83" s="473" t="str">
        <f t="shared" si="12"/>
        <v/>
      </c>
      <c r="AT83" s="473" t="str">
        <f t="shared" si="13"/>
        <v/>
      </c>
      <c r="AU83" s="473" t="str">
        <f t="shared" si="14"/>
        <v/>
      </c>
      <c r="AY83" s="31" t="s">
        <v>16</v>
      </c>
      <c r="AZ83" s="488" t="s">
        <v>37</v>
      </c>
      <c r="BA83" s="489">
        <v>0.5</v>
      </c>
      <c r="BB83" s="419" t="s">
        <v>9</v>
      </c>
      <c r="BD83" s="279">
        <v>1</v>
      </c>
      <c r="BG83" s="271"/>
      <c r="BH83" s="271"/>
      <c r="BI83" s="271"/>
      <c r="BJ83" s="271"/>
      <c r="BK83" s="271"/>
      <c r="BL83" s="271"/>
    </row>
    <row r="84" spans="18:64" ht="21" customHeight="1" x14ac:dyDescent="0.25">
      <c r="R84" s="34" t="s">
        <v>6121</v>
      </c>
      <c r="S84" s="451"/>
      <c r="T84" s="30" t="s">
        <v>12</v>
      </c>
      <c r="V84" s="475">
        <v>1</v>
      </c>
      <c r="W84" s="475" t="str">
        <f>IF($AC$84="","",$W$72)</f>
        <v/>
      </c>
      <c r="X84" s="476" t="str">
        <f>IF($AC$84="","",$X$72)</f>
        <v/>
      </c>
      <c r="Y84" s="477" t="str">
        <f>IF($X$84="","",$Y$72)</f>
        <v/>
      </c>
      <c r="Z84" s="477" t="str">
        <f>IF($X$84="","",$Z$72)</f>
        <v/>
      </c>
      <c r="AA84" s="477" t="str">
        <f>IF($AC$84="","",ROW($A$84)-ROW($A$72))</f>
        <v/>
      </c>
      <c r="AB84" s="478"/>
      <c r="AC84" s="34"/>
      <c r="AD84" s="356"/>
      <c r="AE84" s="479"/>
      <c r="AF84" s="475"/>
      <c r="AG84" s="480" t="str">
        <f t="shared" si="4"/>
        <v/>
      </c>
      <c r="AH84" s="481" t="str">
        <f t="shared" si="5"/>
        <v/>
      </c>
      <c r="AI84" s="477" t="str">
        <f>IF($AC$84="","",IFERROR(INDEX($AZ$74:$AZ$119,MATCH($AH$84,$AY$74:$AY$119,0)),"AUTRE"))</f>
        <v/>
      </c>
      <c r="AJ84" s="482" t="str">
        <f>IF($AC$84="","",IFERROR(INDEX($BA$74:$BA$119,MATCH($AH$84,$AY$74:$AY$119,0)),1))</f>
        <v/>
      </c>
      <c r="AK84" s="482" t="str">
        <f t="shared" si="6"/>
        <v/>
      </c>
      <c r="AL84" s="477" t="str">
        <f>IF($AC$84="","",IFERROR(INDEX($BB$74:$BB$119,MATCH($AH$84,$AY$74:$AY$119,0)),$AH$84))</f>
        <v/>
      </c>
      <c r="AM84" s="483" t="str">
        <f t="shared" si="7"/>
        <v/>
      </c>
      <c r="AN84" s="484" t="str">
        <f t="shared" si="15"/>
        <v/>
      </c>
      <c r="AO84" s="473" t="str">
        <f t="shared" si="8"/>
        <v/>
      </c>
      <c r="AP84" s="473" t="str">
        <f t="shared" si="9"/>
        <v/>
      </c>
      <c r="AQ84" s="473" t="str">
        <f t="shared" si="10"/>
        <v/>
      </c>
      <c r="AR84" s="473" t="str">
        <f t="shared" si="11"/>
        <v/>
      </c>
      <c r="AS84" s="473" t="str">
        <f t="shared" si="12"/>
        <v/>
      </c>
      <c r="AT84" s="473" t="str">
        <f t="shared" si="13"/>
        <v/>
      </c>
      <c r="AU84" s="473" t="str">
        <f t="shared" si="14"/>
        <v/>
      </c>
      <c r="AY84" s="31" t="s">
        <v>17</v>
      </c>
      <c r="AZ84" s="488" t="s">
        <v>37</v>
      </c>
      <c r="BA84" s="489">
        <v>0.25</v>
      </c>
      <c r="BB84" s="419" t="s">
        <v>9</v>
      </c>
      <c r="BD84" s="279">
        <v>1</v>
      </c>
      <c r="BG84" s="271"/>
      <c r="BH84" s="271"/>
      <c r="BI84" s="271"/>
      <c r="BJ84" s="271"/>
      <c r="BK84" s="271"/>
      <c r="BL84" s="271"/>
    </row>
    <row r="85" spans="18:64" ht="21" customHeight="1" x14ac:dyDescent="0.25">
      <c r="R85" s="34" t="s">
        <v>6122</v>
      </c>
      <c r="S85" s="451"/>
      <c r="T85" s="31" t="s">
        <v>16</v>
      </c>
      <c r="V85" s="475">
        <v>1</v>
      </c>
      <c r="W85" s="475" t="str">
        <f>IF($AC$85="","",$W$72)</f>
        <v/>
      </c>
      <c r="X85" s="476" t="str">
        <f>IF($AC$85="","",$X$72)</f>
        <v/>
      </c>
      <c r="Y85" s="477" t="str">
        <f>IF($X$85="","",$Y$72)</f>
        <v/>
      </c>
      <c r="Z85" s="477" t="str">
        <f>IF($X$85="","",$Z$72)</f>
        <v/>
      </c>
      <c r="AA85" s="477" t="str">
        <f>IF($AC$85="","",ROW($A$85)-ROW($A$72))</f>
        <v/>
      </c>
      <c r="AB85" s="478"/>
      <c r="AC85" s="34"/>
      <c r="AD85" s="356"/>
      <c r="AE85" s="479"/>
      <c r="AF85" s="475"/>
      <c r="AG85" s="480" t="str">
        <f t="shared" si="4"/>
        <v/>
      </c>
      <c r="AH85" s="481" t="str">
        <f t="shared" si="5"/>
        <v/>
      </c>
      <c r="AI85" s="477" t="str">
        <f>IF($AC$85="","",IFERROR(INDEX($AZ$74:$AZ$119,MATCH($AH$85,$AY$74:$AY$119,0)),"AUTRE"))</f>
        <v/>
      </c>
      <c r="AJ85" s="482" t="str">
        <f>IF($AC$85="","",IFERROR(INDEX($BA$74:$BA$119,MATCH($AH$85,$AY$74:$AY$119,0)),1))</f>
        <v/>
      </c>
      <c r="AK85" s="482" t="str">
        <f t="shared" si="6"/>
        <v/>
      </c>
      <c r="AL85" s="477" t="str">
        <f>IF($AC$85="","",IFERROR(INDEX($BB$74:$BB$119,MATCH($AH$85,$AY$74:$AY$119,0)),$AH$85))</f>
        <v/>
      </c>
      <c r="AM85" s="483" t="str">
        <f t="shared" si="7"/>
        <v/>
      </c>
      <c r="AN85" s="484" t="str">
        <f t="shared" si="15"/>
        <v/>
      </c>
      <c r="AO85" s="473" t="str">
        <f t="shared" si="8"/>
        <v/>
      </c>
      <c r="AP85" s="473" t="str">
        <f t="shared" si="9"/>
        <v/>
      </c>
      <c r="AQ85" s="473" t="str">
        <f t="shared" si="10"/>
        <v/>
      </c>
      <c r="AR85" s="473" t="str">
        <f t="shared" si="11"/>
        <v/>
      </c>
      <c r="AS85" s="473" t="str">
        <f t="shared" si="12"/>
        <v/>
      </c>
      <c r="AT85" s="473" t="str">
        <f t="shared" si="13"/>
        <v/>
      </c>
      <c r="AU85" s="473" t="str">
        <f t="shared" si="14"/>
        <v/>
      </c>
      <c r="AY85" s="31" t="s">
        <v>18</v>
      </c>
      <c r="AZ85" s="488" t="s">
        <v>37</v>
      </c>
      <c r="BA85" s="489">
        <v>0.75</v>
      </c>
      <c r="BB85" s="419" t="s">
        <v>9</v>
      </c>
      <c r="BD85" s="279">
        <v>1</v>
      </c>
      <c r="BG85" s="271"/>
      <c r="BH85" s="271"/>
      <c r="BI85" s="271"/>
      <c r="BJ85" s="271"/>
      <c r="BK85" s="271"/>
      <c r="BL85" s="271"/>
    </row>
    <row r="86" spans="18:64" ht="21" customHeight="1" x14ac:dyDescent="0.25">
      <c r="R86" s="34" t="s">
        <v>6123</v>
      </c>
      <c r="S86" s="451"/>
      <c r="T86" s="31" t="s">
        <v>17</v>
      </c>
      <c r="V86" s="475">
        <v>1</v>
      </c>
      <c r="W86" s="475" t="str">
        <f>IF($AC$86="","",$W$72)</f>
        <v/>
      </c>
      <c r="X86" s="476" t="str">
        <f>IF($AC$86="","",$X$72)</f>
        <v/>
      </c>
      <c r="Y86" s="477" t="str">
        <f>IF($X$86="","",$Y$72)</f>
        <v/>
      </c>
      <c r="Z86" s="477" t="str">
        <f>IF($X$86="","",$Z$72)</f>
        <v/>
      </c>
      <c r="AA86" s="477" t="str">
        <f>IF($AC$86="","",ROW($A$86)-ROW($A$72))</f>
        <v/>
      </c>
      <c r="AB86" s="478"/>
      <c r="AC86" s="34"/>
      <c r="AD86" s="356"/>
      <c r="AE86" s="479"/>
      <c r="AF86" s="475"/>
      <c r="AG86" s="480" t="str">
        <f t="shared" si="4"/>
        <v/>
      </c>
      <c r="AH86" s="481" t="str">
        <f t="shared" si="5"/>
        <v/>
      </c>
      <c r="AI86" s="477" t="str">
        <f>IF($AC$86="","",IFERROR(INDEX($AZ$74:$AZ$119,MATCH($AH$86,$AY$74:$AY$119,0)),"AUTRE"))</f>
        <v/>
      </c>
      <c r="AJ86" s="482" t="str">
        <f>IF($AC$86="","",IFERROR(INDEX($BA$74:$BA$119,MATCH($AH$86,$AY$74:$AY$119,0)),1))</f>
        <v/>
      </c>
      <c r="AK86" s="482" t="str">
        <f t="shared" si="6"/>
        <v/>
      </c>
      <c r="AL86" s="477" t="str">
        <f>IF($AC$86="","",IFERROR(INDEX($BB$74:$BB$119,MATCH($AH$86,$AY$74:$AY$119,0)),$AH$86))</f>
        <v/>
      </c>
      <c r="AM86" s="483" t="str">
        <f t="shared" si="7"/>
        <v/>
      </c>
      <c r="AN86" s="484" t="str">
        <f t="shared" si="15"/>
        <v/>
      </c>
      <c r="AO86" s="473" t="str">
        <f t="shared" si="8"/>
        <v/>
      </c>
      <c r="AP86" s="473" t="str">
        <f t="shared" si="9"/>
        <v/>
      </c>
      <c r="AQ86" s="473" t="str">
        <f t="shared" si="10"/>
        <v/>
      </c>
      <c r="AR86" s="473" t="str">
        <f t="shared" si="11"/>
        <v/>
      </c>
      <c r="AS86" s="473" t="str">
        <f t="shared" si="12"/>
        <v/>
      </c>
      <c r="AT86" s="473" t="str">
        <f t="shared" si="13"/>
        <v/>
      </c>
      <c r="AU86" s="473" t="str">
        <f t="shared" si="14"/>
        <v/>
      </c>
      <c r="AY86" s="31" t="s">
        <v>19</v>
      </c>
      <c r="AZ86" s="488" t="s">
        <v>37</v>
      </c>
      <c r="BA86" s="489">
        <v>0.33333333300000001</v>
      </c>
      <c r="BB86" s="419" t="s">
        <v>9</v>
      </c>
      <c r="BD86" s="279">
        <v>1</v>
      </c>
      <c r="BG86" s="271"/>
      <c r="BH86" s="271"/>
      <c r="BI86" s="271"/>
      <c r="BJ86" s="271"/>
      <c r="BK86" s="271"/>
      <c r="BL86" s="271"/>
    </row>
    <row r="87" spans="18:64" ht="21" customHeight="1" x14ac:dyDescent="0.25">
      <c r="R87" s="34" t="s">
        <v>6124</v>
      </c>
      <c r="S87" s="451"/>
      <c r="T87" s="31" t="s">
        <v>18</v>
      </c>
      <c r="V87" s="475">
        <v>1</v>
      </c>
      <c r="W87" s="475" t="str">
        <f>IF($AC$87="","",$W$72)</f>
        <v/>
      </c>
      <c r="X87" s="476" t="str">
        <f>IF($AC$87="","",$X$72)</f>
        <v/>
      </c>
      <c r="Y87" s="477" t="str">
        <f>IF($X$87="","",$Y$72)</f>
        <v/>
      </c>
      <c r="Z87" s="477" t="str">
        <f>IF($X$87="","",$Z$72)</f>
        <v/>
      </c>
      <c r="AA87" s="477" t="str">
        <f>IF($AC$87="","",ROW($A$87)-ROW($A$72))</f>
        <v/>
      </c>
      <c r="AB87" s="478"/>
      <c r="AC87" s="34"/>
      <c r="AD87" s="356"/>
      <c r="AE87" s="479"/>
      <c r="AF87" s="475"/>
      <c r="AG87" s="480" t="str">
        <f t="shared" si="4"/>
        <v/>
      </c>
      <c r="AH87" s="481" t="str">
        <f t="shared" si="5"/>
        <v/>
      </c>
      <c r="AI87" s="477" t="str">
        <f>IF($AC$87="","",IFERROR(INDEX($AZ$74:$AZ$119,MATCH($AH$87,$AY$74:$AY$119,0)),"AUTRE"))</f>
        <v/>
      </c>
      <c r="AJ87" s="482" t="str">
        <f>IF($AC$87="","",IFERROR(INDEX($BA$74:$BA$119,MATCH($AH$87,$AY$74:$AY$119,0)),1))</f>
        <v/>
      </c>
      <c r="AK87" s="482" t="str">
        <f t="shared" si="6"/>
        <v/>
      </c>
      <c r="AL87" s="477" t="str">
        <f>IF($AC$87="","",IFERROR(INDEX($BB$74:$BB$119,MATCH($AH$87,$AY$74:$AY$119,0)),$AH$87))</f>
        <v/>
      </c>
      <c r="AM87" s="483" t="str">
        <f t="shared" si="7"/>
        <v/>
      </c>
      <c r="AN87" s="484" t="str">
        <f t="shared" si="15"/>
        <v/>
      </c>
      <c r="AO87" s="473" t="str">
        <f t="shared" si="8"/>
        <v/>
      </c>
      <c r="AP87" s="473" t="str">
        <f t="shared" si="9"/>
        <v/>
      </c>
      <c r="AQ87" s="473" t="str">
        <f t="shared" si="10"/>
        <v/>
      </c>
      <c r="AR87" s="473" t="str">
        <f t="shared" si="11"/>
        <v/>
      </c>
      <c r="AS87" s="473" t="str">
        <f t="shared" si="12"/>
        <v/>
      </c>
      <c r="AT87" s="473" t="str">
        <f t="shared" si="13"/>
        <v/>
      </c>
      <c r="AU87" s="473" t="str">
        <f t="shared" si="14"/>
        <v/>
      </c>
      <c r="AY87" s="31" t="s">
        <v>211</v>
      </c>
      <c r="AZ87" s="488" t="s">
        <v>37</v>
      </c>
      <c r="BA87" s="489">
        <v>0.66666666699999999</v>
      </c>
      <c r="BB87" s="419" t="s">
        <v>9</v>
      </c>
      <c r="BD87" s="279">
        <v>1</v>
      </c>
      <c r="BG87" s="271"/>
      <c r="BH87" s="271"/>
      <c r="BI87" s="271"/>
      <c r="BJ87" s="271"/>
      <c r="BK87" s="271"/>
      <c r="BL87" s="271"/>
    </row>
    <row r="88" spans="18:64" ht="21" customHeight="1" x14ac:dyDescent="0.25">
      <c r="R88" s="34" t="s">
        <v>6125</v>
      </c>
      <c r="S88" s="451"/>
      <c r="T88" s="31" t="s">
        <v>19</v>
      </c>
      <c r="V88" s="475">
        <v>1</v>
      </c>
      <c r="W88" s="475" t="str">
        <f>IF($AC$88="","",$W$72)</f>
        <v/>
      </c>
      <c r="X88" s="476" t="str">
        <f>IF($AC$88="","",$X$72)</f>
        <v/>
      </c>
      <c r="Y88" s="477" t="str">
        <f>IF($X$88="","",$Y$72)</f>
        <v/>
      </c>
      <c r="Z88" s="477" t="str">
        <f>IF($X$88="","",$Z$72)</f>
        <v/>
      </c>
      <c r="AA88" s="477" t="str">
        <f>IF($AC$88="","",ROW($A$88)-ROW($A$72))</f>
        <v/>
      </c>
      <c r="AB88" s="478"/>
      <c r="AC88" s="34"/>
      <c r="AD88" s="356"/>
      <c r="AE88" s="479"/>
      <c r="AF88" s="475"/>
      <c r="AG88" s="480" t="str">
        <f t="shared" si="4"/>
        <v/>
      </c>
      <c r="AH88" s="481" t="str">
        <f t="shared" si="5"/>
        <v/>
      </c>
      <c r="AI88" s="477" t="str">
        <f>IF($AC$88="","",IFERROR(INDEX($AZ$74:$AZ$119,MATCH($AH$88,$AY$74:$AY$119,0)),"AUTRE"))</f>
        <v/>
      </c>
      <c r="AJ88" s="482" t="str">
        <f>IF($AC$88="","",IFERROR(INDEX($BA$74:$BA$119,MATCH($AH$88,$AY$74:$AY$119,0)),1))</f>
        <v/>
      </c>
      <c r="AK88" s="482" t="str">
        <f t="shared" si="6"/>
        <v/>
      </c>
      <c r="AL88" s="477" t="str">
        <f>IF($AC$88="","",IFERROR(INDEX($BB$74:$BB$119,MATCH($AH$88,$AY$74:$AY$119,0)),$AH$88))</f>
        <v/>
      </c>
      <c r="AM88" s="483" t="str">
        <f t="shared" si="7"/>
        <v/>
      </c>
      <c r="AN88" s="484" t="str">
        <f t="shared" si="15"/>
        <v/>
      </c>
      <c r="AO88" s="473" t="str">
        <f t="shared" si="8"/>
        <v/>
      </c>
      <c r="AP88" s="473" t="str">
        <f t="shared" si="9"/>
        <v/>
      </c>
      <c r="AQ88" s="473" t="str">
        <f t="shared" si="10"/>
        <v/>
      </c>
      <c r="AR88" s="473" t="str">
        <f t="shared" si="11"/>
        <v/>
      </c>
      <c r="AS88" s="473" t="str">
        <f t="shared" si="12"/>
        <v/>
      </c>
      <c r="AT88" s="473" t="str">
        <f t="shared" si="13"/>
        <v/>
      </c>
      <c r="AU88" s="473" t="str">
        <f t="shared" si="14"/>
        <v/>
      </c>
      <c r="AY88" s="31" t="s">
        <v>20</v>
      </c>
      <c r="AZ88" s="488" t="s">
        <v>37</v>
      </c>
      <c r="BA88" s="489">
        <v>0.2</v>
      </c>
      <c r="BB88" s="419" t="s">
        <v>9</v>
      </c>
      <c r="BD88" s="279">
        <v>1</v>
      </c>
      <c r="BG88" s="271"/>
      <c r="BH88" s="271"/>
      <c r="BI88" s="271"/>
      <c r="BJ88" s="271"/>
      <c r="BK88" s="271"/>
      <c r="BL88" s="271"/>
    </row>
    <row r="89" spans="18:64" ht="21" customHeight="1" x14ac:dyDescent="0.25">
      <c r="R89" s="34" t="s">
        <v>6126</v>
      </c>
      <c r="S89" s="451"/>
      <c r="T89" s="31" t="s">
        <v>211</v>
      </c>
      <c r="V89" s="475">
        <v>1</v>
      </c>
      <c r="W89" s="475" t="str">
        <f>IF($AC$89="","",$W$72)</f>
        <v/>
      </c>
      <c r="X89" s="476" t="str">
        <f>IF($AC$89="","",$X$72)</f>
        <v/>
      </c>
      <c r="Y89" s="477" t="str">
        <f>IF($X$89="","",$Y$72)</f>
        <v/>
      </c>
      <c r="Z89" s="477" t="str">
        <f>IF($X$89="","",$Z$72)</f>
        <v/>
      </c>
      <c r="AA89" s="477" t="str">
        <f>IF($AC$89="","",ROW($A$89)-ROW($A$72))</f>
        <v/>
      </c>
      <c r="AB89" s="478"/>
      <c r="AC89" s="34"/>
      <c r="AD89" s="356"/>
      <c r="AE89" s="479"/>
      <c r="AF89" s="475"/>
      <c r="AG89" s="480" t="str">
        <f t="shared" si="4"/>
        <v/>
      </c>
      <c r="AH89" s="481" t="str">
        <f t="shared" si="5"/>
        <v/>
      </c>
      <c r="AI89" s="477" t="str">
        <f>IF($AC$89="","",IFERROR(INDEX($AZ$74:$AZ$119,MATCH($AH$89,$AY$74:$AY$119,0)),"AUTRE"))</f>
        <v/>
      </c>
      <c r="AJ89" s="482" t="str">
        <f>IF($AC$89="","",IFERROR(INDEX($BA$74:$BA$119,MATCH($AH$89,$AY$74:$AY$119,0)),1))</f>
        <v/>
      </c>
      <c r="AK89" s="482" t="str">
        <f t="shared" si="6"/>
        <v/>
      </c>
      <c r="AL89" s="477" t="str">
        <f>IF($AC$89="","",IFERROR(INDEX($BB$74:$BB$119,MATCH($AH$89,$AY$74:$AY$119,0)),$AH$89))</f>
        <v/>
      </c>
      <c r="AM89" s="483" t="str">
        <f t="shared" si="7"/>
        <v/>
      </c>
      <c r="AN89" s="484" t="str">
        <f t="shared" si="15"/>
        <v/>
      </c>
      <c r="AO89" s="473" t="str">
        <f t="shared" si="8"/>
        <v/>
      </c>
      <c r="AP89" s="473" t="str">
        <f t="shared" si="9"/>
        <v/>
      </c>
      <c r="AQ89" s="473" t="str">
        <f t="shared" si="10"/>
        <v/>
      </c>
      <c r="AR89" s="473" t="str">
        <f t="shared" si="11"/>
        <v/>
      </c>
      <c r="AS89" s="473" t="str">
        <f t="shared" si="12"/>
        <v/>
      </c>
      <c r="AT89" s="473" t="str">
        <f t="shared" si="13"/>
        <v/>
      </c>
      <c r="AU89" s="473" t="str">
        <f t="shared" si="14"/>
        <v/>
      </c>
      <c r="AY89" s="31" t="s">
        <v>304</v>
      </c>
      <c r="AZ89" s="488" t="s">
        <v>37</v>
      </c>
      <c r="BA89" s="489">
        <v>0.125</v>
      </c>
      <c r="BB89" s="419" t="s">
        <v>9</v>
      </c>
      <c r="BC89" s="271"/>
      <c r="BD89" s="279">
        <v>1</v>
      </c>
      <c r="BG89" s="271"/>
      <c r="BH89" s="271"/>
      <c r="BI89" s="271"/>
      <c r="BJ89" s="271"/>
      <c r="BK89" s="271"/>
      <c r="BL89" s="271"/>
    </row>
    <row r="90" spans="18:64" ht="21" customHeight="1" x14ac:dyDescent="0.25">
      <c r="R90" s="34" t="s">
        <v>6127</v>
      </c>
      <c r="S90" s="451"/>
      <c r="T90" s="31" t="s">
        <v>20</v>
      </c>
      <c r="V90" s="475">
        <v>1</v>
      </c>
      <c r="W90" s="475" t="str">
        <f>IF($AC$90="","",$W$72)</f>
        <v/>
      </c>
      <c r="X90" s="476" t="str">
        <f>IF($AC$90="","",$X$72)</f>
        <v/>
      </c>
      <c r="Y90" s="477" t="str">
        <f>IF($X$90="","",$Y$72)</f>
        <v/>
      </c>
      <c r="Z90" s="477" t="str">
        <f>IF($X$90="","",$Z$72)</f>
        <v/>
      </c>
      <c r="AA90" s="477" t="str">
        <f>IF($AC$90="","",ROW($A$90)-ROW($A$72))</f>
        <v/>
      </c>
      <c r="AB90" s="478"/>
      <c r="AC90" s="34"/>
      <c r="AD90" s="356"/>
      <c r="AE90" s="479"/>
      <c r="AF90" s="475"/>
      <c r="AG90" s="480" t="str">
        <f t="shared" si="4"/>
        <v/>
      </c>
      <c r="AH90" s="481" t="str">
        <f t="shared" si="5"/>
        <v/>
      </c>
      <c r="AI90" s="477" t="str">
        <f>IF($AC$90="","",IFERROR(INDEX($AZ$74:$AZ$119,MATCH($AH$90,$AY$74:$AY$119,0)),"AUTRE"))</f>
        <v/>
      </c>
      <c r="AJ90" s="482" t="str">
        <f>IF($AC$90="","",IFERROR(INDEX($BA$74:$BA$119,MATCH($AH$90,$AY$74:$AY$119,0)),1))</f>
        <v/>
      </c>
      <c r="AK90" s="482" t="str">
        <f t="shared" si="6"/>
        <v/>
      </c>
      <c r="AL90" s="477" t="str">
        <f>IF($AC$90="","",IFERROR(INDEX($BB$74:$BB$119,MATCH($AH$90,$AY$74:$AY$119,0)),$AH$90))</f>
        <v/>
      </c>
      <c r="AM90" s="483" t="str">
        <f t="shared" si="7"/>
        <v/>
      </c>
      <c r="AN90" s="484" t="str">
        <f t="shared" si="15"/>
        <v/>
      </c>
      <c r="AO90" s="473" t="str">
        <f t="shared" si="8"/>
        <v/>
      </c>
      <c r="AP90" s="473" t="str">
        <f t="shared" si="9"/>
        <v/>
      </c>
      <c r="AQ90" s="473" t="str">
        <f t="shared" si="10"/>
        <v/>
      </c>
      <c r="AR90" s="473" t="str">
        <f t="shared" si="11"/>
        <v/>
      </c>
      <c r="AS90" s="473" t="str">
        <f t="shared" si="12"/>
        <v/>
      </c>
      <c r="AT90" s="473" t="str">
        <f t="shared" si="13"/>
        <v/>
      </c>
      <c r="AU90" s="473" t="str">
        <f t="shared" si="14"/>
        <v/>
      </c>
      <c r="AY90" s="31" t="s">
        <v>352</v>
      </c>
      <c r="AZ90" s="488" t="s">
        <v>37</v>
      </c>
      <c r="BA90" s="489">
        <v>0.125</v>
      </c>
      <c r="BB90" s="419" t="s">
        <v>9</v>
      </c>
      <c r="BC90" s="271"/>
      <c r="BD90" s="279">
        <v>1</v>
      </c>
      <c r="BG90" s="271"/>
      <c r="BH90" s="271"/>
      <c r="BI90" s="271"/>
      <c r="BJ90" s="271"/>
      <c r="BK90" s="271"/>
      <c r="BL90" s="271"/>
    </row>
    <row r="91" spans="18:64" ht="21" customHeight="1" x14ac:dyDescent="0.25">
      <c r="R91" s="25" t="s">
        <v>6128</v>
      </c>
      <c r="S91" s="451"/>
      <c r="T91" s="31" t="s">
        <v>304</v>
      </c>
      <c r="V91" s="475">
        <v>1</v>
      </c>
      <c r="W91" s="475" t="str">
        <f>IF($AC$91="","",$W$72)</f>
        <v/>
      </c>
      <c r="X91" s="476" t="str">
        <f>IF($AC$91="","",$X$72)</f>
        <v/>
      </c>
      <c r="Y91" s="477" t="str">
        <f>IF($X$91="","",$Y$72)</f>
        <v/>
      </c>
      <c r="Z91" s="477" t="str">
        <f>IF($X$91="","",$Z$72)</f>
        <v/>
      </c>
      <c r="AA91" s="477" t="str">
        <f>IF($AC$91="","",ROW($A$91)-ROW($A$72))</f>
        <v/>
      </c>
      <c r="AB91" s="478"/>
      <c r="AC91" s="34"/>
      <c r="AD91" s="356"/>
      <c r="AE91" s="479"/>
      <c r="AF91" s="475"/>
      <c r="AG91" s="480" t="str">
        <f t="shared" si="4"/>
        <v/>
      </c>
      <c r="AH91" s="481" t="str">
        <f t="shared" si="5"/>
        <v/>
      </c>
      <c r="AI91" s="477" t="str">
        <f>IF($AC$91="","",IFERROR(INDEX($AZ$74:$AZ$119,MATCH($AH$91,$AY$74:$AY$119,0)),"AUTRE"))</f>
        <v/>
      </c>
      <c r="AJ91" s="482" t="str">
        <f>IF($AC$91="","",IFERROR(INDEX($BA$74:$BA$119,MATCH($AH$91,$AY$74:$AY$119,0)),1))</f>
        <v/>
      </c>
      <c r="AK91" s="482" t="str">
        <f t="shared" si="6"/>
        <v/>
      </c>
      <c r="AL91" s="477" t="str">
        <f>IF($AC$91="","",IFERROR(INDEX($BB$74:$BB$119,MATCH($AH$91,$AY$74:$AY$119,0)),$AH$91))</f>
        <v/>
      </c>
      <c r="AM91" s="483" t="str">
        <f t="shared" si="7"/>
        <v/>
      </c>
      <c r="AN91" s="484" t="str">
        <f t="shared" si="15"/>
        <v/>
      </c>
      <c r="AO91" s="473" t="str">
        <f t="shared" si="8"/>
        <v/>
      </c>
      <c r="AP91" s="473" t="str">
        <f t="shared" si="9"/>
        <v/>
      </c>
      <c r="AQ91" s="473" t="str">
        <f t="shared" si="10"/>
        <v/>
      </c>
      <c r="AR91" s="473" t="str">
        <f t="shared" si="11"/>
        <v/>
      </c>
      <c r="AS91" s="473" t="str">
        <f t="shared" si="12"/>
        <v/>
      </c>
      <c r="AT91" s="473" t="str">
        <f t="shared" si="13"/>
        <v/>
      </c>
      <c r="AU91" s="473" t="str">
        <f t="shared" si="14"/>
        <v/>
      </c>
      <c r="AY91" s="31" t="s">
        <v>27</v>
      </c>
      <c r="AZ91" s="488" t="s">
        <v>37</v>
      </c>
      <c r="BA91" s="489">
        <v>5.0000000000000001E-3</v>
      </c>
      <c r="BB91" s="419" t="s">
        <v>9</v>
      </c>
      <c r="BC91" s="271"/>
      <c r="BD91" s="279">
        <v>1</v>
      </c>
      <c r="BG91" s="271"/>
      <c r="BH91" s="271"/>
      <c r="BI91" s="271"/>
      <c r="BJ91" s="271"/>
      <c r="BK91" s="271"/>
      <c r="BL91" s="271"/>
    </row>
    <row r="92" spans="18:64" ht="21" customHeight="1" x14ac:dyDescent="0.25">
      <c r="R92" s="34" t="s">
        <v>474</v>
      </c>
      <c r="S92" s="451"/>
      <c r="T92" s="31" t="s">
        <v>352</v>
      </c>
      <c r="V92" s="475">
        <v>1</v>
      </c>
      <c r="W92" s="475" t="str">
        <f>IF($AC$92="","",$W$72)</f>
        <v/>
      </c>
      <c r="X92" s="476" t="str">
        <f>IF($AC$92="","",$X$72)</f>
        <v/>
      </c>
      <c r="Y92" s="477" t="str">
        <f>IF($X$92="","",$Y$72)</f>
        <v/>
      </c>
      <c r="Z92" s="477" t="str">
        <f>IF($X$92="","",$Z$72)</f>
        <v/>
      </c>
      <c r="AA92" s="477" t="str">
        <f>IF($AC$92="","",ROW($A$92)-ROW($A$72))</f>
        <v/>
      </c>
      <c r="AB92" s="478"/>
      <c r="AC92" s="34"/>
      <c r="AD92" s="356"/>
      <c r="AE92" s="479"/>
      <c r="AF92" s="475"/>
      <c r="AG92" s="480" t="str">
        <f t="shared" si="4"/>
        <v/>
      </c>
      <c r="AH92" s="481" t="str">
        <f t="shared" si="5"/>
        <v/>
      </c>
      <c r="AI92" s="477" t="str">
        <f>IF($AC$92="","",IFERROR(INDEX($AZ$74:$AZ$119,MATCH($AH$92,$AY$74:$AY$119,0)),"AUTRE"))</f>
        <v/>
      </c>
      <c r="AJ92" s="482" t="str">
        <f>IF($AC$92="","",IFERROR(INDEX($BA$74:$BA$119,MATCH($AH$92,$AY$74:$AY$119,0)),1))</f>
        <v/>
      </c>
      <c r="AK92" s="482" t="str">
        <f t="shared" si="6"/>
        <v/>
      </c>
      <c r="AL92" s="477" t="str">
        <f>IF($AC$92="","",IFERROR(INDEX($BB$74:$BB$119,MATCH($AH$92,$AY$74:$AY$119,0)),$AH$92))</f>
        <v/>
      </c>
      <c r="AM92" s="483" t="str">
        <f t="shared" si="7"/>
        <v/>
      </c>
      <c r="AN92" s="484" t="str">
        <f t="shared" si="15"/>
        <v/>
      </c>
      <c r="AO92" s="473" t="str">
        <f t="shared" si="8"/>
        <v/>
      </c>
      <c r="AP92" s="473" t="str">
        <f t="shared" si="9"/>
        <v/>
      </c>
      <c r="AQ92" s="473" t="str">
        <f t="shared" si="10"/>
        <v/>
      </c>
      <c r="AR92" s="473" t="str">
        <f t="shared" si="11"/>
        <v/>
      </c>
      <c r="AS92" s="473" t="str">
        <f t="shared" si="12"/>
        <v/>
      </c>
      <c r="AT92" s="473" t="str">
        <f t="shared" si="13"/>
        <v/>
      </c>
      <c r="AU92" s="473" t="str">
        <f t="shared" si="14"/>
        <v/>
      </c>
      <c r="AY92" s="31" t="s">
        <v>28</v>
      </c>
      <c r="AZ92" s="488" t="s">
        <v>37</v>
      </c>
      <c r="BA92" s="489">
        <v>5.0000000000000001E-3</v>
      </c>
      <c r="BB92" s="419" t="s">
        <v>9</v>
      </c>
      <c r="BC92" s="271"/>
      <c r="BD92" s="279">
        <v>1</v>
      </c>
      <c r="BG92" s="271"/>
      <c r="BH92" s="271"/>
      <c r="BI92" s="271"/>
      <c r="BJ92" s="271"/>
      <c r="BK92" s="271"/>
      <c r="BL92" s="271"/>
    </row>
    <row r="93" spans="18:64" ht="21" customHeight="1" x14ac:dyDescent="0.25">
      <c r="R93" s="34" t="s">
        <v>490</v>
      </c>
      <c r="S93" s="451"/>
      <c r="T93" s="31" t="s">
        <v>25</v>
      </c>
      <c r="V93" s="475">
        <v>1</v>
      </c>
      <c r="W93" s="475" t="str">
        <f>IF($AC$93="","",$W$72)</f>
        <v/>
      </c>
      <c r="X93" s="476" t="str">
        <f>IF($AC$93="","",$X$72)</f>
        <v/>
      </c>
      <c r="Y93" s="477" t="str">
        <f>IF($X$93="","",$Y$72)</f>
        <v/>
      </c>
      <c r="Z93" s="477" t="str">
        <f>IF($X$93="","",$Z$72)</f>
        <v/>
      </c>
      <c r="AA93" s="477" t="str">
        <f>IF($AC$93="","",ROW($A$93)-ROW($A$72))</f>
        <v/>
      </c>
      <c r="AB93" s="478"/>
      <c r="AC93" s="34"/>
      <c r="AD93" s="356"/>
      <c r="AE93" s="479"/>
      <c r="AF93" s="475"/>
      <c r="AG93" s="480" t="str">
        <f t="shared" si="4"/>
        <v/>
      </c>
      <c r="AH93" s="481" t="str">
        <f t="shared" si="5"/>
        <v/>
      </c>
      <c r="AI93" s="477" t="str">
        <f>IF($AC$93="","",IFERROR(INDEX($AZ$74:$AZ$119,MATCH($AH$93,$AY$74:$AY$119,0)),"AUTRE"))</f>
        <v/>
      </c>
      <c r="AJ93" s="482" t="str">
        <f>IF($AC$93="","",IFERROR(INDEX($BA$74:$BA$119,MATCH($AH$93,$AY$74:$AY$119,0)),1))</f>
        <v/>
      </c>
      <c r="AK93" s="482" t="str">
        <f t="shared" si="6"/>
        <v/>
      </c>
      <c r="AL93" s="477" t="str">
        <f>IF($AC$93="","",IFERROR(INDEX($BB$74:$BB$119,MATCH($AH$93,$AY$74:$AY$119,0)),$AH$93))</f>
        <v/>
      </c>
      <c r="AM93" s="483" t="str">
        <f t="shared" si="7"/>
        <v/>
      </c>
      <c r="AN93" s="484" t="str">
        <f t="shared" si="15"/>
        <v/>
      </c>
      <c r="AO93" s="473" t="str">
        <f t="shared" si="8"/>
        <v/>
      </c>
      <c r="AP93" s="473" t="str">
        <f t="shared" si="9"/>
        <v/>
      </c>
      <c r="AQ93" s="473" t="str">
        <f t="shared" si="10"/>
        <v/>
      </c>
      <c r="AR93" s="473" t="str">
        <f t="shared" si="11"/>
        <v/>
      </c>
      <c r="AS93" s="473" t="str">
        <f t="shared" si="12"/>
        <v/>
      </c>
      <c r="AT93" s="473" t="str">
        <f t="shared" si="13"/>
        <v/>
      </c>
      <c r="AU93" s="473" t="str">
        <f t="shared" si="14"/>
        <v/>
      </c>
      <c r="AY93" s="31" t="s">
        <v>29</v>
      </c>
      <c r="AZ93" s="488" t="s">
        <v>37</v>
      </c>
      <c r="BA93" s="489">
        <v>1.4999999999999999E-2</v>
      </c>
      <c r="BB93" s="419" t="s">
        <v>9</v>
      </c>
      <c r="BC93" s="271"/>
      <c r="BD93" s="279">
        <v>1</v>
      </c>
      <c r="BG93" s="271"/>
      <c r="BH93" s="271"/>
      <c r="BI93" s="271"/>
      <c r="BJ93" s="271"/>
      <c r="BK93" s="271"/>
      <c r="BL93" s="271"/>
    </row>
    <row r="94" spans="18:64" ht="21" customHeight="1" x14ac:dyDescent="0.25">
      <c r="R94" s="34" t="s">
        <v>6129</v>
      </c>
      <c r="S94" s="451"/>
      <c r="T94" s="31" t="s">
        <v>26</v>
      </c>
      <c r="V94" s="475">
        <v>1</v>
      </c>
      <c r="W94" s="475" t="str">
        <f>IF($AC$94="","",$W$72)</f>
        <v/>
      </c>
      <c r="X94" s="476" t="str">
        <f>IF($AC$94="","",$X$72)</f>
        <v/>
      </c>
      <c r="Y94" s="477" t="str">
        <f>IF($X$94="","",$Y$72)</f>
        <v/>
      </c>
      <c r="Z94" s="477" t="str">
        <f>IF($X$94="","",$Z$72)</f>
        <v/>
      </c>
      <c r="AA94" s="477" t="str">
        <f>IF($AC$94="","",ROW($A$94)-ROW($A$72))</f>
        <v/>
      </c>
      <c r="AB94" s="478"/>
      <c r="AC94" s="34"/>
      <c r="AD94" s="356"/>
      <c r="AE94" s="479"/>
      <c r="AF94" s="475"/>
      <c r="AG94" s="480" t="str">
        <f t="shared" si="4"/>
        <v/>
      </c>
      <c r="AH94" s="481" t="str">
        <f t="shared" si="5"/>
        <v/>
      </c>
      <c r="AI94" s="477" t="str">
        <f>IF($AC$94="","",IFERROR(INDEX($AZ$74:$AZ$119,MATCH($AH$94,$AY$74:$AY$119,0)),"AUTRE"))</f>
        <v/>
      </c>
      <c r="AJ94" s="482" t="str">
        <f>IF($AC$94="","",IFERROR(INDEX($BA$74:$BA$119,MATCH($AH$94,$AY$74:$AY$119,0)),1))</f>
        <v/>
      </c>
      <c r="AK94" s="482" t="str">
        <f t="shared" si="6"/>
        <v/>
      </c>
      <c r="AL94" s="477" t="str">
        <f>IF($AC$94="","",IFERROR(INDEX($BB$74:$BB$119,MATCH($AH$94,$AY$74:$AY$119,0)),$AH$94))</f>
        <v/>
      </c>
      <c r="AM94" s="483" t="str">
        <f t="shared" si="7"/>
        <v/>
      </c>
      <c r="AN94" s="484" t="str">
        <f t="shared" si="15"/>
        <v/>
      </c>
      <c r="AO94" s="473" t="str">
        <f t="shared" si="8"/>
        <v/>
      </c>
      <c r="AP94" s="473" t="str">
        <f t="shared" si="9"/>
        <v/>
      </c>
      <c r="AQ94" s="473" t="str">
        <f t="shared" si="10"/>
        <v/>
      </c>
      <c r="AR94" s="473" t="str">
        <f t="shared" si="11"/>
        <v/>
      </c>
      <c r="AS94" s="473" t="str">
        <f t="shared" si="12"/>
        <v/>
      </c>
      <c r="AT94" s="473" t="str">
        <f t="shared" si="13"/>
        <v/>
      </c>
      <c r="AU94" s="473" t="str">
        <f t="shared" si="14"/>
        <v/>
      </c>
      <c r="AY94" s="31" t="s">
        <v>30</v>
      </c>
      <c r="AZ94" s="488" t="s">
        <v>37</v>
      </c>
      <c r="BA94" s="489">
        <v>0.1</v>
      </c>
      <c r="BB94" s="419" t="s">
        <v>9</v>
      </c>
      <c r="BC94" s="271"/>
      <c r="BD94" s="279">
        <v>1</v>
      </c>
      <c r="BG94" s="271"/>
      <c r="BH94" s="271"/>
      <c r="BI94" s="271"/>
      <c r="BJ94" s="271"/>
      <c r="BK94" s="271"/>
      <c r="BL94" s="271"/>
    </row>
    <row r="95" spans="18:64" ht="21" customHeight="1" x14ac:dyDescent="0.25">
      <c r="R95" s="34" t="s">
        <v>478</v>
      </c>
      <c r="S95" s="451"/>
      <c r="T95" s="31" t="s">
        <v>27</v>
      </c>
      <c r="V95" s="475">
        <v>1</v>
      </c>
      <c r="W95" s="475" t="str">
        <f>IF($AC$95="","",$W$72)</f>
        <v/>
      </c>
      <c r="X95" s="476" t="str">
        <f>IF($AC$95="","",$X$72)</f>
        <v/>
      </c>
      <c r="Y95" s="477" t="str">
        <f>IF($X$95="","",$Y$72)</f>
        <v/>
      </c>
      <c r="Z95" s="477" t="str">
        <f>IF($X$95="","",$Z$72)</f>
        <v/>
      </c>
      <c r="AA95" s="477" t="str">
        <f>IF($AC$95="","",ROW($A$95)-ROW($A$72))</f>
        <v/>
      </c>
      <c r="AB95" s="478"/>
      <c r="AC95" s="34"/>
      <c r="AD95" s="356"/>
      <c r="AE95" s="479"/>
      <c r="AF95" s="475"/>
      <c r="AG95" s="480" t="str">
        <f t="shared" si="4"/>
        <v/>
      </c>
      <c r="AH95" s="481" t="str">
        <f t="shared" si="5"/>
        <v/>
      </c>
      <c r="AI95" s="477" t="str">
        <f>IF($AC$95="","",IFERROR(INDEX($AZ$74:$AZ$119,MATCH($AH$95,$AY$74:$AY$119,0)),"AUTRE"))</f>
        <v/>
      </c>
      <c r="AJ95" s="482" t="str">
        <f>IF($AC$95="","",IFERROR(INDEX($BA$74:$BA$119,MATCH($AH$95,$AY$74:$AY$119,0)),1))</f>
        <v/>
      </c>
      <c r="AK95" s="482" t="str">
        <f t="shared" si="6"/>
        <v/>
      </c>
      <c r="AL95" s="477" t="str">
        <f>IF($AC$95="","",IFERROR(INDEX($BB$74:$BB$119,MATCH($AH$95,$AY$74:$AY$119,0)),$AH$95))</f>
        <v/>
      </c>
      <c r="AM95" s="483" t="str">
        <f t="shared" si="7"/>
        <v/>
      </c>
      <c r="AN95" s="484" t="str">
        <f t="shared" si="15"/>
        <v/>
      </c>
      <c r="AO95" s="473" t="str">
        <f t="shared" si="8"/>
        <v/>
      </c>
      <c r="AP95" s="473" t="str">
        <f t="shared" si="9"/>
        <v/>
      </c>
      <c r="AQ95" s="473" t="str">
        <f t="shared" si="10"/>
        <v/>
      </c>
      <c r="AR95" s="473" t="str">
        <f t="shared" si="11"/>
        <v/>
      </c>
      <c r="AS95" s="473" t="str">
        <f t="shared" si="12"/>
        <v/>
      </c>
      <c r="AT95" s="473" t="str">
        <f t="shared" si="13"/>
        <v/>
      </c>
      <c r="AU95" s="473" t="str">
        <f t="shared" si="14"/>
        <v/>
      </c>
      <c r="AY95" s="32" t="s">
        <v>33</v>
      </c>
      <c r="AZ95" s="488" t="s">
        <v>38</v>
      </c>
      <c r="BA95" s="489">
        <v>1</v>
      </c>
      <c r="BB95" s="419" t="s">
        <v>8035</v>
      </c>
      <c r="BC95" s="271"/>
      <c r="BD95" s="279">
        <v>1</v>
      </c>
      <c r="BG95" s="271"/>
      <c r="BH95" s="271"/>
      <c r="BI95" s="271"/>
      <c r="BJ95" s="271"/>
      <c r="BK95" s="271"/>
      <c r="BL95" s="271"/>
    </row>
    <row r="96" spans="18:64" ht="21" customHeight="1" x14ac:dyDescent="0.25">
      <c r="R96" s="34" t="s">
        <v>6130</v>
      </c>
      <c r="S96" s="451"/>
      <c r="T96" s="31" t="s">
        <v>28</v>
      </c>
      <c r="V96" s="475">
        <v>1</v>
      </c>
      <c r="W96" s="475" t="str">
        <f>IF($AC$96="","",$W$72)</f>
        <v/>
      </c>
      <c r="X96" s="476" t="str">
        <f>IF($AC$96="","",$X$72)</f>
        <v/>
      </c>
      <c r="Y96" s="477" t="str">
        <f>IF($X$96="","",$Y$72)</f>
        <v/>
      </c>
      <c r="Z96" s="477" t="str">
        <f>IF($X$96="","",$Z$72)</f>
        <v/>
      </c>
      <c r="AA96" s="477" t="str">
        <f>IF($AC$96="","",ROW($A$96)-ROW($A$72))</f>
        <v/>
      </c>
      <c r="AB96" s="478"/>
      <c r="AC96" s="34"/>
      <c r="AD96" s="356"/>
      <c r="AE96" s="479"/>
      <c r="AF96" s="475"/>
      <c r="AG96" s="480" t="str">
        <f t="shared" si="4"/>
        <v/>
      </c>
      <c r="AH96" s="481" t="str">
        <f t="shared" si="5"/>
        <v/>
      </c>
      <c r="AI96" s="477" t="str">
        <f>IF($AC$96="","",IFERROR(INDEX($AZ$74:$AZ$119,MATCH($AH$96,$AY$74:$AY$119,0)),"AUTRE"))</f>
        <v/>
      </c>
      <c r="AJ96" s="482" t="str">
        <f>IF($AC$96="","",IFERROR(INDEX($BA$74:$BA$119,MATCH($AH$96,$AY$74:$AY$119,0)),1))</f>
        <v/>
      </c>
      <c r="AK96" s="482" t="str">
        <f t="shared" si="6"/>
        <v/>
      </c>
      <c r="AL96" s="477" t="str">
        <f>IF($AC$96="","",IFERROR(INDEX($BB$74:$BB$119,MATCH($AH$96,$AY$74:$AY$119,0)),$AH$96))</f>
        <v/>
      </c>
      <c r="AM96" s="483" t="str">
        <f t="shared" si="7"/>
        <v/>
      </c>
      <c r="AN96" s="484" t="str">
        <f t="shared" si="15"/>
        <v/>
      </c>
      <c r="AO96" s="473" t="str">
        <f t="shared" si="8"/>
        <v/>
      </c>
      <c r="AP96" s="473" t="str">
        <f t="shared" si="9"/>
        <v/>
      </c>
      <c r="AQ96" s="473" t="str">
        <f t="shared" si="10"/>
        <v/>
      </c>
      <c r="AR96" s="473" t="str">
        <f t="shared" si="11"/>
        <v/>
      </c>
      <c r="AS96" s="473" t="str">
        <f t="shared" si="12"/>
        <v/>
      </c>
      <c r="AT96" s="473" t="str">
        <f t="shared" si="13"/>
        <v/>
      </c>
      <c r="AU96" s="473" t="str">
        <f t="shared" si="14"/>
        <v/>
      </c>
      <c r="AY96" s="32" t="s">
        <v>8125</v>
      </c>
      <c r="AZ96" s="488" t="s">
        <v>38</v>
      </c>
      <c r="BA96" s="489">
        <v>1</v>
      </c>
      <c r="BB96" s="419" t="s">
        <v>8126</v>
      </c>
      <c r="BC96" s="271"/>
      <c r="BD96" s="279">
        <v>1</v>
      </c>
      <c r="BG96" s="271"/>
      <c r="BH96" s="271"/>
      <c r="BI96" s="271"/>
      <c r="BJ96" s="271"/>
      <c r="BK96" s="271"/>
      <c r="BL96" s="271"/>
    </row>
    <row r="97" spans="18:64" ht="21" customHeight="1" x14ac:dyDescent="0.25">
      <c r="R97" s="34" t="s">
        <v>486</v>
      </c>
      <c r="S97" s="451"/>
      <c r="T97" s="31" t="s">
        <v>29</v>
      </c>
      <c r="V97" s="475">
        <v>1</v>
      </c>
      <c r="W97" s="475" t="str">
        <f>IF($AC$97="","",$W$72)</f>
        <v/>
      </c>
      <c r="X97" s="476" t="str">
        <f>IF($AC$97="","",$X$72)</f>
        <v/>
      </c>
      <c r="Y97" s="477" t="str">
        <f>IF($X$97="","",$Y$72)</f>
        <v/>
      </c>
      <c r="Z97" s="477" t="str">
        <f>IF($X$97="","",$Z$72)</f>
        <v/>
      </c>
      <c r="AA97" s="477" t="str">
        <f>IF($AC$97="","",ROW($A$97)-ROW($A$72))</f>
        <v/>
      </c>
      <c r="AB97" s="478"/>
      <c r="AC97" s="34"/>
      <c r="AD97" s="356"/>
      <c r="AE97" s="479"/>
      <c r="AF97" s="475"/>
      <c r="AG97" s="480" t="str">
        <f t="shared" si="4"/>
        <v/>
      </c>
      <c r="AH97" s="481" t="str">
        <f t="shared" si="5"/>
        <v/>
      </c>
      <c r="AI97" s="477" t="str">
        <f>IF($AC$97="","",IFERROR(INDEX($AZ$74:$AZ$119,MATCH($AH$97,$AY$74:$AY$119,0)),"AUTRE"))</f>
        <v/>
      </c>
      <c r="AJ97" s="482" t="str">
        <f>IF($AC$97="","",IFERROR(INDEX($BA$74:$BA$119,MATCH($AH$97,$AY$74:$AY$119,0)),1))</f>
        <v/>
      </c>
      <c r="AK97" s="482" t="str">
        <f t="shared" si="6"/>
        <v/>
      </c>
      <c r="AL97" s="477" t="str">
        <f>IF($AC$97="","",IFERROR(INDEX($BB$74:$BB$119,MATCH($AH$97,$AY$74:$AY$119,0)),$AH$97))</f>
        <v/>
      </c>
      <c r="AM97" s="483" t="str">
        <f t="shared" si="7"/>
        <v/>
      </c>
      <c r="AN97" s="484" t="str">
        <f t="shared" si="15"/>
        <v/>
      </c>
      <c r="AO97" s="473" t="str">
        <f t="shared" si="8"/>
        <v/>
      </c>
      <c r="AP97" s="473" t="str">
        <f t="shared" si="9"/>
        <v/>
      </c>
      <c r="AQ97" s="473" t="str">
        <f t="shared" si="10"/>
        <v/>
      </c>
      <c r="AR97" s="473" t="str">
        <f t="shared" si="11"/>
        <v/>
      </c>
      <c r="AS97" s="473" t="str">
        <f t="shared" si="12"/>
        <v/>
      </c>
      <c r="AT97" s="473" t="str">
        <f t="shared" si="13"/>
        <v/>
      </c>
      <c r="AU97" s="473" t="str">
        <f t="shared" si="14"/>
        <v/>
      </c>
      <c r="AY97" s="32" t="s">
        <v>8127</v>
      </c>
      <c r="AZ97" s="488" t="s">
        <v>38</v>
      </c>
      <c r="BA97" s="489">
        <v>1</v>
      </c>
      <c r="BB97" s="419" t="s">
        <v>8128</v>
      </c>
      <c r="BC97" s="271"/>
      <c r="BD97" s="279">
        <v>1</v>
      </c>
      <c r="BG97" s="271"/>
      <c r="BH97" s="271"/>
      <c r="BI97" s="271"/>
      <c r="BJ97" s="271"/>
      <c r="BK97" s="271"/>
      <c r="BL97" s="271"/>
    </row>
    <row r="98" spans="18:64" ht="21" customHeight="1" x14ac:dyDescent="0.25">
      <c r="R98" s="34" t="s">
        <v>479</v>
      </c>
      <c r="S98" s="451"/>
      <c r="T98" s="31" t="s">
        <v>30</v>
      </c>
      <c r="V98" s="475">
        <v>1</v>
      </c>
      <c r="W98" s="475" t="str">
        <f>IF($AC$98="","",$W$72)</f>
        <v/>
      </c>
      <c r="X98" s="476" t="str">
        <f>IF($AC$98="","",$X$72)</f>
        <v/>
      </c>
      <c r="Y98" s="477" t="str">
        <f>IF($X$98="","",$Y$72)</f>
        <v/>
      </c>
      <c r="Z98" s="477" t="str">
        <f>IF($X$98="","",$Z$72)</f>
        <v/>
      </c>
      <c r="AA98" s="477" t="str">
        <f>IF($AC$98="","",ROW($A$98)-ROW($A$72))</f>
        <v/>
      </c>
      <c r="AB98" s="478"/>
      <c r="AC98" s="34"/>
      <c r="AD98" s="356"/>
      <c r="AE98" s="479"/>
      <c r="AF98" s="475"/>
      <c r="AG98" s="480" t="str">
        <f t="shared" si="4"/>
        <v/>
      </c>
      <c r="AH98" s="481" t="str">
        <f t="shared" si="5"/>
        <v/>
      </c>
      <c r="AI98" s="477" t="str">
        <f>IF($AC$98="","",IFERROR(INDEX($AZ$74:$AZ$119,MATCH($AH$98,$AY$74:$AY$119,0)),"AUTRE"))</f>
        <v/>
      </c>
      <c r="AJ98" s="482" t="str">
        <f>IF($AC$98="","",IFERROR(INDEX($BA$74:$BA$119,MATCH($AH$98,$AY$74:$AY$119,0)),1))</f>
        <v/>
      </c>
      <c r="AK98" s="482" t="str">
        <f t="shared" si="6"/>
        <v/>
      </c>
      <c r="AL98" s="477" t="str">
        <f>IF($AC$98="","",IFERROR(INDEX($BB$74:$BB$119,MATCH($AH$98,$AY$74:$AY$119,0)),$AH$98))</f>
        <v/>
      </c>
      <c r="AM98" s="483" t="str">
        <f t="shared" si="7"/>
        <v/>
      </c>
      <c r="AN98" s="484" t="str">
        <f t="shared" si="15"/>
        <v/>
      </c>
      <c r="AO98" s="473" t="str">
        <f t="shared" si="8"/>
        <v/>
      </c>
      <c r="AP98" s="473" t="str">
        <f t="shared" si="9"/>
        <v/>
      </c>
      <c r="AQ98" s="473" t="str">
        <f t="shared" si="10"/>
        <v/>
      </c>
      <c r="AR98" s="473" t="str">
        <f t="shared" si="11"/>
        <v/>
      </c>
      <c r="AS98" s="473" t="str">
        <f t="shared" si="12"/>
        <v/>
      </c>
      <c r="AT98" s="473" t="str">
        <f t="shared" si="13"/>
        <v/>
      </c>
      <c r="AU98" s="473" t="str">
        <f t="shared" si="14"/>
        <v/>
      </c>
      <c r="AY98" s="32" t="s">
        <v>320</v>
      </c>
      <c r="AZ98" s="488" t="s">
        <v>38</v>
      </c>
      <c r="BA98" s="489">
        <v>1</v>
      </c>
      <c r="BB98" s="419" t="s">
        <v>321</v>
      </c>
      <c r="BC98" s="271"/>
      <c r="BD98" s="279">
        <v>1</v>
      </c>
      <c r="BG98" s="271"/>
      <c r="BH98" s="271"/>
      <c r="BI98" s="271"/>
      <c r="BJ98" s="271"/>
      <c r="BK98" s="271"/>
      <c r="BL98" s="271"/>
    </row>
    <row r="99" spans="18:64" ht="21" customHeight="1" x14ac:dyDescent="0.25">
      <c r="R99" s="34" t="s">
        <v>6131</v>
      </c>
      <c r="S99" s="451"/>
      <c r="T99" s="31" t="s">
        <v>31</v>
      </c>
      <c r="V99" s="475">
        <v>1</v>
      </c>
      <c r="W99" s="475" t="str">
        <f>IF($AC$99="","",$W$72)</f>
        <v/>
      </c>
      <c r="X99" s="476" t="str">
        <f>IF($AC$99="","",$X$72)</f>
        <v/>
      </c>
      <c r="Y99" s="477" t="str">
        <f>IF($X$99="","",$Y$72)</f>
        <v/>
      </c>
      <c r="Z99" s="477" t="str">
        <f>IF($X$99="","",$Z$72)</f>
        <v/>
      </c>
      <c r="AA99" s="477" t="str">
        <f>IF($AC$99="","",ROW($A$99)-ROW($A$72))</f>
        <v/>
      </c>
      <c r="AB99" s="478"/>
      <c r="AC99" s="34"/>
      <c r="AD99" s="356"/>
      <c r="AE99" s="479"/>
      <c r="AF99" s="475"/>
      <c r="AG99" s="480" t="str">
        <f t="shared" si="4"/>
        <v/>
      </c>
      <c r="AH99" s="481" t="str">
        <f t="shared" si="5"/>
        <v/>
      </c>
      <c r="AI99" s="477" t="str">
        <f>IF($AC$99="","",IFERROR(INDEX($AZ$74:$AZ$119,MATCH($AH$99,$AY$74:$AY$119,0)),"AUTRE"))</f>
        <v/>
      </c>
      <c r="AJ99" s="482" t="str">
        <f>IF($AC$99="","",IFERROR(INDEX($BA$74:$BA$119,MATCH($AH$99,$AY$74:$AY$119,0)),1))</f>
        <v/>
      </c>
      <c r="AK99" s="482" t="str">
        <f t="shared" si="6"/>
        <v/>
      </c>
      <c r="AL99" s="477" t="str">
        <f>IF($AC$99="","",IFERROR(INDEX($BB$74:$BB$119,MATCH($AH$99,$AY$74:$AY$119,0)),$AH$99))</f>
        <v/>
      </c>
      <c r="AM99" s="483" t="str">
        <f t="shared" si="7"/>
        <v/>
      </c>
      <c r="AN99" s="484" t="str">
        <f t="shared" si="15"/>
        <v/>
      </c>
      <c r="AO99" s="473" t="str">
        <f t="shared" si="8"/>
        <v/>
      </c>
      <c r="AP99" s="473" t="str">
        <f t="shared" si="9"/>
        <v/>
      </c>
      <c r="AQ99" s="473" t="str">
        <f t="shared" si="10"/>
        <v/>
      </c>
      <c r="AR99" s="473" t="str">
        <f t="shared" si="11"/>
        <v/>
      </c>
      <c r="AS99" s="473" t="str">
        <f t="shared" si="12"/>
        <v/>
      </c>
      <c r="AT99" s="473" t="str">
        <f t="shared" si="13"/>
        <v/>
      </c>
      <c r="AU99" s="473" t="str">
        <f t="shared" si="14"/>
        <v/>
      </c>
      <c r="AY99" s="32" t="s">
        <v>318</v>
      </c>
      <c r="AZ99" s="488" t="s">
        <v>38</v>
      </c>
      <c r="BA99" s="489">
        <v>1</v>
      </c>
      <c r="BB99" s="419" t="s">
        <v>319</v>
      </c>
      <c r="BC99" s="271"/>
      <c r="BD99" s="279">
        <v>1</v>
      </c>
      <c r="BG99" s="271"/>
      <c r="BH99" s="271"/>
      <c r="BI99" s="271"/>
      <c r="BJ99" s="271"/>
      <c r="BK99" s="271"/>
      <c r="BL99" s="271"/>
    </row>
    <row r="100" spans="18:64" ht="21" customHeight="1" x14ac:dyDescent="0.25">
      <c r="R100" s="34" t="s">
        <v>485</v>
      </c>
      <c r="S100" s="451"/>
      <c r="T100" s="32" t="s">
        <v>33</v>
      </c>
      <c r="V100" s="475">
        <v>1</v>
      </c>
      <c r="W100" s="475" t="str">
        <f>IF($AC$100="","",$W$72)</f>
        <v/>
      </c>
      <c r="X100" s="476" t="str">
        <f>IF($AC$100="","",$X$72)</f>
        <v/>
      </c>
      <c r="Y100" s="477" t="str">
        <f>IF($X$100="","",$Y$72)</f>
        <v/>
      </c>
      <c r="Z100" s="477" t="str">
        <f>IF($X$100="","",$Z$72)</f>
        <v/>
      </c>
      <c r="AA100" s="477" t="str">
        <f>IF($AC$100="","",ROW($A$100)-ROW($A$72))</f>
        <v/>
      </c>
      <c r="AB100" s="478"/>
      <c r="AC100" s="34"/>
      <c r="AD100" s="356"/>
      <c r="AE100" s="479"/>
      <c r="AF100" s="475"/>
      <c r="AG100" s="480" t="str">
        <f t="shared" si="4"/>
        <v/>
      </c>
      <c r="AH100" s="481" t="str">
        <f t="shared" si="5"/>
        <v/>
      </c>
      <c r="AI100" s="477" t="str">
        <f>IF($AC$100="","",IFERROR(INDEX($AZ$74:$AZ$119,MATCH($AH$100,$AY$74:$AY$119,0)),"AUTRE"))</f>
        <v/>
      </c>
      <c r="AJ100" s="482" t="str">
        <f>IF($AC$100="","",IFERROR(INDEX($BA$74:$BA$119,MATCH($AH$100,$AY$74:$AY$119,0)),1))</f>
        <v/>
      </c>
      <c r="AK100" s="482" t="str">
        <f t="shared" si="6"/>
        <v/>
      </c>
      <c r="AL100" s="477" t="str">
        <f>IF($AC$100="","",IFERROR(INDEX($BB$74:$BB$119,MATCH($AH$100,$AY$74:$AY$119,0)),$AH$100))</f>
        <v/>
      </c>
      <c r="AM100" s="483" t="str">
        <f t="shared" si="7"/>
        <v/>
      </c>
      <c r="AN100" s="484" t="str">
        <f t="shared" si="15"/>
        <v/>
      </c>
      <c r="AO100" s="473" t="str">
        <f t="shared" si="8"/>
        <v/>
      </c>
      <c r="AP100" s="473" t="str">
        <f t="shared" si="9"/>
        <v/>
      </c>
      <c r="AQ100" s="473" t="str">
        <f t="shared" si="10"/>
        <v/>
      </c>
      <c r="AR100" s="473" t="str">
        <f t="shared" si="11"/>
        <v/>
      </c>
      <c r="AS100" s="473" t="str">
        <f t="shared" si="12"/>
        <v/>
      </c>
      <c r="AT100" s="473" t="str">
        <f t="shared" si="13"/>
        <v/>
      </c>
      <c r="AU100" s="473" t="str">
        <f t="shared" si="14"/>
        <v/>
      </c>
      <c r="AY100" s="32" t="s">
        <v>316</v>
      </c>
      <c r="AZ100" s="488" t="s">
        <v>38</v>
      </c>
      <c r="BA100" s="489">
        <v>1</v>
      </c>
      <c r="BB100" s="419" t="s">
        <v>317</v>
      </c>
      <c r="BC100" s="271"/>
      <c r="BD100" s="279">
        <v>1</v>
      </c>
      <c r="BG100" s="271"/>
      <c r="BH100" s="271"/>
      <c r="BI100" s="271"/>
      <c r="BJ100" s="271"/>
      <c r="BK100" s="271"/>
      <c r="BL100" s="271"/>
    </row>
    <row r="101" spans="18:64" ht="21" customHeight="1" x14ac:dyDescent="0.25">
      <c r="R101" s="34" t="s">
        <v>6132</v>
      </c>
      <c r="S101" s="451"/>
      <c r="T101" s="32" t="s">
        <v>8125</v>
      </c>
      <c r="V101" s="475">
        <v>1</v>
      </c>
      <c r="W101" s="475" t="str">
        <f>IF($AC$101="","",$W$72)</f>
        <v/>
      </c>
      <c r="X101" s="476" t="str">
        <f>IF($AC$101="","",$X$72)</f>
        <v/>
      </c>
      <c r="Y101" s="477" t="str">
        <f>IF($X$101="","",$Y$72)</f>
        <v/>
      </c>
      <c r="Z101" s="477" t="str">
        <f>IF($X$101="","",$Z$72)</f>
        <v/>
      </c>
      <c r="AA101" s="477" t="str">
        <f>IF($AC$101="","",ROW($A$101)-ROW($A$72))</f>
        <v/>
      </c>
      <c r="AB101" s="478"/>
      <c r="AC101" s="34"/>
      <c r="AD101" s="356"/>
      <c r="AE101" s="479"/>
      <c r="AF101" s="475"/>
      <c r="AG101" s="480" t="str">
        <f t="shared" si="4"/>
        <v/>
      </c>
      <c r="AH101" s="481" t="str">
        <f t="shared" si="5"/>
        <v/>
      </c>
      <c r="AI101" s="477" t="str">
        <f>IF($AC$101="","",IFERROR(INDEX($AZ$74:$AZ$119,MATCH($AH$101,$AY$74:$AY$119,0)),"AUTRE"))</f>
        <v/>
      </c>
      <c r="AJ101" s="482" t="str">
        <f>IF($AC$101="","",IFERROR(INDEX($BA$74:$BA$119,MATCH($AH$101,$AY$74:$AY$119,0)),1))</f>
        <v/>
      </c>
      <c r="AK101" s="482" t="str">
        <f t="shared" si="6"/>
        <v/>
      </c>
      <c r="AL101" s="477" t="str">
        <f>IF($AC$101="","",IFERROR(INDEX($BB$74:$BB$119,MATCH($AH$101,$AY$74:$AY$119,0)),$AH$101))</f>
        <v/>
      </c>
      <c r="AM101" s="483" t="str">
        <f t="shared" si="7"/>
        <v/>
      </c>
      <c r="AN101" s="484" t="str">
        <f t="shared" si="15"/>
        <v/>
      </c>
      <c r="AO101" s="473" t="str">
        <f t="shared" si="8"/>
        <v/>
      </c>
      <c r="AP101" s="473" t="str">
        <f t="shared" si="9"/>
        <v/>
      </c>
      <c r="AQ101" s="473" t="str">
        <f t="shared" si="10"/>
        <v/>
      </c>
      <c r="AR101" s="473" t="str">
        <f t="shared" si="11"/>
        <v/>
      </c>
      <c r="AS101" s="473" t="str">
        <f t="shared" si="12"/>
        <v/>
      </c>
      <c r="AT101" s="473" t="str">
        <f t="shared" si="13"/>
        <v/>
      </c>
      <c r="AU101" s="473" t="str">
        <f t="shared" si="14"/>
        <v/>
      </c>
      <c r="AY101" s="32" t="s">
        <v>313</v>
      </c>
      <c r="AZ101" s="488" t="s">
        <v>38</v>
      </c>
      <c r="BA101" s="489">
        <v>1</v>
      </c>
      <c r="BB101" s="419" t="s">
        <v>314</v>
      </c>
      <c r="BC101" s="271"/>
      <c r="BD101" s="279">
        <v>1</v>
      </c>
      <c r="BG101" s="271"/>
      <c r="BH101" s="271"/>
      <c r="BI101" s="271"/>
      <c r="BJ101" s="271"/>
      <c r="BK101" s="271"/>
      <c r="BL101" s="271"/>
    </row>
    <row r="102" spans="18:64" ht="21" customHeight="1" x14ac:dyDescent="0.25">
      <c r="R102" s="25" t="s">
        <v>6133</v>
      </c>
      <c r="S102" s="451"/>
      <c r="T102" s="32" t="s">
        <v>8127</v>
      </c>
      <c r="V102" s="475">
        <v>1</v>
      </c>
      <c r="W102" s="475" t="str">
        <f>IF($AC$102="","",$W$72)</f>
        <v/>
      </c>
      <c r="X102" s="476" t="str">
        <f>IF($AC$102="","",$X$72)</f>
        <v/>
      </c>
      <c r="Y102" s="477" t="str">
        <f>IF($X$102="","",$Y$72)</f>
        <v/>
      </c>
      <c r="Z102" s="477" t="str">
        <f>IF($X$102="","",$Z$72)</f>
        <v/>
      </c>
      <c r="AA102" s="477" t="str">
        <f>IF($AC$102="","",ROW($A$102)-ROW($A$72))</f>
        <v/>
      </c>
      <c r="AB102" s="478"/>
      <c r="AC102" s="34"/>
      <c r="AD102" s="356"/>
      <c r="AE102" s="479"/>
      <c r="AF102" s="475"/>
      <c r="AG102" s="480" t="str">
        <f t="shared" si="4"/>
        <v/>
      </c>
      <c r="AH102" s="481" t="str">
        <f t="shared" si="5"/>
        <v/>
      </c>
      <c r="AI102" s="477" t="str">
        <f>IF($AC$102="","",IFERROR(INDEX($AZ$74:$AZ$119,MATCH($AH$102,$AY$74:$AY$119,0)),"AUTRE"))</f>
        <v/>
      </c>
      <c r="AJ102" s="482" t="str">
        <f>IF($AC$102="","",IFERROR(INDEX($BA$74:$BA$119,MATCH($AH$102,$AY$74:$AY$119,0)),1))</f>
        <v/>
      </c>
      <c r="AK102" s="482" t="str">
        <f t="shared" si="6"/>
        <v/>
      </c>
      <c r="AL102" s="477" t="str">
        <f>IF($AC$102="","",IFERROR(INDEX($BB$74:$BB$119,MATCH($AH$102,$AY$74:$AY$119,0)),$AH$102))</f>
        <v/>
      </c>
      <c r="AM102" s="483" t="str">
        <f t="shared" si="7"/>
        <v/>
      </c>
      <c r="AN102" s="484" t="str">
        <f t="shared" si="15"/>
        <v/>
      </c>
      <c r="AO102" s="473" t="str">
        <f t="shared" si="8"/>
        <v/>
      </c>
      <c r="AP102" s="473" t="str">
        <f t="shared" si="9"/>
        <v/>
      </c>
      <c r="AQ102" s="473" t="str">
        <f t="shared" si="10"/>
        <v/>
      </c>
      <c r="AR102" s="473" t="str">
        <f t="shared" si="11"/>
        <v/>
      </c>
      <c r="AS102" s="473" t="str">
        <f t="shared" si="12"/>
        <v/>
      </c>
      <c r="AT102" s="473" t="str">
        <f t="shared" si="13"/>
        <v/>
      </c>
      <c r="AU102" s="473" t="str">
        <f t="shared" si="14"/>
        <v/>
      </c>
      <c r="AY102" s="32" t="s">
        <v>307</v>
      </c>
      <c r="AZ102" s="488" t="s">
        <v>38</v>
      </c>
      <c r="BA102" s="489">
        <v>1</v>
      </c>
      <c r="BB102" s="419" t="s">
        <v>308</v>
      </c>
      <c r="BC102" s="271"/>
      <c r="BD102" s="279">
        <v>1</v>
      </c>
      <c r="BG102" s="271"/>
      <c r="BH102" s="271"/>
      <c r="BI102" s="271"/>
      <c r="BJ102" s="271"/>
      <c r="BK102" s="271"/>
      <c r="BL102" s="271"/>
    </row>
    <row r="103" spans="18:64" ht="21" customHeight="1" x14ac:dyDescent="0.25">
      <c r="R103" s="34" t="s">
        <v>476</v>
      </c>
      <c r="S103" s="451"/>
      <c r="T103" s="32" t="s">
        <v>320</v>
      </c>
      <c r="V103" s="475">
        <v>1</v>
      </c>
      <c r="W103" s="475" t="str">
        <f>IF($AC$103="","",$W$72)</f>
        <v/>
      </c>
      <c r="X103" s="476" t="str">
        <f>IF($AC$103="","",$X$72)</f>
        <v/>
      </c>
      <c r="Y103" s="477" t="str">
        <f>IF($X$103="","",$Y$72)</f>
        <v/>
      </c>
      <c r="Z103" s="477" t="str">
        <f>IF($X$103="","",$Z$72)</f>
        <v/>
      </c>
      <c r="AA103" s="477" t="str">
        <f>IF($AC$103="","",ROW($A$103)-ROW($A$72))</f>
        <v/>
      </c>
      <c r="AB103" s="478"/>
      <c r="AC103" s="34"/>
      <c r="AD103" s="356"/>
      <c r="AE103" s="479"/>
      <c r="AF103" s="475"/>
      <c r="AG103" s="480" t="str">
        <f t="shared" si="4"/>
        <v/>
      </c>
      <c r="AH103" s="481" t="str">
        <f t="shared" si="5"/>
        <v/>
      </c>
      <c r="AI103" s="477" t="str">
        <f>IF($AC$103="","",IFERROR(INDEX($AZ$74:$AZ$119,MATCH($AH$103,$AY$74:$AY$119,0)),"AUTRE"))</f>
        <v/>
      </c>
      <c r="AJ103" s="482" t="str">
        <f>IF($AC$103="","",IFERROR(INDEX($BA$74:$BA$119,MATCH($AH$103,$AY$74:$AY$119,0)),1))</f>
        <v/>
      </c>
      <c r="AK103" s="482" t="str">
        <f t="shared" si="6"/>
        <v/>
      </c>
      <c r="AL103" s="477" t="str">
        <f>IF($AC$103="","",IFERROR(INDEX($BB$74:$BB$119,MATCH($AH$103,$AY$74:$AY$119,0)),$AH$103))</f>
        <v/>
      </c>
      <c r="AM103" s="483" t="str">
        <f t="shared" si="7"/>
        <v/>
      </c>
      <c r="AN103" s="484" t="str">
        <f t="shared" si="15"/>
        <v/>
      </c>
      <c r="AO103" s="473" t="str">
        <f t="shared" si="8"/>
        <v/>
      </c>
      <c r="AP103" s="473" t="str">
        <f t="shared" si="9"/>
        <v/>
      </c>
      <c r="AQ103" s="473" t="str">
        <f t="shared" si="10"/>
        <v/>
      </c>
      <c r="AR103" s="473" t="str">
        <f t="shared" si="11"/>
        <v/>
      </c>
      <c r="AS103" s="473" t="str">
        <f t="shared" si="12"/>
        <v/>
      </c>
      <c r="AT103" s="473" t="str">
        <f t="shared" si="13"/>
        <v/>
      </c>
      <c r="AU103" s="473" t="str">
        <f t="shared" si="14"/>
        <v/>
      </c>
      <c r="AY103" s="32" t="s">
        <v>322</v>
      </c>
      <c r="AZ103" s="488" t="s">
        <v>38</v>
      </c>
      <c r="BA103" s="489">
        <v>1</v>
      </c>
      <c r="BB103" s="419" t="s">
        <v>323</v>
      </c>
      <c r="BC103" s="271"/>
      <c r="BD103" s="279">
        <v>1</v>
      </c>
      <c r="BG103" s="271"/>
      <c r="BH103" s="271"/>
      <c r="BI103" s="271"/>
      <c r="BJ103" s="271"/>
      <c r="BK103" s="271"/>
      <c r="BL103" s="271"/>
    </row>
    <row r="104" spans="18:64" ht="21" customHeight="1" x14ac:dyDescent="0.25">
      <c r="R104" s="34" t="s">
        <v>468</v>
      </c>
      <c r="S104" s="451"/>
      <c r="T104" s="32" t="s">
        <v>318</v>
      </c>
      <c r="V104" s="475">
        <v>1</v>
      </c>
      <c r="W104" s="475" t="str">
        <f>IF($AC$104="","",$W$72)</f>
        <v/>
      </c>
      <c r="X104" s="476" t="str">
        <f>IF($AC$104="","",$X$72)</f>
        <v/>
      </c>
      <c r="Y104" s="477" t="str">
        <f>IF($X$104="","",$Y$72)</f>
        <v/>
      </c>
      <c r="Z104" s="477" t="str">
        <f>IF($X$104="","",$Z$72)</f>
        <v/>
      </c>
      <c r="AA104" s="477" t="str">
        <f>IF($AC$104="","",ROW($A$104)-ROW($A$72))</f>
        <v/>
      </c>
      <c r="AB104" s="478"/>
      <c r="AC104" s="34"/>
      <c r="AD104" s="356"/>
      <c r="AE104" s="479"/>
      <c r="AF104" s="475"/>
      <c r="AG104" s="480" t="str">
        <f t="shared" si="4"/>
        <v/>
      </c>
      <c r="AH104" s="481" t="str">
        <f t="shared" si="5"/>
        <v/>
      </c>
      <c r="AI104" s="477" t="str">
        <f>IF($AC$104="","",IFERROR(INDEX($AZ$74:$AZ$119,MATCH($AH$104,$AY$74:$AY$119,0)),"AUTRE"))</f>
        <v/>
      </c>
      <c r="AJ104" s="482" t="str">
        <f>IF($AC$104="","",IFERROR(INDEX($BA$74:$BA$119,MATCH($AH$104,$AY$74:$AY$119,0)),1))</f>
        <v/>
      </c>
      <c r="AK104" s="482" t="str">
        <f t="shared" si="6"/>
        <v/>
      </c>
      <c r="AL104" s="477" t="str">
        <f>IF($AC$104="","",IFERROR(INDEX($BB$74:$BB$119,MATCH($AH$104,$AY$74:$AY$119,0)),$AH$104))</f>
        <v/>
      </c>
      <c r="AM104" s="483" t="str">
        <f t="shared" si="7"/>
        <v/>
      </c>
      <c r="AN104" s="484" t="str">
        <f t="shared" si="15"/>
        <v/>
      </c>
      <c r="AO104" s="473" t="str">
        <f t="shared" si="8"/>
        <v/>
      </c>
      <c r="AP104" s="473" t="str">
        <f t="shared" si="9"/>
        <v/>
      </c>
      <c r="AQ104" s="473" t="str">
        <f t="shared" si="10"/>
        <v/>
      </c>
      <c r="AR104" s="473" t="str">
        <f t="shared" si="11"/>
        <v/>
      </c>
      <c r="AS104" s="473" t="str">
        <f t="shared" si="12"/>
        <v/>
      </c>
      <c r="AT104" s="473" t="str">
        <f t="shared" si="13"/>
        <v/>
      </c>
      <c r="AU104" s="473" t="str">
        <f t="shared" si="14"/>
        <v/>
      </c>
      <c r="AY104" s="32" t="s">
        <v>305</v>
      </c>
      <c r="AZ104" s="488" t="s">
        <v>38</v>
      </c>
      <c r="BA104" s="489">
        <v>1</v>
      </c>
      <c r="BB104" s="419" t="s">
        <v>306</v>
      </c>
      <c r="BC104" s="271"/>
      <c r="BD104" s="279">
        <v>1</v>
      </c>
      <c r="BG104" s="271"/>
      <c r="BH104" s="271"/>
      <c r="BI104" s="271"/>
      <c r="BJ104" s="271"/>
      <c r="BK104" s="271"/>
      <c r="BL104" s="271"/>
    </row>
    <row r="105" spans="18:64" ht="21" customHeight="1" x14ac:dyDescent="0.25">
      <c r="R105" s="34" t="s">
        <v>473</v>
      </c>
      <c r="S105" s="451"/>
      <c r="T105" s="32" t="s">
        <v>316</v>
      </c>
      <c r="V105" s="475">
        <v>1</v>
      </c>
      <c r="W105" s="475" t="str">
        <f>IF($AC$105="","",$W$72)</f>
        <v>N° 11</v>
      </c>
      <c r="X105" s="476" t="str">
        <f>IF($AC$105="","",$X$72)</f>
        <v>SALADE COLESLAW</v>
      </c>
      <c r="Y105" s="477">
        <f>IF($X$105="","",$Y$72)</f>
        <v>28</v>
      </c>
      <c r="Z105" s="477">
        <f>IF($X$105="","",$Z$72)</f>
        <v>100</v>
      </c>
      <c r="AA105" s="477">
        <f>IF($AC$105="","",ROW($A$105)-ROW($A$72))</f>
        <v>33</v>
      </c>
      <c r="AB105" s="478"/>
      <c r="AC105" s="34" t="s">
        <v>8173</v>
      </c>
      <c r="AD105" s="356"/>
      <c r="AE105" s="479">
        <v>2</v>
      </c>
      <c r="AF105" s="497" t="s">
        <v>462</v>
      </c>
      <c r="AG105" s="480">
        <f t="shared" si="4"/>
        <v>2</v>
      </c>
      <c r="AH105" s="481" t="str">
        <f t="shared" si="5"/>
        <v>BAC(S)</v>
      </c>
      <c r="AI105" s="477" t="str">
        <f>IF($AC$105="","",IFERROR(INDEX($AZ$74:$AZ$119,MATCH($AH$105,$AY$74:$AY$119,0)),"AUTRE"))</f>
        <v>AUTRE</v>
      </c>
      <c r="AJ105" s="482">
        <f>IF($AC$105="","",IFERROR(INDEX($BA$74:$BA$119,MATCH($AH$105,$AY$74:$AY$119,0)),1))</f>
        <v>1</v>
      </c>
      <c r="AK105" s="482">
        <f t="shared" si="6"/>
        <v>2</v>
      </c>
      <c r="AL105" s="477" t="str">
        <f>IF($AC$105="","",IFERROR(INDEX($BB$74:$BB$119,MATCH($AH$105,$AY$74:$AY$119,0)),$AH$105))</f>
        <v>bac(s)</v>
      </c>
      <c r="AM105" s="483" t="str">
        <f t="shared" si="7"/>
        <v>OK</v>
      </c>
      <c r="AN105" s="484">
        <f t="shared" si="15"/>
        <v>2</v>
      </c>
      <c r="AO105" s="473" t="str">
        <f t="shared" si="8"/>
        <v/>
      </c>
      <c r="AP105" s="473" t="str">
        <f t="shared" si="9"/>
        <v/>
      </c>
      <c r="AQ105" s="473" t="str">
        <f t="shared" si="10"/>
        <v/>
      </c>
      <c r="AR105" s="473" t="str">
        <f t="shared" si="11"/>
        <v/>
      </c>
      <c r="AS105" s="473" t="str">
        <f t="shared" si="12"/>
        <v/>
      </c>
      <c r="AT105" s="473" t="str">
        <f t="shared" si="13"/>
        <v/>
      </c>
      <c r="AU105" s="473" t="str">
        <f t="shared" si="14"/>
        <v/>
      </c>
      <c r="AY105" s="32" t="s">
        <v>8129</v>
      </c>
      <c r="AZ105" s="488" t="s">
        <v>38</v>
      </c>
      <c r="BA105" s="489">
        <v>1</v>
      </c>
      <c r="BB105" s="419" t="s">
        <v>8130</v>
      </c>
      <c r="BC105" s="271"/>
      <c r="BD105" s="279">
        <v>1</v>
      </c>
      <c r="BG105" s="271"/>
      <c r="BH105" s="271"/>
      <c r="BI105" s="271"/>
      <c r="BJ105" s="271"/>
      <c r="BK105" s="271"/>
      <c r="BL105" s="271"/>
    </row>
    <row r="106" spans="18:64" ht="21" customHeight="1" x14ac:dyDescent="0.25">
      <c r="R106" s="34" t="s">
        <v>497</v>
      </c>
      <c r="S106" s="451"/>
      <c r="T106" s="32" t="s">
        <v>313</v>
      </c>
      <c r="V106" s="475">
        <v>1</v>
      </c>
      <c r="W106" s="475" t="str">
        <f>IF($AC$106="","",$W$72)</f>
        <v>N° 11</v>
      </c>
      <c r="X106" s="476" t="str">
        <f>IF($AC$106="","",$X$72)</f>
        <v>SALADE COLESLAW</v>
      </c>
      <c r="Y106" s="477">
        <f>IF($X$106="","",$Y$72)</f>
        <v>28</v>
      </c>
      <c r="Z106" s="477">
        <f>IF($X$106="","",$Z$72)</f>
        <v>100</v>
      </c>
      <c r="AA106" s="477">
        <f>IF($AC$106="","",ROW($A$106)-ROW($A$72))</f>
        <v>34</v>
      </c>
      <c r="AB106" s="478"/>
      <c r="AC106" s="34" t="s">
        <v>8174</v>
      </c>
      <c r="AD106" s="356"/>
      <c r="AE106" s="479">
        <v>1</v>
      </c>
      <c r="AF106" s="497" t="s">
        <v>465</v>
      </c>
      <c r="AG106" s="491">
        <f t="shared" si="4"/>
        <v>1</v>
      </c>
      <c r="AH106" s="481" t="str">
        <f t="shared" si="5"/>
        <v>GRILLE(S)</v>
      </c>
      <c r="AI106" s="477" t="str">
        <f>IF($AC$106="","",IFERROR(INDEX($AZ$74:$AZ$119,MATCH($AH$106,$AY$74:$AY$119,0)),"AUTRE"))</f>
        <v>AUTRE</v>
      </c>
      <c r="AJ106" s="482">
        <f>IF($AC$106="","",IFERROR(INDEX($BA$74:$BA$119,MATCH($AH$106,$AY$74:$AY$119,0)),1))</f>
        <v>1</v>
      </c>
      <c r="AK106" s="482">
        <f t="shared" si="6"/>
        <v>1</v>
      </c>
      <c r="AL106" s="477" t="str">
        <f>IF($AC$106="","",IFERROR(INDEX($BB$74:$BB$119,MATCH($AH$106,$AY$74:$AY$119,0)),$AH$106))</f>
        <v>grille(s)</v>
      </c>
      <c r="AM106" s="483" t="str">
        <f t="shared" si="7"/>
        <v>OK</v>
      </c>
      <c r="AN106" s="484">
        <f t="shared" si="15"/>
        <v>1</v>
      </c>
      <c r="AO106" s="473" t="str">
        <f t="shared" si="8"/>
        <v/>
      </c>
      <c r="AP106" s="473" t="str">
        <f t="shared" si="9"/>
        <v/>
      </c>
      <c r="AQ106" s="473" t="str">
        <f t="shared" si="10"/>
        <v/>
      </c>
      <c r="AR106" s="473" t="str">
        <f t="shared" si="11"/>
        <v/>
      </c>
      <c r="AS106" s="473" t="str">
        <f t="shared" si="12"/>
        <v/>
      </c>
      <c r="AT106" s="473" t="str">
        <f t="shared" si="13"/>
        <v/>
      </c>
      <c r="AU106" s="473" t="str">
        <f t="shared" si="14"/>
        <v/>
      </c>
      <c r="AY106" s="32" t="s">
        <v>8131</v>
      </c>
      <c r="AZ106" s="488" t="s">
        <v>38</v>
      </c>
      <c r="BA106" s="489">
        <v>1</v>
      </c>
      <c r="BB106" s="419" t="s">
        <v>8132</v>
      </c>
      <c r="BC106" s="271"/>
      <c r="BD106" s="279">
        <v>1</v>
      </c>
      <c r="BE106" s="271"/>
      <c r="BF106" s="271"/>
      <c r="BG106" s="271"/>
      <c r="BH106" s="271"/>
      <c r="BI106" s="271"/>
      <c r="BJ106" s="271"/>
      <c r="BK106" s="271"/>
      <c r="BL106" s="271"/>
    </row>
    <row r="107" spans="18:64" ht="30" customHeight="1" x14ac:dyDescent="0.25">
      <c r="R107" s="34" t="s">
        <v>470</v>
      </c>
      <c r="S107" s="451"/>
      <c r="T107" s="32" t="s">
        <v>307</v>
      </c>
      <c r="V107" s="453" t="s">
        <v>324</v>
      </c>
      <c r="W107" s="453" t="s">
        <v>7912</v>
      </c>
      <c r="X107" s="453" t="s">
        <v>326</v>
      </c>
      <c r="Y107" s="453" t="s">
        <v>327</v>
      </c>
      <c r="Z107" s="454" t="s">
        <v>7930</v>
      </c>
      <c r="AA107" s="453" t="s">
        <v>7937</v>
      </c>
      <c r="AB107" s="455" t="s">
        <v>39</v>
      </c>
      <c r="AC107" s="455" t="s">
        <v>338</v>
      </c>
      <c r="AD107" s="455" t="s">
        <v>8114</v>
      </c>
      <c r="AE107" s="455" t="s">
        <v>8114</v>
      </c>
      <c r="AF107" s="455" t="s">
        <v>339</v>
      </c>
      <c r="AG107" s="453" t="s">
        <v>8018</v>
      </c>
      <c r="AH107" s="453" t="s">
        <v>8023</v>
      </c>
      <c r="AI107" s="453" t="s">
        <v>330</v>
      </c>
      <c r="AJ107" s="453" t="s">
        <v>8031</v>
      </c>
      <c r="AK107" s="453" t="s">
        <v>8037</v>
      </c>
      <c r="AL107" s="453" t="s">
        <v>8041</v>
      </c>
      <c r="AM107" s="453" t="s">
        <v>343</v>
      </c>
      <c r="AN107" s="457" t="s">
        <v>8115</v>
      </c>
      <c r="AO107" s="457" t="s">
        <v>8116</v>
      </c>
      <c r="AP107" s="656" t="s">
        <v>8117</v>
      </c>
      <c r="AQ107" s="656"/>
      <c r="AR107" s="656"/>
      <c r="AS107" s="656"/>
      <c r="AT107" s="656"/>
      <c r="AU107" s="657"/>
      <c r="AY107" s="32" t="s">
        <v>309</v>
      </c>
      <c r="AZ107" s="488" t="s">
        <v>38</v>
      </c>
      <c r="BA107" s="489">
        <v>1</v>
      </c>
      <c r="BB107" s="419" t="s">
        <v>310</v>
      </c>
      <c r="BC107" s="271"/>
      <c r="BD107" s="279">
        <v>1</v>
      </c>
      <c r="BE107" s="271"/>
      <c r="BF107" s="271"/>
      <c r="BG107" s="271"/>
      <c r="BH107" s="271"/>
      <c r="BI107" s="271"/>
      <c r="BJ107" s="271"/>
      <c r="BK107" s="271"/>
      <c r="BL107" s="271"/>
    </row>
    <row r="108" spans="18:64" ht="30" customHeight="1" x14ac:dyDescent="0.25">
      <c r="R108" s="34" t="s">
        <v>477</v>
      </c>
      <c r="S108" s="451"/>
      <c r="T108" s="32" t="s">
        <v>322</v>
      </c>
      <c r="V108" s="459">
        <v>2</v>
      </c>
      <c r="W108" s="12" t="s">
        <v>125</v>
      </c>
      <c r="X108" s="492" t="s">
        <v>350</v>
      </c>
      <c r="Y108" s="15">
        <v>29</v>
      </c>
      <c r="Z108" s="463">
        <v>100</v>
      </c>
      <c r="AA108" s="464">
        <v>0</v>
      </c>
      <c r="AB108" s="493"/>
      <c r="AC108" s="494" t="s">
        <v>102</v>
      </c>
      <c r="AD108" s="390"/>
      <c r="AE108" s="495">
        <v>10</v>
      </c>
      <c r="AF108" s="496" t="s">
        <v>7</v>
      </c>
      <c r="AG108" s="467">
        <f t="shared" ref="AG108:AG142" si="16">IF($AC108="","",IF(LEN($AN108&amp;"")=0,"",$AN108))</f>
        <v>10</v>
      </c>
      <c r="AH108" s="468" t="str">
        <f t="shared" ref="AH108:AH142" si="17">IF($AC108="","",IF($AF108&lt;&gt;"",UPPER(TRIM(SUBSTITUTE(SUBSTITUTE($AF108&amp;"",CHAR(160)," ")," "," "))),$AP108))</f>
        <v>KG</v>
      </c>
      <c r="AI108" s="469" t="str">
        <f>IF($AC$108="","",IFERROR(INDEX($AZ$74:$AZ$119,MATCH($AH$108,$AY$74:$AY$119,0)),"AUTRE"))</f>
        <v>MASSE</v>
      </c>
      <c r="AJ108" s="470">
        <f>IF($AC$108="","",IFERROR(INDEX($BA$74:$BA$119,MATCH($AH$108,$AY$74:$AY$119,0)),1))</f>
        <v>1</v>
      </c>
      <c r="AK108" s="470">
        <f t="shared" ref="AK108:AK142" si="18">IF(OR(AG108="",AJ108=""),"",AG108*AJ108)</f>
        <v>10</v>
      </c>
      <c r="AL108" s="469" t="str">
        <f>IF($AC$108="","",IFERROR(INDEX($BB$74:$BB$119,MATCH($AH$108,$AY$74:$AY$119,0)),$AH$108))</f>
        <v>kg</v>
      </c>
      <c r="AM108" s="471" t="str">
        <f t="shared" ref="AM108:AM142" si="19">IF($AC108="","",IF($AH108="QT. SUFFISANTE","OK",IF($AG108="","TEXTE",IF(NOT(ISNUMBER($AG108)),"QUANTITÉ À CONTRÔLER",IF(COUNTIF($AY$74:$AY$119,$AH108)=0,"UNITÉ À CONTRÔLER","OK")))))</f>
        <v>OK</v>
      </c>
      <c r="AN108" s="474">
        <f t="shared" ref="AN108:AN142" si="20">IF($AE108&lt;&gt;"",$AE108,IF($AD108="","",IF(ISNUMBER($AD108),$AD108,IF($AO108="QT",0,IF($AO108="","",IFERROR(IF(ISNUMBER(SEARCH("/",$AO108)),VALUE(TRIM(LEFT($AO108,SEARCH("/",$AO108)-1)))/VALUE(TRIM(MID($AO108,SEARCH("/",$AO108)+1,99))),VALUE(SUBSTITUTE($AO108,".",","))),""))))))</f>
        <v>10</v>
      </c>
      <c r="AO108" s="473" t="str">
        <f t="shared" ref="AO108:AO142" si="21">IF($AD108="","",IF(ISNUMBER($AD108),$AD108,IF(OR(LEFT($AQ108,3)="QT.",LEFT($AQ108,4)="QUAN"),"QT",IF($AR108=999,$AQ108,TRIM(LEFT($AQ108,$AR108-1))))))</f>
        <v/>
      </c>
      <c r="AP108" s="473" t="str">
        <f t="shared" ref="AP108:AP142" si="22">IF($AD108="","",IF(ISNUMBER($AD108),"",IF(OR(LEFT($AQ108,3)="QT.",LEFT($AQ108,4)="QUAN"),"QT. SUFFISANTE",IF($AO108="","",TRIM(MID($AQ108,LEN($AO108&amp;"")+1,999))))))</f>
        <v/>
      </c>
      <c r="AQ108" s="473" t="str">
        <f t="shared" ref="AQ108:AQ142" si="23">IF($AD108="","",UPPER(TRIM(SUBSTITUTE(SUBSTITUTE($AD108&amp;"",CHAR(160)," ")," "," "))))</f>
        <v/>
      </c>
      <c r="AR108" s="473" t="str">
        <f t="shared" ref="AR108:AR142" si="24">IF($AQ108="","",MIN($AS108,$AT108,$AU108))</f>
        <v/>
      </c>
      <c r="AS108" s="473" t="str">
        <f t="shared" ref="AS108:AS142" si="25">IF($AQ108="","",MIN(IFERROR(SEARCH("A",$AQ108),999),IFERROR(SEARCH("B",$AQ108),999),IFERROR(SEARCH("C",$AQ108),999),IFERROR(SEARCH("D",$AQ108),999),IFERROR(SEARCH("E",$AQ108),999),IFERROR(SEARCH("F",$AQ108),999),IFERROR(SEARCH("G",$AQ108),999),IFERROR(SEARCH("H",$AQ108),999),IFERROR(SEARCH("I",$AQ108),999)))</f>
        <v/>
      </c>
      <c r="AT108" s="473" t="str">
        <f t="shared" ref="AT108:AT142" si="26">IF($AQ108="","",MIN(IFERROR(SEARCH("J",$AQ108),999),IFERROR(SEARCH("K",$AQ108),999),IFERROR(SEARCH("L",$AQ108),999),IFERROR(SEARCH("M",$AQ108),999),IFERROR(SEARCH("N",$AQ108),999),IFERROR(SEARCH("O",$AQ108),999),IFERROR(SEARCH("P",$AQ108),999),IFERROR(SEARCH("Q",$AQ108),999),IFERROR(SEARCH("R",$AQ108),999)))</f>
        <v/>
      </c>
      <c r="AU108" s="473" t="str">
        <f t="shared" ref="AU108:AU142" si="27">IF($AQ108="","",MIN(IFERROR(SEARCH("S",$AQ108),999),IFERROR(SEARCH("T",$AQ108),999),IFERROR(SEARCH("U",$AQ108),999),IFERROR(SEARCH("V",$AQ108),999),IFERROR(SEARCH("W",$AQ108),999),IFERROR(SEARCH("X",$AQ108),999),IFERROR(SEARCH("Y",$AQ108),999),IFERROR(SEARCH("Z",$AQ108),999)))</f>
        <v/>
      </c>
      <c r="AY108" s="32" t="s">
        <v>311</v>
      </c>
      <c r="AZ108" s="488" t="s">
        <v>38</v>
      </c>
      <c r="BA108" s="489">
        <v>1</v>
      </c>
      <c r="BB108" s="419" t="s">
        <v>312</v>
      </c>
      <c r="BC108" s="271"/>
      <c r="BD108" s="279">
        <v>1</v>
      </c>
      <c r="BE108" s="271"/>
      <c r="BF108" s="271"/>
      <c r="BG108" s="271"/>
      <c r="BH108" s="271"/>
      <c r="BI108" s="271"/>
      <c r="BJ108" s="271"/>
      <c r="BK108" s="271"/>
      <c r="BL108" s="271"/>
    </row>
    <row r="109" spans="18:64" ht="21" customHeight="1" x14ac:dyDescent="0.25">
      <c r="S109" s="451"/>
      <c r="T109" s="32" t="s">
        <v>305</v>
      </c>
      <c r="V109" s="475">
        <f>$V$108</f>
        <v>2</v>
      </c>
      <c r="W109" s="475" t="str">
        <f>IF($AC$109="","",$W$108)</f>
        <v>N° 12</v>
      </c>
      <c r="X109" s="476" t="str">
        <f>IF($AC$109="","",$X$108)</f>
        <v>SALADE WITLOOF CHATAIGNES HADDOCK *</v>
      </c>
      <c r="Y109" s="477">
        <f>IF($X$109="","",$Y$108)</f>
        <v>29</v>
      </c>
      <c r="Z109" s="477">
        <f>IF($X$109="","",$Z$108)</f>
        <v>100</v>
      </c>
      <c r="AA109" s="477">
        <f>IF($AC$109="","",ROW($A$109)-ROW($A$108))</f>
        <v>1</v>
      </c>
      <c r="AB109" s="478"/>
      <c r="AC109" s="34" t="s">
        <v>126</v>
      </c>
      <c r="AD109" s="356"/>
      <c r="AE109" s="479">
        <v>5</v>
      </c>
      <c r="AF109" s="466" t="s">
        <v>7</v>
      </c>
      <c r="AG109" s="480">
        <f t="shared" si="16"/>
        <v>5</v>
      </c>
      <c r="AH109" s="481" t="str">
        <f t="shared" si="17"/>
        <v>KG</v>
      </c>
      <c r="AI109" s="477" t="str">
        <f>IF($AC$109="","",IFERROR(INDEX($AZ$74:$AZ$119,MATCH($AH$109,$AY$74:$AY$119,0)),"AUTRE"))</f>
        <v>MASSE</v>
      </c>
      <c r="AJ109" s="482">
        <f>IF($AC$109="","",IFERROR(INDEX($BA$74:$BA$119,MATCH($AH$109,$AY$74:$AY$119,0)),1))</f>
        <v>1</v>
      </c>
      <c r="AK109" s="482">
        <f t="shared" si="18"/>
        <v>5</v>
      </c>
      <c r="AL109" s="477" t="str">
        <f>IF($AC$109="","",IFERROR(INDEX($BB$74:$BB$119,MATCH($AH$109,$AY$74:$AY$119,0)),$AH$109))</f>
        <v>kg</v>
      </c>
      <c r="AM109" s="483" t="str">
        <f t="shared" si="19"/>
        <v>OK</v>
      </c>
      <c r="AN109" s="484">
        <f t="shared" si="20"/>
        <v>5</v>
      </c>
      <c r="AO109" s="473" t="str">
        <f t="shared" si="21"/>
        <v/>
      </c>
      <c r="AP109" s="473" t="str">
        <f t="shared" si="22"/>
        <v/>
      </c>
      <c r="AQ109" s="473" t="str">
        <f t="shared" si="23"/>
        <v/>
      </c>
      <c r="AR109" s="473" t="str">
        <f t="shared" si="24"/>
        <v/>
      </c>
      <c r="AS109" s="473" t="str">
        <f t="shared" si="25"/>
        <v/>
      </c>
      <c r="AT109" s="473" t="str">
        <f t="shared" si="26"/>
        <v/>
      </c>
      <c r="AU109" s="473" t="str">
        <f t="shared" si="27"/>
        <v/>
      </c>
      <c r="AY109" s="32" t="s">
        <v>8135</v>
      </c>
      <c r="AZ109" s="488" t="s">
        <v>38</v>
      </c>
      <c r="BA109" s="489">
        <v>1</v>
      </c>
      <c r="BB109" s="419" t="s">
        <v>8136</v>
      </c>
      <c r="BC109" s="271"/>
      <c r="BD109" s="279">
        <v>1</v>
      </c>
      <c r="BE109" s="271"/>
      <c r="BF109" s="271"/>
      <c r="BG109" s="271"/>
      <c r="BH109" s="271"/>
      <c r="BI109" s="271"/>
      <c r="BJ109" s="271"/>
      <c r="BK109" s="271"/>
      <c r="BL109" s="271"/>
    </row>
    <row r="110" spans="18:64" ht="21" customHeight="1" x14ac:dyDescent="0.25">
      <c r="R110" s="25" t="s">
        <v>6134</v>
      </c>
      <c r="S110" s="451"/>
      <c r="T110" s="32" t="s">
        <v>309</v>
      </c>
      <c r="V110" s="475">
        <v>2</v>
      </c>
      <c r="W110" s="475" t="str">
        <f>IF($AC$110="","",$W$108)</f>
        <v>N° 12</v>
      </c>
      <c r="X110" s="476" t="str">
        <f>IF($AC$110="","",$X$108)</f>
        <v>SALADE WITLOOF CHATAIGNES HADDOCK *</v>
      </c>
      <c r="Y110" s="477">
        <f>IF($X$110="","",$Y$108)</f>
        <v>29</v>
      </c>
      <c r="Z110" s="477">
        <f>IF($X$110="","",$Z$108)</f>
        <v>100</v>
      </c>
      <c r="AA110" s="477">
        <f>IF($AC$110="","",ROW($A$110)-ROW($A$108))</f>
        <v>2</v>
      </c>
      <c r="AB110" s="478"/>
      <c r="AC110" s="34" t="s">
        <v>103</v>
      </c>
      <c r="AD110" s="356"/>
      <c r="AE110" s="479">
        <v>3</v>
      </c>
      <c r="AF110" s="466" t="s">
        <v>7</v>
      </c>
      <c r="AG110" s="480">
        <f t="shared" si="16"/>
        <v>3</v>
      </c>
      <c r="AH110" s="481" t="str">
        <f t="shared" si="17"/>
        <v>KG</v>
      </c>
      <c r="AI110" s="477" t="str">
        <f>IF($AC$110="","",IFERROR(INDEX($AZ$74:$AZ$119,MATCH($AH$110,$AY$74:$AY$119,0)),"AUTRE"))</f>
        <v>MASSE</v>
      </c>
      <c r="AJ110" s="482">
        <f>IF($AC$110="","",IFERROR(INDEX($BA$74:$BA$119,MATCH($AH$110,$AY$74:$AY$119,0)),1))</f>
        <v>1</v>
      </c>
      <c r="AK110" s="482">
        <f t="shared" si="18"/>
        <v>3</v>
      </c>
      <c r="AL110" s="477" t="str">
        <f>IF($AC$110="","",IFERROR(INDEX($BB$74:$BB$119,MATCH($AH$110,$AY$74:$AY$119,0)),$AH$110))</f>
        <v>kg</v>
      </c>
      <c r="AM110" s="483" t="str">
        <f t="shared" si="19"/>
        <v>OK</v>
      </c>
      <c r="AN110" s="484">
        <f t="shared" si="20"/>
        <v>3</v>
      </c>
      <c r="AO110" s="473" t="str">
        <f t="shared" si="21"/>
        <v/>
      </c>
      <c r="AP110" s="473" t="str">
        <f t="shared" si="22"/>
        <v/>
      </c>
      <c r="AQ110" s="473" t="str">
        <f t="shared" si="23"/>
        <v/>
      </c>
      <c r="AR110" s="473" t="str">
        <f t="shared" si="24"/>
        <v/>
      </c>
      <c r="AS110" s="473" t="str">
        <f t="shared" si="25"/>
        <v/>
      </c>
      <c r="AT110" s="473" t="str">
        <f t="shared" si="26"/>
        <v/>
      </c>
      <c r="AU110" s="473" t="str">
        <f t="shared" si="27"/>
        <v/>
      </c>
      <c r="AY110" s="32" t="s">
        <v>8137</v>
      </c>
      <c r="AZ110" s="488" t="s">
        <v>38</v>
      </c>
      <c r="BA110" s="489">
        <v>1</v>
      </c>
      <c r="BB110" s="419" t="s">
        <v>8138</v>
      </c>
      <c r="BC110" s="271"/>
      <c r="BD110" s="279">
        <v>1</v>
      </c>
      <c r="BE110" s="271"/>
      <c r="BF110" s="271"/>
      <c r="BG110" s="271"/>
      <c r="BH110" s="271"/>
      <c r="BI110" s="271"/>
      <c r="BJ110" s="271"/>
      <c r="BK110" s="271"/>
      <c r="BL110" s="271"/>
    </row>
    <row r="111" spans="18:64" ht="21" customHeight="1" x14ac:dyDescent="0.25">
      <c r="R111" s="34" t="s">
        <v>481</v>
      </c>
      <c r="S111" s="451"/>
      <c r="T111" s="32" t="s">
        <v>311</v>
      </c>
      <c r="V111" s="475">
        <v>2</v>
      </c>
      <c r="W111" s="475" t="str">
        <f>IF($AC$111="","",$W$108)</f>
        <v>N° 12</v>
      </c>
      <c r="X111" s="476" t="str">
        <f>IF($AC$111="","",$X$108)</f>
        <v>SALADE WITLOOF CHATAIGNES HADDOCK *</v>
      </c>
      <c r="Y111" s="477">
        <f>IF($X$111="","",$Y$108)</f>
        <v>29</v>
      </c>
      <c r="Z111" s="477">
        <f>IF($X$111="","",$Z$108)</f>
        <v>100</v>
      </c>
      <c r="AA111" s="477">
        <f>IF($AC$111="","",ROW($A$111)-ROW($A$108))</f>
        <v>3</v>
      </c>
      <c r="AB111" s="478"/>
      <c r="AC111" s="34" t="s">
        <v>351</v>
      </c>
      <c r="AD111" s="356"/>
      <c r="AE111" s="479">
        <v>3</v>
      </c>
      <c r="AF111" s="466" t="s">
        <v>7</v>
      </c>
      <c r="AG111" s="480">
        <f t="shared" si="16"/>
        <v>3</v>
      </c>
      <c r="AH111" s="481" t="str">
        <f t="shared" si="17"/>
        <v>KG</v>
      </c>
      <c r="AI111" s="477" t="str">
        <f>IF($AC$111="","",IFERROR(INDEX($AZ$74:$AZ$119,MATCH($AH$111,$AY$74:$AY$119,0)),"AUTRE"))</f>
        <v>MASSE</v>
      </c>
      <c r="AJ111" s="482">
        <f>IF($AC$111="","",IFERROR(INDEX($BA$74:$BA$119,MATCH($AH$111,$AY$74:$AY$119,0)),1))</f>
        <v>1</v>
      </c>
      <c r="AK111" s="482">
        <f t="shared" si="18"/>
        <v>3</v>
      </c>
      <c r="AL111" s="477" t="str">
        <f>IF($AC$111="","",IFERROR(INDEX($BB$74:$BB$119,MATCH($AH$111,$AY$74:$AY$119,0)),$AH$111))</f>
        <v>kg</v>
      </c>
      <c r="AM111" s="483" t="str">
        <f t="shared" si="19"/>
        <v>OK</v>
      </c>
      <c r="AN111" s="484">
        <f t="shared" si="20"/>
        <v>3</v>
      </c>
      <c r="AO111" s="473" t="str">
        <f t="shared" si="21"/>
        <v/>
      </c>
      <c r="AP111" s="473" t="str">
        <f t="shared" si="22"/>
        <v/>
      </c>
      <c r="AQ111" s="473" t="str">
        <f t="shared" si="23"/>
        <v/>
      </c>
      <c r="AR111" s="473" t="str">
        <f t="shared" si="24"/>
        <v/>
      </c>
      <c r="AS111" s="473" t="str">
        <f t="shared" si="25"/>
        <v/>
      </c>
      <c r="AT111" s="473" t="str">
        <f t="shared" si="26"/>
        <v/>
      </c>
      <c r="AU111" s="473" t="str">
        <f t="shared" si="27"/>
        <v/>
      </c>
      <c r="AY111" s="32" t="s">
        <v>8139</v>
      </c>
      <c r="AZ111" s="488" t="s">
        <v>38</v>
      </c>
      <c r="BA111" s="489">
        <v>1</v>
      </c>
      <c r="BB111" s="419" t="s">
        <v>8140</v>
      </c>
      <c r="BC111" s="271"/>
      <c r="BD111" s="279">
        <v>1</v>
      </c>
      <c r="BE111" s="271"/>
      <c r="BF111" s="271"/>
      <c r="BG111" s="271"/>
      <c r="BH111" s="271"/>
      <c r="BI111" s="271"/>
      <c r="BJ111" s="271"/>
      <c r="BK111" s="271"/>
      <c r="BL111" s="271"/>
    </row>
    <row r="112" spans="18:64" ht="21" customHeight="1" x14ac:dyDescent="0.25">
      <c r="R112" s="34" t="s">
        <v>475</v>
      </c>
      <c r="S112" s="451"/>
      <c r="T112" s="32" t="s">
        <v>8135</v>
      </c>
      <c r="V112" s="475">
        <v>2</v>
      </c>
      <c r="W112" s="475" t="str">
        <f>IF($AC$112="","",$W$108)</f>
        <v/>
      </c>
      <c r="X112" s="476" t="str">
        <f>IF($AC$112="","",$X$108)</f>
        <v/>
      </c>
      <c r="Y112" s="477" t="str">
        <f>IF($X$112="","",$Y$108)</f>
        <v/>
      </c>
      <c r="Z112" s="477" t="str">
        <f>IF($X$112="","",$Z$108)</f>
        <v/>
      </c>
      <c r="AA112" s="477" t="str">
        <f>IF($AC$112="","",ROW($A$112)-ROW($A$108))</f>
        <v/>
      </c>
      <c r="AB112" s="478"/>
      <c r="AC112" s="34" t="s">
        <v>345</v>
      </c>
      <c r="AD112" s="356"/>
      <c r="AE112" s="479"/>
      <c r="AF112" s="475"/>
      <c r="AG112" s="480" t="str">
        <f t="shared" si="16"/>
        <v/>
      </c>
      <c r="AH112" s="481" t="str">
        <f t="shared" si="17"/>
        <v/>
      </c>
      <c r="AI112" s="477" t="str">
        <f>IF($AC$112="","",IFERROR(INDEX($AZ$74:$AZ$119,MATCH($AH$112,$AY$74:$AY$119,0)),"AUTRE"))</f>
        <v/>
      </c>
      <c r="AJ112" s="482" t="str">
        <f>IF($AC$112="","",IFERROR(INDEX($BA$74:$BA$119,MATCH($AH$112,$AY$74:$AY$119,0)),1))</f>
        <v/>
      </c>
      <c r="AK112" s="482" t="str">
        <f t="shared" si="18"/>
        <v/>
      </c>
      <c r="AL112" s="477" t="str">
        <f>IF($AC$112="","",IFERROR(INDEX($BB$74:$BB$119,MATCH($AH$112,$AY$74:$AY$119,0)),$AH$112))</f>
        <v/>
      </c>
      <c r="AM112" s="483" t="str">
        <f t="shared" si="19"/>
        <v/>
      </c>
      <c r="AN112" s="484" t="str">
        <f t="shared" si="20"/>
        <v/>
      </c>
      <c r="AO112" s="473" t="str">
        <f t="shared" si="21"/>
        <v/>
      </c>
      <c r="AP112" s="473" t="str">
        <f t="shared" si="22"/>
        <v/>
      </c>
      <c r="AQ112" s="473" t="str">
        <f t="shared" si="23"/>
        <v/>
      </c>
      <c r="AR112" s="473" t="str">
        <f t="shared" si="24"/>
        <v/>
      </c>
      <c r="AS112" s="473" t="str">
        <f t="shared" si="25"/>
        <v/>
      </c>
      <c r="AT112" s="473" t="str">
        <f t="shared" si="26"/>
        <v/>
      </c>
      <c r="AU112" s="473" t="str">
        <f t="shared" si="27"/>
        <v/>
      </c>
      <c r="AY112" s="32" t="s">
        <v>8141</v>
      </c>
      <c r="AZ112" s="488" t="s">
        <v>38</v>
      </c>
      <c r="BA112" s="489">
        <v>1</v>
      </c>
      <c r="BB112" s="419" t="s">
        <v>8142</v>
      </c>
      <c r="BC112" s="271"/>
      <c r="BD112" s="279">
        <v>1</v>
      </c>
      <c r="BE112" s="271"/>
      <c r="BF112" s="271"/>
      <c r="BG112" s="271"/>
      <c r="BH112" s="271"/>
      <c r="BI112" s="271"/>
      <c r="BJ112" s="271"/>
      <c r="BK112" s="271"/>
      <c r="BL112" s="271"/>
    </row>
    <row r="113" spans="18:64" ht="21" customHeight="1" x14ac:dyDescent="0.25">
      <c r="R113" s="34" t="s">
        <v>457</v>
      </c>
      <c r="S113" s="451"/>
      <c r="T113" s="497" t="s">
        <v>462</v>
      </c>
      <c r="V113" s="475">
        <v>2</v>
      </c>
      <c r="W113" s="475" t="str">
        <f>IF($AC$113="","",$W$108)</f>
        <v>N° 12</v>
      </c>
      <c r="X113" s="476" t="str">
        <f>IF($AC$113="","",$X$108)</f>
        <v>SALADE WITLOOF CHATAIGNES HADDOCK *</v>
      </c>
      <c r="Y113" s="477">
        <f>IF($X$113="","",$Y$108)</f>
        <v>29</v>
      </c>
      <c r="Z113" s="477">
        <f>IF($X$113="","",$Z$108)</f>
        <v>100</v>
      </c>
      <c r="AA113" s="477">
        <f>IF($AC$113="","",ROW($A$113)-ROW($A$108))</f>
        <v>5</v>
      </c>
      <c r="AB113" s="478"/>
      <c r="AC113" s="34" t="s">
        <v>127</v>
      </c>
      <c r="AD113" s="356"/>
      <c r="AE113" s="479">
        <v>0.5</v>
      </c>
      <c r="AF113" s="29" t="s">
        <v>9</v>
      </c>
      <c r="AG113" s="480">
        <f t="shared" si="16"/>
        <v>0.5</v>
      </c>
      <c r="AH113" s="481" t="str">
        <f t="shared" si="17"/>
        <v>L</v>
      </c>
      <c r="AI113" s="477" t="str">
        <f>IF($AC$113="","",IFERROR(INDEX($AZ$74:$AZ$119,MATCH($AH$113,$AY$74:$AY$119,0)),"AUTRE"))</f>
        <v>VOLUME</v>
      </c>
      <c r="AJ113" s="482">
        <f>IF($AC$113="","",IFERROR(INDEX($BA$74:$BA$119,MATCH($AH$113,$AY$74:$AY$119,0)),1))</f>
        <v>1</v>
      </c>
      <c r="AK113" s="482">
        <f t="shared" si="18"/>
        <v>0.5</v>
      </c>
      <c r="AL113" s="477" t="str">
        <f>IF($AC$113="","",IFERROR(INDEX($BB$74:$BB$119,MATCH($AH$113,$AY$74:$AY$119,0)),$AH$113))</f>
        <v>L</v>
      </c>
      <c r="AM113" s="483" t="str">
        <f t="shared" si="19"/>
        <v>OK</v>
      </c>
      <c r="AN113" s="484">
        <f t="shared" si="20"/>
        <v>0.5</v>
      </c>
      <c r="AO113" s="473" t="str">
        <f t="shared" si="21"/>
        <v/>
      </c>
      <c r="AP113" s="473" t="str">
        <f t="shared" si="22"/>
        <v/>
      </c>
      <c r="AQ113" s="473" t="str">
        <f t="shared" si="23"/>
        <v/>
      </c>
      <c r="AR113" s="473" t="str">
        <f t="shared" si="24"/>
        <v/>
      </c>
      <c r="AS113" s="473" t="str">
        <f t="shared" si="25"/>
        <v/>
      </c>
      <c r="AT113" s="473" t="str">
        <f t="shared" si="26"/>
        <v/>
      </c>
      <c r="AU113" s="473" t="str">
        <f t="shared" si="27"/>
        <v/>
      </c>
      <c r="AY113" s="32" t="s">
        <v>8143</v>
      </c>
      <c r="AZ113" s="488" t="s">
        <v>38</v>
      </c>
      <c r="BA113" s="489">
        <v>1</v>
      </c>
      <c r="BB113" s="419" t="s">
        <v>8144</v>
      </c>
      <c r="BC113" s="271"/>
      <c r="BD113" s="279">
        <v>1</v>
      </c>
      <c r="BE113" s="271"/>
      <c r="BF113" s="271"/>
      <c r="BG113" s="271"/>
      <c r="BH113" s="271"/>
      <c r="BI113" s="271"/>
      <c r="BJ113" s="271"/>
      <c r="BK113" s="271"/>
      <c r="BL113" s="271"/>
    </row>
    <row r="114" spans="18:64" ht="21" customHeight="1" x14ac:dyDescent="0.25">
      <c r="R114" s="34" t="s">
        <v>482</v>
      </c>
      <c r="S114" s="451"/>
      <c r="T114" s="497" t="s">
        <v>463</v>
      </c>
      <c r="V114" s="475">
        <v>2</v>
      </c>
      <c r="W114" s="475" t="str">
        <f>IF($AC$114="","",$W$108)</f>
        <v>N° 12</v>
      </c>
      <c r="X114" s="476" t="str">
        <f>IF($AC$114="","",$X$108)</f>
        <v>SALADE WITLOOF CHATAIGNES HADDOCK *</v>
      </c>
      <c r="Y114" s="477">
        <f>IF($X$114="","",$Y$108)</f>
        <v>29</v>
      </c>
      <c r="Z114" s="477">
        <f>IF($X$114="","",$Z$108)</f>
        <v>100</v>
      </c>
      <c r="AA114" s="477">
        <f>IF($AC$114="","",ROW($A$114)-ROW($A$108))</f>
        <v>6</v>
      </c>
      <c r="AB114" s="478"/>
      <c r="AC114" s="34" t="s">
        <v>353</v>
      </c>
      <c r="AD114" s="356"/>
      <c r="AE114" s="479">
        <v>1</v>
      </c>
      <c r="AF114" s="29" t="s">
        <v>9</v>
      </c>
      <c r="AG114" s="480">
        <f t="shared" si="16"/>
        <v>1</v>
      </c>
      <c r="AH114" s="481" t="str">
        <f t="shared" si="17"/>
        <v>L</v>
      </c>
      <c r="AI114" s="477" t="str">
        <f>IF($AC$114="","",IFERROR(INDEX($AZ$74:$AZ$119,MATCH($AH$114,$AY$74:$AY$119,0)),"AUTRE"))</f>
        <v>VOLUME</v>
      </c>
      <c r="AJ114" s="482">
        <f>IF($AC$114="","",IFERROR(INDEX($BA$74:$BA$119,MATCH($AH$114,$AY$74:$AY$119,0)),1))</f>
        <v>1</v>
      </c>
      <c r="AK114" s="482">
        <f t="shared" si="18"/>
        <v>1</v>
      </c>
      <c r="AL114" s="477" t="str">
        <f>IF($AC$114="","",IFERROR(INDEX($BB$74:$BB$119,MATCH($AH$114,$AY$74:$AY$119,0)),$AH$114))</f>
        <v>L</v>
      </c>
      <c r="AM114" s="483" t="str">
        <f t="shared" si="19"/>
        <v>OK</v>
      </c>
      <c r="AN114" s="484">
        <f t="shared" si="20"/>
        <v>1</v>
      </c>
      <c r="AO114" s="473" t="str">
        <f t="shared" si="21"/>
        <v/>
      </c>
      <c r="AP114" s="473" t="str">
        <f t="shared" si="22"/>
        <v/>
      </c>
      <c r="AQ114" s="473" t="str">
        <f t="shared" si="23"/>
        <v/>
      </c>
      <c r="AR114" s="473" t="str">
        <f t="shared" si="24"/>
        <v/>
      </c>
      <c r="AS114" s="473" t="str">
        <f t="shared" si="25"/>
        <v/>
      </c>
      <c r="AT114" s="473" t="str">
        <f t="shared" si="26"/>
        <v/>
      </c>
      <c r="AU114" s="473" t="str">
        <f t="shared" si="27"/>
        <v/>
      </c>
      <c r="AY114" s="497" t="s">
        <v>8145</v>
      </c>
      <c r="AZ114" s="488" t="s">
        <v>38</v>
      </c>
      <c r="BA114" s="489">
        <v>1</v>
      </c>
      <c r="BB114" s="419" t="s">
        <v>8146</v>
      </c>
      <c r="BC114" s="271"/>
      <c r="BD114" s="279">
        <v>1</v>
      </c>
      <c r="BE114" s="271"/>
      <c r="BF114" s="271"/>
      <c r="BG114" s="271"/>
      <c r="BH114" s="271"/>
      <c r="BI114" s="271"/>
      <c r="BJ114" s="271"/>
      <c r="BK114" s="271"/>
      <c r="BL114" s="271"/>
    </row>
    <row r="115" spans="18:64" ht="21" customHeight="1" x14ac:dyDescent="0.25">
      <c r="R115" s="34" t="s">
        <v>496</v>
      </c>
      <c r="S115" s="451"/>
      <c r="T115" s="497" t="s">
        <v>8147</v>
      </c>
      <c r="V115" s="475">
        <v>2</v>
      </c>
      <c r="W115" s="475" t="str">
        <f>IF($AC$115="","",$W$108)</f>
        <v>N° 12</v>
      </c>
      <c r="X115" s="476" t="str">
        <f>IF($AC$115="","",$X$108)</f>
        <v>SALADE WITLOOF CHATAIGNES HADDOCK *</v>
      </c>
      <c r="Y115" s="477">
        <f>IF($X$115="","",$Y$108)</f>
        <v>29</v>
      </c>
      <c r="Z115" s="477">
        <f>IF($X$115="","",$Z$108)</f>
        <v>100</v>
      </c>
      <c r="AA115" s="477">
        <f>IF($AC$115="","",ROW($A$115)-ROW($A$108))</f>
        <v>7</v>
      </c>
      <c r="AB115" s="478"/>
      <c r="AC115" s="34" t="s">
        <v>128</v>
      </c>
      <c r="AD115" s="356"/>
      <c r="AE115" s="479">
        <v>1.5</v>
      </c>
      <c r="AF115" s="29" t="s">
        <v>9</v>
      </c>
      <c r="AG115" s="480">
        <f t="shared" si="16"/>
        <v>1.5</v>
      </c>
      <c r="AH115" s="481" t="str">
        <f t="shared" si="17"/>
        <v>L</v>
      </c>
      <c r="AI115" s="477" t="str">
        <f>IF($AC$115="","",IFERROR(INDEX($AZ$74:$AZ$119,MATCH($AH$115,$AY$74:$AY$119,0)),"AUTRE"))</f>
        <v>VOLUME</v>
      </c>
      <c r="AJ115" s="482">
        <f>IF($AC$115="","",IFERROR(INDEX($BA$74:$BA$119,MATCH($AH$115,$AY$74:$AY$119,0)),1))</f>
        <v>1</v>
      </c>
      <c r="AK115" s="482">
        <f t="shared" si="18"/>
        <v>1.5</v>
      </c>
      <c r="AL115" s="477" t="str">
        <f>IF($AC$115="","",IFERROR(INDEX($BB$74:$BB$119,MATCH($AH$115,$AY$74:$AY$119,0)),$AH$115))</f>
        <v>L</v>
      </c>
      <c r="AM115" s="483" t="str">
        <f t="shared" si="19"/>
        <v>OK</v>
      </c>
      <c r="AN115" s="484">
        <f t="shared" si="20"/>
        <v>1.5</v>
      </c>
      <c r="AO115" s="473" t="str">
        <f t="shared" si="21"/>
        <v/>
      </c>
      <c r="AP115" s="473" t="str">
        <f t="shared" si="22"/>
        <v/>
      </c>
      <c r="AQ115" s="473" t="str">
        <f t="shared" si="23"/>
        <v/>
      </c>
      <c r="AR115" s="473" t="str">
        <f t="shared" si="24"/>
        <v/>
      </c>
      <c r="AS115" s="473" t="str">
        <f t="shared" si="25"/>
        <v/>
      </c>
      <c r="AT115" s="473" t="str">
        <f t="shared" si="26"/>
        <v/>
      </c>
      <c r="AU115" s="473" t="str">
        <f t="shared" si="27"/>
        <v/>
      </c>
      <c r="AY115" s="497" t="s">
        <v>462</v>
      </c>
      <c r="AZ115" s="488" t="s">
        <v>38</v>
      </c>
      <c r="BA115" s="489">
        <v>1</v>
      </c>
      <c r="BB115" s="419" t="s">
        <v>461</v>
      </c>
      <c r="BC115" s="271"/>
      <c r="BD115" s="279">
        <v>1</v>
      </c>
      <c r="BE115" s="271"/>
      <c r="BF115" s="271"/>
      <c r="BG115" s="271"/>
      <c r="BH115" s="271"/>
      <c r="BI115" s="271"/>
      <c r="BJ115" s="271"/>
      <c r="BK115" s="271"/>
      <c r="BL115" s="271"/>
    </row>
    <row r="116" spans="18:64" ht="21" customHeight="1" x14ac:dyDescent="0.25">
      <c r="R116" s="34" t="s">
        <v>483</v>
      </c>
      <c r="S116" s="451"/>
      <c r="T116" s="497" t="s">
        <v>465</v>
      </c>
      <c r="V116" s="475">
        <v>2</v>
      </c>
      <c r="W116" s="475" t="str">
        <f>IF($AC$116="","",$W$108)</f>
        <v>N° 12</v>
      </c>
      <c r="X116" s="476" t="str">
        <f>IF($AC$116="","",$X$108)</f>
        <v>SALADE WITLOOF CHATAIGNES HADDOCK *</v>
      </c>
      <c r="Y116" s="477">
        <f>IF($X$116="","",$Y$108)</f>
        <v>29</v>
      </c>
      <c r="Z116" s="477">
        <f>IF($X$116="","",$Z$108)</f>
        <v>100</v>
      </c>
      <c r="AA116" s="477">
        <f>IF($AC$116="","",ROW($A$116)-ROW($A$108))</f>
        <v>8</v>
      </c>
      <c r="AB116" s="478"/>
      <c r="AC116" s="34" t="s">
        <v>129</v>
      </c>
      <c r="AD116" s="356"/>
      <c r="AE116" s="479">
        <v>250</v>
      </c>
      <c r="AF116" s="27" t="s">
        <v>8</v>
      </c>
      <c r="AG116" s="480">
        <f t="shared" si="16"/>
        <v>250</v>
      </c>
      <c r="AH116" s="481" t="str">
        <f t="shared" si="17"/>
        <v>G</v>
      </c>
      <c r="AI116" s="477" t="str">
        <f>IF($AC$116="","",IFERROR(INDEX($AZ$74:$AZ$119,MATCH($AH$116,$AY$74:$AY$119,0)),"AUTRE"))</f>
        <v>MASSE</v>
      </c>
      <c r="AJ116" s="482">
        <f>IF($AC$116="","",IFERROR(INDEX($BA$74:$BA$119,MATCH($AH$116,$AY$74:$AY$119,0)),1))</f>
        <v>1E-3</v>
      </c>
      <c r="AK116" s="482">
        <f t="shared" si="18"/>
        <v>0.25</v>
      </c>
      <c r="AL116" s="477" t="str">
        <f>IF($AC$116="","",IFERROR(INDEX($BB$74:$BB$119,MATCH($AH$116,$AY$74:$AY$119,0)),$AH$116))</f>
        <v>kg</v>
      </c>
      <c r="AM116" s="483" t="str">
        <f t="shared" si="19"/>
        <v>OK</v>
      </c>
      <c r="AN116" s="484">
        <f t="shared" si="20"/>
        <v>250</v>
      </c>
      <c r="AO116" s="473" t="str">
        <f t="shared" si="21"/>
        <v/>
      </c>
      <c r="AP116" s="473" t="str">
        <f t="shared" si="22"/>
        <v/>
      </c>
      <c r="AQ116" s="473" t="str">
        <f t="shared" si="23"/>
        <v/>
      </c>
      <c r="AR116" s="473" t="str">
        <f t="shared" si="24"/>
        <v/>
      </c>
      <c r="AS116" s="473" t="str">
        <f t="shared" si="25"/>
        <v/>
      </c>
      <c r="AT116" s="473" t="str">
        <f t="shared" si="26"/>
        <v/>
      </c>
      <c r="AU116" s="473" t="str">
        <f t="shared" si="27"/>
        <v/>
      </c>
      <c r="AY116" s="497" t="s">
        <v>463</v>
      </c>
      <c r="AZ116" s="488" t="s">
        <v>38</v>
      </c>
      <c r="BA116" s="489">
        <v>1</v>
      </c>
      <c r="BB116" s="419" t="s">
        <v>464</v>
      </c>
      <c r="BC116" s="271"/>
      <c r="BD116" s="279">
        <v>1</v>
      </c>
      <c r="BE116" s="271"/>
      <c r="BF116" s="271"/>
      <c r="BG116" s="271"/>
      <c r="BH116" s="271"/>
      <c r="BI116" s="271"/>
      <c r="BJ116" s="271"/>
      <c r="BK116" s="271"/>
      <c r="BL116" s="271"/>
    </row>
    <row r="117" spans="18:64" ht="21" customHeight="1" x14ac:dyDescent="0.25">
      <c r="R117" s="34" t="s">
        <v>493</v>
      </c>
      <c r="S117" s="451"/>
      <c r="T117" s="497" t="s">
        <v>466</v>
      </c>
      <c r="V117" s="475">
        <v>2</v>
      </c>
      <c r="W117" s="475" t="str">
        <f>IF($AC$117="","",$W$108)</f>
        <v>N° 12</v>
      </c>
      <c r="X117" s="476" t="str">
        <f>IF($AC$117="","",$X$108)</f>
        <v>SALADE WITLOOF CHATAIGNES HADDOCK *</v>
      </c>
      <c r="Y117" s="477">
        <f>IF($X$117="","",$Y$108)</f>
        <v>29</v>
      </c>
      <c r="Z117" s="477">
        <f>IF($X$117="","",$Z$108)</f>
        <v>100</v>
      </c>
      <c r="AA117" s="477">
        <f>IF($AC$117="","",ROW($A$117)-ROW($A$108))</f>
        <v>9</v>
      </c>
      <c r="AB117" s="478"/>
      <c r="AC117" s="34" t="s">
        <v>354</v>
      </c>
      <c r="AD117" s="356"/>
      <c r="AE117" s="479">
        <v>100</v>
      </c>
      <c r="AF117" s="27" t="s">
        <v>8</v>
      </c>
      <c r="AG117" s="480">
        <f t="shared" si="16"/>
        <v>100</v>
      </c>
      <c r="AH117" s="481" t="str">
        <f t="shared" si="17"/>
        <v>G</v>
      </c>
      <c r="AI117" s="477" t="str">
        <f>IF($AC$117="","",IFERROR(INDEX($AZ$74:$AZ$119,MATCH($AH$117,$AY$74:$AY$119,0)),"AUTRE"))</f>
        <v>MASSE</v>
      </c>
      <c r="AJ117" s="482">
        <f>IF($AC$117="","",IFERROR(INDEX($BA$74:$BA$119,MATCH($AH$117,$AY$74:$AY$119,0)),1))</f>
        <v>1E-3</v>
      </c>
      <c r="AK117" s="482">
        <f t="shared" si="18"/>
        <v>0.1</v>
      </c>
      <c r="AL117" s="477" t="str">
        <f>IF($AC$117="","",IFERROR(INDEX($BB$74:$BB$119,MATCH($AH$117,$AY$74:$AY$119,0)),$AH$117))</f>
        <v>kg</v>
      </c>
      <c r="AM117" s="483" t="str">
        <f t="shared" si="19"/>
        <v>OK</v>
      </c>
      <c r="AN117" s="484">
        <f t="shared" si="20"/>
        <v>100</v>
      </c>
      <c r="AO117" s="473" t="str">
        <f t="shared" si="21"/>
        <v/>
      </c>
      <c r="AP117" s="473" t="str">
        <f t="shared" si="22"/>
        <v/>
      </c>
      <c r="AQ117" s="473" t="str">
        <f t="shared" si="23"/>
        <v/>
      </c>
      <c r="AR117" s="473" t="str">
        <f t="shared" si="24"/>
        <v/>
      </c>
      <c r="AS117" s="473" t="str">
        <f t="shared" si="25"/>
        <v/>
      </c>
      <c r="AT117" s="473" t="str">
        <f t="shared" si="26"/>
        <v/>
      </c>
      <c r="AU117" s="473" t="str">
        <f t="shared" si="27"/>
        <v/>
      </c>
      <c r="AY117" s="497" t="s">
        <v>8147</v>
      </c>
      <c r="AZ117" s="488" t="s">
        <v>38</v>
      </c>
      <c r="BA117" s="489">
        <v>1</v>
      </c>
      <c r="BB117" s="419" t="s">
        <v>8148</v>
      </c>
      <c r="BC117" s="271"/>
      <c r="BD117" s="279">
        <v>1</v>
      </c>
      <c r="BE117" s="271"/>
      <c r="BF117" s="271"/>
      <c r="BG117" s="271"/>
      <c r="BH117" s="271"/>
      <c r="BI117" s="271"/>
      <c r="BJ117" s="271"/>
      <c r="BK117" s="271"/>
      <c r="BL117" s="271"/>
    </row>
    <row r="118" spans="18:64" ht="21" customHeight="1" x14ac:dyDescent="0.25">
      <c r="R118" s="34" t="s">
        <v>494</v>
      </c>
      <c r="S118" s="451"/>
      <c r="T118" s="440" t="s">
        <v>8110</v>
      </c>
      <c r="V118" s="475">
        <v>2</v>
      </c>
      <c r="W118" s="475" t="str">
        <f>IF($AC$118="","",$W$108)</f>
        <v>N° 12</v>
      </c>
      <c r="X118" s="476" t="str">
        <f>IF($AC$118="","",$X$108)</f>
        <v>SALADE WITLOOF CHATAIGNES HADDOCK *</v>
      </c>
      <c r="Y118" s="477">
        <f>IF($X$118="","",$Y$108)</f>
        <v>29</v>
      </c>
      <c r="Z118" s="477">
        <f>IF($X$118="","",$Z$108)</f>
        <v>100</v>
      </c>
      <c r="AA118" s="477">
        <f>IF($AC$118="","",ROW($A$118)-ROW($A$108))</f>
        <v>10</v>
      </c>
      <c r="AB118" s="478"/>
      <c r="AC118" s="34" t="s">
        <v>67</v>
      </c>
      <c r="AD118" s="356"/>
      <c r="AE118" s="479">
        <v>15</v>
      </c>
      <c r="AF118" s="27" t="s">
        <v>8</v>
      </c>
      <c r="AG118" s="480">
        <f t="shared" si="16"/>
        <v>15</v>
      </c>
      <c r="AH118" s="481" t="str">
        <f t="shared" si="17"/>
        <v>G</v>
      </c>
      <c r="AI118" s="477" t="str">
        <f>IF($AC$118="","",IFERROR(INDEX($AZ$74:$AZ$119,MATCH($AH$118,$AY$74:$AY$119,0)),"AUTRE"))</f>
        <v>MASSE</v>
      </c>
      <c r="AJ118" s="482">
        <f>IF($AC$118="","",IFERROR(INDEX($BA$74:$BA$119,MATCH($AH$118,$AY$74:$AY$119,0)),1))</f>
        <v>1E-3</v>
      </c>
      <c r="AK118" s="482">
        <f t="shared" si="18"/>
        <v>1.4999999999999999E-2</v>
      </c>
      <c r="AL118" s="477" t="str">
        <f>IF($AC$118="","",IFERROR(INDEX($BB$74:$BB$119,MATCH($AH$118,$AY$74:$AY$119,0)),$AH$118))</f>
        <v>kg</v>
      </c>
      <c r="AM118" s="483" t="str">
        <f t="shared" si="19"/>
        <v>OK</v>
      </c>
      <c r="AN118" s="484">
        <f t="shared" si="20"/>
        <v>15</v>
      </c>
      <c r="AO118" s="473" t="str">
        <f t="shared" si="21"/>
        <v/>
      </c>
      <c r="AP118" s="473" t="str">
        <f t="shared" si="22"/>
        <v/>
      </c>
      <c r="AQ118" s="473" t="str">
        <f t="shared" si="23"/>
        <v/>
      </c>
      <c r="AR118" s="473" t="str">
        <f t="shared" si="24"/>
        <v/>
      </c>
      <c r="AS118" s="473" t="str">
        <f t="shared" si="25"/>
        <v/>
      </c>
      <c r="AT118" s="473" t="str">
        <f t="shared" si="26"/>
        <v/>
      </c>
      <c r="AU118" s="473" t="str">
        <f t="shared" si="27"/>
        <v/>
      </c>
      <c r="AY118" s="497" t="s">
        <v>465</v>
      </c>
      <c r="AZ118" s="488" t="s">
        <v>38</v>
      </c>
      <c r="BA118" s="489">
        <v>1</v>
      </c>
      <c r="BB118" s="419" t="s">
        <v>460</v>
      </c>
      <c r="BC118" s="271"/>
      <c r="BD118" s="279">
        <v>1</v>
      </c>
      <c r="BE118" s="271"/>
      <c r="BF118" s="271"/>
      <c r="BG118" s="271"/>
      <c r="BH118" s="271"/>
      <c r="BI118" s="271"/>
      <c r="BJ118" s="271"/>
      <c r="BK118" s="271"/>
      <c r="BL118" s="271"/>
    </row>
    <row r="119" spans="18:64" ht="21" customHeight="1" x14ac:dyDescent="0.25">
      <c r="S119" s="451"/>
      <c r="T119" s="452" t="s">
        <v>8113</v>
      </c>
      <c r="V119" s="475">
        <v>2</v>
      </c>
      <c r="W119" s="475" t="str">
        <f>IF($AC$119="","",$W$108)</f>
        <v>N° 12</v>
      </c>
      <c r="X119" s="476" t="str">
        <f>IF($AC$119="","",$X$108)</f>
        <v>SALADE WITLOOF CHATAIGNES HADDOCK *</v>
      </c>
      <c r="Y119" s="477">
        <f>IF($X$119="","",$Y$108)</f>
        <v>29</v>
      </c>
      <c r="Z119" s="477">
        <f>IF($X$119="","",$Z$108)</f>
        <v>100</v>
      </c>
      <c r="AA119" s="477">
        <f>IF($AC$119="","",ROW($A$119)-ROW($A$108))</f>
        <v>11</v>
      </c>
      <c r="AB119" s="478"/>
      <c r="AC119" s="34" t="s">
        <v>44</v>
      </c>
      <c r="AD119" s="356"/>
      <c r="AE119" s="479">
        <v>6</v>
      </c>
      <c r="AF119" s="27" t="s">
        <v>8</v>
      </c>
      <c r="AG119" s="480">
        <f t="shared" si="16"/>
        <v>6</v>
      </c>
      <c r="AH119" s="481" t="str">
        <f t="shared" si="17"/>
        <v>G</v>
      </c>
      <c r="AI119" s="477" t="str">
        <f>IF($AC$119="","",IFERROR(INDEX($AZ$74:$AZ$119,MATCH($AH$119,$AY$74:$AY$119,0)),"AUTRE"))</f>
        <v>MASSE</v>
      </c>
      <c r="AJ119" s="482">
        <f>IF($AC$119="","",IFERROR(INDEX($BA$74:$BA$119,MATCH($AH$119,$AY$74:$AY$119,0)),1))</f>
        <v>1E-3</v>
      </c>
      <c r="AK119" s="482">
        <f t="shared" si="18"/>
        <v>6.0000000000000001E-3</v>
      </c>
      <c r="AL119" s="477" t="str">
        <f>IF($AC$119="","",IFERROR(INDEX($BB$74:$BB$119,MATCH($AH$119,$AY$74:$AY$119,0)),$AH$119))</f>
        <v>kg</v>
      </c>
      <c r="AM119" s="483" t="str">
        <f t="shared" si="19"/>
        <v>OK</v>
      </c>
      <c r="AN119" s="484">
        <f t="shared" si="20"/>
        <v>6</v>
      </c>
      <c r="AO119" s="473" t="str">
        <f t="shared" si="21"/>
        <v/>
      </c>
      <c r="AP119" s="473" t="str">
        <f t="shared" si="22"/>
        <v/>
      </c>
      <c r="AQ119" s="473" t="str">
        <f t="shared" si="23"/>
        <v/>
      </c>
      <c r="AR119" s="473" t="str">
        <f t="shared" si="24"/>
        <v/>
      </c>
      <c r="AS119" s="473" t="str">
        <f t="shared" si="25"/>
        <v/>
      </c>
      <c r="AT119" s="473" t="str">
        <f t="shared" si="26"/>
        <v/>
      </c>
      <c r="AU119" s="473" t="str">
        <f t="shared" si="27"/>
        <v/>
      </c>
      <c r="AY119" s="497" t="s">
        <v>466</v>
      </c>
      <c r="AZ119" s="488" t="s">
        <v>38</v>
      </c>
      <c r="BA119" s="489">
        <v>1</v>
      </c>
      <c r="BB119" s="419" t="s">
        <v>467</v>
      </c>
      <c r="BC119" s="271"/>
      <c r="BD119" s="279">
        <v>1</v>
      </c>
      <c r="BE119" s="271"/>
      <c r="BF119" s="271"/>
      <c r="BG119" s="271"/>
      <c r="BH119" s="271"/>
      <c r="BI119" s="271"/>
      <c r="BJ119" s="271"/>
      <c r="BK119" s="271"/>
      <c r="BL119" s="271"/>
    </row>
    <row r="120" spans="18:64" ht="21" customHeight="1" x14ac:dyDescent="0.25">
      <c r="R120" s="25" t="s">
        <v>6115</v>
      </c>
      <c r="S120" s="451"/>
      <c r="T120" s="14" t="s">
        <v>7</v>
      </c>
      <c r="V120" s="475">
        <v>2</v>
      </c>
      <c r="W120" s="475" t="str">
        <f>IF($AC$120="","",$W$108)</f>
        <v>N° 12</v>
      </c>
      <c r="X120" s="476" t="str">
        <f>IF($AC$120="","",$X$108)</f>
        <v>SALADE WITLOOF CHATAIGNES HADDOCK *</v>
      </c>
      <c r="Y120" s="477">
        <f>IF($X$120="","",$Y$108)</f>
        <v>29</v>
      </c>
      <c r="Z120" s="477">
        <f>IF($X$120="","",$Z$108)</f>
        <v>100</v>
      </c>
      <c r="AA120" s="477">
        <f>IF($AC$120="","",ROW($A$120)-ROW($A$108))</f>
        <v>12</v>
      </c>
      <c r="AB120" s="478"/>
      <c r="AC120" s="34" t="s">
        <v>130</v>
      </c>
      <c r="AD120" s="356"/>
      <c r="AE120" s="479">
        <v>200</v>
      </c>
      <c r="AF120" s="27" t="s">
        <v>8</v>
      </c>
      <c r="AG120" s="480">
        <f t="shared" si="16"/>
        <v>200</v>
      </c>
      <c r="AH120" s="481" t="str">
        <f t="shared" si="17"/>
        <v>G</v>
      </c>
      <c r="AI120" s="477" t="str">
        <f>IF($AC$120="","",IFERROR(INDEX($AZ$74:$AZ$119,MATCH($AH$120,$AY$74:$AY$119,0)),"AUTRE"))</f>
        <v>MASSE</v>
      </c>
      <c r="AJ120" s="482">
        <f>IF($AC$120="","",IFERROR(INDEX($BA$74:$BA$119,MATCH($AH$120,$AY$74:$AY$119,0)),1))</f>
        <v>1E-3</v>
      </c>
      <c r="AK120" s="482">
        <f t="shared" si="18"/>
        <v>0.2</v>
      </c>
      <c r="AL120" s="477" t="str">
        <f>IF($AC$120="","",IFERROR(INDEX($BB$74:$BB$119,MATCH($AH$120,$AY$74:$AY$119,0)),$AH$120))</f>
        <v>kg</v>
      </c>
      <c r="AM120" s="483" t="str">
        <f t="shared" si="19"/>
        <v>OK</v>
      </c>
      <c r="AN120" s="484">
        <f t="shared" si="20"/>
        <v>200</v>
      </c>
      <c r="AO120" s="473" t="str">
        <f t="shared" si="21"/>
        <v/>
      </c>
      <c r="AP120" s="473" t="str">
        <f t="shared" si="22"/>
        <v/>
      </c>
      <c r="AQ120" s="473" t="str">
        <f t="shared" si="23"/>
        <v/>
      </c>
      <c r="AR120" s="473" t="str">
        <f t="shared" si="24"/>
        <v/>
      </c>
      <c r="AS120" s="473" t="str">
        <f t="shared" si="25"/>
        <v/>
      </c>
      <c r="AT120" s="473" t="str">
        <f t="shared" si="26"/>
        <v/>
      </c>
      <c r="AU120" s="473" t="str">
        <f t="shared" si="27"/>
        <v/>
      </c>
      <c r="AY120" s="498"/>
      <c r="AZ120" s="498"/>
      <c r="BA120" s="498"/>
      <c r="BB120" s="448" t="str">
        <f>ADDRESS(ROW(),COLUMN(),4)</f>
        <v>BB120</v>
      </c>
      <c r="BC120" s="271"/>
      <c r="BD120" s="279">
        <v>1</v>
      </c>
      <c r="BE120" s="271"/>
      <c r="BF120" s="271"/>
      <c r="BG120" s="271"/>
      <c r="BH120" s="271"/>
      <c r="BI120" s="271"/>
      <c r="BJ120" s="271"/>
      <c r="BK120" s="271"/>
      <c r="BL120" s="271"/>
    </row>
    <row r="121" spans="18:64" ht="21" customHeight="1" x14ac:dyDescent="0.25">
      <c r="R121" s="34" t="s">
        <v>471</v>
      </c>
      <c r="S121" s="451"/>
      <c r="T121" s="27" t="s">
        <v>8</v>
      </c>
      <c r="V121" s="475">
        <v>2</v>
      </c>
      <c r="W121" s="475" t="str">
        <f>IF($AC$121="","",$W$108)</f>
        <v/>
      </c>
      <c r="X121" s="476" t="str">
        <f>IF($AC$121="","",$X$108)</f>
        <v/>
      </c>
      <c r="Y121" s="477" t="str">
        <f>IF($X$121="","",$Y$108)</f>
        <v/>
      </c>
      <c r="Z121" s="477" t="str">
        <f>IF($X$121="","",$Z$108)</f>
        <v/>
      </c>
      <c r="AA121" s="477" t="str">
        <f>IF($AC$121="","",ROW($A$121)-ROW($A$108))</f>
        <v/>
      </c>
      <c r="AB121" s="478"/>
      <c r="AC121" s="34"/>
      <c r="AD121" s="356"/>
      <c r="AE121" s="479"/>
      <c r="AF121" s="475"/>
      <c r="AG121" s="480" t="str">
        <f t="shared" si="16"/>
        <v/>
      </c>
      <c r="AH121" s="481" t="str">
        <f t="shared" si="17"/>
        <v/>
      </c>
      <c r="AI121" s="477" t="str">
        <f>IF($AC$121="","",IFERROR(INDEX($AZ$74:$AZ$119,MATCH($AH$121,$AY$74:$AY$119,0)),"AUTRE"))</f>
        <v/>
      </c>
      <c r="AJ121" s="482" t="str">
        <f>IF($AC$121="","",IFERROR(INDEX($BA$74:$BA$119,MATCH($AH$121,$AY$74:$AY$119,0)),1))</f>
        <v/>
      </c>
      <c r="AK121" s="482" t="str">
        <f t="shared" si="18"/>
        <v/>
      </c>
      <c r="AL121" s="477" t="str">
        <f>IF($AC$121="","",IFERROR(INDEX($BB$74:$BB$119,MATCH($AH$121,$AY$74:$AY$119,0)),$AH$121))</f>
        <v/>
      </c>
      <c r="AM121" s="483" t="str">
        <f t="shared" si="19"/>
        <v/>
      </c>
      <c r="AN121" s="484" t="str">
        <f t="shared" si="20"/>
        <v/>
      </c>
      <c r="AO121" s="473" t="str">
        <f t="shared" si="21"/>
        <v/>
      </c>
      <c r="AP121" s="473" t="str">
        <f t="shared" si="22"/>
        <v/>
      </c>
      <c r="AQ121" s="473" t="str">
        <f t="shared" si="23"/>
        <v/>
      </c>
      <c r="AR121" s="473" t="str">
        <f t="shared" si="24"/>
        <v/>
      </c>
      <c r="AS121" s="473" t="str">
        <f t="shared" si="25"/>
        <v/>
      </c>
      <c r="AT121" s="473" t="str">
        <f t="shared" si="26"/>
        <v/>
      </c>
      <c r="AU121" s="473" t="str">
        <f t="shared" si="27"/>
        <v/>
      </c>
      <c r="AY121" s="271"/>
      <c r="AZ121" s="14" t="s">
        <v>7</v>
      </c>
      <c r="BA121" s="25" t="s">
        <v>6115</v>
      </c>
      <c r="BB121" s="499"/>
      <c r="BC121" s="271"/>
      <c r="BD121" s="279">
        <v>1</v>
      </c>
      <c r="BE121" s="271"/>
      <c r="BF121" s="271"/>
      <c r="BG121" s="271"/>
      <c r="BH121" s="271"/>
      <c r="BI121" s="271"/>
      <c r="BJ121" s="271"/>
      <c r="BK121" s="271"/>
      <c r="BL121" s="271"/>
    </row>
    <row r="122" spans="18:64" ht="21" customHeight="1" x14ac:dyDescent="0.25">
      <c r="R122" s="34" t="s">
        <v>472</v>
      </c>
      <c r="S122" s="451"/>
      <c r="T122" s="28" t="s">
        <v>13</v>
      </c>
      <c r="V122" s="475">
        <v>2</v>
      </c>
      <c r="W122" s="475" t="str">
        <f>IF($AC$122="","",$W$108)</f>
        <v/>
      </c>
      <c r="X122" s="476" t="str">
        <f>IF($AC$122="","",$X$108)</f>
        <v/>
      </c>
      <c r="Y122" s="477" t="str">
        <f>IF($X$122="","",$Y$108)</f>
        <v/>
      </c>
      <c r="Z122" s="477" t="str">
        <f>IF($X$122="","",$Z$108)</f>
        <v/>
      </c>
      <c r="AA122" s="477" t="str">
        <f>IF($AC$122="","",ROW($A$122)-ROW($A$108))</f>
        <v/>
      </c>
      <c r="AB122" s="478"/>
      <c r="AC122" s="34"/>
      <c r="AD122" s="356"/>
      <c r="AE122" s="479"/>
      <c r="AF122" s="475"/>
      <c r="AG122" s="480" t="str">
        <f t="shared" si="16"/>
        <v/>
      </c>
      <c r="AH122" s="481" t="str">
        <f t="shared" si="17"/>
        <v/>
      </c>
      <c r="AI122" s="477" t="str">
        <f>IF($AC$122="","",IFERROR(INDEX($AZ$74:$AZ$119,MATCH($AH$122,$AY$74:$AY$119,0)),"AUTRE"))</f>
        <v/>
      </c>
      <c r="AJ122" s="482" t="str">
        <f>IF($AC$122="","",IFERROR(INDEX($BA$74:$BA$119,MATCH($AH$122,$AY$74:$AY$119,0)),1))</f>
        <v/>
      </c>
      <c r="AK122" s="482" t="str">
        <f t="shared" si="18"/>
        <v/>
      </c>
      <c r="AL122" s="477" t="str">
        <f>IF($AC$122="","",IFERROR(INDEX($BB$74:$BB$119,MATCH($AH$122,$AY$74:$AY$119,0)),$AH$122))</f>
        <v/>
      </c>
      <c r="AM122" s="483" t="str">
        <f t="shared" si="19"/>
        <v/>
      </c>
      <c r="AN122" s="484" t="str">
        <f t="shared" si="20"/>
        <v/>
      </c>
      <c r="AO122" s="473" t="str">
        <f t="shared" si="21"/>
        <v/>
      </c>
      <c r="AP122" s="473" t="str">
        <f t="shared" si="22"/>
        <v/>
      </c>
      <c r="AQ122" s="473" t="str">
        <f t="shared" si="23"/>
        <v/>
      </c>
      <c r="AR122" s="473" t="str">
        <f t="shared" si="24"/>
        <v/>
      </c>
      <c r="AS122" s="473" t="str">
        <f t="shared" si="25"/>
        <v/>
      </c>
      <c r="AT122" s="473" t="str">
        <f t="shared" si="26"/>
        <v/>
      </c>
      <c r="AU122" s="473" t="str">
        <f t="shared" si="27"/>
        <v/>
      </c>
      <c r="AZ122" s="27" t="s">
        <v>8</v>
      </c>
      <c r="BA122" s="34" t="s">
        <v>471</v>
      </c>
      <c r="BB122" s="500"/>
      <c r="BC122" s="271"/>
      <c r="BD122" s="279">
        <v>1</v>
      </c>
      <c r="BE122" s="271"/>
      <c r="BF122" s="271"/>
      <c r="BG122" s="271"/>
      <c r="BH122" s="271"/>
      <c r="BI122" s="271"/>
      <c r="BJ122" s="271"/>
      <c r="BK122" s="271"/>
      <c r="BL122" s="271"/>
    </row>
    <row r="123" spans="18:64" ht="21" customHeight="1" x14ac:dyDescent="0.25">
      <c r="R123" s="34" t="s">
        <v>6112</v>
      </c>
      <c r="S123" s="451"/>
      <c r="T123" s="28" t="s">
        <v>14</v>
      </c>
      <c r="V123" s="475">
        <v>2</v>
      </c>
      <c r="W123" s="475" t="str">
        <f>IF($AC$123="","",$W$108)</f>
        <v/>
      </c>
      <c r="X123" s="476" t="str">
        <f>IF($AC$123="","",$X$108)</f>
        <v/>
      </c>
      <c r="Y123" s="477" t="str">
        <f>IF($X$123="","",$Y$108)</f>
        <v/>
      </c>
      <c r="Z123" s="477" t="str">
        <f>IF($X$123="","",$Z$108)</f>
        <v/>
      </c>
      <c r="AA123" s="477" t="str">
        <f>IF($AC$123="","",ROW($A$123)-ROW($A$108))</f>
        <v/>
      </c>
      <c r="AB123" s="478"/>
      <c r="AC123" s="34"/>
      <c r="AD123" s="356"/>
      <c r="AE123" s="479"/>
      <c r="AF123" s="475"/>
      <c r="AG123" s="480" t="str">
        <f t="shared" si="16"/>
        <v/>
      </c>
      <c r="AH123" s="481" t="str">
        <f t="shared" si="17"/>
        <v/>
      </c>
      <c r="AI123" s="477" t="str">
        <f>IF($AC$123="","",IFERROR(INDEX($AZ$74:$AZ$119,MATCH($AH$123,$AY$74:$AY$119,0)),"AUTRE"))</f>
        <v/>
      </c>
      <c r="AJ123" s="482" t="str">
        <f>IF($AC$123="","",IFERROR(INDEX($BA$74:$BA$119,MATCH($AH$123,$AY$74:$AY$119,0)),1))</f>
        <v/>
      </c>
      <c r="AK123" s="482" t="str">
        <f t="shared" si="18"/>
        <v/>
      </c>
      <c r="AL123" s="477" t="str">
        <f>IF($AC$123="","",IFERROR(INDEX($BB$74:$BB$119,MATCH($AH$123,$AY$74:$AY$119,0)),$AH$123))</f>
        <v/>
      </c>
      <c r="AM123" s="483" t="str">
        <f t="shared" si="19"/>
        <v/>
      </c>
      <c r="AN123" s="484" t="str">
        <f t="shared" si="20"/>
        <v/>
      </c>
      <c r="AO123" s="473" t="str">
        <f t="shared" si="21"/>
        <v/>
      </c>
      <c r="AP123" s="473" t="str">
        <f t="shared" si="22"/>
        <v/>
      </c>
      <c r="AQ123" s="473" t="str">
        <f t="shared" si="23"/>
        <v/>
      </c>
      <c r="AR123" s="473" t="str">
        <f t="shared" si="24"/>
        <v/>
      </c>
      <c r="AS123" s="473" t="str">
        <f t="shared" si="25"/>
        <v/>
      </c>
      <c r="AT123" s="473" t="str">
        <f t="shared" si="26"/>
        <v/>
      </c>
      <c r="AU123" s="473" t="str">
        <f t="shared" si="27"/>
        <v/>
      </c>
      <c r="AZ123" s="28" t="s">
        <v>13</v>
      </c>
      <c r="BA123" s="34" t="s">
        <v>472</v>
      </c>
      <c r="BB123" s="500"/>
      <c r="BC123" s="271"/>
      <c r="BD123" s="279">
        <v>1</v>
      </c>
      <c r="BE123" s="271"/>
      <c r="BF123" s="271"/>
      <c r="BG123" s="271"/>
      <c r="BH123" s="271"/>
      <c r="BI123" s="271"/>
      <c r="BJ123" s="271"/>
      <c r="BK123" s="271"/>
      <c r="BL123" s="271"/>
    </row>
    <row r="124" spans="18:64" ht="21" customHeight="1" x14ac:dyDescent="0.25">
      <c r="R124" s="25" t="s">
        <v>6116</v>
      </c>
      <c r="S124" s="451"/>
      <c r="T124" s="28" t="s">
        <v>15</v>
      </c>
      <c r="V124" s="475">
        <v>2</v>
      </c>
      <c r="W124" s="475" t="str">
        <f>IF($AC$124="","",$W$108)</f>
        <v/>
      </c>
      <c r="X124" s="476" t="str">
        <f>IF($AC$124="","",$X$108)</f>
        <v/>
      </c>
      <c r="Y124" s="477" t="str">
        <f>IF($X$124="","",$Y$108)</f>
        <v/>
      </c>
      <c r="Z124" s="477" t="str">
        <f>IF($X$124="","",$Z$108)</f>
        <v/>
      </c>
      <c r="AA124" s="477" t="str">
        <f>IF($AC$124="","",ROW($A$124)-ROW($A$108))</f>
        <v/>
      </c>
      <c r="AB124" s="478"/>
      <c r="AC124" s="34"/>
      <c r="AD124" s="356"/>
      <c r="AE124" s="479"/>
      <c r="AF124" s="475"/>
      <c r="AG124" s="480" t="str">
        <f t="shared" si="16"/>
        <v/>
      </c>
      <c r="AH124" s="481" t="str">
        <f t="shared" si="17"/>
        <v/>
      </c>
      <c r="AI124" s="477" t="str">
        <f>IF($AC$124="","",IFERROR(INDEX($AZ$74:$AZ$119,MATCH($AH$124,$AY$74:$AY$119,0)),"AUTRE"))</f>
        <v/>
      </c>
      <c r="AJ124" s="482" t="str">
        <f>IF($AC$124="","",IFERROR(INDEX($BA$74:$BA$119,MATCH($AH$124,$AY$74:$AY$119,0)),1))</f>
        <v/>
      </c>
      <c r="AK124" s="482" t="str">
        <f t="shared" si="18"/>
        <v/>
      </c>
      <c r="AL124" s="477" t="str">
        <f>IF($AC$124="","",IFERROR(INDEX($BB$74:$BB$119,MATCH($AH$124,$AY$74:$AY$119,0)),$AH$124))</f>
        <v/>
      </c>
      <c r="AM124" s="483" t="str">
        <f t="shared" si="19"/>
        <v/>
      </c>
      <c r="AN124" s="484" t="str">
        <f t="shared" si="20"/>
        <v/>
      </c>
      <c r="AO124" s="473" t="str">
        <f t="shared" si="21"/>
        <v/>
      </c>
      <c r="AP124" s="473" t="str">
        <f t="shared" si="22"/>
        <v/>
      </c>
      <c r="AQ124" s="473" t="str">
        <f t="shared" si="23"/>
        <v/>
      </c>
      <c r="AR124" s="473" t="str">
        <f t="shared" si="24"/>
        <v/>
      </c>
      <c r="AS124" s="473" t="str">
        <f t="shared" si="25"/>
        <v/>
      </c>
      <c r="AT124" s="473" t="str">
        <f t="shared" si="26"/>
        <v/>
      </c>
      <c r="AU124" s="473" t="str">
        <f t="shared" si="27"/>
        <v/>
      </c>
      <c r="AZ124" s="28" t="s">
        <v>14</v>
      </c>
      <c r="BA124" s="34" t="s">
        <v>6112</v>
      </c>
      <c r="BB124" s="500"/>
      <c r="BC124" s="271"/>
      <c r="BD124" s="279">
        <v>1</v>
      </c>
      <c r="BE124" s="271"/>
      <c r="BF124" s="271"/>
      <c r="BG124" s="271"/>
      <c r="BH124" s="271"/>
      <c r="BI124" s="271"/>
      <c r="BJ124" s="271"/>
      <c r="BK124" s="271"/>
      <c r="BL124" s="271"/>
    </row>
    <row r="125" spans="18:64" ht="21" customHeight="1" x14ac:dyDescent="0.25">
      <c r="R125" s="34" t="s">
        <v>6117</v>
      </c>
      <c r="S125" s="451"/>
      <c r="T125" s="28" t="s">
        <v>21</v>
      </c>
      <c r="V125" s="475">
        <v>2</v>
      </c>
      <c r="W125" s="475" t="str">
        <f>IF($AC$125="","",$W$108)</f>
        <v/>
      </c>
      <c r="X125" s="476" t="str">
        <f>IF($AC$125="","",$X$108)</f>
        <v/>
      </c>
      <c r="Y125" s="477" t="str">
        <f>IF($X$125="","",$Y$108)</f>
        <v/>
      </c>
      <c r="Z125" s="477" t="str">
        <f>IF($X$125="","",$Z$108)</f>
        <v/>
      </c>
      <c r="AA125" s="477" t="str">
        <f>IF($AC$125="","",ROW($A$125)-ROW($A$108))</f>
        <v/>
      </c>
      <c r="AB125" s="478"/>
      <c r="AC125" s="34"/>
      <c r="AD125" s="356"/>
      <c r="AE125" s="479"/>
      <c r="AF125" s="475"/>
      <c r="AG125" s="480" t="str">
        <f t="shared" si="16"/>
        <v/>
      </c>
      <c r="AH125" s="481" t="str">
        <f t="shared" si="17"/>
        <v/>
      </c>
      <c r="AI125" s="477" t="str">
        <f>IF($AC$125="","",IFERROR(INDEX($AZ$74:$AZ$119,MATCH($AH$125,$AY$74:$AY$119,0)),"AUTRE"))</f>
        <v/>
      </c>
      <c r="AJ125" s="482" t="str">
        <f>IF($AC$125="","",IFERROR(INDEX($BA$74:$BA$119,MATCH($AH$125,$AY$74:$AY$119,0)),1))</f>
        <v/>
      </c>
      <c r="AK125" s="482" t="str">
        <f t="shared" si="18"/>
        <v/>
      </c>
      <c r="AL125" s="477" t="str">
        <f>IF($AC$125="","",IFERROR(INDEX($BB$74:$BB$119,MATCH($AH$125,$AY$74:$AY$119,0)),$AH$125))</f>
        <v/>
      </c>
      <c r="AM125" s="483" t="str">
        <f t="shared" si="19"/>
        <v/>
      </c>
      <c r="AN125" s="484" t="str">
        <f t="shared" si="20"/>
        <v/>
      </c>
      <c r="AO125" s="473" t="str">
        <f t="shared" si="21"/>
        <v/>
      </c>
      <c r="AP125" s="473" t="str">
        <f t="shared" si="22"/>
        <v/>
      </c>
      <c r="AQ125" s="473" t="str">
        <f t="shared" si="23"/>
        <v/>
      </c>
      <c r="AR125" s="473" t="str">
        <f t="shared" si="24"/>
        <v/>
      </c>
      <c r="AS125" s="473" t="str">
        <f t="shared" si="25"/>
        <v/>
      </c>
      <c r="AT125" s="473" t="str">
        <f t="shared" si="26"/>
        <v/>
      </c>
      <c r="AU125" s="473" t="str">
        <f t="shared" si="27"/>
        <v/>
      </c>
      <c r="AZ125" s="28" t="s">
        <v>15</v>
      </c>
      <c r="BA125" s="25" t="s">
        <v>6116</v>
      </c>
      <c r="BB125" s="500"/>
      <c r="BC125" s="271"/>
      <c r="BD125" s="279">
        <v>1</v>
      </c>
      <c r="BE125" s="271"/>
      <c r="BF125" s="271"/>
      <c r="BG125" s="271"/>
      <c r="BH125" s="271"/>
      <c r="BI125" s="271"/>
      <c r="BJ125" s="271"/>
      <c r="BK125" s="271"/>
      <c r="BL125" s="271"/>
    </row>
    <row r="126" spans="18:64" ht="21" customHeight="1" x14ac:dyDescent="0.25">
      <c r="R126" s="34" t="s">
        <v>469</v>
      </c>
      <c r="S126" s="451"/>
      <c r="T126" s="28" t="s">
        <v>22</v>
      </c>
      <c r="V126" s="475">
        <v>2</v>
      </c>
      <c r="W126" s="475" t="str">
        <f>IF($AC$126="","",$W$108)</f>
        <v/>
      </c>
      <c r="X126" s="476" t="str">
        <f>IF($AC$126="","",$X$108)</f>
        <v/>
      </c>
      <c r="Y126" s="477" t="str">
        <f>IF($X$126="","",$Y$108)</f>
        <v/>
      </c>
      <c r="Z126" s="477" t="str">
        <f>IF($X$126="","",$Z$108)</f>
        <v/>
      </c>
      <c r="AA126" s="477" t="str">
        <f>IF($AC$126="","",ROW($A$126)-ROW($A$108))</f>
        <v/>
      </c>
      <c r="AB126" s="478"/>
      <c r="AC126" s="34"/>
      <c r="AD126" s="356"/>
      <c r="AE126" s="479"/>
      <c r="AF126" s="475"/>
      <c r="AG126" s="480" t="str">
        <f t="shared" si="16"/>
        <v/>
      </c>
      <c r="AH126" s="481" t="str">
        <f t="shared" si="17"/>
        <v/>
      </c>
      <c r="AI126" s="477" t="str">
        <f>IF($AC$126="","",IFERROR(INDEX($AZ$74:$AZ$119,MATCH($AH$126,$AY$74:$AY$119,0)),"AUTRE"))</f>
        <v/>
      </c>
      <c r="AJ126" s="482" t="str">
        <f>IF($AC$126="","",IFERROR(INDEX($BA$74:$BA$119,MATCH($AH$126,$AY$74:$AY$119,0)),1))</f>
        <v/>
      </c>
      <c r="AK126" s="482" t="str">
        <f t="shared" si="18"/>
        <v/>
      </c>
      <c r="AL126" s="477" t="str">
        <f>IF($AC$126="","",IFERROR(INDEX($BB$74:$BB$119,MATCH($AH$126,$AY$74:$AY$119,0)),$AH$126))</f>
        <v/>
      </c>
      <c r="AM126" s="483" t="str">
        <f t="shared" si="19"/>
        <v/>
      </c>
      <c r="AN126" s="484" t="str">
        <f t="shared" si="20"/>
        <v/>
      </c>
      <c r="AO126" s="473" t="str">
        <f t="shared" si="21"/>
        <v/>
      </c>
      <c r="AP126" s="473" t="str">
        <f t="shared" si="22"/>
        <v/>
      </c>
      <c r="AQ126" s="473" t="str">
        <f t="shared" si="23"/>
        <v/>
      </c>
      <c r="AR126" s="473" t="str">
        <f t="shared" si="24"/>
        <v/>
      </c>
      <c r="AS126" s="473" t="str">
        <f t="shared" si="25"/>
        <v/>
      </c>
      <c r="AT126" s="473" t="str">
        <f t="shared" si="26"/>
        <v/>
      </c>
      <c r="AU126" s="473" t="str">
        <f t="shared" si="27"/>
        <v/>
      </c>
      <c r="AZ126" s="29" t="s">
        <v>9</v>
      </c>
      <c r="BA126" s="34" t="s">
        <v>6117</v>
      </c>
      <c r="BB126" s="500"/>
      <c r="BC126" s="271"/>
      <c r="BD126" s="279">
        <v>1</v>
      </c>
      <c r="BE126" s="271"/>
      <c r="BF126" s="271"/>
      <c r="BG126" s="271"/>
      <c r="BH126" s="271"/>
      <c r="BI126" s="271"/>
      <c r="BJ126" s="271"/>
      <c r="BK126" s="271"/>
      <c r="BL126" s="271"/>
    </row>
    <row r="127" spans="18:64" ht="21" customHeight="1" x14ac:dyDescent="0.25">
      <c r="R127" s="34" t="s">
        <v>6118</v>
      </c>
      <c r="S127" s="451"/>
      <c r="T127" s="28" t="s">
        <v>23</v>
      </c>
      <c r="V127" s="475">
        <v>2</v>
      </c>
      <c r="W127" s="475" t="str">
        <f>IF($AC$127="","",$W$108)</f>
        <v/>
      </c>
      <c r="X127" s="476" t="str">
        <f>IF($AC$127="","",$X$108)</f>
        <v/>
      </c>
      <c r="Y127" s="477" t="str">
        <f>IF($X$127="","",$Y$108)</f>
        <v/>
      </c>
      <c r="Z127" s="477" t="str">
        <f>IF($X$127="","",$Z$108)</f>
        <v/>
      </c>
      <c r="AA127" s="477" t="str">
        <f>IF($AC$127="","",ROW($A$127)-ROW($A$108))</f>
        <v/>
      </c>
      <c r="AB127" s="478"/>
      <c r="AC127" s="34"/>
      <c r="AD127" s="356"/>
      <c r="AE127" s="479"/>
      <c r="AF127" s="475"/>
      <c r="AG127" s="480" t="str">
        <f t="shared" si="16"/>
        <v/>
      </c>
      <c r="AH127" s="481" t="str">
        <f t="shared" si="17"/>
        <v/>
      </c>
      <c r="AI127" s="477" t="str">
        <f>IF($AC$127="","",IFERROR(INDEX($AZ$74:$AZ$119,MATCH($AH$127,$AY$74:$AY$119,0)),"AUTRE"))</f>
        <v/>
      </c>
      <c r="AJ127" s="482" t="str">
        <f>IF($AC$127="","",IFERROR(INDEX($BA$74:$BA$119,MATCH($AH$127,$AY$74:$AY$119,0)),1))</f>
        <v/>
      </c>
      <c r="AK127" s="482" t="str">
        <f t="shared" si="18"/>
        <v/>
      </c>
      <c r="AL127" s="477" t="str">
        <f>IF($AC$127="","",IFERROR(INDEX($BB$74:$BB$119,MATCH($AH$127,$AY$74:$AY$119,0)),$AH$127))</f>
        <v/>
      </c>
      <c r="AM127" s="483" t="str">
        <f t="shared" si="19"/>
        <v/>
      </c>
      <c r="AN127" s="484" t="str">
        <f t="shared" si="20"/>
        <v/>
      </c>
      <c r="AO127" s="473" t="str">
        <f t="shared" si="21"/>
        <v/>
      </c>
      <c r="AP127" s="473" t="str">
        <f t="shared" si="22"/>
        <v/>
      </c>
      <c r="AQ127" s="473" t="str">
        <f t="shared" si="23"/>
        <v/>
      </c>
      <c r="AR127" s="473" t="str">
        <f t="shared" si="24"/>
        <v/>
      </c>
      <c r="AS127" s="473" t="str">
        <f t="shared" si="25"/>
        <v/>
      </c>
      <c r="AT127" s="473" t="str">
        <f t="shared" si="26"/>
        <v/>
      </c>
      <c r="AU127" s="473" t="str">
        <f t="shared" si="27"/>
        <v/>
      </c>
      <c r="AZ127" s="30" t="s">
        <v>10</v>
      </c>
      <c r="BA127" s="34" t="s">
        <v>469</v>
      </c>
      <c r="BB127" s="500"/>
      <c r="BC127" s="271"/>
      <c r="BD127" s="279">
        <v>1</v>
      </c>
      <c r="BE127" s="271"/>
      <c r="BF127" s="271"/>
      <c r="BG127" s="271"/>
      <c r="BH127" s="271"/>
      <c r="BI127" s="271"/>
      <c r="BJ127" s="271"/>
      <c r="BK127" s="271"/>
      <c r="BL127" s="271"/>
    </row>
    <row r="128" spans="18:64" ht="21" customHeight="1" x14ac:dyDescent="0.25">
      <c r="R128" s="34" t="s">
        <v>492</v>
      </c>
      <c r="S128" s="451"/>
      <c r="T128" s="28" t="s">
        <v>24</v>
      </c>
      <c r="V128" s="475">
        <v>2</v>
      </c>
      <c r="W128" s="475" t="str">
        <f>IF($AC$128="","",$W$108)</f>
        <v/>
      </c>
      <c r="X128" s="476" t="str">
        <f>IF($AC$128="","",$X$108)</f>
        <v/>
      </c>
      <c r="Y128" s="477" t="str">
        <f>IF($X$128="","",$Y$108)</f>
        <v/>
      </c>
      <c r="Z128" s="477" t="str">
        <f>IF($X$128="","",$Z$108)</f>
        <v/>
      </c>
      <c r="AA128" s="477" t="str">
        <f>IF($AC$128="","",ROW($A$128)-ROW($A$108))</f>
        <v/>
      </c>
      <c r="AB128" s="478"/>
      <c r="AC128" s="34"/>
      <c r="AD128" s="356"/>
      <c r="AE128" s="479"/>
      <c r="AF128" s="475"/>
      <c r="AG128" s="480" t="str">
        <f t="shared" si="16"/>
        <v/>
      </c>
      <c r="AH128" s="481" t="str">
        <f t="shared" si="17"/>
        <v/>
      </c>
      <c r="AI128" s="477" t="str">
        <f>IF($AC$128="","",IFERROR(INDEX($AZ$74:$AZ$119,MATCH($AH$128,$AY$74:$AY$119,0)),"AUTRE"))</f>
        <v/>
      </c>
      <c r="AJ128" s="482" t="str">
        <f>IF($AC$128="","",IFERROR(INDEX($BA$74:$BA$119,MATCH($AH$128,$AY$74:$AY$119,0)),1))</f>
        <v/>
      </c>
      <c r="AK128" s="482" t="str">
        <f t="shared" si="18"/>
        <v/>
      </c>
      <c r="AL128" s="477" t="str">
        <f>IF($AC$128="","",IFERROR(INDEX($BB$74:$BB$119,MATCH($AH$128,$AY$74:$AY$119,0)),$AH$128))</f>
        <v/>
      </c>
      <c r="AM128" s="483" t="str">
        <f t="shared" si="19"/>
        <v/>
      </c>
      <c r="AN128" s="484" t="str">
        <f t="shared" si="20"/>
        <v/>
      </c>
      <c r="AO128" s="473" t="str">
        <f t="shared" si="21"/>
        <v/>
      </c>
      <c r="AP128" s="473" t="str">
        <f t="shared" si="22"/>
        <v/>
      </c>
      <c r="AQ128" s="473" t="str">
        <f t="shared" si="23"/>
        <v/>
      </c>
      <c r="AR128" s="473" t="str">
        <f t="shared" si="24"/>
        <v/>
      </c>
      <c r="AS128" s="473" t="str">
        <f t="shared" si="25"/>
        <v/>
      </c>
      <c r="AT128" s="473" t="str">
        <f t="shared" si="26"/>
        <v/>
      </c>
      <c r="AU128" s="473" t="str">
        <f t="shared" si="27"/>
        <v/>
      </c>
      <c r="AZ128" s="30" t="s">
        <v>11</v>
      </c>
      <c r="BA128" s="34" t="s">
        <v>6118</v>
      </c>
      <c r="BB128" s="500"/>
      <c r="BC128" s="271"/>
      <c r="BD128" s="279">
        <v>1</v>
      </c>
      <c r="BE128" s="271"/>
      <c r="BF128" s="271"/>
      <c r="BG128" s="271"/>
      <c r="BH128" s="271"/>
      <c r="BI128" s="271"/>
      <c r="BJ128" s="271"/>
      <c r="BK128" s="271"/>
      <c r="BL128" s="271"/>
    </row>
    <row r="129" spans="18:64" ht="21" customHeight="1" x14ac:dyDescent="0.25">
      <c r="R129" s="34" t="s">
        <v>458</v>
      </c>
      <c r="S129" s="451"/>
      <c r="T129" s="29" t="s">
        <v>9</v>
      </c>
      <c r="V129" s="475">
        <v>2</v>
      </c>
      <c r="W129" s="475" t="str">
        <f>IF($AC$129="","",$W$108)</f>
        <v/>
      </c>
      <c r="X129" s="476" t="str">
        <f>IF($AC$129="","",$X$108)</f>
        <v/>
      </c>
      <c r="Y129" s="477" t="str">
        <f>IF($X$129="","",$Y$108)</f>
        <v/>
      </c>
      <c r="Z129" s="477" t="str">
        <f>IF($X$129="","",$Z$108)</f>
        <v/>
      </c>
      <c r="AA129" s="477" t="str">
        <f>IF($AC$129="","",ROW($A$129)-ROW($A$108))</f>
        <v/>
      </c>
      <c r="AB129" s="478"/>
      <c r="AC129" s="34"/>
      <c r="AD129" s="356"/>
      <c r="AE129" s="479"/>
      <c r="AF129" s="475"/>
      <c r="AG129" s="480" t="str">
        <f t="shared" si="16"/>
        <v/>
      </c>
      <c r="AH129" s="481" t="str">
        <f t="shared" si="17"/>
        <v/>
      </c>
      <c r="AI129" s="477" t="str">
        <f>IF($AC$129="","",IFERROR(INDEX($AZ$74:$AZ$119,MATCH($AH$129,$AY$74:$AY$119,0)),"AUTRE"))</f>
        <v/>
      </c>
      <c r="AJ129" s="482" t="str">
        <f>IF($AC$129="","",IFERROR(INDEX($BA$74:$BA$119,MATCH($AH$129,$AY$74:$AY$119,0)),1))</f>
        <v/>
      </c>
      <c r="AK129" s="482" t="str">
        <f t="shared" si="18"/>
        <v/>
      </c>
      <c r="AL129" s="477" t="str">
        <f>IF($AC$129="","",IFERROR(INDEX($BB$74:$BB$119,MATCH($AH$129,$AY$74:$AY$119,0)),$AH$129))</f>
        <v/>
      </c>
      <c r="AM129" s="483" t="str">
        <f t="shared" si="19"/>
        <v/>
      </c>
      <c r="AN129" s="484" t="str">
        <f t="shared" si="20"/>
        <v/>
      </c>
      <c r="AO129" s="473" t="str">
        <f t="shared" si="21"/>
        <v/>
      </c>
      <c r="AP129" s="473" t="str">
        <f t="shared" si="22"/>
        <v/>
      </c>
      <c r="AQ129" s="473" t="str">
        <f t="shared" si="23"/>
        <v/>
      </c>
      <c r="AR129" s="473" t="str">
        <f t="shared" si="24"/>
        <v/>
      </c>
      <c r="AS129" s="473" t="str">
        <f t="shared" si="25"/>
        <v/>
      </c>
      <c r="AT129" s="473" t="str">
        <f t="shared" si="26"/>
        <v/>
      </c>
      <c r="AU129" s="473" t="str">
        <f t="shared" si="27"/>
        <v/>
      </c>
      <c r="AZ129" s="30" t="s">
        <v>12</v>
      </c>
      <c r="BA129" s="34" t="s">
        <v>492</v>
      </c>
      <c r="BB129" s="500"/>
      <c r="BC129" s="271"/>
      <c r="BD129" s="279">
        <v>1</v>
      </c>
      <c r="BE129" s="271"/>
      <c r="BF129" s="271"/>
      <c r="BG129" s="271"/>
      <c r="BH129" s="271"/>
      <c r="BI129" s="271"/>
      <c r="BJ129" s="271"/>
      <c r="BK129" s="271"/>
      <c r="BL129" s="271"/>
    </row>
    <row r="130" spans="18:64" ht="21" customHeight="1" x14ac:dyDescent="0.25">
      <c r="R130" s="490"/>
      <c r="S130" s="451"/>
      <c r="T130" s="30" t="s">
        <v>10</v>
      </c>
      <c r="V130" s="475">
        <v>2</v>
      </c>
      <c r="W130" s="475" t="str">
        <f>IF($AC$130="","",$W$108)</f>
        <v/>
      </c>
      <c r="X130" s="476" t="str">
        <f>IF($AC$130="","",$X$108)</f>
        <v/>
      </c>
      <c r="Y130" s="477" t="str">
        <f>IF($X$130="","",$Y$108)</f>
        <v/>
      </c>
      <c r="Z130" s="477" t="str">
        <f>IF($X$130="","",$Z$108)</f>
        <v/>
      </c>
      <c r="AA130" s="477" t="str">
        <f>IF($AC$130="","",ROW($A$130)-ROW($A$108))</f>
        <v/>
      </c>
      <c r="AB130" s="478"/>
      <c r="AC130" s="34"/>
      <c r="AD130" s="356"/>
      <c r="AE130" s="479"/>
      <c r="AF130" s="475"/>
      <c r="AG130" s="480" t="str">
        <f t="shared" si="16"/>
        <v/>
      </c>
      <c r="AH130" s="481" t="str">
        <f t="shared" si="17"/>
        <v/>
      </c>
      <c r="AI130" s="477" t="str">
        <f>IF($AC$130="","",IFERROR(INDEX($AZ$74:$AZ$119,MATCH($AH$130,$AY$74:$AY$119,0)),"AUTRE"))</f>
        <v/>
      </c>
      <c r="AJ130" s="482" t="str">
        <f>IF($AC$130="","",IFERROR(INDEX($BA$74:$BA$119,MATCH($AH$130,$AY$74:$AY$119,0)),1))</f>
        <v/>
      </c>
      <c r="AK130" s="482" t="str">
        <f t="shared" si="18"/>
        <v/>
      </c>
      <c r="AL130" s="477" t="str">
        <f>IF($AC$130="","",IFERROR(INDEX($BB$74:$BB$119,MATCH($AH$130,$AY$74:$AY$119,0)),$AH$130))</f>
        <v/>
      </c>
      <c r="AM130" s="483" t="str">
        <f t="shared" si="19"/>
        <v/>
      </c>
      <c r="AN130" s="484" t="str">
        <f t="shared" si="20"/>
        <v/>
      </c>
      <c r="AO130" s="473" t="str">
        <f t="shared" si="21"/>
        <v/>
      </c>
      <c r="AP130" s="473" t="str">
        <f t="shared" si="22"/>
        <v/>
      </c>
      <c r="AQ130" s="473" t="str">
        <f t="shared" si="23"/>
        <v/>
      </c>
      <c r="AR130" s="473" t="str">
        <f t="shared" si="24"/>
        <v/>
      </c>
      <c r="AS130" s="473" t="str">
        <f t="shared" si="25"/>
        <v/>
      </c>
      <c r="AT130" s="473" t="str">
        <f t="shared" si="26"/>
        <v/>
      </c>
      <c r="AU130" s="473" t="str">
        <f t="shared" si="27"/>
        <v/>
      </c>
      <c r="AZ130" s="31" t="s">
        <v>16</v>
      </c>
      <c r="BA130" s="34" t="s">
        <v>458</v>
      </c>
      <c r="BB130" s="500"/>
      <c r="BC130" s="271"/>
      <c r="BD130" s="279">
        <v>1</v>
      </c>
      <c r="BE130" s="271"/>
      <c r="BF130" s="271"/>
      <c r="BG130" s="271"/>
      <c r="BH130" s="271"/>
      <c r="BI130" s="271"/>
      <c r="BJ130" s="271"/>
      <c r="BK130" s="271"/>
      <c r="BL130" s="271"/>
    </row>
    <row r="131" spans="18:64" ht="21" customHeight="1" x14ac:dyDescent="0.25">
      <c r="R131" s="25" t="s">
        <v>6119</v>
      </c>
      <c r="S131" s="451"/>
      <c r="T131" s="30" t="s">
        <v>11</v>
      </c>
      <c r="V131" s="475">
        <v>2</v>
      </c>
      <c r="W131" s="475" t="str">
        <f>IF($AC$131="","",$W$108)</f>
        <v/>
      </c>
      <c r="X131" s="476" t="str">
        <f>IF($AC$131="","",$X$108)</f>
        <v/>
      </c>
      <c r="Y131" s="477" t="str">
        <f>IF($X$131="","",$Y$108)</f>
        <v/>
      </c>
      <c r="Z131" s="477" t="str">
        <f>IF($X$131="","",$Z$108)</f>
        <v/>
      </c>
      <c r="AA131" s="477" t="str">
        <f>IF($AC$131="","",ROW($A$131)-ROW($A$108))</f>
        <v/>
      </c>
      <c r="AB131" s="478"/>
      <c r="AC131" s="34"/>
      <c r="AD131" s="356"/>
      <c r="AE131" s="479"/>
      <c r="AF131" s="475"/>
      <c r="AG131" s="480" t="str">
        <f t="shared" si="16"/>
        <v/>
      </c>
      <c r="AH131" s="481" t="str">
        <f t="shared" si="17"/>
        <v/>
      </c>
      <c r="AI131" s="477" t="str">
        <f>IF($AC$131="","",IFERROR(INDEX($AZ$74:$AZ$119,MATCH($AH$131,$AY$74:$AY$119,0)),"AUTRE"))</f>
        <v/>
      </c>
      <c r="AJ131" s="482" t="str">
        <f>IF($AC$131="","",IFERROR(INDEX($BA$74:$BA$119,MATCH($AH$131,$AY$74:$AY$119,0)),1))</f>
        <v/>
      </c>
      <c r="AK131" s="482" t="str">
        <f t="shared" si="18"/>
        <v/>
      </c>
      <c r="AL131" s="477" t="str">
        <f>IF($AC$131="","",IFERROR(INDEX($BB$74:$BB$119,MATCH($AH$131,$AY$74:$AY$119,0)),$AH$131))</f>
        <v/>
      </c>
      <c r="AM131" s="483" t="str">
        <f t="shared" si="19"/>
        <v/>
      </c>
      <c r="AN131" s="484" t="str">
        <f t="shared" si="20"/>
        <v/>
      </c>
      <c r="AO131" s="473" t="str">
        <f t="shared" si="21"/>
        <v/>
      </c>
      <c r="AP131" s="473" t="str">
        <f t="shared" si="22"/>
        <v/>
      </c>
      <c r="AQ131" s="473" t="str">
        <f t="shared" si="23"/>
        <v/>
      </c>
      <c r="AR131" s="473" t="str">
        <f t="shared" si="24"/>
        <v/>
      </c>
      <c r="AS131" s="473" t="str">
        <f t="shared" si="25"/>
        <v/>
      </c>
      <c r="AT131" s="473" t="str">
        <f t="shared" si="26"/>
        <v/>
      </c>
      <c r="AU131" s="473" t="str">
        <f t="shared" si="27"/>
        <v/>
      </c>
      <c r="AZ131" s="31" t="s">
        <v>17</v>
      </c>
      <c r="BA131" s="490"/>
      <c r="BB131" s="500"/>
      <c r="BC131" s="271"/>
      <c r="BD131" s="279">
        <v>1</v>
      </c>
      <c r="BE131" s="271"/>
      <c r="BF131" s="271"/>
      <c r="BG131" s="271"/>
      <c r="BH131" s="271"/>
      <c r="BI131" s="271"/>
      <c r="BJ131" s="271"/>
      <c r="BK131" s="271"/>
      <c r="BL131" s="271"/>
    </row>
    <row r="132" spans="18:64" ht="21" customHeight="1" x14ac:dyDescent="0.25">
      <c r="R132" s="34" t="s">
        <v>6120</v>
      </c>
      <c r="S132" s="451"/>
      <c r="T132" s="30" t="s">
        <v>12</v>
      </c>
      <c r="V132" s="475">
        <v>2</v>
      </c>
      <c r="W132" s="475" t="str">
        <f>IF($AC$132="","",$W$108)</f>
        <v/>
      </c>
      <c r="X132" s="476" t="str">
        <f>IF($AC$132="","",$X$108)</f>
        <v/>
      </c>
      <c r="Y132" s="477" t="str">
        <f>IF($X$132="","",$Y$108)</f>
        <v/>
      </c>
      <c r="Z132" s="477" t="str">
        <f>IF($X$132="","",$Z$108)</f>
        <v/>
      </c>
      <c r="AA132" s="477" t="str">
        <f>IF($AC$132="","",ROW($A$132)-ROW($A$108))</f>
        <v/>
      </c>
      <c r="AB132" s="478"/>
      <c r="AC132" s="34"/>
      <c r="AD132" s="356"/>
      <c r="AE132" s="479"/>
      <c r="AF132" s="475"/>
      <c r="AG132" s="480" t="str">
        <f t="shared" si="16"/>
        <v/>
      </c>
      <c r="AH132" s="481" t="str">
        <f t="shared" si="17"/>
        <v/>
      </c>
      <c r="AI132" s="477" t="str">
        <f>IF($AC$132="","",IFERROR(INDEX($AZ$74:$AZ$119,MATCH($AH$132,$AY$74:$AY$119,0)),"AUTRE"))</f>
        <v/>
      </c>
      <c r="AJ132" s="482" t="str">
        <f>IF($AC$132="","",IFERROR(INDEX($BA$74:$BA$119,MATCH($AH$132,$AY$74:$AY$119,0)),1))</f>
        <v/>
      </c>
      <c r="AK132" s="482" t="str">
        <f t="shared" si="18"/>
        <v/>
      </c>
      <c r="AL132" s="477" t="str">
        <f>IF($AC$132="","",IFERROR(INDEX($BB$74:$BB$119,MATCH($AH$132,$AY$74:$AY$119,0)),$AH$132))</f>
        <v/>
      </c>
      <c r="AM132" s="483" t="str">
        <f t="shared" si="19"/>
        <v/>
      </c>
      <c r="AN132" s="484" t="str">
        <f t="shared" si="20"/>
        <v/>
      </c>
      <c r="AO132" s="473" t="str">
        <f t="shared" si="21"/>
        <v/>
      </c>
      <c r="AP132" s="473" t="str">
        <f t="shared" si="22"/>
        <v/>
      </c>
      <c r="AQ132" s="473" t="str">
        <f t="shared" si="23"/>
        <v/>
      </c>
      <c r="AR132" s="473" t="str">
        <f t="shared" si="24"/>
        <v/>
      </c>
      <c r="AS132" s="473" t="str">
        <f t="shared" si="25"/>
        <v/>
      </c>
      <c r="AT132" s="473" t="str">
        <f t="shared" si="26"/>
        <v/>
      </c>
      <c r="AU132" s="473" t="str">
        <f t="shared" si="27"/>
        <v/>
      </c>
      <c r="AZ132" s="31" t="s">
        <v>18</v>
      </c>
      <c r="BA132" s="25" t="s">
        <v>6119</v>
      </c>
      <c r="BB132" s="500"/>
      <c r="BC132" s="271"/>
      <c r="BD132" s="279">
        <v>1</v>
      </c>
      <c r="BE132" s="271"/>
      <c r="BF132" s="271"/>
      <c r="BG132" s="271"/>
      <c r="BH132" s="271"/>
      <c r="BI132" s="271"/>
      <c r="BJ132" s="271"/>
      <c r="BK132" s="271"/>
      <c r="BL132" s="271"/>
    </row>
    <row r="133" spans="18:64" ht="21" customHeight="1" x14ac:dyDescent="0.25">
      <c r="R133" s="34" t="s">
        <v>6121</v>
      </c>
      <c r="S133" s="451"/>
      <c r="T133" s="31" t="s">
        <v>16</v>
      </c>
      <c r="V133" s="475">
        <v>2</v>
      </c>
      <c r="W133" s="475" t="str">
        <f>IF($AC$133="","",$W$108)</f>
        <v/>
      </c>
      <c r="X133" s="476" t="str">
        <f>IF($AC$133="","",$X$108)</f>
        <v/>
      </c>
      <c r="Y133" s="477" t="str">
        <f>IF($X$133="","",$Y$108)</f>
        <v/>
      </c>
      <c r="Z133" s="477" t="str">
        <f>IF($X$133="","",$Z$108)</f>
        <v/>
      </c>
      <c r="AA133" s="477" t="str">
        <f>IF($AC$133="","",ROW($A$133)-ROW($A$108))</f>
        <v/>
      </c>
      <c r="AB133" s="478"/>
      <c r="AC133" s="34"/>
      <c r="AD133" s="356"/>
      <c r="AE133" s="479"/>
      <c r="AF133" s="475"/>
      <c r="AG133" s="480" t="str">
        <f t="shared" si="16"/>
        <v/>
      </c>
      <c r="AH133" s="481" t="str">
        <f t="shared" si="17"/>
        <v/>
      </c>
      <c r="AI133" s="477" t="str">
        <f>IF($AC$133="","",IFERROR(INDEX($AZ$74:$AZ$119,MATCH($AH$133,$AY$74:$AY$119,0)),"AUTRE"))</f>
        <v/>
      </c>
      <c r="AJ133" s="482" t="str">
        <f>IF($AC$133="","",IFERROR(INDEX($BA$74:$BA$119,MATCH($AH$133,$AY$74:$AY$119,0)),1))</f>
        <v/>
      </c>
      <c r="AK133" s="482" t="str">
        <f t="shared" si="18"/>
        <v/>
      </c>
      <c r="AL133" s="477" t="str">
        <f>IF($AC$133="","",IFERROR(INDEX($BB$74:$BB$119,MATCH($AH$133,$AY$74:$AY$119,0)),$AH$133))</f>
        <v/>
      </c>
      <c r="AM133" s="483" t="str">
        <f t="shared" si="19"/>
        <v/>
      </c>
      <c r="AN133" s="484" t="str">
        <f t="shared" si="20"/>
        <v/>
      </c>
      <c r="AO133" s="473" t="str">
        <f t="shared" si="21"/>
        <v/>
      </c>
      <c r="AP133" s="473" t="str">
        <f t="shared" si="22"/>
        <v/>
      </c>
      <c r="AQ133" s="473" t="str">
        <f t="shared" si="23"/>
        <v/>
      </c>
      <c r="AR133" s="473" t="str">
        <f t="shared" si="24"/>
        <v/>
      </c>
      <c r="AS133" s="473" t="str">
        <f t="shared" si="25"/>
        <v/>
      </c>
      <c r="AT133" s="473" t="str">
        <f t="shared" si="26"/>
        <v/>
      </c>
      <c r="AU133" s="473" t="str">
        <f t="shared" si="27"/>
        <v/>
      </c>
      <c r="AZ133" s="31" t="s">
        <v>19</v>
      </c>
      <c r="BA133" s="34" t="s">
        <v>6120</v>
      </c>
      <c r="BB133" s="500"/>
      <c r="BC133" s="271"/>
      <c r="BD133" s="279">
        <v>1</v>
      </c>
      <c r="BE133" s="271"/>
      <c r="BF133" s="271"/>
      <c r="BG133" s="271"/>
      <c r="BH133" s="271"/>
      <c r="BI133" s="271"/>
      <c r="BJ133" s="271"/>
      <c r="BK133" s="271"/>
      <c r="BL133" s="271"/>
    </row>
    <row r="134" spans="18:64" ht="21" customHeight="1" x14ac:dyDescent="0.25">
      <c r="R134" s="34" t="s">
        <v>6122</v>
      </c>
      <c r="S134" s="451"/>
      <c r="T134" s="31" t="s">
        <v>17</v>
      </c>
      <c r="V134" s="475">
        <v>2</v>
      </c>
      <c r="W134" s="475" t="str">
        <f>IF($AC$134="","",$W$108)</f>
        <v/>
      </c>
      <c r="X134" s="476" t="str">
        <f>IF($AC$134="","",$X$108)</f>
        <v/>
      </c>
      <c r="Y134" s="477" t="str">
        <f>IF($X$134="","",$Y$108)</f>
        <v/>
      </c>
      <c r="Z134" s="477" t="str">
        <f>IF($X$134="","",$Z$108)</f>
        <v/>
      </c>
      <c r="AA134" s="477" t="str">
        <f>IF($AC$134="","",ROW($A$134)-ROW($A$108))</f>
        <v/>
      </c>
      <c r="AB134" s="478"/>
      <c r="AC134" s="34"/>
      <c r="AD134" s="356"/>
      <c r="AE134" s="479"/>
      <c r="AF134" s="475"/>
      <c r="AG134" s="480" t="str">
        <f t="shared" si="16"/>
        <v/>
      </c>
      <c r="AH134" s="481" t="str">
        <f t="shared" si="17"/>
        <v/>
      </c>
      <c r="AI134" s="477" t="str">
        <f>IF($AC$134="","",IFERROR(INDEX($AZ$74:$AZ$119,MATCH($AH$134,$AY$74:$AY$119,0)),"AUTRE"))</f>
        <v/>
      </c>
      <c r="AJ134" s="482" t="str">
        <f>IF($AC$134="","",IFERROR(INDEX($BA$74:$BA$119,MATCH($AH$134,$AY$74:$AY$119,0)),1))</f>
        <v/>
      </c>
      <c r="AK134" s="482" t="str">
        <f t="shared" si="18"/>
        <v/>
      </c>
      <c r="AL134" s="477" t="str">
        <f>IF($AC$134="","",IFERROR(INDEX($BB$74:$BB$119,MATCH($AH$134,$AY$74:$AY$119,0)),$AH$134))</f>
        <v/>
      </c>
      <c r="AM134" s="483" t="str">
        <f t="shared" si="19"/>
        <v/>
      </c>
      <c r="AN134" s="484" t="str">
        <f t="shared" si="20"/>
        <v/>
      </c>
      <c r="AO134" s="473" t="str">
        <f t="shared" si="21"/>
        <v/>
      </c>
      <c r="AP134" s="473" t="str">
        <f t="shared" si="22"/>
        <v/>
      </c>
      <c r="AQ134" s="473" t="str">
        <f t="shared" si="23"/>
        <v/>
      </c>
      <c r="AR134" s="473" t="str">
        <f t="shared" si="24"/>
        <v/>
      </c>
      <c r="AS134" s="473" t="str">
        <f t="shared" si="25"/>
        <v/>
      </c>
      <c r="AT134" s="473" t="str">
        <f t="shared" si="26"/>
        <v/>
      </c>
      <c r="AU134" s="473" t="str">
        <f t="shared" si="27"/>
        <v/>
      </c>
      <c r="AZ134" s="31" t="s">
        <v>211</v>
      </c>
      <c r="BA134" s="34" t="s">
        <v>6121</v>
      </c>
      <c r="BB134" s="500"/>
      <c r="BC134" s="271"/>
      <c r="BD134" s="279">
        <v>1</v>
      </c>
      <c r="BE134" s="271"/>
      <c r="BF134" s="271"/>
      <c r="BG134" s="271"/>
      <c r="BH134" s="271"/>
      <c r="BI134" s="271"/>
      <c r="BJ134" s="271"/>
      <c r="BK134" s="271"/>
      <c r="BL134" s="271"/>
    </row>
    <row r="135" spans="18:64" ht="21" customHeight="1" x14ac:dyDescent="0.25">
      <c r="R135" s="34" t="s">
        <v>6123</v>
      </c>
      <c r="S135" s="451"/>
      <c r="T135" s="31" t="s">
        <v>18</v>
      </c>
      <c r="V135" s="475">
        <v>2</v>
      </c>
      <c r="W135" s="475" t="str">
        <f>IF($AC$135="","",$W$108)</f>
        <v/>
      </c>
      <c r="X135" s="476" t="str">
        <f>IF($AC$135="","",$X$108)</f>
        <v/>
      </c>
      <c r="Y135" s="477" t="str">
        <f>IF($X$135="","",$Y$108)</f>
        <v/>
      </c>
      <c r="Z135" s="477" t="str">
        <f>IF($X$135="","",$Z$108)</f>
        <v/>
      </c>
      <c r="AA135" s="477" t="str">
        <f>IF($AC$135="","",ROW($A$135)-ROW($A$108))</f>
        <v/>
      </c>
      <c r="AB135" s="478"/>
      <c r="AC135" s="34"/>
      <c r="AD135" s="356"/>
      <c r="AE135" s="479"/>
      <c r="AF135" s="475"/>
      <c r="AG135" s="480" t="str">
        <f t="shared" si="16"/>
        <v/>
      </c>
      <c r="AH135" s="481" t="str">
        <f t="shared" si="17"/>
        <v/>
      </c>
      <c r="AI135" s="477" t="str">
        <f>IF($AC$135="","",IFERROR(INDEX($AZ$74:$AZ$119,MATCH($AH$135,$AY$74:$AY$119,0)),"AUTRE"))</f>
        <v/>
      </c>
      <c r="AJ135" s="482" t="str">
        <f>IF($AC$135="","",IFERROR(INDEX($BA$74:$BA$119,MATCH($AH$135,$AY$74:$AY$119,0)),1))</f>
        <v/>
      </c>
      <c r="AK135" s="482" t="str">
        <f t="shared" si="18"/>
        <v/>
      </c>
      <c r="AL135" s="477" t="str">
        <f>IF($AC$135="","",IFERROR(INDEX($BB$74:$BB$119,MATCH($AH$135,$AY$74:$AY$119,0)),$AH$135))</f>
        <v/>
      </c>
      <c r="AM135" s="483" t="str">
        <f t="shared" si="19"/>
        <v/>
      </c>
      <c r="AN135" s="484" t="str">
        <f t="shared" si="20"/>
        <v/>
      </c>
      <c r="AO135" s="473" t="str">
        <f t="shared" si="21"/>
        <v/>
      </c>
      <c r="AP135" s="473" t="str">
        <f t="shared" si="22"/>
        <v/>
      </c>
      <c r="AQ135" s="473" t="str">
        <f t="shared" si="23"/>
        <v/>
      </c>
      <c r="AR135" s="473" t="str">
        <f t="shared" si="24"/>
        <v/>
      </c>
      <c r="AS135" s="473" t="str">
        <f t="shared" si="25"/>
        <v/>
      </c>
      <c r="AT135" s="473" t="str">
        <f t="shared" si="26"/>
        <v/>
      </c>
      <c r="AU135" s="473" t="str">
        <f t="shared" si="27"/>
        <v/>
      </c>
      <c r="AZ135" s="31" t="s">
        <v>20</v>
      </c>
      <c r="BA135" s="34" t="s">
        <v>6122</v>
      </c>
      <c r="BB135" s="500"/>
      <c r="BC135" s="271"/>
      <c r="BD135" s="279">
        <v>1</v>
      </c>
      <c r="BE135" s="271"/>
      <c r="BF135" s="271"/>
      <c r="BG135" s="271"/>
      <c r="BH135" s="271"/>
      <c r="BI135" s="271"/>
      <c r="BJ135" s="271"/>
      <c r="BK135" s="271"/>
      <c r="BL135" s="271"/>
    </row>
    <row r="136" spans="18:64" ht="21" customHeight="1" x14ac:dyDescent="0.25">
      <c r="R136" s="34" t="s">
        <v>6124</v>
      </c>
      <c r="S136" s="451"/>
      <c r="T136" s="31" t="s">
        <v>19</v>
      </c>
      <c r="V136" s="475">
        <v>2</v>
      </c>
      <c r="W136" s="475" t="str">
        <f>IF($AC$136="","",$W$108)</f>
        <v/>
      </c>
      <c r="X136" s="476" t="str">
        <f>IF($AC$136="","",$X$108)</f>
        <v/>
      </c>
      <c r="Y136" s="477" t="str">
        <f>IF($X$136="","",$Y$108)</f>
        <v/>
      </c>
      <c r="Z136" s="477" t="str">
        <f>IF($X$136="","",$Z$108)</f>
        <v/>
      </c>
      <c r="AA136" s="477" t="str">
        <f>IF($AC$136="","",ROW($A$136)-ROW($A$108))</f>
        <v/>
      </c>
      <c r="AB136" s="478"/>
      <c r="AC136" s="34"/>
      <c r="AD136" s="356"/>
      <c r="AE136" s="479"/>
      <c r="AF136" s="475"/>
      <c r="AG136" s="480" t="str">
        <f t="shared" si="16"/>
        <v/>
      </c>
      <c r="AH136" s="481" t="str">
        <f t="shared" si="17"/>
        <v/>
      </c>
      <c r="AI136" s="477" t="str">
        <f>IF($AC$136="","",IFERROR(INDEX($AZ$74:$AZ$119,MATCH($AH$136,$AY$74:$AY$119,0)),"AUTRE"))</f>
        <v/>
      </c>
      <c r="AJ136" s="482" t="str">
        <f>IF($AC$136="","",IFERROR(INDEX($BA$74:$BA$119,MATCH($AH$136,$AY$74:$AY$119,0)),1))</f>
        <v/>
      </c>
      <c r="AK136" s="482" t="str">
        <f t="shared" si="18"/>
        <v/>
      </c>
      <c r="AL136" s="477" t="str">
        <f>IF($AC$136="","",IFERROR(INDEX($BB$74:$BB$119,MATCH($AH$136,$AY$74:$AY$119,0)),$AH$136))</f>
        <v/>
      </c>
      <c r="AM136" s="483" t="str">
        <f t="shared" si="19"/>
        <v/>
      </c>
      <c r="AN136" s="484" t="str">
        <f t="shared" si="20"/>
        <v/>
      </c>
      <c r="AO136" s="473" t="str">
        <f t="shared" si="21"/>
        <v/>
      </c>
      <c r="AP136" s="473" t="str">
        <f t="shared" si="22"/>
        <v/>
      </c>
      <c r="AQ136" s="473" t="str">
        <f t="shared" si="23"/>
        <v/>
      </c>
      <c r="AR136" s="473" t="str">
        <f t="shared" si="24"/>
        <v/>
      </c>
      <c r="AS136" s="473" t="str">
        <f t="shared" si="25"/>
        <v/>
      </c>
      <c r="AT136" s="473" t="str">
        <f t="shared" si="26"/>
        <v/>
      </c>
      <c r="AU136" s="473" t="str">
        <f t="shared" si="27"/>
        <v/>
      </c>
      <c r="AZ136" s="31" t="s">
        <v>304</v>
      </c>
      <c r="BA136" s="34" t="s">
        <v>6123</v>
      </c>
      <c r="BB136" s="500"/>
      <c r="BC136" s="271"/>
      <c r="BD136" s="279">
        <v>1</v>
      </c>
      <c r="BE136" s="271"/>
      <c r="BF136" s="271"/>
      <c r="BG136" s="271"/>
      <c r="BH136" s="271"/>
      <c r="BI136" s="271"/>
      <c r="BJ136" s="271"/>
      <c r="BK136" s="271"/>
      <c r="BL136" s="271"/>
    </row>
    <row r="137" spans="18:64" ht="21" customHeight="1" x14ac:dyDescent="0.25">
      <c r="R137" s="34" t="s">
        <v>6125</v>
      </c>
      <c r="S137" s="451"/>
      <c r="T137" s="31" t="s">
        <v>211</v>
      </c>
      <c r="V137" s="475">
        <v>2</v>
      </c>
      <c r="W137" s="475" t="str">
        <f>IF($AC$137="","",$W$108)</f>
        <v/>
      </c>
      <c r="X137" s="476" t="str">
        <f>IF($AC$137="","",$X$108)</f>
        <v/>
      </c>
      <c r="Y137" s="477" t="str">
        <f>IF($X$137="","",$Y$108)</f>
        <v/>
      </c>
      <c r="Z137" s="477" t="str">
        <f>IF($X$137="","",$Z$108)</f>
        <v/>
      </c>
      <c r="AA137" s="477" t="str">
        <f>IF($AC$137="","",ROW($A$137)-ROW($A$108))</f>
        <v/>
      </c>
      <c r="AB137" s="478"/>
      <c r="AC137" s="34"/>
      <c r="AD137" s="356"/>
      <c r="AE137" s="479"/>
      <c r="AF137" s="475"/>
      <c r="AG137" s="480" t="str">
        <f t="shared" si="16"/>
        <v/>
      </c>
      <c r="AH137" s="481" t="str">
        <f t="shared" si="17"/>
        <v/>
      </c>
      <c r="AI137" s="477" t="str">
        <f>IF($AC$137="","",IFERROR(INDEX($AZ$74:$AZ$119,MATCH($AH$137,$AY$74:$AY$119,0)),"AUTRE"))</f>
        <v/>
      </c>
      <c r="AJ137" s="482" t="str">
        <f>IF($AC$137="","",IFERROR(INDEX($BA$74:$BA$119,MATCH($AH$137,$AY$74:$AY$119,0)),1))</f>
        <v/>
      </c>
      <c r="AK137" s="482" t="str">
        <f t="shared" si="18"/>
        <v/>
      </c>
      <c r="AL137" s="477" t="str">
        <f>IF($AC$137="","",IFERROR(INDEX($BB$74:$BB$119,MATCH($AH$137,$AY$74:$AY$119,0)),$AH$137))</f>
        <v/>
      </c>
      <c r="AM137" s="483" t="str">
        <f t="shared" si="19"/>
        <v/>
      </c>
      <c r="AN137" s="484" t="str">
        <f t="shared" si="20"/>
        <v/>
      </c>
      <c r="AO137" s="473" t="str">
        <f t="shared" si="21"/>
        <v/>
      </c>
      <c r="AP137" s="473" t="str">
        <f t="shared" si="22"/>
        <v/>
      </c>
      <c r="AQ137" s="473" t="str">
        <f t="shared" si="23"/>
        <v/>
      </c>
      <c r="AR137" s="473" t="str">
        <f t="shared" si="24"/>
        <v/>
      </c>
      <c r="AS137" s="473" t="str">
        <f t="shared" si="25"/>
        <v/>
      </c>
      <c r="AT137" s="473" t="str">
        <f t="shared" si="26"/>
        <v/>
      </c>
      <c r="AU137" s="473" t="str">
        <f t="shared" si="27"/>
        <v/>
      </c>
      <c r="AY137" s="497" t="s">
        <v>8145</v>
      </c>
      <c r="AZ137" s="31" t="s">
        <v>352</v>
      </c>
      <c r="BA137" s="34" t="s">
        <v>6124</v>
      </c>
      <c r="BB137" s="500"/>
      <c r="BC137" s="271"/>
      <c r="BD137" s="279">
        <v>1</v>
      </c>
      <c r="BE137" s="271"/>
      <c r="BF137" s="271"/>
      <c r="BG137" s="271"/>
      <c r="BH137" s="271"/>
      <c r="BI137" s="271"/>
      <c r="BJ137" s="271"/>
      <c r="BK137" s="271"/>
      <c r="BL137" s="271"/>
    </row>
    <row r="138" spans="18:64" ht="21" customHeight="1" x14ac:dyDescent="0.25">
      <c r="R138" s="34" t="s">
        <v>6126</v>
      </c>
      <c r="S138" s="451"/>
      <c r="T138" s="31" t="s">
        <v>20</v>
      </c>
      <c r="V138" s="475">
        <v>2</v>
      </c>
      <c r="W138" s="475" t="str">
        <f>IF($AC$138="","",$W$108)</f>
        <v/>
      </c>
      <c r="X138" s="476" t="str">
        <f>IF($AC$138="","",$X$108)</f>
        <v/>
      </c>
      <c r="Y138" s="477" t="str">
        <f>IF($X$138="","",$Y$108)</f>
        <v/>
      </c>
      <c r="Z138" s="477" t="str">
        <f>IF($X$138="","",$Z$108)</f>
        <v/>
      </c>
      <c r="AA138" s="477" t="str">
        <f>IF($AC$138="","",ROW($A$138)-ROW($A$108))</f>
        <v/>
      </c>
      <c r="AB138" s="478"/>
      <c r="AC138" s="34"/>
      <c r="AD138" s="356"/>
      <c r="AE138" s="479"/>
      <c r="AF138" s="475"/>
      <c r="AG138" s="480" t="str">
        <f t="shared" si="16"/>
        <v/>
      </c>
      <c r="AH138" s="481" t="str">
        <f t="shared" si="17"/>
        <v/>
      </c>
      <c r="AI138" s="477" t="str">
        <f>IF($AC$138="","",IFERROR(INDEX($AZ$74:$AZ$119,MATCH($AH$138,$AY$74:$AY$119,0)),"AUTRE"))</f>
        <v/>
      </c>
      <c r="AJ138" s="482" t="str">
        <f>IF($AC$138="","",IFERROR(INDEX($BA$74:$BA$119,MATCH($AH$138,$AY$74:$AY$119,0)),1))</f>
        <v/>
      </c>
      <c r="AK138" s="482" t="str">
        <f t="shared" si="18"/>
        <v/>
      </c>
      <c r="AL138" s="477" t="str">
        <f>IF($AC$138="","",IFERROR(INDEX($BB$74:$BB$119,MATCH($AH$138,$AY$74:$AY$119,0)),$AH$138))</f>
        <v/>
      </c>
      <c r="AM138" s="483" t="str">
        <f t="shared" si="19"/>
        <v/>
      </c>
      <c r="AN138" s="484" t="str">
        <f t="shared" si="20"/>
        <v/>
      </c>
      <c r="AO138" s="473" t="str">
        <f t="shared" si="21"/>
        <v/>
      </c>
      <c r="AP138" s="473" t="str">
        <f t="shared" si="22"/>
        <v/>
      </c>
      <c r="AQ138" s="473" t="str">
        <f t="shared" si="23"/>
        <v/>
      </c>
      <c r="AR138" s="473" t="str">
        <f t="shared" si="24"/>
        <v/>
      </c>
      <c r="AS138" s="473" t="str">
        <f t="shared" si="25"/>
        <v/>
      </c>
      <c r="AT138" s="473" t="str">
        <f t="shared" si="26"/>
        <v/>
      </c>
      <c r="AU138" s="473" t="str">
        <f t="shared" si="27"/>
        <v/>
      </c>
      <c r="AY138" s="497" t="s">
        <v>462</v>
      </c>
      <c r="AZ138" s="31" t="s">
        <v>27</v>
      </c>
      <c r="BA138" s="34" t="s">
        <v>6125</v>
      </c>
      <c r="BB138" s="500"/>
      <c r="BC138" s="271"/>
      <c r="BD138" s="279">
        <v>1</v>
      </c>
      <c r="BE138" s="271"/>
      <c r="BF138" s="271"/>
      <c r="BG138" s="271"/>
      <c r="BH138" s="271"/>
      <c r="BI138" s="271"/>
      <c r="BJ138" s="271"/>
      <c r="BK138" s="271"/>
      <c r="BL138" s="271"/>
    </row>
    <row r="139" spans="18:64" ht="21" customHeight="1" x14ac:dyDescent="0.25">
      <c r="R139" s="34" t="s">
        <v>6127</v>
      </c>
      <c r="S139" s="451"/>
      <c r="T139" s="31" t="s">
        <v>304</v>
      </c>
      <c r="V139" s="475">
        <v>2</v>
      </c>
      <c r="W139" s="475" t="str">
        <f>IF($AC$139="","",$W$108)</f>
        <v/>
      </c>
      <c r="X139" s="476" t="str">
        <f>IF($AC$139="","",$X$108)</f>
        <v/>
      </c>
      <c r="Y139" s="477" t="str">
        <f>IF($X$139="","",$Y$108)</f>
        <v/>
      </c>
      <c r="Z139" s="477" t="str">
        <f>IF($X$139="","",$Z$108)</f>
        <v/>
      </c>
      <c r="AA139" s="477" t="str">
        <f>IF($AC$139="","",ROW($A$139)-ROW($A$108))</f>
        <v/>
      </c>
      <c r="AB139" s="478"/>
      <c r="AC139" s="34"/>
      <c r="AD139" s="356"/>
      <c r="AE139" s="479"/>
      <c r="AF139" s="475"/>
      <c r="AG139" s="480" t="str">
        <f t="shared" si="16"/>
        <v/>
      </c>
      <c r="AH139" s="481" t="str">
        <f t="shared" si="17"/>
        <v/>
      </c>
      <c r="AI139" s="477" t="str">
        <f>IF($AC$139="","",IFERROR(INDEX($AZ$74:$AZ$119,MATCH($AH$139,$AY$74:$AY$119,0)),"AUTRE"))</f>
        <v/>
      </c>
      <c r="AJ139" s="482" t="str">
        <f>IF($AC$139="","",IFERROR(INDEX($BA$74:$BA$119,MATCH($AH$139,$AY$74:$AY$119,0)),1))</f>
        <v/>
      </c>
      <c r="AK139" s="482" t="str">
        <f t="shared" si="18"/>
        <v/>
      </c>
      <c r="AL139" s="477" t="str">
        <f>IF($AC$139="","",IFERROR(INDEX($BB$74:$BB$119,MATCH($AH$139,$AY$74:$AY$119,0)),$AH$139))</f>
        <v/>
      </c>
      <c r="AM139" s="483" t="str">
        <f t="shared" si="19"/>
        <v/>
      </c>
      <c r="AN139" s="484" t="str">
        <f t="shared" si="20"/>
        <v/>
      </c>
      <c r="AO139" s="473" t="str">
        <f t="shared" si="21"/>
        <v/>
      </c>
      <c r="AP139" s="473" t="str">
        <f t="shared" si="22"/>
        <v/>
      </c>
      <c r="AQ139" s="473" t="str">
        <f t="shared" si="23"/>
        <v/>
      </c>
      <c r="AR139" s="473" t="str">
        <f t="shared" si="24"/>
        <v/>
      </c>
      <c r="AS139" s="473" t="str">
        <f t="shared" si="25"/>
        <v/>
      </c>
      <c r="AT139" s="473" t="str">
        <f t="shared" si="26"/>
        <v/>
      </c>
      <c r="AU139" s="473" t="str">
        <f t="shared" si="27"/>
        <v/>
      </c>
      <c r="AY139" s="497" t="s">
        <v>463</v>
      </c>
      <c r="AZ139" s="31" t="s">
        <v>28</v>
      </c>
      <c r="BA139" s="34" t="s">
        <v>6126</v>
      </c>
      <c r="BB139" s="500"/>
      <c r="BC139" s="271"/>
      <c r="BD139" s="279">
        <v>1</v>
      </c>
      <c r="BE139" s="271"/>
      <c r="BF139" s="271"/>
      <c r="BG139" s="271"/>
      <c r="BH139" s="271"/>
      <c r="BI139" s="271"/>
      <c r="BJ139" s="271"/>
      <c r="BK139" s="271"/>
      <c r="BL139" s="271"/>
    </row>
    <row r="140" spans="18:64" ht="21" customHeight="1" x14ac:dyDescent="0.25">
      <c r="R140" s="25" t="s">
        <v>6128</v>
      </c>
      <c r="S140" s="451"/>
      <c r="T140" s="31" t="s">
        <v>352</v>
      </c>
      <c r="V140" s="475">
        <v>2</v>
      </c>
      <c r="W140" s="475" t="str">
        <f>IF($AC$140="","",$W$108)</f>
        <v/>
      </c>
      <c r="X140" s="476" t="str">
        <f>IF($AC$140="","",$X$108)</f>
        <v/>
      </c>
      <c r="Y140" s="477" t="str">
        <f>IF($X$140="","",$Y$108)</f>
        <v/>
      </c>
      <c r="Z140" s="477" t="str">
        <f>IF($X$140="","",$Z$108)</f>
        <v/>
      </c>
      <c r="AA140" s="477" t="str">
        <f>IF($AC$140="","",ROW($A$140)-ROW($A$108))</f>
        <v/>
      </c>
      <c r="AB140" s="478"/>
      <c r="AC140" s="34"/>
      <c r="AD140" s="356"/>
      <c r="AE140" s="479"/>
      <c r="AF140" s="475"/>
      <c r="AG140" s="480" t="str">
        <f t="shared" si="16"/>
        <v/>
      </c>
      <c r="AH140" s="481" t="str">
        <f t="shared" si="17"/>
        <v/>
      </c>
      <c r="AI140" s="477" t="str">
        <f>IF($AC$140="","",IFERROR(INDEX($AZ$74:$AZ$119,MATCH($AH$140,$AY$74:$AY$119,0)),"AUTRE"))</f>
        <v/>
      </c>
      <c r="AJ140" s="482" t="str">
        <f>IF($AC$140="","",IFERROR(INDEX($BA$74:$BA$119,MATCH($AH$140,$AY$74:$AY$119,0)),1))</f>
        <v/>
      </c>
      <c r="AK140" s="482" t="str">
        <f t="shared" si="18"/>
        <v/>
      </c>
      <c r="AL140" s="477" t="str">
        <f>IF($AC$140="","",IFERROR(INDEX($BB$74:$BB$119,MATCH($AH$140,$AY$74:$AY$119,0)),$AH$140))</f>
        <v/>
      </c>
      <c r="AM140" s="483" t="str">
        <f t="shared" si="19"/>
        <v/>
      </c>
      <c r="AN140" s="484" t="str">
        <f t="shared" si="20"/>
        <v/>
      </c>
      <c r="AO140" s="473" t="str">
        <f t="shared" si="21"/>
        <v/>
      </c>
      <c r="AP140" s="473" t="str">
        <f t="shared" si="22"/>
        <v/>
      </c>
      <c r="AQ140" s="473" t="str">
        <f t="shared" si="23"/>
        <v/>
      </c>
      <c r="AR140" s="473" t="str">
        <f t="shared" si="24"/>
        <v/>
      </c>
      <c r="AS140" s="473" t="str">
        <f t="shared" si="25"/>
        <v/>
      </c>
      <c r="AT140" s="473" t="str">
        <f t="shared" si="26"/>
        <v/>
      </c>
      <c r="AU140" s="473" t="str">
        <f t="shared" si="27"/>
        <v/>
      </c>
      <c r="AY140" s="497" t="s">
        <v>8147</v>
      </c>
      <c r="AZ140" s="31" t="s">
        <v>29</v>
      </c>
      <c r="BA140" s="34" t="s">
        <v>6127</v>
      </c>
      <c r="BB140" s="500"/>
      <c r="BC140" s="271"/>
      <c r="BD140" s="279">
        <v>1</v>
      </c>
      <c r="BE140" s="271"/>
      <c r="BF140" s="271"/>
      <c r="BG140" s="271"/>
      <c r="BH140" s="271"/>
      <c r="BI140" s="271"/>
      <c r="BJ140" s="271"/>
      <c r="BK140" s="271"/>
      <c r="BL140" s="271"/>
    </row>
    <row r="141" spans="18:64" ht="21" customHeight="1" x14ac:dyDescent="0.25">
      <c r="R141" s="34" t="s">
        <v>474</v>
      </c>
      <c r="S141" s="451"/>
      <c r="T141" s="31" t="s">
        <v>25</v>
      </c>
      <c r="V141" s="475">
        <v>2</v>
      </c>
      <c r="W141" s="475" t="str">
        <f>IF($AC$141="","",$W$108)</f>
        <v>N° 12</v>
      </c>
      <c r="X141" s="476" t="str">
        <f>IF($AC$141="","",$X$108)</f>
        <v>SALADE WITLOOF CHATAIGNES HADDOCK *</v>
      </c>
      <c r="Y141" s="477">
        <f>IF($X$141="","",$Y$108)</f>
        <v>29</v>
      </c>
      <c r="Z141" s="477">
        <f>IF($X$141="","",$Z$108)</f>
        <v>100</v>
      </c>
      <c r="AA141" s="477">
        <f>IF($AC$141="","",ROW($A$141)-ROW($A$108))</f>
        <v>33</v>
      </c>
      <c r="AB141" s="478"/>
      <c r="AC141" s="34" t="s">
        <v>8175</v>
      </c>
      <c r="AD141" s="356"/>
      <c r="AE141" s="479">
        <v>2</v>
      </c>
      <c r="AF141" s="497" t="s">
        <v>462</v>
      </c>
      <c r="AG141" s="480">
        <f t="shared" si="16"/>
        <v>2</v>
      </c>
      <c r="AH141" s="481" t="str">
        <f t="shared" si="17"/>
        <v>BAC(S)</v>
      </c>
      <c r="AI141" s="477" t="str">
        <f>IF($AC$141="","",IFERROR(INDEX($AZ$74:$AZ$119,MATCH($AH$141,$AY$74:$AY$119,0)),"AUTRE"))</f>
        <v>AUTRE</v>
      </c>
      <c r="AJ141" s="482">
        <f>IF($AC$141="","",IFERROR(INDEX($BA$74:$BA$119,MATCH($AH$141,$AY$74:$AY$119,0)),1))</f>
        <v>1</v>
      </c>
      <c r="AK141" s="482">
        <f t="shared" si="18"/>
        <v>2</v>
      </c>
      <c r="AL141" s="477" t="str">
        <f>IF($AC$141="","",IFERROR(INDEX($BB$74:$BB$119,MATCH($AH$141,$AY$74:$AY$119,0)),$AH$141))</f>
        <v>bac(s)</v>
      </c>
      <c r="AM141" s="483" t="str">
        <f t="shared" si="19"/>
        <v>OK</v>
      </c>
      <c r="AN141" s="484">
        <f t="shared" si="20"/>
        <v>2</v>
      </c>
      <c r="AO141" s="473" t="str">
        <f t="shared" si="21"/>
        <v/>
      </c>
      <c r="AP141" s="473" t="str">
        <f t="shared" si="22"/>
        <v/>
      </c>
      <c r="AQ141" s="473" t="str">
        <f t="shared" si="23"/>
        <v/>
      </c>
      <c r="AR141" s="473" t="str">
        <f t="shared" si="24"/>
        <v/>
      </c>
      <c r="AS141" s="473" t="str">
        <f t="shared" si="25"/>
        <v/>
      </c>
      <c r="AT141" s="473" t="str">
        <f t="shared" si="26"/>
        <v/>
      </c>
      <c r="AU141" s="473" t="str">
        <f t="shared" si="27"/>
        <v/>
      </c>
      <c r="AY141" s="497" t="s">
        <v>465</v>
      </c>
      <c r="AZ141" s="31" t="s">
        <v>30</v>
      </c>
      <c r="BA141" s="25" t="s">
        <v>6128</v>
      </c>
      <c r="BB141" s="500"/>
      <c r="BC141" s="271"/>
      <c r="BD141" s="279">
        <v>1</v>
      </c>
      <c r="BE141" s="271"/>
      <c r="BF141" s="271"/>
      <c r="BG141" s="271"/>
      <c r="BH141" s="271"/>
      <c r="BI141" s="271"/>
      <c r="BJ141" s="271"/>
      <c r="BK141" s="271"/>
      <c r="BL141" s="271"/>
    </row>
    <row r="142" spans="18:64" ht="21" customHeight="1" x14ac:dyDescent="0.25">
      <c r="R142" s="34" t="s">
        <v>490</v>
      </c>
      <c r="S142" s="451"/>
      <c r="T142" s="31" t="s">
        <v>26</v>
      </c>
      <c r="V142" s="475">
        <v>2</v>
      </c>
      <c r="W142" s="475" t="str">
        <f>IF($AC$142="","",$W$108)</f>
        <v>N° 12</v>
      </c>
      <c r="X142" s="476" t="str">
        <f>IF($AC$142="","",$X$108)</f>
        <v>SALADE WITLOOF CHATAIGNES HADDOCK *</v>
      </c>
      <c r="Y142" s="477">
        <f>IF($X$142="","",$Y$108)</f>
        <v>29</v>
      </c>
      <c r="Z142" s="477">
        <f>IF($X$142="","",$Z$108)</f>
        <v>100</v>
      </c>
      <c r="AA142" s="477">
        <f>IF($AC$142="","",ROW($A$142)-ROW($A$108))</f>
        <v>34</v>
      </c>
      <c r="AB142" s="478"/>
      <c r="AC142" s="34" t="s">
        <v>8176</v>
      </c>
      <c r="AD142" s="356"/>
      <c r="AE142" s="479">
        <v>2</v>
      </c>
      <c r="AF142" s="497" t="s">
        <v>462</v>
      </c>
      <c r="AG142" s="491">
        <f t="shared" si="16"/>
        <v>2</v>
      </c>
      <c r="AH142" s="481" t="str">
        <f t="shared" si="17"/>
        <v>BAC(S)</v>
      </c>
      <c r="AI142" s="477" t="str">
        <f>IF($AC$142="","",IFERROR(INDEX($AZ$74:$AZ$119,MATCH($AH$142,$AY$74:$AY$119,0)),"AUTRE"))</f>
        <v>AUTRE</v>
      </c>
      <c r="AJ142" s="482">
        <f>IF($AC$142="","",IFERROR(INDEX($BA$74:$BA$119,MATCH($AH$142,$AY$74:$AY$119,0)),1))</f>
        <v>1</v>
      </c>
      <c r="AK142" s="482">
        <f t="shared" si="18"/>
        <v>2</v>
      </c>
      <c r="AL142" s="477" t="str">
        <f>IF($AC$142="","",IFERROR(INDEX($BB$74:$BB$119,MATCH($AH$142,$AY$74:$AY$119,0)),$AH$142))</f>
        <v>bac(s)</v>
      </c>
      <c r="AM142" s="483" t="str">
        <f t="shared" si="19"/>
        <v>OK</v>
      </c>
      <c r="AN142" s="484">
        <f t="shared" si="20"/>
        <v>2</v>
      </c>
      <c r="AO142" s="473" t="str">
        <f t="shared" si="21"/>
        <v/>
      </c>
      <c r="AP142" s="473" t="str">
        <f t="shared" si="22"/>
        <v/>
      </c>
      <c r="AQ142" s="473" t="str">
        <f t="shared" si="23"/>
        <v/>
      </c>
      <c r="AR142" s="473" t="str">
        <f t="shared" si="24"/>
        <v/>
      </c>
      <c r="AS142" s="473" t="str">
        <f t="shared" si="25"/>
        <v/>
      </c>
      <c r="AT142" s="473" t="str">
        <f t="shared" si="26"/>
        <v/>
      </c>
      <c r="AU142" s="473" t="str">
        <f t="shared" si="27"/>
        <v/>
      </c>
      <c r="AY142" s="497" t="s">
        <v>466</v>
      </c>
      <c r="AZ142" s="32" t="s">
        <v>33</v>
      </c>
      <c r="BA142" s="34" t="s">
        <v>474</v>
      </c>
      <c r="BB142" s="500"/>
      <c r="BC142" s="271"/>
      <c r="BD142" s="279">
        <v>1</v>
      </c>
      <c r="BE142" s="271"/>
      <c r="BF142" s="271"/>
      <c r="BG142" s="271"/>
      <c r="BH142" s="271"/>
      <c r="BI142" s="271"/>
      <c r="BJ142" s="271"/>
      <c r="BK142" s="271"/>
      <c r="BL142" s="271"/>
    </row>
    <row r="143" spans="18:64" ht="30" customHeight="1" x14ac:dyDescent="0.25">
      <c r="R143" s="34" t="s">
        <v>6129</v>
      </c>
      <c r="S143" s="451"/>
      <c r="T143" s="31" t="s">
        <v>27</v>
      </c>
      <c r="V143" s="453" t="s">
        <v>324</v>
      </c>
      <c r="W143" s="453" t="s">
        <v>7912</v>
      </c>
      <c r="X143" s="453" t="s">
        <v>326</v>
      </c>
      <c r="Y143" s="453" t="s">
        <v>327</v>
      </c>
      <c r="Z143" s="453" t="s">
        <v>7930</v>
      </c>
      <c r="AA143" s="453" t="s">
        <v>7937</v>
      </c>
      <c r="AB143" s="455" t="s">
        <v>39</v>
      </c>
      <c r="AC143" s="455" t="s">
        <v>338</v>
      </c>
      <c r="AD143" s="455" t="s">
        <v>8114</v>
      </c>
      <c r="AE143" s="455" t="s">
        <v>8114</v>
      </c>
      <c r="AF143" s="455" t="s">
        <v>339</v>
      </c>
      <c r="AG143" s="453" t="s">
        <v>8018</v>
      </c>
      <c r="AH143" s="453" t="s">
        <v>8023</v>
      </c>
      <c r="AI143" s="453" t="s">
        <v>330</v>
      </c>
      <c r="AJ143" s="453" t="s">
        <v>8031</v>
      </c>
      <c r="AK143" s="453" t="s">
        <v>8037</v>
      </c>
      <c r="AL143" s="453" t="s">
        <v>8041</v>
      </c>
      <c r="AM143" s="453" t="s">
        <v>343</v>
      </c>
      <c r="AN143" s="457" t="s">
        <v>8115</v>
      </c>
      <c r="AO143" s="457" t="s">
        <v>8116</v>
      </c>
      <c r="AP143" s="656" t="s">
        <v>8117</v>
      </c>
      <c r="AQ143" s="656"/>
      <c r="AR143" s="656"/>
      <c r="AS143" s="656"/>
      <c r="AT143" s="656"/>
      <c r="AU143" s="657"/>
      <c r="AZ143" s="32" t="s">
        <v>8125</v>
      </c>
      <c r="BA143" s="34" t="s">
        <v>490</v>
      </c>
      <c r="BB143" s="500"/>
      <c r="BC143" s="271"/>
      <c r="BD143" s="279">
        <v>1</v>
      </c>
      <c r="BE143" s="271"/>
      <c r="BF143" s="271"/>
      <c r="BG143" s="271"/>
      <c r="BH143" s="271"/>
      <c r="BI143" s="271"/>
      <c r="BJ143" s="271"/>
      <c r="BK143" s="271"/>
      <c r="BL143" s="271"/>
    </row>
    <row r="144" spans="18:64" ht="30" customHeight="1" x14ac:dyDescent="0.25">
      <c r="R144" s="34" t="s">
        <v>478</v>
      </c>
      <c r="S144" s="451"/>
      <c r="T144" s="31" t="s">
        <v>28</v>
      </c>
      <c r="V144" s="459">
        <v>3</v>
      </c>
      <c r="W144" s="460" t="s">
        <v>131</v>
      </c>
      <c r="X144" s="461" t="s">
        <v>355</v>
      </c>
      <c r="Y144" s="462">
        <v>30</v>
      </c>
      <c r="Z144" s="463">
        <v>100</v>
      </c>
      <c r="AA144" s="464">
        <f>IF($AC$396="","",ROW($A$396)-ROW($A$396))</f>
        <v>0</v>
      </c>
      <c r="AB144" s="461"/>
      <c r="AC144" s="465" t="s">
        <v>356</v>
      </c>
      <c r="AD144" s="390"/>
      <c r="AE144" s="390">
        <v>1</v>
      </c>
      <c r="AF144" s="466" t="s">
        <v>7</v>
      </c>
      <c r="AG144" s="467">
        <f t="shared" ref="AG144:AG178" si="28">IF($AC144="","",IF(LEN($AN144&amp;"")=0,"",$AN144))</f>
        <v>1</v>
      </c>
      <c r="AH144" s="468" t="str">
        <f t="shared" ref="AH144:AH178" si="29">IF($AC144="","",IF($AF144&lt;&gt;"",UPPER(TRIM(SUBSTITUTE(SUBSTITUTE($AF144&amp;"",CHAR(160)," ")," "," "))),$AP144))</f>
        <v>KG</v>
      </c>
      <c r="AI144" s="469" t="str">
        <f>IF($AC$144="","",IFERROR(INDEX($AZ$74:$AZ$119,MATCH($AH$144,$AY$74:$AY$119,0)),"AUTRE"))</f>
        <v>MASSE</v>
      </c>
      <c r="AJ144" s="470">
        <f>IF($AC$144="","",IFERROR(INDEX($BA$74:$BA$119,MATCH($AH$144,$AY$74:$AY$119,0)),1))</f>
        <v>1</v>
      </c>
      <c r="AK144" s="470">
        <f t="shared" ref="AK144:AK178" si="30">IF(OR(AG144="",AJ144=""),"",AG144*AJ144)</f>
        <v>1</v>
      </c>
      <c r="AL144" s="469" t="str">
        <f>IF($AC$144="","",IFERROR(INDEX($BB$74:$BB$119,MATCH($AH$144,$AY$74:$AY$119,0)),$AH$144))</f>
        <v>kg</v>
      </c>
      <c r="AM144" s="471" t="str">
        <f t="shared" ref="AM144:AM178" si="31">IF($AC144="","",IF($AH144="QT. SUFFISANTE","OK",IF($AG144="","TEXTE",IF(NOT(ISNUMBER($AG144)),"QUANTITÉ À CONTRÔLER",IF(COUNTIF($AY$74:$AY$119,$AH144)=0,"UNITÉ À CONTRÔLER","OK")))))</f>
        <v>OK</v>
      </c>
      <c r="AN144" s="474">
        <f t="shared" ref="AN144:AN178" si="32">IF($AE144&lt;&gt;"",$AE144,IF($AD144="","",IF(ISNUMBER($AD144),$AD144,IF($AO144="QT",0,IF($AO144="","",IFERROR(IF(ISNUMBER(SEARCH("/",$AO144)),VALUE(TRIM(LEFT($AO144,SEARCH("/",$AO144)-1)))/VALUE(TRIM(MID($AO144,SEARCH("/",$AO144)+1,99))),VALUE(SUBSTITUTE($AO144,".",","))),""))))))</f>
        <v>1</v>
      </c>
      <c r="AO144" s="473" t="str">
        <f t="shared" ref="AO144:AO178" si="33">IF($AD144="","",IF(ISNUMBER($AD144),$AD144,IF(OR(LEFT($AQ144,3)="QT.",LEFT($AQ144,4)="QUAN"),"QT",IF($AR144=999,$AQ144,TRIM(LEFT($AQ144,$AR144-1))))))</f>
        <v/>
      </c>
      <c r="AP144" s="473" t="str">
        <f t="shared" ref="AP144:AP178" si="34">IF($AD144="","",IF(ISNUMBER($AD144),"",IF(OR(LEFT($AQ144,3)="QT.",LEFT($AQ144,4)="QUAN"),"QT. SUFFISANTE",IF($AO144="","",TRIM(MID($AQ144,LEN($AO144&amp;"")+1,999))))))</f>
        <v/>
      </c>
      <c r="AQ144" s="473" t="str">
        <f t="shared" ref="AQ144:AQ178" si="35">IF($AD144="","",UPPER(TRIM(SUBSTITUTE(SUBSTITUTE($AD144&amp;"",CHAR(160)," ")," "," "))))</f>
        <v/>
      </c>
      <c r="AR144" s="473" t="str">
        <f t="shared" ref="AR144:AR178" si="36">IF($AQ144="","",MIN($AS144,$AT144,$AU144))</f>
        <v/>
      </c>
      <c r="AS144" s="473" t="str">
        <f t="shared" ref="AS144:AS178" si="37">IF($AQ144="","",MIN(IFERROR(SEARCH("A",$AQ144),999),IFERROR(SEARCH("B",$AQ144),999),IFERROR(SEARCH("C",$AQ144),999),IFERROR(SEARCH("D",$AQ144),999),IFERROR(SEARCH("E",$AQ144),999),IFERROR(SEARCH("F",$AQ144),999),IFERROR(SEARCH("G",$AQ144),999),IFERROR(SEARCH("H",$AQ144),999),IFERROR(SEARCH("I",$AQ144),999)))</f>
        <v/>
      </c>
      <c r="AT144" s="473" t="str">
        <f t="shared" ref="AT144:AT178" si="38">IF($AQ144="","",MIN(IFERROR(SEARCH("J",$AQ144),999),IFERROR(SEARCH("K",$AQ144),999),IFERROR(SEARCH("L",$AQ144),999),IFERROR(SEARCH("M",$AQ144),999),IFERROR(SEARCH("N",$AQ144),999),IFERROR(SEARCH("O",$AQ144),999),IFERROR(SEARCH("P",$AQ144),999),IFERROR(SEARCH("Q",$AQ144),999),IFERROR(SEARCH("R",$AQ144),999)))</f>
        <v/>
      </c>
      <c r="AU144" s="473" t="str">
        <f t="shared" ref="AU144:AU178" si="39">IF($AQ144="","",MIN(IFERROR(SEARCH("S",$AQ144),999),IFERROR(SEARCH("T",$AQ144),999),IFERROR(SEARCH("U",$AQ144),999),IFERROR(SEARCH("V",$AQ144),999),IFERROR(SEARCH("W",$AQ144),999),IFERROR(SEARCH("X",$AQ144),999),IFERROR(SEARCH("Y",$AQ144),999),IFERROR(SEARCH("Z",$AQ144),999)))</f>
        <v/>
      </c>
      <c r="AZ144" s="32" t="s">
        <v>8127</v>
      </c>
      <c r="BA144" s="34" t="s">
        <v>6129</v>
      </c>
      <c r="BB144" s="500"/>
      <c r="BC144" s="271"/>
      <c r="BD144" s="279">
        <v>1</v>
      </c>
      <c r="BE144" s="271"/>
      <c r="BF144" s="271"/>
      <c r="BG144" s="271"/>
      <c r="BH144" s="271"/>
      <c r="BI144" s="271"/>
      <c r="BJ144" s="271"/>
      <c r="BK144" s="271"/>
      <c r="BL144" s="271"/>
    </row>
    <row r="145" spans="18:64" ht="21" customHeight="1" x14ac:dyDescent="0.25">
      <c r="R145" s="34" t="s">
        <v>6130</v>
      </c>
      <c r="S145" s="451"/>
      <c r="T145" s="31" t="s">
        <v>29</v>
      </c>
      <c r="V145" s="475">
        <f>$V$144</f>
        <v>3</v>
      </c>
      <c r="W145" s="475" t="str">
        <f>IF($AC$145="","",$W$144)</f>
        <v>N° 13</v>
      </c>
      <c r="X145" s="476" t="str">
        <f>IF($AC$145="","",$X$144)</f>
        <v>TABOULÉ LIBANAIS*</v>
      </c>
      <c r="Y145" s="477">
        <f>IF($X$145="","",$Y$144)</f>
        <v>30</v>
      </c>
      <c r="Z145" s="477">
        <f>IF($X$145="","",$Z$144)</f>
        <v>100</v>
      </c>
      <c r="AA145" s="477">
        <f>IF($AC$145="","",ROW($A$145)-ROW($A$144))</f>
        <v>1</v>
      </c>
      <c r="AB145" s="478"/>
      <c r="AC145" s="34" t="s">
        <v>45</v>
      </c>
      <c r="AD145" s="356"/>
      <c r="AE145" s="479">
        <v>1.5</v>
      </c>
      <c r="AF145" s="466" t="s">
        <v>7</v>
      </c>
      <c r="AG145" s="480">
        <f t="shared" si="28"/>
        <v>1.5</v>
      </c>
      <c r="AH145" s="481" t="str">
        <f t="shared" si="29"/>
        <v>KG</v>
      </c>
      <c r="AI145" s="477" t="str">
        <f>IF($AC$145="","",IFERROR(INDEX($AZ$74:$AZ$119,MATCH($AH$145,$AY$74:$AY$119,0)),"AUTRE"))</f>
        <v>MASSE</v>
      </c>
      <c r="AJ145" s="482">
        <f>IF($AC$145="","",IFERROR(INDEX($BA$74:$BA$119,MATCH($AH$145,$AY$74:$AY$119,0)),1))</f>
        <v>1</v>
      </c>
      <c r="AK145" s="482">
        <f t="shared" si="30"/>
        <v>1.5</v>
      </c>
      <c r="AL145" s="477" t="str">
        <f>IF($AC$145="","",IFERROR(INDEX($BB$74:$BB$119,MATCH($AH$145,$AY$74:$AY$119,0)),$AH$145))</f>
        <v>kg</v>
      </c>
      <c r="AM145" s="483" t="str">
        <f t="shared" si="31"/>
        <v>OK</v>
      </c>
      <c r="AN145" s="484">
        <f t="shared" si="32"/>
        <v>1.5</v>
      </c>
      <c r="AO145" s="473" t="str">
        <f t="shared" si="33"/>
        <v/>
      </c>
      <c r="AP145" s="473" t="str">
        <f t="shared" si="34"/>
        <v/>
      </c>
      <c r="AQ145" s="473" t="str">
        <f t="shared" si="35"/>
        <v/>
      </c>
      <c r="AR145" s="473" t="str">
        <f t="shared" si="36"/>
        <v/>
      </c>
      <c r="AS145" s="473" t="str">
        <f t="shared" si="37"/>
        <v/>
      </c>
      <c r="AT145" s="473" t="str">
        <f t="shared" si="38"/>
        <v/>
      </c>
      <c r="AU145" s="473" t="str">
        <f t="shared" si="39"/>
        <v/>
      </c>
      <c r="AZ145" s="32" t="s">
        <v>320</v>
      </c>
      <c r="BA145" s="34" t="s">
        <v>478</v>
      </c>
      <c r="BB145" s="500"/>
      <c r="BC145" s="271"/>
      <c r="BD145" s="279">
        <v>1</v>
      </c>
      <c r="BE145" s="271"/>
      <c r="BF145" s="271"/>
      <c r="BG145" s="271"/>
      <c r="BH145" s="271"/>
      <c r="BI145" s="271"/>
      <c r="BJ145" s="271"/>
      <c r="BK145" s="271"/>
      <c r="BL145" s="271"/>
    </row>
    <row r="146" spans="18:64" ht="21" customHeight="1" x14ac:dyDescent="0.25">
      <c r="R146" s="34" t="s">
        <v>486</v>
      </c>
      <c r="S146" s="451"/>
      <c r="T146" s="31" t="s">
        <v>30</v>
      </c>
      <c r="V146" s="475">
        <v>3</v>
      </c>
      <c r="W146" s="475" t="str">
        <f>IF($AC$146="","",$W$144)</f>
        <v>N° 13</v>
      </c>
      <c r="X146" s="476" t="str">
        <f>IF($AC$146="","",$X$144)</f>
        <v>TABOULÉ LIBANAIS*</v>
      </c>
      <c r="Y146" s="477">
        <f>IF($X$146="","",$Y$144)</f>
        <v>30</v>
      </c>
      <c r="Z146" s="477">
        <f>IF($X$146="","",$Z$144)</f>
        <v>100</v>
      </c>
      <c r="AA146" s="477">
        <f>IF($AC$146="","",ROW($A$146)-ROW($A$144))</f>
        <v>2</v>
      </c>
      <c r="AB146" s="478"/>
      <c r="AC146" s="34" t="s">
        <v>298</v>
      </c>
      <c r="AD146" s="356"/>
      <c r="AE146" s="479">
        <v>8</v>
      </c>
      <c r="AF146" s="466" t="s">
        <v>7</v>
      </c>
      <c r="AG146" s="480">
        <f t="shared" si="28"/>
        <v>8</v>
      </c>
      <c r="AH146" s="481" t="str">
        <f t="shared" si="29"/>
        <v>KG</v>
      </c>
      <c r="AI146" s="477" t="str">
        <f>IF($AC$146="","",IFERROR(INDEX($AZ$74:$AZ$119,MATCH($AH$146,$AY$74:$AY$119,0)),"AUTRE"))</f>
        <v>MASSE</v>
      </c>
      <c r="AJ146" s="482">
        <f>IF($AC$146="","",IFERROR(INDEX($BA$74:$BA$119,MATCH($AH$146,$AY$74:$AY$119,0)),1))</f>
        <v>1</v>
      </c>
      <c r="AK146" s="482">
        <f t="shared" si="30"/>
        <v>8</v>
      </c>
      <c r="AL146" s="477" t="str">
        <f>IF($AC$146="","",IFERROR(INDEX($BB$74:$BB$119,MATCH($AH$146,$AY$74:$AY$119,0)),$AH$146))</f>
        <v>kg</v>
      </c>
      <c r="AM146" s="483" t="str">
        <f t="shared" si="31"/>
        <v>OK</v>
      </c>
      <c r="AN146" s="484">
        <f t="shared" si="32"/>
        <v>8</v>
      </c>
      <c r="AO146" s="473" t="str">
        <f t="shared" si="33"/>
        <v/>
      </c>
      <c r="AP146" s="473" t="str">
        <f t="shared" si="34"/>
        <v/>
      </c>
      <c r="AQ146" s="473" t="str">
        <f t="shared" si="35"/>
        <v/>
      </c>
      <c r="AR146" s="473" t="str">
        <f t="shared" si="36"/>
        <v/>
      </c>
      <c r="AS146" s="473" t="str">
        <f t="shared" si="37"/>
        <v/>
      </c>
      <c r="AT146" s="473" t="str">
        <f t="shared" si="38"/>
        <v/>
      </c>
      <c r="AU146" s="473" t="str">
        <f t="shared" si="39"/>
        <v/>
      </c>
      <c r="AZ146" s="32" t="s">
        <v>318</v>
      </c>
      <c r="BA146" s="34" t="s">
        <v>6130</v>
      </c>
      <c r="BB146" s="500"/>
      <c r="BC146" s="271"/>
      <c r="BD146" s="279">
        <v>1</v>
      </c>
      <c r="BE146" s="271"/>
      <c r="BF146" s="271"/>
      <c r="BG146" s="271"/>
      <c r="BH146" s="271"/>
      <c r="BI146" s="271"/>
      <c r="BJ146" s="271"/>
      <c r="BK146" s="271"/>
      <c r="BL146" s="271"/>
    </row>
    <row r="147" spans="18:64" ht="21" customHeight="1" x14ac:dyDescent="0.25">
      <c r="R147" s="34" t="s">
        <v>479</v>
      </c>
      <c r="S147" s="451"/>
      <c r="T147" s="31" t="s">
        <v>31</v>
      </c>
      <c r="V147" s="475">
        <v>3</v>
      </c>
      <c r="W147" s="475" t="str">
        <f>IF($AC$147="","",$W$144)</f>
        <v>N° 13</v>
      </c>
      <c r="X147" s="476" t="str">
        <f>IF($AC$147="","",$X$144)</f>
        <v>TABOULÉ LIBANAIS*</v>
      </c>
      <c r="Y147" s="477">
        <f>IF($X$147="","",$Y$144)</f>
        <v>30</v>
      </c>
      <c r="Z147" s="477">
        <f>IF($X$147="","",$Z$144)</f>
        <v>100</v>
      </c>
      <c r="AA147" s="477">
        <f>IF($AC$147="","",ROW($A$147)-ROW($A$144))</f>
        <v>3</v>
      </c>
      <c r="AB147" s="478"/>
      <c r="AC147" s="34" t="s">
        <v>73</v>
      </c>
      <c r="AD147" s="356"/>
      <c r="AE147" s="479">
        <v>5</v>
      </c>
      <c r="AF147" s="466" t="s">
        <v>7</v>
      </c>
      <c r="AG147" s="480">
        <f t="shared" si="28"/>
        <v>5</v>
      </c>
      <c r="AH147" s="481" t="str">
        <f t="shared" si="29"/>
        <v>KG</v>
      </c>
      <c r="AI147" s="477" t="str">
        <f>IF($AC$147="","",IFERROR(INDEX($AZ$74:$AZ$119,MATCH($AH$147,$AY$74:$AY$119,0)),"AUTRE"))</f>
        <v>MASSE</v>
      </c>
      <c r="AJ147" s="482">
        <f>IF($AC$147="","",IFERROR(INDEX($BA$74:$BA$119,MATCH($AH$147,$AY$74:$AY$119,0)),1))</f>
        <v>1</v>
      </c>
      <c r="AK147" s="482">
        <f t="shared" si="30"/>
        <v>5</v>
      </c>
      <c r="AL147" s="477" t="str">
        <f>IF($AC$147="","",IFERROR(INDEX($BB$74:$BB$119,MATCH($AH$147,$AY$74:$AY$119,0)),$AH$147))</f>
        <v>kg</v>
      </c>
      <c r="AM147" s="483" t="str">
        <f t="shared" si="31"/>
        <v>OK</v>
      </c>
      <c r="AN147" s="484">
        <f t="shared" si="32"/>
        <v>5</v>
      </c>
      <c r="AO147" s="473" t="str">
        <f t="shared" si="33"/>
        <v/>
      </c>
      <c r="AP147" s="473" t="str">
        <f t="shared" si="34"/>
        <v/>
      </c>
      <c r="AQ147" s="473" t="str">
        <f t="shared" si="35"/>
        <v/>
      </c>
      <c r="AR147" s="473" t="str">
        <f t="shared" si="36"/>
        <v/>
      </c>
      <c r="AS147" s="473" t="str">
        <f t="shared" si="37"/>
        <v/>
      </c>
      <c r="AT147" s="473" t="str">
        <f t="shared" si="38"/>
        <v/>
      </c>
      <c r="AU147" s="473" t="str">
        <f t="shared" si="39"/>
        <v/>
      </c>
      <c r="AZ147" s="32" t="s">
        <v>316</v>
      </c>
      <c r="BA147" s="34" t="s">
        <v>486</v>
      </c>
      <c r="BB147" s="500"/>
      <c r="BC147" s="271"/>
      <c r="BD147" s="279">
        <v>1</v>
      </c>
      <c r="BE147" s="271"/>
      <c r="BF147" s="271"/>
      <c r="BG147" s="271"/>
      <c r="BH147" s="271"/>
      <c r="BI147" s="271"/>
      <c r="BJ147" s="271"/>
      <c r="BK147" s="271"/>
      <c r="BL147" s="271"/>
    </row>
    <row r="148" spans="18:64" ht="21" customHeight="1" x14ac:dyDescent="0.25">
      <c r="R148" s="34" t="s">
        <v>6131</v>
      </c>
      <c r="S148" s="451"/>
      <c r="T148" s="32" t="s">
        <v>33</v>
      </c>
      <c r="V148" s="475">
        <v>3</v>
      </c>
      <c r="W148" s="475" t="str">
        <f>IF($AC$148="","",$W$144)</f>
        <v>N° 13</v>
      </c>
      <c r="X148" s="476" t="str">
        <f>IF($AC$148="","",$X$144)</f>
        <v>TABOULÉ LIBANAIS*</v>
      </c>
      <c r="Y148" s="477">
        <f>IF($X$148="","",$Y$144)</f>
        <v>30</v>
      </c>
      <c r="Z148" s="477">
        <f>IF($X$148="","",$Z$144)</f>
        <v>100</v>
      </c>
      <c r="AA148" s="477">
        <f>IF($AC$148="","",ROW($A$148)-ROW($A$144))</f>
        <v>4</v>
      </c>
      <c r="AB148" s="478"/>
      <c r="AC148" s="34" t="s">
        <v>132</v>
      </c>
      <c r="AD148" s="356"/>
      <c r="AE148" s="479">
        <v>1.5</v>
      </c>
      <c r="AF148" s="466" t="s">
        <v>7</v>
      </c>
      <c r="AG148" s="480">
        <f t="shared" si="28"/>
        <v>1.5</v>
      </c>
      <c r="AH148" s="481" t="str">
        <f t="shared" si="29"/>
        <v>KG</v>
      </c>
      <c r="AI148" s="477" t="str">
        <f>IF($AC$148="","",IFERROR(INDEX($AZ$74:$AZ$119,MATCH($AH$148,$AY$74:$AY$119,0)),"AUTRE"))</f>
        <v>MASSE</v>
      </c>
      <c r="AJ148" s="482">
        <f>IF($AC$148="","",IFERROR(INDEX($BA$74:$BA$119,MATCH($AH$148,$AY$74:$AY$119,0)),1))</f>
        <v>1</v>
      </c>
      <c r="AK148" s="482">
        <f t="shared" si="30"/>
        <v>1.5</v>
      </c>
      <c r="AL148" s="477" t="str">
        <f>IF($AC$148="","",IFERROR(INDEX($BB$74:$BB$119,MATCH($AH$148,$AY$74:$AY$119,0)),$AH$148))</f>
        <v>kg</v>
      </c>
      <c r="AM148" s="483" t="str">
        <f t="shared" si="31"/>
        <v>OK</v>
      </c>
      <c r="AN148" s="484">
        <f t="shared" si="32"/>
        <v>1.5</v>
      </c>
      <c r="AO148" s="473" t="str">
        <f t="shared" si="33"/>
        <v/>
      </c>
      <c r="AP148" s="473" t="str">
        <f t="shared" si="34"/>
        <v/>
      </c>
      <c r="AQ148" s="473" t="str">
        <f t="shared" si="35"/>
        <v/>
      </c>
      <c r="AR148" s="473" t="str">
        <f t="shared" si="36"/>
        <v/>
      </c>
      <c r="AS148" s="473" t="str">
        <f t="shared" si="37"/>
        <v/>
      </c>
      <c r="AT148" s="473" t="str">
        <f t="shared" si="38"/>
        <v/>
      </c>
      <c r="AU148" s="473" t="str">
        <f t="shared" si="39"/>
        <v/>
      </c>
      <c r="AZ148" s="32" t="s">
        <v>313</v>
      </c>
      <c r="BA148" s="34" t="s">
        <v>479</v>
      </c>
      <c r="BB148" s="500"/>
      <c r="BC148" s="271"/>
      <c r="BD148" s="279">
        <v>1</v>
      </c>
      <c r="BE148" s="271"/>
      <c r="BF148" s="271"/>
      <c r="BG148" s="271"/>
      <c r="BH148" s="271"/>
      <c r="BI148" s="271"/>
      <c r="BJ148" s="271"/>
      <c r="BK148" s="271"/>
      <c r="BL148" s="271"/>
    </row>
    <row r="149" spans="18:64" ht="21" customHeight="1" x14ac:dyDescent="0.25">
      <c r="R149" s="34" t="s">
        <v>485</v>
      </c>
      <c r="S149" s="451"/>
      <c r="T149" s="32" t="s">
        <v>8125</v>
      </c>
      <c r="V149" s="475">
        <v>3</v>
      </c>
      <c r="W149" s="475" t="str">
        <f>IF($AC$149="","",$W$144)</f>
        <v>N° 13</v>
      </c>
      <c r="X149" s="476" t="str">
        <f>IF($AC$149="","",$X$144)</f>
        <v>TABOULÉ LIBANAIS*</v>
      </c>
      <c r="Y149" s="477">
        <f>IF($X$149="","",$Y$144)</f>
        <v>30</v>
      </c>
      <c r="Z149" s="477">
        <f>IF($X$149="","",$Z$144)</f>
        <v>100</v>
      </c>
      <c r="AA149" s="477">
        <f>IF($AC$149="","",ROW($A$149)-ROW($A$144))</f>
        <v>5</v>
      </c>
      <c r="AB149" s="478"/>
      <c r="AC149" s="34" t="s">
        <v>133</v>
      </c>
      <c r="AD149" s="356"/>
      <c r="AE149" s="479">
        <v>400</v>
      </c>
      <c r="AF149" s="27" t="s">
        <v>8</v>
      </c>
      <c r="AG149" s="480">
        <f t="shared" si="28"/>
        <v>400</v>
      </c>
      <c r="AH149" s="481" t="str">
        <f t="shared" si="29"/>
        <v>G</v>
      </c>
      <c r="AI149" s="477" t="str">
        <f>IF($AC$149="","",IFERROR(INDEX($AZ$74:$AZ$119,MATCH($AH$149,$AY$74:$AY$119,0)),"AUTRE"))</f>
        <v>MASSE</v>
      </c>
      <c r="AJ149" s="482">
        <f>IF($AC$149="","",IFERROR(INDEX($BA$74:$BA$119,MATCH($AH$149,$AY$74:$AY$119,0)),1))</f>
        <v>1E-3</v>
      </c>
      <c r="AK149" s="482">
        <f t="shared" si="30"/>
        <v>0.4</v>
      </c>
      <c r="AL149" s="477" t="str">
        <f>IF($AC$149="","",IFERROR(INDEX($BB$74:$BB$119,MATCH($AH$149,$AY$74:$AY$119,0)),$AH$149))</f>
        <v>kg</v>
      </c>
      <c r="AM149" s="483" t="str">
        <f t="shared" si="31"/>
        <v>OK</v>
      </c>
      <c r="AN149" s="484">
        <f t="shared" si="32"/>
        <v>400</v>
      </c>
      <c r="AO149" s="473" t="str">
        <f t="shared" si="33"/>
        <v/>
      </c>
      <c r="AP149" s="473" t="str">
        <f t="shared" si="34"/>
        <v/>
      </c>
      <c r="AQ149" s="473" t="str">
        <f t="shared" si="35"/>
        <v/>
      </c>
      <c r="AR149" s="473" t="str">
        <f t="shared" si="36"/>
        <v/>
      </c>
      <c r="AS149" s="473" t="str">
        <f t="shared" si="37"/>
        <v/>
      </c>
      <c r="AT149" s="473" t="str">
        <f t="shared" si="38"/>
        <v/>
      </c>
      <c r="AU149" s="473" t="str">
        <f t="shared" si="39"/>
        <v/>
      </c>
      <c r="AZ149" s="32" t="s">
        <v>307</v>
      </c>
      <c r="BA149" s="34" t="s">
        <v>6131</v>
      </c>
      <c r="BB149" s="500"/>
      <c r="BC149" s="271"/>
      <c r="BD149" s="279">
        <v>1</v>
      </c>
      <c r="BE149" s="271"/>
      <c r="BF149" s="271"/>
      <c r="BG149" s="271"/>
      <c r="BH149" s="271"/>
      <c r="BI149" s="271"/>
      <c r="BJ149" s="271"/>
      <c r="BK149" s="271"/>
      <c r="BL149" s="271"/>
    </row>
    <row r="150" spans="18:64" ht="21" customHeight="1" x14ac:dyDescent="0.25">
      <c r="R150" s="34" t="s">
        <v>6132</v>
      </c>
      <c r="S150" s="451"/>
      <c r="T150" s="32" t="s">
        <v>8127</v>
      </c>
      <c r="V150" s="475">
        <v>3</v>
      </c>
      <c r="W150" s="475" t="str">
        <f>IF($AC$150="","",$W$144)</f>
        <v>N° 13</v>
      </c>
      <c r="X150" s="476" t="str">
        <f>IF($AC$150="","",$X$144)</f>
        <v>TABOULÉ LIBANAIS*</v>
      </c>
      <c r="Y150" s="477">
        <f>IF($X$150="","",$Y$144)</f>
        <v>30</v>
      </c>
      <c r="Z150" s="477">
        <f>IF($X$150="","",$Z$144)</f>
        <v>100</v>
      </c>
      <c r="AA150" s="477">
        <f>IF($AC$150="","",ROW($A$150)-ROW($A$144))</f>
        <v>6</v>
      </c>
      <c r="AB150" s="478"/>
      <c r="AC150" s="34" t="s">
        <v>134</v>
      </c>
      <c r="AD150" s="356"/>
      <c r="AE150" s="479">
        <v>0.75</v>
      </c>
      <c r="AF150" s="29" t="s">
        <v>9</v>
      </c>
      <c r="AG150" s="480">
        <f t="shared" si="28"/>
        <v>0.75</v>
      </c>
      <c r="AH150" s="481" t="str">
        <f t="shared" si="29"/>
        <v>L</v>
      </c>
      <c r="AI150" s="477" t="str">
        <f>IF($AC$150="","",IFERROR(INDEX($AZ$74:$AZ$119,MATCH($AH$150,$AY$74:$AY$119,0)),"AUTRE"))</f>
        <v>VOLUME</v>
      </c>
      <c r="AJ150" s="482">
        <f>IF($AC$150="","",IFERROR(INDEX($BA$74:$BA$119,MATCH($AH$150,$AY$74:$AY$119,0)),1))</f>
        <v>1</v>
      </c>
      <c r="AK150" s="482">
        <f t="shared" si="30"/>
        <v>0.75</v>
      </c>
      <c r="AL150" s="477" t="str">
        <f>IF($AC$150="","",IFERROR(INDEX($BB$74:$BB$119,MATCH($AH$150,$AY$74:$AY$119,0)),$AH$150))</f>
        <v>L</v>
      </c>
      <c r="AM150" s="483" t="str">
        <f t="shared" si="31"/>
        <v>OK</v>
      </c>
      <c r="AN150" s="484">
        <f t="shared" si="32"/>
        <v>0.75</v>
      </c>
      <c r="AO150" s="473" t="str">
        <f t="shared" si="33"/>
        <v/>
      </c>
      <c r="AP150" s="473" t="str">
        <f t="shared" si="34"/>
        <v/>
      </c>
      <c r="AQ150" s="473" t="str">
        <f t="shared" si="35"/>
        <v/>
      </c>
      <c r="AR150" s="473" t="str">
        <f t="shared" si="36"/>
        <v/>
      </c>
      <c r="AS150" s="473" t="str">
        <f t="shared" si="37"/>
        <v/>
      </c>
      <c r="AT150" s="473" t="str">
        <f t="shared" si="38"/>
        <v/>
      </c>
      <c r="AU150" s="473" t="str">
        <f t="shared" si="39"/>
        <v/>
      </c>
      <c r="AZ150" s="32" t="s">
        <v>322</v>
      </c>
      <c r="BA150" s="34" t="s">
        <v>485</v>
      </c>
      <c r="BB150" s="500"/>
      <c r="BC150" s="271"/>
      <c r="BD150" s="279">
        <v>1</v>
      </c>
      <c r="BE150" s="271"/>
      <c r="BF150" s="271"/>
      <c r="BG150" s="271"/>
      <c r="BH150" s="271"/>
      <c r="BI150" s="271"/>
      <c r="BJ150" s="271"/>
      <c r="BK150" s="271"/>
      <c r="BL150" s="271"/>
    </row>
    <row r="151" spans="18:64" ht="21" customHeight="1" x14ac:dyDescent="0.25">
      <c r="R151" s="25" t="s">
        <v>6133</v>
      </c>
      <c r="S151" s="451"/>
      <c r="T151" s="32" t="s">
        <v>320</v>
      </c>
      <c r="V151" s="475">
        <v>3</v>
      </c>
      <c r="W151" s="475" t="str">
        <f>IF($AC$151="","",$W$144)</f>
        <v>N° 13</v>
      </c>
      <c r="X151" s="476" t="str">
        <f>IF($AC$151="","",$X$144)</f>
        <v>TABOULÉ LIBANAIS*</v>
      </c>
      <c r="Y151" s="477">
        <f>IF($X$151="","",$Y$144)</f>
        <v>30</v>
      </c>
      <c r="Z151" s="477">
        <f>IF($X$151="","",$Z$144)</f>
        <v>100</v>
      </c>
      <c r="AA151" s="477">
        <f>IF($AC$151="","",ROW($A$151)-ROW($A$144))</f>
        <v>7</v>
      </c>
      <c r="AB151" s="478"/>
      <c r="AC151" s="34" t="s">
        <v>42</v>
      </c>
      <c r="AD151" s="356"/>
      <c r="AE151" s="479">
        <v>1</v>
      </c>
      <c r="AF151" s="29" t="s">
        <v>9</v>
      </c>
      <c r="AG151" s="480">
        <f t="shared" si="28"/>
        <v>1</v>
      </c>
      <c r="AH151" s="481" t="str">
        <f t="shared" si="29"/>
        <v>L</v>
      </c>
      <c r="AI151" s="477" t="str">
        <f>IF($AC$151="","",IFERROR(INDEX($AZ$74:$AZ$119,MATCH($AH$151,$AY$74:$AY$119,0)),"AUTRE"))</f>
        <v>VOLUME</v>
      </c>
      <c r="AJ151" s="482">
        <f>IF($AC$151="","",IFERROR(INDEX($BA$74:$BA$119,MATCH($AH$151,$AY$74:$AY$119,0)),1))</f>
        <v>1</v>
      </c>
      <c r="AK151" s="482">
        <f t="shared" si="30"/>
        <v>1</v>
      </c>
      <c r="AL151" s="477" t="str">
        <f>IF($AC$151="","",IFERROR(INDEX($BB$74:$BB$119,MATCH($AH$151,$AY$74:$AY$119,0)),$AH$151))</f>
        <v>L</v>
      </c>
      <c r="AM151" s="483" t="str">
        <f t="shared" si="31"/>
        <v>OK</v>
      </c>
      <c r="AN151" s="484">
        <f t="shared" si="32"/>
        <v>1</v>
      </c>
      <c r="AO151" s="473" t="str">
        <f t="shared" si="33"/>
        <v/>
      </c>
      <c r="AP151" s="473" t="str">
        <f t="shared" si="34"/>
        <v/>
      </c>
      <c r="AQ151" s="473" t="str">
        <f t="shared" si="35"/>
        <v/>
      </c>
      <c r="AR151" s="473" t="str">
        <f t="shared" si="36"/>
        <v/>
      </c>
      <c r="AS151" s="473" t="str">
        <f t="shared" si="37"/>
        <v/>
      </c>
      <c r="AT151" s="473" t="str">
        <f t="shared" si="38"/>
        <v/>
      </c>
      <c r="AU151" s="473" t="str">
        <f t="shared" si="39"/>
        <v/>
      </c>
      <c r="AZ151" s="32" t="s">
        <v>305</v>
      </c>
      <c r="BA151" s="34" t="s">
        <v>6132</v>
      </c>
      <c r="BB151" s="500"/>
      <c r="BC151" s="271"/>
      <c r="BD151" s="279">
        <v>1</v>
      </c>
      <c r="BE151" s="271"/>
      <c r="BF151" s="271"/>
      <c r="BG151" s="271"/>
      <c r="BH151" s="271"/>
      <c r="BI151" s="271"/>
      <c r="BJ151" s="271"/>
      <c r="BK151" s="271"/>
      <c r="BL151" s="271"/>
    </row>
    <row r="152" spans="18:64" ht="21" customHeight="1" x14ac:dyDescent="0.25">
      <c r="R152" s="34" t="s">
        <v>476</v>
      </c>
      <c r="S152" s="451"/>
      <c r="T152" s="32" t="s">
        <v>318</v>
      </c>
      <c r="V152" s="475">
        <v>3</v>
      </c>
      <c r="W152" s="475" t="str">
        <f>IF($AC$152="","",$W$144)</f>
        <v>N° 13</v>
      </c>
      <c r="X152" s="476" t="str">
        <f>IF($AC$152="","",$X$144)</f>
        <v>TABOULÉ LIBANAIS*</v>
      </c>
      <c r="Y152" s="477">
        <f>IF($X$152="","",$Y$144)</f>
        <v>30</v>
      </c>
      <c r="Z152" s="477">
        <f>IF($X$152="","",$Z$144)</f>
        <v>100</v>
      </c>
      <c r="AA152" s="477">
        <f>IF($AC$152="","",ROW($A$152)-ROW($A$144))</f>
        <v>8</v>
      </c>
      <c r="AB152" s="478"/>
      <c r="AC152" s="34" t="s">
        <v>60</v>
      </c>
      <c r="AD152" s="356"/>
      <c r="AE152" s="32" t="s">
        <v>33</v>
      </c>
      <c r="AF152" s="475"/>
      <c r="AG152" s="480" t="str">
        <f t="shared" si="28"/>
        <v>QT. SUFFISANTE</v>
      </c>
      <c r="AH152" s="481" t="str">
        <f t="shared" si="29"/>
        <v/>
      </c>
      <c r="AI152" s="477" t="str">
        <f>IF($AC$152="","",IFERROR(INDEX($AZ$74:$AZ$119,MATCH($AH$152,$AY$74:$AY$119,0)),"AUTRE"))</f>
        <v>AUTRE</v>
      </c>
      <c r="AJ152" s="482">
        <f>IF($AC$152="","",IFERROR(INDEX($BA$74:$BA$119,MATCH($AH$152,$AY$74:$AY$119,0)),1))</f>
        <v>1</v>
      </c>
      <c r="AK152" s="482" t="e">
        <f t="shared" si="30"/>
        <v>#VALUE!</v>
      </c>
      <c r="AL152" s="477" t="str">
        <f>IF($AC$152="","",IFERROR(INDEX($BB$74:$BB$119,MATCH($AH$152,$AY$74:$AY$119,0)),$AH$152))</f>
        <v/>
      </c>
      <c r="AM152" s="483" t="str">
        <f t="shared" si="31"/>
        <v>QUANTITÉ À CONTRÔLER</v>
      </c>
      <c r="AN152" s="484" t="str">
        <f t="shared" si="32"/>
        <v>QT. SUFFISANTE</v>
      </c>
      <c r="AO152" s="473" t="str">
        <f t="shared" si="33"/>
        <v/>
      </c>
      <c r="AP152" s="473" t="str">
        <f t="shared" si="34"/>
        <v/>
      </c>
      <c r="AQ152" s="473" t="str">
        <f t="shared" si="35"/>
        <v/>
      </c>
      <c r="AR152" s="473" t="str">
        <f t="shared" si="36"/>
        <v/>
      </c>
      <c r="AS152" s="473" t="str">
        <f t="shared" si="37"/>
        <v/>
      </c>
      <c r="AT152" s="473" t="str">
        <f t="shared" si="38"/>
        <v/>
      </c>
      <c r="AU152" s="473" t="str">
        <f t="shared" si="39"/>
        <v/>
      </c>
      <c r="AZ152" s="32" t="s">
        <v>8129</v>
      </c>
      <c r="BA152" s="25" t="s">
        <v>6133</v>
      </c>
      <c r="BB152" s="500"/>
      <c r="BC152" s="271"/>
      <c r="BD152" s="279">
        <v>1</v>
      </c>
      <c r="BE152" s="271"/>
      <c r="BF152" s="271"/>
      <c r="BG152" s="271"/>
      <c r="BH152" s="271"/>
      <c r="BI152" s="271"/>
      <c r="BJ152" s="271"/>
      <c r="BK152" s="271"/>
      <c r="BL152" s="271"/>
    </row>
    <row r="153" spans="18:64" ht="21" customHeight="1" x14ac:dyDescent="0.25">
      <c r="R153" s="34" t="s">
        <v>468</v>
      </c>
      <c r="S153" s="451"/>
      <c r="T153" s="32" t="s">
        <v>316</v>
      </c>
      <c r="V153" s="475">
        <v>3</v>
      </c>
      <c r="W153" s="475" t="str">
        <f>IF($AC$153="","",$W$144)</f>
        <v>N° 13</v>
      </c>
      <c r="X153" s="476" t="str">
        <f>IF($AC$153="","",$X$144)</f>
        <v>TABOULÉ LIBANAIS*</v>
      </c>
      <c r="Y153" s="477">
        <f>IF($X$153="","",$Y$144)</f>
        <v>30</v>
      </c>
      <c r="Z153" s="477">
        <f>IF($X$153="","",$Z$144)</f>
        <v>100</v>
      </c>
      <c r="AA153" s="477">
        <f>IF($AC$153="","",ROW($A$153)-ROW($A$144))</f>
        <v>9</v>
      </c>
      <c r="AB153" s="478"/>
      <c r="AC153" s="34" t="s">
        <v>135</v>
      </c>
      <c r="AD153" s="356"/>
      <c r="AE153" s="479">
        <v>5</v>
      </c>
      <c r="AF153" s="32" t="s">
        <v>309</v>
      </c>
      <c r="AG153" s="480">
        <f t="shared" si="28"/>
        <v>5</v>
      </c>
      <c r="AH153" s="481" t="str">
        <f t="shared" si="29"/>
        <v>PIÈCE(S)</v>
      </c>
      <c r="AI153" s="477" t="str">
        <f>IF($AC$153="","",IFERROR(INDEX($AZ$74:$AZ$119,MATCH($AH$153,$AY$74:$AY$119,0)),"AUTRE"))</f>
        <v>AUTRE</v>
      </c>
      <c r="AJ153" s="482">
        <f>IF($AC$153="","",IFERROR(INDEX($BA$74:$BA$119,MATCH($AH$153,$AY$74:$AY$119,0)),1))</f>
        <v>1</v>
      </c>
      <c r="AK153" s="482">
        <f t="shared" si="30"/>
        <v>5</v>
      </c>
      <c r="AL153" s="477" t="str">
        <f>IF($AC$153="","",IFERROR(INDEX($BB$74:$BB$119,MATCH($AH$153,$AY$74:$AY$119,0)),$AH$153))</f>
        <v>pièce(s)</v>
      </c>
      <c r="AM153" s="483" t="str">
        <f t="shared" si="31"/>
        <v>OK</v>
      </c>
      <c r="AN153" s="484">
        <f t="shared" si="32"/>
        <v>5</v>
      </c>
      <c r="AO153" s="473" t="str">
        <f t="shared" si="33"/>
        <v/>
      </c>
      <c r="AP153" s="473" t="str">
        <f t="shared" si="34"/>
        <v/>
      </c>
      <c r="AQ153" s="473" t="str">
        <f t="shared" si="35"/>
        <v/>
      </c>
      <c r="AR153" s="473" t="str">
        <f t="shared" si="36"/>
        <v/>
      </c>
      <c r="AS153" s="473" t="str">
        <f t="shared" si="37"/>
        <v/>
      </c>
      <c r="AT153" s="473" t="str">
        <f t="shared" si="38"/>
        <v/>
      </c>
      <c r="AU153" s="473" t="str">
        <f t="shared" si="39"/>
        <v/>
      </c>
      <c r="AZ153" s="32" t="s">
        <v>8131</v>
      </c>
      <c r="BA153" s="34" t="s">
        <v>476</v>
      </c>
      <c r="BB153" s="500"/>
      <c r="BC153" s="271"/>
      <c r="BD153" s="279">
        <v>1</v>
      </c>
      <c r="BE153" s="271"/>
      <c r="BF153" s="271"/>
      <c r="BG153" s="271"/>
      <c r="BH153" s="271"/>
      <c r="BI153" s="271"/>
      <c r="BJ153" s="271"/>
      <c r="BK153" s="271"/>
      <c r="BL153" s="271"/>
    </row>
    <row r="154" spans="18:64" ht="21" customHeight="1" x14ac:dyDescent="0.25">
      <c r="R154" s="34" t="s">
        <v>473</v>
      </c>
      <c r="S154" s="451"/>
      <c r="T154" s="32" t="s">
        <v>313</v>
      </c>
      <c r="V154" s="475">
        <v>3</v>
      </c>
      <c r="W154" s="475" t="str">
        <f>IF($AC$154="","",$W$144)</f>
        <v/>
      </c>
      <c r="X154" s="476" t="str">
        <f>IF($AC$154="","",$X$144)</f>
        <v/>
      </c>
      <c r="Y154" s="477" t="str">
        <f>IF($X$154="","",$Y$144)</f>
        <v/>
      </c>
      <c r="Z154" s="477" t="str">
        <f>IF($X$154="","",$Z$144)</f>
        <v/>
      </c>
      <c r="AA154" s="477" t="str">
        <f>IF($AC$154="","",ROW($A$154)-ROW($A$144))</f>
        <v/>
      </c>
      <c r="AB154" s="478"/>
      <c r="AC154" s="34"/>
      <c r="AD154" s="356"/>
      <c r="AE154" s="479"/>
      <c r="AF154" s="475"/>
      <c r="AG154" s="480" t="str">
        <f t="shared" si="28"/>
        <v/>
      </c>
      <c r="AH154" s="481" t="str">
        <f t="shared" si="29"/>
        <v/>
      </c>
      <c r="AI154" s="477" t="str">
        <f>IF($AC$154="","",IFERROR(INDEX($AZ$74:$AZ$119,MATCH($AH$154,$AY$74:$AY$119,0)),"AUTRE"))</f>
        <v/>
      </c>
      <c r="AJ154" s="482" t="str">
        <f>IF($AC$154="","",IFERROR(INDEX($BA$74:$BA$119,MATCH($AH$154,$AY$74:$AY$119,0)),1))</f>
        <v/>
      </c>
      <c r="AK154" s="482" t="str">
        <f t="shared" si="30"/>
        <v/>
      </c>
      <c r="AL154" s="477" t="str">
        <f>IF($AC$154="","",IFERROR(INDEX($BB$74:$BB$119,MATCH($AH$154,$AY$74:$AY$119,0)),$AH$154))</f>
        <v/>
      </c>
      <c r="AM154" s="483" t="str">
        <f t="shared" si="31"/>
        <v/>
      </c>
      <c r="AN154" s="484" t="str">
        <f t="shared" si="32"/>
        <v/>
      </c>
      <c r="AO154" s="473" t="str">
        <f t="shared" si="33"/>
        <v/>
      </c>
      <c r="AP154" s="473" t="str">
        <f t="shared" si="34"/>
        <v/>
      </c>
      <c r="AQ154" s="473" t="str">
        <f t="shared" si="35"/>
        <v/>
      </c>
      <c r="AR154" s="473" t="str">
        <f t="shared" si="36"/>
        <v/>
      </c>
      <c r="AS154" s="473" t="str">
        <f t="shared" si="37"/>
        <v/>
      </c>
      <c r="AT154" s="473" t="str">
        <f t="shared" si="38"/>
        <v/>
      </c>
      <c r="AU154" s="473" t="str">
        <f t="shared" si="39"/>
        <v/>
      </c>
      <c r="AZ154" s="32" t="s">
        <v>309</v>
      </c>
      <c r="BA154" s="34" t="s">
        <v>468</v>
      </c>
      <c r="BB154" s="500"/>
      <c r="BC154" s="271"/>
      <c r="BD154" s="279">
        <v>1</v>
      </c>
      <c r="BE154" s="271"/>
      <c r="BF154" s="271"/>
      <c r="BG154" s="271"/>
      <c r="BH154" s="271"/>
      <c r="BI154" s="271"/>
      <c r="BJ154" s="271"/>
      <c r="BK154" s="271"/>
      <c r="BL154" s="271"/>
    </row>
    <row r="155" spans="18:64" ht="21" customHeight="1" x14ac:dyDescent="0.25">
      <c r="R155" s="34" t="s">
        <v>497</v>
      </c>
      <c r="S155" s="451"/>
      <c r="T155" s="32" t="s">
        <v>307</v>
      </c>
      <c r="V155" s="475">
        <v>3</v>
      </c>
      <c r="W155" s="475" t="str">
        <f>IF($AC$155="","",$W$144)</f>
        <v/>
      </c>
      <c r="X155" s="476" t="str">
        <f>IF($AC$155="","",$X$144)</f>
        <v/>
      </c>
      <c r="Y155" s="477" t="str">
        <f>IF($X$155="","",$Y$144)</f>
        <v/>
      </c>
      <c r="Z155" s="477" t="str">
        <f>IF($X$155="","",$Z$144)</f>
        <v/>
      </c>
      <c r="AA155" s="477" t="str">
        <f>IF($AC$155="","",ROW($A$155)-ROW($A$144))</f>
        <v/>
      </c>
      <c r="AB155" s="478"/>
      <c r="AC155" s="34"/>
      <c r="AD155" s="356"/>
      <c r="AE155" s="479"/>
      <c r="AF155" s="475"/>
      <c r="AG155" s="480" t="str">
        <f t="shared" si="28"/>
        <v/>
      </c>
      <c r="AH155" s="481" t="str">
        <f t="shared" si="29"/>
        <v/>
      </c>
      <c r="AI155" s="477" t="str">
        <f>IF($AC$155="","",IFERROR(INDEX($AZ$74:$AZ$119,MATCH($AH$155,$AY$74:$AY$119,0)),"AUTRE"))</f>
        <v/>
      </c>
      <c r="AJ155" s="482" t="str">
        <f>IF($AC$155="","",IFERROR(INDEX($BA$74:$BA$119,MATCH($AH$155,$AY$74:$AY$119,0)),1))</f>
        <v/>
      </c>
      <c r="AK155" s="482" t="str">
        <f t="shared" si="30"/>
        <v/>
      </c>
      <c r="AL155" s="477" t="str">
        <f>IF($AC$155="","",IFERROR(INDEX($BB$74:$BB$119,MATCH($AH$155,$AY$74:$AY$119,0)),$AH$155))</f>
        <v/>
      </c>
      <c r="AM155" s="483" t="str">
        <f t="shared" si="31"/>
        <v/>
      </c>
      <c r="AN155" s="484" t="str">
        <f t="shared" si="32"/>
        <v/>
      </c>
      <c r="AO155" s="473" t="str">
        <f t="shared" si="33"/>
        <v/>
      </c>
      <c r="AP155" s="473" t="str">
        <f t="shared" si="34"/>
        <v/>
      </c>
      <c r="AQ155" s="473" t="str">
        <f t="shared" si="35"/>
        <v/>
      </c>
      <c r="AR155" s="473" t="str">
        <f t="shared" si="36"/>
        <v/>
      </c>
      <c r="AS155" s="473" t="str">
        <f t="shared" si="37"/>
        <v/>
      </c>
      <c r="AT155" s="473" t="str">
        <f t="shared" si="38"/>
        <v/>
      </c>
      <c r="AU155" s="473" t="str">
        <f t="shared" si="39"/>
        <v/>
      </c>
      <c r="AZ155" s="32" t="s">
        <v>311</v>
      </c>
      <c r="BA155" s="34" t="s">
        <v>473</v>
      </c>
      <c r="BB155" s="500"/>
      <c r="BC155" s="271"/>
      <c r="BD155" s="279">
        <v>1</v>
      </c>
      <c r="BE155" s="271"/>
      <c r="BF155" s="271"/>
      <c r="BG155" s="271"/>
      <c r="BH155" s="271"/>
      <c r="BI155" s="271"/>
      <c r="BJ155" s="271"/>
      <c r="BK155" s="271"/>
      <c r="BL155" s="271"/>
    </row>
    <row r="156" spans="18:64" ht="21" customHeight="1" x14ac:dyDescent="0.25">
      <c r="R156" s="34" t="s">
        <v>470</v>
      </c>
      <c r="S156" s="451"/>
      <c r="T156" s="32" t="s">
        <v>322</v>
      </c>
      <c r="V156" s="475">
        <v>3</v>
      </c>
      <c r="W156" s="475" t="str">
        <f>IF($AC$156="","",$W$144)</f>
        <v/>
      </c>
      <c r="X156" s="476" t="str">
        <f>IF($AC$156="","",$X$144)</f>
        <v/>
      </c>
      <c r="Y156" s="477" t="str">
        <f>IF($X$156="","",$Y$144)</f>
        <v/>
      </c>
      <c r="Z156" s="477" t="str">
        <f>IF($X$156="","",$Z$144)</f>
        <v/>
      </c>
      <c r="AA156" s="477" t="str">
        <f>IF($AC$156="","",ROW($A$156)-ROW($A$144))</f>
        <v/>
      </c>
      <c r="AB156" s="478"/>
      <c r="AC156" s="34"/>
      <c r="AD156" s="356"/>
      <c r="AE156" s="479"/>
      <c r="AF156" s="475"/>
      <c r="AG156" s="480" t="str">
        <f t="shared" si="28"/>
        <v/>
      </c>
      <c r="AH156" s="481" t="str">
        <f t="shared" si="29"/>
        <v/>
      </c>
      <c r="AI156" s="477" t="str">
        <f>IF($AC$156="","",IFERROR(INDEX($AZ$74:$AZ$119,MATCH($AH$156,$AY$74:$AY$119,0)),"AUTRE"))</f>
        <v/>
      </c>
      <c r="AJ156" s="482" t="str">
        <f>IF($AC$156="","",IFERROR(INDEX($BA$74:$BA$119,MATCH($AH$156,$AY$74:$AY$119,0)),1))</f>
        <v/>
      </c>
      <c r="AK156" s="482" t="str">
        <f t="shared" si="30"/>
        <v/>
      </c>
      <c r="AL156" s="477" t="str">
        <f>IF($AC$156="","",IFERROR(INDEX($BB$74:$BB$119,MATCH($AH$156,$AY$74:$AY$119,0)),$AH$156))</f>
        <v/>
      </c>
      <c r="AM156" s="483" t="str">
        <f t="shared" si="31"/>
        <v/>
      </c>
      <c r="AN156" s="484" t="str">
        <f t="shared" si="32"/>
        <v/>
      </c>
      <c r="AO156" s="473" t="str">
        <f t="shared" si="33"/>
        <v/>
      </c>
      <c r="AP156" s="473" t="str">
        <f t="shared" si="34"/>
        <v/>
      </c>
      <c r="AQ156" s="473" t="str">
        <f t="shared" si="35"/>
        <v/>
      </c>
      <c r="AR156" s="473" t="str">
        <f t="shared" si="36"/>
        <v/>
      </c>
      <c r="AS156" s="473" t="str">
        <f t="shared" si="37"/>
        <v/>
      </c>
      <c r="AT156" s="473" t="str">
        <f t="shared" si="38"/>
        <v/>
      </c>
      <c r="AU156" s="473" t="str">
        <f t="shared" si="39"/>
        <v/>
      </c>
      <c r="AZ156" s="32" t="s">
        <v>8135</v>
      </c>
      <c r="BA156" s="34" t="s">
        <v>497</v>
      </c>
      <c r="BB156" s="500"/>
      <c r="BC156" s="271"/>
      <c r="BD156" s="279">
        <v>1</v>
      </c>
      <c r="BE156" s="271"/>
      <c r="BF156" s="271"/>
      <c r="BG156" s="271"/>
      <c r="BH156" s="271"/>
      <c r="BI156" s="271"/>
      <c r="BJ156" s="271"/>
      <c r="BK156" s="271"/>
      <c r="BL156" s="271"/>
    </row>
    <row r="157" spans="18:64" ht="21" customHeight="1" x14ac:dyDescent="0.25">
      <c r="R157" s="34" t="s">
        <v>477</v>
      </c>
      <c r="S157" s="451"/>
      <c r="T157" s="32" t="s">
        <v>305</v>
      </c>
      <c r="V157" s="475">
        <v>3</v>
      </c>
      <c r="W157" s="475" t="str">
        <f>IF($AC$157="","",$W$144)</f>
        <v/>
      </c>
      <c r="X157" s="476" t="str">
        <f>IF($AC$157="","",$X$144)</f>
        <v/>
      </c>
      <c r="Y157" s="477" t="str">
        <f>IF($X$157="","",$Y$144)</f>
        <v/>
      </c>
      <c r="Z157" s="477" t="str">
        <f>IF($X$157="","",$Z$144)</f>
        <v/>
      </c>
      <c r="AA157" s="477" t="str">
        <f>IF($AC$157="","",ROW($A$157)-ROW($A$144))</f>
        <v/>
      </c>
      <c r="AB157" s="478"/>
      <c r="AC157" s="34"/>
      <c r="AD157" s="356"/>
      <c r="AE157" s="479"/>
      <c r="AF157" s="475"/>
      <c r="AG157" s="480" t="str">
        <f t="shared" si="28"/>
        <v/>
      </c>
      <c r="AH157" s="481" t="str">
        <f t="shared" si="29"/>
        <v/>
      </c>
      <c r="AI157" s="477" t="str">
        <f>IF($AC$157="","",IFERROR(INDEX($AZ$74:$AZ$119,MATCH($AH$157,$AY$74:$AY$119,0)),"AUTRE"))</f>
        <v/>
      </c>
      <c r="AJ157" s="482" t="str">
        <f>IF($AC$157="","",IFERROR(INDEX($BA$74:$BA$119,MATCH($AH$157,$AY$74:$AY$119,0)),1))</f>
        <v/>
      </c>
      <c r="AK157" s="482" t="str">
        <f t="shared" si="30"/>
        <v/>
      </c>
      <c r="AL157" s="477" t="str">
        <f>IF($AC$157="","",IFERROR(INDEX($BB$74:$BB$119,MATCH($AH$157,$AY$74:$AY$119,0)),$AH$157))</f>
        <v/>
      </c>
      <c r="AM157" s="483" t="str">
        <f t="shared" si="31"/>
        <v/>
      </c>
      <c r="AN157" s="484" t="str">
        <f t="shared" si="32"/>
        <v/>
      </c>
      <c r="AO157" s="473" t="str">
        <f t="shared" si="33"/>
        <v/>
      </c>
      <c r="AP157" s="473" t="str">
        <f t="shared" si="34"/>
        <v/>
      </c>
      <c r="AQ157" s="473" t="str">
        <f t="shared" si="35"/>
        <v/>
      </c>
      <c r="AR157" s="473" t="str">
        <f t="shared" si="36"/>
        <v/>
      </c>
      <c r="AS157" s="473" t="str">
        <f t="shared" si="37"/>
        <v/>
      </c>
      <c r="AT157" s="473" t="str">
        <f t="shared" si="38"/>
        <v/>
      </c>
      <c r="AU157" s="473" t="str">
        <f t="shared" si="39"/>
        <v/>
      </c>
      <c r="AZ157" s="32" t="s">
        <v>8137</v>
      </c>
      <c r="BA157" s="34" t="s">
        <v>470</v>
      </c>
      <c r="BB157" s="500"/>
      <c r="BC157" s="271"/>
      <c r="BD157" s="279">
        <v>1</v>
      </c>
      <c r="BE157" s="271"/>
      <c r="BF157" s="271"/>
      <c r="BG157" s="271"/>
      <c r="BH157" s="271"/>
      <c r="BI157" s="271"/>
      <c r="BJ157" s="271"/>
      <c r="BK157" s="271"/>
      <c r="BL157" s="271"/>
    </row>
    <row r="158" spans="18:64" ht="21" customHeight="1" x14ac:dyDescent="0.25">
      <c r="S158" s="451"/>
      <c r="T158" s="32" t="s">
        <v>309</v>
      </c>
      <c r="V158" s="475">
        <v>3</v>
      </c>
      <c r="W158" s="475" t="str">
        <f>IF($AC$158="","",$W$144)</f>
        <v/>
      </c>
      <c r="X158" s="476" t="str">
        <f>IF($AC$158="","",$X$144)</f>
        <v/>
      </c>
      <c r="Y158" s="477" t="str">
        <f>IF($X$158="","",$Y$144)</f>
        <v/>
      </c>
      <c r="Z158" s="477" t="str">
        <f>IF($X$158="","",$Z$144)</f>
        <v/>
      </c>
      <c r="AA158" s="477" t="str">
        <f>IF($AC$158="","",ROW($A$158)-ROW($A$144))</f>
        <v/>
      </c>
      <c r="AB158" s="478"/>
      <c r="AC158" s="34"/>
      <c r="AD158" s="356"/>
      <c r="AE158" s="479"/>
      <c r="AF158" s="475"/>
      <c r="AG158" s="480" t="str">
        <f t="shared" si="28"/>
        <v/>
      </c>
      <c r="AH158" s="481" t="str">
        <f t="shared" si="29"/>
        <v/>
      </c>
      <c r="AI158" s="477" t="str">
        <f>IF($AC$158="","",IFERROR(INDEX($AZ$74:$AZ$119,MATCH($AH$158,$AY$74:$AY$119,0)),"AUTRE"))</f>
        <v/>
      </c>
      <c r="AJ158" s="482" t="str">
        <f>IF($AC$158="","",IFERROR(INDEX($BA$74:$BA$119,MATCH($AH$158,$AY$74:$AY$119,0)),1))</f>
        <v/>
      </c>
      <c r="AK158" s="482" t="str">
        <f t="shared" si="30"/>
        <v/>
      </c>
      <c r="AL158" s="477" t="str">
        <f>IF($AC$158="","",IFERROR(INDEX($BB$74:$BB$119,MATCH($AH$158,$AY$74:$AY$119,0)),$AH$158))</f>
        <v/>
      </c>
      <c r="AM158" s="483" t="str">
        <f t="shared" si="31"/>
        <v/>
      </c>
      <c r="AN158" s="484" t="str">
        <f t="shared" si="32"/>
        <v/>
      </c>
      <c r="AO158" s="473" t="str">
        <f t="shared" si="33"/>
        <v/>
      </c>
      <c r="AP158" s="473" t="str">
        <f t="shared" si="34"/>
        <v/>
      </c>
      <c r="AQ158" s="473" t="str">
        <f t="shared" si="35"/>
        <v/>
      </c>
      <c r="AR158" s="473" t="str">
        <f t="shared" si="36"/>
        <v/>
      </c>
      <c r="AS158" s="473" t="str">
        <f t="shared" si="37"/>
        <v/>
      </c>
      <c r="AT158" s="473" t="str">
        <f t="shared" si="38"/>
        <v/>
      </c>
      <c r="AU158" s="473" t="str">
        <f t="shared" si="39"/>
        <v/>
      </c>
      <c r="AZ158" s="32" t="s">
        <v>8139</v>
      </c>
      <c r="BA158" s="34" t="s">
        <v>477</v>
      </c>
      <c r="BB158" s="500"/>
      <c r="BC158" s="271"/>
      <c r="BD158" s="279">
        <v>1</v>
      </c>
      <c r="BE158" s="271"/>
      <c r="BF158" s="271"/>
      <c r="BG158" s="271"/>
      <c r="BH158" s="271"/>
      <c r="BI158" s="271"/>
      <c r="BJ158" s="271"/>
      <c r="BK158" s="271"/>
      <c r="BL158" s="271"/>
    </row>
    <row r="159" spans="18:64" ht="21" customHeight="1" x14ac:dyDescent="0.25">
      <c r="R159" s="25" t="s">
        <v>6134</v>
      </c>
      <c r="S159" s="451"/>
      <c r="T159" s="32" t="s">
        <v>311</v>
      </c>
      <c r="V159" s="475">
        <v>3</v>
      </c>
      <c r="W159" s="475" t="str">
        <f>IF($AC$159="","",$W$144)</f>
        <v/>
      </c>
      <c r="X159" s="476" t="str">
        <f>IF($AC$159="","",$X$144)</f>
        <v/>
      </c>
      <c r="Y159" s="477" t="str">
        <f>IF($X$159="","",$Y$144)</f>
        <v/>
      </c>
      <c r="Z159" s="477" t="str">
        <f>IF($X$159="","",$Z$144)</f>
        <v/>
      </c>
      <c r="AA159" s="477" t="str">
        <f>IF($AC$159="","",ROW($A$159)-ROW($A$144))</f>
        <v/>
      </c>
      <c r="AB159" s="478"/>
      <c r="AC159" s="34"/>
      <c r="AD159" s="356"/>
      <c r="AE159" s="479"/>
      <c r="AF159" s="475"/>
      <c r="AG159" s="480" t="str">
        <f t="shared" si="28"/>
        <v/>
      </c>
      <c r="AH159" s="481" t="str">
        <f t="shared" si="29"/>
        <v/>
      </c>
      <c r="AI159" s="477" t="str">
        <f>IF($AC$159="","",IFERROR(INDEX($AZ$74:$AZ$119,MATCH($AH$159,$AY$74:$AY$119,0)),"AUTRE"))</f>
        <v/>
      </c>
      <c r="AJ159" s="482" t="str">
        <f>IF($AC$159="","",IFERROR(INDEX($BA$74:$BA$119,MATCH($AH$159,$AY$74:$AY$119,0)),1))</f>
        <v/>
      </c>
      <c r="AK159" s="482" t="str">
        <f t="shared" si="30"/>
        <v/>
      </c>
      <c r="AL159" s="477" t="str">
        <f>IF($AC$159="","",IFERROR(INDEX($BB$74:$BB$119,MATCH($AH$159,$AY$74:$AY$119,0)),$AH$159))</f>
        <v/>
      </c>
      <c r="AM159" s="483" t="str">
        <f t="shared" si="31"/>
        <v/>
      </c>
      <c r="AN159" s="484" t="str">
        <f t="shared" si="32"/>
        <v/>
      </c>
      <c r="AO159" s="473" t="str">
        <f t="shared" si="33"/>
        <v/>
      </c>
      <c r="AP159" s="473" t="str">
        <f t="shared" si="34"/>
        <v/>
      </c>
      <c r="AQ159" s="473" t="str">
        <f t="shared" si="35"/>
        <v/>
      </c>
      <c r="AR159" s="473" t="str">
        <f t="shared" si="36"/>
        <v/>
      </c>
      <c r="AS159" s="473" t="str">
        <f t="shared" si="37"/>
        <v/>
      </c>
      <c r="AT159" s="473" t="str">
        <f t="shared" si="38"/>
        <v/>
      </c>
      <c r="AU159" s="473" t="str">
        <f t="shared" si="39"/>
        <v/>
      </c>
      <c r="AZ159" s="32" t="s">
        <v>8141</v>
      </c>
      <c r="BB159" s="500"/>
      <c r="BC159" s="271"/>
      <c r="BD159" s="279">
        <v>1</v>
      </c>
      <c r="BE159" s="271"/>
      <c r="BF159" s="271"/>
      <c r="BG159" s="271"/>
      <c r="BH159" s="271"/>
      <c r="BI159" s="271"/>
      <c r="BJ159" s="271"/>
      <c r="BK159" s="271"/>
      <c r="BL159" s="271"/>
    </row>
    <row r="160" spans="18:64" ht="21" customHeight="1" x14ac:dyDescent="0.25">
      <c r="R160" s="34" t="s">
        <v>481</v>
      </c>
      <c r="S160" s="451"/>
      <c r="T160" s="32" t="s">
        <v>8135</v>
      </c>
      <c r="V160" s="475">
        <v>3</v>
      </c>
      <c r="W160" s="475" t="str">
        <f>IF($AC$160="","",$W$144)</f>
        <v/>
      </c>
      <c r="X160" s="476" t="str">
        <f>IF($AC$160="","",$X$144)</f>
        <v/>
      </c>
      <c r="Y160" s="477" t="str">
        <f>IF($X$160="","",$Y$144)</f>
        <v/>
      </c>
      <c r="Z160" s="477" t="str">
        <f>IF($X$160="","",$Z$144)</f>
        <v/>
      </c>
      <c r="AA160" s="477" t="str">
        <f>IF($AC$160="","",ROW($A$160)-ROW($A$144))</f>
        <v/>
      </c>
      <c r="AB160" s="478"/>
      <c r="AC160" s="34"/>
      <c r="AD160" s="356"/>
      <c r="AE160" s="479"/>
      <c r="AF160" s="475"/>
      <c r="AG160" s="480" t="str">
        <f t="shared" si="28"/>
        <v/>
      </c>
      <c r="AH160" s="481" t="str">
        <f t="shared" si="29"/>
        <v/>
      </c>
      <c r="AI160" s="477" t="str">
        <f>IF($AC$160="","",IFERROR(INDEX($AZ$74:$AZ$119,MATCH($AH$160,$AY$74:$AY$119,0)),"AUTRE"))</f>
        <v/>
      </c>
      <c r="AJ160" s="482" t="str">
        <f>IF($AC$160="","",IFERROR(INDEX($BA$74:$BA$119,MATCH($AH$160,$AY$74:$AY$119,0)),1))</f>
        <v/>
      </c>
      <c r="AK160" s="482" t="str">
        <f t="shared" si="30"/>
        <v/>
      </c>
      <c r="AL160" s="477" t="str">
        <f>IF($AC$160="","",IFERROR(INDEX($BB$74:$BB$119,MATCH($AH$160,$AY$74:$AY$119,0)),$AH$160))</f>
        <v/>
      </c>
      <c r="AM160" s="483" t="str">
        <f t="shared" si="31"/>
        <v/>
      </c>
      <c r="AN160" s="484" t="str">
        <f t="shared" si="32"/>
        <v/>
      </c>
      <c r="AO160" s="473" t="str">
        <f t="shared" si="33"/>
        <v/>
      </c>
      <c r="AP160" s="473" t="str">
        <f t="shared" si="34"/>
        <v/>
      </c>
      <c r="AQ160" s="473" t="str">
        <f t="shared" si="35"/>
        <v/>
      </c>
      <c r="AR160" s="473" t="str">
        <f t="shared" si="36"/>
        <v/>
      </c>
      <c r="AS160" s="473" t="str">
        <f t="shared" si="37"/>
        <v/>
      </c>
      <c r="AT160" s="473" t="str">
        <f t="shared" si="38"/>
        <v/>
      </c>
      <c r="AU160" s="473" t="str">
        <f t="shared" si="39"/>
        <v/>
      </c>
      <c r="AZ160" s="32" t="s">
        <v>8143</v>
      </c>
      <c r="BA160" s="25" t="s">
        <v>6134</v>
      </c>
      <c r="BB160" s="500"/>
      <c r="BC160" s="271"/>
      <c r="BD160" s="279">
        <v>1</v>
      </c>
      <c r="BE160" s="271"/>
      <c r="BF160" s="271"/>
      <c r="BG160" s="271"/>
      <c r="BH160" s="271"/>
      <c r="BI160" s="271"/>
      <c r="BJ160" s="271"/>
      <c r="BK160" s="271"/>
      <c r="BL160" s="271"/>
    </row>
    <row r="161" spans="18:64" ht="21" customHeight="1" x14ac:dyDescent="0.25">
      <c r="R161" s="34" t="s">
        <v>475</v>
      </c>
      <c r="S161" s="451"/>
      <c r="T161" s="497" t="s">
        <v>462</v>
      </c>
      <c r="V161" s="475">
        <v>3</v>
      </c>
      <c r="W161" s="475" t="str">
        <f>IF($AC$161="","",$W$144)</f>
        <v/>
      </c>
      <c r="X161" s="476" t="str">
        <f>IF($AC$161="","",$X$144)</f>
        <v/>
      </c>
      <c r="Y161" s="477" t="str">
        <f>IF($X$161="","",$Y$144)</f>
        <v/>
      </c>
      <c r="Z161" s="477" t="str">
        <f>IF($X$161="","",$Z$144)</f>
        <v/>
      </c>
      <c r="AA161" s="477" t="str">
        <f>IF($AC$161="","",ROW($A$161)-ROW($A$144))</f>
        <v/>
      </c>
      <c r="AB161" s="478"/>
      <c r="AC161" s="34"/>
      <c r="AD161" s="356"/>
      <c r="AE161" s="479"/>
      <c r="AF161" s="475"/>
      <c r="AG161" s="480" t="str">
        <f t="shared" si="28"/>
        <v/>
      </c>
      <c r="AH161" s="481" t="str">
        <f t="shared" si="29"/>
        <v/>
      </c>
      <c r="AI161" s="477" t="str">
        <f>IF($AC$161="","",IFERROR(INDEX($AZ$74:$AZ$119,MATCH($AH$161,$AY$74:$AY$119,0)),"AUTRE"))</f>
        <v/>
      </c>
      <c r="AJ161" s="482" t="str">
        <f>IF($AC$161="","",IFERROR(INDEX($BA$74:$BA$119,MATCH($AH$161,$AY$74:$AY$119,0)),1))</f>
        <v/>
      </c>
      <c r="AK161" s="482" t="str">
        <f t="shared" si="30"/>
        <v/>
      </c>
      <c r="AL161" s="477" t="str">
        <f>IF($AC$161="","",IFERROR(INDEX($BB$74:$BB$119,MATCH($AH$161,$AY$74:$AY$119,0)),$AH$161))</f>
        <v/>
      </c>
      <c r="AM161" s="483" t="str">
        <f t="shared" si="31"/>
        <v/>
      </c>
      <c r="AN161" s="484" t="str">
        <f t="shared" si="32"/>
        <v/>
      </c>
      <c r="AO161" s="473" t="str">
        <f t="shared" si="33"/>
        <v/>
      </c>
      <c r="AP161" s="473" t="str">
        <f t="shared" si="34"/>
        <v/>
      </c>
      <c r="AQ161" s="473" t="str">
        <f t="shared" si="35"/>
        <v/>
      </c>
      <c r="AR161" s="473" t="str">
        <f t="shared" si="36"/>
        <v/>
      </c>
      <c r="AS161" s="473" t="str">
        <f t="shared" si="37"/>
        <v/>
      </c>
      <c r="AT161" s="473" t="str">
        <f t="shared" si="38"/>
        <v/>
      </c>
      <c r="AU161" s="473" t="str">
        <f t="shared" si="39"/>
        <v/>
      </c>
      <c r="AZ161" s="497" t="s">
        <v>8145</v>
      </c>
      <c r="BA161" s="34" t="s">
        <v>481</v>
      </c>
      <c r="BB161" s="500"/>
      <c r="BC161" s="271"/>
      <c r="BD161" s="279">
        <v>1</v>
      </c>
      <c r="BE161" s="271"/>
      <c r="BF161" s="271"/>
      <c r="BG161" s="271"/>
      <c r="BH161" s="271"/>
      <c r="BI161" s="271"/>
      <c r="BJ161" s="271"/>
      <c r="BK161" s="271"/>
      <c r="BL161" s="271"/>
    </row>
    <row r="162" spans="18:64" ht="21" customHeight="1" x14ac:dyDescent="0.25">
      <c r="R162" s="34" t="s">
        <v>457</v>
      </c>
      <c r="S162" s="451"/>
      <c r="T162" s="497" t="s">
        <v>463</v>
      </c>
      <c r="V162" s="475">
        <v>3</v>
      </c>
      <c r="W162" s="475" t="str">
        <f>IF($AC$162="","",$W$144)</f>
        <v/>
      </c>
      <c r="X162" s="476" t="str">
        <f>IF($AC$162="","",$X$144)</f>
        <v/>
      </c>
      <c r="Y162" s="477" t="str">
        <f>IF($X$162="","",$Y$144)</f>
        <v/>
      </c>
      <c r="Z162" s="477" t="str">
        <f>IF($X$162="","",$Z$144)</f>
        <v/>
      </c>
      <c r="AA162" s="477" t="str">
        <f>IF($AC$162="","",ROW($A$162)-ROW($A$144))</f>
        <v/>
      </c>
      <c r="AB162" s="478"/>
      <c r="AC162" s="34"/>
      <c r="AD162" s="356"/>
      <c r="AE162" s="479"/>
      <c r="AF162" s="475"/>
      <c r="AG162" s="480" t="str">
        <f t="shared" si="28"/>
        <v/>
      </c>
      <c r="AH162" s="481" t="str">
        <f t="shared" si="29"/>
        <v/>
      </c>
      <c r="AI162" s="477" t="str">
        <f>IF($AC$162="","",IFERROR(INDEX($AZ$74:$AZ$119,MATCH($AH$162,$AY$74:$AY$119,0)),"AUTRE"))</f>
        <v/>
      </c>
      <c r="AJ162" s="482" t="str">
        <f>IF($AC$162="","",IFERROR(INDEX($BA$74:$BA$119,MATCH($AH$162,$AY$74:$AY$119,0)),1))</f>
        <v/>
      </c>
      <c r="AK162" s="482" t="str">
        <f t="shared" si="30"/>
        <v/>
      </c>
      <c r="AL162" s="477" t="str">
        <f>IF($AC$162="","",IFERROR(INDEX($BB$74:$BB$119,MATCH($AH$162,$AY$74:$AY$119,0)),$AH$162))</f>
        <v/>
      </c>
      <c r="AM162" s="483" t="str">
        <f t="shared" si="31"/>
        <v/>
      </c>
      <c r="AN162" s="484" t="str">
        <f t="shared" si="32"/>
        <v/>
      </c>
      <c r="AO162" s="473" t="str">
        <f t="shared" si="33"/>
        <v/>
      </c>
      <c r="AP162" s="473" t="str">
        <f t="shared" si="34"/>
        <v/>
      </c>
      <c r="AQ162" s="473" t="str">
        <f t="shared" si="35"/>
        <v/>
      </c>
      <c r="AR162" s="473" t="str">
        <f t="shared" si="36"/>
        <v/>
      </c>
      <c r="AS162" s="473" t="str">
        <f t="shared" si="37"/>
        <v/>
      </c>
      <c r="AT162" s="473" t="str">
        <f t="shared" si="38"/>
        <v/>
      </c>
      <c r="AU162" s="473" t="str">
        <f t="shared" si="39"/>
        <v/>
      </c>
      <c r="AZ162" s="497" t="s">
        <v>462</v>
      </c>
      <c r="BA162" s="34" t="s">
        <v>475</v>
      </c>
      <c r="BB162" s="500"/>
      <c r="BC162" s="271"/>
      <c r="BD162" s="279">
        <v>1</v>
      </c>
      <c r="BE162" s="271"/>
      <c r="BF162" s="271"/>
      <c r="BG162" s="271"/>
      <c r="BH162" s="271"/>
      <c r="BI162" s="271"/>
      <c r="BJ162" s="271"/>
      <c r="BK162" s="271"/>
      <c r="BL162" s="271"/>
    </row>
    <row r="163" spans="18:64" ht="21" customHeight="1" x14ac:dyDescent="0.25">
      <c r="R163" s="34" t="s">
        <v>482</v>
      </c>
      <c r="S163" s="451"/>
      <c r="T163" s="497" t="s">
        <v>8147</v>
      </c>
      <c r="V163" s="475">
        <v>3</v>
      </c>
      <c r="W163" s="475" t="str">
        <f>IF($AC$163="","",$W$144)</f>
        <v/>
      </c>
      <c r="X163" s="476" t="str">
        <f>IF($AC$163="","",$X$144)</f>
        <v/>
      </c>
      <c r="Y163" s="477" t="str">
        <f>IF($X$163="","",$Y$144)</f>
        <v/>
      </c>
      <c r="Z163" s="477" t="str">
        <f>IF($X$163="","",$Z$144)</f>
        <v/>
      </c>
      <c r="AA163" s="477" t="str">
        <f>IF($AC$163="","",ROW($A$163)-ROW($A$144))</f>
        <v/>
      </c>
      <c r="AB163" s="478"/>
      <c r="AC163" s="34"/>
      <c r="AD163" s="356"/>
      <c r="AE163" s="479"/>
      <c r="AF163" s="475"/>
      <c r="AG163" s="480" t="str">
        <f t="shared" si="28"/>
        <v/>
      </c>
      <c r="AH163" s="481" t="str">
        <f t="shared" si="29"/>
        <v/>
      </c>
      <c r="AI163" s="477" t="str">
        <f>IF($AC$163="","",IFERROR(INDEX($AZ$74:$AZ$119,MATCH($AH$163,$AY$74:$AY$119,0)),"AUTRE"))</f>
        <v/>
      </c>
      <c r="AJ163" s="482" t="str">
        <f>IF($AC$163="","",IFERROR(INDEX($BA$74:$BA$119,MATCH($AH$163,$AY$74:$AY$119,0)),1))</f>
        <v/>
      </c>
      <c r="AK163" s="482" t="str">
        <f t="shared" si="30"/>
        <v/>
      </c>
      <c r="AL163" s="477" t="str">
        <f>IF($AC$163="","",IFERROR(INDEX($BB$74:$BB$119,MATCH($AH$163,$AY$74:$AY$119,0)),$AH$163))</f>
        <v/>
      </c>
      <c r="AM163" s="483" t="str">
        <f t="shared" si="31"/>
        <v/>
      </c>
      <c r="AN163" s="484" t="str">
        <f t="shared" si="32"/>
        <v/>
      </c>
      <c r="AO163" s="473" t="str">
        <f t="shared" si="33"/>
        <v/>
      </c>
      <c r="AP163" s="473" t="str">
        <f t="shared" si="34"/>
        <v/>
      </c>
      <c r="AQ163" s="473" t="str">
        <f t="shared" si="35"/>
        <v/>
      </c>
      <c r="AR163" s="473" t="str">
        <f t="shared" si="36"/>
        <v/>
      </c>
      <c r="AS163" s="473" t="str">
        <f t="shared" si="37"/>
        <v/>
      </c>
      <c r="AT163" s="473" t="str">
        <f t="shared" si="38"/>
        <v/>
      </c>
      <c r="AU163" s="473" t="str">
        <f t="shared" si="39"/>
        <v/>
      </c>
      <c r="AZ163" s="497" t="s">
        <v>463</v>
      </c>
      <c r="BA163" s="34" t="s">
        <v>457</v>
      </c>
      <c r="BB163" s="500"/>
      <c r="BC163" s="271"/>
      <c r="BD163" s="279">
        <v>1</v>
      </c>
      <c r="BE163" s="271"/>
      <c r="BF163" s="271"/>
      <c r="BG163" s="271"/>
      <c r="BH163" s="271"/>
      <c r="BI163" s="271"/>
      <c r="BJ163" s="271"/>
      <c r="BK163" s="271"/>
      <c r="BL163" s="271"/>
    </row>
    <row r="164" spans="18:64" ht="21" customHeight="1" x14ac:dyDescent="0.25">
      <c r="R164" s="34" t="s">
        <v>496</v>
      </c>
      <c r="S164" s="451"/>
      <c r="T164" s="497" t="s">
        <v>465</v>
      </c>
      <c r="V164" s="475">
        <v>3</v>
      </c>
      <c r="W164" s="475" t="str">
        <f>IF($AC$164="","",$W$144)</f>
        <v/>
      </c>
      <c r="X164" s="476" t="str">
        <f>IF($AC$164="","",$X$144)</f>
        <v/>
      </c>
      <c r="Y164" s="477" t="str">
        <f>IF($X$164="","",$Y$144)</f>
        <v/>
      </c>
      <c r="Z164" s="477" t="str">
        <f>IF($X$164="","",$Z$144)</f>
        <v/>
      </c>
      <c r="AA164" s="477" t="str">
        <f>IF($AC$164="","",ROW($A$164)-ROW($A$144))</f>
        <v/>
      </c>
      <c r="AB164" s="478"/>
      <c r="AC164" s="34"/>
      <c r="AD164" s="356"/>
      <c r="AE164" s="479"/>
      <c r="AF164" s="475"/>
      <c r="AG164" s="480" t="str">
        <f t="shared" si="28"/>
        <v/>
      </c>
      <c r="AH164" s="481" t="str">
        <f t="shared" si="29"/>
        <v/>
      </c>
      <c r="AI164" s="477" t="str">
        <f>IF($AC$164="","",IFERROR(INDEX($AZ$74:$AZ$119,MATCH($AH$164,$AY$74:$AY$119,0)),"AUTRE"))</f>
        <v/>
      </c>
      <c r="AJ164" s="482" t="str">
        <f>IF($AC$164="","",IFERROR(INDEX($BA$74:$BA$119,MATCH($AH$164,$AY$74:$AY$119,0)),1))</f>
        <v/>
      </c>
      <c r="AK164" s="482" t="str">
        <f t="shared" si="30"/>
        <v/>
      </c>
      <c r="AL164" s="477" t="str">
        <f>IF($AC$164="","",IFERROR(INDEX($BB$74:$BB$119,MATCH($AH$164,$AY$74:$AY$119,0)),$AH$164))</f>
        <v/>
      </c>
      <c r="AM164" s="483" t="str">
        <f t="shared" si="31"/>
        <v/>
      </c>
      <c r="AN164" s="484" t="str">
        <f t="shared" si="32"/>
        <v/>
      </c>
      <c r="AO164" s="473" t="str">
        <f t="shared" si="33"/>
        <v/>
      </c>
      <c r="AP164" s="473" t="str">
        <f t="shared" si="34"/>
        <v/>
      </c>
      <c r="AQ164" s="473" t="str">
        <f t="shared" si="35"/>
        <v/>
      </c>
      <c r="AR164" s="473" t="str">
        <f t="shared" si="36"/>
        <v/>
      </c>
      <c r="AS164" s="473" t="str">
        <f t="shared" si="37"/>
        <v/>
      </c>
      <c r="AT164" s="473" t="str">
        <f t="shared" si="38"/>
        <v/>
      </c>
      <c r="AU164" s="473" t="str">
        <f t="shared" si="39"/>
        <v/>
      </c>
      <c r="AZ164" s="497" t="s">
        <v>8147</v>
      </c>
      <c r="BA164" s="34" t="s">
        <v>482</v>
      </c>
      <c r="BB164" s="500"/>
      <c r="BC164" s="271"/>
      <c r="BD164" s="279">
        <v>1</v>
      </c>
      <c r="BE164" s="271"/>
      <c r="BF164" s="271"/>
      <c r="BG164" s="271"/>
      <c r="BH164" s="271"/>
      <c r="BI164" s="271"/>
      <c r="BJ164" s="271"/>
      <c r="BK164" s="271"/>
      <c r="BL164" s="271"/>
    </row>
    <row r="165" spans="18:64" ht="21" customHeight="1" x14ac:dyDescent="0.25">
      <c r="R165" s="34" t="s">
        <v>483</v>
      </c>
      <c r="S165" s="451"/>
      <c r="T165" s="497" t="s">
        <v>466</v>
      </c>
      <c r="V165" s="475">
        <v>3</v>
      </c>
      <c r="W165" s="475" t="str">
        <f>IF($AC$165="","",$W$144)</f>
        <v/>
      </c>
      <c r="X165" s="476" t="str">
        <f>IF($AC$165="","",$X$144)</f>
        <v/>
      </c>
      <c r="Y165" s="477" t="str">
        <f>IF($X$165="","",$Y$144)</f>
        <v/>
      </c>
      <c r="Z165" s="477" t="str">
        <f>IF($X$165="","",$Z$144)</f>
        <v/>
      </c>
      <c r="AA165" s="477" t="str">
        <f>IF($AC$165="","",ROW($A$165)-ROW($A$144))</f>
        <v/>
      </c>
      <c r="AB165" s="478"/>
      <c r="AC165" s="34"/>
      <c r="AD165" s="356"/>
      <c r="AE165" s="479"/>
      <c r="AF165" s="475"/>
      <c r="AG165" s="480" t="str">
        <f t="shared" si="28"/>
        <v/>
      </c>
      <c r="AH165" s="481" t="str">
        <f t="shared" si="29"/>
        <v/>
      </c>
      <c r="AI165" s="477" t="str">
        <f>IF($AC$165="","",IFERROR(INDEX($AZ$74:$AZ$119,MATCH($AH$165,$AY$74:$AY$119,0)),"AUTRE"))</f>
        <v/>
      </c>
      <c r="AJ165" s="482" t="str">
        <f>IF($AC$165="","",IFERROR(INDEX($BA$74:$BA$119,MATCH($AH$165,$AY$74:$AY$119,0)),1))</f>
        <v/>
      </c>
      <c r="AK165" s="482" t="str">
        <f t="shared" si="30"/>
        <v/>
      </c>
      <c r="AL165" s="477" t="str">
        <f>IF($AC$165="","",IFERROR(INDEX($BB$74:$BB$119,MATCH($AH$165,$AY$74:$AY$119,0)),$AH$165))</f>
        <v/>
      </c>
      <c r="AM165" s="483" t="str">
        <f t="shared" si="31"/>
        <v/>
      </c>
      <c r="AN165" s="484" t="str">
        <f t="shared" si="32"/>
        <v/>
      </c>
      <c r="AO165" s="473" t="str">
        <f t="shared" si="33"/>
        <v/>
      </c>
      <c r="AP165" s="473" t="str">
        <f t="shared" si="34"/>
        <v/>
      </c>
      <c r="AQ165" s="473" t="str">
        <f t="shared" si="35"/>
        <v/>
      </c>
      <c r="AR165" s="473" t="str">
        <f t="shared" si="36"/>
        <v/>
      </c>
      <c r="AS165" s="473" t="str">
        <f t="shared" si="37"/>
        <v/>
      </c>
      <c r="AT165" s="473" t="str">
        <f t="shared" si="38"/>
        <v/>
      </c>
      <c r="AU165" s="473" t="str">
        <f t="shared" si="39"/>
        <v/>
      </c>
      <c r="AZ165" s="497" t="s">
        <v>465</v>
      </c>
      <c r="BA165" s="34" t="s">
        <v>496</v>
      </c>
      <c r="BB165" s="500"/>
      <c r="BC165" s="271"/>
      <c r="BD165" s="279">
        <v>1</v>
      </c>
      <c r="BE165" s="271"/>
      <c r="BF165" s="271"/>
      <c r="BG165" s="271"/>
      <c r="BH165" s="271"/>
      <c r="BI165" s="271"/>
      <c r="BJ165" s="271"/>
      <c r="BK165" s="271"/>
      <c r="BL165" s="271"/>
    </row>
    <row r="166" spans="18:64" ht="21" customHeight="1" x14ac:dyDescent="0.25">
      <c r="R166" s="34" t="s">
        <v>493</v>
      </c>
      <c r="S166" s="451"/>
      <c r="T166" s="440" t="s">
        <v>8110</v>
      </c>
      <c r="V166" s="475">
        <v>3</v>
      </c>
      <c r="W166" s="475" t="str">
        <f>IF($AC$166="","",$W$144)</f>
        <v/>
      </c>
      <c r="X166" s="476" t="str">
        <f>IF($AC$166="","",$X$144)</f>
        <v/>
      </c>
      <c r="Y166" s="477" t="str">
        <f>IF($X$166="","",$Y$144)</f>
        <v/>
      </c>
      <c r="Z166" s="477" t="str">
        <f>IF($X$166="","",$Z$144)</f>
        <v/>
      </c>
      <c r="AA166" s="477" t="str">
        <f>IF($AC$166="","",ROW($A$166)-ROW($A$144))</f>
        <v/>
      </c>
      <c r="AB166" s="478"/>
      <c r="AC166" s="34"/>
      <c r="AD166" s="356"/>
      <c r="AE166" s="479"/>
      <c r="AF166" s="475"/>
      <c r="AG166" s="480" t="str">
        <f t="shared" si="28"/>
        <v/>
      </c>
      <c r="AH166" s="481" t="str">
        <f t="shared" si="29"/>
        <v/>
      </c>
      <c r="AI166" s="477" t="str">
        <f>IF($AC$166="","",IFERROR(INDEX($AZ$74:$AZ$119,MATCH($AH$166,$AY$74:$AY$119,0)),"AUTRE"))</f>
        <v/>
      </c>
      <c r="AJ166" s="482" t="str">
        <f>IF($AC$166="","",IFERROR(INDEX($BA$74:$BA$119,MATCH($AH$166,$AY$74:$AY$119,0)),1))</f>
        <v/>
      </c>
      <c r="AK166" s="482" t="str">
        <f t="shared" si="30"/>
        <v/>
      </c>
      <c r="AL166" s="477" t="str">
        <f>IF($AC$166="","",IFERROR(INDEX($BB$74:$BB$119,MATCH($AH$166,$AY$74:$AY$119,0)),$AH$166))</f>
        <v/>
      </c>
      <c r="AM166" s="483" t="str">
        <f t="shared" si="31"/>
        <v/>
      </c>
      <c r="AN166" s="484" t="str">
        <f t="shared" si="32"/>
        <v/>
      </c>
      <c r="AO166" s="473" t="str">
        <f t="shared" si="33"/>
        <v/>
      </c>
      <c r="AP166" s="473" t="str">
        <f t="shared" si="34"/>
        <v/>
      </c>
      <c r="AQ166" s="473" t="str">
        <f t="shared" si="35"/>
        <v/>
      </c>
      <c r="AR166" s="473" t="str">
        <f t="shared" si="36"/>
        <v/>
      </c>
      <c r="AS166" s="473" t="str">
        <f t="shared" si="37"/>
        <v/>
      </c>
      <c r="AT166" s="473" t="str">
        <f t="shared" si="38"/>
        <v/>
      </c>
      <c r="AU166" s="473" t="str">
        <f t="shared" si="39"/>
        <v/>
      </c>
      <c r="AZ166" s="497" t="s">
        <v>466</v>
      </c>
      <c r="BA166" s="34" t="s">
        <v>483</v>
      </c>
      <c r="BB166" s="500"/>
      <c r="BC166" s="271"/>
      <c r="BD166" s="279">
        <v>1</v>
      </c>
      <c r="BE166" s="271"/>
      <c r="BF166" s="271"/>
      <c r="BG166" s="271"/>
      <c r="BH166" s="271"/>
      <c r="BI166" s="271"/>
      <c r="BJ166" s="271"/>
      <c r="BK166" s="271"/>
      <c r="BL166" s="271"/>
    </row>
    <row r="167" spans="18:64" ht="21" customHeight="1" x14ac:dyDescent="0.25">
      <c r="R167" s="34" t="s">
        <v>494</v>
      </c>
      <c r="S167" s="451"/>
      <c r="T167" s="452" t="s">
        <v>8113</v>
      </c>
      <c r="V167" s="475">
        <v>3</v>
      </c>
      <c r="W167" s="475" t="str">
        <f>IF($AC$167="","",$W$144)</f>
        <v/>
      </c>
      <c r="X167" s="476" t="str">
        <f>IF($AC$167="","",$X$144)</f>
        <v/>
      </c>
      <c r="Y167" s="477" t="str">
        <f>IF($X$167="","",$Y$144)</f>
        <v/>
      </c>
      <c r="Z167" s="477" t="str">
        <f>IF($X$167="","",$Z$144)</f>
        <v/>
      </c>
      <c r="AA167" s="477" t="str">
        <f>IF($AC$167="","",ROW($A$167)-ROW($A$144))</f>
        <v/>
      </c>
      <c r="AB167" s="478"/>
      <c r="AC167" s="34"/>
      <c r="AD167" s="356"/>
      <c r="AE167" s="479"/>
      <c r="AF167" s="475"/>
      <c r="AG167" s="480" t="str">
        <f t="shared" si="28"/>
        <v/>
      </c>
      <c r="AH167" s="481" t="str">
        <f t="shared" si="29"/>
        <v/>
      </c>
      <c r="AI167" s="477" t="str">
        <f>IF($AC$167="","",IFERROR(INDEX($AZ$74:$AZ$119,MATCH($AH$167,$AY$74:$AY$119,0)),"AUTRE"))</f>
        <v/>
      </c>
      <c r="AJ167" s="482" t="str">
        <f>IF($AC$167="","",IFERROR(INDEX($BA$74:$BA$119,MATCH($AH$167,$AY$74:$AY$119,0)),1))</f>
        <v/>
      </c>
      <c r="AK167" s="482" t="str">
        <f t="shared" si="30"/>
        <v/>
      </c>
      <c r="AL167" s="477" t="str">
        <f>IF($AC$167="","",IFERROR(INDEX($BB$74:$BB$119,MATCH($AH$167,$AY$74:$AY$119,0)),$AH$167))</f>
        <v/>
      </c>
      <c r="AM167" s="483" t="str">
        <f t="shared" si="31"/>
        <v/>
      </c>
      <c r="AN167" s="484" t="str">
        <f t="shared" si="32"/>
        <v/>
      </c>
      <c r="AO167" s="473" t="str">
        <f t="shared" si="33"/>
        <v/>
      </c>
      <c r="AP167" s="473" t="str">
        <f t="shared" si="34"/>
        <v/>
      </c>
      <c r="AQ167" s="473" t="str">
        <f t="shared" si="35"/>
        <v/>
      </c>
      <c r="AR167" s="473" t="str">
        <f t="shared" si="36"/>
        <v/>
      </c>
      <c r="AS167" s="473" t="str">
        <f t="shared" si="37"/>
        <v/>
      </c>
      <c r="AT167" s="473" t="str">
        <f t="shared" si="38"/>
        <v/>
      </c>
      <c r="AU167" s="473" t="str">
        <f t="shared" si="39"/>
        <v/>
      </c>
      <c r="AZ167" s="14" t="s">
        <v>7</v>
      </c>
      <c r="BA167" s="34" t="s">
        <v>493</v>
      </c>
      <c r="BB167" s="500"/>
      <c r="BC167" s="271"/>
      <c r="BD167" s="279">
        <v>1</v>
      </c>
      <c r="BE167" s="271"/>
      <c r="BF167" s="271"/>
      <c r="BG167" s="271"/>
      <c r="BH167" s="271"/>
      <c r="BI167" s="271"/>
      <c r="BJ167" s="271"/>
      <c r="BK167" s="271"/>
      <c r="BL167" s="271"/>
    </row>
    <row r="168" spans="18:64" ht="21" customHeight="1" x14ac:dyDescent="0.25">
      <c r="S168" s="451"/>
      <c r="T168" s="14" t="s">
        <v>7</v>
      </c>
      <c r="V168" s="475">
        <v>3</v>
      </c>
      <c r="W168" s="475" t="str">
        <f>IF($AC$168="","",$W$144)</f>
        <v/>
      </c>
      <c r="X168" s="476" t="str">
        <f>IF($AC$168="","",$X$144)</f>
        <v/>
      </c>
      <c r="Y168" s="477" t="str">
        <f>IF($X$168="","",$Y$144)</f>
        <v/>
      </c>
      <c r="Z168" s="477" t="str">
        <f>IF($X$168="","",$Z$144)</f>
        <v/>
      </c>
      <c r="AA168" s="477" t="str">
        <f>IF($AC$168="","",ROW($A$168)-ROW($A$144))</f>
        <v/>
      </c>
      <c r="AB168" s="478"/>
      <c r="AC168" s="34"/>
      <c r="AD168" s="356"/>
      <c r="AE168" s="479"/>
      <c r="AF168" s="475"/>
      <c r="AG168" s="480" t="str">
        <f t="shared" si="28"/>
        <v/>
      </c>
      <c r="AH168" s="481" t="str">
        <f t="shared" si="29"/>
        <v/>
      </c>
      <c r="AI168" s="477" t="str">
        <f>IF($AC$168="","",IFERROR(INDEX($AZ$74:$AZ$119,MATCH($AH$168,$AY$74:$AY$119,0)),"AUTRE"))</f>
        <v/>
      </c>
      <c r="AJ168" s="482" t="str">
        <f>IF($AC$168="","",IFERROR(INDEX($BA$74:$BA$119,MATCH($AH$168,$AY$74:$AY$119,0)),1))</f>
        <v/>
      </c>
      <c r="AK168" s="482" t="str">
        <f t="shared" si="30"/>
        <v/>
      </c>
      <c r="AL168" s="477" t="str">
        <f>IF($AC$168="","",IFERROR(INDEX($BB$74:$BB$119,MATCH($AH$168,$AY$74:$AY$119,0)),$AH$168))</f>
        <v/>
      </c>
      <c r="AM168" s="483" t="str">
        <f t="shared" si="31"/>
        <v/>
      </c>
      <c r="AN168" s="484" t="str">
        <f t="shared" si="32"/>
        <v/>
      </c>
      <c r="AO168" s="473" t="str">
        <f t="shared" si="33"/>
        <v/>
      </c>
      <c r="AP168" s="473" t="str">
        <f t="shared" si="34"/>
        <v/>
      </c>
      <c r="AQ168" s="473" t="str">
        <f t="shared" si="35"/>
        <v/>
      </c>
      <c r="AR168" s="473" t="str">
        <f t="shared" si="36"/>
        <v/>
      </c>
      <c r="AS168" s="473" t="str">
        <f t="shared" si="37"/>
        <v/>
      </c>
      <c r="AT168" s="473" t="str">
        <f t="shared" si="38"/>
        <v/>
      </c>
      <c r="AU168" s="473" t="str">
        <f t="shared" si="39"/>
        <v/>
      </c>
      <c r="AZ168" s="27" t="s">
        <v>8</v>
      </c>
      <c r="BA168" s="34" t="s">
        <v>494</v>
      </c>
      <c r="BB168" s="500"/>
      <c r="BC168" s="271"/>
      <c r="BD168" s="279">
        <v>1</v>
      </c>
      <c r="BE168" s="271"/>
      <c r="BF168" s="271"/>
      <c r="BG168" s="271"/>
      <c r="BH168" s="271"/>
      <c r="BI168" s="271"/>
      <c r="BJ168" s="271"/>
      <c r="BK168" s="271"/>
      <c r="BL168" s="271"/>
    </row>
    <row r="169" spans="18:64" ht="21" customHeight="1" x14ac:dyDescent="0.25">
      <c r="R169" s="25" t="s">
        <v>6115</v>
      </c>
      <c r="S169" s="451"/>
      <c r="T169" s="27" t="s">
        <v>8</v>
      </c>
      <c r="V169" s="475">
        <v>3</v>
      </c>
      <c r="W169" s="475" t="str">
        <f>IF($AC$169="","",$W$144)</f>
        <v/>
      </c>
      <c r="X169" s="476" t="str">
        <f>IF($AC$169="","",$X$144)</f>
        <v/>
      </c>
      <c r="Y169" s="477" t="str">
        <f>IF($X$169="","",$Y$144)</f>
        <v/>
      </c>
      <c r="Z169" s="477" t="str">
        <f>IF($X$169="","",$Z$144)</f>
        <v/>
      </c>
      <c r="AA169" s="477" t="str">
        <f>IF($AC$169="","",ROW($A$169)-ROW($A$144))</f>
        <v/>
      </c>
      <c r="AB169" s="478"/>
      <c r="AC169" s="34"/>
      <c r="AD169" s="356"/>
      <c r="AE169" s="479"/>
      <c r="AF169" s="475"/>
      <c r="AG169" s="480" t="str">
        <f t="shared" si="28"/>
        <v/>
      </c>
      <c r="AH169" s="481" t="str">
        <f t="shared" si="29"/>
        <v/>
      </c>
      <c r="AI169" s="477" t="str">
        <f>IF($AC$169="","",IFERROR(INDEX($AZ$74:$AZ$119,MATCH($AH$169,$AY$74:$AY$119,0)),"AUTRE"))</f>
        <v/>
      </c>
      <c r="AJ169" s="482" t="str">
        <f>IF($AC$169="","",IFERROR(INDEX($BA$74:$BA$119,MATCH($AH$169,$AY$74:$AY$119,0)),1))</f>
        <v/>
      </c>
      <c r="AK169" s="482" t="str">
        <f t="shared" si="30"/>
        <v/>
      </c>
      <c r="AL169" s="477" t="str">
        <f>IF($AC$169="","",IFERROR(INDEX($BB$74:$BB$119,MATCH($AH$169,$AY$74:$AY$119,0)),$AH$169))</f>
        <v/>
      </c>
      <c r="AM169" s="483" t="str">
        <f t="shared" si="31"/>
        <v/>
      </c>
      <c r="AN169" s="484" t="str">
        <f t="shared" si="32"/>
        <v/>
      </c>
      <c r="AO169" s="473" t="str">
        <f t="shared" si="33"/>
        <v/>
      </c>
      <c r="AP169" s="473" t="str">
        <f t="shared" si="34"/>
        <v/>
      </c>
      <c r="AQ169" s="473" t="str">
        <f t="shared" si="35"/>
        <v/>
      </c>
      <c r="AR169" s="473" t="str">
        <f t="shared" si="36"/>
        <v/>
      </c>
      <c r="AS169" s="473" t="str">
        <f t="shared" si="37"/>
        <v/>
      </c>
      <c r="AT169" s="473" t="str">
        <f t="shared" si="38"/>
        <v/>
      </c>
      <c r="AU169" s="473" t="str">
        <f t="shared" si="39"/>
        <v/>
      </c>
      <c r="AZ169" s="28" t="s">
        <v>13</v>
      </c>
      <c r="BB169" s="500"/>
      <c r="BC169" s="271"/>
      <c r="BD169" s="279">
        <v>1</v>
      </c>
      <c r="BE169" s="271"/>
      <c r="BF169" s="271"/>
      <c r="BG169" s="271"/>
      <c r="BH169" s="271"/>
      <c r="BI169" s="271"/>
      <c r="BJ169" s="271"/>
      <c r="BK169" s="271"/>
      <c r="BL169" s="271"/>
    </row>
    <row r="170" spans="18:64" ht="21" customHeight="1" x14ac:dyDescent="0.25">
      <c r="R170" s="34" t="s">
        <v>471</v>
      </c>
      <c r="S170" s="451"/>
      <c r="T170" s="28" t="s">
        <v>13</v>
      </c>
      <c r="V170" s="475">
        <v>3</v>
      </c>
      <c r="W170" s="475" t="str">
        <f>IF($AC$170="","",$W$144)</f>
        <v/>
      </c>
      <c r="X170" s="476" t="str">
        <f>IF($AC$170="","",$X$144)</f>
        <v/>
      </c>
      <c r="Y170" s="477" t="str">
        <f>IF($X$170="","",$Y$144)</f>
        <v/>
      </c>
      <c r="Z170" s="477" t="str">
        <f>IF($X$170="","",$Z$144)</f>
        <v/>
      </c>
      <c r="AA170" s="477" t="str">
        <f>IF($AC$170="","",ROW($A$170)-ROW($A$144))</f>
        <v/>
      </c>
      <c r="AB170" s="478"/>
      <c r="AC170" s="34"/>
      <c r="AD170" s="356"/>
      <c r="AE170" s="479"/>
      <c r="AF170" s="475"/>
      <c r="AG170" s="480" t="str">
        <f t="shared" si="28"/>
        <v/>
      </c>
      <c r="AH170" s="481" t="str">
        <f t="shared" si="29"/>
        <v/>
      </c>
      <c r="AI170" s="477" t="str">
        <f>IF($AC$170="","",IFERROR(INDEX($AZ$74:$AZ$119,MATCH($AH$170,$AY$74:$AY$119,0)),"AUTRE"))</f>
        <v/>
      </c>
      <c r="AJ170" s="482" t="str">
        <f>IF($AC$170="","",IFERROR(INDEX($BA$74:$BA$119,MATCH($AH$170,$AY$74:$AY$119,0)),1))</f>
        <v/>
      </c>
      <c r="AK170" s="482" t="str">
        <f t="shared" si="30"/>
        <v/>
      </c>
      <c r="AL170" s="477" t="str">
        <f>IF($AC$170="","",IFERROR(INDEX($BB$74:$BB$119,MATCH($AH$170,$AY$74:$AY$119,0)),$AH$170))</f>
        <v/>
      </c>
      <c r="AM170" s="483" t="str">
        <f t="shared" si="31"/>
        <v/>
      </c>
      <c r="AN170" s="484" t="str">
        <f t="shared" si="32"/>
        <v/>
      </c>
      <c r="AO170" s="473" t="str">
        <f t="shared" si="33"/>
        <v/>
      </c>
      <c r="AP170" s="473" t="str">
        <f t="shared" si="34"/>
        <v/>
      </c>
      <c r="AQ170" s="473" t="str">
        <f t="shared" si="35"/>
        <v/>
      </c>
      <c r="AR170" s="473" t="str">
        <f t="shared" si="36"/>
        <v/>
      </c>
      <c r="AS170" s="473" t="str">
        <f t="shared" si="37"/>
        <v/>
      </c>
      <c r="AT170" s="473" t="str">
        <f t="shared" si="38"/>
        <v/>
      </c>
      <c r="AU170" s="473" t="str">
        <f t="shared" si="39"/>
        <v/>
      </c>
      <c r="AZ170" s="28" t="s">
        <v>14</v>
      </c>
      <c r="BA170" s="25" t="s">
        <v>6115</v>
      </c>
      <c r="BB170" s="500"/>
      <c r="BC170" s="271"/>
      <c r="BD170" s="279">
        <v>1</v>
      </c>
      <c r="BE170" s="271"/>
      <c r="BF170" s="271"/>
      <c r="BG170" s="271"/>
      <c r="BH170" s="271"/>
      <c r="BI170" s="271"/>
      <c r="BJ170" s="271"/>
      <c r="BK170" s="271"/>
      <c r="BL170" s="271"/>
    </row>
    <row r="171" spans="18:64" ht="21" customHeight="1" x14ac:dyDescent="0.25">
      <c r="R171" s="34" t="s">
        <v>472</v>
      </c>
      <c r="S171" s="451"/>
      <c r="T171" s="28" t="s">
        <v>14</v>
      </c>
      <c r="V171" s="475">
        <v>3</v>
      </c>
      <c r="W171" s="475" t="str">
        <f>IF($AC$171="","",$W$144)</f>
        <v/>
      </c>
      <c r="X171" s="476" t="str">
        <f>IF($AC$171="","",$X$144)</f>
        <v/>
      </c>
      <c r="Y171" s="477" t="str">
        <f>IF($X$171="","",$Y$144)</f>
        <v/>
      </c>
      <c r="Z171" s="477" t="str">
        <f>IF($X$171="","",$Z$144)</f>
        <v/>
      </c>
      <c r="AA171" s="477" t="str">
        <f>IF($AC$171="","",ROW($A$171)-ROW($A$144))</f>
        <v/>
      </c>
      <c r="AB171" s="478"/>
      <c r="AC171" s="34"/>
      <c r="AD171" s="356"/>
      <c r="AE171" s="479"/>
      <c r="AF171" s="475"/>
      <c r="AG171" s="480" t="str">
        <f t="shared" si="28"/>
        <v/>
      </c>
      <c r="AH171" s="481" t="str">
        <f t="shared" si="29"/>
        <v/>
      </c>
      <c r="AI171" s="477" t="str">
        <f>IF($AC$171="","",IFERROR(INDEX($AZ$74:$AZ$119,MATCH($AH$171,$AY$74:$AY$119,0)),"AUTRE"))</f>
        <v/>
      </c>
      <c r="AJ171" s="482" t="str">
        <f>IF($AC$171="","",IFERROR(INDEX($BA$74:$BA$119,MATCH($AH$171,$AY$74:$AY$119,0)),1))</f>
        <v/>
      </c>
      <c r="AK171" s="482" t="str">
        <f t="shared" si="30"/>
        <v/>
      </c>
      <c r="AL171" s="477" t="str">
        <f>IF($AC$171="","",IFERROR(INDEX($BB$74:$BB$119,MATCH($AH$171,$AY$74:$AY$119,0)),$AH$171))</f>
        <v/>
      </c>
      <c r="AM171" s="483" t="str">
        <f t="shared" si="31"/>
        <v/>
      </c>
      <c r="AN171" s="484" t="str">
        <f t="shared" si="32"/>
        <v/>
      </c>
      <c r="AO171" s="473" t="str">
        <f t="shared" si="33"/>
        <v/>
      </c>
      <c r="AP171" s="473" t="str">
        <f t="shared" si="34"/>
        <v/>
      </c>
      <c r="AQ171" s="473" t="str">
        <f t="shared" si="35"/>
        <v/>
      </c>
      <c r="AR171" s="473" t="str">
        <f t="shared" si="36"/>
        <v/>
      </c>
      <c r="AS171" s="473" t="str">
        <f t="shared" si="37"/>
        <v/>
      </c>
      <c r="AT171" s="473" t="str">
        <f t="shared" si="38"/>
        <v/>
      </c>
      <c r="AU171" s="473" t="str">
        <f t="shared" si="39"/>
        <v/>
      </c>
      <c r="AZ171" s="28" t="s">
        <v>15</v>
      </c>
      <c r="BA171" s="34" t="s">
        <v>471</v>
      </c>
      <c r="BB171" s="500"/>
      <c r="BC171" s="271"/>
      <c r="BD171" s="279">
        <v>1</v>
      </c>
      <c r="BE171" s="271"/>
      <c r="BF171" s="271"/>
      <c r="BG171" s="271"/>
      <c r="BH171" s="271"/>
      <c r="BI171" s="271"/>
      <c r="BJ171" s="271"/>
      <c r="BK171" s="271"/>
      <c r="BL171" s="271"/>
    </row>
    <row r="172" spans="18:64" ht="21" customHeight="1" x14ac:dyDescent="0.25">
      <c r="R172" s="34" t="s">
        <v>6112</v>
      </c>
      <c r="S172" s="451"/>
      <c r="T172" s="28" t="s">
        <v>15</v>
      </c>
      <c r="V172" s="475">
        <v>3</v>
      </c>
      <c r="W172" s="475" t="str">
        <f>IF($AC$172="","",$W$144)</f>
        <v/>
      </c>
      <c r="X172" s="476" t="str">
        <f>IF($AC$172="","",$X$144)</f>
        <v/>
      </c>
      <c r="Y172" s="477" t="str">
        <f>IF($X$172="","",$Y$144)</f>
        <v/>
      </c>
      <c r="Z172" s="477" t="str">
        <f>IF($X$172="","",$Z$144)</f>
        <v/>
      </c>
      <c r="AA172" s="477" t="str">
        <f>IF($AC$172="","",ROW($A$172)-ROW($A$144))</f>
        <v/>
      </c>
      <c r="AB172" s="478"/>
      <c r="AC172" s="34"/>
      <c r="AD172" s="356"/>
      <c r="AE172" s="479"/>
      <c r="AF172" s="475"/>
      <c r="AG172" s="480" t="str">
        <f t="shared" si="28"/>
        <v/>
      </c>
      <c r="AH172" s="481" t="str">
        <f t="shared" si="29"/>
        <v/>
      </c>
      <c r="AI172" s="477" t="str">
        <f>IF($AC$172="","",IFERROR(INDEX($AZ$74:$AZ$119,MATCH($AH$172,$AY$74:$AY$119,0)),"AUTRE"))</f>
        <v/>
      </c>
      <c r="AJ172" s="482" t="str">
        <f>IF($AC$172="","",IFERROR(INDEX($BA$74:$BA$119,MATCH($AH$172,$AY$74:$AY$119,0)),1))</f>
        <v/>
      </c>
      <c r="AK172" s="482" t="str">
        <f t="shared" si="30"/>
        <v/>
      </c>
      <c r="AL172" s="477" t="str">
        <f>IF($AC$172="","",IFERROR(INDEX($BB$74:$BB$119,MATCH($AH$172,$AY$74:$AY$119,0)),$AH$172))</f>
        <v/>
      </c>
      <c r="AM172" s="483" t="str">
        <f t="shared" si="31"/>
        <v/>
      </c>
      <c r="AN172" s="484" t="str">
        <f t="shared" si="32"/>
        <v/>
      </c>
      <c r="AO172" s="473" t="str">
        <f t="shared" si="33"/>
        <v/>
      </c>
      <c r="AP172" s="473" t="str">
        <f t="shared" si="34"/>
        <v/>
      </c>
      <c r="AQ172" s="473" t="str">
        <f t="shared" si="35"/>
        <v/>
      </c>
      <c r="AR172" s="473" t="str">
        <f t="shared" si="36"/>
        <v/>
      </c>
      <c r="AS172" s="473" t="str">
        <f t="shared" si="37"/>
        <v/>
      </c>
      <c r="AT172" s="473" t="str">
        <f t="shared" si="38"/>
        <v/>
      </c>
      <c r="AU172" s="473" t="str">
        <f t="shared" si="39"/>
        <v/>
      </c>
      <c r="AY172" s="271"/>
      <c r="AZ172" s="29" t="s">
        <v>9</v>
      </c>
      <c r="BA172" s="34" t="s">
        <v>472</v>
      </c>
      <c r="BB172" s="499"/>
      <c r="BC172" s="271"/>
      <c r="BD172" s="279">
        <v>1</v>
      </c>
      <c r="BE172" s="271"/>
      <c r="BF172" s="271"/>
      <c r="BG172" s="271"/>
      <c r="BH172" s="271"/>
      <c r="BI172" s="271"/>
      <c r="BJ172" s="271"/>
      <c r="BK172" s="271"/>
      <c r="BL172" s="271"/>
    </row>
    <row r="173" spans="18:64" ht="21" customHeight="1" x14ac:dyDescent="0.25">
      <c r="R173" s="25" t="s">
        <v>6116</v>
      </c>
      <c r="S173" s="451"/>
      <c r="T173" s="28" t="s">
        <v>21</v>
      </c>
      <c r="V173" s="475">
        <v>3</v>
      </c>
      <c r="W173" s="475" t="str">
        <f>IF($AC$173="","",$W$144)</f>
        <v/>
      </c>
      <c r="X173" s="476" t="str">
        <f>IF($AC$173="","",$X$144)</f>
        <v/>
      </c>
      <c r="Y173" s="477" t="str">
        <f>IF($X$173="","",$Y$144)</f>
        <v/>
      </c>
      <c r="Z173" s="477" t="str">
        <f>IF($X$173="","",$Z$144)</f>
        <v/>
      </c>
      <c r="AA173" s="477" t="str">
        <f>IF($AC$173="","",ROW($A$173)-ROW($A$144))</f>
        <v/>
      </c>
      <c r="AB173" s="478"/>
      <c r="AC173" s="34"/>
      <c r="AD173" s="356"/>
      <c r="AE173" s="479"/>
      <c r="AF173" s="475"/>
      <c r="AG173" s="480" t="str">
        <f t="shared" si="28"/>
        <v/>
      </c>
      <c r="AH173" s="481" t="str">
        <f t="shared" si="29"/>
        <v/>
      </c>
      <c r="AI173" s="477" t="str">
        <f>IF($AC$173="","",IFERROR(INDEX($AZ$74:$AZ$119,MATCH($AH$173,$AY$74:$AY$119,0)),"AUTRE"))</f>
        <v/>
      </c>
      <c r="AJ173" s="482" t="str">
        <f>IF($AC$173="","",IFERROR(INDEX($BA$74:$BA$119,MATCH($AH$173,$AY$74:$AY$119,0)),1))</f>
        <v/>
      </c>
      <c r="AK173" s="482" t="str">
        <f t="shared" si="30"/>
        <v/>
      </c>
      <c r="AL173" s="477" t="str">
        <f>IF($AC$173="","",IFERROR(INDEX($BB$74:$BB$119,MATCH($AH$173,$AY$74:$AY$119,0)),$AH$173))</f>
        <v/>
      </c>
      <c r="AM173" s="483" t="str">
        <f t="shared" si="31"/>
        <v/>
      </c>
      <c r="AN173" s="484" t="str">
        <f t="shared" si="32"/>
        <v/>
      </c>
      <c r="AO173" s="473" t="str">
        <f t="shared" si="33"/>
        <v/>
      </c>
      <c r="AP173" s="473" t="str">
        <f t="shared" si="34"/>
        <v/>
      </c>
      <c r="AQ173" s="473" t="str">
        <f t="shared" si="35"/>
        <v/>
      </c>
      <c r="AR173" s="473" t="str">
        <f t="shared" si="36"/>
        <v/>
      </c>
      <c r="AS173" s="473" t="str">
        <f t="shared" si="37"/>
        <v/>
      </c>
      <c r="AT173" s="473" t="str">
        <f t="shared" si="38"/>
        <v/>
      </c>
      <c r="AU173" s="473" t="str">
        <f t="shared" si="39"/>
        <v/>
      </c>
      <c r="AY173" s="497" t="s">
        <v>8145</v>
      </c>
      <c r="AZ173" s="30" t="s">
        <v>10</v>
      </c>
      <c r="BA173" s="34" t="s">
        <v>6112</v>
      </c>
      <c r="BB173" s="499"/>
      <c r="BC173" s="271"/>
      <c r="BD173" s="279">
        <v>1</v>
      </c>
      <c r="BE173" s="271"/>
      <c r="BF173" s="271"/>
      <c r="BG173" s="271"/>
      <c r="BH173" s="271"/>
      <c r="BI173" s="271"/>
      <c r="BJ173" s="271"/>
      <c r="BK173" s="271"/>
      <c r="BL173" s="271"/>
    </row>
    <row r="174" spans="18:64" ht="21" customHeight="1" x14ac:dyDescent="0.25">
      <c r="R174" s="34" t="s">
        <v>6117</v>
      </c>
      <c r="S174" s="451"/>
      <c r="T174" s="28" t="s">
        <v>22</v>
      </c>
      <c r="V174" s="475">
        <v>3</v>
      </c>
      <c r="W174" s="475" t="str">
        <f>IF($AC$174="","",$W$144)</f>
        <v/>
      </c>
      <c r="X174" s="476" t="str">
        <f>IF($AC$174="","",$X$144)</f>
        <v/>
      </c>
      <c r="Y174" s="477" t="str">
        <f>IF($X$174="","",$Y$144)</f>
        <v/>
      </c>
      <c r="Z174" s="477" t="str">
        <f>IF($X$174="","",$Z$144)</f>
        <v/>
      </c>
      <c r="AA174" s="477" t="str">
        <f>IF($AC$174="","",ROW($A$174)-ROW($A$144))</f>
        <v/>
      </c>
      <c r="AB174" s="478"/>
      <c r="AC174" s="34"/>
      <c r="AD174" s="356"/>
      <c r="AE174" s="479"/>
      <c r="AF174" s="475"/>
      <c r="AG174" s="480" t="str">
        <f t="shared" si="28"/>
        <v/>
      </c>
      <c r="AH174" s="481" t="str">
        <f t="shared" si="29"/>
        <v/>
      </c>
      <c r="AI174" s="477" t="str">
        <f>IF($AC$174="","",IFERROR(INDEX($AZ$74:$AZ$119,MATCH($AH$174,$AY$74:$AY$119,0)),"AUTRE"))</f>
        <v/>
      </c>
      <c r="AJ174" s="482" t="str">
        <f>IF($AC$174="","",IFERROR(INDEX($BA$74:$BA$119,MATCH($AH$174,$AY$74:$AY$119,0)),1))</f>
        <v/>
      </c>
      <c r="AK174" s="482" t="str">
        <f t="shared" si="30"/>
        <v/>
      </c>
      <c r="AL174" s="477" t="str">
        <f>IF($AC$174="","",IFERROR(INDEX($BB$74:$BB$119,MATCH($AH$174,$AY$74:$AY$119,0)),$AH$174))</f>
        <v/>
      </c>
      <c r="AM174" s="483" t="str">
        <f t="shared" si="31"/>
        <v/>
      </c>
      <c r="AN174" s="484" t="str">
        <f t="shared" si="32"/>
        <v/>
      </c>
      <c r="AO174" s="473" t="str">
        <f t="shared" si="33"/>
        <v/>
      </c>
      <c r="AP174" s="473" t="str">
        <f t="shared" si="34"/>
        <v/>
      </c>
      <c r="AQ174" s="473" t="str">
        <f t="shared" si="35"/>
        <v/>
      </c>
      <c r="AR174" s="473" t="str">
        <f t="shared" si="36"/>
        <v/>
      </c>
      <c r="AS174" s="473" t="str">
        <f t="shared" si="37"/>
        <v/>
      </c>
      <c r="AT174" s="473" t="str">
        <f t="shared" si="38"/>
        <v/>
      </c>
      <c r="AU174" s="473" t="str">
        <f t="shared" si="39"/>
        <v/>
      </c>
      <c r="AY174" s="497" t="s">
        <v>462</v>
      </c>
      <c r="AZ174" s="30" t="s">
        <v>11</v>
      </c>
      <c r="BA174" s="25" t="s">
        <v>6116</v>
      </c>
      <c r="BB174" s="499"/>
      <c r="BC174" s="271"/>
      <c r="BD174" s="279">
        <v>1</v>
      </c>
      <c r="BE174" s="271"/>
      <c r="BF174" s="271"/>
      <c r="BG174" s="271"/>
      <c r="BH174" s="271"/>
      <c r="BI174" s="271"/>
      <c r="BJ174" s="271"/>
      <c r="BK174" s="271"/>
      <c r="BL174" s="271"/>
    </row>
    <row r="175" spans="18:64" ht="21" customHeight="1" x14ac:dyDescent="0.25">
      <c r="R175" s="34" t="s">
        <v>469</v>
      </c>
      <c r="S175" s="451"/>
      <c r="T175" s="28" t="s">
        <v>23</v>
      </c>
      <c r="V175" s="475">
        <v>3</v>
      </c>
      <c r="W175" s="475" t="str">
        <f>IF($AC$175="","",$W$144)</f>
        <v/>
      </c>
      <c r="X175" s="476" t="str">
        <f>IF($AC$175="","",$X$144)</f>
        <v/>
      </c>
      <c r="Y175" s="477" t="str">
        <f>IF($X$175="","",$Y$144)</f>
        <v/>
      </c>
      <c r="Z175" s="477" t="str">
        <f>IF($X$175="","",$Z$144)</f>
        <v/>
      </c>
      <c r="AA175" s="477" t="str">
        <f>IF($AC$175="","",ROW($A$175)-ROW($A$144))</f>
        <v/>
      </c>
      <c r="AB175" s="478"/>
      <c r="AC175" s="34"/>
      <c r="AD175" s="356"/>
      <c r="AE175" s="479"/>
      <c r="AF175" s="475"/>
      <c r="AG175" s="480" t="str">
        <f t="shared" si="28"/>
        <v/>
      </c>
      <c r="AH175" s="481" t="str">
        <f t="shared" si="29"/>
        <v/>
      </c>
      <c r="AI175" s="477" t="str">
        <f>IF($AC$175="","",IFERROR(INDEX($AZ$74:$AZ$119,MATCH($AH$175,$AY$74:$AY$119,0)),"AUTRE"))</f>
        <v/>
      </c>
      <c r="AJ175" s="482" t="str">
        <f>IF($AC$175="","",IFERROR(INDEX($BA$74:$BA$119,MATCH($AH$175,$AY$74:$AY$119,0)),1))</f>
        <v/>
      </c>
      <c r="AK175" s="482" t="str">
        <f t="shared" si="30"/>
        <v/>
      </c>
      <c r="AL175" s="477" t="str">
        <f>IF($AC$175="","",IFERROR(INDEX($BB$74:$BB$119,MATCH($AH$175,$AY$74:$AY$119,0)),$AH$175))</f>
        <v/>
      </c>
      <c r="AM175" s="483" t="str">
        <f t="shared" si="31"/>
        <v/>
      </c>
      <c r="AN175" s="484" t="str">
        <f t="shared" si="32"/>
        <v/>
      </c>
      <c r="AO175" s="473" t="str">
        <f t="shared" si="33"/>
        <v/>
      </c>
      <c r="AP175" s="473" t="str">
        <f t="shared" si="34"/>
        <v/>
      </c>
      <c r="AQ175" s="473" t="str">
        <f t="shared" si="35"/>
        <v/>
      </c>
      <c r="AR175" s="473" t="str">
        <f t="shared" si="36"/>
        <v/>
      </c>
      <c r="AS175" s="473" t="str">
        <f t="shared" si="37"/>
        <v/>
      </c>
      <c r="AT175" s="473" t="str">
        <f t="shared" si="38"/>
        <v/>
      </c>
      <c r="AU175" s="473" t="str">
        <f t="shared" si="39"/>
        <v/>
      </c>
      <c r="AY175" s="497" t="s">
        <v>463</v>
      </c>
      <c r="AZ175" s="30" t="s">
        <v>12</v>
      </c>
      <c r="BA175" s="34" t="s">
        <v>6117</v>
      </c>
      <c r="BB175" s="499"/>
      <c r="BC175" s="271"/>
      <c r="BD175" s="279">
        <v>1</v>
      </c>
      <c r="BE175" s="271"/>
      <c r="BF175" s="271"/>
      <c r="BG175" s="271"/>
      <c r="BH175" s="271"/>
      <c r="BI175" s="271"/>
      <c r="BJ175" s="271"/>
      <c r="BK175" s="271"/>
      <c r="BL175" s="271"/>
    </row>
    <row r="176" spans="18:64" ht="21" customHeight="1" x14ac:dyDescent="0.25">
      <c r="R176" s="34" t="s">
        <v>6118</v>
      </c>
      <c r="S176" s="451"/>
      <c r="T176" s="28" t="s">
        <v>24</v>
      </c>
      <c r="V176" s="475">
        <v>3</v>
      </c>
      <c r="W176" s="475" t="str">
        <f>IF($AC$176="","",$W$144)</f>
        <v/>
      </c>
      <c r="X176" s="476" t="str">
        <f>IF($AC$176="","",$X$144)</f>
        <v/>
      </c>
      <c r="Y176" s="477" t="str">
        <f>IF($X$176="","",$Y$144)</f>
        <v/>
      </c>
      <c r="Z176" s="477" t="str">
        <f>IF($X$176="","",$Z$144)</f>
        <v/>
      </c>
      <c r="AA176" s="477" t="str">
        <f>IF($AC$176="","",ROW($A$176)-ROW($A$144))</f>
        <v/>
      </c>
      <c r="AB176" s="478"/>
      <c r="AC176" s="34"/>
      <c r="AD176" s="356"/>
      <c r="AE176" s="479"/>
      <c r="AF176" s="475"/>
      <c r="AG176" s="480" t="str">
        <f t="shared" si="28"/>
        <v/>
      </c>
      <c r="AH176" s="481" t="str">
        <f t="shared" si="29"/>
        <v/>
      </c>
      <c r="AI176" s="477" t="str">
        <f>IF($AC$176="","",IFERROR(INDEX($AZ$74:$AZ$119,MATCH($AH$176,$AY$74:$AY$119,0)),"AUTRE"))</f>
        <v/>
      </c>
      <c r="AJ176" s="482" t="str">
        <f>IF($AC$176="","",IFERROR(INDEX($BA$74:$BA$119,MATCH($AH$176,$AY$74:$AY$119,0)),1))</f>
        <v/>
      </c>
      <c r="AK176" s="482" t="str">
        <f t="shared" si="30"/>
        <v/>
      </c>
      <c r="AL176" s="477" t="str">
        <f>IF($AC$176="","",IFERROR(INDEX($BB$74:$BB$119,MATCH($AH$176,$AY$74:$AY$119,0)),$AH$176))</f>
        <v/>
      </c>
      <c r="AM176" s="483" t="str">
        <f t="shared" si="31"/>
        <v/>
      </c>
      <c r="AN176" s="484" t="str">
        <f t="shared" si="32"/>
        <v/>
      </c>
      <c r="AO176" s="473" t="str">
        <f t="shared" si="33"/>
        <v/>
      </c>
      <c r="AP176" s="473" t="str">
        <f t="shared" si="34"/>
        <v/>
      </c>
      <c r="AQ176" s="473" t="str">
        <f t="shared" si="35"/>
        <v/>
      </c>
      <c r="AR176" s="473" t="str">
        <f t="shared" si="36"/>
        <v/>
      </c>
      <c r="AS176" s="473" t="str">
        <f t="shared" si="37"/>
        <v/>
      </c>
      <c r="AT176" s="473" t="str">
        <f t="shared" si="38"/>
        <v/>
      </c>
      <c r="AU176" s="473" t="str">
        <f t="shared" si="39"/>
        <v/>
      </c>
      <c r="AY176" s="497" t="s">
        <v>8147</v>
      </c>
      <c r="AZ176" s="31" t="s">
        <v>16</v>
      </c>
      <c r="BA176" s="34" t="s">
        <v>469</v>
      </c>
      <c r="BB176" s="499"/>
      <c r="BC176" s="271"/>
      <c r="BD176" s="279">
        <v>1</v>
      </c>
      <c r="BE176" s="271"/>
      <c r="BF176" s="271"/>
      <c r="BG176" s="271"/>
      <c r="BH176" s="271"/>
      <c r="BI176" s="271"/>
      <c r="BJ176" s="271"/>
      <c r="BK176" s="271"/>
      <c r="BL176" s="271"/>
    </row>
    <row r="177" spans="18:64" ht="21" customHeight="1" x14ac:dyDescent="0.25">
      <c r="R177" s="34" t="s">
        <v>492</v>
      </c>
      <c r="S177" s="451"/>
      <c r="T177" s="29" t="s">
        <v>9</v>
      </c>
      <c r="V177" s="475">
        <v>3</v>
      </c>
      <c r="W177" s="475" t="str">
        <f>IF($AC$177="","",$W$144)</f>
        <v/>
      </c>
      <c r="X177" s="476" t="str">
        <f>IF($AC$177="","",$X$144)</f>
        <v/>
      </c>
      <c r="Y177" s="477" t="str">
        <f>IF($X$177="","",$Y$144)</f>
        <v/>
      </c>
      <c r="Z177" s="477" t="str">
        <f>IF($X$177="","",$Z$144)</f>
        <v/>
      </c>
      <c r="AA177" s="477" t="str">
        <f>IF($AC$177="","",ROW($A$177)-ROW($A$144))</f>
        <v/>
      </c>
      <c r="AB177" s="478"/>
      <c r="AC177" s="34"/>
      <c r="AD177" s="356"/>
      <c r="AE177" s="479"/>
      <c r="AF177" s="475"/>
      <c r="AG177" s="480" t="str">
        <f t="shared" si="28"/>
        <v/>
      </c>
      <c r="AH177" s="481" t="str">
        <f t="shared" si="29"/>
        <v/>
      </c>
      <c r="AI177" s="477" t="str">
        <f>IF($AC$177="","",IFERROR(INDEX($AZ$74:$AZ$119,MATCH($AH$177,$AY$74:$AY$119,0)),"AUTRE"))</f>
        <v/>
      </c>
      <c r="AJ177" s="482" t="str">
        <f>IF($AC$177="","",IFERROR(INDEX($BA$74:$BA$119,MATCH($AH$177,$AY$74:$AY$119,0)),1))</f>
        <v/>
      </c>
      <c r="AK177" s="482" t="str">
        <f t="shared" si="30"/>
        <v/>
      </c>
      <c r="AL177" s="477" t="str">
        <f>IF($AC$177="","",IFERROR(INDEX($BB$74:$BB$119,MATCH($AH$177,$AY$74:$AY$119,0)),$AH$177))</f>
        <v/>
      </c>
      <c r="AM177" s="483" t="str">
        <f t="shared" si="31"/>
        <v/>
      </c>
      <c r="AN177" s="484" t="str">
        <f t="shared" si="32"/>
        <v/>
      </c>
      <c r="AO177" s="473" t="str">
        <f t="shared" si="33"/>
        <v/>
      </c>
      <c r="AP177" s="473" t="str">
        <f t="shared" si="34"/>
        <v/>
      </c>
      <c r="AQ177" s="473" t="str">
        <f t="shared" si="35"/>
        <v/>
      </c>
      <c r="AR177" s="473" t="str">
        <f t="shared" si="36"/>
        <v/>
      </c>
      <c r="AS177" s="473" t="str">
        <f t="shared" si="37"/>
        <v/>
      </c>
      <c r="AT177" s="473" t="str">
        <f t="shared" si="38"/>
        <v/>
      </c>
      <c r="AU177" s="473" t="str">
        <f t="shared" si="39"/>
        <v/>
      </c>
      <c r="AY177" s="497" t="s">
        <v>465</v>
      </c>
      <c r="AZ177" s="31" t="s">
        <v>17</v>
      </c>
      <c r="BA177" s="34" t="s">
        <v>6118</v>
      </c>
      <c r="BB177" s="499"/>
      <c r="BC177" s="271"/>
      <c r="BD177" s="279">
        <v>1</v>
      </c>
      <c r="BE177" s="271"/>
      <c r="BF177" s="271"/>
      <c r="BG177" s="271"/>
      <c r="BH177" s="271"/>
      <c r="BI177" s="271"/>
      <c r="BJ177" s="271"/>
      <c r="BK177" s="271"/>
      <c r="BL177" s="271"/>
    </row>
    <row r="178" spans="18:64" ht="21" customHeight="1" x14ac:dyDescent="0.25">
      <c r="R178" s="34" t="s">
        <v>458</v>
      </c>
      <c r="S178" s="451"/>
      <c r="T178" s="30" t="s">
        <v>10</v>
      </c>
      <c r="V178" s="475">
        <v>3</v>
      </c>
      <c r="W178" s="475" t="str">
        <f>IF($AC$178="","",$W$144)</f>
        <v>N° 13</v>
      </c>
      <c r="X178" s="476" t="str">
        <f>IF($AC$178="","",$X$144)</f>
        <v>TABOULÉ LIBANAIS*</v>
      </c>
      <c r="Y178" s="477">
        <f>IF($X$178="","",$Y$144)</f>
        <v>30</v>
      </c>
      <c r="Z178" s="477">
        <f>IF($X$178="","",$Z$144)</f>
        <v>100</v>
      </c>
      <c r="AA178" s="477">
        <f>IF($AC$178="","",ROW($A$178)-ROW($A$144))</f>
        <v>34</v>
      </c>
      <c r="AB178" s="478"/>
      <c r="AC178" s="34" t="s">
        <v>8177</v>
      </c>
      <c r="AD178" s="356"/>
      <c r="AE178" s="479">
        <v>1</v>
      </c>
      <c r="AF178" s="497" t="s">
        <v>462</v>
      </c>
      <c r="AG178" s="491">
        <f t="shared" si="28"/>
        <v>1</v>
      </c>
      <c r="AH178" s="481" t="str">
        <f t="shared" si="29"/>
        <v>BAC(S)</v>
      </c>
      <c r="AI178" s="477" t="str">
        <f>IF($AC$178="","",IFERROR(INDEX($AZ$74:$AZ$119,MATCH($AH$178,$AY$74:$AY$119,0)),"AUTRE"))</f>
        <v>AUTRE</v>
      </c>
      <c r="AJ178" s="482">
        <f>IF($AC$178="","",IFERROR(INDEX($BA$74:$BA$119,MATCH($AH$178,$AY$74:$AY$119,0)),1))</f>
        <v>1</v>
      </c>
      <c r="AK178" s="482">
        <f t="shared" si="30"/>
        <v>1</v>
      </c>
      <c r="AL178" s="477" t="str">
        <f>IF($AC$178="","",IFERROR(INDEX($BB$74:$BB$119,MATCH($AH$178,$AY$74:$AY$119,0)),$AH$178))</f>
        <v>bac(s)</v>
      </c>
      <c r="AM178" s="483" t="str">
        <f t="shared" si="31"/>
        <v>OK</v>
      </c>
      <c r="AN178" s="484">
        <f t="shared" si="32"/>
        <v>1</v>
      </c>
      <c r="AO178" s="473" t="str">
        <f t="shared" si="33"/>
        <v/>
      </c>
      <c r="AP178" s="473" t="str">
        <f t="shared" si="34"/>
        <v/>
      </c>
      <c r="AQ178" s="473" t="str">
        <f t="shared" si="35"/>
        <v/>
      </c>
      <c r="AR178" s="473" t="str">
        <f t="shared" si="36"/>
        <v/>
      </c>
      <c r="AS178" s="473" t="str">
        <f t="shared" si="37"/>
        <v/>
      </c>
      <c r="AT178" s="473" t="str">
        <f t="shared" si="38"/>
        <v/>
      </c>
      <c r="AU178" s="473" t="str">
        <f t="shared" si="39"/>
        <v/>
      </c>
      <c r="AY178" s="497" t="s">
        <v>466</v>
      </c>
      <c r="AZ178" s="31" t="s">
        <v>18</v>
      </c>
      <c r="BA178" s="34" t="s">
        <v>492</v>
      </c>
      <c r="BB178" s="499"/>
      <c r="BC178" s="271"/>
      <c r="BD178" s="279">
        <v>1</v>
      </c>
      <c r="BE178" s="271"/>
      <c r="BF178" s="271"/>
      <c r="BG178" s="271"/>
      <c r="BH178" s="271"/>
      <c r="BI178" s="271"/>
      <c r="BJ178" s="271"/>
      <c r="BK178" s="271"/>
      <c r="BL178" s="271"/>
    </row>
    <row r="179" spans="18:64" ht="30" customHeight="1" x14ac:dyDescent="0.25">
      <c r="R179" s="490"/>
      <c r="S179" s="451"/>
      <c r="T179" s="30" t="s">
        <v>11</v>
      </c>
      <c r="V179" s="453" t="s">
        <v>324</v>
      </c>
      <c r="W179" s="453" t="s">
        <v>7912</v>
      </c>
      <c r="X179" s="453" t="s">
        <v>326</v>
      </c>
      <c r="Y179" s="453" t="s">
        <v>327</v>
      </c>
      <c r="Z179" s="454" t="s">
        <v>7930</v>
      </c>
      <c r="AA179" s="453" t="s">
        <v>7937</v>
      </c>
      <c r="AB179" s="455" t="s">
        <v>39</v>
      </c>
      <c r="AC179" s="455" t="s">
        <v>338</v>
      </c>
      <c r="AD179" s="455" t="s">
        <v>8114</v>
      </c>
      <c r="AE179" s="455" t="s">
        <v>8114</v>
      </c>
      <c r="AF179" s="455" t="s">
        <v>339</v>
      </c>
      <c r="AG179" s="453" t="s">
        <v>8018</v>
      </c>
      <c r="AH179" s="453" t="s">
        <v>8023</v>
      </c>
      <c r="AI179" s="453" t="s">
        <v>330</v>
      </c>
      <c r="AJ179" s="453" t="s">
        <v>8031</v>
      </c>
      <c r="AK179" s="453" t="s">
        <v>8037</v>
      </c>
      <c r="AL179" s="453" t="s">
        <v>8041</v>
      </c>
      <c r="AM179" s="453" t="s">
        <v>343</v>
      </c>
      <c r="AN179" s="457" t="s">
        <v>8115</v>
      </c>
      <c r="AO179" s="457" t="s">
        <v>8116</v>
      </c>
      <c r="AP179" s="656" t="s">
        <v>8117</v>
      </c>
      <c r="AQ179" s="656"/>
      <c r="AR179" s="656"/>
      <c r="AS179" s="656"/>
      <c r="AT179" s="656"/>
      <c r="AU179" s="657"/>
      <c r="AZ179" s="31" t="s">
        <v>19</v>
      </c>
      <c r="BA179" s="34" t="s">
        <v>458</v>
      </c>
      <c r="BB179" s="499"/>
      <c r="BC179" s="271"/>
      <c r="BD179" s="279">
        <v>1</v>
      </c>
      <c r="BE179" s="271"/>
      <c r="BF179" s="271"/>
      <c r="BG179" s="271"/>
      <c r="BH179" s="271"/>
      <c r="BI179" s="271"/>
      <c r="BJ179" s="271"/>
      <c r="BK179" s="271"/>
      <c r="BL179" s="271"/>
    </row>
    <row r="180" spans="18:64" ht="30" customHeight="1" x14ac:dyDescent="0.25">
      <c r="R180" s="25" t="s">
        <v>6119</v>
      </c>
      <c r="S180" s="451"/>
      <c r="T180" s="30" t="s">
        <v>12</v>
      </c>
      <c r="V180" s="459">
        <v>4</v>
      </c>
      <c r="W180" s="460" t="s">
        <v>137</v>
      </c>
      <c r="X180" s="461" t="s">
        <v>357</v>
      </c>
      <c r="Y180" s="462">
        <v>31</v>
      </c>
      <c r="Z180" s="463">
        <v>100</v>
      </c>
      <c r="AA180" s="464">
        <f>IF($AC$396="","",ROW($A$396)-ROW($A$396))</f>
        <v>0</v>
      </c>
      <c r="AB180" s="461"/>
      <c r="AC180" s="465" t="s">
        <v>358</v>
      </c>
      <c r="AD180" s="390"/>
      <c r="AE180" s="390">
        <v>1</v>
      </c>
      <c r="AF180" s="466" t="s">
        <v>7</v>
      </c>
      <c r="AG180" s="467">
        <f t="shared" ref="AG180:AG214" si="40">IF($AC180="","",IF(LEN($AN180&amp;"")=0,"",$AN180))</f>
        <v>1</v>
      </c>
      <c r="AH180" s="468" t="str">
        <f t="shared" ref="AH180:AH214" si="41">IF($AC180="","",IF($AF180&lt;&gt;"",UPPER(TRIM(SUBSTITUTE(SUBSTITUTE($AF180&amp;"",CHAR(160)," ")," "," "))),$AP180))</f>
        <v>KG</v>
      </c>
      <c r="AI180" s="469" t="str">
        <f>IF($AC$180="","",IFERROR(INDEX($AZ$74:$AZ$119,MATCH($AH$180,$AY$74:$AY$119,0)),"AUTRE"))</f>
        <v>MASSE</v>
      </c>
      <c r="AJ180" s="470">
        <f>IF($AC$180="","",IFERROR(INDEX($BA$74:$BA$119,MATCH($AH$180,$AY$74:$AY$119,0)),1))</f>
        <v>1</v>
      </c>
      <c r="AK180" s="470">
        <f t="shared" ref="AK180:AK214" si="42">IF(OR(AG180="",AJ180=""),"",AG180*AJ180)</f>
        <v>1</v>
      </c>
      <c r="AL180" s="469" t="str">
        <f>IF($AC$180="","",IFERROR(INDEX($BB$74:$BB$119,MATCH($AH$180,$AY$74:$AY$119,0)),$AH$180))</f>
        <v>kg</v>
      </c>
      <c r="AM180" s="471" t="str">
        <f t="shared" ref="AM180:AM214" si="43">IF($AC180="","",IF($AH180="QT. SUFFISANTE","OK",IF($AG180="","TEXTE",IF(NOT(ISNUMBER($AG180)),"QUANTITÉ À CONTRÔLER",IF(COUNTIF($AY$74:$AY$119,$AH180)=0,"UNITÉ À CONTRÔLER","OK")))))</f>
        <v>OK</v>
      </c>
      <c r="AN180" s="474">
        <f t="shared" ref="AN180:AN214" si="44">IF($AE180&lt;&gt;"",$AE180,IF($AD180="","",IF(ISNUMBER($AD180),$AD180,IF($AO180="QT",0,IF($AO180="","",IFERROR(IF(ISNUMBER(SEARCH("/",$AO180)),VALUE(TRIM(LEFT($AO180,SEARCH("/",$AO180)-1)))/VALUE(TRIM(MID($AO180,SEARCH("/",$AO180)+1,99))),VALUE(SUBSTITUTE($AO180,".",","))),""))))))</f>
        <v>1</v>
      </c>
      <c r="AO180" s="473" t="str">
        <f t="shared" ref="AO180:AO214" si="45">IF($AD180="","",IF(ISNUMBER($AD180),$AD180,IF(OR(LEFT($AQ180,3)="QT.",LEFT($AQ180,4)="QUAN"),"QT",IF($AR180=999,$AQ180,TRIM(LEFT($AQ180,$AR180-1))))))</f>
        <v/>
      </c>
      <c r="AP180" s="473" t="str">
        <f t="shared" ref="AP180:AP214" si="46">IF($AD180="","",IF(ISNUMBER($AD180),"",IF(OR(LEFT($AQ180,3)="QT.",LEFT($AQ180,4)="QUAN"),"QT. SUFFISANTE",IF($AO180="","",TRIM(MID($AQ180,LEN($AO180&amp;"")+1,999))))))</f>
        <v/>
      </c>
      <c r="AQ180" s="473" t="str">
        <f t="shared" ref="AQ180:AQ214" si="47">IF($AD180="","",UPPER(TRIM(SUBSTITUTE(SUBSTITUTE($AD180&amp;"",CHAR(160)," ")," "," "))))</f>
        <v/>
      </c>
      <c r="AR180" s="473" t="str">
        <f t="shared" ref="AR180:AR214" si="48">IF($AQ180="","",MIN($AS180,$AT180,$AU180))</f>
        <v/>
      </c>
      <c r="AS180" s="473" t="str">
        <f t="shared" ref="AS180:AS214" si="49">IF($AQ180="","",MIN(IFERROR(SEARCH("A",$AQ180),999),IFERROR(SEARCH("B",$AQ180),999),IFERROR(SEARCH("C",$AQ180),999),IFERROR(SEARCH("D",$AQ180),999),IFERROR(SEARCH("E",$AQ180),999),IFERROR(SEARCH("F",$AQ180),999),IFERROR(SEARCH("G",$AQ180),999),IFERROR(SEARCH("H",$AQ180),999),IFERROR(SEARCH("I",$AQ180),999)))</f>
        <v/>
      </c>
      <c r="AT180" s="473" t="str">
        <f t="shared" ref="AT180:AT214" si="50">IF($AQ180="","",MIN(IFERROR(SEARCH("J",$AQ180),999),IFERROR(SEARCH("K",$AQ180),999),IFERROR(SEARCH("L",$AQ180),999),IFERROR(SEARCH("M",$AQ180),999),IFERROR(SEARCH("N",$AQ180),999),IFERROR(SEARCH("O",$AQ180),999),IFERROR(SEARCH("P",$AQ180),999),IFERROR(SEARCH("Q",$AQ180),999),IFERROR(SEARCH("R",$AQ180),999)))</f>
        <v/>
      </c>
      <c r="AU180" s="473" t="str">
        <f t="shared" ref="AU180:AU214" si="51">IF($AQ180="","",MIN(IFERROR(SEARCH("S",$AQ180),999),IFERROR(SEARCH("T",$AQ180),999),IFERROR(SEARCH("U",$AQ180),999),IFERROR(SEARCH("V",$AQ180),999),IFERROR(SEARCH("W",$AQ180),999),IFERROR(SEARCH("X",$AQ180),999),IFERROR(SEARCH("Y",$AQ180),999),IFERROR(SEARCH("Z",$AQ180),999)))</f>
        <v/>
      </c>
      <c r="AZ180" s="31" t="s">
        <v>211</v>
      </c>
      <c r="BA180" s="490"/>
      <c r="BB180" s="499"/>
      <c r="BC180" s="271"/>
      <c r="BD180" s="279">
        <v>1</v>
      </c>
      <c r="BE180" s="271"/>
      <c r="BF180" s="271"/>
      <c r="BG180" s="271"/>
      <c r="BH180" s="271"/>
      <c r="BI180" s="271"/>
      <c r="BJ180" s="271"/>
      <c r="BK180" s="271"/>
      <c r="BL180" s="271"/>
    </row>
    <row r="181" spans="18:64" ht="21" customHeight="1" x14ac:dyDescent="0.25">
      <c r="R181" s="34" t="s">
        <v>6120</v>
      </c>
      <c r="S181" s="451"/>
      <c r="T181" s="31" t="s">
        <v>16</v>
      </c>
      <c r="V181" s="475">
        <f>$V$180</f>
        <v>4</v>
      </c>
      <c r="W181" s="475" t="str">
        <f>IF($AC$181="","",$W$180)</f>
        <v>N° 14</v>
      </c>
      <c r="X181" s="476" t="str">
        <f>IF($AC$181="","",$X$180)</f>
        <v>TARAMA*</v>
      </c>
      <c r="Y181" s="477">
        <f>IF($X$181="","",$Y$180)</f>
        <v>31</v>
      </c>
      <c r="Z181" s="477">
        <f>IF($X$181="","",$Z$180)</f>
        <v>100</v>
      </c>
      <c r="AA181" s="477">
        <f>IF($AC$181="","",ROW($A$181)-ROW($A$180))</f>
        <v>1</v>
      </c>
      <c r="AB181" s="478"/>
      <c r="AC181" s="34" t="s">
        <v>359</v>
      </c>
      <c r="AD181" s="356"/>
      <c r="AE181" s="479">
        <v>1</v>
      </c>
      <c r="AF181" s="466" t="s">
        <v>7</v>
      </c>
      <c r="AG181" s="480">
        <f t="shared" si="40"/>
        <v>1</v>
      </c>
      <c r="AH181" s="481" t="str">
        <f t="shared" si="41"/>
        <v>KG</v>
      </c>
      <c r="AI181" s="477" t="str">
        <f>IF($AC$181="","",IFERROR(INDEX($AZ$74:$AZ$119,MATCH($AH$181,$AY$74:$AY$119,0)),"AUTRE"))</f>
        <v>MASSE</v>
      </c>
      <c r="AJ181" s="482">
        <f>IF($AC$181="","",IFERROR(INDEX($BA$74:$BA$119,MATCH($AH$181,$AY$74:$AY$119,0)),1))</f>
        <v>1</v>
      </c>
      <c r="AK181" s="482">
        <f t="shared" si="42"/>
        <v>1</v>
      </c>
      <c r="AL181" s="477" t="str">
        <f>IF($AC$181="","",IFERROR(INDEX($BB$74:$BB$119,MATCH($AH$181,$AY$74:$AY$119,0)),$AH$181))</f>
        <v>kg</v>
      </c>
      <c r="AM181" s="483" t="str">
        <f t="shared" si="43"/>
        <v>OK</v>
      </c>
      <c r="AN181" s="484">
        <f t="shared" si="44"/>
        <v>1</v>
      </c>
      <c r="AO181" s="473" t="str">
        <f t="shared" si="45"/>
        <v/>
      </c>
      <c r="AP181" s="473" t="str">
        <f t="shared" si="46"/>
        <v/>
      </c>
      <c r="AQ181" s="473" t="str">
        <f t="shared" si="47"/>
        <v/>
      </c>
      <c r="AR181" s="473" t="str">
        <f t="shared" si="48"/>
        <v/>
      </c>
      <c r="AS181" s="473" t="str">
        <f t="shared" si="49"/>
        <v/>
      </c>
      <c r="AT181" s="473" t="str">
        <f t="shared" si="50"/>
        <v/>
      </c>
      <c r="AU181" s="473" t="str">
        <f t="shared" si="51"/>
        <v/>
      </c>
      <c r="AZ181" s="31" t="s">
        <v>20</v>
      </c>
      <c r="BA181" s="25" t="s">
        <v>6119</v>
      </c>
      <c r="BB181" s="499"/>
      <c r="BC181" s="271"/>
      <c r="BD181" s="279">
        <v>1</v>
      </c>
      <c r="BE181" s="271"/>
      <c r="BF181" s="271"/>
      <c r="BG181" s="271"/>
      <c r="BH181" s="271"/>
      <c r="BI181" s="271"/>
      <c r="BJ181" s="271"/>
      <c r="BK181" s="271"/>
      <c r="BL181" s="271"/>
    </row>
    <row r="182" spans="18:64" ht="21" customHeight="1" x14ac:dyDescent="0.25">
      <c r="R182" s="34" t="s">
        <v>6121</v>
      </c>
      <c r="S182" s="451"/>
      <c r="T182" s="31" t="s">
        <v>17</v>
      </c>
      <c r="V182" s="475">
        <v>4</v>
      </c>
      <c r="W182" s="475" t="str">
        <f>IF($AC$182="","",$W$180)</f>
        <v>N° 14</v>
      </c>
      <c r="X182" s="476" t="str">
        <f>IF($AC$182="","",$X$180)</f>
        <v>TARAMA*</v>
      </c>
      <c r="Y182" s="477">
        <f>IF($X$182="","",$Y$180)</f>
        <v>31</v>
      </c>
      <c r="Z182" s="477">
        <f>IF($X$182="","",$Z$180)</f>
        <v>100</v>
      </c>
      <c r="AA182" s="477">
        <f>IF($AC$182="","",ROW($A$182)-ROW($A$180))</f>
        <v>2</v>
      </c>
      <c r="AB182" s="478"/>
      <c r="AC182" s="34" t="s">
        <v>41</v>
      </c>
      <c r="AD182" s="356"/>
      <c r="AE182" s="479">
        <v>150</v>
      </c>
      <c r="AF182" s="27" t="s">
        <v>8</v>
      </c>
      <c r="AG182" s="480">
        <f t="shared" si="40"/>
        <v>150</v>
      </c>
      <c r="AH182" s="481" t="str">
        <f t="shared" si="41"/>
        <v>G</v>
      </c>
      <c r="AI182" s="477" t="str">
        <f>IF($AC$182="","",IFERROR(INDEX($AZ$74:$AZ$119,MATCH($AH$182,$AY$74:$AY$119,0)),"AUTRE"))</f>
        <v>MASSE</v>
      </c>
      <c r="AJ182" s="482">
        <f>IF($AC$182="","",IFERROR(INDEX($BA$74:$BA$119,MATCH($AH$182,$AY$74:$AY$119,0)),1))</f>
        <v>1E-3</v>
      </c>
      <c r="AK182" s="482">
        <f t="shared" si="42"/>
        <v>0.15</v>
      </c>
      <c r="AL182" s="477" t="str">
        <f>IF($AC$182="","",IFERROR(INDEX($BB$74:$BB$119,MATCH($AH$182,$AY$74:$AY$119,0)),$AH$182))</f>
        <v>kg</v>
      </c>
      <c r="AM182" s="483" t="str">
        <f t="shared" si="43"/>
        <v>OK</v>
      </c>
      <c r="AN182" s="484">
        <f t="shared" si="44"/>
        <v>150</v>
      </c>
      <c r="AO182" s="473" t="str">
        <f t="shared" si="45"/>
        <v/>
      </c>
      <c r="AP182" s="473" t="str">
        <f t="shared" si="46"/>
        <v/>
      </c>
      <c r="AQ182" s="473" t="str">
        <f t="shared" si="47"/>
        <v/>
      </c>
      <c r="AR182" s="473" t="str">
        <f t="shared" si="48"/>
        <v/>
      </c>
      <c r="AS182" s="473" t="str">
        <f t="shared" si="49"/>
        <v/>
      </c>
      <c r="AT182" s="473" t="str">
        <f t="shared" si="50"/>
        <v/>
      </c>
      <c r="AU182" s="473" t="str">
        <f t="shared" si="51"/>
        <v/>
      </c>
      <c r="AZ182" s="31" t="s">
        <v>304</v>
      </c>
      <c r="BA182" s="34" t="s">
        <v>6120</v>
      </c>
      <c r="BB182" s="499"/>
      <c r="BC182" s="271"/>
      <c r="BD182" s="279">
        <v>1</v>
      </c>
      <c r="BE182" s="271"/>
      <c r="BF182" s="271"/>
      <c r="BG182" s="271"/>
      <c r="BH182" s="271"/>
      <c r="BI182" s="271"/>
      <c r="BJ182" s="271"/>
      <c r="BK182" s="271"/>
      <c r="BL182" s="271"/>
    </row>
    <row r="183" spans="18:64" ht="21" customHeight="1" x14ac:dyDescent="0.25">
      <c r="R183" s="34" t="s">
        <v>6122</v>
      </c>
      <c r="S183" s="451"/>
      <c r="T183" s="31" t="s">
        <v>18</v>
      </c>
      <c r="V183" s="475">
        <v>4</v>
      </c>
      <c r="W183" s="475" t="str">
        <f>IF($AC$183="","",$W$180)</f>
        <v>N° 14</v>
      </c>
      <c r="X183" s="476" t="str">
        <f>IF($AC$183="","",$X$180)</f>
        <v>TARAMA*</v>
      </c>
      <c r="Y183" s="477">
        <f>IF($X$183="","",$Y$180)</f>
        <v>31</v>
      </c>
      <c r="Z183" s="477">
        <f>IF($X$183="","",$Z$180)</f>
        <v>100</v>
      </c>
      <c r="AA183" s="477">
        <f>IF($AC$183="","",ROW($A$183)-ROW($A$180))</f>
        <v>3</v>
      </c>
      <c r="AB183" s="478"/>
      <c r="AC183" s="34" t="s">
        <v>59</v>
      </c>
      <c r="AD183" s="356"/>
      <c r="AE183" s="479">
        <v>12</v>
      </c>
      <c r="AF183" s="30" t="s">
        <v>11</v>
      </c>
      <c r="AG183" s="480">
        <f t="shared" si="40"/>
        <v>12</v>
      </c>
      <c r="AH183" s="481" t="str">
        <f t="shared" si="41"/>
        <v>CL</v>
      </c>
      <c r="AI183" s="477" t="str">
        <f>IF($AC$183="","",IFERROR(INDEX($AZ$74:$AZ$119,MATCH($AH$183,$AY$74:$AY$119,0)),"AUTRE"))</f>
        <v>VOLUME</v>
      </c>
      <c r="AJ183" s="482">
        <f>IF($AC$183="","",IFERROR(INDEX($BA$74:$BA$119,MATCH($AH$183,$AY$74:$AY$119,0)),1))</f>
        <v>0.01</v>
      </c>
      <c r="AK183" s="482">
        <f t="shared" si="42"/>
        <v>0.12</v>
      </c>
      <c r="AL183" s="477" t="str">
        <f>IF($AC$183="","",IFERROR(INDEX($BB$74:$BB$119,MATCH($AH$183,$AY$74:$AY$119,0)),$AH$183))</f>
        <v>L</v>
      </c>
      <c r="AM183" s="483" t="str">
        <f t="shared" si="43"/>
        <v>OK</v>
      </c>
      <c r="AN183" s="484">
        <f t="shared" si="44"/>
        <v>12</v>
      </c>
      <c r="AO183" s="473" t="str">
        <f t="shared" si="45"/>
        <v/>
      </c>
      <c r="AP183" s="473" t="str">
        <f t="shared" si="46"/>
        <v/>
      </c>
      <c r="AQ183" s="473" t="str">
        <f t="shared" si="47"/>
        <v/>
      </c>
      <c r="AR183" s="473" t="str">
        <f t="shared" si="48"/>
        <v/>
      </c>
      <c r="AS183" s="473" t="str">
        <f t="shared" si="49"/>
        <v/>
      </c>
      <c r="AT183" s="473" t="str">
        <f t="shared" si="50"/>
        <v/>
      </c>
      <c r="AU183" s="473" t="str">
        <f t="shared" si="51"/>
        <v/>
      </c>
      <c r="AZ183" s="31" t="s">
        <v>352</v>
      </c>
      <c r="BA183" s="34" t="s">
        <v>6121</v>
      </c>
      <c r="BB183" s="499"/>
      <c r="BC183" s="271"/>
      <c r="BD183" s="279">
        <v>1</v>
      </c>
      <c r="BE183" s="271"/>
      <c r="BF183" s="271"/>
      <c r="BG183" s="271"/>
      <c r="BH183" s="271"/>
      <c r="BI183" s="271"/>
      <c r="BJ183" s="271"/>
      <c r="BK183" s="271"/>
      <c r="BL183" s="271"/>
    </row>
    <row r="184" spans="18:64" ht="21" customHeight="1" x14ac:dyDescent="0.25">
      <c r="R184" s="34" t="s">
        <v>6123</v>
      </c>
      <c r="S184" s="451"/>
      <c r="T184" s="31" t="s">
        <v>19</v>
      </c>
      <c r="V184" s="475">
        <v>4</v>
      </c>
      <c r="W184" s="475" t="str">
        <f>IF($AC$184="","",$W$180)</f>
        <v>N° 14</v>
      </c>
      <c r="X184" s="476" t="str">
        <f>IF($AC$184="","",$X$180)</f>
        <v>TARAMA*</v>
      </c>
      <c r="Y184" s="477">
        <f>IF($X$184="","",$Y$180)</f>
        <v>31</v>
      </c>
      <c r="Z184" s="477">
        <f>IF($X$184="","",$Z$180)</f>
        <v>100</v>
      </c>
      <c r="AA184" s="477">
        <f>IF($AC$184="","",ROW($A$184)-ROW($A$180))</f>
        <v>4</v>
      </c>
      <c r="AB184" s="478"/>
      <c r="AC184" s="34" t="s">
        <v>60</v>
      </c>
      <c r="AD184" s="356"/>
      <c r="AE184" s="32" t="s">
        <v>33</v>
      </c>
      <c r="AF184" s="475"/>
      <c r="AG184" s="480" t="str">
        <f t="shared" si="40"/>
        <v>QT. SUFFISANTE</v>
      </c>
      <c r="AH184" s="481" t="str">
        <f t="shared" si="41"/>
        <v/>
      </c>
      <c r="AI184" s="477" t="str">
        <f>IF($AC$184="","",IFERROR(INDEX($AZ$74:$AZ$119,MATCH($AH$184,$AY$74:$AY$119,0)),"AUTRE"))</f>
        <v>AUTRE</v>
      </c>
      <c r="AJ184" s="482">
        <f>IF($AC$184="","",IFERROR(INDEX($BA$74:$BA$119,MATCH($AH$184,$AY$74:$AY$119,0)),1))</f>
        <v>1</v>
      </c>
      <c r="AK184" s="482" t="e">
        <f t="shared" si="42"/>
        <v>#VALUE!</v>
      </c>
      <c r="AL184" s="477" t="str">
        <f>IF($AC$184="","",IFERROR(INDEX($BB$74:$BB$119,MATCH($AH$184,$AY$74:$AY$119,0)),$AH$184))</f>
        <v/>
      </c>
      <c r="AM184" s="483" t="str">
        <f t="shared" si="43"/>
        <v>QUANTITÉ À CONTRÔLER</v>
      </c>
      <c r="AN184" s="484" t="str">
        <f t="shared" si="44"/>
        <v>QT. SUFFISANTE</v>
      </c>
      <c r="AO184" s="473" t="str">
        <f t="shared" si="45"/>
        <v/>
      </c>
      <c r="AP184" s="473" t="str">
        <f t="shared" si="46"/>
        <v/>
      </c>
      <c r="AQ184" s="473" t="str">
        <f t="shared" si="47"/>
        <v/>
      </c>
      <c r="AR184" s="473" t="str">
        <f t="shared" si="48"/>
        <v/>
      </c>
      <c r="AS184" s="473" t="str">
        <f t="shared" si="49"/>
        <v/>
      </c>
      <c r="AT184" s="473" t="str">
        <f t="shared" si="50"/>
        <v/>
      </c>
      <c r="AU184" s="473" t="str">
        <f t="shared" si="51"/>
        <v/>
      </c>
      <c r="AZ184" s="31" t="s">
        <v>27</v>
      </c>
      <c r="BA184" s="34" t="s">
        <v>6122</v>
      </c>
      <c r="BB184" s="499"/>
      <c r="BC184" s="271"/>
      <c r="BD184" s="279">
        <v>1</v>
      </c>
      <c r="BE184" s="271"/>
      <c r="BF184" s="271"/>
      <c r="BG184" s="271"/>
      <c r="BH184" s="271"/>
      <c r="BI184" s="271"/>
      <c r="BJ184" s="271"/>
      <c r="BK184" s="271"/>
      <c r="BL184" s="271"/>
    </row>
    <row r="185" spans="18:64" ht="21" customHeight="1" x14ac:dyDescent="0.25">
      <c r="R185" s="34" t="s">
        <v>6124</v>
      </c>
      <c r="S185" s="451"/>
      <c r="T185" s="31" t="s">
        <v>211</v>
      </c>
      <c r="V185" s="475">
        <v>4</v>
      </c>
      <c r="W185" s="475" t="str">
        <f>IF($AC$185="","",$W$180)</f>
        <v>N° 14</v>
      </c>
      <c r="X185" s="476" t="str">
        <f>IF($AC$185="","",$X$180)</f>
        <v>TARAMA*</v>
      </c>
      <c r="Y185" s="477">
        <f>IF($X$185="","",$Y$180)</f>
        <v>31</v>
      </c>
      <c r="Z185" s="477">
        <f>IF($X$185="","",$Z$180)</f>
        <v>100</v>
      </c>
      <c r="AA185" s="477">
        <f>IF($AC$185="","",ROW($A$185)-ROW($A$180))</f>
        <v>5</v>
      </c>
      <c r="AB185" s="478"/>
      <c r="AC185" s="34" t="s">
        <v>128</v>
      </c>
      <c r="AD185" s="356"/>
      <c r="AE185" s="479">
        <v>4</v>
      </c>
      <c r="AF185" s="29" t="s">
        <v>9</v>
      </c>
      <c r="AG185" s="480">
        <f t="shared" si="40"/>
        <v>4</v>
      </c>
      <c r="AH185" s="481" t="str">
        <f t="shared" si="41"/>
        <v>L</v>
      </c>
      <c r="AI185" s="477" t="str">
        <f>IF($AC$185="","",IFERROR(INDEX($AZ$74:$AZ$119,MATCH($AH$185,$AY$74:$AY$119,0)),"AUTRE"))</f>
        <v>VOLUME</v>
      </c>
      <c r="AJ185" s="482">
        <f>IF($AC$185="","",IFERROR(INDEX($BA$74:$BA$119,MATCH($AH$185,$AY$74:$AY$119,0)),1))</f>
        <v>1</v>
      </c>
      <c r="AK185" s="482">
        <f t="shared" si="42"/>
        <v>4</v>
      </c>
      <c r="AL185" s="477" t="str">
        <f>IF($AC$185="","",IFERROR(INDEX($BB$74:$BB$119,MATCH($AH$185,$AY$74:$AY$119,0)),$AH$185))</f>
        <v>L</v>
      </c>
      <c r="AM185" s="483" t="str">
        <f t="shared" si="43"/>
        <v>OK</v>
      </c>
      <c r="AN185" s="484">
        <f t="shared" si="44"/>
        <v>4</v>
      </c>
      <c r="AO185" s="473" t="str">
        <f t="shared" si="45"/>
        <v/>
      </c>
      <c r="AP185" s="473" t="str">
        <f t="shared" si="46"/>
        <v/>
      </c>
      <c r="AQ185" s="473" t="str">
        <f t="shared" si="47"/>
        <v/>
      </c>
      <c r="AR185" s="473" t="str">
        <f t="shared" si="48"/>
        <v/>
      </c>
      <c r="AS185" s="473" t="str">
        <f t="shared" si="49"/>
        <v/>
      </c>
      <c r="AT185" s="473" t="str">
        <f t="shared" si="50"/>
        <v/>
      </c>
      <c r="AU185" s="473" t="str">
        <f t="shared" si="51"/>
        <v/>
      </c>
      <c r="AZ185" s="31" t="s">
        <v>28</v>
      </c>
      <c r="BA185" s="34" t="s">
        <v>6123</v>
      </c>
      <c r="BB185" s="499"/>
      <c r="BC185" s="271"/>
      <c r="BD185" s="279">
        <v>1</v>
      </c>
      <c r="BE185" s="271"/>
      <c r="BF185" s="271"/>
      <c r="BG185" s="271"/>
      <c r="BH185" s="271"/>
      <c r="BI185" s="271"/>
      <c r="BJ185" s="271"/>
      <c r="BK185" s="271"/>
      <c r="BL185" s="271"/>
    </row>
    <row r="186" spans="18:64" ht="21" customHeight="1" x14ac:dyDescent="0.25">
      <c r="R186" s="34" t="s">
        <v>6125</v>
      </c>
      <c r="S186" s="451"/>
      <c r="T186" s="31" t="s">
        <v>20</v>
      </c>
      <c r="V186" s="475">
        <v>4</v>
      </c>
      <c r="W186" s="475" t="str">
        <f>IF($AC$186="","",$W$180)</f>
        <v>N° 14</v>
      </c>
      <c r="X186" s="476" t="str">
        <f>IF($AC$186="","",$X$180)</f>
        <v>TARAMA*</v>
      </c>
      <c r="Y186" s="477">
        <f>IF($X$186="","",$Y$180)</f>
        <v>31</v>
      </c>
      <c r="Z186" s="477">
        <f>IF($X$186="","",$Z$180)</f>
        <v>100</v>
      </c>
      <c r="AA186" s="477">
        <f>IF($AC$186="","",ROW($A$186)-ROW($A$180))</f>
        <v>6</v>
      </c>
      <c r="AB186" s="478"/>
      <c r="AC186" s="34" t="s">
        <v>360</v>
      </c>
      <c r="AD186" s="356"/>
      <c r="AE186" s="479">
        <v>1.5</v>
      </c>
      <c r="AF186" s="29" t="s">
        <v>9</v>
      </c>
      <c r="AG186" s="480">
        <f t="shared" si="40"/>
        <v>1.5</v>
      </c>
      <c r="AH186" s="481" t="str">
        <f t="shared" si="41"/>
        <v>L</v>
      </c>
      <c r="AI186" s="477" t="str">
        <f>IF($AC$186="","",IFERROR(INDEX($AZ$74:$AZ$119,MATCH($AH$186,$AY$74:$AY$119,0)),"AUTRE"))</f>
        <v>VOLUME</v>
      </c>
      <c r="AJ186" s="482">
        <f>IF($AC$186="","",IFERROR(INDEX($BA$74:$BA$119,MATCH($AH$186,$AY$74:$AY$119,0)),1))</f>
        <v>1</v>
      </c>
      <c r="AK186" s="482">
        <f t="shared" si="42"/>
        <v>1.5</v>
      </c>
      <c r="AL186" s="477" t="str">
        <f>IF($AC$186="","",IFERROR(INDEX($BB$74:$BB$119,MATCH($AH$186,$AY$74:$AY$119,0)),$AH$186))</f>
        <v>L</v>
      </c>
      <c r="AM186" s="483" t="str">
        <f t="shared" si="43"/>
        <v>OK</v>
      </c>
      <c r="AN186" s="484">
        <f t="shared" si="44"/>
        <v>1.5</v>
      </c>
      <c r="AO186" s="473" t="str">
        <f t="shared" si="45"/>
        <v/>
      </c>
      <c r="AP186" s="473" t="str">
        <f t="shared" si="46"/>
        <v/>
      </c>
      <c r="AQ186" s="473" t="str">
        <f t="shared" si="47"/>
        <v/>
      </c>
      <c r="AR186" s="473" t="str">
        <f t="shared" si="48"/>
        <v/>
      </c>
      <c r="AS186" s="473" t="str">
        <f t="shared" si="49"/>
        <v/>
      </c>
      <c r="AT186" s="473" t="str">
        <f t="shared" si="50"/>
        <v/>
      </c>
      <c r="AU186" s="473" t="str">
        <f t="shared" si="51"/>
        <v/>
      </c>
      <c r="AZ186" s="31" t="s">
        <v>29</v>
      </c>
      <c r="BA186" s="34" t="s">
        <v>6124</v>
      </c>
      <c r="BB186" s="499"/>
      <c r="BC186" s="271"/>
      <c r="BD186" s="279">
        <v>1</v>
      </c>
      <c r="BE186" s="271"/>
      <c r="BF186" s="271"/>
      <c r="BG186" s="271"/>
      <c r="BH186" s="271"/>
      <c r="BI186" s="271"/>
      <c r="BJ186" s="271"/>
      <c r="BK186" s="271"/>
      <c r="BL186" s="271"/>
    </row>
    <row r="187" spans="18:64" ht="21" customHeight="1" x14ac:dyDescent="0.25">
      <c r="R187" s="34" t="s">
        <v>6126</v>
      </c>
      <c r="S187" s="451"/>
      <c r="T187" s="31" t="s">
        <v>304</v>
      </c>
      <c r="V187" s="475">
        <v>4</v>
      </c>
      <c r="W187" s="475" t="str">
        <f>IF($AC$187="","",$W$180)</f>
        <v>N° 14</v>
      </c>
      <c r="X187" s="476" t="str">
        <f>IF($AC$187="","",$X$180)</f>
        <v>TARAMA*</v>
      </c>
      <c r="Y187" s="477">
        <f>IF($X$187="","",$Y$180)</f>
        <v>31</v>
      </c>
      <c r="Z187" s="477">
        <f>IF($X$187="","",$Z$180)</f>
        <v>100</v>
      </c>
      <c r="AA187" s="477">
        <f>IF($AC$187="","",ROW($A$187)-ROW($A$180))</f>
        <v>7</v>
      </c>
      <c r="AB187" s="478"/>
      <c r="AC187" s="34" t="s">
        <v>66</v>
      </c>
      <c r="AD187" s="356"/>
      <c r="AE187" s="32" t="s">
        <v>33</v>
      </c>
      <c r="AF187" s="475"/>
      <c r="AG187" s="480" t="str">
        <f t="shared" si="40"/>
        <v>QT. SUFFISANTE</v>
      </c>
      <c r="AH187" s="481" t="str">
        <f t="shared" si="41"/>
        <v/>
      </c>
      <c r="AI187" s="477" t="str">
        <f>IF($AC$187="","",IFERROR(INDEX($AZ$74:$AZ$119,MATCH($AH$187,$AY$74:$AY$119,0)),"AUTRE"))</f>
        <v>AUTRE</v>
      </c>
      <c r="AJ187" s="482">
        <f>IF($AC$187="","",IFERROR(INDEX($BA$74:$BA$119,MATCH($AH$187,$AY$74:$AY$119,0)),1))</f>
        <v>1</v>
      </c>
      <c r="AK187" s="482" t="e">
        <f t="shared" si="42"/>
        <v>#VALUE!</v>
      </c>
      <c r="AL187" s="477" t="str">
        <f>IF($AC$187="","",IFERROR(INDEX($BB$74:$BB$119,MATCH($AH$187,$AY$74:$AY$119,0)),$AH$187))</f>
        <v/>
      </c>
      <c r="AM187" s="483" t="str">
        <f t="shared" si="43"/>
        <v>QUANTITÉ À CONTRÔLER</v>
      </c>
      <c r="AN187" s="484" t="str">
        <f t="shared" si="44"/>
        <v>QT. SUFFISANTE</v>
      </c>
      <c r="AO187" s="473" t="str">
        <f t="shared" si="45"/>
        <v/>
      </c>
      <c r="AP187" s="473" t="str">
        <f t="shared" si="46"/>
        <v/>
      </c>
      <c r="AQ187" s="473" t="str">
        <f t="shared" si="47"/>
        <v/>
      </c>
      <c r="AR187" s="473" t="str">
        <f t="shared" si="48"/>
        <v/>
      </c>
      <c r="AS187" s="473" t="str">
        <f t="shared" si="49"/>
        <v/>
      </c>
      <c r="AT187" s="473" t="str">
        <f t="shared" si="50"/>
        <v/>
      </c>
      <c r="AU187" s="473" t="str">
        <f t="shared" si="51"/>
        <v/>
      </c>
      <c r="AZ187" s="31" t="s">
        <v>30</v>
      </c>
      <c r="BA187" s="34" t="s">
        <v>6125</v>
      </c>
      <c r="BB187" s="499"/>
      <c r="BC187" s="271"/>
      <c r="BD187" s="279">
        <v>1</v>
      </c>
      <c r="BE187" s="271"/>
      <c r="BF187" s="271"/>
      <c r="BG187" s="271"/>
      <c r="BH187" s="271"/>
      <c r="BI187" s="271"/>
      <c r="BJ187" s="271"/>
      <c r="BK187" s="271"/>
      <c r="BL187" s="271"/>
    </row>
    <row r="188" spans="18:64" ht="21" customHeight="1" x14ac:dyDescent="0.25">
      <c r="R188" s="34" t="s">
        <v>6127</v>
      </c>
      <c r="S188" s="451"/>
      <c r="T188" s="31" t="s">
        <v>352</v>
      </c>
      <c r="V188" s="475">
        <v>4</v>
      </c>
      <c r="W188" s="475" t="str">
        <f>IF($AC$188="","",$W$180)</f>
        <v>N° 14</v>
      </c>
      <c r="X188" s="476" t="str">
        <f>IF($AC$188="","",$X$180)</f>
        <v>TARAMA*</v>
      </c>
      <c r="Y188" s="477">
        <f>IF($X$188="","",$Y$180)</f>
        <v>31</v>
      </c>
      <c r="Z188" s="477">
        <f>IF($X$188="","",$Z$180)</f>
        <v>100</v>
      </c>
      <c r="AA188" s="477">
        <f>IF($AC$188="","",ROW($A$188)-ROW($A$180))</f>
        <v>8</v>
      </c>
      <c r="AB188" s="478"/>
      <c r="AC188" s="34" t="s">
        <v>138</v>
      </c>
      <c r="AD188" s="356"/>
      <c r="AE188" s="32" t="s">
        <v>33</v>
      </c>
      <c r="AF188" s="475"/>
      <c r="AG188" s="480" t="str">
        <f t="shared" si="40"/>
        <v>QT. SUFFISANTE</v>
      </c>
      <c r="AH188" s="481" t="str">
        <f t="shared" si="41"/>
        <v/>
      </c>
      <c r="AI188" s="477" t="str">
        <f>IF($AC$188="","",IFERROR(INDEX($AZ$74:$AZ$119,MATCH($AH$188,$AY$74:$AY$119,0)),"AUTRE"))</f>
        <v>AUTRE</v>
      </c>
      <c r="AJ188" s="482">
        <f>IF($AC$188="","",IFERROR(INDEX($BA$74:$BA$119,MATCH($AH$188,$AY$74:$AY$119,0)),1))</f>
        <v>1</v>
      </c>
      <c r="AK188" s="482" t="e">
        <f t="shared" si="42"/>
        <v>#VALUE!</v>
      </c>
      <c r="AL188" s="477" t="str">
        <f>IF($AC$188="","",IFERROR(INDEX($BB$74:$BB$119,MATCH($AH$188,$AY$74:$AY$119,0)),$AH$188))</f>
        <v/>
      </c>
      <c r="AM188" s="483" t="str">
        <f t="shared" si="43"/>
        <v>QUANTITÉ À CONTRÔLER</v>
      </c>
      <c r="AN188" s="484" t="str">
        <f t="shared" si="44"/>
        <v>QT. SUFFISANTE</v>
      </c>
      <c r="AO188" s="473" t="str">
        <f t="shared" si="45"/>
        <v/>
      </c>
      <c r="AP188" s="473" t="str">
        <f t="shared" si="46"/>
        <v/>
      </c>
      <c r="AQ188" s="473" t="str">
        <f t="shared" si="47"/>
        <v/>
      </c>
      <c r="AR188" s="473" t="str">
        <f t="shared" si="48"/>
        <v/>
      </c>
      <c r="AS188" s="473" t="str">
        <f t="shared" si="49"/>
        <v/>
      </c>
      <c r="AT188" s="473" t="str">
        <f t="shared" si="50"/>
        <v/>
      </c>
      <c r="AU188" s="473" t="str">
        <f t="shared" si="51"/>
        <v/>
      </c>
      <c r="AZ188" s="32" t="s">
        <v>33</v>
      </c>
      <c r="BA188" s="34" t="s">
        <v>6126</v>
      </c>
      <c r="BB188" s="499"/>
      <c r="BC188" s="271"/>
      <c r="BD188" s="279">
        <v>1</v>
      </c>
      <c r="BE188" s="271"/>
      <c r="BF188" s="271"/>
      <c r="BG188" s="271"/>
      <c r="BH188" s="271"/>
      <c r="BI188" s="271"/>
      <c r="BJ188" s="271"/>
      <c r="BK188" s="271"/>
      <c r="BL188" s="271"/>
    </row>
    <row r="189" spans="18:64" ht="21" customHeight="1" x14ac:dyDescent="0.25">
      <c r="R189" s="25" t="s">
        <v>6128</v>
      </c>
      <c r="S189" s="451"/>
      <c r="T189" s="31" t="s">
        <v>25</v>
      </c>
      <c r="V189" s="475">
        <v>4</v>
      </c>
      <c r="W189" s="475" t="str">
        <f>IF($AC$189="","",$W$180)</f>
        <v/>
      </c>
      <c r="X189" s="476" t="str">
        <f>IF($AC$189="","",$X$180)</f>
        <v/>
      </c>
      <c r="Y189" s="477" t="str">
        <f>IF($X$189="","",$Y$180)</f>
        <v/>
      </c>
      <c r="Z189" s="477" t="str">
        <f>IF($X$189="","",$Z$180)</f>
        <v/>
      </c>
      <c r="AA189" s="477" t="str">
        <f>IF($AC$189="","",ROW($A$189)-ROW($A$180))</f>
        <v/>
      </c>
      <c r="AB189" s="478"/>
      <c r="AC189" s="34"/>
      <c r="AD189" s="356"/>
      <c r="AE189" s="479"/>
      <c r="AF189" s="475"/>
      <c r="AG189" s="480" t="str">
        <f t="shared" si="40"/>
        <v/>
      </c>
      <c r="AH189" s="481" t="str">
        <f t="shared" si="41"/>
        <v/>
      </c>
      <c r="AI189" s="477" t="str">
        <f>IF($AC$189="","",IFERROR(INDEX($AZ$74:$AZ$119,MATCH($AH$189,$AY$74:$AY$119,0)),"AUTRE"))</f>
        <v/>
      </c>
      <c r="AJ189" s="482" t="str">
        <f>IF($AC$189="","",IFERROR(INDEX($BA$74:$BA$119,MATCH($AH$189,$AY$74:$AY$119,0)),1))</f>
        <v/>
      </c>
      <c r="AK189" s="482" t="str">
        <f t="shared" si="42"/>
        <v/>
      </c>
      <c r="AL189" s="477" t="str">
        <f>IF($AC$189="","",IFERROR(INDEX($BB$74:$BB$119,MATCH($AH$189,$AY$74:$AY$119,0)),$AH$189))</f>
        <v/>
      </c>
      <c r="AM189" s="483" t="str">
        <f t="shared" si="43"/>
        <v/>
      </c>
      <c r="AN189" s="484" t="str">
        <f t="shared" si="44"/>
        <v/>
      </c>
      <c r="AO189" s="473" t="str">
        <f t="shared" si="45"/>
        <v/>
      </c>
      <c r="AP189" s="473" t="str">
        <f t="shared" si="46"/>
        <v/>
      </c>
      <c r="AQ189" s="473" t="str">
        <f t="shared" si="47"/>
        <v/>
      </c>
      <c r="AR189" s="473" t="str">
        <f t="shared" si="48"/>
        <v/>
      </c>
      <c r="AS189" s="473" t="str">
        <f t="shared" si="49"/>
        <v/>
      </c>
      <c r="AT189" s="473" t="str">
        <f t="shared" si="50"/>
        <v/>
      </c>
      <c r="AU189" s="473" t="str">
        <f t="shared" si="51"/>
        <v/>
      </c>
      <c r="AZ189" s="32" t="s">
        <v>8125</v>
      </c>
      <c r="BA189" s="34" t="s">
        <v>6127</v>
      </c>
      <c r="BB189" s="499"/>
      <c r="BC189" s="271"/>
      <c r="BD189" s="279">
        <v>1</v>
      </c>
      <c r="BE189" s="271"/>
      <c r="BF189" s="271"/>
      <c r="BG189" s="271"/>
      <c r="BH189" s="271"/>
      <c r="BI189" s="271"/>
      <c r="BJ189" s="271"/>
      <c r="BK189" s="271"/>
      <c r="BL189" s="271"/>
    </row>
    <row r="190" spans="18:64" ht="21" customHeight="1" x14ac:dyDescent="0.25">
      <c r="R190" s="34" t="s">
        <v>474</v>
      </c>
      <c r="S190" s="451"/>
      <c r="T190" s="31" t="s">
        <v>26</v>
      </c>
      <c r="V190" s="475">
        <v>4</v>
      </c>
      <c r="W190" s="475" t="str">
        <f>IF($AC$190="","",$W$180)</f>
        <v/>
      </c>
      <c r="X190" s="476" t="str">
        <f>IF($AC$190="","",$X$180)</f>
        <v/>
      </c>
      <c r="Y190" s="477" t="str">
        <f>IF($X$190="","",$Y$180)</f>
        <v/>
      </c>
      <c r="Z190" s="477" t="str">
        <f>IF($X$190="","",$Z$180)</f>
        <v/>
      </c>
      <c r="AA190" s="477" t="str">
        <f>IF($AC$190="","",ROW($A$190)-ROW($A$180))</f>
        <v/>
      </c>
      <c r="AB190" s="478"/>
      <c r="AC190" s="34"/>
      <c r="AD190" s="356"/>
      <c r="AE190" s="479"/>
      <c r="AF190" s="475"/>
      <c r="AG190" s="480" t="str">
        <f t="shared" si="40"/>
        <v/>
      </c>
      <c r="AH190" s="481" t="str">
        <f t="shared" si="41"/>
        <v/>
      </c>
      <c r="AI190" s="477" t="str">
        <f>IF($AC$190="","",IFERROR(INDEX($AZ$74:$AZ$119,MATCH($AH$190,$AY$74:$AY$119,0)),"AUTRE"))</f>
        <v/>
      </c>
      <c r="AJ190" s="482" t="str">
        <f>IF($AC$190="","",IFERROR(INDEX($BA$74:$BA$119,MATCH($AH$190,$AY$74:$AY$119,0)),1))</f>
        <v/>
      </c>
      <c r="AK190" s="482" t="str">
        <f t="shared" si="42"/>
        <v/>
      </c>
      <c r="AL190" s="477" t="str">
        <f>IF($AC$190="","",IFERROR(INDEX($BB$74:$BB$119,MATCH($AH$190,$AY$74:$AY$119,0)),$AH$190))</f>
        <v/>
      </c>
      <c r="AM190" s="483" t="str">
        <f t="shared" si="43"/>
        <v/>
      </c>
      <c r="AN190" s="484" t="str">
        <f t="shared" si="44"/>
        <v/>
      </c>
      <c r="AO190" s="473" t="str">
        <f t="shared" si="45"/>
        <v/>
      </c>
      <c r="AP190" s="473" t="str">
        <f t="shared" si="46"/>
        <v/>
      </c>
      <c r="AQ190" s="473" t="str">
        <f t="shared" si="47"/>
        <v/>
      </c>
      <c r="AR190" s="473" t="str">
        <f t="shared" si="48"/>
        <v/>
      </c>
      <c r="AS190" s="473" t="str">
        <f t="shared" si="49"/>
        <v/>
      </c>
      <c r="AT190" s="473" t="str">
        <f t="shared" si="50"/>
        <v/>
      </c>
      <c r="AU190" s="473" t="str">
        <f t="shared" si="51"/>
        <v/>
      </c>
      <c r="AZ190" s="32" t="s">
        <v>8127</v>
      </c>
      <c r="BA190" s="25" t="s">
        <v>6128</v>
      </c>
      <c r="BB190" s="499"/>
      <c r="BC190" s="271"/>
      <c r="BD190" s="279">
        <v>1</v>
      </c>
      <c r="BE190" s="271"/>
      <c r="BF190" s="271"/>
      <c r="BG190" s="271"/>
      <c r="BH190" s="271"/>
      <c r="BI190" s="271"/>
      <c r="BJ190" s="271"/>
      <c r="BK190" s="271"/>
      <c r="BL190" s="271"/>
    </row>
    <row r="191" spans="18:64" ht="21" customHeight="1" x14ac:dyDescent="0.25">
      <c r="R191" s="34" t="s">
        <v>490</v>
      </c>
      <c r="S191" s="451"/>
      <c r="T191" s="31" t="s">
        <v>27</v>
      </c>
      <c r="V191" s="475">
        <v>4</v>
      </c>
      <c r="W191" s="475" t="str">
        <f>IF($AC$191="","",$W$180)</f>
        <v/>
      </c>
      <c r="X191" s="476" t="str">
        <f>IF($AC$191="","",$X$180)</f>
        <v/>
      </c>
      <c r="Y191" s="477" t="str">
        <f>IF($X$191="","",$Y$180)</f>
        <v/>
      </c>
      <c r="Z191" s="477" t="str">
        <f>IF($X$191="","",$Z$180)</f>
        <v/>
      </c>
      <c r="AA191" s="477" t="str">
        <f>IF($AC$191="","",ROW($A$191)-ROW($A$180))</f>
        <v/>
      </c>
      <c r="AB191" s="478"/>
      <c r="AC191" s="34"/>
      <c r="AD191" s="356"/>
      <c r="AE191" s="479"/>
      <c r="AF191" s="475"/>
      <c r="AG191" s="480" t="str">
        <f t="shared" si="40"/>
        <v/>
      </c>
      <c r="AH191" s="481" t="str">
        <f t="shared" si="41"/>
        <v/>
      </c>
      <c r="AI191" s="477" t="str">
        <f>IF($AC$191="","",IFERROR(INDEX($AZ$74:$AZ$119,MATCH($AH$191,$AY$74:$AY$119,0)),"AUTRE"))</f>
        <v/>
      </c>
      <c r="AJ191" s="482" t="str">
        <f>IF($AC$191="","",IFERROR(INDEX($BA$74:$BA$119,MATCH($AH$191,$AY$74:$AY$119,0)),1))</f>
        <v/>
      </c>
      <c r="AK191" s="482" t="str">
        <f t="shared" si="42"/>
        <v/>
      </c>
      <c r="AL191" s="477" t="str">
        <f>IF($AC$191="","",IFERROR(INDEX($BB$74:$BB$119,MATCH($AH$191,$AY$74:$AY$119,0)),$AH$191))</f>
        <v/>
      </c>
      <c r="AM191" s="483" t="str">
        <f t="shared" si="43"/>
        <v/>
      </c>
      <c r="AN191" s="484" t="str">
        <f t="shared" si="44"/>
        <v/>
      </c>
      <c r="AO191" s="473" t="str">
        <f t="shared" si="45"/>
        <v/>
      </c>
      <c r="AP191" s="473" t="str">
        <f t="shared" si="46"/>
        <v/>
      </c>
      <c r="AQ191" s="473" t="str">
        <f t="shared" si="47"/>
        <v/>
      </c>
      <c r="AR191" s="473" t="str">
        <f t="shared" si="48"/>
        <v/>
      </c>
      <c r="AS191" s="473" t="str">
        <f t="shared" si="49"/>
        <v/>
      </c>
      <c r="AT191" s="473" t="str">
        <f t="shared" si="50"/>
        <v/>
      </c>
      <c r="AU191" s="473" t="str">
        <f t="shared" si="51"/>
        <v/>
      </c>
      <c r="AZ191" s="32" t="s">
        <v>320</v>
      </c>
      <c r="BA191" s="34" t="s">
        <v>474</v>
      </c>
      <c r="BB191" s="499"/>
      <c r="BC191" s="271"/>
      <c r="BD191" s="279">
        <v>1</v>
      </c>
      <c r="BE191" s="271"/>
      <c r="BF191" s="271"/>
      <c r="BG191" s="271"/>
      <c r="BH191" s="271"/>
      <c r="BI191" s="271"/>
      <c r="BJ191" s="271"/>
      <c r="BK191" s="271"/>
      <c r="BL191" s="271"/>
    </row>
    <row r="192" spans="18:64" ht="21" customHeight="1" x14ac:dyDescent="0.25">
      <c r="R192" s="34" t="s">
        <v>6129</v>
      </c>
      <c r="S192" s="451"/>
      <c r="T192" s="31" t="s">
        <v>28</v>
      </c>
      <c r="V192" s="475">
        <v>4</v>
      </c>
      <c r="W192" s="475" t="str">
        <f>IF($AC$192="","",$W$180)</f>
        <v/>
      </c>
      <c r="X192" s="476" t="str">
        <f>IF($AC$192="","",$X$180)</f>
        <v/>
      </c>
      <c r="Y192" s="477" t="str">
        <f>IF($X$192="","",$Y$180)</f>
        <v/>
      </c>
      <c r="Z192" s="477" t="str">
        <f>IF($X$192="","",$Z$180)</f>
        <v/>
      </c>
      <c r="AA192" s="477" t="str">
        <f>IF($AC$192="","",ROW($A$192)-ROW($A$180))</f>
        <v/>
      </c>
      <c r="AB192" s="478"/>
      <c r="AC192" s="34"/>
      <c r="AD192" s="356"/>
      <c r="AE192" s="479"/>
      <c r="AF192" s="475"/>
      <c r="AG192" s="480" t="str">
        <f t="shared" si="40"/>
        <v/>
      </c>
      <c r="AH192" s="481" t="str">
        <f t="shared" si="41"/>
        <v/>
      </c>
      <c r="AI192" s="477" t="str">
        <f>IF($AC$192="","",IFERROR(INDEX($AZ$74:$AZ$119,MATCH($AH$192,$AY$74:$AY$119,0)),"AUTRE"))</f>
        <v/>
      </c>
      <c r="AJ192" s="482" t="str">
        <f>IF($AC$192="","",IFERROR(INDEX($BA$74:$BA$119,MATCH($AH$192,$AY$74:$AY$119,0)),1))</f>
        <v/>
      </c>
      <c r="AK192" s="482" t="str">
        <f t="shared" si="42"/>
        <v/>
      </c>
      <c r="AL192" s="477" t="str">
        <f>IF($AC$192="","",IFERROR(INDEX($BB$74:$BB$119,MATCH($AH$192,$AY$74:$AY$119,0)),$AH$192))</f>
        <v/>
      </c>
      <c r="AM192" s="483" t="str">
        <f t="shared" si="43"/>
        <v/>
      </c>
      <c r="AN192" s="484" t="str">
        <f t="shared" si="44"/>
        <v/>
      </c>
      <c r="AO192" s="473" t="str">
        <f t="shared" si="45"/>
        <v/>
      </c>
      <c r="AP192" s="473" t="str">
        <f t="shared" si="46"/>
        <v/>
      </c>
      <c r="AQ192" s="473" t="str">
        <f t="shared" si="47"/>
        <v/>
      </c>
      <c r="AR192" s="473" t="str">
        <f t="shared" si="48"/>
        <v/>
      </c>
      <c r="AS192" s="473" t="str">
        <f t="shared" si="49"/>
        <v/>
      </c>
      <c r="AT192" s="473" t="str">
        <f t="shared" si="50"/>
        <v/>
      </c>
      <c r="AU192" s="473" t="str">
        <f t="shared" si="51"/>
        <v/>
      </c>
      <c r="AZ192" s="32" t="s">
        <v>318</v>
      </c>
      <c r="BA192" s="34" t="s">
        <v>490</v>
      </c>
      <c r="BB192" s="499"/>
      <c r="BC192" s="271"/>
      <c r="BD192" s="279">
        <v>1</v>
      </c>
      <c r="BE192" s="271"/>
      <c r="BF192" s="271"/>
      <c r="BG192" s="271"/>
      <c r="BH192" s="271"/>
      <c r="BI192" s="271"/>
      <c r="BJ192" s="271"/>
      <c r="BK192" s="271"/>
      <c r="BL192" s="271"/>
    </row>
    <row r="193" spans="18:64" ht="21" customHeight="1" x14ac:dyDescent="0.25">
      <c r="R193" s="34" t="s">
        <v>478</v>
      </c>
      <c r="S193" s="451"/>
      <c r="T193" s="31" t="s">
        <v>29</v>
      </c>
      <c r="V193" s="475">
        <v>4</v>
      </c>
      <c r="W193" s="475" t="str">
        <f>IF($AC$193="","",$W$180)</f>
        <v/>
      </c>
      <c r="X193" s="476" t="str">
        <f>IF($AC$193="","",$X$180)</f>
        <v/>
      </c>
      <c r="Y193" s="477" t="str">
        <f>IF($X$193="","",$Y$180)</f>
        <v/>
      </c>
      <c r="Z193" s="477" t="str">
        <f>IF($X$193="","",$Z$180)</f>
        <v/>
      </c>
      <c r="AA193" s="477" t="str">
        <f>IF($AC$193="","",ROW($A$193)-ROW($A$180))</f>
        <v/>
      </c>
      <c r="AB193" s="478"/>
      <c r="AC193" s="34"/>
      <c r="AD193" s="356"/>
      <c r="AE193" s="479"/>
      <c r="AF193" s="475"/>
      <c r="AG193" s="480" t="str">
        <f t="shared" si="40"/>
        <v/>
      </c>
      <c r="AH193" s="481" t="str">
        <f t="shared" si="41"/>
        <v/>
      </c>
      <c r="AI193" s="477" t="str">
        <f>IF($AC$193="","",IFERROR(INDEX($AZ$74:$AZ$119,MATCH($AH$193,$AY$74:$AY$119,0)),"AUTRE"))</f>
        <v/>
      </c>
      <c r="AJ193" s="482" t="str">
        <f>IF($AC$193="","",IFERROR(INDEX($BA$74:$BA$119,MATCH($AH$193,$AY$74:$AY$119,0)),1))</f>
        <v/>
      </c>
      <c r="AK193" s="482" t="str">
        <f t="shared" si="42"/>
        <v/>
      </c>
      <c r="AL193" s="477" t="str">
        <f>IF($AC$193="","",IFERROR(INDEX($BB$74:$BB$119,MATCH($AH$193,$AY$74:$AY$119,0)),$AH$193))</f>
        <v/>
      </c>
      <c r="AM193" s="483" t="str">
        <f t="shared" si="43"/>
        <v/>
      </c>
      <c r="AN193" s="484" t="str">
        <f t="shared" si="44"/>
        <v/>
      </c>
      <c r="AO193" s="473" t="str">
        <f t="shared" si="45"/>
        <v/>
      </c>
      <c r="AP193" s="473" t="str">
        <f t="shared" si="46"/>
        <v/>
      </c>
      <c r="AQ193" s="473" t="str">
        <f t="shared" si="47"/>
        <v/>
      </c>
      <c r="AR193" s="473" t="str">
        <f t="shared" si="48"/>
        <v/>
      </c>
      <c r="AS193" s="473" t="str">
        <f t="shared" si="49"/>
        <v/>
      </c>
      <c r="AT193" s="473" t="str">
        <f t="shared" si="50"/>
        <v/>
      </c>
      <c r="AU193" s="473" t="str">
        <f t="shared" si="51"/>
        <v/>
      </c>
      <c r="AZ193" s="32" t="s">
        <v>316</v>
      </c>
      <c r="BA193" s="34" t="s">
        <v>6129</v>
      </c>
      <c r="BB193" s="499"/>
      <c r="BC193" s="271"/>
      <c r="BD193" s="279">
        <v>1</v>
      </c>
      <c r="BE193" s="271"/>
      <c r="BF193" s="271"/>
      <c r="BG193" s="271"/>
      <c r="BH193" s="271"/>
      <c r="BI193" s="271"/>
      <c r="BJ193" s="271"/>
      <c r="BK193" s="271"/>
      <c r="BL193" s="271"/>
    </row>
    <row r="194" spans="18:64" ht="21" customHeight="1" x14ac:dyDescent="0.25">
      <c r="R194" s="34" t="s">
        <v>6130</v>
      </c>
      <c r="S194" s="451"/>
      <c r="T194" s="31" t="s">
        <v>30</v>
      </c>
      <c r="V194" s="475">
        <v>4</v>
      </c>
      <c r="W194" s="475" t="str">
        <f>IF($AC$194="","",$W$180)</f>
        <v/>
      </c>
      <c r="X194" s="476" t="str">
        <f>IF($AC$194="","",$X$180)</f>
        <v/>
      </c>
      <c r="Y194" s="477" t="str">
        <f>IF($X$194="","",$Y$180)</f>
        <v/>
      </c>
      <c r="Z194" s="477" t="str">
        <f>IF($X$194="","",$Z$180)</f>
        <v/>
      </c>
      <c r="AA194" s="477" t="str">
        <f>IF($AC$194="","",ROW($A$194)-ROW($A$180))</f>
        <v/>
      </c>
      <c r="AB194" s="478"/>
      <c r="AC194" s="34"/>
      <c r="AD194" s="356"/>
      <c r="AE194" s="479"/>
      <c r="AF194" s="475"/>
      <c r="AG194" s="480" t="str">
        <f t="shared" si="40"/>
        <v/>
      </c>
      <c r="AH194" s="481" t="str">
        <f t="shared" si="41"/>
        <v/>
      </c>
      <c r="AI194" s="477" t="str">
        <f>IF($AC$194="","",IFERROR(INDEX($AZ$74:$AZ$119,MATCH($AH$194,$AY$74:$AY$119,0)),"AUTRE"))</f>
        <v/>
      </c>
      <c r="AJ194" s="482" t="str">
        <f>IF($AC$194="","",IFERROR(INDEX($BA$74:$BA$119,MATCH($AH$194,$AY$74:$AY$119,0)),1))</f>
        <v/>
      </c>
      <c r="AK194" s="482" t="str">
        <f t="shared" si="42"/>
        <v/>
      </c>
      <c r="AL194" s="477" t="str">
        <f>IF($AC$194="","",IFERROR(INDEX($BB$74:$BB$119,MATCH($AH$194,$AY$74:$AY$119,0)),$AH$194))</f>
        <v/>
      </c>
      <c r="AM194" s="483" t="str">
        <f t="shared" si="43"/>
        <v/>
      </c>
      <c r="AN194" s="484" t="str">
        <f t="shared" si="44"/>
        <v/>
      </c>
      <c r="AO194" s="473" t="str">
        <f t="shared" si="45"/>
        <v/>
      </c>
      <c r="AP194" s="473" t="str">
        <f t="shared" si="46"/>
        <v/>
      </c>
      <c r="AQ194" s="473" t="str">
        <f t="shared" si="47"/>
        <v/>
      </c>
      <c r="AR194" s="473" t="str">
        <f t="shared" si="48"/>
        <v/>
      </c>
      <c r="AS194" s="473" t="str">
        <f t="shared" si="49"/>
        <v/>
      </c>
      <c r="AT194" s="473" t="str">
        <f t="shared" si="50"/>
        <v/>
      </c>
      <c r="AU194" s="473" t="str">
        <f t="shared" si="51"/>
        <v/>
      </c>
      <c r="AZ194" s="32" t="s">
        <v>313</v>
      </c>
      <c r="BA194" s="34" t="s">
        <v>478</v>
      </c>
      <c r="BB194" s="499"/>
      <c r="BC194" s="271"/>
      <c r="BD194" s="279">
        <v>1</v>
      </c>
      <c r="BE194" s="271"/>
      <c r="BF194" s="271"/>
      <c r="BG194" s="271"/>
      <c r="BH194" s="271"/>
      <c r="BI194" s="271"/>
      <c r="BJ194" s="271"/>
      <c r="BK194" s="271"/>
      <c r="BL194" s="271"/>
    </row>
    <row r="195" spans="18:64" ht="21" customHeight="1" x14ac:dyDescent="0.25">
      <c r="R195" s="34" t="s">
        <v>486</v>
      </c>
      <c r="S195" s="451"/>
      <c r="T195" s="31" t="s">
        <v>31</v>
      </c>
      <c r="V195" s="475">
        <v>4</v>
      </c>
      <c r="W195" s="475" t="str">
        <f>IF($AC$195="","",$W$180)</f>
        <v/>
      </c>
      <c r="X195" s="476" t="str">
        <f>IF($AC$195="","",$X$180)</f>
        <v/>
      </c>
      <c r="Y195" s="477" t="str">
        <f>IF($X$195="","",$Y$180)</f>
        <v/>
      </c>
      <c r="Z195" s="477" t="str">
        <f>IF($X$195="","",$Z$180)</f>
        <v/>
      </c>
      <c r="AA195" s="477" t="str">
        <f>IF($AC$195="","",ROW($A$195)-ROW($A$180))</f>
        <v/>
      </c>
      <c r="AB195" s="478"/>
      <c r="AC195" s="34"/>
      <c r="AD195" s="356"/>
      <c r="AE195" s="479"/>
      <c r="AF195" s="475"/>
      <c r="AG195" s="480" t="str">
        <f t="shared" si="40"/>
        <v/>
      </c>
      <c r="AH195" s="481" t="str">
        <f t="shared" si="41"/>
        <v/>
      </c>
      <c r="AI195" s="477" t="str">
        <f>IF($AC$195="","",IFERROR(INDEX($AZ$74:$AZ$119,MATCH($AH$195,$AY$74:$AY$119,0)),"AUTRE"))</f>
        <v/>
      </c>
      <c r="AJ195" s="482" t="str">
        <f>IF($AC$195="","",IFERROR(INDEX($BA$74:$BA$119,MATCH($AH$195,$AY$74:$AY$119,0)),1))</f>
        <v/>
      </c>
      <c r="AK195" s="482" t="str">
        <f t="shared" si="42"/>
        <v/>
      </c>
      <c r="AL195" s="477" t="str">
        <f>IF($AC$195="","",IFERROR(INDEX($BB$74:$BB$119,MATCH($AH$195,$AY$74:$AY$119,0)),$AH$195))</f>
        <v/>
      </c>
      <c r="AM195" s="483" t="str">
        <f t="shared" si="43"/>
        <v/>
      </c>
      <c r="AN195" s="484" t="str">
        <f t="shared" si="44"/>
        <v/>
      </c>
      <c r="AO195" s="473" t="str">
        <f t="shared" si="45"/>
        <v/>
      </c>
      <c r="AP195" s="473" t="str">
        <f t="shared" si="46"/>
        <v/>
      </c>
      <c r="AQ195" s="473" t="str">
        <f t="shared" si="47"/>
        <v/>
      </c>
      <c r="AR195" s="473" t="str">
        <f t="shared" si="48"/>
        <v/>
      </c>
      <c r="AS195" s="473" t="str">
        <f t="shared" si="49"/>
        <v/>
      </c>
      <c r="AT195" s="473" t="str">
        <f t="shared" si="50"/>
        <v/>
      </c>
      <c r="AU195" s="473" t="str">
        <f t="shared" si="51"/>
        <v/>
      </c>
      <c r="AZ195" s="32" t="s">
        <v>307</v>
      </c>
      <c r="BA195" s="34" t="s">
        <v>6130</v>
      </c>
      <c r="BB195" s="499"/>
      <c r="BC195" s="271"/>
      <c r="BD195" s="279">
        <v>1</v>
      </c>
      <c r="BE195" s="271"/>
      <c r="BF195" s="271"/>
      <c r="BG195" s="271"/>
      <c r="BH195" s="271"/>
      <c r="BI195" s="271"/>
      <c r="BJ195" s="271"/>
      <c r="BK195" s="271"/>
      <c r="BL195" s="271"/>
    </row>
    <row r="196" spans="18:64" ht="21" customHeight="1" x14ac:dyDescent="0.25">
      <c r="R196" s="34" t="s">
        <v>479</v>
      </c>
      <c r="S196" s="451"/>
      <c r="T196" s="32" t="s">
        <v>33</v>
      </c>
      <c r="V196" s="475">
        <v>4</v>
      </c>
      <c r="W196" s="475" t="str">
        <f>IF($AC$196="","",$W$180)</f>
        <v/>
      </c>
      <c r="X196" s="476" t="str">
        <f>IF($AC$196="","",$X$180)</f>
        <v/>
      </c>
      <c r="Y196" s="477" t="str">
        <f>IF($X$196="","",$Y$180)</f>
        <v/>
      </c>
      <c r="Z196" s="477" t="str">
        <f>IF($X$196="","",$Z$180)</f>
        <v/>
      </c>
      <c r="AA196" s="477" t="str">
        <f>IF($AC$196="","",ROW($A$196)-ROW($A$180))</f>
        <v/>
      </c>
      <c r="AB196" s="478"/>
      <c r="AC196" s="34"/>
      <c r="AD196" s="356"/>
      <c r="AE196" s="479"/>
      <c r="AF196" s="475"/>
      <c r="AG196" s="480" t="str">
        <f t="shared" si="40"/>
        <v/>
      </c>
      <c r="AH196" s="481" t="str">
        <f t="shared" si="41"/>
        <v/>
      </c>
      <c r="AI196" s="477" t="str">
        <f>IF($AC$196="","",IFERROR(INDEX($AZ$74:$AZ$119,MATCH($AH$196,$AY$74:$AY$119,0)),"AUTRE"))</f>
        <v/>
      </c>
      <c r="AJ196" s="482" t="str">
        <f>IF($AC$196="","",IFERROR(INDEX($BA$74:$BA$119,MATCH($AH$196,$AY$74:$AY$119,0)),1))</f>
        <v/>
      </c>
      <c r="AK196" s="482" t="str">
        <f t="shared" si="42"/>
        <v/>
      </c>
      <c r="AL196" s="477" t="str">
        <f>IF($AC$196="","",IFERROR(INDEX($BB$74:$BB$119,MATCH($AH$196,$AY$74:$AY$119,0)),$AH$196))</f>
        <v/>
      </c>
      <c r="AM196" s="483" t="str">
        <f t="shared" si="43"/>
        <v/>
      </c>
      <c r="AN196" s="484" t="str">
        <f t="shared" si="44"/>
        <v/>
      </c>
      <c r="AO196" s="473" t="str">
        <f t="shared" si="45"/>
        <v/>
      </c>
      <c r="AP196" s="473" t="str">
        <f t="shared" si="46"/>
        <v/>
      </c>
      <c r="AQ196" s="473" t="str">
        <f t="shared" si="47"/>
        <v/>
      </c>
      <c r="AR196" s="473" t="str">
        <f t="shared" si="48"/>
        <v/>
      </c>
      <c r="AS196" s="473" t="str">
        <f t="shared" si="49"/>
        <v/>
      </c>
      <c r="AT196" s="473" t="str">
        <f t="shared" si="50"/>
        <v/>
      </c>
      <c r="AU196" s="473" t="str">
        <f t="shared" si="51"/>
        <v/>
      </c>
      <c r="AZ196" s="32" t="s">
        <v>322</v>
      </c>
      <c r="BA196" s="34" t="s">
        <v>486</v>
      </c>
      <c r="BB196" s="499"/>
      <c r="BC196" s="271"/>
      <c r="BD196" s="279">
        <v>1</v>
      </c>
      <c r="BE196" s="271"/>
      <c r="BF196" s="271"/>
      <c r="BG196" s="271"/>
      <c r="BH196" s="271"/>
      <c r="BI196" s="271"/>
      <c r="BJ196" s="271"/>
      <c r="BK196" s="271"/>
      <c r="BL196" s="271"/>
    </row>
    <row r="197" spans="18:64" ht="21" customHeight="1" x14ac:dyDescent="0.25">
      <c r="R197" s="34" t="s">
        <v>6131</v>
      </c>
      <c r="S197" s="451"/>
      <c r="T197" s="32" t="s">
        <v>8125</v>
      </c>
      <c r="V197" s="475">
        <v>4</v>
      </c>
      <c r="W197" s="475" t="str">
        <f>IF($AC$197="","",$W$180)</f>
        <v/>
      </c>
      <c r="X197" s="476" t="str">
        <f>IF($AC$197="","",$X$180)</f>
        <v/>
      </c>
      <c r="Y197" s="477" t="str">
        <f>IF($X$197="","",$Y$180)</f>
        <v/>
      </c>
      <c r="Z197" s="477" t="str">
        <f>IF($X$197="","",$Z$180)</f>
        <v/>
      </c>
      <c r="AA197" s="477" t="str">
        <f>IF($AC$197="","",ROW($A$197)-ROW($A$180))</f>
        <v/>
      </c>
      <c r="AB197" s="478"/>
      <c r="AC197" s="34"/>
      <c r="AD197" s="356"/>
      <c r="AE197" s="479"/>
      <c r="AF197" s="475"/>
      <c r="AG197" s="480" t="str">
        <f t="shared" si="40"/>
        <v/>
      </c>
      <c r="AH197" s="481" t="str">
        <f t="shared" si="41"/>
        <v/>
      </c>
      <c r="AI197" s="477" t="str">
        <f>IF($AC$197="","",IFERROR(INDEX($AZ$74:$AZ$119,MATCH($AH$197,$AY$74:$AY$119,0)),"AUTRE"))</f>
        <v/>
      </c>
      <c r="AJ197" s="482" t="str">
        <f>IF($AC$197="","",IFERROR(INDEX($BA$74:$BA$119,MATCH($AH$197,$AY$74:$AY$119,0)),1))</f>
        <v/>
      </c>
      <c r="AK197" s="482" t="str">
        <f t="shared" si="42"/>
        <v/>
      </c>
      <c r="AL197" s="477" t="str">
        <f>IF($AC$197="","",IFERROR(INDEX($BB$74:$BB$119,MATCH($AH$197,$AY$74:$AY$119,0)),$AH$197))</f>
        <v/>
      </c>
      <c r="AM197" s="483" t="str">
        <f t="shared" si="43"/>
        <v/>
      </c>
      <c r="AN197" s="484" t="str">
        <f t="shared" si="44"/>
        <v/>
      </c>
      <c r="AO197" s="473" t="str">
        <f t="shared" si="45"/>
        <v/>
      </c>
      <c r="AP197" s="473" t="str">
        <f t="shared" si="46"/>
        <v/>
      </c>
      <c r="AQ197" s="473" t="str">
        <f t="shared" si="47"/>
        <v/>
      </c>
      <c r="AR197" s="473" t="str">
        <f t="shared" si="48"/>
        <v/>
      </c>
      <c r="AS197" s="473" t="str">
        <f t="shared" si="49"/>
        <v/>
      </c>
      <c r="AT197" s="473" t="str">
        <f t="shared" si="50"/>
        <v/>
      </c>
      <c r="AU197" s="473" t="str">
        <f t="shared" si="51"/>
        <v/>
      </c>
      <c r="AZ197" s="32" t="s">
        <v>305</v>
      </c>
      <c r="BA197" s="34" t="s">
        <v>479</v>
      </c>
      <c r="BB197" s="499"/>
      <c r="BC197" s="271"/>
      <c r="BD197" s="279">
        <v>1</v>
      </c>
      <c r="BE197" s="271"/>
      <c r="BF197" s="271"/>
      <c r="BG197" s="271"/>
      <c r="BH197" s="271"/>
      <c r="BI197" s="271"/>
      <c r="BJ197" s="271"/>
      <c r="BK197" s="271"/>
      <c r="BL197" s="271"/>
    </row>
    <row r="198" spans="18:64" ht="21" customHeight="1" x14ac:dyDescent="0.25">
      <c r="R198" s="34" t="s">
        <v>485</v>
      </c>
      <c r="S198" s="451"/>
      <c r="T198" s="32" t="s">
        <v>8127</v>
      </c>
      <c r="V198" s="475">
        <v>4</v>
      </c>
      <c r="W198" s="475" t="str">
        <f>IF($AC$198="","",$W$180)</f>
        <v/>
      </c>
      <c r="X198" s="476" t="str">
        <f>IF($AC$198="","",$X$180)</f>
        <v/>
      </c>
      <c r="Y198" s="477" t="str">
        <f>IF($X$198="","",$Y$180)</f>
        <v/>
      </c>
      <c r="Z198" s="477" t="str">
        <f>IF($X$198="","",$Z$180)</f>
        <v/>
      </c>
      <c r="AA198" s="477" t="str">
        <f>IF($AC$198="","",ROW($A$198)-ROW($A$180))</f>
        <v/>
      </c>
      <c r="AB198" s="478"/>
      <c r="AC198" s="34"/>
      <c r="AD198" s="356"/>
      <c r="AE198" s="479"/>
      <c r="AF198" s="475"/>
      <c r="AG198" s="480" t="str">
        <f t="shared" si="40"/>
        <v/>
      </c>
      <c r="AH198" s="481" t="str">
        <f t="shared" si="41"/>
        <v/>
      </c>
      <c r="AI198" s="477" t="str">
        <f>IF($AC$198="","",IFERROR(INDEX($AZ$74:$AZ$119,MATCH($AH$198,$AY$74:$AY$119,0)),"AUTRE"))</f>
        <v/>
      </c>
      <c r="AJ198" s="482" t="str">
        <f>IF($AC$198="","",IFERROR(INDEX($BA$74:$BA$119,MATCH($AH$198,$AY$74:$AY$119,0)),1))</f>
        <v/>
      </c>
      <c r="AK198" s="482" t="str">
        <f t="shared" si="42"/>
        <v/>
      </c>
      <c r="AL198" s="477" t="str">
        <f>IF($AC$198="","",IFERROR(INDEX($BB$74:$BB$119,MATCH($AH$198,$AY$74:$AY$119,0)),$AH$198))</f>
        <v/>
      </c>
      <c r="AM198" s="483" t="str">
        <f t="shared" si="43"/>
        <v/>
      </c>
      <c r="AN198" s="484" t="str">
        <f t="shared" si="44"/>
        <v/>
      </c>
      <c r="AO198" s="473" t="str">
        <f t="shared" si="45"/>
        <v/>
      </c>
      <c r="AP198" s="473" t="str">
        <f t="shared" si="46"/>
        <v/>
      </c>
      <c r="AQ198" s="473" t="str">
        <f t="shared" si="47"/>
        <v/>
      </c>
      <c r="AR198" s="473" t="str">
        <f t="shared" si="48"/>
        <v/>
      </c>
      <c r="AS198" s="473" t="str">
        <f t="shared" si="49"/>
        <v/>
      </c>
      <c r="AT198" s="473" t="str">
        <f t="shared" si="50"/>
        <v/>
      </c>
      <c r="AU198" s="473" t="str">
        <f t="shared" si="51"/>
        <v/>
      </c>
      <c r="AZ198" s="32" t="s">
        <v>8129</v>
      </c>
      <c r="BA198" s="34" t="s">
        <v>6131</v>
      </c>
      <c r="BB198" s="499"/>
      <c r="BC198" s="271"/>
      <c r="BD198" s="279">
        <v>1</v>
      </c>
      <c r="BE198" s="271"/>
      <c r="BF198" s="271"/>
      <c r="BG198" s="271"/>
      <c r="BH198" s="271"/>
      <c r="BI198" s="271"/>
      <c r="BJ198" s="271"/>
      <c r="BK198" s="271"/>
      <c r="BL198" s="271"/>
    </row>
    <row r="199" spans="18:64" ht="21" customHeight="1" x14ac:dyDescent="0.25">
      <c r="R199" s="34" t="s">
        <v>6132</v>
      </c>
      <c r="S199" s="451"/>
      <c r="T199" s="32" t="s">
        <v>320</v>
      </c>
      <c r="V199" s="475">
        <v>4</v>
      </c>
      <c r="W199" s="475" t="str">
        <f>IF($AC$199="","",$W$180)</f>
        <v/>
      </c>
      <c r="X199" s="476" t="str">
        <f>IF($AC$199="","",$X$180)</f>
        <v/>
      </c>
      <c r="Y199" s="477" t="str">
        <f>IF($X$199="","",$Y$180)</f>
        <v/>
      </c>
      <c r="Z199" s="477" t="str">
        <f>IF($X$199="","",$Z$180)</f>
        <v/>
      </c>
      <c r="AA199" s="477" t="str">
        <f>IF($AC$199="","",ROW($A$199)-ROW($A$180))</f>
        <v/>
      </c>
      <c r="AB199" s="478"/>
      <c r="AC199" s="34"/>
      <c r="AD199" s="356"/>
      <c r="AE199" s="479"/>
      <c r="AF199" s="475"/>
      <c r="AG199" s="480" t="str">
        <f t="shared" si="40"/>
        <v/>
      </c>
      <c r="AH199" s="481" t="str">
        <f t="shared" si="41"/>
        <v/>
      </c>
      <c r="AI199" s="477" t="str">
        <f>IF($AC$199="","",IFERROR(INDEX($AZ$74:$AZ$119,MATCH($AH$199,$AY$74:$AY$119,0)),"AUTRE"))</f>
        <v/>
      </c>
      <c r="AJ199" s="482" t="str">
        <f>IF($AC$199="","",IFERROR(INDEX($BA$74:$BA$119,MATCH($AH$199,$AY$74:$AY$119,0)),1))</f>
        <v/>
      </c>
      <c r="AK199" s="482" t="str">
        <f t="shared" si="42"/>
        <v/>
      </c>
      <c r="AL199" s="477" t="str">
        <f>IF($AC$199="","",IFERROR(INDEX($BB$74:$BB$119,MATCH($AH$199,$AY$74:$AY$119,0)),$AH$199))</f>
        <v/>
      </c>
      <c r="AM199" s="483" t="str">
        <f t="shared" si="43"/>
        <v/>
      </c>
      <c r="AN199" s="484" t="str">
        <f t="shared" si="44"/>
        <v/>
      </c>
      <c r="AO199" s="473" t="str">
        <f t="shared" si="45"/>
        <v/>
      </c>
      <c r="AP199" s="473" t="str">
        <f t="shared" si="46"/>
        <v/>
      </c>
      <c r="AQ199" s="473" t="str">
        <f t="shared" si="47"/>
        <v/>
      </c>
      <c r="AR199" s="473" t="str">
        <f t="shared" si="48"/>
        <v/>
      </c>
      <c r="AS199" s="473" t="str">
        <f t="shared" si="49"/>
        <v/>
      </c>
      <c r="AT199" s="473" t="str">
        <f t="shared" si="50"/>
        <v/>
      </c>
      <c r="AU199" s="473" t="str">
        <f t="shared" si="51"/>
        <v/>
      </c>
      <c r="AZ199" s="32" t="s">
        <v>8131</v>
      </c>
      <c r="BA199" s="34" t="s">
        <v>485</v>
      </c>
      <c r="BB199" s="499"/>
      <c r="BC199" s="271"/>
      <c r="BD199" s="279">
        <v>1</v>
      </c>
      <c r="BE199" s="271"/>
      <c r="BF199" s="271"/>
      <c r="BG199" s="271"/>
      <c r="BH199" s="271"/>
      <c r="BI199" s="271"/>
      <c r="BJ199" s="271"/>
      <c r="BK199" s="271"/>
      <c r="BL199" s="271"/>
    </row>
    <row r="200" spans="18:64" ht="21" customHeight="1" x14ac:dyDescent="0.25">
      <c r="R200" s="25" t="s">
        <v>6133</v>
      </c>
      <c r="S200" s="451"/>
      <c r="T200" s="32" t="s">
        <v>318</v>
      </c>
      <c r="V200" s="475">
        <v>4</v>
      </c>
      <c r="W200" s="475" t="str">
        <f>IF($AC$200="","",$W$180)</f>
        <v/>
      </c>
      <c r="X200" s="476" t="str">
        <f>IF($AC$200="","",$X$180)</f>
        <v/>
      </c>
      <c r="Y200" s="477" t="str">
        <f>IF($X$200="","",$Y$180)</f>
        <v/>
      </c>
      <c r="Z200" s="477" t="str">
        <f>IF($X$200="","",$Z$180)</f>
        <v/>
      </c>
      <c r="AA200" s="477" t="str">
        <f>IF($AC$200="","",ROW($A$200)-ROW($A$180))</f>
        <v/>
      </c>
      <c r="AB200" s="478"/>
      <c r="AC200" s="34"/>
      <c r="AD200" s="356"/>
      <c r="AE200" s="479"/>
      <c r="AF200" s="475"/>
      <c r="AG200" s="480" t="str">
        <f t="shared" si="40"/>
        <v/>
      </c>
      <c r="AH200" s="481" t="str">
        <f t="shared" si="41"/>
        <v/>
      </c>
      <c r="AI200" s="477" t="str">
        <f>IF($AC$200="","",IFERROR(INDEX($AZ$74:$AZ$119,MATCH($AH$200,$AY$74:$AY$119,0)),"AUTRE"))</f>
        <v/>
      </c>
      <c r="AJ200" s="482" t="str">
        <f>IF($AC$200="","",IFERROR(INDEX($BA$74:$BA$119,MATCH($AH$200,$AY$74:$AY$119,0)),1))</f>
        <v/>
      </c>
      <c r="AK200" s="482" t="str">
        <f t="shared" si="42"/>
        <v/>
      </c>
      <c r="AL200" s="477" t="str">
        <f>IF($AC$200="","",IFERROR(INDEX($BB$74:$BB$119,MATCH($AH$200,$AY$74:$AY$119,0)),$AH$200))</f>
        <v/>
      </c>
      <c r="AM200" s="483" t="str">
        <f t="shared" si="43"/>
        <v/>
      </c>
      <c r="AN200" s="484" t="str">
        <f t="shared" si="44"/>
        <v/>
      </c>
      <c r="AO200" s="473" t="str">
        <f t="shared" si="45"/>
        <v/>
      </c>
      <c r="AP200" s="473" t="str">
        <f t="shared" si="46"/>
        <v/>
      </c>
      <c r="AQ200" s="473" t="str">
        <f t="shared" si="47"/>
        <v/>
      </c>
      <c r="AR200" s="473" t="str">
        <f t="shared" si="48"/>
        <v/>
      </c>
      <c r="AS200" s="473" t="str">
        <f t="shared" si="49"/>
        <v/>
      </c>
      <c r="AT200" s="473" t="str">
        <f t="shared" si="50"/>
        <v/>
      </c>
      <c r="AU200" s="473" t="str">
        <f t="shared" si="51"/>
        <v/>
      </c>
      <c r="AZ200" s="32" t="s">
        <v>309</v>
      </c>
      <c r="BA200" s="34" t="s">
        <v>6132</v>
      </c>
      <c r="BB200" s="499"/>
      <c r="BC200" s="271"/>
      <c r="BD200" s="279">
        <v>1</v>
      </c>
      <c r="BE200" s="271"/>
      <c r="BF200" s="271"/>
      <c r="BG200" s="271"/>
      <c r="BH200" s="271"/>
      <c r="BI200" s="271"/>
      <c r="BJ200" s="271"/>
      <c r="BK200" s="271"/>
      <c r="BL200" s="271"/>
    </row>
    <row r="201" spans="18:64" ht="21" customHeight="1" x14ac:dyDescent="0.25">
      <c r="R201" s="34" t="s">
        <v>476</v>
      </c>
      <c r="S201" s="451"/>
      <c r="T201" s="32" t="s">
        <v>316</v>
      </c>
      <c r="V201" s="475">
        <v>4</v>
      </c>
      <c r="W201" s="475" t="str">
        <f>IF($AC$201="","",$W$180)</f>
        <v/>
      </c>
      <c r="X201" s="476" t="str">
        <f>IF($AC$201="","",$X$180)</f>
        <v/>
      </c>
      <c r="Y201" s="477" t="str">
        <f>IF($X$201="","",$Y$180)</f>
        <v/>
      </c>
      <c r="Z201" s="477" t="str">
        <f>IF($X$201="","",$Z$180)</f>
        <v/>
      </c>
      <c r="AA201" s="477" t="str">
        <f>IF($AC$201="","",ROW($A$201)-ROW($A$180))</f>
        <v/>
      </c>
      <c r="AB201" s="478"/>
      <c r="AC201" s="34"/>
      <c r="AD201" s="356"/>
      <c r="AE201" s="479"/>
      <c r="AF201" s="475"/>
      <c r="AG201" s="480" t="str">
        <f t="shared" si="40"/>
        <v/>
      </c>
      <c r="AH201" s="481" t="str">
        <f t="shared" si="41"/>
        <v/>
      </c>
      <c r="AI201" s="477" t="str">
        <f>IF($AC$201="","",IFERROR(INDEX($AZ$74:$AZ$119,MATCH($AH$201,$AY$74:$AY$119,0)),"AUTRE"))</f>
        <v/>
      </c>
      <c r="AJ201" s="482" t="str">
        <f>IF($AC$201="","",IFERROR(INDEX($BA$74:$BA$119,MATCH($AH$201,$AY$74:$AY$119,0)),1))</f>
        <v/>
      </c>
      <c r="AK201" s="482" t="str">
        <f t="shared" si="42"/>
        <v/>
      </c>
      <c r="AL201" s="477" t="str">
        <f>IF($AC$201="","",IFERROR(INDEX($BB$74:$BB$119,MATCH($AH$201,$AY$74:$AY$119,0)),$AH$201))</f>
        <v/>
      </c>
      <c r="AM201" s="483" t="str">
        <f t="shared" si="43"/>
        <v/>
      </c>
      <c r="AN201" s="484" t="str">
        <f t="shared" si="44"/>
        <v/>
      </c>
      <c r="AO201" s="473" t="str">
        <f t="shared" si="45"/>
        <v/>
      </c>
      <c r="AP201" s="473" t="str">
        <f t="shared" si="46"/>
        <v/>
      </c>
      <c r="AQ201" s="473" t="str">
        <f t="shared" si="47"/>
        <v/>
      </c>
      <c r="AR201" s="473" t="str">
        <f t="shared" si="48"/>
        <v/>
      </c>
      <c r="AS201" s="473" t="str">
        <f t="shared" si="49"/>
        <v/>
      </c>
      <c r="AT201" s="473" t="str">
        <f t="shared" si="50"/>
        <v/>
      </c>
      <c r="AU201" s="473" t="str">
        <f t="shared" si="51"/>
        <v/>
      </c>
      <c r="AZ201" s="32" t="s">
        <v>311</v>
      </c>
      <c r="BA201" s="25" t="s">
        <v>6133</v>
      </c>
      <c r="BB201" s="499"/>
      <c r="BC201" s="271"/>
      <c r="BD201" s="279">
        <v>1</v>
      </c>
      <c r="BE201" s="271"/>
      <c r="BF201" s="271"/>
      <c r="BG201" s="271"/>
      <c r="BH201" s="271"/>
      <c r="BI201" s="271"/>
      <c r="BJ201" s="271"/>
      <c r="BK201" s="271"/>
      <c r="BL201" s="271"/>
    </row>
    <row r="202" spans="18:64" ht="21" customHeight="1" x14ac:dyDescent="0.25">
      <c r="R202" s="34" t="s">
        <v>468</v>
      </c>
      <c r="S202" s="451"/>
      <c r="T202" s="32" t="s">
        <v>313</v>
      </c>
      <c r="V202" s="475">
        <v>4</v>
      </c>
      <c r="W202" s="475" t="str">
        <f>IF($AC$202="","",$W$180)</f>
        <v/>
      </c>
      <c r="X202" s="476" t="str">
        <f>IF($AC$202="","",$X$180)</f>
        <v/>
      </c>
      <c r="Y202" s="477" t="str">
        <f>IF($X$202="","",$Y$180)</f>
        <v/>
      </c>
      <c r="Z202" s="477" t="str">
        <f>IF($X$202="","",$Z$180)</f>
        <v/>
      </c>
      <c r="AA202" s="477" t="str">
        <f>IF($AC$202="","",ROW($A$202)-ROW($A$180))</f>
        <v/>
      </c>
      <c r="AB202" s="478"/>
      <c r="AC202" s="34"/>
      <c r="AD202" s="356"/>
      <c r="AE202" s="479"/>
      <c r="AF202" s="475"/>
      <c r="AG202" s="480" t="str">
        <f t="shared" si="40"/>
        <v/>
      </c>
      <c r="AH202" s="481" t="str">
        <f t="shared" si="41"/>
        <v/>
      </c>
      <c r="AI202" s="477" t="str">
        <f>IF($AC$202="","",IFERROR(INDEX($AZ$74:$AZ$119,MATCH($AH$202,$AY$74:$AY$119,0)),"AUTRE"))</f>
        <v/>
      </c>
      <c r="AJ202" s="482" t="str">
        <f>IF($AC$202="","",IFERROR(INDEX($BA$74:$BA$119,MATCH($AH$202,$AY$74:$AY$119,0)),1))</f>
        <v/>
      </c>
      <c r="AK202" s="482" t="str">
        <f t="shared" si="42"/>
        <v/>
      </c>
      <c r="AL202" s="477" t="str">
        <f>IF($AC$202="","",IFERROR(INDEX($BB$74:$BB$119,MATCH($AH$202,$AY$74:$AY$119,0)),$AH$202))</f>
        <v/>
      </c>
      <c r="AM202" s="483" t="str">
        <f t="shared" si="43"/>
        <v/>
      </c>
      <c r="AN202" s="484" t="str">
        <f t="shared" si="44"/>
        <v/>
      </c>
      <c r="AO202" s="473" t="str">
        <f t="shared" si="45"/>
        <v/>
      </c>
      <c r="AP202" s="473" t="str">
        <f t="shared" si="46"/>
        <v/>
      </c>
      <c r="AQ202" s="473" t="str">
        <f t="shared" si="47"/>
        <v/>
      </c>
      <c r="AR202" s="473" t="str">
        <f t="shared" si="48"/>
        <v/>
      </c>
      <c r="AS202" s="473" t="str">
        <f t="shared" si="49"/>
        <v/>
      </c>
      <c r="AT202" s="473" t="str">
        <f t="shared" si="50"/>
        <v/>
      </c>
      <c r="AU202" s="473" t="str">
        <f t="shared" si="51"/>
        <v/>
      </c>
      <c r="AZ202" s="32" t="s">
        <v>8135</v>
      </c>
      <c r="BA202" s="34" t="s">
        <v>476</v>
      </c>
      <c r="BB202" s="499"/>
      <c r="BC202" s="271"/>
      <c r="BD202" s="279">
        <v>1</v>
      </c>
      <c r="BE202" s="271"/>
      <c r="BF202" s="271"/>
      <c r="BG202" s="271"/>
      <c r="BH202" s="271"/>
      <c r="BI202" s="271"/>
      <c r="BJ202" s="271"/>
      <c r="BK202" s="271"/>
      <c r="BL202" s="271"/>
    </row>
    <row r="203" spans="18:64" ht="21" customHeight="1" x14ac:dyDescent="0.25">
      <c r="R203" s="34" t="s">
        <v>473</v>
      </c>
      <c r="S203" s="451"/>
      <c r="T203" s="32" t="s">
        <v>307</v>
      </c>
      <c r="V203" s="475">
        <v>4</v>
      </c>
      <c r="W203" s="475" t="str">
        <f>IF($AC$203="","",$W$180)</f>
        <v/>
      </c>
      <c r="X203" s="476" t="str">
        <f>IF($AC$203="","",$X$180)</f>
        <v/>
      </c>
      <c r="Y203" s="477" t="str">
        <f>IF($X$203="","",$Y$180)</f>
        <v/>
      </c>
      <c r="Z203" s="477" t="str">
        <f>IF($X$203="","",$Z$180)</f>
        <v/>
      </c>
      <c r="AA203" s="477" t="str">
        <f>IF($AC$203="","",ROW($A$203)-ROW($A$180))</f>
        <v/>
      </c>
      <c r="AB203" s="478"/>
      <c r="AC203" s="34"/>
      <c r="AD203" s="356"/>
      <c r="AE203" s="479"/>
      <c r="AF203" s="475"/>
      <c r="AG203" s="480" t="str">
        <f t="shared" si="40"/>
        <v/>
      </c>
      <c r="AH203" s="481" t="str">
        <f t="shared" si="41"/>
        <v/>
      </c>
      <c r="AI203" s="477" t="str">
        <f>IF($AC$203="","",IFERROR(INDEX($AZ$74:$AZ$119,MATCH($AH$203,$AY$74:$AY$119,0)),"AUTRE"))</f>
        <v/>
      </c>
      <c r="AJ203" s="482" t="str">
        <f>IF($AC$203="","",IFERROR(INDEX($BA$74:$BA$119,MATCH($AH$203,$AY$74:$AY$119,0)),1))</f>
        <v/>
      </c>
      <c r="AK203" s="482" t="str">
        <f t="shared" si="42"/>
        <v/>
      </c>
      <c r="AL203" s="477" t="str">
        <f>IF($AC$203="","",IFERROR(INDEX($BB$74:$BB$119,MATCH($AH$203,$AY$74:$AY$119,0)),$AH$203))</f>
        <v/>
      </c>
      <c r="AM203" s="483" t="str">
        <f t="shared" si="43"/>
        <v/>
      </c>
      <c r="AN203" s="484" t="str">
        <f t="shared" si="44"/>
        <v/>
      </c>
      <c r="AO203" s="473" t="str">
        <f t="shared" si="45"/>
        <v/>
      </c>
      <c r="AP203" s="473" t="str">
        <f t="shared" si="46"/>
        <v/>
      </c>
      <c r="AQ203" s="473" t="str">
        <f t="shared" si="47"/>
        <v/>
      </c>
      <c r="AR203" s="473" t="str">
        <f t="shared" si="48"/>
        <v/>
      </c>
      <c r="AS203" s="473" t="str">
        <f t="shared" si="49"/>
        <v/>
      </c>
      <c r="AT203" s="473" t="str">
        <f t="shared" si="50"/>
        <v/>
      </c>
      <c r="AU203" s="473" t="str">
        <f t="shared" si="51"/>
        <v/>
      </c>
      <c r="AZ203" s="32" t="s">
        <v>8137</v>
      </c>
      <c r="BA203" s="34" t="s">
        <v>468</v>
      </c>
      <c r="BB203" s="499"/>
      <c r="BC203" s="271"/>
      <c r="BD203" s="279">
        <v>1</v>
      </c>
      <c r="BE203" s="271"/>
      <c r="BF203" s="271"/>
      <c r="BG203" s="271"/>
      <c r="BH203" s="271"/>
      <c r="BI203" s="271"/>
      <c r="BJ203" s="271"/>
      <c r="BK203" s="271"/>
      <c r="BL203" s="271"/>
    </row>
    <row r="204" spans="18:64" ht="21" customHeight="1" x14ac:dyDescent="0.25">
      <c r="R204" s="34" t="s">
        <v>497</v>
      </c>
      <c r="S204" s="451"/>
      <c r="T204" s="32" t="s">
        <v>322</v>
      </c>
      <c r="V204" s="475">
        <v>4</v>
      </c>
      <c r="W204" s="475" t="str">
        <f>IF($AC$204="","",$W$180)</f>
        <v/>
      </c>
      <c r="X204" s="476" t="str">
        <f>IF($AC$204="","",$X$180)</f>
        <v/>
      </c>
      <c r="Y204" s="477" t="str">
        <f>IF($X$204="","",$Y$180)</f>
        <v/>
      </c>
      <c r="Z204" s="477" t="str">
        <f>IF($X$204="","",$Z$180)</f>
        <v/>
      </c>
      <c r="AA204" s="477" t="str">
        <f>IF($AC$204="","",ROW($A$204)-ROW($A$180))</f>
        <v/>
      </c>
      <c r="AB204" s="478"/>
      <c r="AC204" s="34"/>
      <c r="AD204" s="356"/>
      <c r="AE204" s="479"/>
      <c r="AF204" s="475"/>
      <c r="AG204" s="480" t="str">
        <f t="shared" si="40"/>
        <v/>
      </c>
      <c r="AH204" s="481" t="str">
        <f t="shared" si="41"/>
        <v/>
      </c>
      <c r="AI204" s="477" t="str">
        <f>IF($AC$204="","",IFERROR(INDEX($AZ$74:$AZ$119,MATCH($AH$204,$AY$74:$AY$119,0)),"AUTRE"))</f>
        <v/>
      </c>
      <c r="AJ204" s="482" t="str">
        <f>IF($AC$204="","",IFERROR(INDEX($BA$74:$BA$119,MATCH($AH$204,$AY$74:$AY$119,0)),1))</f>
        <v/>
      </c>
      <c r="AK204" s="482" t="str">
        <f t="shared" si="42"/>
        <v/>
      </c>
      <c r="AL204" s="477" t="str">
        <f>IF($AC$204="","",IFERROR(INDEX($BB$74:$BB$119,MATCH($AH$204,$AY$74:$AY$119,0)),$AH$204))</f>
        <v/>
      </c>
      <c r="AM204" s="483" t="str">
        <f t="shared" si="43"/>
        <v/>
      </c>
      <c r="AN204" s="484" t="str">
        <f t="shared" si="44"/>
        <v/>
      </c>
      <c r="AO204" s="473" t="str">
        <f t="shared" si="45"/>
        <v/>
      </c>
      <c r="AP204" s="473" t="str">
        <f t="shared" si="46"/>
        <v/>
      </c>
      <c r="AQ204" s="473" t="str">
        <f t="shared" si="47"/>
        <v/>
      </c>
      <c r="AR204" s="473" t="str">
        <f t="shared" si="48"/>
        <v/>
      </c>
      <c r="AS204" s="473" t="str">
        <f t="shared" si="49"/>
        <v/>
      </c>
      <c r="AT204" s="473" t="str">
        <f t="shared" si="50"/>
        <v/>
      </c>
      <c r="AU204" s="473" t="str">
        <f t="shared" si="51"/>
        <v/>
      </c>
      <c r="AZ204" s="32" t="s">
        <v>8139</v>
      </c>
      <c r="BA204" s="34" t="s">
        <v>473</v>
      </c>
      <c r="BB204" s="499"/>
      <c r="BC204" s="271"/>
      <c r="BD204" s="279">
        <v>1</v>
      </c>
      <c r="BE204" s="271"/>
      <c r="BF204" s="271"/>
      <c r="BG204" s="271"/>
      <c r="BH204" s="271"/>
      <c r="BI204" s="271"/>
      <c r="BJ204" s="271"/>
      <c r="BK204" s="271"/>
      <c r="BL204" s="271"/>
    </row>
    <row r="205" spans="18:64" ht="21" customHeight="1" x14ac:dyDescent="0.25">
      <c r="R205" s="34" t="s">
        <v>470</v>
      </c>
      <c r="S205" s="451"/>
      <c r="T205" s="32" t="s">
        <v>305</v>
      </c>
      <c r="V205" s="475">
        <v>4</v>
      </c>
      <c r="W205" s="475" t="str">
        <f>IF($AC$205="","",$W$180)</f>
        <v/>
      </c>
      <c r="X205" s="476" t="str">
        <f>IF($AC$205="","",$X$180)</f>
        <v/>
      </c>
      <c r="Y205" s="477" t="str">
        <f>IF($X$205="","",$Y$180)</f>
        <v/>
      </c>
      <c r="Z205" s="477" t="str">
        <f>IF($X$205="","",$Z$180)</f>
        <v/>
      </c>
      <c r="AA205" s="477" t="str">
        <f>IF($AC$205="","",ROW($A$205)-ROW($A$180))</f>
        <v/>
      </c>
      <c r="AB205" s="478"/>
      <c r="AC205" s="34"/>
      <c r="AD205" s="356"/>
      <c r="AE205" s="479"/>
      <c r="AF205" s="475"/>
      <c r="AG205" s="480" t="str">
        <f t="shared" si="40"/>
        <v/>
      </c>
      <c r="AH205" s="481" t="str">
        <f t="shared" si="41"/>
        <v/>
      </c>
      <c r="AI205" s="477" t="str">
        <f>IF($AC$205="","",IFERROR(INDEX($AZ$74:$AZ$119,MATCH($AH$205,$AY$74:$AY$119,0)),"AUTRE"))</f>
        <v/>
      </c>
      <c r="AJ205" s="482" t="str">
        <f>IF($AC$205="","",IFERROR(INDEX($BA$74:$BA$119,MATCH($AH$205,$AY$74:$AY$119,0)),1))</f>
        <v/>
      </c>
      <c r="AK205" s="482" t="str">
        <f t="shared" si="42"/>
        <v/>
      </c>
      <c r="AL205" s="477" t="str">
        <f>IF($AC$205="","",IFERROR(INDEX($BB$74:$BB$119,MATCH($AH$205,$AY$74:$AY$119,0)),$AH$205))</f>
        <v/>
      </c>
      <c r="AM205" s="483" t="str">
        <f t="shared" si="43"/>
        <v/>
      </c>
      <c r="AN205" s="484" t="str">
        <f t="shared" si="44"/>
        <v/>
      </c>
      <c r="AO205" s="473" t="str">
        <f t="shared" si="45"/>
        <v/>
      </c>
      <c r="AP205" s="473" t="str">
        <f t="shared" si="46"/>
        <v/>
      </c>
      <c r="AQ205" s="473" t="str">
        <f t="shared" si="47"/>
        <v/>
      </c>
      <c r="AR205" s="473" t="str">
        <f t="shared" si="48"/>
        <v/>
      </c>
      <c r="AS205" s="473" t="str">
        <f t="shared" si="49"/>
        <v/>
      </c>
      <c r="AT205" s="473" t="str">
        <f t="shared" si="50"/>
        <v/>
      </c>
      <c r="AU205" s="473" t="str">
        <f t="shared" si="51"/>
        <v/>
      </c>
      <c r="AZ205" s="32" t="s">
        <v>8141</v>
      </c>
      <c r="BA205" s="34" t="s">
        <v>497</v>
      </c>
      <c r="BB205" s="499"/>
      <c r="BC205" s="271"/>
      <c r="BD205" s="279">
        <v>1</v>
      </c>
      <c r="BE205" s="271"/>
      <c r="BF205" s="271"/>
      <c r="BG205" s="271"/>
      <c r="BH205" s="271"/>
      <c r="BI205" s="271"/>
      <c r="BJ205" s="271"/>
      <c r="BK205" s="271"/>
      <c r="BL205" s="271"/>
    </row>
    <row r="206" spans="18:64" ht="21" customHeight="1" x14ac:dyDescent="0.25">
      <c r="R206" s="34" t="s">
        <v>477</v>
      </c>
      <c r="S206" s="451"/>
      <c r="T206" s="32" t="s">
        <v>309</v>
      </c>
      <c r="V206" s="475">
        <v>4</v>
      </c>
      <c r="W206" s="475" t="str">
        <f>IF($AC$206="","",$W$180)</f>
        <v/>
      </c>
      <c r="X206" s="476" t="str">
        <f>IF($AC$206="","",$X$180)</f>
        <v/>
      </c>
      <c r="Y206" s="477" t="str">
        <f>IF($X$206="","",$Y$180)</f>
        <v/>
      </c>
      <c r="Z206" s="477" t="str">
        <f>IF($X$206="","",$Z$180)</f>
        <v/>
      </c>
      <c r="AA206" s="477" t="str">
        <f>IF($AC$206="","",ROW($A$206)-ROW($A$180))</f>
        <v/>
      </c>
      <c r="AB206" s="478"/>
      <c r="AC206" s="34"/>
      <c r="AD206" s="356"/>
      <c r="AE206" s="479"/>
      <c r="AF206" s="475"/>
      <c r="AG206" s="480" t="str">
        <f t="shared" si="40"/>
        <v/>
      </c>
      <c r="AH206" s="481" t="str">
        <f t="shared" si="41"/>
        <v/>
      </c>
      <c r="AI206" s="477" t="str">
        <f>IF($AC$206="","",IFERROR(INDEX($AZ$74:$AZ$119,MATCH($AH$206,$AY$74:$AY$119,0)),"AUTRE"))</f>
        <v/>
      </c>
      <c r="AJ206" s="482" t="str">
        <f>IF($AC$206="","",IFERROR(INDEX($BA$74:$BA$119,MATCH($AH$206,$AY$74:$AY$119,0)),1))</f>
        <v/>
      </c>
      <c r="AK206" s="482" t="str">
        <f t="shared" si="42"/>
        <v/>
      </c>
      <c r="AL206" s="477" t="str">
        <f>IF($AC$206="","",IFERROR(INDEX($BB$74:$BB$119,MATCH($AH$206,$AY$74:$AY$119,0)),$AH$206))</f>
        <v/>
      </c>
      <c r="AM206" s="483" t="str">
        <f t="shared" si="43"/>
        <v/>
      </c>
      <c r="AN206" s="484" t="str">
        <f t="shared" si="44"/>
        <v/>
      </c>
      <c r="AO206" s="473" t="str">
        <f t="shared" si="45"/>
        <v/>
      </c>
      <c r="AP206" s="473" t="str">
        <f t="shared" si="46"/>
        <v/>
      </c>
      <c r="AQ206" s="473" t="str">
        <f t="shared" si="47"/>
        <v/>
      </c>
      <c r="AR206" s="473" t="str">
        <f t="shared" si="48"/>
        <v/>
      </c>
      <c r="AS206" s="473" t="str">
        <f t="shared" si="49"/>
        <v/>
      </c>
      <c r="AT206" s="473" t="str">
        <f t="shared" si="50"/>
        <v/>
      </c>
      <c r="AU206" s="473" t="str">
        <f t="shared" si="51"/>
        <v/>
      </c>
      <c r="AZ206" s="32" t="s">
        <v>8143</v>
      </c>
      <c r="BA206" s="34" t="s">
        <v>470</v>
      </c>
      <c r="BB206" s="499"/>
      <c r="BC206" s="271"/>
      <c r="BD206" s="279">
        <v>1</v>
      </c>
      <c r="BE206" s="271"/>
      <c r="BF206" s="271"/>
      <c r="BG206" s="271"/>
      <c r="BH206" s="271"/>
      <c r="BI206" s="271"/>
      <c r="BJ206" s="271"/>
      <c r="BK206" s="271"/>
      <c r="BL206" s="271"/>
    </row>
    <row r="207" spans="18:64" ht="21" customHeight="1" x14ac:dyDescent="0.25">
      <c r="S207" s="451"/>
      <c r="T207" s="32" t="s">
        <v>311</v>
      </c>
      <c r="V207" s="475">
        <v>4</v>
      </c>
      <c r="W207" s="475" t="str">
        <f>IF($AC$207="","",$W$180)</f>
        <v/>
      </c>
      <c r="X207" s="476" t="str">
        <f>IF($AC$207="","",$X$180)</f>
        <v/>
      </c>
      <c r="Y207" s="477" t="str">
        <f>IF($X$207="","",$Y$180)</f>
        <v/>
      </c>
      <c r="Z207" s="477" t="str">
        <f>IF($X$207="","",$Z$180)</f>
        <v/>
      </c>
      <c r="AA207" s="477" t="str">
        <f>IF($AC$207="","",ROW($A$207)-ROW($A$180))</f>
        <v/>
      </c>
      <c r="AB207" s="478"/>
      <c r="AC207" s="34"/>
      <c r="AD207" s="356"/>
      <c r="AE207" s="479"/>
      <c r="AF207" s="475"/>
      <c r="AG207" s="480" t="str">
        <f t="shared" si="40"/>
        <v/>
      </c>
      <c r="AH207" s="481" t="str">
        <f t="shared" si="41"/>
        <v/>
      </c>
      <c r="AI207" s="477" t="str">
        <f>IF($AC$207="","",IFERROR(INDEX($AZ$74:$AZ$119,MATCH($AH$207,$AY$74:$AY$119,0)),"AUTRE"))</f>
        <v/>
      </c>
      <c r="AJ207" s="482" t="str">
        <f>IF($AC$207="","",IFERROR(INDEX($BA$74:$BA$119,MATCH($AH$207,$AY$74:$AY$119,0)),1))</f>
        <v/>
      </c>
      <c r="AK207" s="482" t="str">
        <f t="shared" si="42"/>
        <v/>
      </c>
      <c r="AL207" s="477" t="str">
        <f>IF($AC$207="","",IFERROR(INDEX($BB$74:$BB$119,MATCH($AH$207,$AY$74:$AY$119,0)),$AH$207))</f>
        <v/>
      </c>
      <c r="AM207" s="483" t="str">
        <f t="shared" si="43"/>
        <v/>
      </c>
      <c r="AN207" s="484" t="str">
        <f t="shared" si="44"/>
        <v/>
      </c>
      <c r="AO207" s="473" t="str">
        <f t="shared" si="45"/>
        <v/>
      </c>
      <c r="AP207" s="473" t="str">
        <f t="shared" si="46"/>
        <v/>
      </c>
      <c r="AQ207" s="473" t="str">
        <f t="shared" si="47"/>
        <v/>
      </c>
      <c r="AR207" s="473" t="str">
        <f t="shared" si="48"/>
        <v/>
      </c>
      <c r="AS207" s="473" t="str">
        <f t="shared" si="49"/>
        <v/>
      </c>
      <c r="AT207" s="473" t="str">
        <f t="shared" si="50"/>
        <v/>
      </c>
      <c r="AU207" s="473" t="str">
        <f t="shared" si="51"/>
        <v/>
      </c>
      <c r="AZ207" s="497" t="s">
        <v>8145</v>
      </c>
      <c r="BA207" s="34" t="s">
        <v>477</v>
      </c>
      <c r="BB207" s="499"/>
      <c r="BC207" s="271"/>
      <c r="BD207" s="279">
        <v>1</v>
      </c>
      <c r="BE207" s="271"/>
      <c r="BF207" s="271"/>
      <c r="BG207" s="271"/>
      <c r="BH207" s="271"/>
      <c r="BI207" s="271"/>
      <c r="BJ207" s="271"/>
      <c r="BK207" s="271"/>
      <c r="BL207" s="271"/>
    </row>
    <row r="208" spans="18:64" ht="21" customHeight="1" x14ac:dyDescent="0.25">
      <c r="R208" s="25" t="s">
        <v>6134</v>
      </c>
      <c r="S208" s="451"/>
      <c r="T208" s="32" t="s">
        <v>8135</v>
      </c>
      <c r="V208" s="475">
        <v>4</v>
      </c>
      <c r="W208" s="475" t="str">
        <f>IF($AC$208="","",$W$180)</f>
        <v/>
      </c>
      <c r="X208" s="476" t="str">
        <f>IF($AC$208="","",$X$180)</f>
        <v/>
      </c>
      <c r="Y208" s="477" t="str">
        <f>IF($X$208="","",$Y$180)</f>
        <v/>
      </c>
      <c r="Z208" s="477" t="str">
        <f>IF($X$208="","",$Z$180)</f>
        <v/>
      </c>
      <c r="AA208" s="477" t="str">
        <f>IF($AC$208="","",ROW($A$208)-ROW($A$180))</f>
        <v/>
      </c>
      <c r="AB208" s="478"/>
      <c r="AC208" s="34"/>
      <c r="AD208" s="356"/>
      <c r="AE208" s="479"/>
      <c r="AF208" s="475"/>
      <c r="AG208" s="480" t="str">
        <f t="shared" si="40"/>
        <v/>
      </c>
      <c r="AH208" s="481" t="str">
        <f t="shared" si="41"/>
        <v/>
      </c>
      <c r="AI208" s="477" t="str">
        <f>IF($AC$208="","",IFERROR(INDEX($AZ$74:$AZ$119,MATCH($AH$208,$AY$74:$AY$119,0)),"AUTRE"))</f>
        <v/>
      </c>
      <c r="AJ208" s="482" t="str">
        <f>IF($AC$208="","",IFERROR(INDEX($BA$74:$BA$119,MATCH($AH$208,$AY$74:$AY$119,0)),1))</f>
        <v/>
      </c>
      <c r="AK208" s="482" t="str">
        <f t="shared" si="42"/>
        <v/>
      </c>
      <c r="AL208" s="477" t="str">
        <f>IF($AC$208="","",IFERROR(INDEX($BB$74:$BB$119,MATCH($AH$208,$AY$74:$AY$119,0)),$AH$208))</f>
        <v/>
      </c>
      <c r="AM208" s="483" t="str">
        <f t="shared" si="43"/>
        <v/>
      </c>
      <c r="AN208" s="484" t="str">
        <f t="shared" si="44"/>
        <v/>
      </c>
      <c r="AO208" s="473" t="str">
        <f t="shared" si="45"/>
        <v/>
      </c>
      <c r="AP208" s="473" t="str">
        <f t="shared" si="46"/>
        <v/>
      </c>
      <c r="AQ208" s="473" t="str">
        <f t="shared" si="47"/>
        <v/>
      </c>
      <c r="AR208" s="473" t="str">
        <f t="shared" si="48"/>
        <v/>
      </c>
      <c r="AS208" s="473" t="str">
        <f t="shared" si="49"/>
        <v/>
      </c>
      <c r="AT208" s="473" t="str">
        <f t="shared" si="50"/>
        <v/>
      </c>
      <c r="AU208" s="473" t="str">
        <f t="shared" si="51"/>
        <v/>
      </c>
      <c r="AY208" s="271"/>
      <c r="AZ208" s="497" t="s">
        <v>462</v>
      </c>
      <c r="BB208" s="499"/>
      <c r="BC208" s="271"/>
      <c r="BD208" s="279">
        <v>1</v>
      </c>
      <c r="BE208" s="271"/>
      <c r="BF208" s="271"/>
      <c r="BG208" s="271"/>
      <c r="BH208" s="271"/>
      <c r="BI208" s="271"/>
      <c r="BJ208" s="271"/>
      <c r="BK208" s="271"/>
      <c r="BL208" s="271"/>
    </row>
    <row r="209" spans="18:64" ht="21" customHeight="1" x14ac:dyDescent="0.25">
      <c r="R209" s="34" t="s">
        <v>481</v>
      </c>
      <c r="S209" s="451"/>
      <c r="T209" s="497" t="s">
        <v>462</v>
      </c>
      <c r="V209" s="475">
        <v>4</v>
      </c>
      <c r="W209" s="475" t="str">
        <f>IF($AC$209="","",$W$180)</f>
        <v/>
      </c>
      <c r="X209" s="476" t="str">
        <f>IF($AC$209="","",$X$180)</f>
        <v/>
      </c>
      <c r="Y209" s="477" t="str">
        <f>IF($X$209="","",$Y$180)</f>
        <v/>
      </c>
      <c r="Z209" s="477" t="str">
        <f>IF($X$209="","",$Z$180)</f>
        <v/>
      </c>
      <c r="AA209" s="477" t="str">
        <f>IF($AC$209="","",ROW($A$209)-ROW($A$180))</f>
        <v/>
      </c>
      <c r="AB209" s="478"/>
      <c r="AC209" s="34"/>
      <c r="AD209" s="356"/>
      <c r="AE209" s="479"/>
      <c r="AF209" s="475"/>
      <c r="AG209" s="480" t="str">
        <f t="shared" si="40"/>
        <v/>
      </c>
      <c r="AH209" s="481" t="str">
        <f t="shared" si="41"/>
        <v/>
      </c>
      <c r="AI209" s="477" t="str">
        <f>IF($AC$209="","",IFERROR(INDEX($AZ$74:$AZ$119,MATCH($AH$209,$AY$74:$AY$119,0)),"AUTRE"))</f>
        <v/>
      </c>
      <c r="AJ209" s="482" t="str">
        <f>IF($AC$209="","",IFERROR(INDEX($BA$74:$BA$119,MATCH($AH$209,$AY$74:$AY$119,0)),1))</f>
        <v/>
      </c>
      <c r="AK209" s="482" t="str">
        <f t="shared" si="42"/>
        <v/>
      </c>
      <c r="AL209" s="477" t="str">
        <f>IF($AC$209="","",IFERROR(INDEX($BB$74:$BB$119,MATCH($AH$209,$AY$74:$AY$119,0)),$AH$209))</f>
        <v/>
      </c>
      <c r="AM209" s="483" t="str">
        <f t="shared" si="43"/>
        <v/>
      </c>
      <c r="AN209" s="484" t="str">
        <f t="shared" si="44"/>
        <v/>
      </c>
      <c r="AO209" s="473" t="str">
        <f t="shared" si="45"/>
        <v/>
      </c>
      <c r="AP209" s="473" t="str">
        <f t="shared" si="46"/>
        <v/>
      </c>
      <c r="AQ209" s="473" t="str">
        <f t="shared" si="47"/>
        <v/>
      </c>
      <c r="AR209" s="473" t="str">
        <f t="shared" si="48"/>
        <v/>
      </c>
      <c r="AS209" s="473" t="str">
        <f t="shared" si="49"/>
        <v/>
      </c>
      <c r="AT209" s="473" t="str">
        <f t="shared" si="50"/>
        <v/>
      </c>
      <c r="AU209" s="473" t="str">
        <f t="shared" si="51"/>
        <v/>
      </c>
      <c r="AY209" s="497" t="s">
        <v>8145</v>
      </c>
      <c r="AZ209" s="497" t="s">
        <v>463</v>
      </c>
      <c r="BA209" s="25" t="s">
        <v>6134</v>
      </c>
      <c r="BB209" s="499"/>
      <c r="BC209" s="271"/>
      <c r="BD209" s="279">
        <v>1</v>
      </c>
      <c r="BE209" s="271"/>
      <c r="BF209" s="271"/>
      <c r="BG209" s="271"/>
      <c r="BH209" s="271"/>
      <c r="BI209" s="271"/>
      <c r="BJ209" s="271"/>
      <c r="BK209" s="271"/>
      <c r="BL209" s="271"/>
    </row>
    <row r="210" spans="18:64" ht="21" customHeight="1" x14ac:dyDescent="0.25">
      <c r="R210" s="34" t="s">
        <v>475</v>
      </c>
      <c r="S210" s="451"/>
      <c r="T210" s="497" t="s">
        <v>463</v>
      </c>
      <c r="V210" s="475">
        <v>4</v>
      </c>
      <c r="W210" s="475" t="str">
        <f>IF($AC$210="","",$W$180)</f>
        <v/>
      </c>
      <c r="X210" s="476" t="str">
        <f>IF($AC$210="","",$X$180)</f>
        <v/>
      </c>
      <c r="Y210" s="477" t="str">
        <f>IF($X$210="","",$Y$180)</f>
        <v/>
      </c>
      <c r="Z210" s="477" t="str">
        <f>IF($X$210="","",$Z$180)</f>
        <v/>
      </c>
      <c r="AA210" s="477" t="str">
        <f>IF($AC$210="","",ROW($A$210)-ROW($A$180))</f>
        <v/>
      </c>
      <c r="AB210" s="478"/>
      <c r="AC210" s="34"/>
      <c r="AD210" s="356"/>
      <c r="AE210" s="479"/>
      <c r="AF210" s="475"/>
      <c r="AG210" s="480" t="str">
        <f t="shared" si="40"/>
        <v/>
      </c>
      <c r="AH210" s="481" t="str">
        <f t="shared" si="41"/>
        <v/>
      </c>
      <c r="AI210" s="477" t="str">
        <f>IF($AC$210="","",IFERROR(INDEX($AZ$74:$AZ$119,MATCH($AH$210,$AY$74:$AY$119,0)),"AUTRE"))</f>
        <v/>
      </c>
      <c r="AJ210" s="482" t="str">
        <f>IF($AC$210="","",IFERROR(INDEX($BA$74:$BA$119,MATCH($AH$210,$AY$74:$AY$119,0)),1))</f>
        <v/>
      </c>
      <c r="AK210" s="482" t="str">
        <f t="shared" si="42"/>
        <v/>
      </c>
      <c r="AL210" s="477" t="str">
        <f>IF($AC$210="","",IFERROR(INDEX($BB$74:$BB$119,MATCH($AH$210,$AY$74:$AY$119,0)),$AH$210))</f>
        <v/>
      </c>
      <c r="AM210" s="483" t="str">
        <f t="shared" si="43"/>
        <v/>
      </c>
      <c r="AN210" s="484" t="str">
        <f t="shared" si="44"/>
        <v/>
      </c>
      <c r="AO210" s="473" t="str">
        <f t="shared" si="45"/>
        <v/>
      </c>
      <c r="AP210" s="473" t="str">
        <f t="shared" si="46"/>
        <v/>
      </c>
      <c r="AQ210" s="473" t="str">
        <f t="shared" si="47"/>
        <v/>
      </c>
      <c r="AR210" s="473" t="str">
        <f t="shared" si="48"/>
        <v/>
      </c>
      <c r="AS210" s="473" t="str">
        <f t="shared" si="49"/>
        <v/>
      </c>
      <c r="AT210" s="473" t="str">
        <f t="shared" si="50"/>
        <v/>
      </c>
      <c r="AU210" s="473" t="str">
        <f t="shared" si="51"/>
        <v/>
      </c>
      <c r="AY210" s="497" t="s">
        <v>462</v>
      </c>
      <c r="AZ210" s="497" t="s">
        <v>8147</v>
      </c>
      <c r="BA210" s="34" t="s">
        <v>481</v>
      </c>
      <c r="BB210" s="499"/>
      <c r="BC210" s="271"/>
      <c r="BD210" s="279">
        <v>1</v>
      </c>
      <c r="BE210" s="271"/>
      <c r="BF210" s="271"/>
      <c r="BG210" s="271"/>
      <c r="BH210" s="271"/>
      <c r="BI210" s="271"/>
      <c r="BJ210" s="271"/>
      <c r="BK210" s="271"/>
      <c r="BL210" s="271"/>
    </row>
    <row r="211" spans="18:64" ht="21" customHeight="1" x14ac:dyDescent="0.25">
      <c r="R211" s="34" t="s">
        <v>457</v>
      </c>
      <c r="S211" s="451"/>
      <c r="T211" s="497" t="s">
        <v>8147</v>
      </c>
      <c r="V211" s="475">
        <v>4</v>
      </c>
      <c r="W211" s="475" t="str">
        <f>IF($AC$211="","",$W$180)</f>
        <v/>
      </c>
      <c r="X211" s="476" t="str">
        <f>IF($AC$211="","",$X$180)</f>
        <v/>
      </c>
      <c r="Y211" s="477" t="str">
        <f>IF($X$211="","",$Y$180)</f>
        <v/>
      </c>
      <c r="Z211" s="477" t="str">
        <f>IF($X$211="","",$Z$180)</f>
        <v/>
      </c>
      <c r="AA211" s="477" t="str">
        <f>IF($AC$211="","",ROW($A$211)-ROW($A$180))</f>
        <v/>
      </c>
      <c r="AB211" s="478"/>
      <c r="AC211" s="34"/>
      <c r="AD211" s="356"/>
      <c r="AE211" s="479"/>
      <c r="AF211" s="475"/>
      <c r="AG211" s="480" t="str">
        <f t="shared" si="40"/>
        <v/>
      </c>
      <c r="AH211" s="481" t="str">
        <f t="shared" si="41"/>
        <v/>
      </c>
      <c r="AI211" s="477" t="str">
        <f>IF($AC$211="","",IFERROR(INDEX($AZ$74:$AZ$119,MATCH($AH$211,$AY$74:$AY$119,0)),"AUTRE"))</f>
        <v/>
      </c>
      <c r="AJ211" s="482" t="str">
        <f>IF($AC$211="","",IFERROR(INDEX($BA$74:$BA$119,MATCH($AH$211,$AY$74:$AY$119,0)),1))</f>
        <v/>
      </c>
      <c r="AK211" s="482" t="str">
        <f t="shared" si="42"/>
        <v/>
      </c>
      <c r="AL211" s="477" t="str">
        <f>IF($AC$211="","",IFERROR(INDEX($BB$74:$BB$119,MATCH($AH$211,$AY$74:$AY$119,0)),$AH$211))</f>
        <v/>
      </c>
      <c r="AM211" s="483" t="str">
        <f t="shared" si="43"/>
        <v/>
      </c>
      <c r="AN211" s="484" t="str">
        <f t="shared" si="44"/>
        <v/>
      </c>
      <c r="AO211" s="473" t="str">
        <f t="shared" si="45"/>
        <v/>
      </c>
      <c r="AP211" s="473" t="str">
        <f t="shared" si="46"/>
        <v/>
      </c>
      <c r="AQ211" s="473" t="str">
        <f t="shared" si="47"/>
        <v/>
      </c>
      <c r="AR211" s="473" t="str">
        <f t="shared" si="48"/>
        <v/>
      </c>
      <c r="AS211" s="473" t="str">
        <f t="shared" si="49"/>
        <v/>
      </c>
      <c r="AT211" s="473" t="str">
        <f t="shared" si="50"/>
        <v/>
      </c>
      <c r="AU211" s="473" t="str">
        <f t="shared" si="51"/>
        <v/>
      </c>
      <c r="AY211" s="497" t="s">
        <v>463</v>
      </c>
      <c r="AZ211" s="497" t="s">
        <v>465</v>
      </c>
      <c r="BA211" s="34" t="s">
        <v>475</v>
      </c>
      <c r="BB211" s="499"/>
      <c r="BC211" s="271"/>
      <c r="BD211" s="279">
        <v>1</v>
      </c>
      <c r="BE211" s="271"/>
      <c r="BF211" s="271"/>
      <c r="BG211" s="271"/>
      <c r="BH211" s="271"/>
      <c r="BI211" s="271"/>
      <c r="BJ211" s="271"/>
      <c r="BK211" s="271"/>
      <c r="BL211" s="271"/>
    </row>
    <row r="212" spans="18:64" ht="21" customHeight="1" x14ac:dyDescent="0.25">
      <c r="R212" s="34" t="s">
        <v>482</v>
      </c>
      <c r="S212" s="451"/>
      <c r="T212" s="497" t="s">
        <v>465</v>
      </c>
      <c r="V212" s="475">
        <v>4</v>
      </c>
      <c r="W212" s="475" t="str">
        <f>IF($AC$212="","",$W$180)</f>
        <v/>
      </c>
      <c r="X212" s="476" t="str">
        <f>IF($AC$212="","",$X$180)</f>
        <v/>
      </c>
      <c r="Y212" s="477" t="str">
        <f>IF($X$212="","",$Y$180)</f>
        <v/>
      </c>
      <c r="Z212" s="477" t="str">
        <f>IF($X$212="","",$Z$180)</f>
        <v/>
      </c>
      <c r="AA212" s="477" t="str">
        <f>IF($AC$212="","",ROW($A$212)-ROW($A$180))</f>
        <v/>
      </c>
      <c r="AB212" s="478"/>
      <c r="AC212" s="34"/>
      <c r="AD212" s="356"/>
      <c r="AE212" s="479"/>
      <c r="AF212" s="475"/>
      <c r="AG212" s="480" t="str">
        <f t="shared" si="40"/>
        <v/>
      </c>
      <c r="AH212" s="481" t="str">
        <f t="shared" si="41"/>
        <v/>
      </c>
      <c r="AI212" s="477" t="str">
        <f>IF($AC$212="","",IFERROR(INDEX($AZ$74:$AZ$119,MATCH($AH$212,$AY$74:$AY$119,0)),"AUTRE"))</f>
        <v/>
      </c>
      <c r="AJ212" s="482" t="str">
        <f>IF($AC$212="","",IFERROR(INDEX($BA$74:$BA$119,MATCH($AH$212,$AY$74:$AY$119,0)),1))</f>
        <v/>
      </c>
      <c r="AK212" s="482" t="str">
        <f t="shared" si="42"/>
        <v/>
      </c>
      <c r="AL212" s="477" t="str">
        <f>IF($AC$212="","",IFERROR(INDEX($BB$74:$BB$119,MATCH($AH$212,$AY$74:$AY$119,0)),$AH$212))</f>
        <v/>
      </c>
      <c r="AM212" s="483" t="str">
        <f t="shared" si="43"/>
        <v/>
      </c>
      <c r="AN212" s="484" t="str">
        <f t="shared" si="44"/>
        <v/>
      </c>
      <c r="AO212" s="473" t="str">
        <f t="shared" si="45"/>
        <v/>
      </c>
      <c r="AP212" s="473" t="str">
        <f t="shared" si="46"/>
        <v/>
      </c>
      <c r="AQ212" s="473" t="str">
        <f t="shared" si="47"/>
        <v/>
      </c>
      <c r="AR212" s="473" t="str">
        <f t="shared" si="48"/>
        <v/>
      </c>
      <c r="AS212" s="473" t="str">
        <f t="shared" si="49"/>
        <v/>
      </c>
      <c r="AT212" s="473" t="str">
        <f t="shared" si="50"/>
        <v/>
      </c>
      <c r="AU212" s="473" t="str">
        <f t="shared" si="51"/>
        <v/>
      </c>
      <c r="AY212" s="497" t="s">
        <v>8147</v>
      </c>
      <c r="AZ212" s="497" t="s">
        <v>466</v>
      </c>
      <c r="BA212" s="34" t="s">
        <v>457</v>
      </c>
      <c r="BB212" s="499"/>
      <c r="BC212" s="271"/>
      <c r="BD212" s="279">
        <v>1</v>
      </c>
      <c r="BE212" s="271"/>
      <c r="BF212" s="271"/>
      <c r="BG212" s="271"/>
      <c r="BH212" s="271"/>
      <c r="BI212" s="271"/>
      <c r="BJ212" s="271"/>
      <c r="BK212" s="271"/>
      <c r="BL212" s="271"/>
    </row>
    <row r="213" spans="18:64" ht="21" customHeight="1" x14ac:dyDescent="0.25">
      <c r="R213" s="34" t="s">
        <v>496</v>
      </c>
      <c r="S213" s="451"/>
      <c r="T213" s="497" t="s">
        <v>466</v>
      </c>
      <c r="V213" s="475">
        <v>4</v>
      </c>
      <c r="W213" s="475" t="str">
        <f>IF($AC$213="","",$W$180)</f>
        <v/>
      </c>
      <c r="X213" s="476" t="str">
        <f>IF($AC$213="","",$X$180)</f>
        <v/>
      </c>
      <c r="Y213" s="477" t="str">
        <f>IF($X$213="","",$Y$180)</f>
        <v/>
      </c>
      <c r="Z213" s="477" t="str">
        <f>IF($X$213="","",$Z$180)</f>
        <v/>
      </c>
      <c r="AA213" s="477" t="str">
        <f>IF($AC$213="","",ROW($A$213)-ROW($A$180))</f>
        <v/>
      </c>
      <c r="AB213" s="478"/>
      <c r="AC213" s="34"/>
      <c r="AD213" s="356"/>
      <c r="AE213" s="479"/>
      <c r="AF213" s="475"/>
      <c r="AG213" s="480" t="str">
        <f t="shared" si="40"/>
        <v/>
      </c>
      <c r="AH213" s="481" t="str">
        <f t="shared" si="41"/>
        <v/>
      </c>
      <c r="AI213" s="477" t="str">
        <f>IF($AC$213="","",IFERROR(INDEX($AZ$74:$AZ$119,MATCH($AH$213,$AY$74:$AY$119,0)),"AUTRE"))</f>
        <v/>
      </c>
      <c r="AJ213" s="482" t="str">
        <f>IF($AC$213="","",IFERROR(INDEX($BA$74:$BA$119,MATCH($AH$213,$AY$74:$AY$119,0)),1))</f>
        <v/>
      </c>
      <c r="AK213" s="482" t="str">
        <f t="shared" si="42"/>
        <v/>
      </c>
      <c r="AL213" s="477" t="str">
        <f>IF($AC$213="","",IFERROR(INDEX($BB$74:$BB$119,MATCH($AH$213,$AY$74:$AY$119,0)),$AH$213))</f>
        <v/>
      </c>
      <c r="AM213" s="483" t="str">
        <f t="shared" si="43"/>
        <v/>
      </c>
      <c r="AN213" s="484" t="str">
        <f t="shared" si="44"/>
        <v/>
      </c>
      <c r="AO213" s="473" t="str">
        <f t="shared" si="45"/>
        <v/>
      </c>
      <c r="AP213" s="473" t="str">
        <f t="shared" si="46"/>
        <v/>
      </c>
      <c r="AQ213" s="473" t="str">
        <f t="shared" si="47"/>
        <v/>
      </c>
      <c r="AR213" s="473" t="str">
        <f t="shared" si="48"/>
        <v/>
      </c>
      <c r="AS213" s="473" t="str">
        <f t="shared" si="49"/>
        <v/>
      </c>
      <c r="AT213" s="473" t="str">
        <f t="shared" si="50"/>
        <v/>
      </c>
      <c r="AU213" s="473" t="str">
        <f t="shared" si="51"/>
        <v/>
      </c>
      <c r="AY213" s="497" t="s">
        <v>465</v>
      </c>
      <c r="AZ213" s="14" t="s">
        <v>7</v>
      </c>
      <c r="BA213" s="34" t="s">
        <v>482</v>
      </c>
      <c r="BB213" s="499"/>
      <c r="BC213" s="271"/>
      <c r="BD213" s="279">
        <v>1</v>
      </c>
      <c r="BE213" s="271"/>
      <c r="BF213" s="271"/>
      <c r="BG213" s="271"/>
      <c r="BH213" s="271"/>
      <c r="BI213" s="271"/>
      <c r="BJ213" s="271"/>
      <c r="BK213" s="271"/>
      <c r="BL213" s="271"/>
    </row>
    <row r="214" spans="18:64" ht="21" customHeight="1" x14ac:dyDescent="0.25">
      <c r="R214" s="34" t="s">
        <v>483</v>
      </c>
      <c r="S214" s="451"/>
      <c r="T214" s="440" t="s">
        <v>8110</v>
      </c>
      <c r="V214" s="475">
        <v>4</v>
      </c>
      <c r="W214" s="475" t="str">
        <f>IF($AC$214="","",$W$180)</f>
        <v/>
      </c>
      <c r="X214" s="476" t="str">
        <f>IF($AC$214="","",$X$180)</f>
        <v/>
      </c>
      <c r="Y214" s="477" t="str">
        <f>IF($X$214="","",$Y$180)</f>
        <v/>
      </c>
      <c r="Z214" s="477" t="str">
        <f>IF($X$214="","",$Z$180)</f>
        <v/>
      </c>
      <c r="AA214" s="477" t="str">
        <f>IF($AC$214="","",ROW($A$214)-ROW($A$180))</f>
        <v/>
      </c>
      <c r="AB214" s="478"/>
      <c r="AC214" s="34"/>
      <c r="AD214" s="356"/>
      <c r="AE214" s="479"/>
      <c r="AF214" s="475"/>
      <c r="AG214" s="491" t="str">
        <f t="shared" si="40"/>
        <v/>
      </c>
      <c r="AH214" s="481" t="str">
        <f t="shared" si="41"/>
        <v/>
      </c>
      <c r="AI214" s="477" t="str">
        <f>IF($AC$214="","",IFERROR(INDEX($AZ$74:$AZ$119,MATCH($AH$214,$AY$74:$AY$119,0)),"AUTRE"))</f>
        <v/>
      </c>
      <c r="AJ214" s="482" t="str">
        <f>IF($AC$214="","",IFERROR(INDEX($BA$74:$BA$119,MATCH($AH$214,$AY$74:$AY$119,0)),1))</f>
        <v/>
      </c>
      <c r="AK214" s="482" t="str">
        <f t="shared" si="42"/>
        <v/>
      </c>
      <c r="AL214" s="477" t="str">
        <f>IF($AC$214="","",IFERROR(INDEX($BB$74:$BB$119,MATCH($AH$214,$AY$74:$AY$119,0)),$AH$214))</f>
        <v/>
      </c>
      <c r="AM214" s="483" t="str">
        <f t="shared" si="43"/>
        <v/>
      </c>
      <c r="AN214" s="484" t="str">
        <f t="shared" si="44"/>
        <v/>
      </c>
      <c r="AO214" s="473" t="str">
        <f t="shared" si="45"/>
        <v/>
      </c>
      <c r="AP214" s="473" t="str">
        <f t="shared" si="46"/>
        <v/>
      </c>
      <c r="AQ214" s="473" t="str">
        <f t="shared" si="47"/>
        <v/>
      </c>
      <c r="AR214" s="473" t="str">
        <f t="shared" si="48"/>
        <v/>
      </c>
      <c r="AS214" s="473" t="str">
        <f t="shared" si="49"/>
        <v/>
      </c>
      <c r="AT214" s="473" t="str">
        <f t="shared" si="50"/>
        <v/>
      </c>
      <c r="AU214" s="473" t="str">
        <f t="shared" si="51"/>
        <v/>
      </c>
      <c r="AY214" s="497" t="s">
        <v>466</v>
      </c>
      <c r="AZ214" s="27" t="s">
        <v>8</v>
      </c>
      <c r="BA214" s="34" t="s">
        <v>496</v>
      </c>
      <c r="BB214" s="499"/>
      <c r="BC214" s="271"/>
      <c r="BD214" s="279">
        <v>1</v>
      </c>
      <c r="BE214" s="271"/>
      <c r="BF214" s="271"/>
      <c r="BG214" s="271"/>
      <c r="BH214" s="271"/>
      <c r="BI214" s="271"/>
      <c r="BJ214" s="271"/>
      <c r="BK214" s="271"/>
      <c r="BL214" s="271"/>
    </row>
    <row r="215" spans="18:64" ht="30" customHeight="1" x14ac:dyDescent="0.25">
      <c r="R215" s="34" t="s">
        <v>493</v>
      </c>
      <c r="S215" s="451"/>
      <c r="T215" s="452" t="s">
        <v>8113</v>
      </c>
      <c r="V215" s="453" t="s">
        <v>324</v>
      </c>
      <c r="W215" s="453" t="s">
        <v>7912</v>
      </c>
      <c r="X215" s="453" t="s">
        <v>326</v>
      </c>
      <c r="Y215" s="453" t="s">
        <v>327</v>
      </c>
      <c r="Z215" s="454" t="s">
        <v>7930</v>
      </c>
      <c r="AA215" s="453" t="s">
        <v>7937</v>
      </c>
      <c r="AB215" s="455" t="s">
        <v>39</v>
      </c>
      <c r="AC215" s="455" t="s">
        <v>338</v>
      </c>
      <c r="AD215" s="455" t="s">
        <v>8114</v>
      </c>
      <c r="AE215" s="455" t="s">
        <v>8114</v>
      </c>
      <c r="AF215" s="455" t="s">
        <v>339</v>
      </c>
      <c r="AG215" s="453" t="s">
        <v>8018</v>
      </c>
      <c r="AH215" s="453" t="s">
        <v>8023</v>
      </c>
      <c r="AI215" s="453" t="s">
        <v>330</v>
      </c>
      <c r="AJ215" s="453" t="s">
        <v>8031</v>
      </c>
      <c r="AK215" s="453" t="s">
        <v>8037</v>
      </c>
      <c r="AL215" s="453" t="s">
        <v>8041</v>
      </c>
      <c r="AM215" s="453" t="s">
        <v>343</v>
      </c>
      <c r="AN215" s="457" t="s">
        <v>8115</v>
      </c>
      <c r="AO215" s="457" t="s">
        <v>8116</v>
      </c>
      <c r="AP215" s="656" t="s">
        <v>8117</v>
      </c>
      <c r="AQ215" s="656"/>
      <c r="AR215" s="656"/>
      <c r="AS215" s="656"/>
      <c r="AT215" s="656"/>
      <c r="AU215" s="657"/>
      <c r="AZ215" s="28" t="s">
        <v>13</v>
      </c>
      <c r="BA215" s="34" t="s">
        <v>483</v>
      </c>
      <c r="BB215" s="499"/>
      <c r="BC215" s="271"/>
      <c r="BD215" s="279">
        <v>1</v>
      </c>
      <c r="BE215" s="271"/>
      <c r="BF215" s="271"/>
      <c r="BG215" s="271"/>
      <c r="BH215" s="271"/>
      <c r="BI215" s="271"/>
      <c r="BJ215" s="271"/>
      <c r="BK215" s="271"/>
      <c r="BL215" s="271"/>
    </row>
    <row r="216" spans="18:64" ht="30" customHeight="1" x14ac:dyDescent="0.25">
      <c r="R216" s="34" t="s">
        <v>494</v>
      </c>
      <c r="S216" s="451"/>
      <c r="T216" s="14" t="s">
        <v>7</v>
      </c>
      <c r="V216" s="459">
        <v>5</v>
      </c>
      <c r="W216" s="460" t="s">
        <v>147</v>
      </c>
      <c r="X216" s="461" t="s">
        <v>361</v>
      </c>
      <c r="Y216" s="462">
        <v>32</v>
      </c>
      <c r="Z216" s="463">
        <v>100</v>
      </c>
      <c r="AA216" s="464">
        <f>IF($AC$396="","",ROW($A$396)-ROW($A$396))</f>
        <v>0</v>
      </c>
      <c r="AB216" s="461"/>
      <c r="AC216" s="465" t="s">
        <v>362</v>
      </c>
      <c r="AD216" s="390"/>
      <c r="AE216" s="390">
        <v>3</v>
      </c>
      <c r="AF216" s="466" t="s">
        <v>318</v>
      </c>
      <c r="AG216" s="467">
        <f t="shared" ref="AG216:AG250" si="52">IF($AC216="","",IF(LEN($AN216&amp;"")=0,"",$AN216))</f>
        <v>3</v>
      </c>
      <c r="AH216" s="468" t="str">
        <f t="shared" ref="AH216:AH250" si="53">IF($AC216="","",IF($AF216&lt;&gt;"",UPPER(TRIM(SUBSTITUTE(SUBSTITUTE($AF216&amp;"",CHAR(160)," ")," "," "))),$AP216))</f>
        <v>BTE(S) 3/1</v>
      </c>
      <c r="AI216" s="469" t="str">
        <f>IF($AC$216="","",IFERROR(INDEX($AZ$74:$AZ$119,MATCH($AH$216,$AY$74:$AY$119,0)),"AUTRE"))</f>
        <v>AUTRE</v>
      </c>
      <c r="AJ216" s="470">
        <f>IF($AC$216="","",IFERROR(INDEX($BA$74:$BA$119,MATCH($AH$216,$AY$74:$AY$119,0)),1))</f>
        <v>1</v>
      </c>
      <c r="AK216" s="470">
        <f t="shared" ref="AK216:AK250" si="54">IF(OR(AG216="",AJ216=""),"",AG216*AJ216)</f>
        <v>3</v>
      </c>
      <c r="AL216" s="469" t="str">
        <f>IF($AC$216="","",IFERROR(INDEX($BB$74:$BB$119,MATCH($AH$216,$AY$74:$AY$119,0)),$AH$216))</f>
        <v>bte(s) 3/1</v>
      </c>
      <c r="AM216" s="471" t="str">
        <f t="shared" ref="AM216:AM250" si="55">IF($AC216="","",IF($AH216="QT. SUFFISANTE","OK",IF($AG216="","TEXTE",IF(NOT(ISNUMBER($AG216)),"QUANTITÉ À CONTRÔLER",IF(COUNTIF($AY$74:$AY$119,$AH216)=0,"UNITÉ À CONTRÔLER","OK")))))</f>
        <v>OK</v>
      </c>
      <c r="AN216" s="474">
        <f t="shared" ref="AN216:AN250" si="56">IF($AE216&lt;&gt;"",$AE216,IF($AD216="","",IF(ISNUMBER($AD216),$AD216,IF($AO216="QT",0,IF($AO216="","",IFERROR(IF(ISNUMBER(SEARCH("/",$AO216)),VALUE(TRIM(LEFT($AO216,SEARCH("/",$AO216)-1)))/VALUE(TRIM(MID($AO216,SEARCH("/",$AO216)+1,99))),VALUE(SUBSTITUTE($AO216,".",","))),""))))))</f>
        <v>3</v>
      </c>
      <c r="AO216" s="473" t="str">
        <f t="shared" ref="AO216:AO250" si="57">IF($AD216="","",IF(ISNUMBER($AD216),$AD216,IF(OR(LEFT($AQ216,3)="QT.",LEFT($AQ216,4)="QUAN"),"QT",IF($AR216=999,$AQ216,TRIM(LEFT($AQ216,$AR216-1))))))</f>
        <v/>
      </c>
      <c r="AP216" s="473" t="str">
        <f t="shared" ref="AP216:AP250" si="58">IF($AD216="","",IF(ISNUMBER($AD216),"",IF(OR(LEFT($AQ216,3)="QT.",LEFT($AQ216,4)="QUAN"),"QT. SUFFISANTE",IF($AO216="","",TRIM(MID($AQ216,LEN($AO216&amp;"")+1,999))))))</f>
        <v/>
      </c>
      <c r="AQ216" s="473" t="str">
        <f t="shared" ref="AQ216:AQ250" si="59">IF($AD216="","",UPPER(TRIM(SUBSTITUTE(SUBSTITUTE($AD216&amp;"",CHAR(160)," ")," "," "))))</f>
        <v/>
      </c>
      <c r="AR216" s="473" t="str">
        <f t="shared" ref="AR216:AR250" si="60">IF($AQ216="","",MIN($AS216,$AT216,$AU216))</f>
        <v/>
      </c>
      <c r="AS216" s="473" t="str">
        <f t="shared" ref="AS216:AS250" si="61">IF($AQ216="","",MIN(IFERROR(SEARCH("A",$AQ216),999),IFERROR(SEARCH("B",$AQ216),999),IFERROR(SEARCH("C",$AQ216),999),IFERROR(SEARCH("D",$AQ216),999),IFERROR(SEARCH("E",$AQ216),999),IFERROR(SEARCH("F",$AQ216),999),IFERROR(SEARCH("G",$AQ216),999),IFERROR(SEARCH("H",$AQ216),999),IFERROR(SEARCH("I",$AQ216),999)))</f>
        <v/>
      </c>
      <c r="AT216" s="473" t="str">
        <f t="shared" ref="AT216:AT250" si="62">IF($AQ216="","",MIN(IFERROR(SEARCH("J",$AQ216),999),IFERROR(SEARCH("K",$AQ216),999),IFERROR(SEARCH("L",$AQ216),999),IFERROR(SEARCH("M",$AQ216),999),IFERROR(SEARCH("N",$AQ216),999),IFERROR(SEARCH("O",$AQ216),999),IFERROR(SEARCH("P",$AQ216),999),IFERROR(SEARCH("Q",$AQ216),999),IFERROR(SEARCH("R",$AQ216),999)))</f>
        <v/>
      </c>
      <c r="AU216" s="473" t="str">
        <f t="shared" ref="AU216:AU250" si="63">IF($AQ216="","",MIN(IFERROR(SEARCH("S",$AQ216),999),IFERROR(SEARCH("T",$AQ216),999),IFERROR(SEARCH("U",$AQ216),999),IFERROR(SEARCH("V",$AQ216),999),IFERROR(SEARCH("W",$AQ216),999),IFERROR(SEARCH("X",$AQ216),999),IFERROR(SEARCH("Y",$AQ216),999),IFERROR(SEARCH("Z",$AQ216),999)))</f>
        <v/>
      </c>
      <c r="AZ216" s="28" t="s">
        <v>14</v>
      </c>
      <c r="BA216" s="34" t="s">
        <v>493</v>
      </c>
      <c r="BB216" s="499"/>
      <c r="BC216" s="271"/>
      <c r="BD216" s="279">
        <v>1</v>
      </c>
      <c r="BE216" s="271"/>
      <c r="BF216" s="271"/>
      <c r="BG216" s="271"/>
      <c r="BH216" s="271"/>
      <c r="BI216" s="271"/>
      <c r="BJ216" s="271"/>
      <c r="BK216" s="271"/>
      <c r="BL216" s="271"/>
    </row>
    <row r="217" spans="18:64" ht="21" customHeight="1" x14ac:dyDescent="0.25">
      <c r="S217" s="451"/>
      <c r="T217" s="27" t="s">
        <v>8</v>
      </c>
      <c r="V217" s="475">
        <f>$V$216</f>
        <v>5</v>
      </c>
      <c r="W217" s="475" t="str">
        <f>IF($AC$217="","",$W$216)</f>
        <v>N° 15</v>
      </c>
      <c r="X217" s="476" t="str">
        <f>IF($AC$217="","",$X$216)</f>
        <v>THON CATALANE*</v>
      </c>
      <c r="Y217" s="477">
        <f>IF($X$217="","",$Y$216)</f>
        <v>32</v>
      </c>
      <c r="Z217" s="477">
        <f>IF($X$217="","",$Z$216)</f>
        <v>100</v>
      </c>
      <c r="AA217" s="477">
        <f>IF($AC$217="","",ROW($A$217)-ROW($A$216))</f>
        <v>1</v>
      </c>
      <c r="AB217" s="478"/>
      <c r="AC217" s="34" t="s">
        <v>139</v>
      </c>
      <c r="AD217" s="356"/>
      <c r="AE217" s="479">
        <v>1.5</v>
      </c>
      <c r="AF217" s="466" t="s">
        <v>7</v>
      </c>
      <c r="AG217" s="480">
        <f t="shared" si="52"/>
        <v>1.5</v>
      </c>
      <c r="AH217" s="481" t="str">
        <f t="shared" si="53"/>
        <v>KG</v>
      </c>
      <c r="AI217" s="477" t="str">
        <f>IF($AC$217="","",IFERROR(INDEX($AZ$74:$AZ$119,MATCH($AH$217,$AY$74:$AY$119,0)),"AUTRE"))</f>
        <v>MASSE</v>
      </c>
      <c r="AJ217" s="482">
        <f>IF($AC$217="","",IFERROR(INDEX($BA$74:$BA$119,MATCH($AH$217,$AY$74:$AY$119,0)),1))</f>
        <v>1</v>
      </c>
      <c r="AK217" s="482">
        <f t="shared" si="54"/>
        <v>1.5</v>
      </c>
      <c r="AL217" s="477" t="str">
        <f>IF($AC$217="","",IFERROR(INDEX($BB$74:$BB$119,MATCH($AH$217,$AY$74:$AY$119,0)),$AH$217))</f>
        <v>kg</v>
      </c>
      <c r="AM217" s="483" t="str">
        <f t="shared" si="55"/>
        <v>OK</v>
      </c>
      <c r="AN217" s="484">
        <f t="shared" si="56"/>
        <v>1.5</v>
      </c>
      <c r="AO217" s="473" t="str">
        <f t="shared" si="57"/>
        <v/>
      </c>
      <c r="AP217" s="473" t="str">
        <f t="shared" si="58"/>
        <v/>
      </c>
      <c r="AQ217" s="473" t="str">
        <f t="shared" si="59"/>
        <v/>
      </c>
      <c r="AR217" s="473" t="str">
        <f t="shared" si="60"/>
        <v/>
      </c>
      <c r="AS217" s="473" t="str">
        <f t="shared" si="61"/>
        <v/>
      </c>
      <c r="AT217" s="473" t="str">
        <f t="shared" si="62"/>
        <v/>
      </c>
      <c r="AU217" s="473" t="str">
        <f t="shared" si="63"/>
        <v/>
      </c>
      <c r="AZ217" s="28" t="s">
        <v>15</v>
      </c>
      <c r="BA217" s="34" t="s">
        <v>494</v>
      </c>
      <c r="BB217" s="499"/>
      <c r="BC217" s="271"/>
      <c r="BD217" s="279">
        <v>1</v>
      </c>
      <c r="BE217" s="271"/>
      <c r="BF217" s="271"/>
      <c r="BG217" s="271"/>
      <c r="BH217" s="271"/>
      <c r="BI217" s="271"/>
      <c r="BJ217" s="271"/>
      <c r="BK217" s="271"/>
      <c r="BL217" s="271"/>
    </row>
    <row r="218" spans="18:64" ht="21" customHeight="1" x14ac:dyDescent="0.25">
      <c r="R218" s="25" t="s">
        <v>6115</v>
      </c>
      <c r="S218" s="451"/>
      <c r="T218" s="28" t="s">
        <v>13</v>
      </c>
      <c r="V218" s="475">
        <v>5</v>
      </c>
      <c r="W218" s="475" t="str">
        <f>IF($AC$218="","",$W$216)</f>
        <v>N° 15</v>
      </c>
      <c r="X218" s="476" t="str">
        <f>IF($AC$218="","",$X$216)</f>
        <v>THON CATALANE*</v>
      </c>
      <c r="Y218" s="477">
        <f>IF($X$218="","",$Y$216)</f>
        <v>32</v>
      </c>
      <c r="Z218" s="477">
        <f>IF($X$218="","",$Z$216)</f>
        <v>100</v>
      </c>
      <c r="AA218" s="477">
        <f>IF($AC$218="","",ROW($A$218)-ROW($A$216))</f>
        <v>2</v>
      </c>
      <c r="AB218" s="478"/>
      <c r="AC218" s="34" t="s">
        <v>140</v>
      </c>
      <c r="AD218" s="356"/>
      <c r="AE218" s="479">
        <v>4</v>
      </c>
      <c r="AF218" s="466" t="s">
        <v>7</v>
      </c>
      <c r="AG218" s="480">
        <f t="shared" si="52"/>
        <v>4</v>
      </c>
      <c r="AH218" s="481" t="str">
        <f t="shared" si="53"/>
        <v>KG</v>
      </c>
      <c r="AI218" s="477" t="str">
        <f>IF($AC$218="","",IFERROR(INDEX($AZ$74:$AZ$119,MATCH($AH$218,$AY$74:$AY$119,0)),"AUTRE"))</f>
        <v>MASSE</v>
      </c>
      <c r="AJ218" s="482">
        <f>IF($AC$218="","",IFERROR(INDEX($BA$74:$BA$119,MATCH($AH$218,$AY$74:$AY$119,0)),1))</f>
        <v>1</v>
      </c>
      <c r="AK218" s="482">
        <f t="shared" si="54"/>
        <v>4</v>
      </c>
      <c r="AL218" s="477" t="str">
        <f>IF($AC$218="","",IFERROR(INDEX($BB$74:$BB$119,MATCH($AH$218,$AY$74:$AY$119,0)),$AH$218))</f>
        <v>kg</v>
      </c>
      <c r="AM218" s="483" t="str">
        <f t="shared" si="55"/>
        <v>OK</v>
      </c>
      <c r="AN218" s="484">
        <f t="shared" si="56"/>
        <v>4</v>
      </c>
      <c r="AO218" s="473" t="str">
        <f t="shared" si="57"/>
        <v/>
      </c>
      <c r="AP218" s="473" t="str">
        <f t="shared" si="58"/>
        <v/>
      </c>
      <c r="AQ218" s="473" t="str">
        <f t="shared" si="59"/>
        <v/>
      </c>
      <c r="AR218" s="473" t="str">
        <f t="shared" si="60"/>
        <v/>
      </c>
      <c r="AS218" s="473" t="str">
        <f t="shared" si="61"/>
        <v/>
      </c>
      <c r="AT218" s="473" t="str">
        <f t="shared" si="62"/>
        <v/>
      </c>
      <c r="AU218" s="473" t="str">
        <f t="shared" si="63"/>
        <v/>
      </c>
      <c r="AZ218" s="29" t="s">
        <v>9</v>
      </c>
      <c r="BB218" s="499"/>
      <c r="BC218" s="271"/>
      <c r="BD218" s="279">
        <v>1</v>
      </c>
      <c r="BE218" s="271"/>
      <c r="BF218" s="271"/>
      <c r="BG218" s="271"/>
      <c r="BH218" s="271"/>
      <c r="BI218" s="271"/>
      <c r="BJ218" s="271"/>
      <c r="BK218" s="271"/>
      <c r="BL218" s="271"/>
    </row>
    <row r="219" spans="18:64" ht="21" customHeight="1" x14ac:dyDescent="0.25">
      <c r="R219" s="34" t="s">
        <v>471</v>
      </c>
      <c r="S219" s="451"/>
      <c r="T219" s="28" t="s">
        <v>14</v>
      </c>
      <c r="V219" s="475">
        <v>5</v>
      </c>
      <c r="W219" s="475" t="str">
        <f>IF($AC$219="","",$W$216)</f>
        <v>N° 15</v>
      </c>
      <c r="X219" s="476" t="str">
        <f>IF($AC$219="","",$X$216)</f>
        <v>THON CATALANE*</v>
      </c>
      <c r="Y219" s="477">
        <f>IF($X$219="","",$Y$216)</f>
        <v>32</v>
      </c>
      <c r="Z219" s="477">
        <f>IF($X$219="","",$Z$216)</f>
        <v>100</v>
      </c>
      <c r="AA219" s="477">
        <f>IF($AC$219="","",ROW($A$219)-ROW($A$216))</f>
        <v>3</v>
      </c>
      <c r="AB219" s="478"/>
      <c r="AC219" s="34" t="s">
        <v>141</v>
      </c>
      <c r="AD219" s="356"/>
      <c r="AE219" s="479">
        <v>0.5</v>
      </c>
      <c r="AF219" s="32" t="s">
        <v>316</v>
      </c>
      <c r="AG219" s="480">
        <f t="shared" si="52"/>
        <v>0.5</v>
      </c>
      <c r="AH219" s="481" t="str">
        <f t="shared" si="53"/>
        <v>BTE(S) 5/1</v>
      </c>
      <c r="AI219" s="477" t="str">
        <f>IF($AC$219="","",IFERROR(INDEX($AZ$74:$AZ$119,MATCH($AH$219,$AY$74:$AY$119,0)),"AUTRE"))</f>
        <v>AUTRE</v>
      </c>
      <c r="AJ219" s="482">
        <f>IF($AC$219="","",IFERROR(INDEX($BA$74:$BA$119,MATCH($AH$219,$AY$74:$AY$119,0)),1))</f>
        <v>1</v>
      </c>
      <c r="AK219" s="482">
        <f t="shared" si="54"/>
        <v>0.5</v>
      </c>
      <c r="AL219" s="477" t="str">
        <f>IF($AC$219="","",IFERROR(INDEX($BB$74:$BB$119,MATCH($AH$219,$AY$74:$AY$119,0)),$AH$219))</f>
        <v>bte(s) 5/1</v>
      </c>
      <c r="AM219" s="483" t="str">
        <f t="shared" si="55"/>
        <v>OK</v>
      </c>
      <c r="AN219" s="484">
        <f t="shared" si="56"/>
        <v>0.5</v>
      </c>
      <c r="AO219" s="473" t="str">
        <f t="shared" si="57"/>
        <v/>
      </c>
      <c r="AP219" s="473" t="str">
        <f t="shared" si="58"/>
        <v/>
      </c>
      <c r="AQ219" s="473" t="str">
        <f t="shared" si="59"/>
        <v/>
      </c>
      <c r="AR219" s="473" t="str">
        <f t="shared" si="60"/>
        <v/>
      </c>
      <c r="AS219" s="473" t="str">
        <f t="shared" si="61"/>
        <v/>
      </c>
      <c r="AT219" s="473" t="str">
        <f t="shared" si="62"/>
        <v/>
      </c>
      <c r="AU219" s="473" t="str">
        <f t="shared" si="63"/>
        <v/>
      </c>
      <c r="AZ219" s="30" t="s">
        <v>10</v>
      </c>
      <c r="BA219" s="25" t="s">
        <v>6115</v>
      </c>
      <c r="BB219" s="499"/>
      <c r="BC219" s="271"/>
      <c r="BD219" s="279">
        <v>1</v>
      </c>
      <c r="BE219" s="271"/>
      <c r="BF219" s="271"/>
      <c r="BG219" s="271"/>
      <c r="BH219" s="271"/>
      <c r="BI219" s="271"/>
      <c r="BJ219" s="271"/>
      <c r="BK219" s="271"/>
      <c r="BL219" s="271"/>
    </row>
    <row r="220" spans="18:64" ht="21" customHeight="1" x14ac:dyDescent="0.25">
      <c r="R220" s="34" t="s">
        <v>472</v>
      </c>
      <c r="S220" s="451"/>
      <c r="T220" s="28" t="s">
        <v>15</v>
      </c>
      <c r="V220" s="475">
        <v>5</v>
      </c>
      <c r="W220" s="475" t="str">
        <f>IF($AC$220="","",$W$216)</f>
        <v>N° 15</v>
      </c>
      <c r="X220" s="476" t="str">
        <f>IF($AC$220="","",$X$216)</f>
        <v>THON CATALANE*</v>
      </c>
      <c r="Y220" s="477">
        <f>IF($X$220="","",$Y$216)</f>
        <v>32</v>
      </c>
      <c r="Z220" s="477">
        <f>IF($X$220="","",$Z$216)</f>
        <v>100</v>
      </c>
      <c r="AA220" s="477">
        <f>IF($AC$220="","",ROW($A$220)-ROW($A$216))</f>
        <v>4</v>
      </c>
      <c r="AB220" s="478"/>
      <c r="AC220" s="34" t="s">
        <v>142</v>
      </c>
      <c r="AD220" s="356"/>
      <c r="AE220" s="479">
        <v>200</v>
      </c>
      <c r="AF220" s="27" t="s">
        <v>8</v>
      </c>
      <c r="AG220" s="480">
        <f t="shared" si="52"/>
        <v>200</v>
      </c>
      <c r="AH220" s="481" t="str">
        <f t="shared" si="53"/>
        <v>G</v>
      </c>
      <c r="AI220" s="477" t="str">
        <f>IF($AC$220="","",IFERROR(INDEX($AZ$74:$AZ$119,MATCH($AH$220,$AY$74:$AY$119,0)),"AUTRE"))</f>
        <v>MASSE</v>
      </c>
      <c r="AJ220" s="482">
        <f>IF($AC$220="","",IFERROR(INDEX($BA$74:$BA$119,MATCH($AH$220,$AY$74:$AY$119,0)),1))</f>
        <v>1E-3</v>
      </c>
      <c r="AK220" s="482">
        <f t="shared" si="54"/>
        <v>0.2</v>
      </c>
      <c r="AL220" s="477" t="str">
        <f>IF($AC$220="","",IFERROR(INDEX($BB$74:$BB$119,MATCH($AH$220,$AY$74:$AY$119,0)),$AH$220))</f>
        <v>kg</v>
      </c>
      <c r="AM220" s="483" t="str">
        <f t="shared" si="55"/>
        <v>OK</v>
      </c>
      <c r="AN220" s="484">
        <f t="shared" si="56"/>
        <v>200</v>
      </c>
      <c r="AO220" s="473" t="str">
        <f t="shared" si="57"/>
        <v/>
      </c>
      <c r="AP220" s="473" t="str">
        <f t="shared" si="58"/>
        <v/>
      </c>
      <c r="AQ220" s="473" t="str">
        <f t="shared" si="59"/>
        <v/>
      </c>
      <c r="AR220" s="473" t="str">
        <f t="shared" si="60"/>
        <v/>
      </c>
      <c r="AS220" s="473" t="str">
        <f t="shared" si="61"/>
        <v/>
      </c>
      <c r="AT220" s="473" t="str">
        <f t="shared" si="62"/>
        <v/>
      </c>
      <c r="AU220" s="473" t="str">
        <f t="shared" si="63"/>
        <v/>
      </c>
      <c r="AZ220" s="30" t="s">
        <v>11</v>
      </c>
      <c r="BA220" s="34" t="s">
        <v>471</v>
      </c>
      <c r="BB220" s="499"/>
      <c r="BC220" s="271"/>
      <c r="BD220" s="279">
        <v>1</v>
      </c>
      <c r="BE220" s="271"/>
      <c r="BF220" s="271"/>
      <c r="BG220" s="271"/>
      <c r="BH220" s="271"/>
      <c r="BI220" s="271"/>
      <c r="BJ220" s="271"/>
      <c r="BK220" s="271"/>
      <c r="BL220" s="271"/>
    </row>
    <row r="221" spans="18:64" ht="21" customHeight="1" x14ac:dyDescent="0.25">
      <c r="R221" s="34" t="s">
        <v>6112</v>
      </c>
      <c r="S221" s="451"/>
      <c r="T221" s="28" t="s">
        <v>21</v>
      </c>
      <c r="V221" s="475">
        <v>5</v>
      </c>
      <c r="W221" s="475" t="str">
        <f>IF($AC$221="","",$W$216)</f>
        <v>N° 15</v>
      </c>
      <c r="X221" s="476" t="str">
        <f>IF($AC$221="","",$X$216)</f>
        <v>THON CATALANE*</v>
      </c>
      <c r="Y221" s="477">
        <f>IF($X$221="","",$Y$216)</f>
        <v>32</v>
      </c>
      <c r="Z221" s="477">
        <f>IF($X$221="","",$Z$216)</f>
        <v>100</v>
      </c>
      <c r="AA221" s="477">
        <f>IF($AC$221="","",ROW($A$221)-ROW($A$216))</f>
        <v>5</v>
      </c>
      <c r="AB221" s="478"/>
      <c r="AC221" s="34" t="s">
        <v>74</v>
      </c>
      <c r="AD221" s="356"/>
      <c r="AE221" s="479">
        <v>1</v>
      </c>
      <c r="AF221" s="29" t="s">
        <v>9</v>
      </c>
      <c r="AG221" s="480">
        <f t="shared" si="52"/>
        <v>1</v>
      </c>
      <c r="AH221" s="481" t="str">
        <f t="shared" si="53"/>
        <v>L</v>
      </c>
      <c r="AI221" s="477" t="str">
        <f>IF($AC$221="","",IFERROR(INDEX($AZ$74:$AZ$119,MATCH($AH$221,$AY$74:$AY$119,0)),"AUTRE"))</f>
        <v>VOLUME</v>
      </c>
      <c r="AJ221" s="482">
        <f>IF($AC$221="","",IFERROR(INDEX($BA$74:$BA$119,MATCH($AH$221,$AY$74:$AY$119,0)),1))</f>
        <v>1</v>
      </c>
      <c r="AK221" s="482">
        <f t="shared" si="54"/>
        <v>1</v>
      </c>
      <c r="AL221" s="477" t="str">
        <f>IF($AC$221="","",IFERROR(INDEX($BB$74:$BB$119,MATCH($AH$221,$AY$74:$AY$119,0)),$AH$221))</f>
        <v>L</v>
      </c>
      <c r="AM221" s="483" t="str">
        <f t="shared" si="55"/>
        <v>OK</v>
      </c>
      <c r="AN221" s="484">
        <f t="shared" si="56"/>
        <v>1</v>
      </c>
      <c r="AO221" s="473" t="str">
        <f t="shared" si="57"/>
        <v/>
      </c>
      <c r="AP221" s="473" t="str">
        <f t="shared" si="58"/>
        <v/>
      </c>
      <c r="AQ221" s="473" t="str">
        <f t="shared" si="59"/>
        <v/>
      </c>
      <c r="AR221" s="473" t="str">
        <f t="shared" si="60"/>
        <v/>
      </c>
      <c r="AS221" s="473" t="str">
        <f t="shared" si="61"/>
        <v/>
      </c>
      <c r="AT221" s="473" t="str">
        <f t="shared" si="62"/>
        <v/>
      </c>
      <c r="AU221" s="473" t="str">
        <f t="shared" si="63"/>
        <v/>
      </c>
      <c r="AZ221" s="30" t="s">
        <v>12</v>
      </c>
      <c r="BA221" s="34" t="s">
        <v>472</v>
      </c>
      <c r="BB221" s="499"/>
      <c r="BC221" s="271"/>
      <c r="BD221" s="279">
        <v>1</v>
      </c>
      <c r="BE221" s="271"/>
      <c r="BF221" s="271"/>
      <c r="BG221" s="271"/>
      <c r="BH221" s="271"/>
      <c r="BI221" s="271"/>
      <c r="BJ221" s="271"/>
      <c r="BK221" s="271"/>
      <c r="BL221" s="271"/>
    </row>
    <row r="222" spans="18:64" ht="21" customHeight="1" x14ac:dyDescent="0.25">
      <c r="R222" s="25" t="s">
        <v>6116</v>
      </c>
      <c r="S222" s="451"/>
      <c r="T222" s="28" t="s">
        <v>22</v>
      </c>
      <c r="V222" s="475">
        <v>5</v>
      </c>
      <c r="W222" s="475" t="str">
        <f>IF($AC$222="","",$W$216)</f>
        <v>N° 15</v>
      </c>
      <c r="X222" s="476" t="str">
        <f>IF($AC$222="","",$X$216)</f>
        <v>THON CATALANE*</v>
      </c>
      <c r="Y222" s="477">
        <f>IF($X$222="","",$Y$216)</f>
        <v>32</v>
      </c>
      <c r="Z222" s="477">
        <f>IF($X$222="","",$Z$216)</f>
        <v>100</v>
      </c>
      <c r="AA222" s="477">
        <f>IF($AC$222="","",ROW($A$222)-ROW($A$216))</f>
        <v>6</v>
      </c>
      <c r="AB222" s="478"/>
      <c r="AC222" s="34" t="s">
        <v>42</v>
      </c>
      <c r="AD222" s="356"/>
      <c r="AE222" s="479">
        <v>15</v>
      </c>
      <c r="AF222" s="30" t="s">
        <v>10</v>
      </c>
      <c r="AG222" s="480">
        <f t="shared" si="52"/>
        <v>15</v>
      </c>
      <c r="AH222" s="481" t="str">
        <f t="shared" si="53"/>
        <v>DL</v>
      </c>
      <c r="AI222" s="477" t="str">
        <f>IF($AC$222="","",IFERROR(INDEX($AZ$74:$AZ$119,MATCH($AH$222,$AY$74:$AY$119,0)),"AUTRE"))</f>
        <v>VOLUME</v>
      </c>
      <c r="AJ222" s="482">
        <f>IF($AC$222="","",IFERROR(INDEX($BA$74:$BA$119,MATCH($AH$222,$AY$74:$AY$119,0)),1))</f>
        <v>0.1</v>
      </c>
      <c r="AK222" s="482">
        <f t="shared" si="54"/>
        <v>1.5</v>
      </c>
      <c r="AL222" s="477" t="str">
        <f>IF($AC$222="","",IFERROR(INDEX($BB$74:$BB$119,MATCH($AH$222,$AY$74:$AY$119,0)),$AH$222))</f>
        <v>L</v>
      </c>
      <c r="AM222" s="483" t="str">
        <f t="shared" si="55"/>
        <v>OK</v>
      </c>
      <c r="AN222" s="484">
        <f t="shared" si="56"/>
        <v>15</v>
      </c>
      <c r="AO222" s="473" t="str">
        <f t="shared" si="57"/>
        <v/>
      </c>
      <c r="AP222" s="473" t="str">
        <f t="shared" si="58"/>
        <v/>
      </c>
      <c r="AQ222" s="473" t="str">
        <f t="shared" si="59"/>
        <v/>
      </c>
      <c r="AR222" s="473" t="str">
        <f t="shared" si="60"/>
        <v/>
      </c>
      <c r="AS222" s="473" t="str">
        <f t="shared" si="61"/>
        <v/>
      </c>
      <c r="AT222" s="473" t="str">
        <f t="shared" si="62"/>
        <v/>
      </c>
      <c r="AU222" s="473" t="str">
        <f t="shared" si="63"/>
        <v/>
      </c>
      <c r="AZ222" s="31" t="s">
        <v>16</v>
      </c>
      <c r="BA222" s="34" t="s">
        <v>6112</v>
      </c>
      <c r="BB222" s="499"/>
      <c r="BC222" s="271"/>
      <c r="BD222" s="279">
        <v>1</v>
      </c>
      <c r="BE222" s="271"/>
      <c r="BF222" s="271"/>
      <c r="BG222" s="271"/>
      <c r="BH222" s="271"/>
      <c r="BI222" s="271"/>
      <c r="BJ222" s="271"/>
      <c r="BK222" s="271"/>
      <c r="BL222" s="271"/>
    </row>
    <row r="223" spans="18:64" ht="21" customHeight="1" x14ac:dyDescent="0.25">
      <c r="R223" s="34" t="s">
        <v>6117</v>
      </c>
      <c r="S223" s="451"/>
      <c r="T223" s="28" t="s">
        <v>23</v>
      </c>
      <c r="V223" s="475">
        <v>5</v>
      </c>
      <c r="W223" s="475" t="str">
        <f>IF($AC$223="","",$W$216)</f>
        <v>N° 15</v>
      </c>
      <c r="X223" s="476" t="str">
        <f>IF($AC$223="","",$X$216)</f>
        <v>THON CATALANE*</v>
      </c>
      <c r="Y223" s="477">
        <f>IF($X$223="","",$Y$216)</f>
        <v>32</v>
      </c>
      <c r="Z223" s="477">
        <f>IF($X$223="","",$Z$216)</f>
        <v>100</v>
      </c>
      <c r="AA223" s="477">
        <f>IF($AC$223="","",ROW($A$223)-ROW($A$216))</f>
        <v>7</v>
      </c>
      <c r="AB223" s="478"/>
      <c r="AC223" s="34" t="s">
        <v>113</v>
      </c>
      <c r="AD223" s="356"/>
      <c r="AE223" s="479">
        <v>10</v>
      </c>
      <c r="AF223" s="30" t="s">
        <v>10</v>
      </c>
      <c r="AG223" s="480">
        <f t="shared" si="52"/>
        <v>10</v>
      </c>
      <c r="AH223" s="481" t="str">
        <f t="shared" si="53"/>
        <v>DL</v>
      </c>
      <c r="AI223" s="477" t="str">
        <f>IF($AC$223="","",IFERROR(INDEX($AZ$74:$AZ$119,MATCH($AH$223,$AY$74:$AY$119,0)),"AUTRE"))</f>
        <v>VOLUME</v>
      </c>
      <c r="AJ223" s="482">
        <f>IF($AC$223="","",IFERROR(INDEX($BA$74:$BA$119,MATCH($AH$223,$AY$74:$AY$119,0)),1))</f>
        <v>0.1</v>
      </c>
      <c r="AK223" s="482">
        <f t="shared" si="54"/>
        <v>1</v>
      </c>
      <c r="AL223" s="477" t="str">
        <f>IF($AC$223="","",IFERROR(INDEX($BB$74:$BB$119,MATCH($AH$223,$AY$74:$AY$119,0)),$AH$223))</f>
        <v>L</v>
      </c>
      <c r="AM223" s="483" t="str">
        <f t="shared" si="55"/>
        <v>OK</v>
      </c>
      <c r="AN223" s="484">
        <f t="shared" si="56"/>
        <v>10</v>
      </c>
      <c r="AO223" s="473" t="str">
        <f t="shared" si="57"/>
        <v/>
      </c>
      <c r="AP223" s="473" t="str">
        <f t="shared" si="58"/>
        <v/>
      </c>
      <c r="AQ223" s="473" t="str">
        <f t="shared" si="59"/>
        <v/>
      </c>
      <c r="AR223" s="473" t="str">
        <f t="shared" si="60"/>
        <v/>
      </c>
      <c r="AS223" s="473" t="str">
        <f t="shared" si="61"/>
        <v/>
      </c>
      <c r="AT223" s="473" t="str">
        <f t="shared" si="62"/>
        <v/>
      </c>
      <c r="AU223" s="473" t="str">
        <f t="shared" si="63"/>
        <v/>
      </c>
      <c r="AZ223" s="31" t="s">
        <v>17</v>
      </c>
      <c r="BA223" s="25" t="s">
        <v>6116</v>
      </c>
      <c r="BB223" s="499"/>
      <c r="BC223" s="271"/>
      <c r="BD223" s="279">
        <v>1</v>
      </c>
      <c r="BE223" s="271"/>
      <c r="BF223" s="271"/>
      <c r="BG223" s="271"/>
      <c r="BH223" s="271"/>
      <c r="BI223" s="271"/>
      <c r="BJ223" s="271"/>
      <c r="BK223" s="271"/>
      <c r="BL223" s="271"/>
    </row>
    <row r="224" spans="18:64" ht="21" customHeight="1" x14ac:dyDescent="0.25">
      <c r="R224" s="34" t="s">
        <v>469</v>
      </c>
      <c r="S224" s="451"/>
      <c r="T224" s="28" t="s">
        <v>24</v>
      </c>
      <c r="V224" s="475">
        <v>5</v>
      </c>
      <c r="W224" s="475" t="str">
        <f>IF($AC$224="","",$W$216)</f>
        <v>N° 15</v>
      </c>
      <c r="X224" s="476" t="str">
        <f>IF($AC$224="","",$X$216)</f>
        <v>THON CATALANE*</v>
      </c>
      <c r="Y224" s="477">
        <f>IF($X$224="","",$Y$216)</f>
        <v>32</v>
      </c>
      <c r="Z224" s="477">
        <f>IF($X$224="","",$Z$216)</f>
        <v>100</v>
      </c>
      <c r="AA224" s="477">
        <f>IF($AC$224="","",ROW($A$224)-ROW($A$216))</f>
        <v>8</v>
      </c>
      <c r="AB224" s="478"/>
      <c r="AC224" s="34" t="s">
        <v>363</v>
      </c>
      <c r="AD224" s="356"/>
      <c r="AE224" s="479">
        <v>125</v>
      </c>
      <c r="AF224" s="27" t="s">
        <v>8</v>
      </c>
      <c r="AG224" s="480">
        <f t="shared" si="52"/>
        <v>125</v>
      </c>
      <c r="AH224" s="481" t="str">
        <f t="shared" si="53"/>
        <v>G</v>
      </c>
      <c r="AI224" s="477" t="str">
        <f>IF($AC$224="","",IFERROR(INDEX($AZ$74:$AZ$119,MATCH($AH$224,$AY$74:$AY$119,0)),"AUTRE"))</f>
        <v>MASSE</v>
      </c>
      <c r="AJ224" s="482">
        <f>IF($AC$224="","",IFERROR(INDEX($BA$74:$BA$119,MATCH($AH$224,$AY$74:$AY$119,0)),1))</f>
        <v>1E-3</v>
      </c>
      <c r="AK224" s="482">
        <f t="shared" si="54"/>
        <v>0.125</v>
      </c>
      <c r="AL224" s="477" t="str">
        <f>IF($AC$224="","",IFERROR(INDEX($BB$74:$BB$119,MATCH($AH$224,$AY$74:$AY$119,0)),$AH$224))</f>
        <v>kg</v>
      </c>
      <c r="AM224" s="483" t="str">
        <f t="shared" si="55"/>
        <v>OK</v>
      </c>
      <c r="AN224" s="484">
        <f t="shared" si="56"/>
        <v>125</v>
      </c>
      <c r="AO224" s="473" t="str">
        <f t="shared" si="57"/>
        <v/>
      </c>
      <c r="AP224" s="473" t="str">
        <f t="shared" si="58"/>
        <v/>
      </c>
      <c r="AQ224" s="473" t="str">
        <f t="shared" si="59"/>
        <v/>
      </c>
      <c r="AR224" s="473" t="str">
        <f t="shared" si="60"/>
        <v/>
      </c>
      <c r="AS224" s="473" t="str">
        <f t="shared" si="61"/>
        <v/>
      </c>
      <c r="AT224" s="473" t="str">
        <f t="shared" si="62"/>
        <v/>
      </c>
      <c r="AU224" s="473" t="str">
        <f t="shared" si="63"/>
        <v/>
      </c>
      <c r="AZ224" s="31" t="s">
        <v>18</v>
      </c>
      <c r="BA224" s="34" t="s">
        <v>6117</v>
      </c>
      <c r="BB224" s="499"/>
      <c r="BC224" s="271"/>
      <c r="BD224" s="279">
        <v>1</v>
      </c>
      <c r="BE224" s="271"/>
      <c r="BF224" s="271"/>
      <c r="BG224" s="271"/>
      <c r="BH224" s="271"/>
      <c r="BI224" s="271"/>
      <c r="BJ224" s="271"/>
      <c r="BK224" s="271"/>
      <c r="BL224" s="271"/>
    </row>
    <row r="225" spans="18:64" ht="21" customHeight="1" x14ac:dyDescent="0.25">
      <c r="R225" s="34" t="s">
        <v>6118</v>
      </c>
      <c r="S225" s="451"/>
      <c r="T225" s="29" t="s">
        <v>9</v>
      </c>
      <c r="V225" s="475">
        <v>5</v>
      </c>
      <c r="W225" s="475" t="str">
        <f>IF($AC$225="","",$W$216)</f>
        <v>N° 15</v>
      </c>
      <c r="X225" s="476" t="str">
        <f>IF($AC$225="","",$X$216)</f>
        <v>THON CATALANE*</v>
      </c>
      <c r="Y225" s="477">
        <f>IF($X$225="","",$Y$216)</f>
        <v>32</v>
      </c>
      <c r="Z225" s="477">
        <f>IF($X$225="","",$Z$216)</f>
        <v>100</v>
      </c>
      <c r="AA225" s="477">
        <f>IF($AC$225="","",ROW($A$225)-ROW($A$216))</f>
        <v>9</v>
      </c>
      <c r="AB225" s="478"/>
      <c r="AC225" s="34" t="s">
        <v>143</v>
      </c>
      <c r="AD225" s="356"/>
      <c r="AE225" s="479">
        <v>400</v>
      </c>
      <c r="AF225" s="27" t="s">
        <v>8</v>
      </c>
      <c r="AG225" s="480">
        <f t="shared" si="52"/>
        <v>400</v>
      </c>
      <c r="AH225" s="481" t="str">
        <f t="shared" si="53"/>
        <v>G</v>
      </c>
      <c r="AI225" s="477" t="str">
        <f>IF($AC$225="","",IFERROR(INDEX($AZ$74:$AZ$119,MATCH($AH$225,$AY$74:$AY$119,0)),"AUTRE"))</f>
        <v>MASSE</v>
      </c>
      <c r="AJ225" s="482">
        <f>IF($AC$225="","",IFERROR(INDEX($BA$74:$BA$119,MATCH($AH$225,$AY$74:$AY$119,0)),1))</f>
        <v>1E-3</v>
      </c>
      <c r="AK225" s="482">
        <f t="shared" si="54"/>
        <v>0.4</v>
      </c>
      <c r="AL225" s="477" t="str">
        <f>IF($AC$225="","",IFERROR(INDEX($BB$74:$BB$119,MATCH($AH$225,$AY$74:$AY$119,0)),$AH$225))</f>
        <v>kg</v>
      </c>
      <c r="AM225" s="483" t="str">
        <f t="shared" si="55"/>
        <v>OK</v>
      </c>
      <c r="AN225" s="484">
        <f t="shared" si="56"/>
        <v>400</v>
      </c>
      <c r="AO225" s="473" t="str">
        <f t="shared" si="57"/>
        <v/>
      </c>
      <c r="AP225" s="473" t="str">
        <f t="shared" si="58"/>
        <v/>
      </c>
      <c r="AQ225" s="473" t="str">
        <f t="shared" si="59"/>
        <v/>
      </c>
      <c r="AR225" s="473" t="str">
        <f t="shared" si="60"/>
        <v/>
      </c>
      <c r="AS225" s="473" t="str">
        <f t="shared" si="61"/>
        <v/>
      </c>
      <c r="AT225" s="473" t="str">
        <f t="shared" si="62"/>
        <v/>
      </c>
      <c r="AU225" s="473" t="str">
        <f t="shared" si="63"/>
        <v/>
      </c>
      <c r="AZ225" s="31" t="s">
        <v>19</v>
      </c>
      <c r="BA225" s="34" t="s">
        <v>469</v>
      </c>
      <c r="BB225" s="499"/>
      <c r="BC225" s="271"/>
      <c r="BD225" s="279">
        <v>1</v>
      </c>
      <c r="BE225" s="271"/>
      <c r="BF225" s="271"/>
      <c r="BG225" s="271"/>
      <c r="BH225" s="271"/>
      <c r="BI225" s="271"/>
      <c r="BJ225" s="271"/>
      <c r="BK225" s="271"/>
      <c r="BL225" s="271"/>
    </row>
    <row r="226" spans="18:64" ht="21" customHeight="1" x14ac:dyDescent="0.25">
      <c r="R226" s="34" t="s">
        <v>492</v>
      </c>
      <c r="S226" s="451"/>
      <c r="T226" s="30" t="s">
        <v>10</v>
      </c>
      <c r="V226" s="475">
        <v>5</v>
      </c>
      <c r="W226" s="475" t="str">
        <f>IF($AC$226="","",$W$216)</f>
        <v>N° 15</v>
      </c>
      <c r="X226" s="476" t="str">
        <f>IF($AC$226="","",$X$216)</f>
        <v>THON CATALANE*</v>
      </c>
      <c r="Y226" s="477">
        <f>IF($X$226="","",$Y$216)</f>
        <v>32</v>
      </c>
      <c r="Z226" s="477">
        <f>IF($X$226="","",$Z$216)</f>
        <v>100</v>
      </c>
      <c r="AA226" s="477">
        <f>IF($AC$226="","",ROW($A$226)-ROW($A$216))</f>
        <v>10</v>
      </c>
      <c r="AB226" s="478"/>
      <c r="AC226" s="34" t="s">
        <v>43</v>
      </c>
      <c r="AD226" s="356"/>
      <c r="AE226" s="479">
        <v>25</v>
      </c>
      <c r="AF226" s="27" t="s">
        <v>8</v>
      </c>
      <c r="AG226" s="480">
        <f t="shared" si="52"/>
        <v>25</v>
      </c>
      <c r="AH226" s="481" t="str">
        <f t="shared" si="53"/>
        <v>G</v>
      </c>
      <c r="AI226" s="477" t="str">
        <f>IF($AC$226="","",IFERROR(INDEX($AZ$74:$AZ$119,MATCH($AH$226,$AY$74:$AY$119,0)),"AUTRE"))</f>
        <v>MASSE</v>
      </c>
      <c r="AJ226" s="482">
        <f>IF($AC$226="","",IFERROR(INDEX($BA$74:$BA$119,MATCH($AH$226,$AY$74:$AY$119,0)),1))</f>
        <v>1E-3</v>
      </c>
      <c r="AK226" s="482">
        <f t="shared" si="54"/>
        <v>2.5000000000000001E-2</v>
      </c>
      <c r="AL226" s="477" t="str">
        <f>IF($AC$226="","",IFERROR(INDEX($BB$74:$BB$119,MATCH($AH$226,$AY$74:$AY$119,0)),$AH$226))</f>
        <v>kg</v>
      </c>
      <c r="AM226" s="483" t="str">
        <f t="shared" si="55"/>
        <v>OK</v>
      </c>
      <c r="AN226" s="484">
        <f t="shared" si="56"/>
        <v>25</v>
      </c>
      <c r="AO226" s="473" t="str">
        <f t="shared" si="57"/>
        <v/>
      </c>
      <c r="AP226" s="473" t="str">
        <f t="shared" si="58"/>
        <v/>
      </c>
      <c r="AQ226" s="473" t="str">
        <f t="shared" si="59"/>
        <v/>
      </c>
      <c r="AR226" s="473" t="str">
        <f t="shared" si="60"/>
        <v/>
      </c>
      <c r="AS226" s="473" t="str">
        <f t="shared" si="61"/>
        <v/>
      </c>
      <c r="AT226" s="473" t="str">
        <f t="shared" si="62"/>
        <v/>
      </c>
      <c r="AU226" s="473" t="str">
        <f t="shared" si="63"/>
        <v/>
      </c>
      <c r="AZ226" s="31" t="s">
        <v>211</v>
      </c>
      <c r="BA226" s="34" t="s">
        <v>6118</v>
      </c>
      <c r="BB226" s="499"/>
      <c r="BC226" s="271"/>
      <c r="BD226" s="279">
        <v>1</v>
      </c>
      <c r="BE226" s="271"/>
      <c r="BF226" s="271"/>
      <c r="BG226" s="271"/>
      <c r="BH226" s="271"/>
      <c r="BI226" s="271"/>
      <c r="BJ226" s="271"/>
      <c r="BK226" s="271"/>
      <c r="BL226" s="271"/>
    </row>
    <row r="227" spans="18:64" ht="21" customHeight="1" x14ac:dyDescent="0.25">
      <c r="R227" s="34" t="s">
        <v>458</v>
      </c>
      <c r="S227" s="451"/>
      <c r="T227" s="30" t="s">
        <v>11</v>
      </c>
      <c r="V227" s="475">
        <v>5</v>
      </c>
      <c r="W227" s="475" t="str">
        <f>IF($AC$227="","",$W$216)</f>
        <v>N° 15</v>
      </c>
      <c r="X227" s="476" t="str">
        <f>IF($AC$227="","",$X$216)</f>
        <v>THON CATALANE*</v>
      </c>
      <c r="Y227" s="477">
        <f>IF($X$227="","",$Y$216)</f>
        <v>32</v>
      </c>
      <c r="Z227" s="477">
        <f>IF($X$227="","",$Z$216)</f>
        <v>100</v>
      </c>
      <c r="AA227" s="477">
        <f>IF($AC$227="","",ROW($A$227)-ROW($A$216))</f>
        <v>11</v>
      </c>
      <c r="AB227" s="478"/>
      <c r="AC227" s="34" t="s">
        <v>144</v>
      </c>
      <c r="AD227" s="356"/>
      <c r="AE227" s="479">
        <v>10</v>
      </c>
      <c r="AF227" s="27" t="s">
        <v>8</v>
      </c>
      <c r="AG227" s="480">
        <f t="shared" si="52"/>
        <v>10</v>
      </c>
      <c r="AH227" s="481" t="str">
        <f t="shared" si="53"/>
        <v>G</v>
      </c>
      <c r="AI227" s="477" t="str">
        <f>IF($AC$227="","",IFERROR(INDEX($AZ$74:$AZ$119,MATCH($AH$227,$AY$74:$AY$119,0)),"AUTRE"))</f>
        <v>MASSE</v>
      </c>
      <c r="AJ227" s="482">
        <f>IF($AC$227="","",IFERROR(INDEX($BA$74:$BA$119,MATCH($AH$227,$AY$74:$AY$119,0)),1))</f>
        <v>1E-3</v>
      </c>
      <c r="AK227" s="482">
        <f t="shared" si="54"/>
        <v>0.01</v>
      </c>
      <c r="AL227" s="477" t="str">
        <f>IF($AC$227="","",IFERROR(INDEX($BB$74:$BB$119,MATCH($AH$227,$AY$74:$AY$119,0)),$AH$227))</f>
        <v>kg</v>
      </c>
      <c r="AM227" s="483" t="str">
        <f t="shared" si="55"/>
        <v>OK</v>
      </c>
      <c r="AN227" s="484">
        <f t="shared" si="56"/>
        <v>10</v>
      </c>
      <c r="AO227" s="473" t="str">
        <f t="shared" si="57"/>
        <v/>
      </c>
      <c r="AP227" s="473" t="str">
        <f t="shared" si="58"/>
        <v/>
      </c>
      <c r="AQ227" s="473" t="str">
        <f t="shared" si="59"/>
        <v/>
      </c>
      <c r="AR227" s="473" t="str">
        <f t="shared" si="60"/>
        <v/>
      </c>
      <c r="AS227" s="473" t="str">
        <f t="shared" si="61"/>
        <v/>
      </c>
      <c r="AT227" s="473" t="str">
        <f t="shared" si="62"/>
        <v/>
      </c>
      <c r="AU227" s="473" t="str">
        <f t="shared" si="63"/>
        <v/>
      </c>
      <c r="AZ227" s="31" t="s">
        <v>20</v>
      </c>
      <c r="BA227" s="34" t="s">
        <v>492</v>
      </c>
      <c r="BB227" s="499"/>
      <c r="BC227" s="271"/>
      <c r="BD227" s="279">
        <v>1</v>
      </c>
      <c r="BE227" s="271"/>
      <c r="BF227" s="271"/>
      <c r="BG227" s="271"/>
      <c r="BH227" s="271"/>
      <c r="BI227" s="271"/>
      <c r="BJ227" s="271"/>
      <c r="BK227" s="271"/>
      <c r="BL227" s="271"/>
    </row>
    <row r="228" spans="18:64" ht="21" customHeight="1" x14ac:dyDescent="0.25">
      <c r="R228" s="490"/>
      <c r="S228" s="451"/>
      <c r="T228" s="30" t="s">
        <v>12</v>
      </c>
      <c r="V228" s="475">
        <v>5</v>
      </c>
      <c r="W228" s="475" t="str">
        <f>IF($AC$228="","",$W$216)</f>
        <v>N° 15</v>
      </c>
      <c r="X228" s="476" t="str">
        <f>IF($AC$228="","",$X$216)</f>
        <v>THON CATALANE*</v>
      </c>
      <c r="Y228" s="477">
        <f>IF($X$228="","",$Y$216)</f>
        <v>32</v>
      </c>
      <c r="Z228" s="477">
        <f>IF($X$228="","",$Z$216)</f>
        <v>100</v>
      </c>
      <c r="AA228" s="477">
        <f>IF($AC$228="","",ROW($A$228)-ROW($A$216))</f>
        <v>12</v>
      </c>
      <c r="AB228" s="478"/>
      <c r="AC228" s="34" t="s">
        <v>145</v>
      </c>
      <c r="AD228" s="356"/>
      <c r="AE228" s="479">
        <v>2</v>
      </c>
      <c r="AF228" s="27" t="s">
        <v>8</v>
      </c>
      <c r="AG228" s="480">
        <f t="shared" si="52"/>
        <v>2</v>
      </c>
      <c r="AH228" s="481" t="str">
        <f t="shared" si="53"/>
        <v>G</v>
      </c>
      <c r="AI228" s="477" t="str">
        <f>IF($AC$228="","",IFERROR(INDEX($AZ$74:$AZ$119,MATCH($AH$228,$AY$74:$AY$119,0)),"AUTRE"))</f>
        <v>MASSE</v>
      </c>
      <c r="AJ228" s="482">
        <f>IF($AC$228="","",IFERROR(INDEX($BA$74:$BA$119,MATCH($AH$228,$AY$74:$AY$119,0)),1))</f>
        <v>1E-3</v>
      </c>
      <c r="AK228" s="482">
        <f t="shared" si="54"/>
        <v>2E-3</v>
      </c>
      <c r="AL228" s="477" t="str">
        <f>IF($AC$228="","",IFERROR(INDEX($BB$74:$BB$119,MATCH($AH$228,$AY$74:$AY$119,0)),$AH$228))</f>
        <v>kg</v>
      </c>
      <c r="AM228" s="483" t="str">
        <f t="shared" si="55"/>
        <v>OK</v>
      </c>
      <c r="AN228" s="484">
        <f t="shared" si="56"/>
        <v>2</v>
      </c>
      <c r="AO228" s="473" t="str">
        <f t="shared" si="57"/>
        <v/>
      </c>
      <c r="AP228" s="473" t="str">
        <f t="shared" si="58"/>
        <v/>
      </c>
      <c r="AQ228" s="473" t="str">
        <f t="shared" si="59"/>
        <v/>
      </c>
      <c r="AR228" s="473" t="str">
        <f t="shared" si="60"/>
        <v/>
      </c>
      <c r="AS228" s="473" t="str">
        <f t="shared" si="61"/>
        <v/>
      </c>
      <c r="AT228" s="473" t="str">
        <f t="shared" si="62"/>
        <v/>
      </c>
      <c r="AU228" s="473" t="str">
        <f t="shared" si="63"/>
        <v/>
      </c>
      <c r="AZ228" s="31" t="s">
        <v>304</v>
      </c>
      <c r="BA228" s="34" t="s">
        <v>458</v>
      </c>
      <c r="BB228" s="499"/>
      <c r="BC228" s="271"/>
      <c r="BD228" s="279">
        <v>1</v>
      </c>
      <c r="BE228" s="271"/>
      <c r="BF228" s="271"/>
      <c r="BG228" s="271"/>
      <c r="BH228" s="271"/>
      <c r="BI228" s="271"/>
      <c r="BJ228" s="271"/>
      <c r="BK228" s="271"/>
      <c r="BL228" s="271"/>
    </row>
    <row r="229" spans="18:64" ht="21" customHeight="1" x14ac:dyDescent="0.25">
      <c r="R229" s="25" t="s">
        <v>6119</v>
      </c>
      <c r="S229" s="451"/>
      <c r="T229" s="31" t="s">
        <v>16</v>
      </c>
      <c r="V229" s="475">
        <v>5</v>
      </c>
      <c r="W229" s="475" t="str">
        <f>IF($AC$229="","",$W$216)</f>
        <v>N° 15</v>
      </c>
      <c r="X229" s="476" t="str">
        <f>IF($AC$229="","",$X$216)</f>
        <v>THON CATALANE*</v>
      </c>
      <c r="Y229" s="477">
        <f>IF($X$229="","",$Y$216)</f>
        <v>32</v>
      </c>
      <c r="Z229" s="477">
        <f>IF($X$229="","",$Z$216)</f>
        <v>100</v>
      </c>
      <c r="AA229" s="477">
        <f>IF($AC$229="","",ROW($A$229)-ROW($A$216))</f>
        <v>13</v>
      </c>
      <c r="AB229" s="478"/>
      <c r="AC229" s="34" t="s">
        <v>146</v>
      </c>
      <c r="AD229" s="356"/>
      <c r="AE229" s="479">
        <v>2</v>
      </c>
      <c r="AF229" s="27" t="s">
        <v>8</v>
      </c>
      <c r="AG229" s="480">
        <f t="shared" si="52"/>
        <v>2</v>
      </c>
      <c r="AH229" s="481" t="str">
        <f t="shared" si="53"/>
        <v>G</v>
      </c>
      <c r="AI229" s="477" t="str">
        <f>IF($AC$229="","",IFERROR(INDEX($AZ$74:$AZ$119,MATCH($AH$229,$AY$74:$AY$119,0)),"AUTRE"))</f>
        <v>MASSE</v>
      </c>
      <c r="AJ229" s="482">
        <f>IF($AC$229="","",IFERROR(INDEX($BA$74:$BA$119,MATCH($AH$229,$AY$74:$AY$119,0)),1))</f>
        <v>1E-3</v>
      </c>
      <c r="AK229" s="482">
        <f t="shared" si="54"/>
        <v>2E-3</v>
      </c>
      <c r="AL229" s="477" t="str">
        <f>IF($AC$229="","",IFERROR(INDEX($BB$74:$BB$119,MATCH($AH$229,$AY$74:$AY$119,0)),$AH$229))</f>
        <v>kg</v>
      </c>
      <c r="AM229" s="483" t="str">
        <f t="shared" si="55"/>
        <v>OK</v>
      </c>
      <c r="AN229" s="484">
        <f t="shared" si="56"/>
        <v>2</v>
      </c>
      <c r="AO229" s="473" t="str">
        <f t="shared" si="57"/>
        <v/>
      </c>
      <c r="AP229" s="473" t="str">
        <f t="shared" si="58"/>
        <v/>
      </c>
      <c r="AQ229" s="473" t="str">
        <f t="shared" si="59"/>
        <v/>
      </c>
      <c r="AR229" s="473" t="str">
        <f t="shared" si="60"/>
        <v/>
      </c>
      <c r="AS229" s="473" t="str">
        <f t="shared" si="61"/>
        <v/>
      </c>
      <c r="AT229" s="473" t="str">
        <f t="shared" si="62"/>
        <v/>
      </c>
      <c r="AU229" s="473" t="str">
        <f t="shared" si="63"/>
        <v/>
      </c>
      <c r="AZ229" s="31" t="s">
        <v>352</v>
      </c>
      <c r="BA229" s="490"/>
      <c r="BB229" s="499"/>
      <c r="BC229" s="271"/>
      <c r="BD229" s="279">
        <v>1</v>
      </c>
      <c r="BE229" s="271"/>
      <c r="BF229" s="271"/>
      <c r="BG229" s="271"/>
      <c r="BH229" s="271"/>
      <c r="BI229" s="271"/>
      <c r="BJ229" s="271"/>
      <c r="BK229" s="271"/>
      <c r="BL229" s="271"/>
    </row>
    <row r="230" spans="18:64" ht="21" customHeight="1" x14ac:dyDescent="0.25">
      <c r="R230" s="34" t="s">
        <v>6120</v>
      </c>
      <c r="S230" s="451"/>
      <c r="T230" s="31" t="s">
        <v>17</v>
      </c>
      <c r="V230" s="475">
        <v>5</v>
      </c>
      <c r="W230" s="475" t="str">
        <f>IF($AC$230="","",$W$216)</f>
        <v/>
      </c>
      <c r="X230" s="476" t="str">
        <f>IF($AC$230="","",$X$216)</f>
        <v/>
      </c>
      <c r="Y230" s="477" t="str">
        <f>IF($X$230="","",$Y$216)</f>
        <v/>
      </c>
      <c r="Z230" s="477" t="str">
        <f>IF($X$230="","",$Z$216)</f>
        <v/>
      </c>
      <c r="AA230" s="477" t="str">
        <f>IF($AC$230="","",ROW($A$230)-ROW($A$216))</f>
        <v/>
      </c>
      <c r="AB230" s="478"/>
      <c r="AC230" s="34"/>
      <c r="AD230" s="356"/>
      <c r="AE230" s="479"/>
      <c r="AF230" s="475"/>
      <c r="AG230" s="480" t="str">
        <f t="shared" si="52"/>
        <v/>
      </c>
      <c r="AH230" s="481" t="str">
        <f t="shared" si="53"/>
        <v/>
      </c>
      <c r="AI230" s="477" t="str">
        <f>IF($AC$230="","",IFERROR(INDEX($AZ$74:$AZ$119,MATCH($AH$230,$AY$74:$AY$119,0)),"AUTRE"))</f>
        <v/>
      </c>
      <c r="AJ230" s="482" t="str">
        <f>IF($AC$230="","",IFERROR(INDEX($BA$74:$BA$119,MATCH($AH$230,$AY$74:$AY$119,0)),1))</f>
        <v/>
      </c>
      <c r="AK230" s="482" t="str">
        <f t="shared" si="54"/>
        <v/>
      </c>
      <c r="AL230" s="477" t="str">
        <f>IF($AC$230="","",IFERROR(INDEX($BB$74:$BB$119,MATCH($AH$230,$AY$74:$AY$119,0)),$AH$230))</f>
        <v/>
      </c>
      <c r="AM230" s="483" t="str">
        <f t="shared" si="55"/>
        <v/>
      </c>
      <c r="AN230" s="484" t="str">
        <f t="shared" si="56"/>
        <v/>
      </c>
      <c r="AO230" s="473" t="str">
        <f t="shared" si="57"/>
        <v/>
      </c>
      <c r="AP230" s="473" t="str">
        <f t="shared" si="58"/>
        <v/>
      </c>
      <c r="AQ230" s="473" t="str">
        <f t="shared" si="59"/>
        <v/>
      </c>
      <c r="AR230" s="473" t="str">
        <f t="shared" si="60"/>
        <v/>
      </c>
      <c r="AS230" s="473" t="str">
        <f t="shared" si="61"/>
        <v/>
      </c>
      <c r="AT230" s="473" t="str">
        <f t="shared" si="62"/>
        <v/>
      </c>
      <c r="AU230" s="473" t="str">
        <f t="shared" si="63"/>
        <v/>
      </c>
      <c r="AZ230" s="31" t="s">
        <v>27</v>
      </c>
      <c r="BA230" s="25" t="s">
        <v>6119</v>
      </c>
      <c r="BB230" s="499"/>
      <c r="BC230" s="271"/>
      <c r="BD230" s="279">
        <v>1</v>
      </c>
      <c r="BE230" s="271"/>
      <c r="BF230" s="271"/>
      <c r="BG230" s="271"/>
      <c r="BH230" s="271"/>
      <c r="BI230" s="271"/>
      <c r="BJ230" s="271"/>
      <c r="BK230" s="271"/>
      <c r="BL230" s="271"/>
    </row>
    <row r="231" spans="18:64" ht="21" customHeight="1" x14ac:dyDescent="0.25">
      <c r="R231" s="34" t="s">
        <v>6121</v>
      </c>
      <c r="S231" s="451"/>
      <c r="T231" s="31" t="s">
        <v>18</v>
      </c>
      <c r="V231" s="475">
        <v>5</v>
      </c>
      <c r="W231" s="475" t="str">
        <f>IF($AC$231="","",$W$216)</f>
        <v/>
      </c>
      <c r="X231" s="476" t="str">
        <f>IF($AC$231="","",$X$216)</f>
        <v/>
      </c>
      <c r="Y231" s="477" t="str">
        <f>IF($X$231="","",$Y$216)</f>
        <v/>
      </c>
      <c r="Z231" s="477" t="str">
        <f>IF($X$231="","",$Z$216)</f>
        <v/>
      </c>
      <c r="AA231" s="477" t="str">
        <f>IF($AC$231="","",ROW($A$231)-ROW($A$216))</f>
        <v/>
      </c>
      <c r="AB231" s="478"/>
      <c r="AC231" s="34"/>
      <c r="AD231" s="356"/>
      <c r="AE231" s="479"/>
      <c r="AF231" s="475"/>
      <c r="AG231" s="480" t="str">
        <f t="shared" si="52"/>
        <v/>
      </c>
      <c r="AH231" s="481" t="str">
        <f t="shared" si="53"/>
        <v/>
      </c>
      <c r="AI231" s="477" t="str">
        <f>IF($AC$231="","",IFERROR(INDEX($AZ$74:$AZ$119,MATCH($AH$231,$AY$74:$AY$119,0)),"AUTRE"))</f>
        <v/>
      </c>
      <c r="AJ231" s="482" t="str">
        <f>IF($AC$231="","",IFERROR(INDEX($BA$74:$BA$119,MATCH($AH$231,$AY$74:$AY$119,0)),1))</f>
        <v/>
      </c>
      <c r="AK231" s="482" t="str">
        <f t="shared" si="54"/>
        <v/>
      </c>
      <c r="AL231" s="477" t="str">
        <f>IF($AC$231="","",IFERROR(INDEX($BB$74:$BB$119,MATCH($AH$231,$AY$74:$AY$119,0)),$AH$231))</f>
        <v/>
      </c>
      <c r="AM231" s="483" t="str">
        <f t="shared" si="55"/>
        <v/>
      </c>
      <c r="AN231" s="484" t="str">
        <f t="shared" si="56"/>
        <v/>
      </c>
      <c r="AO231" s="473" t="str">
        <f t="shared" si="57"/>
        <v/>
      </c>
      <c r="AP231" s="473" t="str">
        <f t="shared" si="58"/>
        <v/>
      </c>
      <c r="AQ231" s="473" t="str">
        <f t="shared" si="59"/>
        <v/>
      </c>
      <c r="AR231" s="473" t="str">
        <f t="shared" si="60"/>
        <v/>
      </c>
      <c r="AS231" s="473" t="str">
        <f t="shared" si="61"/>
        <v/>
      </c>
      <c r="AT231" s="473" t="str">
        <f t="shared" si="62"/>
        <v/>
      </c>
      <c r="AU231" s="473" t="str">
        <f t="shared" si="63"/>
        <v/>
      </c>
      <c r="AZ231" s="31" t="s">
        <v>28</v>
      </c>
      <c r="BA231" s="34" t="s">
        <v>6120</v>
      </c>
      <c r="BB231" s="499"/>
      <c r="BC231" s="271"/>
      <c r="BD231" s="279">
        <v>1</v>
      </c>
      <c r="BE231" s="271"/>
      <c r="BF231" s="271"/>
      <c r="BG231" s="271"/>
      <c r="BH231" s="271"/>
      <c r="BI231" s="271"/>
      <c r="BJ231" s="271"/>
      <c r="BK231" s="271"/>
      <c r="BL231" s="271"/>
    </row>
    <row r="232" spans="18:64" ht="21" customHeight="1" x14ac:dyDescent="0.25">
      <c r="R232" s="34" t="s">
        <v>6122</v>
      </c>
      <c r="S232" s="451"/>
      <c r="T232" s="31" t="s">
        <v>19</v>
      </c>
      <c r="V232" s="475">
        <v>5</v>
      </c>
      <c r="W232" s="475" t="str">
        <f>IF($AC$232="","",$W$216)</f>
        <v/>
      </c>
      <c r="X232" s="476" t="str">
        <f>IF($AC$232="","",$X$216)</f>
        <v/>
      </c>
      <c r="Y232" s="477" t="str">
        <f>IF($X$232="","",$Y$216)</f>
        <v/>
      </c>
      <c r="Z232" s="477" t="str">
        <f>IF($X$232="","",$Z$216)</f>
        <v/>
      </c>
      <c r="AA232" s="477" t="str">
        <f>IF($AC$232="","",ROW($A$232)-ROW($A$216))</f>
        <v/>
      </c>
      <c r="AB232" s="478"/>
      <c r="AC232" s="34"/>
      <c r="AD232" s="356"/>
      <c r="AE232" s="479"/>
      <c r="AF232" s="475"/>
      <c r="AG232" s="480" t="str">
        <f t="shared" si="52"/>
        <v/>
      </c>
      <c r="AH232" s="481" t="str">
        <f t="shared" si="53"/>
        <v/>
      </c>
      <c r="AI232" s="477" t="str">
        <f>IF($AC$232="","",IFERROR(INDEX($AZ$74:$AZ$119,MATCH($AH$232,$AY$74:$AY$119,0)),"AUTRE"))</f>
        <v/>
      </c>
      <c r="AJ232" s="482" t="str">
        <f>IF($AC$232="","",IFERROR(INDEX($BA$74:$BA$119,MATCH($AH$232,$AY$74:$AY$119,0)),1))</f>
        <v/>
      </c>
      <c r="AK232" s="482" t="str">
        <f t="shared" si="54"/>
        <v/>
      </c>
      <c r="AL232" s="477" t="str">
        <f>IF($AC$232="","",IFERROR(INDEX($BB$74:$BB$119,MATCH($AH$232,$AY$74:$AY$119,0)),$AH$232))</f>
        <v/>
      </c>
      <c r="AM232" s="483" t="str">
        <f t="shared" si="55"/>
        <v/>
      </c>
      <c r="AN232" s="484" t="str">
        <f t="shared" si="56"/>
        <v/>
      </c>
      <c r="AO232" s="473" t="str">
        <f t="shared" si="57"/>
        <v/>
      </c>
      <c r="AP232" s="473" t="str">
        <f t="shared" si="58"/>
        <v/>
      </c>
      <c r="AQ232" s="473" t="str">
        <f t="shared" si="59"/>
        <v/>
      </c>
      <c r="AR232" s="473" t="str">
        <f t="shared" si="60"/>
        <v/>
      </c>
      <c r="AS232" s="473" t="str">
        <f t="shared" si="61"/>
        <v/>
      </c>
      <c r="AT232" s="473" t="str">
        <f t="shared" si="62"/>
        <v/>
      </c>
      <c r="AU232" s="473" t="str">
        <f t="shared" si="63"/>
        <v/>
      </c>
      <c r="AZ232" s="31" t="s">
        <v>29</v>
      </c>
      <c r="BA232" s="34" t="s">
        <v>6121</v>
      </c>
      <c r="BB232" s="499"/>
      <c r="BC232" s="271"/>
      <c r="BD232" s="279">
        <v>1</v>
      </c>
      <c r="BE232" s="271"/>
      <c r="BF232" s="271"/>
      <c r="BG232" s="271"/>
      <c r="BH232" s="271"/>
      <c r="BI232" s="271"/>
      <c r="BJ232" s="271"/>
      <c r="BK232" s="271"/>
      <c r="BL232" s="271"/>
    </row>
    <row r="233" spans="18:64" ht="21" customHeight="1" x14ac:dyDescent="0.25">
      <c r="R233" s="34" t="s">
        <v>6123</v>
      </c>
      <c r="S233" s="451"/>
      <c r="T233" s="31" t="s">
        <v>211</v>
      </c>
      <c r="V233" s="475">
        <v>5</v>
      </c>
      <c r="W233" s="475" t="str">
        <f>IF($AC$233="","",$W$216)</f>
        <v/>
      </c>
      <c r="X233" s="476" t="str">
        <f>IF($AC$233="","",$X$216)</f>
        <v/>
      </c>
      <c r="Y233" s="477" t="str">
        <f>IF($X$233="","",$Y$216)</f>
        <v/>
      </c>
      <c r="Z233" s="477" t="str">
        <f>IF($X$233="","",$Z$216)</f>
        <v/>
      </c>
      <c r="AA233" s="477" t="str">
        <f>IF($AC$233="","",ROW($A$233)-ROW($A$216))</f>
        <v/>
      </c>
      <c r="AB233" s="478"/>
      <c r="AC233" s="34"/>
      <c r="AD233" s="356"/>
      <c r="AE233" s="479"/>
      <c r="AF233" s="475"/>
      <c r="AG233" s="480" t="str">
        <f t="shared" si="52"/>
        <v/>
      </c>
      <c r="AH233" s="481" t="str">
        <f t="shared" si="53"/>
        <v/>
      </c>
      <c r="AI233" s="477" t="str">
        <f>IF($AC$233="","",IFERROR(INDEX($AZ$74:$AZ$119,MATCH($AH$233,$AY$74:$AY$119,0)),"AUTRE"))</f>
        <v/>
      </c>
      <c r="AJ233" s="482" t="str">
        <f>IF($AC$233="","",IFERROR(INDEX($BA$74:$BA$119,MATCH($AH$233,$AY$74:$AY$119,0)),1))</f>
        <v/>
      </c>
      <c r="AK233" s="482" t="str">
        <f t="shared" si="54"/>
        <v/>
      </c>
      <c r="AL233" s="477" t="str">
        <f>IF($AC$233="","",IFERROR(INDEX($BB$74:$BB$119,MATCH($AH$233,$AY$74:$AY$119,0)),$AH$233))</f>
        <v/>
      </c>
      <c r="AM233" s="483" t="str">
        <f t="shared" si="55"/>
        <v/>
      </c>
      <c r="AN233" s="484" t="str">
        <f t="shared" si="56"/>
        <v/>
      </c>
      <c r="AO233" s="473" t="str">
        <f t="shared" si="57"/>
        <v/>
      </c>
      <c r="AP233" s="473" t="str">
        <f t="shared" si="58"/>
        <v/>
      </c>
      <c r="AQ233" s="473" t="str">
        <f t="shared" si="59"/>
        <v/>
      </c>
      <c r="AR233" s="473" t="str">
        <f t="shared" si="60"/>
        <v/>
      </c>
      <c r="AS233" s="473" t="str">
        <f t="shared" si="61"/>
        <v/>
      </c>
      <c r="AT233" s="473" t="str">
        <f t="shared" si="62"/>
        <v/>
      </c>
      <c r="AU233" s="473" t="str">
        <f t="shared" si="63"/>
        <v/>
      </c>
      <c r="AZ233" s="31" t="s">
        <v>30</v>
      </c>
      <c r="BA233" s="34" t="s">
        <v>6122</v>
      </c>
      <c r="BB233" s="499"/>
      <c r="BC233" s="271"/>
      <c r="BD233" s="279">
        <v>1</v>
      </c>
      <c r="BE233" s="271"/>
      <c r="BF233" s="271"/>
      <c r="BG233" s="271"/>
      <c r="BH233" s="271"/>
      <c r="BI233" s="271"/>
      <c r="BJ233" s="271"/>
      <c r="BK233" s="271"/>
      <c r="BL233" s="271"/>
    </row>
    <row r="234" spans="18:64" ht="21" customHeight="1" x14ac:dyDescent="0.25">
      <c r="R234" s="34" t="s">
        <v>6124</v>
      </c>
      <c r="S234" s="451"/>
      <c r="T234" s="31" t="s">
        <v>20</v>
      </c>
      <c r="V234" s="475">
        <v>5</v>
      </c>
      <c r="W234" s="475" t="str">
        <f>IF($AC$234="","",$W$216)</f>
        <v/>
      </c>
      <c r="X234" s="476" t="str">
        <f>IF($AC$234="","",$X$216)</f>
        <v/>
      </c>
      <c r="Y234" s="477" t="str">
        <f>IF($X$234="","",$Y$216)</f>
        <v/>
      </c>
      <c r="Z234" s="477" t="str">
        <f>IF($X$234="","",$Z$216)</f>
        <v/>
      </c>
      <c r="AA234" s="477" t="str">
        <f>IF($AC$234="","",ROW($A$234)-ROW($A$216))</f>
        <v/>
      </c>
      <c r="AB234" s="478"/>
      <c r="AC234" s="34"/>
      <c r="AD234" s="356"/>
      <c r="AE234" s="479"/>
      <c r="AF234" s="475"/>
      <c r="AG234" s="480" t="str">
        <f t="shared" si="52"/>
        <v/>
      </c>
      <c r="AH234" s="481" t="str">
        <f t="shared" si="53"/>
        <v/>
      </c>
      <c r="AI234" s="477" t="str">
        <f>IF($AC$234="","",IFERROR(INDEX($AZ$74:$AZ$119,MATCH($AH$234,$AY$74:$AY$119,0)),"AUTRE"))</f>
        <v/>
      </c>
      <c r="AJ234" s="482" t="str">
        <f>IF($AC$234="","",IFERROR(INDEX($BA$74:$BA$119,MATCH($AH$234,$AY$74:$AY$119,0)),1))</f>
        <v/>
      </c>
      <c r="AK234" s="482" t="str">
        <f t="shared" si="54"/>
        <v/>
      </c>
      <c r="AL234" s="477" t="str">
        <f>IF($AC$234="","",IFERROR(INDEX($BB$74:$BB$119,MATCH($AH$234,$AY$74:$AY$119,0)),$AH$234))</f>
        <v/>
      </c>
      <c r="AM234" s="483" t="str">
        <f t="shared" si="55"/>
        <v/>
      </c>
      <c r="AN234" s="484" t="str">
        <f t="shared" si="56"/>
        <v/>
      </c>
      <c r="AO234" s="473" t="str">
        <f t="shared" si="57"/>
        <v/>
      </c>
      <c r="AP234" s="473" t="str">
        <f t="shared" si="58"/>
        <v/>
      </c>
      <c r="AQ234" s="473" t="str">
        <f t="shared" si="59"/>
        <v/>
      </c>
      <c r="AR234" s="473" t="str">
        <f t="shared" si="60"/>
        <v/>
      </c>
      <c r="AS234" s="473" t="str">
        <f t="shared" si="61"/>
        <v/>
      </c>
      <c r="AT234" s="473" t="str">
        <f t="shared" si="62"/>
        <v/>
      </c>
      <c r="AU234" s="473" t="str">
        <f t="shared" si="63"/>
        <v/>
      </c>
      <c r="AZ234" s="32" t="s">
        <v>33</v>
      </c>
      <c r="BA234" s="34" t="s">
        <v>6123</v>
      </c>
      <c r="BB234" s="499"/>
      <c r="BC234" s="271"/>
      <c r="BD234" s="279">
        <v>1</v>
      </c>
      <c r="BE234" s="271"/>
      <c r="BF234" s="271"/>
      <c r="BG234" s="271"/>
      <c r="BH234" s="271"/>
      <c r="BI234" s="271"/>
      <c r="BJ234" s="271"/>
      <c r="BK234" s="271"/>
      <c r="BL234" s="271"/>
    </row>
    <row r="235" spans="18:64" ht="21" customHeight="1" x14ac:dyDescent="0.25">
      <c r="R235" s="34" t="s">
        <v>6125</v>
      </c>
      <c r="S235" s="451"/>
      <c r="T235" s="31" t="s">
        <v>304</v>
      </c>
      <c r="V235" s="475">
        <v>5</v>
      </c>
      <c r="W235" s="475" t="str">
        <f>IF($AC$235="","",$W$216)</f>
        <v/>
      </c>
      <c r="X235" s="476" t="str">
        <f>IF($AC$235="","",$X$216)</f>
        <v/>
      </c>
      <c r="Y235" s="477" t="str">
        <f>IF($X$235="","",$Y$216)</f>
        <v/>
      </c>
      <c r="Z235" s="477" t="str">
        <f>IF($X$235="","",$Z$216)</f>
        <v/>
      </c>
      <c r="AA235" s="477" t="str">
        <f>IF($AC$235="","",ROW($A$235)-ROW($A$216))</f>
        <v/>
      </c>
      <c r="AB235" s="478"/>
      <c r="AC235" s="34"/>
      <c r="AD235" s="356"/>
      <c r="AE235" s="479"/>
      <c r="AF235" s="475"/>
      <c r="AG235" s="480" t="str">
        <f t="shared" si="52"/>
        <v/>
      </c>
      <c r="AH235" s="481" t="str">
        <f t="shared" si="53"/>
        <v/>
      </c>
      <c r="AI235" s="477" t="str">
        <f>IF($AC$235="","",IFERROR(INDEX($AZ$74:$AZ$119,MATCH($AH$235,$AY$74:$AY$119,0)),"AUTRE"))</f>
        <v/>
      </c>
      <c r="AJ235" s="482" t="str">
        <f>IF($AC$235="","",IFERROR(INDEX($BA$74:$BA$119,MATCH($AH$235,$AY$74:$AY$119,0)),1))</f>
        <v/>
      </c>
      <c r="AK235" s="482" t="str">
        <f t="shared" si="54"/>
        <v/>
      </c>
      <c r="AL235" s="477" t="str">
        <f>IF($AC$235="","",IFERROR(INDEX($BB$74:$BB$119,MATCH($AH$235,$AY$74:$AY$119,0)),$AH$235))</f>
        <v/>
      </c>
      <c r="AM235" s="483" t="str">
        <f t="shared" si="55"/>
        <v/>
      </c>
      <c r="AN235" s="484" t="str">
        <f t="shared" si="56"/>
        <v/>
      </c>
      <c r="AO235" s="473" t="str">
        <f t="shared" si="57"/>
        <v/>
      </c>
      <c r="AP235" s="473" t="str">
        <f t="shared" si="58"/>
        <v/>
      </c>
      <c r="AQ235" s="473" t="str">
        <f t="shared" si="59"/>
        <v/>
      </c>
      <c r="AR235" s="473" t="str">
        <f t="shared" si="60"/>
        <v/>
      </c>
      <c r="AS235" s="473" t="str">
        <f t="shared" si="61"/>
        <v/>
      </c>
      <c r="AT235" s="473" t="str">
        <f t="shared" si="62"/>
        <v/>
      </c>
      <c r="AU235" s="473" t="str">
        <f t="shared" si="63"/>
        <v/>
      </c>
      <c r="AZ235" s="32" t="s">
        <v>8125</v>
      </c>
      <c r="BA235" s="34" t="s">
        <v>6124</v>
      </c>
      <c r="BB235" s="499"/>
      <c r="BC235" s="271"/>
      <c r="BD235" s="279">
        <v>1</v>
      </c>
      <c r="BE235" s="271"/>
      <c r="BF235" s="271"/>
      <c r="BG235" s="271"/>
      <c r="BH235" s="271"/>
      <c r="BI235" s="271"/>
      <c r="BJ235" s="271"/>
      <c r="BK235" s="271"/>
      <c r="BL235" s="271"/>
    </row>
    <row r="236" spans="18:64" ht="21" customHeight="1" x14ac:dyDescent="0.25">
      <c r="R236" s="34" t="s">
        <v>6126</v>
      </c>
      <c r="S236" s="451"/>
      <c r="T236" s="31" t="s">
        <v>352</v>
      </c>
      <c r="V236" s="475">
        <v>5</v>
      </c>
      <c r="W236" s="475" t="str">
        <f>IF($AC$236="","",$W$216)</f>
        <v/>
      </c>
      <c r="X236" s="476" t="str">
        <f>IF($AC$236="","",$X$216)</f>
        <v/>
      </c>
      <c r="Y236" s="477" t="str">
        <f>IF($X$236="","",$Y$216)</f>
        <v/>
      </c>
      <c r="Z236" s="477" t="str">
        <f>IF($X$236="","",$Z$216)</f>
        <v/>
      </c>
      <c r="AA236" s="477" t="str">
        <f>IF($AC$236="","",ROW($A$236)-ROW($A$216))</f>
        <v/>
      </c>
      <c r="AB236" s="478"/>
      <c r="AC236" s="34"/>
      <c r="AD236" s="356"/>
      <c r="AE236" s="479"/>
      <c r="AF236" s="475"/>
      <c r="AG236" s="480" t="str">
        <f t="shared" si="52"/>
        <v/>
      </c>
      <c r="AH236" s="481" t="str">
        <f t="shared" si="53"/>
        <v/>
      </c>
      <c r="AI236" s="477" t="str">
        <f>IF($AC$236="","",IFERROR(INDEX($AZ$74:$AZ$119,MATCH($AH$236,$AY$74:$AY$119,0)),"AUTRE"))</f>
        <v/>
      </c>
      <c r="AJ236" s="482" t="str">
        <f>IF($AC$236="","",IFERROR(INDEX($BA$74:$BA$119,MATCH($AH$236,$AY$74:$AY$119,0)),1))</f>
        <v/>
      </c>
      <c r="AK236" s="482" t="str">
        <f t="shared" si="54"/>
        <v/>
      </c>
      <c r="AL236" s="477" t="str">
        <f>IF($AC$236="","",IFERROR(INDEX($BB$74:$BB$119,MATCH($AH$236,$AY$74:$AY$119,0)),$AH$236))</f>
        <v/>
      </c>
      <c r="AM236" s="483" t="str">
        <f t="shared" si="55"/>
        <v/>
      </c>
      <c r="AN236" s="484" t="str">
        <f t="shared" si="56"/>
        <v/>
      </c>
      <c r="AO236" s="473" t="str">
        <f t="shared" si="57"/>
        <v/>
      </c>
      <c r="AP236" s="473" t="str">
        <f t="shared" si="58"/>
        <v/>
      </c>
      <c r="AQ236" s="473" t="str">
        <f t="shared" si="59"/>
        <v/>
      </c>
      <c r="AR236" s="473" t="str">
        <f t="shared" si="60"/>
        <v/>
      </c>
      <c r="AS236" s="473" t="str">
        <f t="shared" si="61"/>
        <v/>
      </c>
      <c r="AT236" s="473" t="str">
        <f t="shared" si="62"/>
        <v/>
      </c>
      <c r="AU236" s="473" t="str">
        <f t="shared" si="63"/>
        <v/>
      </c>
      <c r="AZ236" s="32" t="s">
        <v>8127</v>
      </c>
      <c r="BA236" s="34" t="s">
        <v>6125</v>
      </c>
      <c r="BB236" s="499"/>
      <c r="BC236" s="271"/>
      <c r="BD236" s="279">
        <v>1</v>
      </c>
      <c r="BE236" s="271"/>
      <c r="BF236" s="271"/>
      <c r="BG236" s="271"/>
      <c r="BH236" s="271"/>
      <c r="BI236" s="271"/>
      <c r="BJ236" s="271"/>
      <c r="BK236" s="271"/>
      <c r="BL236" s="271"/>
    </row>
    <row r="237" spans="18:64" ht="21" customHeight="1" x14ac:dyDescent="0.25">
      <c r="R237" s="34" t="s">
        <v>6127</v>
      </c>
      <c r="S237" s="451"/>
      <c r="T237" s="31" t="s">
        <v>25</v>
      </c>
      <c r="V237" s="475">
        <v>5</v>
      </c>
      <c r="W237" s="475" t="str">
        <f>IF($AC$237="","",$W$216)</f>
        <v/>
      </c>
      <c r="X237" s="476" t="str">
        <f>IF($AC$237="","",$X$216)</f>
        <v/>
      </c>
      <c r="Y237" s="477" t="str">
        <f>IF($X$237="","",$Y$216)</f>
        <v/>
      </c>
      <c r="Z237" s="477" t="str">
        <f>IF($X$237="","",$Z$216)</f>
        <v/>
      </c>
      <c r="AA237" s="477" t="str">
        <f>IF($AC$237="","",ROW($A$237)-ROW($A$216))</f>
        <v/>
      </c>
      <c r="AB237" s="478"/>
      <c r="AC237" s="34"/>
      <c r="AD237" s="356"/>
      <c r="AE237" s="479"/>
      <c r="AF237" s="475"/>
      <c r="AG237" s="480" t="str">
        <f t="shared" si="52"/>
        <v/>
      </c>
      <c r="AH237" s="481" t="str">
        <f t="shared" si="53"/>
        <v/>
      </c>
      <c r="AI237" s="477" t="str">
        <f>IF($AC$237="","",IFERROR(INDEX($AZ$74:$AZ$119,MATCH($AH$237,$AY$74:$AY$119,0)),"AUTRE"))</f>
        <v/>
      </c>
      <c r="AJ237" s="482" t="str">
        <f>IF($AC$237="","",IFERROR(INDEX($BA$74:$BA$119,MATCH($AH$237,$AY$74:$AY$119,0)),1))</f>
        <v/>
      </c>
      <c r="AK237" s="482" t="str">
        <f t="shared" si="54"/>
        <v/>
      </c>
      <c r="AL237" s="477" t="str">
        <f>IF($AC$237="","",IFERROR(INDEX($BB$74:$BB$119,MATCH($AH$237,$AY$74:$AY$119,0)),$AH$237))</f>
        <v/>
      </c>
      <c r="AM237" s="483" t="str">
        <f t="shared" si="55"/>
        <v/>
      </c>
      <c r="AN237" s="484" t="str">
        <f t="shared" si="56"/>
        <v/>
      </c>
      <c r="AO237" s="473" t="str">
        <f t="shared" si="57"/>
        <v/>
      </c>
      <c r="AP237" s="473" t="str">
        <f t="shared" si="58"/>
        <v/>
      </c>
      <c r="AQ237" s="473" t="str">
        <f t="shared" si="59"/>
        <v/>
      </c>
      <c r="AR237" s="473" t="str">
        <f t="shared" si="60"/>
        <v/>
      </c>
      <c r="AS237" s="473" t="str">
        <f t="shared" si="61"/>
        <v/>
      </c>
      <c r="AT237" s="473" t="str">
        <f t="shared" si="62"/>
        <v/>
      </c>
      <c r="AU237" s="473" t="str">
        <f t="shared" si="63"/>
        <v/>
      </c>
      <c r="AZ237" s="32" t="s">
        <v>320</v>
      </c>
      <c r="BA237" s="34" t="s">
        <v>6126</v>
      </c>
      <c r="BB237" s="499"/>
      <c r="BC237" s="271"/>
      <c r="BD237" s="279">
        <v>1</v>
      </c>
      <c r="BE237" s="271"/>
      <c r="BF237" s="271"/>
      <c r="BG237" s="271"/>
      <c r="BH237" s="271"/>
      <c r="BI237" s="271"/>
      <c r="BJ237" s="271"/>
      <c r="BK237" s="271"/>
      <c r="BL237" s="271"/>
    </row>
    <row r="238" spans="18:64" ht="21" customHeight="1" x14ac:dyDescent="0.25">
      <c r="R238" s="25" t="s">
        <v>6128</v>
      </c>
      <c r="S238" s="451"/>
      <c r="T238" s="31" t="s">
        <v>26</v>
      </c>
      <c r="V238" s="475">
        <v>5</v>
      </c>
      <c r="W238" s="475" t="str">
        <f>IF($AC$238="","",$W$216)</f>
        <v/>
      </c>
      <c r="X238" s="476" t="str">
        <f>IF($AC$238="","",$X$216)</f>
        <v/>
      </c>
      <c r="Y238" s="477" t="str">
        <f>IF($X$238="","",$Y$216)</f>
        <v/>
      </c>
      <c r="Z238" s="477" t="str">
        <f>IF($X$238="","",$Z$216)</f>
        <v/>
      </c>
      <c r="AA238" s="477" t="str">
        <f>IF($AC$238="","",ROW($A$238)-ROW($A$216))</f>
        <v/>
      </c>
      <c r="AB238" s="478"/>
      <c r="AC238" s="34"/>
      <c r="AD238" s="356"/>
      <c r="AE238" s="479"/>
      <c r="AF238" s="475"/>
      <c r="AG238" s="480" t="str">
        <f t="shared" si="52"/>
        <v/>
      </c>
      <c r="AH238" s="481" t="str">
        <f t="shared" si="53"/>
        <v/>
      </c>
      <c r="AI238" s="477" t="str">
        <f>IF($AC$238="","",IFERROR(INDEX($AZ$74:$AZ$119,MATCH($AH$238,$AY$74:$AY$119,0)),"AUTRE"))</f>
        <v/>
      </c>
      <c r="AJ238" s="482" t="str">
        <f>IF($AC$238="","",IFERROR(INDEX($BA$74:$BA$119,MATCH($AH$238,$AY$74:$AY$119,0)),1))</f>
        <v/>
      </c>
      <c r="AK238" s="482" t="str">
        <f t="shared" si="54"/>
        <v/>
      </c>
      <c r="AL238" s="477" t="str">
        <f>IF($AC$238="","",IFERROR(INDEX($BB$74:$BB$119,MATCH($AH$238,$AY$74:$AY$119,0)),$AH$238))</f>
        <v/>
      </c>
      <c r="AM238" s="483" t="str">
        <f t="shared" si="55"/>
        <v/>
      </c>
      <c r="AN238" s="484" t="str">
        <f t="shared" si="56"/>
        <v/>
      </c>
      <c r="AO238" s="473" t="str">
        <f t="shared" si="57"/>
        <v/>
      </c>
      <c r="AP238" s="473" t="str">
        <f t="shared" si="58"/>
        <v/>
      </c>
      <c r="AQ238" s="473" t="str">
        <f t="shared" si="59"/>
        <v/>
      </c>
      <c r="AR238" s="473" t="str">
        <f t="shared" si="60"/>
        <v/>
      </c>
      <c r="AS238" s="473" t="str">
        <f t="shared" si="61"/>
        <v/>
      </c>
      <c r="AT238" s="473" t="str">
        <f t="shared" si="62"/>
        <v/>
      </c>
      <c r="AU238" s="473" t="str">
        <f t="shared" si="63"/>
        <v/>
      </c>
      <c r="AZ238" s="32" t="s">
        <v>318</v>
      </c>
      <c r="BA238" s="34" t="s">
        <v>6127</v>
      </c>
      <c r="BB238" s="499"/>
      <c r="BC238" s="271"/>
      <c r="BD238" s="279">
        <v>1</v>
      </c>
      <c r="BE238" s="271"/>
      <c r="BF238" s="271"/>
      <c r="BG238" s="271"/>
      <c r="BH238" s="271"/>
      <c r="BI238" s="271"/>
      <c r="BJ238" s="271"/>
      <c r="BK238" s="271"/>
      <c r="BL238" s="271"/>
    </row>
    <row r="239" spans="18:64" ht="21" customHeight="1" x14ac:dyDescent="0.25">
      <c r="R239" s="34" t="s">
        <v>474</v>
      </c>
      <c r="S239" s="451"/>
      <c r="T239" s="31" t="s">
        <v>27</v>
      </c>
      <c r="V239" s="475">
        <v>5</v>
      </c>
      <c r="W239" s="475" t="str">
        <f>IF($AC$239="","",$W$216)</f>
        <v/>
      </c>
      <c r="X239" s="476" t="str">
        <f>IF($AC$239="","",$X$216)</f>
        <v/>
      </c>
      <c r="Y239" s="477" t="str">
        <f>IF($X$239="","",$Y$216)</f>
        <v/>
      </c>
      <c r="Z239" s="477" t="str">
        <f>IF($X$239="","",$Z$216)</f>
        <v/>
      </c>
      <c r="AA239" s="477" t="str">
        <f>IF($AC$239="","",ROW($A$239)-ROW($A$216))</f>
        <v/>
      </c>
      <c r="AB239" s="478"/>
      <c r="AC239" s="34"/>
      <c r="AD239" s="356"/>
      <c r="AE239" s="479"/>
      <c r="AF239" s="475"/>
      <c r="AG239" s="480" t="str">
        <f t="shared" si="52"/>
        <v/>
      </c>
      <c r="AH239" s="481" t="str">
        <f t="shared" si="53"/>
        <v/>
      </c>
      <c r="AI239" s="477" t="str">
        <f>IF($AC$239="","",IFERROR(INDEX($AZ$74:$AZ$119,MATCH($AH$239,$AY$74:$AY$119,0)),"AUTRE"))</f>
        <v/>
      </c>
      <c r="AJ239" s="482" t="str">
        <f>IF($AC$239="","",IFERROR(INDEX($BA$74:$BA$119,MATCH($AH$239,$AY$74:$AY$119,0)),1))</f>
        <v/>
      </c>
      <c r="AK239" s="482" t="str">
        <f t="shared" si="54"/>
        <v/>
      </c>
      <c r="AL239" s="477" t="str">
        <f>IF($AC$239="","",IFERROR(INDEX($BB$74:$BB$119,MATCH($AH$239,$AY$74:$AY$119,0)),$AH$239))</f>
        <v/>
      </c>
      <c r="AM239" s="483" t="str">
        <f t="shared" si="55"/>
        <v/>
      </c>
      <c r="AN239" s="484" t="str">
        <f t="shared" si="56"/>
        <v/>
      </c>
      <c r="AO239" s="473" t="str">
        <f t="shared" si="57"/>
        <v/>
      </c>
      <c r="AP239" s="473" t="str">
        <f t="shared" si="58"/>
        <v/>
      </c>
      <c r="AQ239" s="473" t="str">
        <f t="shared" si="59"/>
        <v/>
      </c>
      <c r="AR239" s="473" t="str">
        <f t="shared" si="60"/>
        <v/>
      </c>
      <c r="AS239" s="473" t="str">
        <f t="shared" si="61"/>
        <v/>
      </c>
      <c r="AT239" s="473" t="str">
        <f t="shared" si="62"/>
        <v/>
      </c>
      <c r="AU239" s="473" t="str">
        <f t="shared" si="63"/>
        <v/>
      </c>
      <c r="AZ239" s="32" t="s">
        <v>316</v>
      </c>
      <c r="BA239" s="25" t="s">
        <v>6128</v>
      </c>
      <c r="BB239" s="499"/>
      <c r="BC239" s="271"/>
      <c r="BD239" s="279">
        <v>1</v>
      </c>
      <c r="BE239" s="271"/>
      <c r="BF239" s="271"/>
      <c r="BG239" s="271"/>
      <c r="BH239" s="271"/>
      <c r="BI239" s="271"/>
      <c r="BJ239" s="271"/>
      <c r="BK239" s="271"/>
      <c r="BL239" s="271"/>
    </row>
    <row r="240" spans="18:64" ht="21" customHeight="1" x14ac:dyDescent="0.25">
      <c r="R240" s="34" t="s">
        <v>490</v>
      </c>
      <c r="S240" s="451"/>
      <c r="T240" s="31" t="s">
        <v>28</v>
      </c>
      <c r="V240" s="475">
        <v>5</v>
      </c>
      <c r="W240" s="475" t="str">
        <f>IF($AC$240="","",$W$216)</f>
        <v/>
      </c>
      <c r="X240" s="476" t="str">
        <f>IF($AC$240="","",$X$216)</f>
        <v/>
      </c>
      <c r="Y240" s="477" t="str">
        <f>IF($X$240="","",$Y$216)</f>
        <v/>
      </c>
      <c r="Z240" s="477" t="str">
        <f>IF($X$240="","",$Z$216)</f>
        <v/>
      </c>
      <c r="AA240" s="477" t="str">
        <f>IF($AC$240="","",ROW($A$240)-ROW($A$216))</f>
        <v/>
      </c>
      <c r="AB240" s="478"/>
      <c r="AC240" s="34"/>
      <c r="AD240" s="356"/>
      <c r="AE240" s="479"/>
      <c r="AF240" s="475"/>
      <c r="AG240" s="480" t="str">
        <f t="shared" si="52"/>
        <v/>
      </c>
      <c r="AH240" s="481" t="str">
        <f t="shared" si="53"/>
        <v/>
      </c>
      <c r="AI240" s="477" t="str">
        <f>IF($AC$240="","",IFERROR(INDEX($AZ$74:$AZ$119,MATCH($AH$240,$AY$74:$AY$119,0)),"AUTRE"))</f>
        <v/>
      </c>
      <c r="AJ240" s="482" t="str">
        <f>IF($AC$240="","",IFERROR(INDEX($BA$74:$BA$119,MATCH($AH$240,$AY$74:$AY$119,0)),1))</f>
        <v/>
      </c>
      <c r="AK240" s="482" t="str">
        <f t="shared" si="54"/>
        <v/>
      </c>
      <c r="AL240" s="477" t="str">
        <f>IF($AC$240="","",IFERROR(INDEX($BB$74:$BB$119,MATCH($AH$240,$AY$74:$AY$119,0)),$AH$240))</f>
        <v/>
      </c>
      <c r="AM240" s="483" t="str">
        <f t="shared" si="55"/>
        <v/>
      </c>
      <c r="AN240" s="484" t="str">
        <f t="shared" si="56"/>
        <v/>
      </c>
      <c r="AO240" s="473" t="str">
        <f t="shared" si="57"/>
        <v/>
      </c>
      <c r="AP240" s="473" t="str">
        <f t="shared" si="58"/>
        <v/>
      </c>
      <c r="AQ240" s="473" t="str">
        <f t="shared" si="59"/>
        <v/>
      </c>
      <c r="AR240" s="473" t="str">
        <f t="shared" si="60"/>
        <v/>
      </c>
      <c r="AS240" s="473" t="str">
        <f t="shared" si="61"/>
        <v/>
      </c>
      <c r="AT240" s="473" t="str">
        <f t="shared" si="62"/>
        <v/>
      </c>
      <c r="AU240" s="473" t="str">
        <f t="shared" si="63"/>
        <v/>
      </c>
      <c r="AZ240" s="32" t="s">
        <v>313</v>
      </c>
      <c r="BA240" s="34" t="s">
        <v>474</v>
      </c>
      <c r="BB240" s="499"/>
      <c r="BC240" s="271"/>
      <c r="BD240" s="279">
        <v>1</v>
      </c>
      <c r="BE240" s="271"/>
      <c r="BF240" s="271"/>
      <c r="BG240" s="271"/>
      <c r="BH240" s="271"/>
      <c r="BI240" s="271"/>
      <c r="BJ240" s="271"/>
      <c r="BK240" s="271"/>
      <c r="BL240" s="271"/>
    </row>
    <row r="241" spans="18:64" ht="21" customHeight="1" x14ac:dyDescent="0.25">
      <c r="R241" s="34" t="s">
        <v>6129</v>
      </c>
      <c r="S241" s="451"/>
      <c r="T241" s="31" t="s">
        <v>29</v>
      </c>
      <c r="V241" s="475">
        <v>5</v>
      </c>
      <c r="W241" s="475" t="str">
        <f>IF($AC$241="","",$W$216)</f>
        <v/>
      </c>
      <c r="X241" s="476" t="str">
        <f>IF($AC$241="","",$X$216)</f>
        <v/>
      </c>
      <c r="Y241" s="477" t="str">
        <f>IF($X$241="","",$Y$216)</f>
        <v/>
      </c>
      <c r="Z241" s="477" t="str">
        <f>IF($X$241="","",$Z$216)</f>
        <v/>
      </c>
      <c r="AA241" s="477" t="str">
        <f>IF($AC$241="","",ROW($A$241)-ROW($A$216))</f>
        <v/>
      </c>
      <c r="AB241" s="478"/>
      <c r="AC241" s="34"/>
      <c r="AD241" s="356"/>
      <c r="AE241" s="479"/>
      <c r="AF241" s="475"/>
      <c r="AG241" s="480" t="str">
        <f t="shared" si="52"/>
        <v/>
      </c>
      <c r="AH241" s="481" t="str">
        <f t="shared" si="53"/>
        <v/>
      </c>
      <c r="AI241" s="477" t="str">
        <f>IF($AC$241="","",IFERROR(INDEX($AZ$74:$AZ$119,MATCH($AH$241,$AY$74:$AY$119,0)),"AUTRE"))</f>
        <v/>
      </c>
      <c r="AJ241" s="482" t="str">
        <f>IF($AC$241="","",IFERROR(INDEX($BA$74:$BA$119,MATCH($AH$241,$AY$74:$AY$119,0)),1))</f>
        <v/>
      </c>
      <c r="AK241" s="482" t="str">
        <f t="shared" si="54"/>
        <v/>
      </c>
      <c r="AL241" s="477" t="str">
        <f>IF($AC$241="","",IFERROR(INDEX($BB$74:$BB$119,MATCH($AH$241,$AY$74:$AY$119,0)),$AH$241))</f>
        <v/>
      </c>
      <c r="AM241" s="483" t="str">
        <f t="shared" si="55"/>
        <v/>
      </c>
      <c r="AN241" s="484" t="str">
        <f t="shared" si="56"/>
        <v/>
      </c>
      <c r="AO241" s="473" t="str">
        <f t="shared" si="57"/>
        <v/>
      </c>
      <c r="AP241" s="473" t="str">
        <f t="shared" si="58"/>
        <v/>
      </c>
      <c r="AQ241" s="473" t="str">
        <f t="shared" si="59"/>
        <v/>
      </c>
      <c r="AR241" s="473" t="str">
        <f t="shared" si="60"/>
        <v/>
      </c>
      <c r="AS241" s="473" t="str">
        <f t="shared" si="61"/>
        <v/>
      </c>
      <c r="AT241" s="473" t="str">
        <f t="shared" si="62"/>
        <v/>
      </c>
      <c r="AU241" s="473" t="str">
        <f t="shared" si="63"/>
        <v/>
      </c>
      <c r="AZ241" s="32" t="s">
        <v>307</v>
      </c>
      <c r="BA241" s="34" t="s">
        <v>490</v>
      </c>
      <c r="BB241" s="499"/>
      <c r="BC241" s="271"/>
      <c r="BD241" s="279">
        <v>1</v>
      </c>
      <c r="BE241" s="271"/>
      <c r="BF241" s="271"/>
      <c r="BG241" s="271"/>
      <c r="BH241" s="271"/>
      <c r="BI241" s="271"/>
      <c r="BJ241" s="271"/>
      <c r="BK241" s="271"/>
      <c r="BL241" s="271"/>
    </row>
    <row r="242" spans="18:64" ht="21" customHeight="1" x14ac:dyDescent="0.25">
      <c r="R242" s="34" t="s">
        <v>478</v>
      </c>
      <c r="S242" s="451"/>
      <c r="T242" s="31" t="s">
        <v>30</v>
      </c>
      <c r="V242" s="475">
        <v>5</v>
      </c>
      <c r="W242" s="475" t="str">
        <f>IF($AC$242="","",$W$216)</f>
        <v/>
      </c>
      <c r="X242" s="476" t="str">
        <f>IF($AC$242="","",$X$216)</f>
        <v/>
      </c>
      <c r="Y242" s="477" t="str">
        <f>IF($X$242="","",$Y$216)</f>
        <v/>
      </c>
      <c r="Z242" s="477" t="str">
        <f>IF($X$242="","",$Z$216)</f>
        <v/>
      </c>
      <c r="AA242" s="477" t="str">
        <f>IF($AC$242="","",ROW($A$242)-ROW($A$216))</f>
        <v/>
      </c>
      <c r="AB242" s="478"/>
      <c r="AC242" s="34"/>
      <c r="AD242" s="356"/>
      <c r="AE242" s="479"/>
      <c r="AF242" s="475"/>
      <c r="AG242" s="480" t="str">
        <f t="shared" si="52"/>
        <v/>
      </c>
      <c r="AH242" s="481" t="str">
        <f t="shared" si="53"/>
        <v/>
      </c>
      <c r="AI242" s="477" t="str">
        <f>IF($AC$242="","",IFERROR(INDEX($AZ$74:$AZ$119,MATCH($AH$242,$AY$74:$AY$119,0)),"AUTRE"))</f>
        <v/>
      </c>
      <c r="AJ242" s="482" t="str">
        <f>IF($AC$242="","",IFERROR(INDEX($BA$74:$BA$119,MATCH($AH$242,$AY$74:$AY$119,0)),1))</f>
        <v/>
      </c>
      <c r="AK242" s="482" t="str">
        <f t="shared" si="54"/>
        <v/>
      </c>
      <c r="AL242" s="477" t="str">
        <f>IF($AC$242="","",IFERROR(INDEX($BB$74:$BB$119,MATCH($AH$242,$AY$74:$AY$119,0)),$AH$242))</f>
        <v/>
      </c>
      <c r="AM242" s="483" t="str">
        <f t="shared" si="55"/>
        <v/>
      </c>
      <c r="AN242" s="484" t="str">
        <f t="shared" si="56"/>
        <v/>
      </c>
      <c r="AO242" s="473" t="str">
        <f t="shared" si="57"/>
        <v/>
      </c>
      <c r="AP242" s="473" t="str">
        <f t="shared" si="58"/>
        <v/>
      </c>
      <c r="AQ242" s="473" t="str">
        <f t="shared" si="59"/>
        <v/>
      </c>
      <c r="AR242" s="473" t="str">
        <f t="shared" si="60"/>
        <v/>
      </c>
      <c r="AS242" s="473" t="str">
        <f t="shared" si="61"/>
        <v/>
      </c>
      <c r="AT242" s="473" t="str">
        <f t="shared" si="62"/>
        <v/>
      </c>
      <c r="AU242" s="473" t="str">
        <f t="shared" si="63"/>
        <v/>
      </c>
      <c r="AZ242" s="32" t="s">
        <v>322</v>
      </c>
      <c r="BA242" s="34" t="s">
        <v>6129</v>
      </c>
      <c r="BB242" s="499"/>
      <c r="BC242" s="271"/>
      <c r="BD242" s="279">
        <v>1</v>
      </c>
      <c r="BE242" s="271"/>
      <c r="BF242" s="271"/>
      <c r="BG242" s="271"/>
      <c r="BH242" s="271"/>
      <c r="BI242" s="271"/>
      <c r="BJ242" s="271"/>
      <c r="BK242" s="271"/>
      <c r="BL242" s="271"/>
    </row>
    <row r="243" spans="18:64" ht="21" customHeight="1" x14ac:dyDescent="0.25">
      <c r="R243" s="34" t="s">
        <v>6130</v>
      </c>
      <c r="S243" s="451"/>
      <c r="T243" s="31" t="s">
        <v>31</v>
      </c>
      <c r="V243" s="475">
        <v>5</v>
      </c>
      <c r="W243" s="475" t="str">
        <f>IF($AC$243="","",$W$216)</f>
        <v/>
      </c>
      <c r="X243" s="476" t="str">
        <f>IF($AC$243="","",$X$216)</f>
        <v/>
      </c>
      <c r="Y243" s="477" t="str">
        <f>IF($X$243="","",$Y$216)</f>
        <v/>
      </c>
      <c r="Z243" s="477" t="str">
        <f>IF($X$243="","",$Z$216)</f>
        <v/>
      </c>
      <c r="AA243" s="477" t="str">
        <f>IF($AC$243="","",ROW($A$243)-ROW($A$216))</f>
        <v/>
      </c>
      <c r="AB243" s="478"/>
      <c r="AC243" s="34"/>
      <c r="AD243" s="356"/>
      <c r="AE243" s="479"/>
      <c r="AF243" s="475"/>
      <c r="AG243" s="480" t="str">
        <f t="shared" si="52"/>
        <v/>
      </c>
      <c r="AH243" s="481" t="str">
        <f t="shared" si="53"/>
        <v/>
      </c>
      <c r="AI243" s="477" t="str">
        <f>IF($AC$243="","",IFERROR(INDEX($AZ$74:$AZ$119,MATCH($AH$243,$AY$74:$AY$119,0)),"AUTRE"))</f>
        <v/>
      </c>
      <c r="AJ243" s="482" t="str">
        <f>IF($AC$243="","",IFERROR(INDEX($BA$74:$BA$119,MATCH($AH$243,$AY$74:$AY$119,0)),1))</f>
        <v/>
      </c>
      <c r="AK243" s="482" t="str">
        <f t="shared" si="54"/>
        <v/>
      </c>
      <c r="AL243" s="477" t="str">
        <f>IF($AC$243="","",IFERROR(INDEX($BB$74:$BB$119,MATCH($AH$243,$AY$74:$AY$119,0)),$AH$243))</f>
        <v/>
      </c>
      <c r="AM243" s="483" t="str">
        <f t="shared" si="55"/>
        <v/>
      </c>
      <c r="AN243" s="484" t="str">
        <f t="shared" si="56"/>
        <v/>
      </c>
      <c r="AO243" s="473" t="str">
        <f t="shared" si="57"/>
        <v/>
      </c>
      <c r="AP243" s="473" t="str">
        <f t="shared" si="58"/>
        <v/>
      </c>
      <c r="AQ243" s="473" t="str">
        <f t="shared" si="59"/>
        <v/>
      </c>
      <c r="AR243" s="473" t="str">
        <f t="shared" si="60"/>
        <v/>
      </c>
      <c r="AS243" s="473" t="str">
        <f t="shared" si="61"/>
        <v/>
      </c>
      <c r="AT243" s="473" t="str">
        <f t="shared" si="62"/>
        <v/>
      </c>
      <c r="AU243" s="473" t="str">
        <f t="shared" si="63"/>
        <v/>
      </c>
      <c r="AZ243" s="32" t="s">
        <v>305</v>
      </c>
      <c r="BA243" s="34" t="s">
        <v>478</v>
      </c>
      <c r="BB243" s="499"/>
      <c r="BC243" s="271"/>
      <c r="BD243" s="279">
        <v>1</v>
      </c>
      <c r="BE243" s="271"/>
      <c r="BF243" s="271"/>
      <c r="BG243" s="271"/>
      <c r="BH243" s="271"/>
      <c r="BI243" s="271"/>
      <c r="BJ243" s="271"/>
      <c r="BK243" s="271"/>
      <c r="BL243" s="271"/>
    </row>
    <row r="244" spans="18:64" ht="21" customHeight="1" x14ac:dyDescent="0.25">
      <c r="R244" s="34" t="s">
        <v>486</v>
      </c>
      <c r="S244" s="451"/>
      <c r="T244" s="32" t="s">
        <v>33</v>
      </c>
      <c r="V244" s="475">
        <v>5</v>
      </c>
      <c r="W244" s="475" t="str">
        <f>IF($AC$244="","",$W$216)</f>
        <v/>
      </c>
      <c r="X244" s="476" t="str">
        <f>IF($AC$244="","",$X$216)</f>
        <v/>
      </c>
      <c r="Y244" s="477" t="str">
        <f>IF($X$244="","",$Y$216)</f>
        <v/>
      </c>
      <c r="Z244" s="477" t="str">
        <f>IF($X$244="","",$Z$216)</f>
        <v/>
      </c>
      <c r="AA244" s="477" t="str">
        <f>IF($AC$244="","",ROW($A$244)-ROW($A$216))</f>
        <v/>
      </c>
      <c r="AB244" s="478"/>
      <c r="AC244" s="34"/>
      <c r="AD244" s="356"/>
      <c r="AE244" s="479"/>
      <c r="AF244" s="475"/>
      <c r="AG244" s="480" t="str">
        <f t="shared" si="52"/>
        <v/>
      </c>
      <c r="AH244" s="481" t="str">
        <f t="shared" si="53"/>
        <v/>
      </c>
      <c r="AI244" s="477" t="str">
        <f>IF($AC$244="","",IFERROR(INDEX($AZ$74:$AZ$119,MATCH($AH$244,$AY$74:$AY$119,0)),"AUTRE"))</f>
        <v/>
      </c>
      <c r="AJ244" s="482" t="str">
        <f>IF($AC$244="","",IFERROR(INDEX($BA$74:$BA$119,MATCH($AH$244,$AY$74:$AY$119,0)),1))</f>
        <v/>
      </c>
      <c r="AK244" s="482" t="str">
        <f t="shared" si="54"/>
        <v/>
      </c>
      <c r="AL244" s="477" t="str">
        <f>IF($AC$244="","",IFERROR(INDEX($BB$74:$BB$119,MATCH($AH$244,$AY$74:$AY$119,0)),$AH$244))</f>
        <v/>
      </c>
      <c r="AM244" s="483" t="str">
        <f t="shared" si="55"/>
        <v/>
      </c>
      <c r="AN244" s="484" t="str">
        <f t="shared" si="56"/>
        <v/>
      </c>
      <c r="AO244" s="473" t="str">
        <f t="shared" si="57"/>
        <v/>
      </c>
      <c r="AP244" s="473" t="str">
        <f t="shared" si="58"/>
        <v/>
      </c>
      <c r="AQ244" s="473" t="str">
        <f t="shared" si="59"/>
        <v/>
      </c>
      <c r="AR244" s="473" t="str">
        <f t="shared" si="60"/>
        <v/>
      </c>
      <c r="AS244" s="473" t="str">
        <f t="shared" si="61"/>
        <v/>
      </c>
      <c r="AT244" s="473" t="str">
        <f t="shared" si="62"/>
        <v/>
      </c>
      <c r="AU244" s="473" t="str">
        <f t="shared" si="63"/>
        <v/>
      </c>
      <c r="AY244" s="271"/>
      <c r="AZ244" s="32" t="s">
        <v>8129</v>
      </c>
      <c r="BA244" s="34" t="s">
        <v>6130</v>
      </c>
      <c r="BB244" s="499"/>
      <c r="BC244" s="271"/>
      <c r="BD244" s="279">
        <v>1</v>
      </c>
      <c r="BE244" s="271"/>
      <c r="BF244" s="271"/>
      <c r="BG244" s="271"/>
      <c r="BH244" s="271"/>
      <c r="BI244" s="271"/>
      <c r="BJ244" s="271"/>
      <c r="BK244" s="271"/>
      <c r="BL244" s="271"/>
    </row>
    <row r="245" spans="18:64" ht="21" customHeight="1" x14ac:dyDescent="0.25">
      <c r="R245" s="34" t="s">
        <v>479</v>
      </c>
      <c r="S245" s="451"/>
      <c r="T245" s="32" t="s">
        <v>8125</v>
      </c>
      <c r="V245" s="475">
        <v>5</v>
      </c>
      <c r="W245" s="475" t="str">
        <f>IF($AC$245="","",$W$216)</f>
        <v/>
      </c>
      <c r="X245" s="476" t="str">
        <f>IF($AC$245="","",$X$216)</f>
        <v/>
      </c>
      <c r="Y245" s="477" t="str">
        <f>IF($X$245="","",$Y$216)</f>
        <v/>
      </c>
      <c r="Z245" s="477" t="str">
        <f>IF($X$245="","",$Z$216)</f>
        <v/>
      </c>
      <c r="AA245" s="477" t="str">
        <f>IF($AC$245="","",ROW($A$245)-ROW($A$216))</f>
        <v/>
      </c>
      <c r="AB245" s="478"/>
      <c r="AC245" s="34"/>
      <c r="AD245" s="356"/>
      <c r="AE245" s="479"/>
      <c r="AF245" s="475"/>
      <c r="AG245" s="480" t="str">
        <f t="shared" si="52"/>
        <v/>
      </c>
      <c r="AH245" s="481" t="str">
        <f t="shared" si="53"/>
        <v/>
      </c>
      <c r="AI245" s="477" t="str">
        <f>IF($AC$245="","",IFERROR(INDEX($AZ$74:$AZ$119,MATCH($AH$245,$AY$74:$AY$119,0)),"AUTRE"))</f>
        <v/>
      </c>
      <c r="AJ245" s="482" t="str">
        <f>IF($AC$245="","",IFERROR(INDEX($BA$74:$BA$119,MATCH($AH$245,$AY$74:$AY$119,0)),1))</f>
        <v/>
      </c>
      <c r="AK245" s="482" t="str">
        <f t="shared" si="54"/>
        <v/>
      </c>
      <c r="AL245" s="477" t="str">
        <f>IF($AC$245="","",IFERROR(INDEX($BB$74:$BB$119,MATCH($AH$245,$AY$74:$AY$119,0)),$AH$245))</f>
        <v/>
      </c>
      <c r="AM245" s="483" t="str">
        <f t="shared" si="55"/>
        <v/>
      </c>
      <c r="AN245" s="484" t="str">
        <f t="shared" si="56"/>
        <v/>
      </c>
      <c r="AO245" s="473" t="str">
        <f t="shared" si="57"/>
        <v/>
      </c>
      <c r="AP245" s="473" t="str">
        <f t="shared" si="58"/>
        <v/>
      </c>
      <c r="AQ245" s="473" t="str">
        <f t="shared" si="59"/>
        <v/>
      </c>
      <c r="AR245" s="473" t="str">
        <f t="shared" si="60"/>
        <v/>
      </c>
      <c r="AS245" s="473" t="str">
        <f t="shared" si="61"/>
        <v/>
      </c>
      <c r="AT245" s="473" t="str">
        <f t="shared" si="62"/>
        <v/>
      </c>
      <c r="AU245" s="473" t="str">
        <f t="shared" si="63"/>
        <v/>
      </c>
      <c r="AY245" s="497" t="s">
        <v>8145</v>
      </c>
      <c r="AZ245" s="32" t="s">
        <v>8131</v>
      </c>
      <c r="BA245" s="34" t="s">
        <v>486</v>
      </c>
      <c r="BB245" s="499"/>
      <c r="BC245" s="271"/>
      <c r="BD245" s="279">
        <v>1</v>
      </c>
      <c r="BE245" s="271"/>
      <c r="BF245" s="271"/>
      <c r="BG245" s="271"/>
      <c r="BH245" s="271"/>
      <c r="BI245" s="271"/>
      <c r="BJ245" s="271"/>
      <c r="BK245" s="271"/>
      <c r="BL245" s="271"/>
    </row>
    <row r="246" spans="18:64" ht="21" customHeight="1" x14ac:dyDescent="0.25">
      <c r="R246" s="34" t="s">
        <v>6131</v>
      </c>
      <c r="S246" s="451"/>
      <c r="T246" s="32" t="s">
        <v>8127</v>
      </c>
      <c r="V246" s="475">
        <v>5</v>
      </c>
      <c r="W246" s="475" t="str">
        <f>IF($AC$246="","",$W$216)</f>
        <v/>
      </c>
      <c r="X246" s="476" t="str">
        <f>IF($AC$246="","",$X$216)</f>
        <v/>
      </c>
      <c r="Y246" s="477" t="str">
        <f>IF($X$246="","",$Y$216)</f>
        <v/>
      </c>
      <c r="Z246" s="477" t="str">
        <f>IF($X$246="","",$Z$216)</f>
        <v/>
      </c>
      <c r="AA246" s="477" t="str">
        <f>IF($AC$246="","",ROW($A$246)-ROW($A$216))</f>
        <v/>
      </c>
      <c r="AB246" s="478"/>
      <c r="AC246" s="34"/>
      <c r="AD246" s="356"/>
      <c r="AE246" s="479"/>
      <c r="AF246" s="475"/>
      <c r="AG246" s="480" t="str">
        <f t="shared" si="52"/>
        <v/>
      </c>
      <c r="AH246" s="481" t="str">
        <f t="shared" si="53"/>
        <v/>
      </c>
      <c r="AI246" s="477" t="str">
        <f>IF($AC$246="","",IFERROR(INDEX($AZ$74:$AZ$119,MATCH($AH$246,$AY$74:$AY$119,0)),"AUTRE"))</f>
        <v/>
      </c>
      <c r="AJ246" s="482" t="str">
        <f>IF($AC$246="","",IFERROR(INDEX($BA$74:$BA$119,MATCH($AH$246,$AY$74:$AY$119,0)),1))</f>
        <v/>
      </c>
      <c r="AK246" s="482" t="str">
        <f t="shared" si="54"/>
        <v/>
      </c>
      <c r="AL246" s="477" t="str">
        <f>IF($AC$246="","",IFERROR(INDEX($BB$74:$BB$119,MATCH($AH$246,$AY$74:$AY$119,0)),$AH$246))</f>
        <v/>
      </c>
      <c r="AM246" s="483" t="str">
        <f t="shared" si="55"/>
        <v/>
      </c>
      <c r="AN246" s="484" t="str">
        <f t="shared" si="56"/>
        <v/>
      </c>
      <c r="AO246" s="473" t="str">
        <f t="shared" si="57"/>
        <v/>
      </c>
      <c r="AP246" s="473" t="str">
        <f t="shared" si="58"/>
        <v/>
      </c>
      <c r="AQ246" s="473" t="str">
        <f t="shared" si="59"/>
        <v/>
      </c>
      <c r="AR246" s="473" t="str">
        <f t="shared" si="60"/>
        <v/>
      </c>
      <c r="AS246" s="473" t="str">
        <f t="shared" si="61"/>
        <v/>
      </c>
      <c r="AT246" s="473" t="str">
        <f t="shared" si="62"/>
        <v/>
      </c>
      <c r="AU246" s="473" t="str">
        <f t="shared" si="63"/>
        <v/>
      </c>
      <c r="AY246" s="497" t="s">
        <v>462</v>
      </c>
      <c r="AZ246" s="32" t="s">
        <v>309</v>
      </c>
      <c r="BA246" s="34" t="s">
        <v>479</v>
      </c>
      <c r="BB246" s="499"/>
      <c r="BC246" s="271"/>
      <c r="BD246" s="279">
        <v>1</v>
      </c>
      <c r="BE246" s="271"/>
      <c r="BF246" s="271"/>
      <c r="BG246" s="271"/>
      <c r="BH246" s="271"/>
      <c r="BI246" s="271"/>
      <c r="BJ246" s="271"/>
      <c r="BK246" s="271"/>
      <c r="BL246" s="271"/>
    </row>
    <row r="247" spans="18:64" ht="21" customHeight="1" x14ac:dyDescent="0.25">
      <c r="R247" s="34" t="s">
        <v>485</v>
      </c>
      <c r="S247" s="451"/>
      <c r="T247" s="32" t="s">
        <v>320</v>
      </c>
      <c r="V247" s="475">
        <v>5</v>
      </c>
      <c r="W247" s="475" t="str">
        <f>IF($AC$247="","",$W$216)</f>
        <v/>
      </c>
      <c r="X247" s="476" t="str">
        <f>IF($AC$247="","",$X$216)</f>
        <v/>
      </c>
      <c r="Y247" s="477" t="str">
        <f>IF($X$247="","",$Y$216)</f>
        <v/>
      </c>
      <c r="Z247" s="477" t="str">
        <f>IF($X$247="","",$Z$216)</f>
        <v/>
      </c>
      <c r="AA247" s="477" t="str">
        <f>IF($AC$247="","",ROW($A$247)-ROW($A$216))</f>
        <v/>
      </c>
      <c r="AB247" s="478"/>
      <c r="AC247" s="34"/>
      <c r="AD247" s="356"/>
      <c r="AE247" s="479"/>
      <c r="AF247" s="475"/>
      <c r="AG247" s="480" t="str">
        <f t="shared" si="52"/>
        <v/>
      </c>
      <c r="AH247" s="481" t="str">
        <f t="shared" si="53"/>
        <v/>
      </c>
      <c r="AI247" s="477" t="str">
        <f>IF($AC$247="","",IFERROR(INDEX($AZ$74:$AZ$119,MATCH($AH$247,$AY$74:$AY$119,0)),"AUTRE"))</f>
        <v/>
      </c>
      <c r="AJ247" s="482" t="str">
        <f>IF($AC$247="","",IFERROR(INDEX($BA$74:$BA$119,MATCH($AH$247,$AY$74:$AY$119,0)),1))</f>
        <v/>
      </c>
      <c r="AK247" s="482" t="str">
        <f t="shared" si="54"/>
        <v/>
      </c>
      <c r="AL247" s="477" t="str">
        <f>IF($AC$247="","",IFERROR(INDEX($BB$74:$BB$119,MATCH($AH$247,$AY$74:$AY$119,0)),$AH$247))</f>
        <v/>
      </c>
      <c r="AM247" s="483" t="str">
        <f t="shared" si="55"/>
        <v/>
      </c>
      <c r="AN247" s="484" t="str">
        <f t="shared" si="56"/>
        <v/>
      </c>
      <c r="AO247" s="473" t="str">
        <f t="shared" si="57"/>
        <v/>
      </c>
      <c r="AP247" s="473" t="str">
        <f t="shared" si="58"/>
        <v/>
      </c>
      <c r="AQ247" s="473" t="str">
        <f t="shared" si="59"/>
        <v/>
      </c>
      <c r="AR247" s="473" t="str">
        <f t="shared" si="60"/>
        <v/>
      </c>
      <c r="AS247" s="473" t="str">
        <f t="shared" si="61"/>
        <v/>
      </c>
      <c r="AT247" s="473" t="str">
        <f t="shared" si="62"/>
        <v/>
      </c>
      <c r="AU247" s="473" t="str">
        <f t="shared" si="63"/>
        <v/>
      </c>
      <c r="AY247" s="497" t="s">
        <v>463</v>
      </c>
      <c r="AZ247" s="32" t="s">
        <v>311</v>
      </c>
      <c r="BA247" s="34" t="s">
        <v>6131</v>
      </c>
      <c r="BB247" s="499"/>
      <c r="BC247" s="271"/>
      <c r="BD247" s="279">
        <v>1</v>
      </c>
      <c r="BE247" s="271"/>
      <c r="BF247" s="271"/>
      <c r="BG247" s="271"/>
      <c r="BH247" s="271"/>
      <c r="BI247" s="271"/>
      <c r="BJ247" s="271"/>
      <c r="BK247" s="271"/>
      <c r="BL247" s="271"/>
    </row>
    <row r="248" spans="18:64" ht="21" customHeight="1" x14ac:dyDescent="0.25">
      <c r="R248" s="34" t="s">
        <v>6132</v>
      </c>
      <c r="S248" s="451"/>
      <c r="T248" s="32" t="s">
        <v>318</v>
      </c>
      <c r="V248" s="475">
        <v>5</v>
      </c>
      <c r="W248" s="475" t="str">
        <f>IF($AC$248="","",$W$216)</f>
        <v/>
      </c>
      <c r="X248" s="476" t="str">
        <f>IF($AC$248="","",$X$216)</f>
        <v/>
      </c>
      <c r="Y248" s="477" t="str">
        <f>IF($X$248="","",$Y$216)</f>
        <v/>
      </c>
      <c r="Z248" s="477" t="str">
        <f>IF($X$248="","",$Z$216)</f>
        <v/>
      </c>
      <c r="AA248" s="477" t="str">
        <f>IF($AC$248="","",ROW($A$248)-ROW($A$216))</f>
        <v/>
      </c>
      <c r="AB248" s="478"/>
      <c r="AC248" s="34"/>
      <c r="AD248" s="356"/>
      <c r="AE248" s="479"/>
      <c r="AF248" s="475"/>
      <c r="AG248" s="480" t="str">
        <f t="shared" si="52"/>
        <v/>
      </c>
      <c r="AH248" s="481" t="str">
        <f t="shared" si="53"/>
        <v/>
      </c>
      <c r="AI248" s="477" t="str">
        <f>IF($AC$248="","",IFERROR(INDEX($AZ$74:$AZ$119,MATCH($AH$248,$AY$74:$AY$119,0)),"AUTRE"))</f>
        <v/>
      </c>
      <c r="AJ248" s="482" t="str">
        <f>IF($AC$248="","",IFERROR(INDEX($BA$74:$BA$119,MATCH($AH$248,$AY$74:$AY$119,0)),1))</f>
        <v/>
      </c>
      <c r="AK248" s="482" t="str">
        <f t="shared" si="54"/>
        <v/>
      </c>
      <c r="AL248" s="477" t="str">
        <f>IF($AC$248="","",IFERROR(INDEX($BB$74:$BB$119,MATCH($AH$248,$AY$74:$AY$119,0)),$AH$248))</f>
        <v/>
      </c>
      <c r="AM248" s="483" t="str">
        <f t="shared" si="55"/>
        <v/>
      </c>
      <c r="AN248" s="484" t="str">
        <f t="shared" si="56"/>
        <v/>
      </c>
      <c r="AO248" s="473" t="str">
        <f t="shared" si="57"/>
        <v/>
      </c>
      <c r="AP248" s="473" t="str">
        <f t="shared" si="58"/>
        <v/>
      </c>
      <c r="AQ248" s="473" t="str">
        <f t="shared" si="59"/>
        <v/>
      </c>
      <c r="AR248" s="473" t="str">
        <f t="shared" si="60"/>
        <v/>
      </c>
      <c r="AS248" s="473" t="str">
        <f t="shared" si="61"/>
        <v/>
      </c>
      <c r="AT248" s="473" t="str">
        <f t="shared" si="62"/>
        <v/>
      </c>
      <c r="AU248" s="473" t="str">
        <f t="shared" si="63"/>
        <v/>
      </c>
      <c r="AY248" s="497" t="s">
        <v>8147</v>
      </c>
      <c r="AZ248" s="32" t="s">
        <v>8135</v>
      </c>
      <c r="BA248" s="34" t="s">
        <v>485</v>
      </c>
      <c r="BB248" s="499"/>
      <c r="BC248" s="271"/>
      <c r="BD248" s="279">
        <v>1</v>
      </c>
      <c r="BE248" s="271"/>
      <c r="BF248" s="271"/>
      <c r="BG248" s="271"/>
      <c r="BH248" s="271"/>
      <c r="BI248" s="271"/>
      <c r="BJ248" s="271"/>
      <c r="BK248" s="271"/>
      <c r="BL248" s="271"/>
    </row>
    <row r="249" spans="18:64" ht="21" customHeight="1" x14ac:dyDescent="0.25">
      <c r="R249" s="25" t="s">
        <v>6133</v>
      </c>
      <c r="S249" s="451"/>
      <c r="T249" s="32" t="s">
        <v>316</v>
      </c>
      <c r="V249" s="475">
        <v>5</v>
      </c>
      <c r="W249" s="475" t="str">
        <f>IF($AC$249="","",$W$216)</f>
        <v>N° 15</v>
      </c>
      <c r="X249" s="476" t="str">
        <f>IF($AC$249="","",$X$216)</f>
        <v>THON CATALANE*</v>
      </c>
      <c r="Y249" s="477">
        <f>IF($X$249="","",$Y$216)</f>
        <v>32</v>
      </c>
      <c r="Z249" s="477">
        <f>IF($X$249="","",$Z$216)</f>
        <v>100</v>
      </c>
      <c r="AA249" s="477">
        <f>IF($AC$249="","",ROW($A$249)-ROW($A$216))</f>
        <v>33</v>
      </c>
      <c r="AB249" s="478"/>
      <c r="AC249" s="34" t="s">
        <v>8177</v>
      </c>
      <c r="AD249" s="356"/>
      <c r="AE249" s="479">
        <v>1</v>
      </c>
      <c r="AF249" s="497" t="s">
        <v>462</v>
      </c>
      <c r="AG249" s="480">
        <f t="shared" si="52"/>
        <v>1</v>
      </c>
      <c r="AH249" s="481" t="str">
        <f t="shared" si="53"/>
        <v>BAC(S)</v>
      </c>
      <c r="AI249" s="477" t="str">
        <f>IF($AC$249="","",IFERROR(INDEX($AZ$74:$AZ$119,MATCH($AH$249,$AY$74:$AY$119,0)),"AUTRE"))</f>
        <v>AUTRE</v>
      </c>
      <c r="AJ249" s="482">
        <f>IF($AC$249="","",IFERROR(INDEX($BA$74:$BA$119,MATCH($AH$249,$AY$74:$AY$119,0)),1))</f>
        <v>1</v>
      </c>
      <c r="AK249" s="482">
        <f t="shared" si="54"/>
        <v>1</v>
      </c>
      <c r="AL249" s="477" t="str">
        <f>IF($AC$249="","",IFERROR(INDEX($BB$74:$BB$119,MATCH($AH$249,$AY$74:$AY$119,0)),$AH$249))</f>
        <v>bac(s)</v>
      </c>
      <c r="AM249" s="483" t="str">
        <f t="shared" si="55"/>
        <v>OK</v>
      </c>
      <c r="AN249" s="484">
        <f t="shared" si="56"/>
        <v>1</v>
      </c>
      <c r="AO249" s="473" t="str">
        <f t="shared" si="57"/>
        <v/>
      </c>
      <c r="AP249" s="473" t="str">
        <f t="shared" si="58"/>
        <v/>
      </c>
      <c r="AQ249" s="473" t="str">
        <f t="shared" si="59"/>
        <v/>
      </c>
      <c r="AR249" s="473" t="str">
        <f t="shared" si="60"/>
        <v/>
      </c>
      <c r="AS249" s="473" t="str">
        <f t="shared" si="61"/>
        <v/>
      </c>
      <c r="AT249" s="473" t="str">
        <f t="shared" si="62"/>
        <v/>
      </c>
      <c r="AU249" s="473" t="str">
        <f t="shared" si="63"/>
        <v/>
      </c>
      <c r="AY249" s="497" t="s">
        <v>465</v>
      </c>
      <c r="AZ249" s="32" t="s">
        <v>8137</v>
      </c>
      <c r="BA249" s="34" t="s">
        <v>6132</v>
      </c>
      <c r="BB249" s="499"/>
      <c r="BC249" s="271"/>
      <c r="BD249" s="279">
        <v>1</v>
      </c>
      <c r="BE249" s="271"/>
      <c r="BF249" s="271"/>
      <c r="BG249" s="271"/>
      <c r="BH249" s="271"/>
      <c r="BI249" s="271"/>
      <c r="BJ249" s="271"/>
      <c r="BK249" s="271"/>
      <c r="BL249" s="271"/>
    </row>
    <row r="250" spans="18:64" ht="21" customHeight="1" x14ac:dyDescent="0.25">
      <c r="R250" s="34" t="s">
        <v>476</v>
      </c>
      <c r="S250" s="451"/>
      <c r="T250" s="32" t="s">
        <v>313</v>
      </c>
      <c r="V250" s="475">
        <v>5</v>
      </c>
      <c r="W250" s="475" t="str">
        <f>IF($AC$250="","",$W$216)</f>
        <v>N° 15</v>
      </c>
      <c r="X250" s="476" t="str">
        <f>IF($AC$250="","",$X$216)</f>
        <v>THON CATALANE*</v>
      </c>
      <c r="Y250" s="477">
        <f>IF($X$250="","",$Y$216)</f>
        <v>32</v>
      </c>
      <c r="Z250" s="477">
        <f>IF($X$250="","",$Z$216)</f>
        <v>100</v>
      </c>
      <c r="AA250" s="477">
        <f>IF($AC$250="","",ROW($A$250)-ROW($A$216))</f>
        <v>34</v>
      </c>
      <c r="AB250" s="478"/>
      <c r="AC250" s="34" t="s">
        <v>8178</v>
      </c>
      <c r="AD250" s="356"/>
      <c r="AE250" s="479">
        <v>1</v>
      </c>
      <c r="AF250" s="497" t="s">
        <v>462</v>
      </c>
      <c r="AG250" s="491">
        <f t="shared" si="52"/>
        <v>1</v>
      </c>
      <c r="AH250" s="481" t="str">
        <f t="shared" si="53"/>
        <v>BAC(S)</v>
      </c>
      <c r="AI250" s="477" t="str">
        <f>IF($AC$250="","",IFERROR(INDEX($AZ$74:$AZ$119,MATCH($AH$250,$AY$74:$AY$119,0)),"AUTRE"))</f>
        <v>AUTRE</v>
      </c>
      <c r="AJ250" s="482">
        <f>IF($AC$250="","",IFERROR(INDEX($BA$74:$BA$119,MATCH($AH$250,$AY$74:$AY$119,0)),1))</f>
        <v>1</v>
      </c>
      <c r="AK250" s="482">
        <f t="shared" si="54"/>
        <v>1</v>
      </c>
      <c r="AL250" s="477" t="str">
        <f>IF($AC$250="","",IFERROR(INDEX($BB$74:$BB$119,MATCH($AH$250,$AY$74:$AY$119,0)),$AH$250))</f>
        <v>bac(s)</v>
      </c>
      <c r="AM250" s="483" t="str">
        <f t="shared" si="55"/>
        <v>OK</v>
      </c>
      <c r="AN250" s="484">
        <f t="shared" si="56"/>
        <v>1</v>
      </c>
      <c r="AO250" s="473" t="str">
        <f t="shared" si="57"/>
        <v/>
      </c>
      <c r="AP250" s="473" t="str">
        <f t="shared" si="58"/>
        <v/>
      </c>
      <c r="AQ250" s="473" t="str">
        <f t="shared" si="59"/>
        <v/>
      </c>
      <c r="AR250" s="473" t="str">
        <f t="shared" si="60"/>
        <v/>
      </c>
      <c r="AS250" s="473" t="str">
        <f t="shared" si="61"/>
        <v/>
      </c>
      <c r="AT250" s="473" t="str">
        <f t="shared" si="62"/>
        <v/>
      </c>
      <c r="AU250" s="473" t="str">
        <f t="shared" si="63"/>
        <v/>
      </c>
      <c r="AY250" s="497" t="s">
        <v>466</v>
      </c>
      <c r="AZ250" s="32" t="s">
        <v>8139</v>
      </c>
      <c r="BA250" s="25" t="s">
        <v>6133</v>
      </c>
      <c r="BB250" s="499"/>
      <c r="BC250" s="271"/>
      <c r="BD250" s="279">
        <v>1</v>
      </c>
      <c r="BE250" s="271"/>
      <c r="BF250" s="271"/>
      <c r="BG250" s="271"/>
      <c r="BH250" s="271"/>
      <c r="BI250" s="271"/>
      <c r="BJ250" s="271"/>
      <c r="BK250" s="271"/>
      <c r="BL250" s="271"/>
    </row>
    <row r="251" spans="18:64" ht="30" customHeight="1" x14ac:dyDescent="0.25">
      <c r="R251" s="34" t="s">
        <v>468</v>
      </c>
      <c r="S251" s="451"/>
      <c r="T251" s="32" t="s">
        <v>307</v>
      </c>
      <c r="V251" s="453" t="s">
        <v>324</v>
      </c>
      <c r="W251" s="453" t="s">
        <v>7912</v>
      </c>
      <c r="X251" s="453" t="s">
        <v>326</v>
      </c>
      <c r="Y251" s="453" t="s">
        <v>327</v>
      </c>
      <c r="Z251" s="454" t="s">
        <v>7930</v>
      </c>
      <c r="AA251" s="453" t="s">
        <v>7937</v>
      </c>
      <c r="AB251" s="455" t="s">
        <v>39</v>
      </c>
      <c r="AC251" s="455" t="s">
        <v>338</v>
      </c>
      <c r="AD251" s="455" t="s">
        <v>8114</v>
      </c>
      <c r="AE251" s="455" t="s">
        <v>8114</v>
      </c>
      <c r="AF251" s="455" t="s">
        <v>339</v>
      </c>
      <c r="AG251" s="453" t="s">
        <v>8018</v>
      </c>
      <c r="AH251" s="453" t="s">
        <v>8023</v>
      </c>
      <c r="AI251" s="453" t="s">
        <v>330</v>
      </c>
      <c r="AJ251" s="453" t="s">
        <v>8031</v>
      </c>
      <c r="AK251" s="453" t="s">
        <v>8037</v>
      </c>
      <c r="AL251" s="453" t="s">
        <v>8041</v>
      </c>
      <c r="AM251" s="453" t="s">
        <v>343</v>
      </c>
      <c r="AN251" s="457" t="s">
        <v>8115</v>
      </c>
      <c r="AO251" s="457" t="s">
        <v>8116</v>
      </c>
      <c r="AP251" s="656" t="s">
        <v>8117</v>
      </c>
      <c r="AQ251" s="656"/>
      <c r="AR251" s="656"/>
      <c r="AS251" s="656"/>
      <c r="AT251" s="656"/>
      <c r="AU251" s="657"/>
      <c r="AZ251" s="32" t="s">
        <v>8141</v>
      </c>
      <c r="BA251" s="34" t="s">
        <v>476</v>
      </c>
      <c r="BB251" s="499"/>
      <c r="BC251" s="271"/>
      <c r="BD251" s="279">
        <v>1</v>
      </c>
      <c r="BE251" s="271"/>
      <c r="BF251" s="271"/>
      <c r="BG251" s="271"/>
      <c r="BH251" s="271"/>
      <c r="BI251" s="271"/>
      <c r="BJ251" s="271"/>
      <c r="BK251" s="271"/>
      <c r="BL251" s="271"/>
    </row>
    <row r="252" spans="18:64" ht="30" customHeight="1" x14ac:dyDescent="0.25">
      <c r="R252" s="34" t="s">
        <v>473</v>
      </c>
      <c r="S252" s="451"/>
      <c r="T252" s="32" t="s">
        <v>322</v>
      </c>
      <c r="V252" s="459">
        <v>6</v>
      </c>
      <c r="W252" s="460" t="s">
        <v>153</v>
      </c>
      <c r="X252" s="461" t="s">
        <v>148</v>
      </c>
      <c r="Y252" s="462">
        <v>33</v>
      </c>
      <c r="Z252" s="463">
        <v>100</v>
      </c>
      <c r="AA252" s="464">
        <f>IF($AC$396="","",ROW($A$396)-ROW($A$396))</f>
        <v>0</v>
      </c>
      <c r="AB252" s="461"/>
      <c r="AC252" s="465" t="s">
        <v>149</v>
      </c>
      <c r="AD252" s="390"/>
      <c r="AE252" s="390">
        <v>10</v>
      </c>
      <c r="AF252" s="466" t="s">
        <v>7</v>
      </c>
      <c r="AG252" s="467">
        <f t="shared" ref="AG252:AG286" si="64">IF($AC252="","",IF(LEN($AN252&amp;"")=0,"",$AN252))</f>
        <v>10</v>
      </c>
      <c r="AH252" s="468" t="str">
        <f t="shared" ref="AH252:AH286" si="65">IF($AC252="","",IF($AF252&lt;&gt;"",UPPER(TRIM(SUBSTITUTE(SUBSTITUTE($AF252&amp;"",CHAR(160)," ")," "," "))),$AP252))</f>
        <v>KG</v>
      </c>
      <c r="AI252" s="469" t="str">
        <f>IF($AC$252="","",IFERROR(INDEX($AZ$74:$AZ$119,MATCH($AH$252,$AY$74:$AY$119,0)),"AUTRE"))</f>
        <v>MASSE</v>
      </c>
      <c r="AJ252" s="470">
        <f>IF($AC$252="","",IFERROR(INDEX($BA$74:$BA$119,MATCH($AH$252,$AY$74:$AY$119,0)),1))</f>
        <v>1</v>
      </c>
      <c r="AK252" s="470">
        <f t="shared" ref="AK252:AK315" si="66">IF(OR(AG252="",AJ252=""),"",AG252*AJ252)</f>
        <v>10</v>
      </c>
      <c r="AL252" s="469" t="str">
        <f>IF($AC$252="","",IFERROR(INDEX($BB$74:$BB$119,MATCH($AH$252,$AY$74:$AY$119,0)),$AH$252))</f>
        <v>kg</v>
      </c>
      <c r="AM252" s="471" t="str">
        <f t="shared" ref="AM252:AM286" si="67">IF($AC252="","",IF($AH252="QT. SUFFISANTE","OK",IF($AG252="","TEXTE",IF(NOT(ISNUMBER($AG252)),"QUANTITÉ À CONTRÔLER",IF(COUNTIF($AY$74:$AY$119,$AH252)=0,"UNITÉ À CONTRÔLER","OK")))))</f>
        <v>OK</v>
      </c>
      <c r="AN252" s="474">
        <f t="shared" ref="AN252:AN286" si="68">IF($AE252&lt;&gt;"",$AE252,IF($AD252="","",IF(ISNUMBER($AD252),$AD252,IF($AO252="QT",0,IF($AO252="","",IFERROR(IF(ISNUMBER(SEARCH("/",$AO252)),VALUE(TRIM(LEFT($AO252,SEARCH("/",$AO252)-1)))/VALUE(TRIM(MID($AO252,SEARCH("/",$AO252)+1,99))),VALUE(SUBSTITUTE($AO252,".",","))),""))))))</f>
        <v>10</v>
      </c>
      <c r="AO252" s="473" t="str">
        <f t="shared" ref="AO252:AO286" si="69">IF($AD252="","",IF(ISNUMBER($AD252),$AD252,IF(OR(LEFT($AQ252,3)="QT.",LEFT($AQ252,4)="QUAN"),"QT",IF($AR252=999,$AQ252,TRIM(LEFT($AQ252,$AR252-1))))))</f>
        <v/>
      </c>
      <c r="AP252" s="473" t="str">
        <f t="shared" ref="AP252:AP286" si="70">IF($AD252="","",IF(ISNUMBER($AD252),"",IF(OR(LEFT($AQ252,3)="QT.",LEFT($AQ252,4)="QUAN"),"QT. SUFFISANTE",IF($AO252="","",TRIM(MID($AQ252,LEN($AO252&amp;"")+1,999))))))</f>
        <v/>
      </c>
      <c r="AQ252" s="473" t="str">
        <f t="shared" ref="AQ252:AQ286" si="71">IF($AD252="","",UPPER(TRIM(SUBSTITUTE(SUBSTITUTE($AD252&amp;"",CHAR(160)," ")," "," "))))</f>
        <v/>
      </c>
      <c r="AR252" s="473" t="str">
        <f t="shared" ref="AR252:AR286" si="72">IF($AQ252="","",MIN($AS252,$AT252,$AU252))</f>
        <v/>
      </c>
      <c r="AS252" s="473" t="str">
        <f t="shared" ref="AS252:AS286" si="73">IF($AQ252="","",MIN(IFERROR(SEARCH("A",$AQ252),999),IFERROR(SEARCH("B",$AQ252),999),IFERROR(SEARCH("C",$AQ252),999),IFERROR(SEARCH("D",$AQ252),999),IFERROR(SEARCH("E",$AQ252),999),IFERROR(SEARCH("F",$AQ252),999),IFERROR(SEARCH("G",$AQ252),999),IFERROR(SEARCH("H",$AQ252),999),IFERROR(SEARCH("I",$AQ252),999)))</f>
        <v/>
      </c>
      <c r="AT252" s="473" t="str">
        <f t="shared" ref="AT252:AT286" si="74">IF($AQ252="","",MIN(IFERROR(SEARCH("J",$AQ252),999),IFERROR(SEARCH("K",$AQ252),999),IFERROR(SEARCH("L",$AQ252),999),IFERROR(SEARCH("M",$AQ252),999),IFERROR(SEARCH("N",$AQ252),999),IFERROR(SEARCH("O",$AQ252),999),IFERROR(SEARCH("P",$AQ252),999),IFERROR(SEARCH("Q",$AQ252),999),IFERROR(SEARCH("R",$AQ252),999)))</f>
        <v/>
      </c>
      <c r="AU252" s="473" t="str">
        <f t="shared" ref="AU252:AU286" si="75">IF($AQ252="","",MIN(IFERROR(SEARCH("S",$AQ252),999),IFERROR(SEARCH("T",$AQ252),999),IFERROR(SEARCH("U",$AQ252),999),IFERROR(SEARCH("V",$AQ252),999),IFERROR(SEARCH("W",$AQ252),999),IFERROR(SEARCH("X",$AQ252),999),IFERROR(SEARCH("Y",$AQ252),999),IFERROR(SEARCH("Z",$AQ252),999)))</f>
        <v/>
      </c>
      <c r="AZ252" s="32" t="s">
        <v>8143</v>
      </c>
      <c r="BA252" s="34" t="s">
        <v>468</v>
      </c>
      <c r="BB252" s="499"/>
      <c r="BC252" s="271"/>
      <c r="BD252" s="279">
        <v>1</v>
      </c>
      <c r="BE252" s="271"/>
      <c r="BF252" s="271"/>
      <c r="BG252" s="271"/>
      <c r="BH252" s="271"/>
      <c r="BI252" s="271"/>
      <c r="BJ252" s="271"/>
      <c r="BK252" s="271"/>
      <c r="BL252" s="271"/>
    </row>
    <row r="253" spans="18:64" ht="21" customHeight="1" x14ac:dyDescent="0.25">
      <c r="R253" s="34" t="s">
        <v>497</v>
      </c>
      <c r="S253" s="451"/>
      <c r="T253" s="32" t="s">
        <v>305</v>
      </c>
      <c r="V253" s="475">
        <f>$V$252</f>
        <v>6</v>
      </c>
      <c r="W253" s="475" t="str">
        <f>IF($AC$253="","",$W$252)</f>
        <v>N° 16</v>
      </c>
      <c r="X253" s="476" t="str">
        <f>IF($AC$253="","",$X$252)</f>
        <v>TOMATE ET MOZARELLA AU BASILIC</v>
      </c>
      <c r="Y253" s="477">
        <f>IF($X$253="","",$Y$252)</f>
        <v>33</v>
      </c>
      <c r="Z253" s="477">
        <f>IF($X$253="","",$Z$252)</f>
        <v>100</v>
      </c>
      <c r="AA253" s="477">
        <f>IF($AC$253="","",ROW($A$253)-ROW($A$252))</f>
        <v>1</v>
      </c>
      <c r="AB253" s="478"/>
      <c r="AC253" s="34" t="s">
        <v>111</v>
      </c>
      <c r="AD253" s="356"/>
      <c r="AE253" s="479">
        <v>2</v>
      </c>
      <c r="AF253" s="466" t="s">
        <v>7</v>
      </c>
      <c r="AG253" s="480">
        <f t="shared" si="64"/>
        <v>2</v>
      </c>
      <c r="AH253" s="481" t="str">
        <f t="shared" si="65"/>
        <v>KG</v>
      </c>
      <c r="AI253" s="477" t="str">
        <f>IF($AC$253="","",IFERROR(INDEX($AZ$74:$AZ$119,MATCH($AH$253,$AY$74:$AY$119,0)),"AUTRE"))</f>
        <v>MASSE</v>
      </c>
      <c r="AJ253" s="482">
        <f>IF($AC$253="","",IFERROR(INDEX($BA$74:$BA$119,MATCH($AH$253,$AY$74:$AY$119,0)),1))</f>
        <v>1</v>
      </c>
      <c r="AK253" s="482">
        <f t="shared" si="66"/>
        <v>2</v>
      </c>
      <c r="AL253" s="477" t="str">
        <f>IF($AC$253="","",IFERROR(INDEX($BB$74:$BB$119,MATCH($AH$253,$AY$74:$AY$119,0)),$AH$253))</f>
        <v>kg</v>
      </c>
      <c r="AM253" s="483" t="str">
        <f t="shared" si="67"/>
        <v>OK</v>
      </c>
      <c r="AN253" s="484">
        <f t="shared" si="68"/>
        <v>2</v>
      </c>
      <c r="AO253" s="473" t="str">
        <f t="shared" si="69"/>
        <v/>
      </c>
      <c r="AP253" s="473" t="str">
        <f t="shared" si="70"/>
        <v/>
      </c>
      <c r="AQ253" s="473" t="str">
        <f t="shared" si="71"/>
        <v/>
      </c>
      <c r="AR253" s="473" t="str">
        <f t="shared" si="72"/>
        <v/>
      </c>
      <c r="AS253" s="473" t="str">
        <f t="shared" si="73"/>
        <v/>
      </c>
      <c r="AT253" s="473" t="str">
        <f t="shared" si="74"/>
        <v/>
      </c>
      <c r="AU253" s="473" t="str">
        <f t="shared" si="75"/>
        <v/>
      </c>
      <c r="AZ253" s="497" t="s">
        <v>8145</v>
      </c>
      <c r="BA253" s="34" t="s">
        <v>473</v>
      </c>
      <c r="BB253" s="499"/>
      <c r="BC253" s="271"/>
      <c r="BD253" s="279">
        <v>1</v>
      </c>
      <c r="BE253" s="271"/>
      <c r="BF253" s="271"/>
      <c r="BG253" s="271"/>
      <c r="BH253" s="271"/>
      <c r="BI253" s="271"/>
      <c r="BJ253" s="271"/>
      <c r="BK253" s="271"/>
      <c r="BL253" s="271"/>
    </row>
    <row r="254" spans="18:64" ht="21" customHeight="1" x14ac:dyDescent="0.25">
      <c r="R254" s="34" t="s">
        <v>470</v>
      </c>
      <c r="S254" s="451"/>
      <c r="T254" s="32" t="s">
        <v>309</v>
      </c>
      <c r="V254" s="475">
        <v>6</v>
      </c>
      <c r="W254" s="475" t="str">
        <f>IF($AC$254="","",$W$252)</f>
        <v>N° 16</v>
      </c>
      <c r="X254" s="476" t="str">
        <f>IF($AC$254="","",$X$252)</f>
        <v>TOMATE ET MOZARELLA AU BASILIC</v>
      </c>
      <c r="Y254" s="477">
        <f>IF($X$254="","",$Y$252)</f>
        <v>33</v>
      </c>
      <c r="Z254" s="477">
        <f>IF($X$254="","",$Z$252)</f>
        <v>100</v>
      </c>
      <c r="AA254" s="477">
        <f>IF($AC$254="","",ROW($A$254)-ROW($A$252))</f>
        <v>2</v>
      </c>
      <c r="AB254" s="478"/>
      <c r="AC254" s="34" t="s">
        <v>364</v>
      </c>
      <c r="AD254" s="356"/>
      <c r="AE254" s="479">
        <v>3</v>
      </c>
      <c r="AF254" s="466" t="s">
        <v>7</v>
      </c>
      <c r="AG254" s="480">
        <f t="shared" si="64"/>
        <v>3</v>
      </c>
      <c r="AH254" s="481" t="str">
        <f t="shared" si="65"/>
        <v>KG</v>
      </c>
      <c r="AI254" s="477" t="str">
        <f>IF($AC$254="","",IFERROR(INDEX($AZ$74:$AZ$119,MATCH($AH$254,$AY$74:$AY$119,0)),"AUTRE"))</f>
        <v>MASSE</v>
      </c>
      <c r="AJ254" s="482">
        <f>IF($AC$254="","",IFERROR(INDEX($BA$74:$BA$119,MATCH($AH$254,$AY$74:$AY$119,0)),1))</f>
        <v>1</v>
      </c>
      <c r="AK254" s="482">
        <f t="shared" si="66"/>
        <v>3</v>
      </c>
      <c r="AL254" s="477" t="str">
        <f>IF($AC$254="","",IFERROR(INDEX($BB$74:$BB$119,MATCH($AH$254,$AY$74:$AY$119,0)),$AH$254))</f>
        <v>kg</v>
      </c>
      <c r="AM254" s="483" t="str">
        <f t="shared" si="67"/>
        <v>OK</v>
      </c>
      <c r="AN254" s="484">
        <f t="shared" si="68"/>
        <v>3</v>
      </c>
      <c r="AO254" s="473" t="str">
        <f t="shared" si="69"/>
        <v/>
      </c>
      <c r="AP254" s="473" t="str">
        <f t="shared" si="70"/>
        <v/>
      </c>
      <c r="AQ254" s="473" t="str">
        <f t="shared" si="71"/>
        <v/>
      </c>
      <c r="AR254" s="473" t="str">
        <f t="shared" si="72"/>
        <v/>
      </c>
      <c r="AS254" s="473" t="str">
        <f t="shared" si="73"/>
        <v/>
      </c>
      <c r="AT254" s="473" t="str">
        <f t="shared" si="74"/>
        <v/>
      </c>
      <c r="AU254" s="473" t="str">
        <f t="shared" si="75"/>
        <v/>
      </c>
      <c r="AZ254" s="497" t="s">
        <v>462</v>
      </c>
      <c r="BA254" s="34" t="s">
        <v>497</v>
      </c>
      <c r="BB254" s="499"/>
      <c r="BC254" s="271"/>
      <c r="BD254" s="279">
        <v>1</v>
      </c>
      <c r="BE254" s="271"/>
      <c r="BF254" s="271"/>
      <c r="BG254" s="271"/>
      <c r="BH254" s="271"/>
      <c r="BI254" s="271"/>
      <c r="BJ254" s="271"/>
      <c r="BK254" s="271"/>
      <c r="BL254" s="271"/>
    </row>
    <row r="255" spans="18:64" ht="21" customHeight="1" x14ac:dyDescent="0.25">
      <c r="R255" s="34" t="s">
        <v>477</v>
      </c>
      <c r="S255" s="451"/>
      <c r="T255" s="32" t="s">
        <v>311</v>
      </c>
      <c r="V255" s="475">
        <v>6</v>
      </c>
      <c r="W255" s="475" t="str">
        <f>IF($AC$255="","",$W$252)</f>
        <v>N° 16</v>
      </c>
      <c r="X255" s="476" t="str">
        <f>IF($AC$255="","",$X$252)</f>
        <v>TOMATE ET MOZARELLA AU BASILIC</v>
      </c>
      <c r="Y255" s="477">
        <f>IF($X$255="","",$Y$252)</f>
        <v>33</v>
      </c>
      <c r="Z255" s="477">
        <f>IF($X$255="","",$Z$252)</f>
        <v>100</v>
      </c>
      <c r="AA255" s="477">
        <f>IF($AC$255="","",ROW($A$255)-ROW($A$252))</f>
        <v>3</v>
      </c>
      <c r="AB255" s="478"/>
      <c r="AC255" s="34" t="s">
        <v>150</v>
      </c>
      <c r="AD255" s="356"/>
      <c r="AE255" s="479">
        <v>100</v>
      </c>
      <c r="AF255" s="32" t="s">
        <v>309</v>
      </c>
      <c r="AG255" s="480">
        <f t="shared" si="64"/>
        <v>100</v>
      </c>
      <c r="AH255" s="481" t="str">
        <f t="shared" si="65"/>
        <v>PIÈCE(S)</v>
      </c>
      <c r="AI255" s="477" t="str">
        <f>IF($AC$255="","",IFERROR(INDEX($AZ$74:$AZ$119,MATCH($AH$255,$AY$74:$AY$119,0)),"AUTRE"))</f>
        <v>AUTRE</v>
      </c>
      <c r="AJ255" s="482">
        <f>IF($AC$255="","",IFERROR(INDEX($BA$74:$BA$119,MATCH($AH$255,$AY$74:$AY$119,0)),1))</f>
        <v>1</v>
      </c>
      <c r="AK255" s="482">
        <f t="shared" si="66"/>
        <v>100</v>
      </c>
      <c r="AL255" s="477" t="str">
        <f>IF($AC$255="","",IFERROR(INDEX($BB$74:$BB$119,MATCH($AH$255,$AY$74:$AY$119,0)),$AH$255))</f>
        <v>pièce(s)</v>
      </c>
      <c r="AM255" s="483" t="str">
        <f t="shared" si="67"/>
        <v>OK</v>
      </c>
      <c r="AN255" s="484">
        <f t="shared" si="68"/>
        <v>100</v>
      </c>
      <c r="AO255" s="473" t="str">
        <f t="shared" si="69"/>
        <v/>
      </c>
      <c r="AP255" s="473" t="str">
        <f t="shared" si="70"/>
        <v/>
      </c>
      <c r="AQ255" s="473" t="str">
        <f t="shared" si="71"/>
        <v/>
      </c>
      <c r="AR255" s="473" t="str">
        <f t="shared" si="72"/>
        <v/>
      </c>
      <c r="AS255" s="473" t="str">
        <f t="shared" si="73"/>
        <v/>
      </c>
      <c r="AT255" s="473" t="str">
        <f t="shared" si="74"/>
        <v/>
      </c>
      <c r="AU255" s="473" t="str">
        <f t="shared" si="75"/>
        <v/>
      </c>
      <c r="AZ255" s="497" t="s">
        <v>463</v>
      </c>
      <c r="BA255" s="34" t="s">
        <v>470</v>
      </c>
      <c r="BB255" s="499"/>
      <c r="BC255" s="271"/>
      <c r="BD255" s="279">
        <v>1</v>
      </c>
      <c r="BE255" s="271"/>
      <c r="BF255" s="271"/>
      <c r="BG255" s="271"/>
      <c r="BH255" s="271"/>
      <c r="BI255" s="271"/>
      <c r="BJ255" s="271"/>
      <c r="BK255" s="271"/>
      <c r="BL255" s="271"/>
    </row>
    <row r="256" spans="18:64" ht="21" customHeight="1" x14ac:dyDescent="0.25">
      <c r="S256" s="451"/>
      <c r="T256" s="32" t="s">
        <v>8135</v>
      </c>
      <c r="V256" s="475">
        <v>6</v>
      </c>
      <c r="W256" s="475" t="str">
        <f>IF($AC$256="","",$W$252)</f>
        <v>N° 16</v>
      </c>
      <c r="X256" s="476" t="str">
        <f>IF($AC$256="","",$X$252)</f>
        <v>TOMATE ET MOZARELLA AU BASILIC</v>
      </c>
      <c r="Y256" s="477">
        <f>IF($X$256="","",$Y$252)</f>
        <v>33</v>
      </c>
      <c r="Z256" s="477">
        <f>IF($X$256="","",$Z$252)</f>
        <v>100</v>
      </c>
      <c r="AA256" s="477">
        <f>IF($AC$256="","",ROW($A$256)-ROW($A$252))</f>
        <v>4</v>
      </c>
      <c r="AB256" s="478"/>
      <c r="AC256" s="34" t="s">
        <v>42</v>
      </c>
      <c r="AD256" s="356"/>
      <c r="AE256" s="479">
        <v>2</v>
      </c>
      <c r="AF256" s="29" t="s">
        <v>9</v>
      </c>
      <c r="AG256" s="480">
        <f t="shared" si="64"/>
        <v>2</v>
      </c>
      <c r="AH256" s="481" t="str">
        <f t="shared" si="65"/>
        <v>L</v>
      </c>
      <c r="AI256" s="477" t="str">
        <f>IF($AC$256="","",IFERROR(INDEX($AZ$74:$AZ$119,MATCH($AH$256,$AY$74:$AY$119,0)),"AUTRE"))</f>
        <v>VOLUME</v>
      </c>
      <c r="AJ256" s="482">
        <f>IF($AC$256="","",IFERROR(INDEX($BA$74:$BA$119,MATCH($AH$256,$AY$74:$AY$119,0)),1))</f>
        <v>1</v>
      </c>
      <c r="AK256" s="482">
        <f t="shared" si="66"/>
        <v>2</v>
      </c>
      <c r="AL256" s="477" t="str">
        <f>IF($AC$256="","",IFERROR(INDEX($BB$74:$BB$119,MATCH($AH$256,$AY$74:$AY$119,0)),$AH$256))</f>
        <v>L</v>
      </c>
      <c r="AM256" s="483" t="str">
        <f t="shared" si="67"/>
        <v>OK</v>
      </c>
      <c r="AN256" s="484">
        <f t="shared" si="68"/>
        <v>2</v>
      </c>
      <c r="AO256" s="473" t="str">
        <f t="shared" si="69"/>
        <v/>
      </c>
      <c r="AP256" s="473" t="str">
        <f t="shared" si="70"/>
        <v/>
      </c>
      <c r="AQ256" s="473" t="str">
        <f t="shared" si="71"/>
        <v/>
      </c>
      <c r="AR256" s="473" t="str">
        <f t="shared" si="72"/>
        <v/>
      </c>
      <c r="AS256" s="473" t="str">
        <f t="shared" si="73"/>
        <v/>
      </c>
      <c r="AT256" s="473" t="str">
        <f t="shared" si="74"/>
        <v/>
      </c>
      <c r="AU256" s="473" t="str">
        <f t="shared" si="75"/>
        <v/>
      </c>
      <c r="AZ256" s="497" t="s">
        <v>8147</v>
      </c>
      <c r="BA256" s="34" t="s">
        <v>477</v>
      </c>
      <c r="BB256" s="499"/>
      <c r="BC256" s="271"/>
      <c r="BD256" s="279">
        <v>1</v>
      </c>
      <c r="BE256" s="271"/>
      <c r="BF256" s="271"/>
      <c r="BG256" s="271"/>
      <c r="BH256" s="271"/>
      <c r="BI256" s="271"/>
      <c r="BJ256" s="271"/>
      <c r="BK256" s="271"/>
      <c r="BL256" s="271"/>
    </row>
    <row r="257" spans="18:64" ht="21" customHeight="1" x14ac:dyDescent="0.25">
      <c r="R257" s="25" t="s">
        <v>6134</v>
      </c>
      <c r="S257" s="451"/>
      <c r="T257" s="497" t="s">
        <v>462</v>
      </c>
      <c r="V257" s="475">
        <v>6</v>
      </c>
      <c r="W257" s="475" t="str">
        <f>IF($AC$257="","",$W$252)</f>
        <v>N° 16</v>
      </c>
      <c r="X257" s="476" t="str">
        <f>IF($AC$257="","",$X$252)</f>
        <v>TOMATE ET MOZARELLA AU BASILIC</v>
      </c>
      <c r="Y257" s="477">
        <f>IF($X$257="","",$Y$252)</f>
        <v>33</v>
      </c>
      <c r="Z257" s="477">
        <f>IF($X$257="","",$Z$252)</f>
        <v>100</v>
      </c>
      <c r="AA257" s="477">
        <f>IF($AC$257="","",ROW($A$257)-ROW($A$252))</f>
        <v>5</v>
      </c>
      <c r="AB257" s="478"/>
      <c r="AC257" s="34" t="s">
        <v>151</v>
      </c>
      <c r="AD257" s="356"/>
      <c r="AE257" s="479">
        <v>3</v>
      </c>
      <c r="AF257" s="32" t="s">
        <v>315</v>
      </c>
      <c r="AG257" s="480">
        <f t="shared" si="64"/>
        <v>3</v>
      </c>
      <c r="AH257" s="481" t="str">
        <f t="shared" si="65"/>
        <v>BOTTE(S)</v>
      </c>
      <c r="AI257" s="477" t="str">
        <f>IF($AC$257="","",IFERROR(INDEX($AZ$74:$AZ$119,MATCH($AH$257,$AY$74:$AY$119,0)),"AUTRE"))</f>
        <v>AUTRE</v>
      </c>
      <c r="AJ257" s="482">
        <f>IF($AC$257="","",IFERROR(INDEX($BA$74:$BA$119,MATCH($AH$257,$AY$74:$AY$119,0)),1))</f>
        <v>1</v>
      </c>
      <c r="AK257" s="482">
        <f t="shared" si="66"/>
        <v>3</v>
      </c>
      <c r="AL257" s="477" t="str">
        <f>IF($AC$257="","",IFERROR(INDEX($BB$74:$BB$119,MATCH($AH$257,$AY$74:$AY$119,0)),$AH$257))</f>
        <v>BOTTE(S)</v>
      </c>
      <c r="AM257" s="483" t="str">
        <f t="shared" si="67"/>
        <v>UNITÉ À CONTRÔLER</v>
      </c>
      <c r="AN257" s="484">
        <f t="shared" si="68"/>
        <v>3</v>
      </c>
      <c r="AO257" s="473" t="str">
        <f t="shared" si="69"/>
        <v/>
      </c>
      <c r="AP257" s="473" t="str">
        <f t="shared" si="70"/>
        <v/>
      </c>
      <c r="AQ257" s="473" t="str">
        <f t="shared" si="71"/>
        <v/>
      </c>
      <c r="AR257" s="473" t="str">
        <f t="shared" si="72"/>
        <v/>
      </c>
      <c r="AS257" s="473" t="str">
        <f t="shared" si="73"/>
        <v/>
      </c>
      <c r="AT257" s="473" t="str">
        <f t="shared" si="74"/>
        <v/>
      </c>
      <c r="AU257" s="473" t="str">
        <f t="shared" si="75"/>
        <v/>
      </c>
      <c r="AZ257" s="497" t="s">
        <v>465</v>
      </c>
      <c r="BB257" s="499"/>
      <c r="BC257" s="271"/>
      <c r="BD257" s="279">
        <v>1</v>
      </c>
      <c r="BE257" s="271"/>
      <c r="BF257" s="271"/>
      <c r="BG257" s="271"/>
      <c r="BH257" s="271"/>
      <c r="BI257" s="271"/>
      <c r="BJ257" s="271"/>
      <c r="BK257" s="271"/>
      <c r="BL257" s="271"/>
    </row>
    <row r="258" spans="18:64" ht="21" customHeight="1" x14ac:dyDescent="0.25">
      <c r="R258" s="34" t="s">
        <v>481</v>
      </c>
      <c r="S258" s="451"/>
      <c r="T258" s="497" t="s">
        <v>463</v>
      </c>
      <c r="V258" s="475">
        <v>6</v>
      </c>
      <c r="W258" s="475" t="str">
        <f>IF($AC$258="","",$W$252)</f>
        <v>N° 16</v>
      </c>
      <c r="X258" s="476" t="str">
        <f>IF($AC$258="","",$X$252)</f>
        <v>TOMATE ET MOZARELLA AU BASILIC</v>
      </c>
      <c r="Y258" s="477">
        <f>IF($X$258="","",$Y$252)</f>
        <v>33</v>
      </c>
      <c r="Z258" s="477">
        <f>IF($X$258="","",$Z$252)</f>
        <v>100</v>
      </c>
      <c r="AA258" s="477">
        <f>IF($AC$258="","",ROW($A$258)-ROW($A$252))</f>
        <v>6</v>
      </c>
      <c r="AB258" s="478"/>
      <c r="AC258" s="34" t="s">
        <v>67</v>
      </c>
      <c r="AD258" s="356"/>
      <c r="AE258" s="32" t="s">
        <v>33</v>
      </c>
      <c r="AF258" s="475"/>
      <c r="AG258" s="480" t="str">
        <f t="shared" si="64"/>
        <v>QT. SUFFISANTE</v>
      </c>
      <c r="AH258" s="481" t="str">
        <f t="shared" si="65"/>
        <v/>
      </c>
      <c r="AI258" s="477" t="str">
        <f>IF($AC$258="","",IFERROR(INDEX($AZ$74:$AZ$119,MATCH($AH$258,$AY$74:$AY$119,0)),"AUTRE"))</f>
        <v>AUTRE</v>
      </c>
      <c r="AJ258" s="482">
        <f>IF($AC$258="","",IFERROR(INDEX($BA$74:$BA$119,MATCH($AH$258,$AY$74:$AY$119,0)),1))</f>
        <v>1</v>
      </c>
      <c r="AK258" s="482" t="e">
        <f t="shared" si="66"/>
        <v>#VALUE!</v>
      </c>
      <c r="AL258" s="477" t="str">
        <f>IF($AC$258="","",IFERROR(INDEX($BB$74:$BB$119,MATCH($AH$258,$AY$74:$AY$119,0)),$AH$258))</f>
        <v/>
      </c>
      <c r="AM258" s="483" t="str">
        <f t="shared" si="67"/>
        <v>QUANTITÉ À CONTRÔLER</v>
      </c>
      <c r="AN258" s="484" t="str">
        <f t="shared" si="68"/>
        <v>QT. SUFFISANTE</v>
      </c>
      <c r="AO258" s="473" t="str">
        <f t="shared" si="69"/>
        <v/>
      </c>
      <c r="AP258" s="473" t="str">
        <f t="shared" si="70"/>
        <v/>
      </c>
      <c r="AQ258" s="473" t="str">
        <f t="shared" si="71"/>
        <v/>
      </c>
      <c r="AR258" s="473" t="str">
        <f t="shared" si="72"/>
        <v/>
      </c>
      <c r="AS258" s="473" t="str">
        <f t="shared" si="73"/>
        <v/>
      </c>
      <c r="AT258" s="473" t="str">
        <f t="shared" si="74"/>
        <v/>
      </c>
      <c r="AU258" s="473" t="str">
        <f t="shared" si="75"/>
        <v/>
      </c>
      <c r="AZ258" s="497" t="s">
        <v>466</v>
      </c>
      <c r="BA258" s="25" t="s">
        <v>6134</v>
      </c>
      <c r="BB258" s="499"/>
      <c r="BC258" s="271"/>
      <c r="BD258" s="279">
        <v>1</v>
      </c>
      <c r="BE258" s="271"/>
      <c r="BF258" s="271"/>
      <c r="BG258" s="271"/>
      <c r="BH258" s="271"/>
      <c r="BI258" s="271"/>
      <c r="BJ258" s="271"/>
      <c r="BK258" s="271"/>
      <c r="BL258" s="271"/>
    </row>
    <row r="259" spans="18:64" ht="21" customHeight="1" x14ac:dyDescent="0.25">
      <c r="R259" s="34" t="s">
        <v>475</v>
      </c>
      <c r="S259" s="451"/>
      <c r="T259" s="497" t="s">
        <v>8147</v>
      </c>
      <c r="V259" s="475">
        <v>6</v>
      </c>
      <c r="W259" s="475" t="str">
        <f>IF($AC$259="","",$W$252)</f>
        <v>N° 16</v>
      </c>
      <c r="X259" s="476" t="str">
        <f>IF($AC$259="","",$X$252)</f>
        <v>TOMATE ET MOZARELLA AU BASILIC</v>
      </c>
      <c r="Y259" s="477">
        <f>IF($X$259="","",$Y$252)</f>
        <v>33</v>
      </c>
      <c r="Z259" s="477">
        <f>IF($X$259="","",$Z$252)</f>
        <v>100</v>
      </c>
      <c r="AA259" s="477">
        <f>IF($AC$259="","",ROW($A$259)-ROW($A$252))</f>
        <v>7</v>
      </c>
      <c r="AB259" s="478"/>
      <c r="AC259" s="34" t="s">
        <v>152</v>
      </c>
      <c r="AD259" s="356"/>
      <c r="AE259" s="32" t="s">
        <v>33</v>
      </c>
      <c r="AF259" s="475"/>
      <c r="AG259" s="480" t="str">
        <f t="shared" si="64"/>
        <v>QT. SUFFISANTE</v>
      </c>
      <c r="AH259" s="481" t="str">
        <f t="shared" si="65"/>
        <v/>
      </c>
      <c r="AI259" s="477" t="str">
        <f>IF($AC$259="","",IFERROR(INDEX($AZ$74:$AZ$119,MATCH($AH$259,$AY$74:$AY$119,0)),"AUTRE"))</f>
        <v>AUTRE</v>
      </c>
      <c r="AJ259" s="482">
        <f>IF($AC$259="","",IFERROR(INDEX($BA$74:$BA$119,MATCH($AH$259,$AY$74:$AY$119,0)),1))</f>
        <v>1</v>
      </c>
      <c r="AK259" s="482" t="e">
        <f t="shared" si="66"/>
        <v>#VALUE!</v>
      </c>
      <c r="AL259" s="477" t="str">
        <f>IF($AC$259="","",IFERROR(INDEX($BB$74:$BB$119,MATCH($AH$259,$AY$74:$AY$119,0)),$AH$259))</f>
        <v/>
      </c>
      <c r="AM259" s="483" t="str">
        <f t="shared" si="67"/>
        <v>QUANTITÉ À CONTRÔLER</v>
      </c>
      <c r="AN259" s="484" t="str">
        <f t="shared" si="68"/>
        <v>QT. SUFFISANTE</v>
      </c>
      <c r="AO259" s="473" t="str">
        <f t="shared" si="69"/>
        <v/>
      </c>
      <c r="AP259" s="473" t="str">
        <f t="shared" si="70"/>
        <v/>
      </c>
      <c r="AQ259" s="473" t="str">
        <f t="shared" si="71"/>
        <v/>
      </c>
      <c r="AR259" s="473" t="str">
        <f t="shared" si="72"/>
        <v/>
      </c>
      <c r="AS259" s="473" t="str">
        <f t="shared" si="73"/>
        <v/>
      </c>
      <c r="AT259" s="473" t="str">
        <f t="shared" si="74"/>
        <v/>
      </c>
      <c r="AU259" s="473" t="str">
        <f t="shared" si="75"/>
        <v/>
      </c>
      <c r="AZ259" s="14" t="s">
        <v>7</v>
      </c>
      <c r="BA259" s="34" t="s">
        <v>481</v>
      </c>
      <c r="BB259" s="499"/>
      <c r="BC259" s="271"/>
      <c r="BD259" s="279">
        <v>1</v>
      </c>
      <c r="BE259" s="271"/>
      <c r="BF259" s="271"/>
      <c r="BG259" s="271"/>
      <c r="BH259" s="271"/>
      <c r="BI259" s="271"/>
      <c r="BJ259" s="271"/>
      <c r="BK259" s="271"/>
      <c r="BL259" s="271"/>
    </row>
    <row r="260" spans="18:64" ht="21" customHeight="1" x14ac:dyDescent="0.25">
      <c r="R260" s="34" t="s">
        <v>457</v>
      </c>
      <c r="S260" s="451"/>
      <c r="T260" s="497" t="s">
        <v>465</v>
      </c>
      <c r="V260" s="475">
        <v>6</v>
      </c>
      <c r="W260" s="475" t="str">
        <f>IF($AC$260="","",$W$252)</f>
        <v/>
      </c>
      <c r="X260" s="476" t="str">
        <f>IF($AC$260="","",$X$252)</f>
        <v/>
      </c>
      <c r="Y260" s="477" t="str">
        <f>IF($X$260="","",$Y$252)</f>
        <v/>
      </c>
      <c r="Z260" s="477" t="str">
        <f>IF($X$260="","",$Z$252)</f>
        <v/>
      </c>
      <c r="AA260" s="477" t="str">
        <f>IF($AC$260="","",ROW($A$260)-ROW($A$252))</f>
        <v/>
      </c>
      <c r="AB260" s="478"/>
      <c r="AC260" s="34"/>
      <c r="AD260" s="356"/>
      <c r="AE260" s="479"/>
      <c r="AF260" s="475"/>
      <c r="AG260" s="480" t="str">
        <f t="shared" si="64"/>
        <v/>
      </c>
      <c r="AH260" s="481" t="str">
        <f t="shared" si="65"/>
        <v/>
      </c>
      <c r="AI260" s="477" t="str">
        <f>IF($AC$260="","",IFERROR(INDEX($AZ$74:$AZ$119,MATCH($AH$260,$AY$74:$AY$119,0)),"AUTRE"))</f>
        <v/>
      </c>
      <c r="AJ260" s="482" t="str">
        <f>IF($AC$260="","",IFERROR(INDEX($BA$74:$BA$119,MATCH($AH$260,$AY$74:$AY$119,0)),1))</f>
        <v/>
      </c>
      <c r="AK260" s="482" t="str">
        <f t="shared" si="66"/>
        <v/>
      </c>
      <c r="AL260" s="477" t="str">
        <f>IF($AC$260="","",IFERROR(INDEX($BB$74:$BB$119,MATCH($AH$260,$AY$74:$AY$119,0)),$AH$260))</f>
        <v/>
      </c>
      <c r="AM260" s="483" t="str">
        <f t="shared" si="67"/>
        <v/>
      </c>
      <c r="AN260" s="484" t="str">
        <f t="shared" si="68"/>
        <v/>
      </c>
      <c r="AO260" s="473" t="str">
        <f t="shared" si="69"/>
        <v/>
      </c>
      <c r="AP260" s="473" t="str">
        <f t="shared" si="70"/>
        <v/>
      </c>
      <c r="AQ260" s="473" t="str">
        <f t="shared" si="71"/>
        <v/>
      </c>
      <c r="AR260" s="473" t="str">
        <f t="shared" si="72"/>
        <v/>
      </c>
      <c r="AS260" s="473" t="str">
        <f t="shared" si="73"/>
        <v/>
      </c>
      <c r="AT260" s="473" t="str">
        <f t="shared" si="74"/>
        <v/>
      </c>
      <c r="AU260" s="473" t="str">
        <f t="shared" si="75"/>
        <v/>
      </c>
      <c r="AZ260" s="27" t="s">
        <v>8</v>
      </c>
      <c r="BA260" s="34" t="s">
        <v>475</v>
      </c>
      <c r="BB260" s="499"/>
      <c r="BC260" s="271"/>
      <c r="BD260" s="279">
        <v>1</v>
      </c>
      <c r="BE260" s="271"/>
      <c r="BF260" s="271"/>
      <c r="BG260" s="271"/>
      <c r="BH260" s="271"/>
      <c r="BI260" s="271"/>
      <c r="BJ260" s="271"/>
      <c r="BK260" s="271"/>
      <c r="BL260" s="271"/>
    </row>
    <row r="261" spans="18:64" ht="21" customHeight="1" x14ac:dyDescent="0.25">
      <c r="R261" s="34" t="s">
        <v>482</v>
      </c>
      <c r="S261" s="451"/>
      <c r="T261" s="497" t="s">
        <v>466</v>
      </c>
      <c r="V261" s="475">
        <v>6</v>
      </c>
      <c r="W261" s="475" t="str">
        <f>IF($AC$261="","",$W$252)</f>
        <v/>
      </c>
      <c r="X261" s="476" t="str">
        <f>IF($AC$261="","",$X$252)</f>
        <v/>
      </c>
      <c r="Y261" s="477" t="str">
        <f>IF($X$261="","",$Y$252)</f>
        <v/>
      </c>
      <c r="Z261" s="477" t="str">
        <f>IF($X$261="","",$Z$252)</f>
        <v/>
      </c>
      <c r="AA261" s="477" t="str">
        <f>IF($AC$261="","",ROW($A$261)-ROW($A$252))</f>
        <v/>
      </c>
      <c r="AB261" s="478"/>
      <c r="AC261" s="34"/>
      <c r="AD261" s="356"/>
      <c r="AE261" s="479"/>
      <c r="AF261" s="475"/>
      <c r="AG261" s="480" t="str">
        <f t="shared" si="64"/>
        <v/>
      </c>
      <c r="AH261" s="481" t="str">
        <f t="shared" si="65"/>
        <v/>
      </c>
      <c r="AI261" s="477" t="str">
        <f>IF($AC$261="","",IFERROR(INDEX($AZ$74:$AZ$119,MATCH($AH$261,$AY$74:$AY$119,0)),"AUTRE"))</f>
        <v/>
      </c>
      <c r="AJ261" s="482" t="str">
        <f>IF($AC$261="","",IFERROR(INDEX($BA$74:$BA$119,MATCH($AH$261,$AY$74:$AY$119,0)),1))</f>
        <v/>
      </c>
      <c r="AK261" s="482" t="str">
        <f t="shared" si="66"/>
        <v/>
      </c>
      <c r="AL261" s="477" t="str">
        <f>IF($AC$261="","",IFERROR(INDEX($BB$74:$BB$119,MATCH($AH$261,$AY$74:$AY$119,0)),$AH$261))</f>
        <v/>
      </c>
      <c r="AM261" s="483" t="str">
        <f t="shared" si="67"/>
        <v/>
      </c>
      <c r="AN261" s="484" t="str">
        <f t="shared" si="68"/>
        <v/>
      </c>
      <c r="AO261" s="473" t="str">
        <f t="shared" si="69"/>
        <v/>
      </c>
      <c r="AP261" s="473" t="str">
        <f t="shared" si="70"/>
        <v/>
      </c>
      <c r="AQ261" s="473" t="str">
        <f t="shared" si="71"/>
        <v/>
      </c>
      <c r="AR261" s="473" t="str">
        <f t="shared" si="72"/>
        <v/>
      </c>
      <c r="AS261" s="473" t="str">
        <f t="shared" si="73"/>
        <v/>
      </c>
      <c r="AT261" s="473" t="str">
        <f t="shared" si="74"/>
        <v/>
      </c>
      <c r="AU261" s="473" t="str">
        <f t="shared" si="75"/>
        <v/>
      </c>
      <c r="AZ261" s="28" t="s">
        <v>13</v>
      </c>
      <c r="BA261" s="34" t="s">
        <v>457</v>
      </c>
      <c r="BB261" s="499"/>
      <c r="BC261" s="271"/>
      <c r="BD261" s="279">
        <v>1</v>
      </c>
      <c r="BE261" s="271"/>
      <c r="BF261" s="271"/>
      <c r="BG261" s="271"/>
      <c r="BH261" s="271"/>
      <c r="BI261" s="271"/>
      <c r="BJ261" s="271"/>
      <c r="BK261" s="271"/>
      <c r="BL261" s="271"/>
    </row>
    <row r="262" spans="18:64" ht="21" customHeight="1" x14ac:dyDescent="0.25">
      <c r="R262" s="34" t="s">
        <v>496</v>
      </c>
      <c r="S262" s="451"/>
      <c r="T262" s="440" t="s">
        <v>8110</v>
      </c>
      <c r="V262" s="475">
        <v>6</v>
      </c>
      <c r="W262" s="475" t="str">
        <f>IF($AC$262="","",$W$252)</f>
        <v/>
      </c>
      <c r="X262" s="476" t="str">
        <f>IF($AC$262="","",$X$252)</f>
        <v/>
      </c>
      <c r="Y262" s="477" t="str">
        <f>IF($X$262="","",$Y$252)</f>
        <v/>
      </c>
      <c r="Z262" s="477" t="str">
        <f>IF($X$262="","",$Z$252)</f>
        <v/>
      </c>
      <c r="AA262" s="477" t="str">
        <f>IF($AC$262="","",ROW($A$262)-ROW($A$252))</f>
        <v/>
      </c>
      <c r="AB262" s="478"/>
      <c r="AC262" s="34"/>
      <c r="AD262" s="356"/>
      <c r="AE262" s="479"/>
      <c r="AF262" s="475"/>
      <c r="AG262" s="480" t="str">
        <f t="shared" si="64"/>
        <v/>
      </c>
      <c r="AH262" s="481" t="str">
        <f t="shared" si="65"/>
        <v/>
      </c>
      <c r="AI262" s="477" t="str">
        <f>IF($AC$262="","",IFERROR(INDEX($AZ$74:$AZ$119,MATCH($AH$262,$AY$74:$AY$119,0)),"AUTRE"))</f>
        <v/>
      </c>
      <c r="AJ262" s="482" t="str">
        <f>IF($AC$262="","",IFERROR(INDEX($BA$74:$BA$119,MATCH($AH$262,$AY$74:$AY$119,0)),1))</f>
        <v/>
      </c>
      <c r="AK262" s="482" t="str">
        <f t="shared" si="66"/>
        <v/>
      </c>
      <c r="AL262" s="477" t="str">
        <f>IF($AC$262="","",IFERROR(INDEX($BB$74:$BB$119,MATCH($AH$262,$AY$74:$AY$119,0)),$AH$262))</f>
        <v/>
      </c>
      <c r="AM262" s="483" t="str">
        <f t="shared" si="67"/>
        <v/>
      </c>
      <c r="AN262" s="484" t="str">
        <f t="shared" si="68"/>
        <v/>
      </c>
      <c r="AO262" s="473" t="str">
        <f t="shared" si="69"/>
        <v/>
      </c>
      <c r="AP262" s="473" t="str">
        <f t="shared" si="70"/>
        <v/>
      </c>
      <c r="AQ262" s="473" t="str">
        <f t="shared" si="71"/>
        <v/>
      </c>
      <c r="AR262" s="473" t="str">
        <f t="shared" si="72"/>
        <v/>
      </c>
      <c r="AS262" s="473" t="str">
        <f t="shared" si="73"/>
        <v/>
      </c>
      <c r="AT262" s="473" t="str">
        <f t="shared" si="74"/>
        <v/>
      </c>
      <c r="AU262" s="473" t="str">
        <f t="shared" si="75"/>
        <v/>
      </c>
      <c r="AZ262" s="28" t="s">
        <v>14</v>
      </c>
      <c r="BA262" s="34" t="s">
        <v>482</v>
      </c>
      <c r="BB262" s="499"/>
      <c r="BC262" s="271"/>
      <c r="BD262" s="279">
        <v>1</v>
      </c>
      <c r="BE262" s="271"/>
      <c r="BF262" s="271"/>
      <c r="BG262" s="271"/>
      <c r="BH262" s="271"/>
      <c r="BI262" s="271"/>
      <c r="BJ262" s="271"/>
      <c r="BK262" s="271"/>
      <c r="BL262" s="271"/>
    </row>
    <row r="263" spans="18:64" ht="21" customHeight="1" x14ac:dyDescent="0.25">
      <c r="R263" s="34" t="s">
        <v>483</v>
      </c>
      <c r="S263" s="451"/>
      <c r="T263" s="452" t="s">
        <v>8113</v>
      </c>
      <c r="V263" s="475">
        <v>6</v>
      </c>
      <c r="W263" s="475" t="str">
        <f>IF($AC$263="","",$W$252)</f>
        <v/>
      </c>
      <c r="X263" s="476" t="str">
        <f>IF($AC$263="","",$X$252)</f>
        <v/>
      </c>
      <c r="Y263" s="477" t="str">
        <f>IF($X$263="","",$Y$252)</f>
        <v/>
      </c>
      <c r="Z263" s="477" t="str">
        <f>IF($X$263="","",$Z$252)</f>
        <v/>
      </c>
      <c r="AA263" s="477" t="str">
        <f>IF($AC$263="","",ROW($A$263)-ROW($A$252))</f>
        <v/>
      </c>
      <c r="AB263" s="478"/>
      <c r="AC263" s="34"/>
      <c r="AD263" s="356"/>
      <c r="AE263" s="479"/>
      <c r="AF263" s="475"/>
      <c r="AG263" s="480" t="str">
        <f t="shared" si="64"/>
        <v/>
      </c>
      <c r="AH263" s="481" t="str">
        <f t="shared" si="65"/>
        <v/>
      </c>
      <c r="AI263" s="477" t="str">
        <f>IF($AC$263="","",IFERROR(INDEX($AZ$74:$AZ$119,MATCH($AH$263,$AY$74:$AY$119,0)),"AUTRE"))</f>
        <v/>
      </c>
      <c r="AJ263" s="482" t="str">
        <f>IF($AC$263="","",IFERROR(INDEX($BA$74:$BA$119,MATCH($AH$263,$AY$74:$AY$119,0)),1))</f>
        <v/>
      </c>
      <c r="AK263" s="482" t="str">
        <f t="shared" si="66"/>
        <v/>
      </c>
      <c r="AL263" s="477" t="str">
        <f>IF($AC$263="","",IFERROR(INDEX($BB$74:$BB$119,MATCH($AH$263,$AY$74:$AY$119,0)),$AH$263))</f>
        <v/>
      </c>
      <c r="AM263" s="483" t="str">
        <f t="shared" si="67"/>
        <v/>
      </c>
      <c r="AN263" s="484" t="str">
        <f t="shared" si="68"/>
        <v/>
      </c>
      <c r="AO263" s="473" t="str">
        <f t="shared" si="69"/>
        <v/>
      </c>
      <c r="AP263" s="473" t="str">
        <f t="shared" si="70"/>
        <v/>
      </c>
      <c r="AQ263" s="473" t="str">
        <f t="shared" si="71"/>
        <v/>
      </c>
      <c r="AR263" s="473" t="str">
        <f t="shared" si="72"/>
        <v/>
      </c>
      <c r="AS263" s="473" t="str">
        <f t="shared" si="73"/>
        <v/>
      </c>
      <c r="AT263" s="473" t="str">
        <f t="shared" si="74"/>
        <v/>
      </c>
      <c r="AU263" s="473" t="str">
        <f t="shared" si="75"/>
        <v/>
      </c>
      <c r="AZ263" s="28" t="s">
        <v>15</v>
      </c>
      <c r="BA263" s="34" t="s">
        <v>496</v>
      </c>
      <c r="BB263" s="499"/>
      <c r="BC263" s="271"/>
      <c r="BD263" s="279">
        <v>1</v>
      </c>
      <c r="BE263" s="271"/>
      <c r="BF263" s="271"/>
      <c r="BG263" s="271"/>
      <c r="BH263" s="271"/>
      <c r="BI263" s="271"/>
      <c r="BJ263" s="271"/>
      <c r="BK263" s="271"/>
      <c r="BL263" s="271"/>
    </row>
    <row r="264" spans="18:64" ht="21" customHeight="1" x14ac:dyDescent="0.25">
      <c r="R264" s="34" t="s">
        <v>493</v>
      </c>
      <c r="S264" s="451"/>
      <c r="T264" s="14" t="s">
        <v>7</v>
      </c>
      <c r="V264" s="475">
        <v>6</v>
      </c>
      <c r="W264" s="475" t="str">
        <f>IF($AC$264="","",$W$252)</f>
        <v/>
      </c>
      <c r="X264" s="476" t="str">
        <f>IF($AC$264="","",$X$252)</f>
        <v/>
      </c>
      <c r="Y264" s="477" t="str">
        <f>IF($X$264="","",$Y$252)</f>
        <v/>
      </c>
      <c r="Z264" s="477" t="str">
        <f>IF($X$264="","",$Z$252)</f>
        <v/>
      </c>
      <c r="AA264" s="477" t="str">
        <f>IF($AC$264="","",ROW($A$264)-ROW($A$252))</f>
        <v/>
      </c>
      <c r="AB264" s="478"/>
      <c r="AC264" s="34"/>
      <c r="AD264" s="356"/>
      <c r="AE264" s="479"/>
      <c r="AF264" s="475"/>
      <c r="AG264" s="480" t="str">
        <f t="shared" si="64"/>
        <v/>
      </c>
      <c r="AH264" s="481" t="str">
        <f t="shared" si="65"/>
        <v/>
      </c>
      <c r="AI264" s="477" t="str">
        <f>IF($AC$264="","",IFERROR(INDEX($AZ$74:$AZ$119,MATCH($AH$264,$AY$74:$AY$119,0)),"AUTRE"))</f>
        <v/>
      </c>
      <c r="AJ264" s="482" t="str">
        <f>IF($AC$264="","",IFERROR(INDEX($BA$74:$BA$119,MATCH($AH$264,$AY$74:$AY$119,0)),1))</f>
        <v/>
      </c>
      <c r="AK264" s="482" t="str">
        <f t="shared" si="66"/>
        <v/>
      </c>
      <c r="AL264" s="477" t="str">
        <f>IF($AC$264="","",IFERROR(INDEX($BB$74:$BB$119,MATCH($AH$264,$AY$74:$AY$119,0)),$AH$264))</f>
        <v/>
      </c>
      <c r="AM264" s="483" t="str">
        <f t="shared" si="67"/>
        <v/>
      </c>
      <c r="AN264" s="484" t="str">
        <f t="shared" si="68"/>
        <v/>
      </c>
      <c r="AO264" s="473" t="str">
        <f t="shared" si="69"/>
        <v/>
      </c>
      <c r="AP264" s="473" t="str">
        <f t="shared" si="70"/>
        <v/>
      </c>
      <c r="AQ264" s="473" t="str">
        <f t="shared" si="71"/>
        <v/>
      </c>
      <c r="AR264" s="473" t="str">
        <f t="shared" si="72"/>
        <v/>
      </c>
      <c r="AS264" s="473" t="str">
        <f t="shared" si="73"/>
        <v/>
      </c>
      <c r="AT264" s="473" t="str">
        <f t="shared" si="74"/>
        <v/>
      </c>
      <c r="AU264" s="473" t="str">
        <f t="shared" si="75"/>
        <v/>
      </c>
      <c r="AZ264" s="29" t="s">
        <v>9</v>
      </c>
      <c r="BA264" s="34" t="s">
        <v>483</v>
      </c>
      <c r="BB264" s="499"/>
      <c r="BC264" s="271"/>
      <c r="BD264" s="279">
        <v>1</v>
      </c>
      <c r="BE264" s="271"/>
      <c r="BF264" s="271"/>
      <c r="BG264" s="271"/>
      <c r="BH264" s="271"/>
      <c r="BI264" s="271"/>
      <c r="BJ264" s="271"/>
      <c r="BK264" s="271"/>
      <c r="BL264" s="271"/>
    </row>
    <row r="265" spans="18:64" ht="21" customHeight="1" x14ac:dyDescent="0.25">
      <c r="R265" s="34" t="s">
        <v>494</v>
      </c>
      <c r="S265" s="451"/>
      <c r="T265" s="27" t="s">
        <v>8</v>
      </c>
      <c r="V265" s="475">
        <v>6</v>
      </c>
      <c r="W265" s="475" t="str">
        <f>IF($AC$265="","",$W$252)</f>
        <v/>
      </c>
      <c r="X265" s="476" t="str">
        <f>IF($AC$265="","",$X$252)</f>
        <v/>
      </c>
      <c r="Y265" s="477" t="str">
        <f>IF($X$265="","",$Y$252)</f>
        <v/>
      </c>
      <c r="Z265" s="477" t="str">
        <f>IF($X$265="","",$Z$252)</f>
        <v/>
      </c>
      <c r="AA265" s="477" t="str">
        <f>IF($AC$265="","",ROW($A$265)-ROW($A$252))</f>
        <v/>
      </c>
      <c r="AB265" s="478"/>
      <c r="AC265" s="34"/>
      <c r="AD265" s="356"/>
      <c r="AE265" s="479"/>
      <c r="AF265" s="475"/>
      <c r="AG265" s="480" t="str">
        <f t="shared" si="64"/>
        <v/>
      </c>
      <c r="AH265" s="481" t="str">
        <f t="shared" si="65"/>
        <v/>
      </c>
      <c r="AI265" s="477" t="str">
        <f>IF($AC$265="","",IFERROR(INDEX($AZ$74:$AZ$119,MATCH($AH$265,$AY$74:$AY$119,0)),"AUTRE"))</f>
        <v/>
      </c>
      <c r="AJ265" s="482" t="str">
        <f>IF($AC$265="","",IFERROR(INDEX($BA$74:$BA$119,MATCH($AH$265,$AY$74:$AY$119,0)),1))</f>
        <v/>
      </c>
      <c r="AK265" s="482" t="str">
        <f t="shared" si="66"/>
        <v/>
      </c>
      <c r="AL265" s="477" t="str">
        <f>IF($AC$265="","",IFERROR(INDEX($BB$74:$BB$119,MATCH($AH$265,$AY$74:$AY$119,0)),$AH$265))</f>
        <v/>
      </c>
      <c r="AM265" s="483" t="str">
        <f t="shared" si="67"/>
        <v/>
      </c>
      <c r="AN265" s="484" t="str">
        <f t="shared" si="68"/>
        <v/>
      </c>
      <c r="AO265" s="473" t="str">
        <f t="shared" si="69"/>
        <v/>
      </c>
      <c r="AP265" s="473" t="str">
        <f t="shared" si="70"/>
        <v/>
      </c>
      <c r="AQ265" s="473" t="str">
        <f t="shared" si="71"/>
        <v/>
      </c>
      <c r="AR265" s="473" t="str">
        <f t="shared" si="72"/>
        <v/>
      </c>
      <c r="AS265" s="473" t="str">
        <f t="shared" si="73"/>
        <v/>
      </c>
      <c r="AT265" s="473" t="str">
        <f t="shared" si="74"/>
        <v/>
      </c>
      <c r="AU265" s="473" t="str">
        <f t="shared" si="75"/>
        <v/>
      </c>
      <c r="AZ265" s="30" t="s">
        <v>10</v>
      </c>
      <c r="BA265" s="34" t="s">
        <v>493</v>
      </c>
      <c r="BB265" s="499"/>
      <c r="BC265" s="271"/>
      <c r="BD265" s="279">
        <v>1</v>
      </c>
      <c r="BE265" s="271"/>
      <c r="BF265" s="271"/>
      <c r="BG265" s="271"/>
      <c r="BH265" s="271"/>
      <c r="BI265" s="271"/>
      <c r="BJ265" s="271"/>
      <c r="BK265" s="271"/>
      <c r="BL265" s="271"/>
    </row>
    <row r="266" spans="18:64" ht="21" customHeight="1" x14ac:dyDescent="0.25">
      <c r="S266" s="451"/>
      <c r="T266" s="28" t="s">
        <v>13</v>
      </c>
      <c r="V266" s="475">
        <v>6</v>
      </c>
      <c r="W266" s="475" t="str">
        <f>IF($AC$266="","",$W$252)</f>
        <v/>
      </c>
      <c r="X266" s="476" t="str">
        <f>IF($AC$266="","",$X$252)</f>
        <v/>
      </c>
      <c r="Y266" s="477" t="str">
        <f>IF($X$266="","",$Y$252)</f>
        <v/>
      </c>
      <c r="Z266" s="477" t="str">
        <f>IF($X$266="","",$Z$252)</f>
        <v/>
      </c>
      <c r="AA266" s="477" t="str">
        <f>IF($AC$266="","",ROW($A$266)-ROW($A$252))</f>
        <v/>
      </c>
      <c r="AB266" s="478"/>
      <c r="AC266" s="34"/>
      <c r="AD266" s="356"/>
      <c r="AE266" s="479"/>
      <c r="AF266" s="475"/>
      <c r="AG266" s="480" t="str">
        <f t="shared" si="64"/>
        <v/>
      </c>
      <c r="AH266" s="481" t="str">
        <f t="shared" si="65"/>
        <v/>
      </c>
      <c r="AI266" s="477" t="str">
        <f>IF($AC$266="","",IFERROR(INDEX($AZ$74:$AZ$119,MATCH($AH$266,$AY$74:$AY$119,0)),"AUTRE"))</f>
        <v/>
      </c>
      <c r="AJ266" s="482" t="str">
        <f>IF($AC$266="","",IFERROR(INDEX($BA$74:$BA$119,MATCH($AH$266,$AY$74:$AY$119,0)),1))</f>
        <v/>
      </c>
      <c r="AK266" s="482" t="str">
        <f t="shared" si="66"/>
        <v/>
      </c>
      <c r="AL266" s="477" t="str">
        <f>IF($AC$266="","",IFERROR(INDEX($BB$74:$BB$119,MATCH($AH$266,$AY$74:$AY$119,0)),$AH$266))</f>
        <v/>
      </c>
      <c r="AM266" s="483" t="str">
        <f t="shared" si="67"/>
        <v/>
      </c>
      <c r="AN266" s="484" t="str">
        <f t="shared" si="68"/>
        <v/>
      </c>
      <c r="AO266" s="473" t="str">
        <f t="shared" si="69"/>
        <v/>
      </c>
      <c r="AP266" s="473" t="str">
        <f t="shared" si="70"/>
        <v/>
      </c>
      <c r="AQ266" s="473" t="str">
        <f t="shared" si="71"/>
        <v/>
      </c>
      <c r="AR266" s="473" t="str">
        <f t="shared" si="72"/>
        <v/>
      </c>
      <c r="AS266" s="473" t="str">
        <f t="shared" si="73"/>
        <v/>
      </c>
      <c r="AT266" s="473" t="str">
        <f t="shared" si="74"/>
        <v/>
      </c>
      <c r="AU266" s="473" t="str">
        <f t="shared" si="75"/>
        <v/>
      </c>
      <c r="AZ266" s="30" t="s">
        <v>11</v>
      </c>
      <c r="BA266" s="34" t="s">
        <v>494</v>
      </c>
      <c r="BB266" s="499"/>
      <c r="BC266" s="271"/>
      <c r="BD266" s="279">
        <v>1</v>
      </c>
      <c r="BE266" s="271"/>
      <c r="BF266" s="271"/>
      <c r="BG266" s="271"/>
      <c r="BH266" s="271"/>
      <c r="BI266" s="271"/>
      <c r="BJ266" s="271"/>
      <c r="BK266" s="271"/>
      <c r="BL266" s="271"/>
    </row>
    <row r="267" spans="18:64" ht="21" customHeight="1" x14ac:dyDescent="0.25">
      <c r="R267" s="25" t="s">
        <v>6115</v>
      </c>
      <c r="S267" s="451"/>
      <c r="T267" s="28" t="s">
        <v>14</v>
      </c>
      <c r="V267" s="475">
        <v>6</v>
      </c>
      <c r="W267" s="475" t="str">
        <f>IF($AC$267="","",$W$252)</f>
        <v/>
      </c>
      <c r="X267" s="476" t="str">
        <f>IF($AC$267="","",$X$252)</f>
        <v/>
      </c>
      <c r="Y267" s="477" t="str">
        <f>IF($X$267="","",$Y$252)</f>
        <v/>
      </c>
      <c r="Z267" s="477" t="str">
        <f>IF($X$267="","",$Z$252)</f>
        <v/>
      </c>
      <c r="AA267" s="477" t="str">
        <f>IF($AC$267="","",ROW($A$267)-ROW($A$252))</f>
        <v/>
      </c>
      <c r="AB267" s="478"/>
      <c r="AC267" s="34"/>
      <c r="AD267" s="356"/>
      <c r="AE267" s="479"/>
      <c r="AF267" s="475"/>
      <c r="AG267" s="480" t="str">
        <f t="shared" si="64"/>
        <v/>
      </c>
      <c r="AH267" s="481" t="str">
        <f t="shared" si="65"/>
        <v/>
      </c>
      <c r="AI267" s="477" t="str">
        <f>IF($AC$267="","",IFERROR(INDEX($AZ$74:$AZ$119,MATCH($AH$267,$AY$74:$AY$119,0)),"AUTRE"))</f>
        <v/>
      </c>
      <c r="AJ267" s="482" t="str">
        <f>IF($AC$267="","",IFERROR(INDEX($BA$74:$BA$119,MATCH($AH$267,$AY$74:$AY$119,0)),1))</f>
        <v/>
      </c>
      <c r="AK267" s="482" t="str">
        <f t="shared" si="66"/>
        <v/>
      </c>
      <c r="AL267" s="477" t="str">
        <f>IF($AC$267="","",IFERROR(INDEX($BB$74:$BB$119,MATCH($AH$267,$AY$74:$AY$119,0)),$AH$267))</f>
        <v/>
      </c>
      <c r="AM267" s="483" t="str">
        <f t="shared" si="67"/>
        <v/>
      </c>
      <c r="AN267" s="484" t="str">
        <f t="shared" si="68"/>
        <v/>
      </c>
      <c r="AO267" s="473" t="str">
        <f t="shared" si="69"/>
        <v/>
      </c>
      <c r="AP267" s="473" t="str">
        <f t="shared" si="70"/>
        <v/>
      </c>
      <c r="AQ267" s="473" t="str">
        <f t="shared" si="71"/>
        <v/>
      </c>
      <c r="AR267" s="473" t="str">
        <f t="shared" si="72"/>
        <v/>
      </c>
      <c r="AS267" s="473" t="str">
        <f t="shared" si="73"/>
        <v/>
      </c>
      <c r="AT267" s="473" t="str">
        <f t="shared" si="74"/>
        <v/>
      </c>
      <c r="AU267" s="473" t="str">
        <f t="shared" si="75"/>
        <v/>
      </c>
      <c r="AZ267" s="30" t="s">
        <v>12</v>
      </c>
      <c r="BB267" s="499"/>
      <c r="BC267" s="271"/>
      <c r="BD267" s="279">
        <v>1</v>
      </c>
      <c r="BE267" s="271"/>
      <c r="BF267" s="271"/>
      <c r="BG267" s="271"/>
      <c r="BH267" s="271"/>
      <c r="BI267" s="271"/>
      <c r="BJ267" s="271"/>
      <c r="BK267" s="271"/>
      <c r="BL267" s="271"/>
    </row>
    <row r="268" spans="18:64" ht="21" customHeight="1" x14ac:dyDescent="0.25">
      <c r="R268" s="34" t="s">
        <v>471</v>
      </c>
      <c r="S268" s="451"/>
      <c r="T268" s="28" t="s">
        <v>15</v>
      </c>
      <c r="V268" s="475">
        <v>6</v>
      </c>
      <c r="W268" s="475" t="str">
        <f>IF($AC$268="","",$W$252)</f>
        <v/>
      </c>
      <c r="X268" s="476" t="str">
        <f>IF($AC$268="","",$X$252)</f>
        <v/>
      </c>
      <c r="Y268" s="477" t="str">
        <f>IF($X$268="","",$Y$252)</f>
        <v/>
      </c>
      <c r="Z268" s="477" t="str">
        <f>IF($X$268="","",$Z$252)</f>
        <v/>
      </c>
      <c r="AA268" s="477" t="str">
        <f>IF($AC$268="","",ROW($A$268)-ROW($A$252))</f>
        <v/>
      </c>
      <c r="AB268" s="478"/>
      <c r="AC268" s="34"/>
      <c r="AD268" s="356"/>
      <c r="AE268" s="479"/>
      <c r="AF268" s="475"/>
      <c r="AG268" s="480" t="str">
        <f t="shared" si="64"/>
        <v/>
      </c>
      <c r="AH268" s="481" t="str">
        <f t="shared" si="65"/>
        <v/>
      </c>
      <c r="AI268" s="477" t="str">
        <f>IF($AC$268="","",IFERROR(INDEX($AZ$74:$AZ$119,MATCH($AH$268,$AY$74:$AY$119,0)),"AUTRE"))</f>
        <v/>
      </c>
      <c r="AJ268" s="482" t="str">
        <f>IF($AC$268="","",IFERROR(INDEX($BA$74:$BA$119,MATCH($AH$268,$AY$74:$AY$119,0)),1))</f>
        <v/>
      </c>
      <c r="AK268" s="482" t="str">
        <f t="shared" si="66"/>
        <v/>
      </c>
      <c r="AL268" s="477" t="str">
        <f>IF($AC$268="","",IFERROR(INDEX($BB$74:$BB$119,MATCH($AH$268,$AY$74:$AY$119,0)),$AH$268))</f>
        <v/>
      </c>
      <c r="AM268" s="483" t="str">
        <f t="shared" si="67"/>
        <v/>
      </c>
      <c r="AN268" s="484" t="str">
        <f t="shared" si="68"/>
        <v/>
      </c>
      <c r="AO268" s="473" t="str">
        <f t="shared" si="69"/>
        <v/>
      </c>
      <c r="AP268" s="473" t="str">
        <f t="shared" si="70"/>
        <v/>
      </c>
      <c r="AQ268" s="473" t="str">
        <f t="shared" si="71"/>
        <v/>
      </c>
      <c r="AR268" s="473" t="str">
        <f t="shared" si="72"/>
        <v/>
      </c>
      <c r="AS268" s="473" t="str">
        <f t="shared" si="73"/>
        <v/>
      </c>
      <c r="AT268" s="473" t="str">
        <f t="shared" si="74"/>
        <v/>
      </c>
      <c r="AU268" s="473" t="str">
        <f t="shared" si="75"/>
        <v/>
      </c>
      <c r="AZ268" s="31" t="s">
        <v>16</v>
      </c>
      <c r="BA268" s="25" t="s">
        <v>6115</v>
      </c>
      <c r="BB268" s="499"/>
      <c r="BC268" s="271"/>
      <c r="BD268" s="279">
        <v>1</v>
      </c>
      <c r="BE268" s="271"/>
      <c r="BF268" s="271"/>
      <c r="BG268" s="271"/>
      <c r="BH268" s="271"/>
      <c r="BI268" s="271"/>
      <c r="BJ268" s="271"/>
      <c r="BK268" s="271"/>
      <c r="BL268" s="271"/>
    </row>
    <row r="269" spans="18:64" ht="21" customHeight="1" x14ac:dyDescent="0.25">
      <c r="R269" s="34" t="s">
        <v>472</v>
      </c>
      <c r="S269" s="451"/>
      <c r="T269" s="28" t="s">
        <v>21</v>
      </c>
      <c r="V269" s="475">
        <v>6</v>
      </c>
      <c r="W269" s="475" t="str">
        <f>IF($AC$269="","",$W$252)</f>
        <v/>
      </c>
      <c r="X269" s="476" t="str">
        <f>IF($AC$269="","",$X$252)</f>
        <v/>
      </c>
      <c r="Y269" s="477" t="str">
        <f>IF($X$269="","",$Y$252)</f>
        <v/>
      </c>
      <c r="Z269" s="477" t="str">
        <f>IF($X$269="","",$Z$252)</f>
        <v/>
      </c>
      <c r="AA269" s="477" t="str">
        <f>IF($AC$269="","",ROW($A$269)-ROW($A$252))</f>
        <v/>
      </c>
      <c r="AB269" s="478"/>
      <c r="AC269" s="34"/>
      <c r="AD269" s="356"/>
      <c r="AE269" s="479"/>
      <c r="AF269" s="475"/>
      <c r="AG269" s="480" t="str">
        <f t="shared" si="64"/>
        <v/>
      </c>
      <c r="AH269" s="481" t="str">
        <f t="shared" si="65"/>
        <v/>
      </c>
      <c r="AI269" s="477" t="str">
        <f>IF($AC$269="","",IFERROR(INDEX($AZ$74:$AZ$119,MATCH($AH$269,$AY$74:$AY$119,0)),"AUTRE"))</f>
        <v/>
      </c>
      <c r="AJ269" s="482" t="str">
        <f>IF($AC$269="","",IFERROR(INDEX($BA$74:$BA$119,MATCH($AH$269,$AY$74:$AY$119,0)),1))</f>
        <v/>
      </c>
      <c r="AK269" s="482" t="str">
        <f t="shared" si="66"/>
        <v/>
      </c>
      <c r="AL269" s="477" t="str">
        <f>IF($AC$269="","",IFERROR(INDEX($BB$74:$BB$119,MATCH($AH$269,$AY$74:$AY$119,0)),$AH$269))</f>
        <v/>
      </c>
      <c r="AM269" s="483" t="str">
        <f t="shared" si="67"/>
        <v/>
      </c>
      <c r="AN269" s="484" t="str">
        <f t="shared" si="68"/>
        <v/>
      </c>
      <c r="AO269" s="473" t="str">
        <f t="shared" si="69"/>
        <v/>
      </c>
      <c r="AP269" s="473" t="str">
        <f t="shared" si="70"/>
        <v/>
      </c>
      <c r="AQ269" s="473" t="str">
        <f t="shared" si="71"/>
        <v/>
      </c>
      <c r="AR269" s="473" t="str">
        <f t="shared" si="72"/>
        <v/>
      </c>
      <c r="AS269" s="473" t="str">
        <f t="shared" si="73"/>
        <v/>
      </c>
      <c r="AT269" s="473" t="str">
        <f t="shared" si="74"/>
        <v/>
      </c>
      <c r="AU269" s="473" t="str">
        <f t="shared" si="75"/>
        <v/>
      </c>
      <c r="AZ269" s="31" t="s">
        <v>17</v>
      </c>
      <c r="BA269" s="34" t="s">
        <v>471</v>
      </c>
      <c r="BB269" s="499"/>
      <c r="BC269" s="271"/>
      <c r="BD269" s="279">
        <v>1</v>
      </c>
      <c r="BE269" s="271"/>
      <c r="BF269" s="271"/>
      <c r="BG269" s="271"/>
      <c r="BH269" s="271"/>
      <c r="BI269" s="271"/>
      <c r="BJ269" s="271"/>
      <c r="BK269" s="271"/>
      <c r="BL269" s="271"/>
    </row>
    <row r="270" spans="18:64" ht="21" customHeight="1" x14ac:dyDescent="0.25">
      <c r="R270" s="34" t="s">
        <v>6112</v>
      </c>
      <c r="S270" s="451"/>
      <c r="T270" s="28" t="s">
        <v>22</v>
      </c>
      <c r="V270" s="475">
        <v>6</v>
      </c>
      <c r="W270" s="475" t="str">
        <f>IF($AC$270="","",$W$252)</f>
        <v/>
      </c>
      <c r="X270" s="476" t="str">
        <f>IF($AC$270="","",$X$252)</f>
        <v/>
      </c>
      <c r="Y270" s="477" t="str">
        <f>IF($X$270="","",$Y$252)</f>
        <v/>
      </c>
      <c r="Z270" s="477" t="str">
        <f>IF($X$270="","",$Z$252)</f>
        <v/>
      </c>
      <c r="AA270" s="477" t="str">
        <f>IF($AC$270="","",ROW($A$270)-ROW($A$252))</f>
        <v/>
      </c>
      <c r="AB270" s="478"/>
      <c r="AC270" s="34"/>
      <c r="AD270" s="356"/>
      <c r="AE270" s="479"/>
      <c r="AF270" s="475"/>
      <c r="AG270" s="480" t="str">
        <f t="shared" si="64"/>
        <v/>
      </c>
      <c r="AH270" s="481" t="str">
        <f t="shared" si="65"/>
        <v/>
      </c>
      <c r="AI270" s="477" t="str">
        <f>IF($AC$270="","",IFERROR(INDEX($AZ$74:$AZ$119,MATCH($AH$270,$AY$74:$AY$119,0)),"AUTRE"))</f>
        <v/>
      </c>
      <c r="AJ270" s="482" t="str">
        <f>IF($AC$270="","",IFERROR(INDEX($BA$74:$BA$119,MATCH($AH$270,$AY$74:$AY$119,0)),1))</f>
        <v/>
      </c>
      <c r="AK270" s="482" t="str">
        <f t="shared" si="66"/>
        <v/>
      </c>
      <c r="AL270" s="477" t="str">
        <f>IF($AC$270="","",IFERROR(INDEX($BB$74:$BB$119,MATCH($AH$270,$AY$74:$AY$119,0)),$AH$270))</f>
        <v/>
      </c>
      <c r="AM270" s="483" t="str">
        <f t="shared" si="67"/>
        <v/>
      </c>
      <c r="AN270" s="484" t="str">
        <f t="shared" si="68"/>
        <v/>
      </c>
      <c r="AO270" s="473" t="str">
        <f t="shared" si="69"/>
        <v/>
      </c>
      <c r="AP270" s="473" t="str">
        <f t="shared" si="70"/>
        <v/>
      </c>
      <c r="AQ270" s="473" t="str">
        <f t="shared" si="71"/>
        <v/>
      </c>
      <c r="AR270" s="473" t="str">
        <f t="shared" si="72"/>
        <v/>
      </c>
      <c r="AS270" s="473" t="str">
        <f t="shared" si="73"/>
        <v/>
      </c>
      <c r="AT270" s="473" t="str">
        <f t="shared" si="74"/>
        <v/>
      </c>
      <c r="AU270" s="473" t="str">
        <f t="shared" si="75"/>
        <v/>
      </c>
      <c r="AZ270" s="31" t="s">
        <v>18</v>
      </c>
      <c r="BA270" s="34" t="s">
        <v>472</v>
      </c>
      <c r="BB270" s="499"/>
      <c r="BC270" s="271"/>
      <c r="BD270" s="279">
        <v>1</v>
      </c>
      <c r="BE270" s="271"/>
      <c r="BF270" s="271"/>
      <c r="BG270" s="271"/>
      <c r="BH270" s="271"/>
      <c r="BI270" s="271"/>
      <c r="BJ270" s="271"/>
      <c r="BK270" s="271"/>
      <c r="BL270" s="271"/>
    </row>
    <row r="271" spans="18:64" ht="21" customHeight="1" x14ac:dyDescent="0.25">
      <c r="R271" s="25" t="s">
        <v>6116</v>
      </c>
      <c r="S271" s="451"/>
      <c r="T271" s="28" t="s">
        <v>23</v>
      </c>
      <c r="V271" s="475">
        <v>6</v>
      </c>
      <c r="W271" s="475" t="str">
        <f>IF($AC$271="","",$W$252)</f>
        <v/>
      </c>
      <c r="X271" s="476" t="str">
        <f>IF($AC$271="","",$X$252)</f>
        <v/>
      </c>
      <c r="Y271" s="477" t="str">
        <f>IF($X$271="","",$Y$252)</f>
        <v/>
      </c>
      <c r="Z271" s="477" t="str">
        <f>IF($X$271="","",$Z$252)</f>
        <v/>
      </c>
      <c r="AA271" s="477" t="str">
        <f>IF($AC$271="","",ROW($A$271)-ROW($A$252))</f>
        <v/>
      </c>
      <c r="AB271" s="478"/>
      <c r="AC271" s="34"/>
      <c r="AD271" s="356"/>
      <c r="AE271" s="479"/>
      <c r="AF271" s="475"/>
      <c r="AG271" s="480" t="str">
        <f t="shared" si="64"/>
        <v/>
      </c>
      <c r="AH271" s="481" t="str">
        <f t="shared" si="65"/>
        <v/>
      </c>
      <c r="AI271" s="477" t="str">
        <f>IF($AC$271="","",IFERROR(INDEX($AZ$74:$AZ$119,MATCH($AH$271,$AY$74:$AY$119,0)),"AUTRE"))</f>
        <v/>
      </c>
      <c r="AJ271" s="482" t="str">
        <f>IF($AC$271="","",IFERROR(INDEX($BA$74:$BA$119,MATCH($AH$271,$AY$74:$AY$119,0)),1))</f>
        <v/>
      </c>
      <c r="AK271" s="482" t="str">
        <f t="shared" si="66"/>
        <v/>
      </c>
      <c r="AL271" s="477" t="str">
        <f>IF($AC$271="","",IFERROR(INDEX($BB$74:$BB$119,MATCH($AH$271,$AY$74:$AY$119,0)),$AH$271))</f>
        <v/>
      </c>
      <c r="AM271" s="483" t="str">
        <f t="shared" si="67"/>
        <v/>
      </c>
      <c r="AN271" s="484" t="str">
        <f t="shared" si="68"/>
        <v/>
      </c>
      <c r="AO271" s="473" t="str">
        <f t="shared" si="69"/>
        <v/>
      </c>
      <c r="AP271" s="473" t="str">
        <f t="shared" si="70"/>
        <v/>
      </c>
      <c r="AQ271" s="473" t="str">
        <f t="shared" si="71"/>
        <v/>
      </c>
      <c r="AR271" s="473" t="str">
        <f t="shared" si="72"/>
        <v/>
      </c>
      <c r="AS271" s="473" t="str">
        <f t="shared" si="73"/>
        <v/>
      </c>
      <c r="AT271" s="473" t="str">
        <f t="shared" si="74"/>
        <v/>
      </c>
      <c r="AU271" s="473" t="str">
        <f t="shared" si="75"/>
        <v/>
      </c>
      <c r="AZ271" s="31" t="s">
        <v>19</v>
      </c>
      <c r="BA271" s="34" t="s">
        <v>6112</v>
      </c>
      <c r="BB271" s="499"/>
      <c r="BC271" s="271"/>
      <c r="BD271" s="279">
        <v>1</v>
      </c>
      <c r="BE271" s="271"/>
      <c r="BF271" s="271"/>
      <c r="BG271" s="271"/>
      <c r="BH271" s="271"/>
      <c r="BI271" s="271"/>
      <c r="BJ271" s="271"/>
      <c r="BK271" s="271"/>
      <c r="BL271" s="271"/>
    </row>
    <row r="272" spans="18:64" ht="21" customHeight="1" x14ac:dyDescent="0.25">
      <c r="R272" s="34" t="s">
        <v>6117</v>
      </c>
      <c r="S272" s="451"/>
      <c r="T272" s="28" t="s">
        <v>24</v>
      </c>
      <c r="V272" s="475">
        <v>6</v>
      </c>
      <c r="W272" s="475" t="str">
        <f>IF($AC$272="","",$W$252)</f>
        <v/>
      </c>
      <c r="X272" s="476" t="str">
        <f>IF($AC$272="","",$X$252)</f>
        <v/>
      </c>
      <c r="Y272" s="477" t="str">
        <f>IF($X$272="","",$Y$252)</f>
        <v/>
      </c>
      <c r="Z272" s="477" t="str">
        <f>IF($X$272="","",$Z$252)</f>
        <v/>
      </c>
      <c r="AA272" s="477" t="str">
        <f>IF($AC$272="","",ROW($A$272)-ROW($A$252))</f>
        <v/>
      </c>
      <c r="AB272" s="478"/>
      <c r="AC272" s="34"/>
      <c r="AD272" s="356"/>
      <c r="AE272" s="479"/>
      <c r="AF272" s="475"/>
      <c r="AG272" s="480" t="str">
        <f t="shared" si="64"/>
        <v/>
      </c>
      <c r="AH272" s="481" t="str">
        <f t="shared" si="65"/>
        <v/>
      </c>
      <c r="AI272" s="477" t="str">
        <f>IF($AC$272="","",IFERROR(INDEX($AZ$74:$AZ$119,MATCH($AH$272,$AY$74:$AY$119,0)),"AUTRE"))</f>
        <v/>
      </c>
      <c r="AJ272" s="482" t="str">
        <f>IF($AC$272="","",IFERROR(INDEX($BA$74:$BA$119,MATCH($AH$272,$AY$74:$AY$119,0)),1))</f>
        <v/>
      </c>
      <c r="AK272" s="482" t="str">
        <f t="shared" si="66"/>
        <v/>
      </c>
      <c r="AL272" s="477" t="str">
        <f>IF($AC$272="","",IFERROR(INDEX($BB$74:$BB$119,MATCH($AH$272,$AY$74:$AY$119,0)),$AH$272))</f>
        <v/>
      </c>
      <c r="AM272" s="483" t="str">
        <f t="shared" si="67"/>
        <v/>
      </c>
      <c r="AN272" s="484" t="str">
        <f t="shared" si="68"/>
        <v/>
      </c>
      <c r="AO272" s="473" t="str">
        <f t="shared" si="69"/>
        <v/>
      </c>
      <c r="AP272" s="473" t="str">
        <f t="shared" si="70"/>
        <v/>
      </c>
      <c r="AQ272" s="473" t="str">
        <f t="shared" si="71"/>
        <v/>
      </c>
      <c r="AR272" s="473" t="str">
        <f t="shared" si="72"/>
        <v/>
      </c>
      <c r="AS272" s="473" t="str">
        <f t="shared" si="73"/>
        <v/>
      </c>
      <c r="AT272" s="473" t="str">
        <f t="shared" si="74"/>
        <v/>
      </c>
      <c r="AU272" s="473" t="str">
        <f t="shared" si="75"/>
        <v/>
      </c>
      <c r="AZ272" s="31" t="s">
        <v>211</v>
      </c>
      <c r="BA272" s="25" t="s">
        <v>6116</v>
      </c>
      <c r="BB272" s="499"/>
      <c r="BC272" s="271"/>
      <c r="BD272" s="279">
        <v>1</v>
      </c>
      <c r="BE272" s="271"/>
      <c r="BF272" s="271"/>
      <c r="BG272" s="271"/>
      <c r="BH272" s="271"/>
      <c r="BI272" s="271"/>
      <c r="BJ272" s="271"/>
      <c r="BK272" s="271"/>
      <c r="BL272" s="271"/>
    </row>
    <row r="273" spans="18:64" ht="21" customHeight="1" x14ac:dyDescent="0.25">
      <c r="R273" s="34" t="s">
        <v>469</v>
      </c>
      <c r="S273" s="451"/>
      <c r="T273" s="29" t="s">
        <v>9</v>
      </c>
      <c r="V273" s="475">
        <v>6</v>
      </c>
      <c r="W273" s="475" t="str">
        <f>IF($AC$273="","",$W$252)</f>
        <v/>
      </c>
      <c r="X273" s="476" t="str">
        <f>IF($AC$273="","",$X$252)</f>
        <v/>
      </c>
      <c r="Y273" s="477" t="str">
        <f>IF($X$273="","",$Y$252)</f>
        <v/>
      </c>
      <c r="Z273" s="477" t="str">
        <f>IF($X$273="","",$Z$252)</f>
        <v/>
      </c>
      <c r="AA273" s="477" t="str">
        <f>IF($AC$273="","",ROW($A$273)-ROW($A$252))</f>
        <v/>
      </c>
      <c r="AB273" s="478"/>
      <c r="AC273" s="34"/>
      <c r="AD273" s="356"/>
      <c r="AE273" s="479"/>
      <c r="AF273" s="475"/>
      <c r="AG273" s="480" t="str">
        <f t="shared" si="64"/>
        <v/>
      </c>
      <c r="AH273" s="481" t="str">
        <f t="shared" si="65"/>
        <v/>
      </c>
      <c r="AI273" s="477" t="str">
        <f>IF($AC$273="","",IFERROR(INDEX($AZ$74:$AZ$119,MATCH($AH$273,$AY$74:$AY$119,0)),"AUTRE"))</f>
        <v/>
      </c>
      <c r="AJ273" s="482" t="str">
        <f>IF($AC$273="","",IFERROR(INDEX($BA$74:$BA$119,MATCH($AH$273,$AY$74:$AY$119,0)),1))</f>
        <v/>
      </c>
      <c r="AK273" s="482" t="str">
        <f t="shared" si="66"/>
        <v/>
      </c>
      <c r="AL273" s="477" t="str">
        <f>IF($AC$273="","",IFERROR(INDEX($BB$74:$BB$119,MATCH($AH$273,$AY$74:$AY$119,0)),$AH$273))</f>
        <v/>
      </c>
      <c r="AM273" s="483" t="str">
        <f t="shared" si="67"/>
        <v/>
      </c>
      <c r="AN273" s="484" t="str">
        <f t="shared" si="68"/>
        <v/>
      </c>
      <c r="AO273" s="473" t="str">
        <f t="shared" si="69"/>
        <v/>
      </c>
      <c r="AP273" s="473" t="str">
        <f t="shared" si="70"/>
        <v/>
      </c>
      <c r="AQ273" s="473" t="str">
        <f t="shared" si="71"/>
        <v/>
      </c>
      <c r="AR273" s="473" t="str">
        <f t="shared" si="72"/>
        <v/>
      </c>
      <c r="AS273" s="473" t="str">
        <f t="shared" si="73"/>
        <v/>
      </c>
      <c r="AT273" s="473" t="str">
        <f t="shared" si="74"/>
        <v/>
      </c>
      <c r="AU273" s="473" t="str">
        <f t="shared" si="75"/>
        <v/>
      </c>
      <c r="AZ273" s="31" t="s">
        <v>20</v>
      </c>
      <c r="BA273" s="34" t="s">
        <v>6117</v>
      </c>
      <c r="BB273" s="499"/>
      <c r="BC273" s="271"/>
      <c r="BD273" s="279">
        <v>1</v>
      </c>
      <c r="BE273" s="271"/>
      <c r="BF273" s="271"/>
      <c r="BG273" s="271"/>
      <c r="BH273" s="271"/>
      <c r="BI273" s="271"/>
      <c r="BJ273" s="271"/>
      <c r="BK273" s="271"/>
      <c r="BL273" s="271"/>
    </row>
    <row r="274" spans="18:64" ht="21" customHeight="1" x14ac:dyDescent="0.25">
      <c r="R274" s="34" t="s">
        <v>6118</v>
      </c>
      <c r="S274" s="451"/>
      <c r="T274" s="30" t="s">
        <v>10</v>
      </c>
      <c r="V274" s="475">
        <v>6</v>
      </c>
      <c r="W274" s="475" t="str">
        <f>IF($AC$274="","",$W$252)</f>
        <v/>
      </c>
      <c r="X274" s="476" t="str">
        <f>IF($AC$274="","",$X$252)</f>
        <v/>
      </c>
      <c r="Y274" s="477" t="str">
        <f>IF($X$274="","",$Y$252)</f>
        <v/>
      </c>
      <c r="Z274" s="477" t="str">
        <f>IF($X$274="","",$Z$252)</f>
        <v/>
      </c>
      <c r="AA274" s="477" t="str">
        <f>IF($AC$274="","",ROW($A$274)-ROW($A$252))</f>
        <v/>
      </c>
      <c r="AB274" s="478"/>
      <c r="AC274" s="34"/>
      <c r="AD274" s="356"/>
      <c r="AE274" s="479"/>
      <c r="AF274" s="475"/>
      <c r="AG274" s="480" t="str">
        <f t="shared" si="64"/>
        <v/>
      </c>
      <c r="AH274" s="481" t="str">
        <f t="shared" si="65"/>
        <v/>
      </c>
      <c r="AI274" s="477" t="str">
        <f>IF($AC$274="","",IFERROR(INDEX($AZ$74:$AZ$119,MATCH($AH$274,$AY$74:$AY$119,0)),"AUTRE"))</f>
        <v/>
      </c>
      <c r="AJ274" s="482" t="str">
        <f>IF($AC$274="","",IFERROR(INDEX($BA$74:$BA$119,MATCH($AH$274,$AY$74:$AY$119,0)),1))</f>
        <v/>
      </c>
      <c r="AK274" s="482" t="str">
        <f t="shared" si="66"/>
        <v/>
      </c>
      <c r="AL274" s="477" t="str">
        <f>IF($AC$274="","",IFERROR(INDEX($BB$74:$BB$119,MATCH($AH$274,$AY$74:$AY$119,0)),$AH$274))</f>
        <v/>
      </c>
      <c r="AM274" s="483" t="str">
        <f t="shared" si="67"/>
        <v/>
      </c>
      <c r="AN274" s="484" t="str">
        <f t="shared" si="68"/>
        <v/>
      </c>
      <c r="AO274" s="473" t="str">
        <f t="shared" si="69"/>
        <v/>
      </c>
      <c r="AP274" s="473" t="str">
        <f t="shared" si="70"/>
        <v/>
      </c>
      <c r="AQ274" s="473" t="str">
        <f t="shared" si="71"/>
        <v/>
      </c>
      <c r="AR274" s="473" t="str">
        <f t="shared" si="72"/>
        <v/>
      </c>
      <c r="AS274" s="473" t="str">
        <f t="shared" si="73"/>
        <v/>
      </c>
      <c r="AT274" s="473" t="str">
        <f t="shared" si="74"/>
        <v/>
      </c>
      <c r="AU274" s="473" t="str">
        <f t="shared" si="75"/>
        <v/>
      </c>
      <c r="AZ274" s="31" t="s">
        <v>304</v>
      </c>
      <c r="BA274" s="34" t="s">
        <v>469</v>
      </c>
      <c r="BB274" s="499"/>
      <c r="BC274" s="271"/>
      <c r="BD274" s="279">
        <v>1</v>
      </c>
      <c r="BE274" s="271"/>
      <c r="BF274" s="271"/>
      <c r="BG274" s="271"/>
      <c r="BH274" s="271"/>
      <c r="BI274" s="271"/>
      <c r="BJ274" s="271"/>
      <c r="BK274" s="271"/>
      <c r="BL274" s="271"/>
    </row>
    <row r="275" spans="18:64" ht="21" customHeight="1" x14ac:dyDescent="0.25">
      <c r="R275" s="34" t="s">
        <v>492</v>
      </c>
      <c r="S275" s="451"/>
      <c r="T275" s="30" t="s">
        <v>11</v>
      </c>
      <c r="V275" s="475">
        <v>6</v>
      </c>
      <c r="W275" s="475" t="str">
        <f>IF($AC$275="","",$W$252)</f>
        <v/>
      </c>
      <c r="X275" s="476" t="str">
        <f>IF($AC$275="","",$X$252)</f>
        <v/>
      </c>
      <c r="Y275" s="477" t="str">
        <f>IF($X$275="","",$Y$252)</f>
        <v/>
      </c>
      <c r="Z275" s="477" t="str">
        <f>IF($X$275="","",$Z$252)</f>
        <v/>
      </c>
      <c r="AA275" s="477" t="str">
        <f>IF($AC$275="","",ROW($A$275)-ROW($A$252))</f>
        <v/>
      </c>
      <c r="AB275" s="478"/>
      <c r="AC275" s="34"/>
      <c r="AD275" s="356"/>
      <c r="AE275" s="479"/>
      <c r="AF275" s="475"/>
      <c r="AG275" s="480" t="str">
        <f t="shared" si="64"/>
        <v/>
      </c>
      <c r="AH275" s="481" t="str">
        <f t="shared" si="65"/>
        <v/>
      </c>
      <c r="AI275" s="477" t="str">
        <f>IF($AC$275="","",IFERROR(INDEX($AZ$74:$AZ$119,MATCH($AH$275,$AY$74:$AY$119,0)),"AUTRE"))</f>
        <v/>
      </c>
      <c r="AJ275" s="482" t="str">
        <f>IF($AC$275="","",IFERROR(INDEX($BA$74:$BA$119,MATCH($AH$275,$AY$74:$AY$119,0)),1))</f>
        <v/>
      </c>
      <c r="AK275" s="482" t="str">
        <f t="shared" si="66"/>
        <v/>
      </c>
      <c r="AL275" s="477" t="str">
        <f>IF($AC$275="","",IFERROR(INDEX($BB$74:$BB$119,MATCH($AH$275,$AY$74:$AY$119,0)),$AH$275))</f>
        <v/>
      </c>
      <c r="AM275" s="483" t="str">
        <f t="shared" si="67"/>
        <v/>
      </c>
      <c r="AN275" s="484" t="str">
        <f t="shared" si="68"/>
        <v/>
      </c>
      <c r="AO275" s="473" t="str">
        <f t="shared" si="69"/>
        <v/>
      </c>
      <c r="AP275" s="473" t="str">
        <f t="shared" si="70"/>
        <v/>
      </c>
      <c r="AQ275" s="473" t="str">
        <f t="shared" si="71"/>
        <v/>
      </c>
      <c r="AR275" s="473" t="str">
        <f t="shared" si="72"/>
        <v/>
      </c>
      <c r="AS275" s="473" t="str">
        <f t="shared" si="73"/>
        <v/>
      </c>
      <c r="AT275" s="473" t="str">
        <f t="shared" si="74"/>
        <v/>
      </c>
      <c r="AU275" s="473" t="str">
        <f t="shared" si="75"/>
        <v/>
      </c>
      <c r="AZ275" s="31" t="s">
        <v>352</v>
      </c>
      <c r="BA275" s="34" t="s">
        <v>6118</v>
      </c>
      <c r="BB275" s="499"/>
      <c r="BC275" s="271"/>
      <c r="BD275" s="279">
        <v>1</v>
      </c>
      <c r="BE275" s="271"/>
      <c r="BF275" s="271"/>
      <c r="BG275" s="271"/>
      <c r="BH275" s="271"/>
      <c r="BI275" s="271"/>
      <c r="BJ275" s="271"/>
      <c r="BK275" s="271"/>
      <c r="BL275" s="271"/>
    </row>
    <row r="276" spans="18:64" ht="21" customHeight="1" x14ac:dyDescent="0.25">
      <c r="R276" s="34" t="s">
        <v>458</v>
      </c>
      <c r="S276" s="451"/>
      <c r="T276" s="30" t="s">
        <v>12</v>
      </c>
      <c r="V276" s="475">
        <v>6</v>
      </c>
      <c r="W276" s="475" t="str">
        <f>IF($AC$276="","",$W$252)</f>
        <v/>
      </c>
      <c r="X276" s="476" t="str">
        <f>IF($AC$276="","",$X$252)</f>
        <v/>
      </c>
      <c r="Y276" s="477" t="str">
        <f>IF($X$276="","",$Y$252)</f>
        <v/>
      </c>
      <c r="Z276" s="477" t="str">
        <f>IF($X$276="","",$Z$252)</f>
        <v/>
      </c>
      <c r="AA276" s="477" t="str">
        <f>IF($AC$276="","",ROW($A$276)-ROW($A$252))</f>
        <v/>
      </c>
      <c r="AB276" s="478"/>
      <c r="AC276" s="34"/>
      <c r="AD276" s="356"/>
      <c r="AE276" s="479"/>
      <c r="AF276" s="475"/>
      <c r="AG276" s="480" t="str">
        <f t="shared" si="64"/>
        <v/>
      </c>
      <c r="AH276" s="481" t="str">
        <f t="shared" si="65"/>
        <v/>
      </c>
      <c r="AI276" s="477" t="str">
        <f>IF($AC$276="","",IFERROR(INDEX($AZ$74:$AZ$119,MATCH($AH$276,$AY$74:$AY$119,0)),"AUTRE"))</f>
        <v/>
      </c>
      <c r="AJ276" s="482" t="str">
        <f>IF($AC$276="","",IFERROR(INDEX($BA$74:$BA$119,MATCH($AH$276,$AY$74:$AY$119,0)),1))</f>
        <v/>
      </c>
      <c r="AK276" s="482" t="str">
        <f t="shared" si="66"/>
        <v/>
      </c>
      <c r="AL276" s="477" t="str">
        <f>IF($AC$276="","",IFERROR(INDEX($BB$74:$BB$119,MATCH($AH$276,$AY$74:$AY$119,0)),$AH$276))</f>
        <v/>
      </c>
      <c r="AM276" s="483" t="str">
        <f t="shared" si="67"/>
        <v/>
      </c>
      <c r="AN276" s="484" t="str">
        <f t="shared" si="68"/>
        <v/>
      </c>
      <c r="AO276" s="473" t="str">
        <f t="shared" si="69"/>
        <v/>
      </c>
      <c r="AP276" s="473" t="str">
        <f t="shared" si="70"/>
        <v/>
      </c>
      <c r="AQ276" s="473" t="str">
        <f t="shared" si="71"/>
        <v/>
      </c>
      <c r="AR276" s="473" t="str">
        <f t="shared" si="72"/>
        <v/>
      </c>
      <c r="AS276" s="473" t="str">
        <f t="shared" si="73"/>
        <v/>
      </c>
      <c r="AT276" s="473" t="str">
        <f t="shared" si="74"/>
        <v/>
      </c>
      <c r="AU276" s="473" t="str">
        <f t="shared" si="75"/>
        <v/>
      </c>
      <c r="AZ276" s="31" t="s">
        <v>27</v>
      </c>
      <c r="BA276" s="34" t="s">
        <v>492</v>
      </c>
      <c r="BB276" s="499"/>
      <c r="BC276" s="271"/>
      <c r="BD276" s="279">
        <v>1</v>
      </c>
      <c r="BE276" s="271"/>
      <c r="BF276" s="271"/>
      <c r="BG276" s="271"/>
      <c r="BH276" s="271"/>
      <c r="BI276" s="271"/>
      <c r="BJ276" s="271"/>
      <c r="BK276" s="271"/>
      <c r="BL276" s="271"/>
    </row>
    <row r="277" spans="18:64" ht="21" customHeight="1" x14ac:dyDescent="0.25">
      <c r="R277" s="490"/>
      <c r="S277" s="451"/>
      <c r="T277" s="31" t="s">
        <v>16</v>
      </c>
      <c r="V277" s="475">
        <v>6</v>
      </c>
      <c r="W277" s="475" t="str">
        <f>IF($AC$277="","",$W$252)</f>
        <v/>
      </c>
      <c r="X277" s="476" t="str">
        <f>IF($AC$277="","",$X$252)</f>
        <v/>
      </c>
      <c r="Y277" s="477" t="str">
        <f>IF($X$277="","",$Y$252)</f>
        <v/>
      </c>
      <c r="Z277" s="477" t="str">
        <f>IF($X$277="","",$Z$252)</f>
        <v/>
      </c>
      <c r="AA277" s="477" t="str">
        <f>IF($AC$277="","",ROW($A$277)-ROW($A$252))</f>
        <v/>
      </c>
      <c r="AB277" s="478"/>
      <c r="AC277" s="34"/>
      <c r="AD277" s="356"/>
      <c r="AE277" s="479"/>
      <c r="AF277" s="475"/>
      <c r="AG277" s="480" t="str">
        <f t="shared" si="64"/>
        <v/>
      </c>
      <c r="AH277" s="481" t="str">
        <f t="shared" si="65"/>
        <v/>
      </c>
      <c r="AI277" s="477" t="str">
        <f>IF($AC$277="","",IFERROR(INDEX($AZ$74:$AZ$119,MATCH($AH$277,$AY$74:$AY$119,0)),"AUTRE"))</f>
        <v/>
      </c>
      <c r="AJ277" s="482" t="str">
        <f>IF($AC$277="","",IFERROR(INDEX($BA$74:$BA$119,MATCH($AH$277,$AY$74:$AY$119,0)),1))</f>
        <v/>
      </c>
      <c r="AK277" s="482" t="str">
        <f t="shared" si="66"/>
        <v/>
      </c>
      <c r="AL277" s="477" t="str">
        <f>IF($AC$277="","",IFERROR(INDEX($BB$74:$BB$119,MATCH($AH$277,$AY$74:$AY$119,0)),$AH$277))</f>
        <v/>
      </c>
      <c r="AM277" s="483" t="str">
        <f t="shared" si="67"/>
        <v/>
      </c>
      <c r="AN277" s="484" t="str">
        <f t="shared" si="68"/>
        <v/>
      </c>
      <c r="AO277" s="473" t="str">
        <f t="shared" si="69"/>
        <v/>
      </c>
      <c r="AP277" s="473" t="str">
        <f t="shared" si="70"/>
        <v/>
      </c>
      <c r="AQ277" s="473" t="str">
        <f t="shared" si="71"/>
        <v/>
      </c>
      <c r="AR277" s="473" t="str">
        <f t="shared" si="72"/>
        <v/>
      </c>
      <c r="AS277" s="473" t="str">
        <f t="shared" si="73"/>
        <v/>
      </c>
      <c r="AT277" s="473" t="str">
        <f t="shared" si="74"/>
        <v/>
      </c>
      <c r="AU277" s="473" t="str">
        <f t="shared" si="75"/>
        <v/>
      </c>
      <c r="AZ277" s="31" t="s">
        <v>28</v>
      </c>
      <c r="BA277" s="34" t="s">
        <v>458</v>
      </c>
      <c r="BB277" s="499"/>
      <c r="BC277" s="271"/>
      <c r="BD277" s="279">
        <v>1</v>
      </c>
      <c r="BE277" s="271"/>
      <c r="BF277" s="271"/>
      <c r="BG277" s="271"/>
      <c r="BH277" s="271"/>
      <c r="BI277" s="271"/>
      <c r="BJ277" s="271"/>
      <c r="BK277" s="271"/>
      <c r="BL277" s="271"/>
    </row>
    <row r="278" spans="18:64" ht="21" customHeight="1" x14ac:dyDescent="0.25">
      <c r="R278" s="25" t="s">
        <v>6119</v>
      </c>
      <c r="S278" s="451"/>
      <c r="T278" s="31" t="s">
        <v>17</v>
      </c>
      <c r="V278" s="475">
        <v>6</v>
      </c>
      <c r="W278" s="475" t="str">
        <f>IF($AC$278="","",$W$252)</f>
        <v/>
      </c>
      <c r="X278" s="476" t="str">
        <f>IF($AC$278="","",$X$252)</f>
        <v/>
      </c>
      <c r="Y278" s="477" t="str">
        <f>IF($X$278="","",$Y$252)</f>
        <v/>
      </c>
      <c r="Z278" s="477" t="str">
        <f>IF($X$278="","",$Z$252)</f>
        <v/>
      </c>
      <c r="AA278" s="477" t="str">
        <f>IF($AC$278="","",ROW($A$278)-ROW($A$252))</f>
        <v/>
      </c>
      <c r="AB278" s="478"/>
      <c r="AC278" s="34"/>
      <c r="AD278" s="356"/>
      <c r="AE278" s="479"/>
      <c r="AF278" s="475"/>
      <c r="AG278" s="480" t="str">
        <f t="shared" si="64"/>
        <v/>
      </c>
      <c r="AH278" s="481" t="str">
        <f t="shared" si="65"/>
        <v/>
      </c>
      <c r="AI278" s="477" t="str">
        <f>IF($AC$278="","",IFERROR(INDEX($AZ$74:$AZ$119,MATCH($AH$278,$AY$74:$AY$119,0)),"AUTRE"))</f>
        <v/>
      </c>
      <c r="AJ278" s="482" t="str">
        <f>IF($AC$278="","",IFERROR(INDEX($BA$74:$BA$119,MATCH($AH$278,$AY$74:$AY$119,0)),1))</f>
        <v/>
      </c>
      <c r="AK278" s="482" t="str">
        <f t="shared" si="66"/>
        <v/>
      </c>
      <c r="AL278" s="477" t="str">
        <f>IF($AC$278="","",IFERROR(INDEX($BB$74:$BB$119,MATCH($AH$278,$AY$74:$AY$119,0)),$AH$278))</f>
        <v/>
      </c>
      <c r="AM278" s="483" t="str">
        <f t="shared" si="67"/>
        <v/>
      </c>
      <c r="AN278" s="484" t="str">
        <f t="shared" si="68"/>
        <v/>
      </c>
      <c r="AO278" s="473" t="str">
        <f t="shared" si="69"/>
        <v/>
      </c>
      <c r="AP278" s="473" t="str">
        <f t="shared" si="70"/>
        <v/>
      </c>
      <c r="AQ278" s="473" t="str">
        <f t="shared" si="71"/>
        <v/>
      </c>
      <c r="AR278" s="473" t="str">
        <f t="shared" si="72"/>
        <v/>
      </c>
      <c r="AS278" s="473" t="str">
        <f t="shared" si="73"/>
        <v/>
      </c>
      <c r="AT278" s="473" t="str">
        <f t="shared" si="74"/>
        <v/>
      </c>
      <c r="AU278" s="473" t="str">
        <f t="shared" si="75"/>
        <v/>
      </c>
      <c r="AZ278" s="31" t="s">
        <v>29</v>
      </c>
      <c r="BA278" s="490"/>
      <c r="BB278" s="499"/>
      <c r="BC278" s="271"/>
      <c r="BD278" s="279">
        <v>1</v>
      </c>
      <c r="BE278" s="271"/>
      <c r="BF278" s="271"/>
      <c r="BG278" s="271"/>
      <c r="BH278" s="271"/>
      <c r="BI278" s="271"/>
      <c r="BJ278" s="271"/>
      <c r="BK278" s="271"/>
      <c r="BL278" s="271"/>
    </row>
    <row r="279" spans="18:64" ht="21" customHeight="1" x14ac:dyDescent="0.25">
      <c r="R279" s="34" t="s">
        <v>6120</v>
      </c>
      <c r="S279" s="451"/>
      <c r="T279" s="31" t="s">
        <v>18</v>
      </c>
      <c r="V279" s="475">
        <v>6</v>
      </c>
      <c r="W279" s="475" t="str">
        <f>IF($AC$279="","",$W$252)</f>
        <v/>
      </c>
      <c r="X279" s="476" t="str">
        <f>IF($AC$279="","",$X$252)</f>
        <v/>
      </c>
      <c r="Y279" s="477" t="str">
        <f>IF($X$279="","",$Y$252)</f>
        <v/>
      </c>
      <c r="Z279" s="477" t="str">
        <f>IF($X$279="","",$Z$252)</f>
        <v/>
      </c>
      <c r="AA279" s="477" t="str">
        <f>IF($AC$279="","",ROW($A$279)-ROW($A$252))</f>
        <v/>
      </c>
      <c r="AB279" s="478"/>
      <c r="AC279" s="34"/>
      <c r="AD279" s="356"/>
      <c r="AE279" s="479"/>
      <c r="AF279" s="475"/>
      <c r="AG279" s="480" t="str">
        <f t="shared" si="64"/>
        <v/>
      </c>
      <c r="AH279" s="481" t="str">
        <f t="shared" si="65"/>
        <v/>
      </c>
      <c r="AI279" s="477" t="str">
        <f>IF($AC$279="","",IFERROR(INDEX($AZ$74:$AZ$119,MATCH($AH$279,$AY$74:$AY$119,0)),"AUTRE"))</f>
        <v/>
      </c>
      <c r="AJ279" s="482" t="str">
        <f>IF($AC$279="","",IFERROR(INDEX($BA$74:$BA$119,MATCH($AH$279,$AY$74:$AY$119,0)),1))</f>
        <v/>
      </c>
      <c r="AK279" s="482" t="str">
        <f t="shared" si="66"/>
        <v/>
      </c>
      <c r="AL279" s="477" t="str">
        <f>IF($AC$279="","",IFERROR(INDEX($BB$74:$BB$119,MATCH($AH$279,$AY$74:$AY$119,0)),$AH$279))</f>
        <v/>
      </c>
      <c r="AM279" s="483" t="str">
        <f t="shared" si="67"/>
        <v/>
      </c>
      <c r="AN279" s="484" t="str">
        <f t="shared" si="68"/>
        <v/>
      </c>
      <c r="AO279" s="473" t="str">
        <f t="shared" si="69"/>
        <v/>
      </c>
      <c r="AP279" s="473" t="str">
        <f t="shared" si="70"/>
        <v/>
      </c>
      <c r="AQ279" s="473" t="str">
        <f t="shared" si="71"/>
        <v/>
      </c>
      <c r="AR279" s="473" t="str">
        <f t="shared" si="72"/>
        <v/>
      </c>
      <c r="AS279" s="473" t="str">
        <f t="shared" si="73"/>
        <v/>
      </c>
      <c r="AT279" s="473" t="str">
        <f t="shared" si="74"/>
        <v/>
      </c>
      <c r="AU279" s="473" t="str">
        <f t="shared" si="75"/>
        <v/>
      </c>
      <c r="AZ279" s="31" t="s">
        <v>30</v>
      </c>
      <c r="BA279" s="25" t="s">
        <v>6119</v>
      </c>
      <c r="BB279" s="499"/>
      <c r="BC279" s="271"/>
      <c r="BD279" s="279">
        <v>1</v>
      </c>
      <c r="BE279" s="271"/>
      <c r="BF279" s="271"/>
      <c r="BG279" s="271"/>
      <c r="BH279" s="271"/>
      <c r="BI279" s="271"/>
      <c r="BJ279" s="271"/>
      <c r="BK279" s="271"/>
      <c r="BL279" s="271"/>
    </row>
    <row r="280" spans="18:64" ht="21" customHeight="1" x14ac:dyDescent="0.25">
      <c r="R280" s="34" t="s">
        <v>6121</v>
      </c>
      <c r="S280" s="451"/>
      <c r="T280" s="31" t="s">
        <v>19</v>
      </c>
      <c r="V280" s="475">
        <v>6</v>
      </c>
      <c r="W280" s="475" t="str">
        <f>IF($AC$280="","",$W$252)</f>
        <v/>
      </c>
      <c r="X280" s="476" t="str">
        <f>IF($AC$280="","",$X$252)</f>
        <v/>
      </c>
      <c r="Y280" s="477" t="str">
        <f>IF($X$280="","",$Y$252)</f>
        <v/>
      </c>
      <c r="Z280" s="477" t="str">
        <f>IF($X$280="","",$Z$252)</f>
        <v/>
      </c>
      <c r="AA280" s="477" t="str">
        <f>IF($AC$280="","",ROW($A$280)-ROW($A$252))</f>
        <v/>
      </c>
      <c r="AB280" s="478"/>
      <c r="AC280" s="34"/>
      <c r="AD280" s="356"/>
      <c r="AE280" s="479"/>
      <c r="AF280" s="475"/>
      <c r="AG280" s="480" t="str">
        <f t="shared" si="64"/>
        <v/>
      </c>
      <c r="AH280" s="481" t="str">
        <f t="shared" si="65"/>
        <v/>
      </c>
      <c r="AI280" s="477" t="str">
        <f>IF($AC$280="","",IFERROR(INDEX($AZ$74:$AZ$119,MATCH($AH$280,$AY$74:$AY$119,0)),"AUTRE"))</f>
        <v/>
      </c>
      <c r="AJ280" s="482" t="str">
        <f>IF($AC$280="","",IFERROR(INDEX($BA$74:$BA$119,MATCH($AH$280,$AY$74:$AY$119,0)),1))</f>
        <v/>
      </c>
      <c r="AK280" s="482" t="str">
        <f t="shared" si="66"/>
        <v/>
      </c>
      <c r="AL280" s="477" t="str">
        <f>IF($AC$280="","",IFERROR(INDEX($BB$74:$BB$119,MATCH($AH$280,$AY$74:$AY$119,0)),$AH$280))</f>
        <v/>
      </c>
      <c r="AM280" s="483" t="str">
        <f t="shared" si="67"/>
        <v/>
      </c>
      <c r="AN280" s="484" t="str">
        <f t="shared" si="68"/>
        <v/>
      </c>
      <c r="AO280" s="473" t="str">
        <f t="shared" si="69"/>
        <v/>
      </c>
      <c r="AP280" s="473" t="str">
        <f t="shared" si="70"/>
        <v/>
      </c>
      <c r="AQ280" s="473" t="str">
        <f t="shared" si="71"/>
        <v/>
      </c>
      <c r="AR280" s="473" t="str">
        <f t="shared" si="72"/>
        <v/>
      </c>
      <c r="AS280" s="473" t="str">
        <f t="shared" si="73"/>
        <v/>
      </c>
      <c r="AT280" s="473" t="str">
        <f t="shared" si="74"/>
        <v/>
      </c>
      <c r="AU280" s="473" t="str">
        <f t="shared" si="75"/>
        <v/>
      </c>
      <c r="AY280" s="271"/>
      <c r="AZ280" s="32" t="s">
        <v>33</v>
      </c>
      <c r="BA280" s="34" t="s">
        <v>6120</v>
      </c>
      <c r="BB280" s="499"/>
      <c r="BC280" s="271"/>
      <c r="BD280" s="279">
        <v>1</v>
      </c>
      <c r="BE280" s="271"/>
      <c r="BF280" s="271"/>
      <c r="BG280" s="271"/>
      <c r="BH280" s="271"/>
      <c r="BI280" s="271"/>
      <c r="BJ280" s="271"/>
      <c r="BK280" s="271"/>
      <c r="BL280" s="271"/>
    </row>
    <row r="281" spans="18:64" ht="21" customHeight="1" x14ac:dyDescent="0.25">
      <c r="R281" s="34" t="s">
        <v>6122</v>
      </c>
      <c r="S281" s="451"/>
      <c r="T281" s="31" t="s">
        <v>211</v>
      </c>
      <c r="V281" s="475">
        <v>6</v>
      </c>
      <c r="W281" s="475" t="str">
        <f>IF($AC$281="","",$W$252)</f>
        <v/>
      </c>
      <c r="X281" s="476" t="str">
        <f>IF($AC$281="","",$X$252)</f>
        <v/>
      </c>
      <c r="Y281" s="477" t="str">
        <f>IF($X$281="","",$Y$252)</f>
        <v/>
      </c>
      <c r="Z281" s="477" t="str">
        <f>IF($X$281="","",$Z$252)</f>
        <v/>
      </c>
      <c r="AA281" s="477" t="str">
        <f>IF($AC$281="","",ROW($A$281)-ROW($A$252))</f>
        <v/>
      </c>
      <c r="AB281" s="478"/>
      <c r="AC281" s="34"/>
      <c r="AD281" s="356"/>
      <c r="AE281" s="479"/>
      <c r="AF281" s="475"/>
      <c r="AG281" s="480" t="str">
        <f t="shared" si="64"/>
        <v/>
      </c>
      <c r="AH281" s="481" t="str">
        <f t="shared" si="65"/>
        <v/>
      </c>
      <c r="AI281" s="477" t="str">
        <f>IF($AC$281="","",IFERROR(INDEX($AZ$74:$AZ$119,MATCH($AH$281,$AY$74:$AY$119,0)),"AUTRE"))</f>
        <v/>
      </c>
      <c r="AJ281" s="482" t="str">
        <f>IF($AC$281="","",IFERROR(INDEX($BA$74:$BA$119,MATCH($AH$281,$AY$74:$AY$119,0)),1))</f>
        <v/>
      </c>
      <c r="AK281" s="482" t="str">
        <f t="shared" si="66"/>
        <v/>
      </c>
      <c r="AL281" s="477" t="str">
        <f>IF($AC$281="","",IFERROR(INDEX($BB$74:$BB$119,MATCH($AH$281,$AY$74:$AY$119,0)),$AH$281))</f>
        <v/>
      </c>
      <c r="AM281" s="483" t="str">
        <f t="shared" si="67"/>
        <v/>
      </c>
      <c r="AN281" s="484" t="str">
        <f t="shared" si="68"/>
        <v/>
      </c>
      <c r="AO281" s="473" t="str">
        <f t="shared" si="69"/>
        <v/>
      </c>
      <c r="AP281" s="473" t="str">
        <f t="shared" si="70"/>
        <v/>
      </c>
      <c r="AQ281" s="473" t="str">
        <f t="shared" si="71"/>
        <v/>
      </c>
      <c r="AR281" s="473" t="str">
        <f t="shared" si="72"/>
        <v/>
      </c>
      <c r="AS281" s="473" t="str">
        <f t="shared" si="73"/>
        <v/>
      </c>
      <c r="AT281" s="473" t="str">
        <f t="shared" si="74"/>
        <v/>
      </c>
      <c r="AU281" s="473" t="str">
        <f t="shared" si="75"/>
        <v/>
      </c>
      <c r="AY281" s="497" t="s">
        <v>8145</v>
      </c>
      <c r="AZ281" s="32" t="s">
        <v>8125</v>
      </c>
      <c r="BA281" s="34" t="s">
        <v>6121</v>
      </c>
      <c r="BB281" s="499"/>
      <c r="BC281" s="271"/>
      <c r="BD281" s="279">
        <v>1</v>
      </c>
      <c r="BE281" s="271"/>
      <c r="BF281" s="271"/>
      <c r="BG281" s="271"/>
      <c r="BH281" s="271"/>
      <c r="BI281" s="271"/>
      <c r="BJ281" s="271"/>
      <c r="BK281" s="271"/>
      <c r="BL281" s="271"/>
    </row>
    <row r="282" spans="18:64" ht="21" customHeight="1" x14ac:dyDescent="0.25">
      <c r="R282" s="34" t="s">
        <v>6123</v>
      </c>
      <c r="S282" s="451"/>
      <c r="T282" s="31" t="s">
        <v>20</v>
      </c>
      <c r="V282" s="475">
        <v>6</v>
      </c>
      <c r="W282" s="475" t="str">
        <f>IF($AC$282="","",$W$252)</f>
        <v/>
      </c>
      <c r="X282" s="476" t="str">
        <f>IF($AC$282="","",$X$252)</f>
        <v/>
      </c>
      <c r="Y282" s="477" t="str">
        <f>IF($X$282="","",$Y$252)</f>
        <v/>
      </c>
      <c r="Z282" s="477" t="str">
        <f>IF($X$282="","",$Z$252)</f>
        <v/>
      </c>
      <c r="AA282" s="477" t="str">
        <f>IF($AC$282="","",ROW($A$282)-ROW($A$252))</f>
        <v/>
      </c>
      <c r="AB282" s="478"/>
      <c r="AC282" s="34"/>
      <c r="AD282" s="356"/>
      <c r="AE282" s="479"/>
      <c r="AF282" s="475"/>
      <c r="AG282" s="480" t="str">
        <f t="shared" si="64"/>
        <v/>
      </c>
      <c r="AH282" s="481" t="str">
        <f t="shared" si="65"/>
        <v/>
      </c>
      <c r="AI282" s="477" t="str">
        <f>IF($AC$282="","",IFERROR(INDEX($AZ$74:$AZ$119,MATCH($AH$282,$AY$74:$AY$119,0)),"AUTRE"))</f>
        <v/>
      </c>
      <c r="AJ282" s="482" t="str">
        <f>IF($AC$282="","",IFERROR(INDEX($BA$74:$BA$119,MATCH($AH$282,$AY$74:$AY$119,0)),1))</f>
        <v/>
      </c>
      <c r="AK282" s="482" t="str">
        <f t="shared" si="66"/>
        <v/>
      </c>
      <c r="AL282" s="477" t="str">
        <f>IF($AC$282="","",IFERROR(INDEX($BB$74:$BB$119,MATCH($AH$282,$AY$74:$AY$119,0)),$AH$282))</f>
        <v/>
      </c>
      <c r="AM282" s="483" t="str">
        <f t="shared" si="67"/>
        <v/>
      </c>
      <c r="AN282" s="484" t="str">
        <f t="shared" si="68"/>
        <v/>
      </c>
      <c r="AO282" s="473" t="str">
        <f t="shared" si="69"/>
        <v/>
      </c>
      <c r="AP282" s="473" t="str">
        <f t="shared" si="70"/>
        <v/>
      </c>
      <c r="AQ282" s="473" t="str">
        <f t="shared" si="71"/>
        <v/>
      </c>
      <c r="AR282" s="473" t="str">
        <f t="shared" si="72"/>
        <v/>
      </c>
      <c r="AS282" s="473" t="str">
        <f t="shared" si="73"/>
        <v/>
      </c>
      <c r="AT282" s="473" t="str">
        <f t="shared" si="74"/>
        <v/>
      </c>
      <c r="AU282" s="473" t="str">
        <f t="shared" si="75"/>
        <v/>
      </c>
      <c r="AY282" s="497" t="s">
        <v>462</v>
      </c>
      <c r="AZ282" s="32" t="s">
        <v>8127</v>
      </c>
      <c r="BA282" s="34" t="s">
        <v>6122</v>
      </c>
      <c r="BB282" s="499"/>
      <c r="BC282" s="271"/>
      <c r="BD282" s="279">
        <v>1</v>
      </c>
      <c r="BE282" s="271"/>
      <c r="BF282" s="271"/>
      <c r="BG282" s="271"/>
      <c r="BH282" s="271"/>
      <c r="BI282" s="271"/>
      <c r="BJ282" s="271"/>
      <c r="BK282" s="271"/>
      <c r="BL282" s="271"/>
    </row>
    <row r="283" spans="18:64" ht="21" customHeight="1" x14ac:dyDescent="0.25">
      <c r="R283" s="34" t="s">
        <v>6124</v>
      </c>
      <c r="S283" s="451"/>
      <c r="T283" s="31" t="s">
        <v>304</v>
      </c>
      <c r="V283" s="475">
        <v>6</v>
      </c>
      <c r="W283" s="475" t="str">
        <f>IF($AC$283="","",$W$252)</f>
        <v/>
      </c>
      <c r="X283" s="476" t="str">
        <f>IF($AC$283="","",$X$252)</f>
        <v/>
      </c>
      <c r="Y283" s="477" t="str">
        <f>IF($X$283="","",$Y$252)</f>
        <v/>
      </c>
      <c r="Z283" s="477" t="str">
        <f>IF($X$283="","",$Z$252)</f>
        <v/>
      </c>
      <c r="AA283" s="477" t="str">
        <f>IF($AC$283="","",ROW($A$283)-ROW($A$252))</f>
        <v/>
      </c>
      <c r="AB283" s="478"/>
      <c r="AC283" s="34"/>
      <c r="AD283" s="356"/>
      <c r="AE283" s="479"/>
      <c r="AF283" s="475"/>
      <c r="AG283" s="480" t="str">
        <f t="shared" si="64"/>
        <v/>
      </c>
      <c r="AH283" s="481" t="str">
        <f t="shared" si="65"/>
        <v/>
      </c>
      <c r="AI283" s="477" t="str">
        <f>IF($AC$283="","",IFERROR(INDEX($AZ$74:$AZ$119,MATCH($AH$283,$AY$74:$AY$119,0)),"AUTRE"))</f>
        <v/>
      </c>
      <c r="AJ283" s="482" t="str">
        <f>IF($AC$283="","",IFERROR(INDEX($BA$74:$BA$119,MATCH($AH$283,$AY$74:$AY$119,0)),1))</f>
        <v/>
      </c>
      <c r="AK283" s="482" t="str">
        <f t="shared" si="66"/>
        <v/>
      </c>
      <c r="AL283" s="477" t="str">
        <f>IF($AC$283="","",IFERROR(INDEX($BB$74:$BB$119,MATCH($AH$283,$AY$74:$AY$119,0)),$AH$283))</f>
        <v/>
      </c>
      <c r="AM283" s="483" t="str">
        <f t="shared" si="67"/>
        <v/>
      </c>
      <c r="AN283" s="484" t="str">
        <f t="shared" si="68"/>
        <v/>
      </c>
      <c r="AO283" s="473" t="str">
        <f t="shared" si="69"/>
        <v/>
      </c>
      <c r="AP283" s="473" t="str">
        <f t="shared" si="70"/>
        <v/>
      </c>
      <c r="AQ283" s="473" t="str">
        <f t="shared" si="71"/>
        <v/>
      </c>
      <c r="AR283" s="473" t="str">
        <f t="shared" si="72"/>
        <v/>
      </c>
      <c r="AS283" s="473" t="str">
        <f t="shared" si="73"/>
        <v/>
      </c>
      <c r="AT283" s="473" t="str">
        <f t="shared" si="74"/>
        <v/>
      </c>
      <c r="AU283" s="473" t="str">
        <f t="shared" si="75"/>
        <v/>
      </c>
      <c r="AY283" s="497" t="s">
        <v>463</v>
      </c>
      <c r="AZ283" s="32" t="s">
        <v>320</v>
      </c>
      <c r="BA283" s="34" t="s">
        <v>6123</v>
      </c>
      <c r="BB283" s="499"/>
      <c r="BC283" s="271"/>
      <c r="BD283" s="279">
        <v>1</v>
      </c>
      <c r="BE283" s="271"/>
      <c r="BF283" s="271"/>
      <c r="BG283" s="271"/>
      <c r="BH283" s="271"/>
      <c r="BI283" s="271"/>
      <c r="BJ283" s="271"/>
      <c r="BK283" s="271"/>
      <c r="BL283" s="271"/>
    </row>
    <row r="284" spans="18:64" ht="21" customHeight="1" x14ac:dyDescent="0.25">
      <c r="R284" s="34" t="s">
        <v>6125</v>
      </c>
      <c r="S284" s="451"/>
      <c r="T284" s="31" t="s">
        <v>352</v>
      </c>
      <c r="V284" s="475">
        <v>6</v>
      </c>
      <c r="W284" s="475" t="str">
        <f>IF($AC$284="","",$W$252)</f>
        <v/>
      </c>
      <c r="X284" s="476" t="str">
        <f>IF($AC$284="","",$X$252)</f>
        <v/>
      </c>
      <c r="Y284" s="477" t="str">
        <f>IF($X$284="","",$Y$252)</f>
        <v/>
      </c>
      <c r="Z284" s="477" t="str">
        <f>IF($X$284="","",$Z$252)</f>
        <v/>
      </c>
      <c r="AA284" s="477" t="str">
        <f>IF($AC$284="","",ROW($A$284)-ROW($A$252))</f>
        <v/>
      </c>
      <c r="AB284" s="478"/>
      <c r="AC284" s="34"/>
      <c r="AD284" s="356"/>
      <c r="AE284" s="479"/>
      <c r="AF284" s="475"/>
      <c r="AG284" s="480" t="str">
        <f t="shared" si="64"/>
        <v/>
      </c>
      <c r="AH284" s="481" t="str">
        <f t="shared" si="65"/>
        <v/>
      </c>
      <c r="AI284" s="477" t="str">
        <f>IF($AC$284="","",IFERROR(INDEX($AZ$74:$AZ$119,MATCH($AH$284,$AY$74:$AY$119,0)),"AUTRE"))</f>
        <v/>
      </c>
      <c r="AJ284" s="482" t="str">
        <f>IF($AC$284="","",IFERROR(INDEX($BA$74:$BA$119,MATCH($AH$284,$AY$74:$AY$119,0)),1))</f>
        <v/>
      </c>
      <c r="AK284" s="482" t="str">
        <f t="shared" si="66"/>
        <v/>
      </c>
      <c r="AL284" s="477" t="str">
        <f>IF($AC$284="","",IFERROR(INDEX($BB$74:$BB$119,MATCH($AH$284,$AY$74:$AY$119,0)),$AH$284))</f>
        <v/>
      </c>
      <c r="AM284" s="483" t="str">
        <f t="shared" si="67"/>
        <v/>
      </c>
      <c r="AN284" s="484" t="str">
        <f t="shared" si="68"/>
        <v/>
      </c>
      <c r="AO284" s="473" t="str">
        <f t="shared" si="69"/>
        <v/>
      </c>
      <c r="AP284" s="473" t="str">
        <f t="shared" si="70"/>
        <v/>
      </c>
      <c r="AQ284" s="473" t="str">
        <f t="shared" si="71"/>
        <v/>
      </c>
      <c r="AR284" s="473" t="str">
        <f t="shared" si="72"/>
        <v/>
      </c>
      <c r="AS284" s="473" t="str">
        <f t="shared" si="73"/>
        <v/>
      </c>
      <c r="AT284" s="473" t="str">
        <f t="shared" si="74"/>
        <v/>
      </c>
      <c r="AU284" s="473" t="str">
        <f t="shared" si="75"/>
        <v/>
      </c>
      <c r="AY284" s="497" t="s">
        <v>8147</v>
      </c>
      <c r="AZ284" s="32" t="s">
        <v>318</v>
      </c>
      <c r="BA284" s="34" t="s">
        <v>6124</v>
      </c>
      <c r="BB284" s="499"/>
      <c r="BC284" s="271"/>
      <c r="BD284" s="279">
        <v>1</v>
      </c>
      <c r="BE284" s="271"/>
      <c r="BF284" s="271"/>
      <c r="BG284" s="271"/>
      <c r="BH284" s="271"/>
      <c r="BI284" s="271"/>
      <c r="BJ284" s="271"/>
      <c r="BK284" s="271"/>
      <c r="BL284" s="271"/>
    </row>
    <row r="285" spans="18:64" ht="21" customHeight="1" x14ac:dyDescent="0.25">
      <c r="R285" s="34" t="s">
        <v>6126</v>
      </c>
      <c r="S285" s="451"/>
      <c r="T285" s="31" t="s">
        <v>25</v>
      </c>
      <c r="V285" s="475">
        <v>6</v>
      </c>
      <c r="W285" s="475" t="str">
        <f>IF($AC$285="","",$W$252)</f>
        <v>N° 16</v>
      </c>
      <c r="X285" s="476" t="str">
        <f>IF($AC$285="","",$X$252)</f>
        <v>TOMATE ET MOZARELLA AU BASILIC</v>
      </c>
      <c r="Y285" s="477">
        <f>IF($X$285="","",$Y$252)</f>
        <v>33</v>
      </c>
      <c r="Z285" s="477">
        <f>IF($X$285="","",$Z$252)</f>
        <v>100</v>
      </c>
      <c r="AA285" s="477">
        <f>IF($AC$285="","",ROW($A$285)-ROW($A$252))</f>
        <v>33</v>
      </c>
      <c r="AB285" s="478"/>
      <c r="AC285" s="34" t="s">
        <v>8179</v>
      </c>
      <c r="AD285" s="356"/>
      <c r="AE285" s="479">
        <v>4</v>
      </c>
      <c r="AF285" s="497" t="s">
        <v>462</v>
      </c>
      <c r="AG285" s="480">
        <f t="shared" si="64"/>
        <v>4</v>
      </c>
      <c r="AH285" s="481" t="str">
        <f t="shared" si="65"/>
        <v>BAC(S)</v>
      </c>
      <c r="AI285" s="477" t="str">
        <f>IF($AC$285="","",IFERROR(INDEX($AZ$74:$AZ$119,MATCH($AH$285,$AY$74:$AY$119,0)),"AUTRE"))</f>
        <v>AUTRE</v>
      </c>
      <c r="AJ285" s="482">
        <f>IF($AC$285="","",IFERROR(INDEX($BA$74:$BA$119,MATCH($AH$285,$AY$74:$AY$119,0)),1))</f>
        <v>1</v>
      </c>
      <c r="AK285" s="482">
        <f t="shared" si="66"/>
        <v>4</v>
      </c>
      <c r="AL285" s="477" t="str">
        <f>IF($AC$285="","",IFERROR(INDEX($BB$74:$BB$119,MATCH($AH$285,$AY$74:$AY$119,0)),$AH$285))</f>
        <v>bac(s)</v>
      </c>
      <c r="AM285" s="483" t="str">
        <f t="shared" si="67"/>
        <v>OK</v>
      </c>
      <c r="AN285" s="484">
        <f t="shared" si="68"/>
        <v>4</v>
      </c>
      <c r="AO285" s="473" t="str">
        <f t="shared" si="69"/>
        <v/>
      </c>
      <c r="AP285" s="473" t="str">
        <f t="shared" si="70"/>
        <v/>
      </c>
      <c r="AQ285" s="473" t="str">
        <f t="shared" si="71"/>
        <v/>
      </c>
      <c r="AR285" s="473" t="str">
        <f t="shared" si="72"/>
        <v/>
      </c>
      <c r="AS285" s="473" t="str">
        <f t="shared" si="73"/>
        <v/>
      </c>
      <c r="AT285" s="473" t="str">
        <f t="shared" si="74"/>
        <v/>
      </c>
      <c r="AU285" s="473" t="str">
        <f t="shared" si="75"/>
        <v/>
      </c>
      <c r="AY285" s="497" t="s">
        <v>465</v>
      </c>
      <c r="AZ285" s="32" t="s">
        <v>316</v>
      </c>
      <c r="BA285" s="34" t="s">
        <v>6125</v>
      </c>
      <c r="BB285" s="499"/>
      <c r="BC285" s="271"/>
      <c r="BD285" s="279">
        <v>1</v>
      </c>
      <c r="BE285" s="271"/>
      <c r="BF285" s="271"/>
      <c r="BG285" s="271"/>
      <c r="BH285" s="271"/>
      <c r="BI285" s="271"/>
      <c r="BJ285" s="271"/>
      <c r="BK285" s="271"/>
      <c r="BL285" s="271"/>
    </row>
    <row r="286" spans="18:64" ht="21" customHeight="1" x14ac:dyDescent="0.25">
      <c r="R286" s="34" t="s">
        <v>6127</v>
      </c>
      <c r="S286" s="451"/>
      <c r="T286" s="31" t="s">
        <v>26</v>
      </c>
      <c r="V286" s="475">
        <v>6</v>
      </c>
      <c r="W286" s="475" t="str">
        <f>IF($AC$286="","",$W$252)</f>
        <v>N° 16</v>
      </c>
      <c r="X286" s="476" t="str">
        <f>IF($AC$286="","",$X$252)</f>
        <v>TOMATE ET MOZARELLA AU BASILIC</v>
      </c>
      <c r="Y286" s="477">
        <f>IF($X$286="","",$Y$252)</f>
        <v>33</v>
      </c>
      <c r="Z286" s="477">
        <f>IF($X$286="","",$Z$252)</f>
        <v>100</v>
      </c>
      <c r="AA286" s="477">
        <f>IF($AC$286="","",ROW($A$286)-ROW($A$252))</f>
        <v>34</v>
      </c>
      <c r="AB286" s="478"/>
      <c r="AC286" s="34" t="s">
        <v>8180</v>
      </c>
      <c r="AD286" s="356"/>
      <c r="AE286" s="479">
        <v>6</v>
      </c>
      <c r="AF286" s="497" t="s">
        <v>462</v>
      </c>
      <c r="AG286" s="491">
        <f t="shared" si="64"/>
        <v>6</v>
      </c>
      <c r="AH286" s="481" t="str">
        <f t="shared" si="65"/>
        <v>BAC(S)</v>
      </c>
      <c r="AI286" s="477" t="str">
        <f>IF($AC$286="","",IFERROR(INDEX($AZ$74:$AZ$119,MATCH($AH$286,$AY$74:$AY$119,0)),"AUTRE"))</f>
        <v>AUTRE</v>
      </c>
      <c r="AJ286" s="482">
        <f>IF($AC$286="","",IFERROR(INDEX($BA$74:$BA$119,MATCH($AH$286,$AY$74:$AY$119,0)),1))</f>
        <v>1</v>
      </c>
      <c r="AK286" s="482">
        <f t="shared" si="66"/>
        <v>6</v>
      </c>
      <c r="AL286" s="477" t="str">
        <f>IF($AC$286="","",IFERROR(INDEX($BB$74:$BB$119,MATCH($AH$286,$AY$74:$AY$119,0)),$AH$286))</f>
        <v>bac(s)</v>
      </c>
      <c r="AM286" s="483" t="str">
        <f t="shared" si="67"/>
        <v>OK</v>
      </c>
      <c r="AN286" s="484">
        <f t="shared" si="68"/>
        <v>6</v>
      </c>
      <c r="AO286" s="473" t="str">
        <f t="shared" si="69"/>
        <v/>
      </c>
      <c r="AP286" s="473" t="str">
        <f t="shared" si="70"/>
        <v/>
      </c>
      <c r="AQ286" s="473" t="str">
        <f t="shared" si="71"/>
        <v/>
      </c>
      <c r="AR286" s="473" t="str">
        <f t="shared" si="72"/>
        <v/>
      </c>
      <c r="AS286" s="473" t="str">
        <f t="shared" si="73"/>
        <v/>
      </c>
      <c r="AT286" s="473" t="str">
        <f t="shared" si="74"/>
        <v/>
      </c>
      <c r="AU286" s="473" t="str">
        <f t="shared" si="75"/>
        <v/>
      </c>
      <c r="AY286" s="497" t="s">
        <v>466</v>
      </c>
      <c r="AZ286" s="32" t="s">
        <v>313</v>
      </c>
      <c r="BA286" s="34" t="s">
        <v>6126</v>
      </c>
      <c r="BB286" s="499"/>
      <c r="BC286" s="271"/>
      <c r="BD286" s="279">
        <v>1</v>
      </c>
      <c r="BE286" s="271"/>
      <c r="BF286" s="271"/>
      <c r="BG286" s="271"/>
      <c r="BH286" s="271"/>
      <c r="BI286" s="271"/>
      <c r="BJ286" s="271"/>
      <c r="BK286" s="271"/>
      <c r="BL286" s="271"/>
    </row>
    <row r="287" spans="18:64" ht="30" customHeight="1" x14ac:dyDescent="0.25">
      <c r="R287" s="25" t="s">
        <v>6128</v>
      </c>
      <c r="S287" s="451"/>
      <c r="T287" s="31" t="s">
        <v>27</v>
      </c>
      <c r="V287" s="453" t="s">
        <v>324</v>
      </c>
      <c r="W287" s="453" t="s">
        <v>7912</v>
      </c>
      <c r="X287" s="453" t="s">
        <v>326</v>
      </c>
      <c r="Y287" s="453" t="s">
        <v>327</v>
      </c>
      <c r="Z287" s="454" t="s">
        <v>7930</v>
      </c>
      <c r="AA287" s="453" t="s">
        <v>7937</v>
      </c>
      <c r="AB287" s="455" t="s">
        <v>39</v>
      </c>
      <c r="AC287" s="455" t="s">
        <v>338</v>
      </c>
      <c r="AD287" s="455" t="s">
        <v>8114</v>
      </c>
      <c r="AE287" s="455" t="s">
        <v>8114</v>
      </c>
      <c r="AF287" s="455" t="s">
        <v>339</v>
      </c>
      <c r="AG287" s="453" t="s">
        <v>8018</v>
      </c>
      <c r="AH287" s="453" t="s">
        <v>8023</v>
      </c>
      <c r="AI287" s="453" t="s">
        <v>330</v>
      </c>
      <c r="AJ287" s="453" t="s">
        <v>8031</v>
      </c>
      <c r="AK287" s="453" t="s">
        <v>8037</v>
      </c>
      <c r="AL287" s="453" t="s">
        <v>8041</v>
      </c>
      <c r="AM287" s="453" t="s">
        <v>343</v>
      </c>
      <c r="AN287" s="457" t="s">
        <v>8115</v>
      </c>
      <c r="AO287" s="457" t="s">
        <v>8116</v>
      </c>
      <c r="AP287" s="656" t="s">
        <v>8117</v>
      </c>
      <c r="AQ287" s="656"/>
      <c r="AR287" s="656"/>
      <c r="AS287" s="656"/>
      <c r="AT287" s="656"/>
      <c r="AU287" s="657"/>
      <c r="AZ287" s="32" t="s">
        <v>307</v>
      </c>
      <c r="BA287" s="34" t="s">
        <v>6127</v>
      </c>
      <c r="BB287" s="499"/>
      <c r="BC287" s="271"/>
      <c r="BD287" s="279">
        <v>1</v>
      </c>
      <c r="BE287" s="271"/>
      <c r="BF287" s="271"/>
      <c r="BG287" s="271"/>
      <c r="BH287" s="271"/>
      <c r="BI287" s="271"/>
      <c r="BJ287" s="271"/>
      <c r="BK287" s="271"/>
      <c r="BL287" s="271"/>
    </row>
    <row r="288" spans="18:64" ht="30" customHeight="1" x14ac:dyDescent="0.25">
      <c r="R288" s="34" t="s">
        <v>474</v>
      </c>
      <c r="S288" s="451"/>
      <c r="T288" s="31" t="s">
        <v>28</v>
      </c>
      <c r="V288" s="459">
        <v>7</v>
      </c>
      <c r="W288" s="460" t="s">
        <v>154</v>
      </c>
      <c r="X288" s="461" t="s">
        <v>365</v>
      </c>
      <c r="Y288" s="462">
        <v>34</v>
      </c>
      <c r="Z288" s="463">
        <v>100</v>
      </c>
      <c r="AA288" s="464">
        <f>IF($AC$396="","",ROW($A$396)-ROW($A$396))</f>
        <v>0</v>
      </c>
      <c r="AB288" s="461"/>
      <c r="AC288" s="465" t="s">
        <v>109</v>
      </c>
      <c r="AD288" s="390"/>
      <c r="AE288" s="390">
        <v>10</v>
      </c>
      <c r="AF288" s="466" t="s">
        <v>7</v>
      </c>
      <c r="AG288" s="467">
        <f t="shared" ref="AG288:AG322" si="76">IF($AC288="","",IF(LEN($AN288&amp;"")=0,"",$AN288))</f>
        <v>10</v>
      </c>
      <c r="AH288" s="468" t="str">
        <f t="shared" ref="AH288:AH322" si="77">IF($AC288="","",IF($AF288&lt;&gt;"",UPPER(TRIM(SUBSTITUTE(SUBSTITUTE($AF288&amp;"",CHAR(160)," ")," "," "))),$AP288))</f>
        <v>KG</v>
      </c>
      <c r="AI288" s="469" t="str">
        <f>IF($AC$288="","",IFERROR(INDEX($AZ$74:$AZ$119,MATCH($AH$288,$AY$74:$AY$119,0)),"AUTRE"))</f>
        <v>MASSE</v>
      </c>
      <c r="AJ288" s="470">
        <f>IF($AC$288="","",IFERROR(INDEX($BA$74:$BA$119,MATCH($AH$288,$AY$74:$AY$119,0)),1))</f>
        <v>1</v>
      </c>
      <c r="AK288" s="470">
        <f t="shared" si="66"/>
        <v>10</v>
      </c>
      <c r="AL288" s="469" t="str">
        <f>IF($AC$288="","",IFERROR(INDEX($BB$74:$BB$119,MATCH($AH$288,$AY$74:$AY$119,0)),$AH$288))</f>
        <v>kg</v>
      </c>
      <c r="AM288" s="471" t="str">
        <f t="shared" ref="AM288:AM322" si="78">IF($AC288="","",IF($AH288="QT. SUFFISANTE","OK",IF($AG288="","TEXTE",IF(NOT(ISNUMBER($AG288)),"QUANTITÉ À CONTRÔLER",IF(COUNTIF($AY$74:$AY$119,$AH288)=0,"UNITÉ À CONTRÔLER","OK")))))</f>
        <v>OK</v>
      </c>
      <c r="AN288" s="474">
        <f t="shared" ref="AN288:AN322" si="79">IF($AE288&lt;&gt;"",$AE288,IF($AD288="","",IF(ISNUMBER($AD288),$AD288,IF($AO288="QT",0,IF($AO288="","",IFERROR(IF(ISNUMBER(SEARCH("/",$AO288)),VALUE(TRIM(LEFT($AO288,SEARCH("/",$AO288)-1)))/VALUE(TRIM(MID($AO288,SEARCH("/",$AO288)+1,99))),VALUE(SUBSTITUTE($AO288,".",","))),""))))))</f>
        <v>10</v>
      </c>
      <c r="AO288" s="473" t="str">
        <f t="shared" ref="AO288:AO322" si="80">IF($AD288="","",IF(ISNUMBER($AD288),$AD288,IF(OR(LEFT($AQ288,3)="QT.",LEFT($AQ288,4)="QUAN"),"QT",IF($AR288=999,$AQ288,TRIM(LEFT($AQ288,$AR288-1))))))</f>
        <v/>
      </c>
      <c r="AP288" s="473" t="str">
        <f t="shared" ref="AP288:AP322" si="81">IF($AD288="","",IF(ISNUMBER($AD288),"",IF(OR(LEFT($AQ288,3)="QT.",LEFT($AQ288,4)="QUAN"),"QT. SUFFISANTE",IF($AO288="","",TRIM(MID($AQ288,LEN($AO288&amp;"")+1,999))))))</f>
        <v/>
      </c>
      <c r="AQ288" s="473" t="str">
        <f t="shared" ref="AQ288:AQ322" si="82">IF($AD288="","",UPPER(TRIM(SUBSTITUTE(SUBSTITUTE($AD288&amp;"",CHAR(160)," ")," "," "))))</f>
        <v/>
      </c>
      <c r="AR288" s="473" t="str">
        <f t="shared" ref="AR288:AR322" si="83">IF($AQ288="","",MIN($AS288,$AT288,$AU288))</f>
        <v/>
      </c>
      <c r="AS288" s="473" t="str">
        <f t="shared" ref="AS288:AS322" si="84">IF($AQ288="","",MIN(IFERROR(SEARCH("A",$AQ288),999),IFERROR(SEARCH("B",$AQ288),999),IFERROR(SEARCH("C",$AQ288),999),IFERROR(SEARCH("D",$AQ288),999),IFERROR(SEARCH("E",$AQ288),999),IFERROR(SEARCH("F",$AQ288),999),IFERROR(SEARCH("G",$AQ288),999),IFERROR(SEARCH("H",$AQ288),999),IFERROR(SEARCH("I",$AQ288),999)))</f>
        <v/>
      </c>
      <c r="AT288" s="473" t="str">
        <f t="shared" ref="AT288:AT322" si="85">IF($AQ288="","",MIN(IFERROR(SEARCH("J",$AQ288),999),IFERROR(SEARCH("K",$AQ288),999),IFERROR(SEARCH("L",$AQ288),999),IFERROR(SEARCH("M",$AQ288),999),IFERROR(SEARCH("N",$AQ288),999),IFERROR(SEARCH("O",$AQ288),999),IFERROR(SEARCH("P",$AQ288),999),IFERROR(SEARCH("Q",$AQ288),999),IFERROR(SEARCH("R",$AQ288),999)))</f>
        <v/>
      </c>
      <c r="AU288" s="473" t="str">
        <f t="shared" ref="AU288:AU322" si="86">IF($AQ288="","",MIN(IFERROR(SEARCH("S",$AQ288),999),IFERROR(SEARCH("T",$AQ288),999),IFERROR(SEARCH("U",$AQ288),999),IFERROR(SEARCH("V",$AQ288),999),IFERROR(SEARCH("W",$AQ288),999),IFERROR(SEARCH("X",$AQ288),999),IFERROR(SEARCH("Y",$AQ288),999),IFERROR(SEARCH("Z",$AQ288),999)))</f>
        <v/>
      </c>
      <c r="AZ288" s="32" t="s">
        <v>322</v>
      </c>
      <c r="BA288" s="25" t="s">
        <v>6128</v>
      </c>
      <c r="BB288" s="499"/>
      <c r="BC288" s="271"/>
      <c r="BD288" s="279">
        <v>1</v>
      </c>
      <c r="BE288" s="271"/>
      <c r="BF288" s="271"/>
      <c r="BG288" s="271"/>
      <c r="BH288" s="271"/>
      <c r="BI288" s="271"/>
      <c r="BJ288" s="271"/>
      <c r="BK288" s="271"/>
      <c r="BL288" s="271"/>
    </row>
    <row r="289" spans="18:64" ht="21" customHeight="1" x14ac:dyDescent="0.25">
      <c r="R289" s="34" t="s">
        <v>490</v>
      </c>
      <c r="S289" s="451"/>
      <c r="T289" s="31" t="s">
        <v>29</v>
      </c>
      <c r="V289" s="475">
        <f>$V$288</f>
        <v>7</v>
      </c>
      <c r="W289" s="475" t="str">
        <f>IF($AC$289="","",$W$288)</f>
        <v>N° 17</v>
      </c>
      <c r="X289" s="476" t="str">
        <f>IF($AC$289="","",$X$288)</f>
        <v>CONCOMBRE AU YAOURT (TZATZIKI)*</v>
      </c>
      <c r="Y289" s="477">
        <f>IF($X$289="","",$Y$288)</f>
        <v>34</v>
      </c>
      <c r="Z289" s="477">
        <f>IF($X$289="","",$Z$288)</f>
        <v>100</v>
      </c>
      <c r="AA289" s="477">
        <f>IF($AC$289="","",ROW($A$289)-ROW($A$288))</f>
        <v>1</v>
      </c>
      <c r="AB289" s="478"/>
      <c r="AC289" s="34" t="s">
        <v>155</v>
      </c>
      <c r="AD289" s="356"/>
      <c r="AE289" s="479">
        <v>1</v>
      </c>
      <c r="AF289" s="466" t="s">
        <v>7</v>
      </c>
      <c r="AG289" s="480">
        <f t="shared" si="76"/>
        <v>1</v>
      </c>
      <c r="AH289" s="481" t="str">
        <f t="shared" si="77"/>
        <v>KG</v>
      </c>
      <c r="AI289" s="477" t="str">
        <f>IF($AC$289="","",IFERROR(INDEX($AZ$74:$AZ$119,MATCH($AH$289,$AY$74:$AY$119,0)),"AUTRE"))</f>
        <v>MASSE</v>
      </c>
      <c r="AJ289" s="482">
        <f>IF($AC$289="","",IFERROR(INDEX($BA$74:$BA$119,MATCH($AH$289,$AY$74:$AY$119,0)),1))</f>
        <v>1</v>
      </c>
      <c r="AK289" s="482">
        <f t="shared" si="66"/>
        <v>1</v>
      </c>
      <c r="AL289" s="477" t="str">
        <f>IF($AC$289="","",IFERROR(INDEX($BB$74:$BB$119,MATCH($AH$289,$AY$74:$AY$119,0)),$AH$289))</f>
        <v>kg</v>
      </c>
      <c r="AM289" s="483" t="str">
        <f t="shared" si="78"/>
        <v>OK</v>
      </c>
      <c r="AN289" s="484">
        <f t="shared" si="79"/>
        <v>1</v>
      </c>
      <c r="AO289" s="473" t="str">
        <f t="shared" si="80"/>
        <v/>
      </c>
      <c r="AP289" s="473" t="str">
        <f t="shared" si="81"/>
        <v/>
      </c>
      <c r="AQ289" s="473" t="str">
        <f t="shared" si="82"/>
        <v/>
      </c>
      <c r="AR289" s="473" t="str">
        <f t="shared" si="83"/>
        <v/>
      </c>
      <c r="AS289" s="473" t="str">
        <f t="shared" si="84"/>
        <v/>
      </c>
      <c r="AT289" s="473" t="str">
        <f t="shared" si="85"/>
        <v/>
      </c>
      <c r="AU289" s="473" t="str">
        <f t="shared" si="86"/>
        <v/>
      </c>
      <c r="AZ289" s="32" t="s">
        <v>305</v>
      </c>
      <c r="BA289" s="34" t="s">
        <v>474</v>
      </c>
      <c r="BB289" s="499"/>
      <c r="BC289" s="271"/>
      <c r="BD289" s="279">
        <v>1</v>
      </c>
      <c r="BE289" s="271"/>
      <c r="BF289" s="271"/>
      <c r="BG289" s="271"/>
      <c r="BH289" s="271"/>
      <c r="BI289" s="271"/>
      <c r="BJ289" s="271"/>
      <c r="BK289" s="271"/>
      <c r="BL289" s="271"/>
    </row>
    <row r="290" spans="18:64" ht="21" customHeight="1" x14ac:dyDescent="0.25">
      <c r="R290" s="34" t="s">
        <v>6129</v>
      </c>
      <c r="S290" s="451"/>
      <c r="T290" s="31" t="s">
        <v>30</v>
      </c>
      <c r="V290" s="475">
        <v>7</v>
      </c>
      <c r="W290" s="475" t="str">
        <f>IF($AC$290="","",$W$288)</f>
        <v>N° 17</v>
      </c>
      <c r="X290" s="476" t="str">
        <f>IF($AC$290="","",$X$288)</f>
        <v>CONCOMBRE AU YAOURT (TZATZIKI)*</v>
      </c>
      <c r="Y290" s="477">
        <f>IF($X$290="","",$Y$288)</f>
        <v>34</v>
      </c>
      <c r="Z290" s="477">
        <f>IF($X$290="","",$Z$288)</f>
        <v>100</v>
      </c>
      <c r="AA290" s="477">
        <f>IF($AC$290="","",ROW($A$290)-ROW($A$288))</f>
        <v>2</v>
      </c>
      <c r="AB290" s="478"/>
      <c r="AC290" s="34" t="s">
        <v>41</v>
      </c>
      <c r="AD290" s="356"/>
      <c r="AE290" s="479">
        <v>75</v>
      </c>
      <c r="AF290" s="27" t="s">
        <v>8</v>
      </c>
      <c r="AG290" s="480">
        <f t="shared" si="76"/>
        <v>75</v>
      </c>
      <c r="AH290" s="481" t="str">
        <f t="shared" si="77"/>
        <v>G</v>
      </c>
      <c r="AI290" s="477" t="str">
        <f>IF($AC$290="","",IFERROR(INDEX($AZ$74:$AZ$119,MATCH($AH$290,$AY$74:$AY$119,0)),"AUTRE"))</f>
        <v>MASSE</v>
      </c>
      <c r="AJ290" s="482">
        <f>IF($AC$290="","",IFERROR(INDEX($BA$74:$BA$119,MATCH($AH$290,$AY$74:$AY$119,0)),1))</f>
        <v>1E-3</v>
      </c>
      <c r="AK290" s="482">
        <f t="shared" si="66"/>
        <v>7.4999999999999997E-2</v>
      </c>
      <c r="AL290" s="477" t="str">
        <f>IF($AC$290="","",IFERROR(INDEX($BB$74:$BB$119,MATCH($AH$290,$AY$74:$AY$119,0)),$AH$290))</f>
        <v>kg</v>
      </c>
      <c r="AM290" s="483" t="str">
        <f t="shared" si="78"/>
        <v>OK</v>
      </c>
      <c r="AN290" s="484">
        <f t="shared" si="79"/>
        <v>75</v>
      </c>
      <c r="AO290" s="473" t="str">
        <f t="shared" si="80"/>
        <v/>
      </c>
      <c r="AP290" s="473" t="str">
        <f t="shared" si="81"/>
        <v/>
      </c>
      <c r="AQ290" s="473" t="str">
        <f t="shared" si="82"/>
        <v/>
      </c>
      <c r="AR290" s="473" t="str">
        <f t="shared" si="83"/>
        <v/>
      </c>
      <c r="AS290" s="473" t="str">
        <f t="shared" si="84"/>
        <v/>
      </c>
      <c r="AT290" s="473" t="str">
        <f t="shared" si="85"/>
        <v/>
      </c>
      <c r="AU290" s="473" t="str">
        <f t="shared" si="86"/>
        <v/>
      </c>
      <c r="AZ290" s="32" t="s">
        <v>8129</v>
      </c>
      <c r="BA290" s="34" t="s">
        <v>490</v>
      </c>
      <c r="BB290" s="499"/>
      <c r="BC290" s="271"/>
      <c r="BD290" s="279">
        <v>1</v>
      </c>
      <c r="BE290" s="271"/>
      <c r="BF290" s="271"/>
      <c r="BG290" s="271"/>
      <c r="BH290" s="271"/>
      <c r="BI290" s="271"/>
      <c r="BJ290" s="271"/>
      <c r="BK290" s="271"/>
      <c r="BL290" s="271"/>
    </row>
    <row r="291" spans="18:64" ht="21" customHeight="1" x14ac:dyDescent="0.25">
      <c r="R291" s="34" t="s">
        <v>478</v>
      </c>
      <c r="S291" s="451"/>
      <c r="T291" s="31" t="s">
        <v>31</v>
      </c>
      <c r="V291" s="475">
        <v>7</v>
      </c>
      <c r="W291" s="475" t="str">
        <f>IF($AC$291="","",$W$288)</f>
        <v>N° 17</v>
      </c>
      <c r="X291" s="476" t="str">
        <f>IF($AC$291="","",$X$288)</f>
        <v>CONCOMBRE AU YAOURT (TZATZIKI)*</v>
      </c>
      <c r="Y291" s="477">
        <f>IF($X$291="","",$Y$288)</f>
        <v>34</v>
      </c>
      <c r="Z291" s="477">
        <f>IF($X$291="","",$Z$288)</f>
        <v>100</v>
      </c>
      <c r="AA291" s="477">
        <f>IF($AC$291="","",ROW($A$291)-ROW($A$288))</f>
        <v>3</v>
      </c>
      <c r="AB291" s="478"/>
      <c r="AC291" s="34" t="s">
        <v>156</v>
      </c>
      <c r="AD291" s="356"/>
      <c r="AE291" s="479">
        <v>50</v>
      </c>
      <c r="AF291" s="32" t="s">
        <v>311</v>
      </c>
      <c r="AG291" s="480">
        <f t="shared" si="76"/>
        <v>50</v>
      </c>
      <c r="AH291" s="481" t="str">
        <f t="shared" si="77"/>
        <v>UNITÉ(S)</v>
      </c>
      <c r="AI291" s="477" t="str">
        <f>IF($AC$291="","",IFERROR(INDEX($AZ$74:$AZ$119,MATCH($AH$291,$AY$74:$AY$119,0)),"AUTRE"))</f>
        <v>AUTRE</v>
      </c>
      <c r="AJ291" s="482">
        <f>IF($AC$291="","",IFERROR(INDEX($BA$74:$BA$119,MATCH($AH$291,$AY$74:$AY$119,0)),1))</f>
        <v>1</v>
      </c>
      <c r="AK291" s="482">
        <f t="shared" si="66"/>
        <v>50</v>
      </c>
      <c r="AL291" s="477" t="str">
        <f>IF($AC$291="","",IFERROR(INDEX($BB$74:$BB$119,MATCH($AH$291,$AY$74:$AY$119,0)),$AH$291))</f>
        <v>unité(s)</v>
      </c>
      <c r="AM291" s="483" t="str">
        <f t="shared" si="78"/>
        <v>OK</v>
      </c>
      <c r="AN291" s="484">
        <f t="shared" si="79"/>
        <v>50</v>
      </c>
      <c r="AO291" s="473" t="str">
        <f t="shared" si="80"/>
        <v/>
      </c>
      <c r="AP291" s="473" t="str">
        <f t="shared" si="81"/>
        <v/>
      </c>
      <c r="AQ291" s="473" t="str">
        <f t="shared" si="82"/>
        <v/>
      </c>
      <c r="AR291" s="473" t="str">
        <f t="shared" si="83"/>
        <v/>
      </c>
      <c r="AS291" s="473" t="str">
        <f t="shared" si="84"/>
        <v/>
      </c>
      <c r="AT291" s="473" t="str">
        <f t="shared" si="85"/>
        <v/>
      </c>
      <c r="AU291" s="473" t="str">
        <f t="shared" si="86"/>
        <v/>
      </c>
      <c r="AZ291" s="32" t="s">
        <v>8131</v>
      </c>
      <c r="BA291" s="34" t="s">
        <v>6129</v>
      </c>
      <c r="BB291" s="499"/>
      <c r="BC291" s="271"/>
      <c r="BD291" s="279">
        <v>1</v>
      </c>
      <c r="BE291" s="271"/>
      <c r="BF291" s="271"/>
      <c r="BG291" s="271"/>
      <c r="BH291" s="271"/>
      <c r="BI291" s="271"/>
      <c r="BJ291" s="271"/>
      <c r="BK291" s="271"/>
      <c r="BL291" s="271"/>
    </row>
    <row r="292" spans="18:64" ht="21" customHeight="1" x14ac:dyDescent="0.25">
      <c r="R292" s="34" t="s">
        <v>6130</v>
      </c>
      <c r="S292" s="451"/>
      <c r="T292" s="32" t="s">
        <v>33</v>
      </c>
      <c r="V292" s="475">
        <v>7</v>
      </c>
      <c r="W292" s="475" t="str">
        <f>IF($AC$292="","",$W$288)</f>
        <v>N° 17</v>
      </c>
      <c r="X292" s="476" t="str">
        <f>IF($AC$292="","",$X$288)</f>
        <v>CONCOMBRE AU YAOURT (TZATZIKI)*</v>
      </c>
      <c r="Y292" s="477">
        <f>IF($X$292="","",$Y$288)</f>
        <v>34</v>
      </c>
      <c r="Z292" s="477">
        <f>IF($X$292="","",$Z$288)</f>
        <v>100</v>
      </c>
      <c r="AA292" s="477">
        <f>IF($AC$292="","",ROW($A$292)-ROW($A$288))</f>
        <v>4</v>
      </c>
      <c r="AB292" s="478"/>
      <c r="AC292" s="34" t="s">
        <v>157</v>
      </c>
      <c r="AD292" s="356"/>
      <c r="AE292" s="479">
        <v>1</v>
      </c>
      <c r="AF292" s="31" t="s">
        <v>17</v>
      </c>
      <c r="AG292" s="480">
        <f t="shared" si="76"/>
        <v>1</v>
      </c>
      <c r="AH292" s="481" t="str">
        <f t="shared" si="77"/>
        <v>QUART/L</v>
      </c>
      <c r="AI292" s="477" t="str">
        <f>IF($AC$292="","",IFERROR(INDEX($AZ$74:$AZ$119,MATCH($AH$292,$AY$74:$AY$119,0)),"AUTRE"))</f>
        <v>VOLUME</v>
      </c>
      <c r="AJ292" s="482">
        <f>IF($AC$292="","",IFERROR(INDEX($BA$74:$BA$119,MATCH($AH$292,$AY$74:$AY$119,0)),1))</f>
        <v>0.25</v>
      </c>
      <c r="AK292" s="482">
        <f t="shared" si="66"/>
        <v>0.25</v>
      </c>
      <c r="AL292" s="477" t="str">
        <f>IF($AC$292="","",IFERROR(INDEX($BB$74:$BB$119,MATCH($AH$292,$AY$74:$AY$119,0)),$AH$292))</f>
        <v>L</v>
      </c>
      <c r="AM292" s="483" t="str">
        <f t="shared" si="78"/>
        <v>OK</v>
      </c>
      <c r="AN292" s="484">
        <f t="shared" si="79"/>
        <v>1</v>
      </c>
      <c r="AO292" s="473" t="str">
        <f t="shared" si="80"/>
        <v/>
      </c>
      <c r="AP292" s="473" t="str">
        <f t="shared" si="81"/>
        <v/>
      </c>
      <c r="AQ292" s="473" t="str">
        <f t="shared" si="82"/>
        <v/>
      </c>
      <c r="AR292" s="473" t="str">
        <f t="shared" si="83"/>
        <v/>
      </c>
      <c r="AS292" s="473" t="str">
        <f t="shared" si="84"/>
        <v/>
      </c>
      <c r="AT292" s="473" t="str">
        <f t="shared" si="85"/>
        <v/>
      </c>
      <c r="AU292" s="473" t="str">
        <f t="shared" si="86"/>
        <v/>
      </c>
      <c r="AZ292" s="32" t="s">
        <v>309</v>
      </c>
      <c r="BA292" s="34" t="s">
        <v>478</v>
      </c>
      <c r="BB292" s="499"/>
      <c r="BC292" s="271"/>
      <c r="BD292" s="279">
        <v>1</v>
      </c>
      <c r="BE292" s="271"/>
      <c r="BF292" s="271"/>
      <c r="BG292" s="271"/>
      <c r="BH292" s="271"/>
      <c r="BI292" s="271"/>
      <c r="BJ292" s="271"/>
      <c r="BK292" s="271"/>
      <c r="BL292" s="271"/>
    </row>
    <row r="293" spans="18:64" ht="21" customHeight="1" x14ac:dyDescent="0.25">
      <c r="R293" s="34" t="s">
        <v>486</v>
      </c>
      <c r="S293" s="451"/>
      <c r="T293" s="32" t="s">
        <v>8125</v>
      </c>
      <c r="V293" s="475">
        <v>7</v>
      </c>
      <c r="W293" s="475" t="str">
        <f>IF($AC$293="","",$W$288)</f>
        <v>N° 17</v>
      </c>
      <c r="X293" s="476" t="str">
        <f>IF($AC$293="","",$X$288)</f>
        <v>CONCOMBRE AU YAOURT (TZATZIKI)*</v>
      </c>
      <c r="Y293" s="477">
        <f>IF($X$293="","",$Y$288)</f>
        <v>34</v>
      </c>
      <c r="Z293" s="477">
        <f>IF($X$293="","",$Z$288)</f>
        <v>100</v>
      </c>
      <c r="AA293" s="477">
        <f>IF($AC$293="","",ROW($A$293)-ROW($A$288))</f>
        <v>5</v>
      </c>
      <c r="AB293" s="478"/>
      <c r="AC293" s="34" t="s">
        <v>42</v>
      </c>
      <c r="AD293" s="356"/>
      <c r="AE293" s="479">
        <v>0.125</v>
      </c>
      <c r="AF293" s="29" t="s">
        <v>9</v>
      </c>
      <c r="AG293" s="480">
        <f t="shared" si="76"/>
        <v>0.125</v>
      </c>
      <c r="AH293" s="481" t="str">
        <f t="shared" si="77"/>
        <v>L</v>
      </c>
      <c r="AI293" s="477" t="str">
        <f>IF($AC$293="","",IFERROR(INDEX($AZ$74:$AZ$119,MATCH($AH$293,$AY$74:$AY$119,0)),"AUTRE"))</f>
        <v>VOLUME</v>
      </c>
      <c r="AJ293" s="482">
        <f>IF($AC$293="","",IFERROR(INDEX($BA$74:$BA$119,MATCH($AH$293,$AY$74:$AY$119,0)),1))</f>
        <v>1</v>
      </c>
      <c r="AK293" s="482">
        <f t="shared" si="66"/>
        <v>0.125</v>
      </c>
      <c r="AL293" s="477" t="str">
        <f>IF($AC$293="","",IFERROR(INDEX($BB$74:$BB$119,MATCH($AH$293,$AY$74:$AY$119,0)),$AH$293))</f>
        <v>L</v>
      </c>
      <c r="AM293" s="483" t="str">
        <f t="shared" si="78"/>
        <v>OK</v>
      </c>
      <c r="AN293" s="484">
        <f t="shared" si="79"/>
        <v>0.125</v>
      </c>
      <c r="AO293" s="473" t="str">
        <f t="shared" si="80"/>
        <v/>
      </c>
      <c r="AP293" s="473" t="str">
        <f t="shared" si="81"/>
        <v/>
      </c>
      <c r="AQ293" s="473" t="str">
        <f t="shared" si="82"/>
        <v/>
      </c>
      <c r="AR293" s="473" t="str">
        <f t="shared" si="83"/>
        <v/>
      </c>
      <c r="AS293" s="473" t="str">
        <f t="shared" si="84"/>
        <v/>
      </c>
      <c r="AT293" s="473" t="str">
        <f t="shared" si="85"/>
        <v/>
      </c>
      <c r="AU293" s="473" t="str">
        <f t="shared" si="86"/>
        <v/>
      </c>
      <c r="AZ293" s="32" t="s">
        <v>311</v>
      </c>
      <c r="BA293" s="34" t="s">
        <v>6130</v>
      </c>
      <c r="BB293" s="499"/>
      <c r="BC293" s="271"/>
      <c r="BD293" s="279">
        <v>1</v>
      </c>
      <c r="BE293" s="271"/>
      <c r="BF293" s="271"/>
      <c r="BG293" s="271"/>
      <c r="BH293" s="271"/>
      <c r="BI293" s="271"/>
      <c r="BJ293" s="271"/>
      <c r="BK293" s="271"/>
      <c r="BL293" s="271"/>
    </row>
    <row r="294" spans="18:64" ht="21" customHeight="1" x14ac:dyDescent="0.25">
      <c r="R294" s="34" t="s">
        <v>479</v>
      </c>
      <c r="S294" s="451"/>
      <c r="T294" s="32" t="s">
        <v>8127</v>
      </c>
      <c r="V294" s="475">
        <v>7</v>
      </c>
      <c r="W294" s="475" t="str">
        <f>IF($AC$294="","",$W$288)</f>
        <v>N° 17</v>
      </c>
      <c r="X294" s="476" t="str">
        <f>IF($AC$294="","",$X$288)</f>
        <v>CONCOMBRE AU YAOURT (TZATZIKI)*</v>
      </c>
      <c r="Y294" s="477">
        <f>IF($X$294="","",$Y$288)</f>
        <v>34</v>
      </c>
      <c r="Z294" s="477">
        <f>IF($X$294="","",$Z$288)</f>
        <v>100</v>
      </c>
      <c r="AA294" s="477">
        <f>IF($AC$294="","",ROW($A$294)-ROW($A$288))</f>
        <v>6</v>
      </c>
      <c r="AB294" s="478"/>
      <c r="AC294" s="34" t="s">
        <v>133</v>
      </c>
      <c r="AD294" s="356"/>
      <c r="AE294" s="479">
        <v>1</v>
      </c>
      <c r="AF294" s="32" t="s">
        <v>315</v>
      </c>
      <c r="AG294" s="480">
        <f t="shared" si="76"/>
        <v>1</v>
      </c>
      <c r="AH294" s="481" t="str">
        <f t="shared" si="77"/>
        <v>BOTTE(S)</v>
      </c>
      <c r="AI294" s="477" t="str">
        <f>IF($AC$294="","",IFERROR(INDEX($AZ$74:$AZ$119,MATCH($AH$294,$AY$74:$AY$119,0)),"AUTRE"))</f>
        <v>AUTRE</v>
      </c>
      <c r="AJ294" s="482">
        <f>IF($AC$294="","",IFERROR(INDEX($BA$74:$BA$119,MATCH($AH$294,$AY$74:$AY$119,0)),1))</f>
        <v>1</v>
      </c>
      <c r="AK294" s="482">
        <f t="shared" si="66"/>
        <v>1</v>
      </c>
      <c r="AL294" s="477" t="str">
        <f>IF($AC$294="","",IFERROR(INDEX($BB$74:$BB$119,MATCH($AH$294,$AY$74:$AY$119,0)),$AH$294))</f>
        <v>BOTTE(S)</v>
      </c>
      <c r="AM294" s="483" t="str">
        <f t="shared" si="78"/>
        <v>UNITÉ À CONTRÔLER</v>
      </c>
      <c r="AN294" s="484">
        <f t="shared" si="79"/>
        <v>1</v>
      </c>
      <c r="AO294" s="473" t="str">
        <f t="shared" si="80"/>
        <v/>
      </c>
      <c r="AP294" s="473" t="str">
        <f t="shared" si="81"/>
        <v/>
      </c>
      <c r="AQ294" s="473" t="str">
        <f t="shared" si="82"/>
        <v/>
      </c>
      <c r="AR294" s="473" t="str">
        <f t="shared" si="83"/>
        <v/>
      </c>
      <c r="AS294" s="473" t="str">
        <f t="shared" si="84"/>
        <v/>
      </c>
      <c r="AT294" s="473" t="str">
        <f t="shared" si="85"/>
        <v/>
      </c>
      <c r="AU294" s="473" t="str">
        <f t="shared" si="86"/>
        <v/>
      </c>
      <c r="AZ294" s="32" t="s">
        <v>8135</v>
      </c>
      <c r="BA294" s="34" t="s">
        <v>486</v>
      </c>
      <c r="BB294" s="499"/>
      <c r="BC294" s="271"/>
      <c r="BD294" s="279">
        <v>1</v>
      </c>
      <c r="BE294" s="271"/>
      <c r="BF294" s="271"/>
      <c r="BG294" s="271"/>
      <c r="BH294" s="271"/>
      <c r="BI294" s="271"/>
      <c r="BJ294" s="271"/>
      <c r="BK294" s="271"/>
      <c r="BL294" s="271"/>
    </row>
    <row r="295" spans="18:64" ht="21" customHeight="1" x14ac:dyDescent="0.25">
      <c r="R295" s="34" t="s">
        <v>6131</v>
      </c>
      <c r="S295" s="451"/>
      <c r="T295" s="32" t="s">
        <v>320</v>
      </c>
      <c r="V295" s="475">
        <v>7</v>
      </c>
      <c r="W295" s="475" t="str">
        <f>IF($AC$295="","",$W$288)</f>
        <v>N° 17</v>
      </c>
      <c r="X295" s="476" t="str">
        <f>IF($AC$295="","",$X$288)</f>
        <v>CONCOMBRE AU YAOURT (TZATZIKI)*</v>
      </c>
      <c r="Y295" s="477">
        <f>IF($X$295="","",$Y$288)</f>
        <v>34</v>
      </c>
      <c r="Z295" s="477">
        <f>IF($X$295="","",$Z$288)</f>
        <v>100</v>
      </c>
      <c r="AA295" s="477">
        <f>IF($AC$295="","",ROW($A$295)-ROW($A$288))</f>
        <v>7</v>
      </c>
      <c r="AB295" s="478"/>
      <c r="AC295" s="34" t="s">
        <v>43</v>
      </c>
      <c r="AD295" s="356"/>
      <c r="AE295" s="479">
        <v>30</v>
      </c>
      <c r="AF295" s="27" t="s">
        <v>8</v>
      </c>
      <c r="AG295" s="480">
        <f t="shared" si="76"/>
        <v>30</v>
      </c>
      <c r="AH295" s="481" t="str">
        <f t="shared" si="77"/>
        <v>G</v>
      </c>
      <c r="AI295" s="477" t="str">
        <f>IF($AC$295="","",IFERROR(INDEX($AZ$74:$AZ$119,MATCH($AH$295,$AY$74:$AY$119,0)),"AUTRE"))</f>
        <v>MASSE</v>
      </c>
      <c r="AJ295" s="482">
        <f>IF($AC$295="","",IFERROR(INDEX($BA$74:$BA$119,MATCH($AH$295,$AY$74:$AY$119,0)),1))</f>
        <v>1E-3</v>
      </c>
      <c r="AK295" s="482">
        <f t="shared" si="66"/>
        <v>0.03</v>
      </c>
      <c r="AL295" s="477" t="str">
        <f>IF($AC$295="","",IFERROR(INDEX($BB$74:$BB$119,MATCH($AH$295,$AY$74:$AY$119,0)),$AH$295))</f>
        <v>kg</v>
      </c>
      <c r="AM295" s="483" t="str">
        <f t="shared" si="78"/>
        <v>OK</v>
      </c>
      <c r="AN295" s="484">
        <f t="shared" si="79"/>
        <v>30</v>
      </c>
      <c r="AO295" s="473" t="str">
        <f t="shared" si="80"/>
        <v/>
      </c>
      <c r="AP295" s="473" t="str">
        <f t="shared" si="81"/>
        <v/>
      </c>
      <c r="AQ295" s="473" t="str">
        <f t="shared" si="82"/>
        <v/>
      </c>
      <c r="AR295" s="473" t="str">
        <f t="shared" si="83"/>
        <v/>
      </c>
      <c r="AS295" s="473" t="str">
        <f t="shared" si="84"/>
        <v/>
      </c>
      <c r="AT295" s="473" t="str">
        <f t="shared" si="85"/>
        <v/>
      </c>
      <c r="AU295" s="473" t="str">
        <f t="shared" si="86"/>
        <v/>
      </c>
      <c r="AZ295" s="32" t="s">
        <v>8137</v>
      </c>
      <c r="BA295" s="34" t="s">
        <v>479</v>
      </c>
      <c r="BB295" s="499"/>
      <c r="BC295" s="271"/>
      <c r="BD295" s="279">
        <v>1</v>
      </c>
      <c r="BE295" s="271"/>
      <c r="BF295" s="271"/>
      <c r="BG295" s="271"/>
      <c r="BH295" s="271"/>
      <c r="BI295" s="271"/>
      <c r="BJ295" s="271"/>
      <c r="BK295" s="271"/>
      <c r="BL295" s="271"/>
    </row>
    <row r="296" spans="18:64" ht="21" customHeight="1" x14ac:dyDescent="0.25">
      <c r="R296" s="34" t="s">
        <v>485</v>
      </c>
      <c r="S296" s="451"/>
      <c r="T296" s="32" t="s">
        <v>318</v>
      </c>
      <c r="V296" s="475">
        <v>7</v>
      </c>
      <c r="W296" s="475" t="str">
        <f>IF($AC$296="","",$W$288)</f>
        <v>N° 17</v>
      </c>
      <c r="X296" s="476" t="str">
        <f>IF($AC$296="","",$X$288)</f>
        <v>CONCOMBRE AU YAOURT (TZATZIKI)*</v>
      </c>
      <c r="Y296" s="477">
        <f>IF($X$296="","",$Y$288)</f>
        <v>34</v>
      </c>
      <c r="Z296" s="477">
        <f>IF($X$296="","",$Z$288)</f>
        <v>100</v>
      </c>
      <c r="AA296" s="477">
        <f>IF($AC$296="","",ROW($A$296)-ROW($A$288))</f>
        <v>8</v>
      </c>
      <c r="AB296" s="478"/>
      <c r="AC296" s="34" t="s">
        <v>68</v>
      </c>
      <c r="AD296" s="356"/>
      <c r="AE296" s="479">
        <v>10</v>
      </c>
      <c r="AF296" s="27" t="s">
        <v>8</v>
      </c>
      <c r="AG296" s="480">
        <f t="shared" si="76"/>
        <v>10</v>
      </c>
      <c r="AH296" s="481" t="str">
        <f t="shared" si="77"/>
        <v>G</v>
      </c>
      <c r="AI296" s="477" t="str">
        <f>IF($AC$296="","",IFERROR(INDEX($AZ$74:$AZ$119,MATCH($AH$296,$AY$74:$AY$119,0)),"AUTRE"))</f>
        <v>MASSE</v>
      </c>
      <c r="AJ296" s="482">
        <f>IF($AC$296="","",IFERROR(INDEX($BA$74:$BA$119,MATCH($AH$296,$AY$74:$AY$119,0)),1))</f>
        <v>1E-3</v>
      </c>
      <c r="AK296" s="482">
        <f t="shared" si="66"/>
        <v>0.01</v>
      </c>
      <c r="AL296" s="477" t="str">
        <f>IF($AC$296="","",IFERROR(INDEX($BB$74:$BB$119,MATCH($AH$296,$AY$74:$AY$119,0)),$AH$296))</f>
        <v>kg</v>
      </c>
      <c r="AM296" s="483" t="str">
        <f t="shared" si="78"/>
        <v>OK</v>
      </c>
      <c r="AN296" s="484">
        <f t="shared" si="79"/>
        <v>10</v>
      </c>
      <c r="AO296" s="473" t="str">
        <f t="shared" si="80"/>
        <v/>
      </c>
      <c r="AP296" s="473" t="str">
        <f t="shared" si="81"/>
        <v/>
      </c>
      <c r="AQ296" s="473" t="str">
        <f t="shared" si="82"/>
        <v/>
      </c>
      <c r="AR296" s="473" t="str">
        <f t="shared" si="83"/>
        <v/>
      </c>
      <c r="AS296" s="473" t="str">
        <f t="shared" si="84"/>
        <v/>
      </c>
      <c r="AT296" s="473" t="str">
        <f t="shared" si="85"/>
        <v/>
      </c>
      <c r="AU296" s="473" t="str">
        <f t="shared" si="86"/>
        <v/>
      </c>
      <c r="AZ296" s="32" t="s">
        <v>8139</v>
      </c>
      <c r="BA296" s="34" t="s">
        <v>6131</v>
      </c>
      <c r="BB296" s="499"/>
      <c r="BC296" s="271"/>
      <c r="BD296" s="279">
        <v>1</v>
      </c>
      <c r="BE296" s="271"/>
      <c r="BF296" s="271"/>
      <c r="BG296" s="271"/>
      <c r="BH296" s="271"/>
      <c r="BI296" s="271"/>
      <c r="BJ296" s="271"/>
      <c r="BK296" s="271"/>
      <c r="BL296" s="271"/>
    </row>
    <row r="297" spans="18:64" ht="21" customHeight="1" x14ac:dyDescent="0.25">
      <c r="R297" s="34" t="s">
        <v>6132</v>
      </c>
      <c r="S297" s="451"/>
      <c r="T297" s="32" t="s">
        <v>316</v>
      </c>
      <c r="V297" s="475">
        <v>7</v>
      </c>
      <c r="W297" s="475" t="str">
        <f>IF($AC$297="","",$W$288)</f>
        <v>N° 17</v>
      </c>
      <c r="X297" s="476" t="str">
        <f>IF($AC$297="","",$X$288)</f>
        <v>CONCOMBRE AU YAOURT (TZATZIKI)*</v>
      </c>
      <c r="Y297" s="477">
        <f>IF($X$297="","",$Y$288)</f>
        <v>34</v>
      </c>
      <c r="Z297" s="477">
        <f>IF($X$297="","",$Z$288)</f>
        <v>100</v>
      </c>
      <c r="AA297" s="477">
        <f>IF($AC$297="","",ROW($A$297)-ROW($A$288))</f>
        <v>9</v>
      </c>
      <c r="AB297" s="478"/>
      <c r="AC297" s="34" t="s">
        <v>69</v>
      </c>
      <c r="AD297" s="356"/>
      <c r="AE297" s="479" t="s">
        <v>33</v>
      </c>
      <c r="AF297" s="475"/>
      <c r="AG297" s="480" t="str">
        <f t="shared" si="76"/>
        <v>QT. SUFFISANTE</v>
      </c>
      <c r="AH297" s="481" t="str">
        <f t="shared" si="77"/>
        <v/>
      </c>
      <c r="AI297" s="477" t="str">
        <f>IF($AC$297="","",IFERROR(INDEX($AZ$74:$AZ$119,MATCH($AH$297,$AY$74:$AY$119,0)),"AUTRE"))</f>
        <v>AUTRE</v>
      </c>
      <c r="AJ297" s="482">
        <f>IF($AC$297="","",IFERROR(INDEX($BA$74:$BA$119,MATCH($AH$297,$AY$74:$AY$119,0)),1))</f>
        <v>1</v>
      </c>
      <c r="AK297" s="482" t="e">
        <f t="shared" si="66"/>
        <v>#VALUE!</v>
      </c>
      <c r="AL297" s="477" t="str">
        <f>IF($AC$297="","",IFERROR(INDEX($BB$74:$BB$119,MATCH($AH$297,$AY$74:$AY$119,0)),$AH$297))</f>
        <v/>
      </c>
      <c r="AM297" s="483" t="str">
        <f t="shared" si="78"/>
        <v>QUANTITÉ À CONTRÔLER</v>
      </c>
      <c r="AN297" s="484" t="str">
        <f t="shared" si="79"/>
        <v>QT. SUFFISANTE</v>
      </c>
      <c r="AO297" s="473" t="str">
        <f t="shared" si="80"/>
        <v/>
      </c>
      <c r="AP297" s="473" t="str">
        <f t="shared" si="81"/>
        <v/>
      </c>
      <c r="AQ297" s="473" t="str">
        <f t="shared" si="82"/>
        <v/>
      </c>
      <c r="AR297" s="473" t="str">
        <f t="shared" si="83"/>
        <v/>
      </c>
      <c r="AS297" s="473" t="str">
        <f t="shared" si="84"/>
        <v/>
      </c>
      <c r="AT297" s="473" t="str">
        <f t="shared" si="85"/>
        <v/>
      </c>
      <c r="AU297" s="473" t="str">
        <f t="shared" si="86"/>
        <v/>
      </c>
      <c r="AZ297" s="32" t="s">
        <v>8141</v>
      </c>
      <c r="BA297" s="34" t="s">
        <v>485</v>
      </c>
      <c r="BB297" s="499"/>
      <c r="BC297" s="271"/>
      <c r="BD297" s="279">
        <v>1</v>
      </c>
      <c r="BE297" s="271"/>
      <c r="BF297" s="271"/>
      <c r="BG297" s="271"/>
      <c r="BH297" s="271"/>
      <c r="BI297" s="271"/>
      <c r="BJ297" s="271"/>
      <c r="BK297" s="271"/>
      <c r="BL297" s="271"/>
    </row>
    <row r="298" spans="18:64" ht="21" customHeight="1" x14ac:dyDescent="0.25">
      <c r="R298" s="25" t="s">
        <v>6133</v>
      </c>
      <c r="S298" s="451"/>
      <c r="T298" s="32" t="s">
        <v>313</v>
      </c>
      <c r="V298" s="475">
        <v>7</v>
      </c>
      <c r="W298" s="475" t="str">
        <f>IF($AC$298="","",$W$288)</f>
        <v/>
      </c>
      <c r="X298" s="476" t="str">
        <f>IF($AC$298="","",$X$288)</f>
        <v/>
      </c>
      <c r="Y298" s="477" t="str">
        <f>IF($X$298="","",$Y$288)</f>
        <v/>
      </c>
      <c r="Z298" s="477" t="str">
        <f>IF($X$298="","",$Z$288)</f>
        <v/>
      </c>
      <c r="AA298" s="477" t="str">
        <f>IF($AC$298="","",ROW($A$298)-ROW($A$288))</f>
        <v/>
      </c>
      <c r="AB298" s="478"/>
      <c r="AC298" s="34"/>
      <c r="AD298" s="356"/>
      <c r="AE298" s="479"/>
      <c r="AF298" s="475"/>
      <c r="AG298" s="480" t="str">
        <f t="shared" si="76"/>
        <v/>
      </c>
      <c r="AH298" s="481" t="str">
        <f t="shared" si="77"/>
        <v/>
      </c>
      <c r="AI298" s="477" t="str">
        <f>IF($AC$298="","",IFERROR(INDEX($AZ$74:$AZ$119,MATCH($AH$298,$AY$74:$AY$119,0)),"AUTRE"))</f>
        <v/>
      </c>
      <c r="AJ298" s="482" t="str">
        <f>IF($AC$298="","",IFERROR(INDEX($BA$74:$BA$119,MATCH($AH$298,$AY$74:$AY$119,0)),1))</f>
        <v/>
      </c>
      <c r="AK298" s="482" t="str">
        <f t="shared" si="66"/>
        <v/>
      </c>
      <c r="AL298" s="477" t="str">
        <f>IF($AC$298="","",IFERROR(INDEX($BB$74:$BB$119,MATCH($AH$298,$AY$74:$AY$119,0)),$AH$298))</f>
        <v/>
      </c>
      <c r="AM298" s="483" t="str">
        <f t="shared" si="78"/>
        <v/>
      </c>
      <c r="AN298" s="484" t="str">
        <f t="shared" si="79"/>
        <v/>
      </c>
      <c r="AO298" s="473" t="str">
        <f t="shared" si="80"/>
        <v/>
      </c>
      <c r="AP298" s="473" t="str">
        <f t="shared" si="81"/>
        <v/>
      </c>
      <c r="AQ298" s="473" t="str">
        <f t="shared" si="82"/>
        <v/>
      </c>
      <c r="AR298" s="473" t="str">
        <f t="shared" si="83"/>
        <v/>
      </c>
      <c r="AS298" s="473" t="str">
        <f t="shared" si="84"/>
        <v/>
      </c>
      <c r="AT298" s="473" t="str">
        <f t="shared" si="85"/>
        <v/>
      </c>
      <c r="AU298" s="473" t="str">
        <f t="shared" si="86"/>
        <v/>
      </c>
      <c r="AZ298" s="32" t="s">
        <v>8143</v>
      </c>
      <c r="BA298" s="34" t="s">
        <v>6132</v>
      </c>
      <c r="BB298" s="499"/>
      <c r="BC298" s="271"/>
      <c r="BD298" s="279">
        <v>1</v>
      </c>
      <c r="BE298" s="271"/>
      <c r="BF298" s="271"/>
      <c r="BG298" s="271"/>
      <c r="BH298" s="271"/>
      <c r="BI298" s="271"/>
      <c r="BJ298" s="271"/>
      <c r="BK298" s="271"/>
      <c r="BL298" s="271"/>
    </row>
    <row r="299" spans="18:64" ht="21" customHeight="1" x14ac:dyDescent="0.25">
      <c r="R299" s="34" t="s">
        <v>476</v>
      </c>
      <c r="S299" s="451"/>
      <c r="T299" s="32" t="s">
        <v>307</v>
      </c>
      <c r="V299" s="475">
        <v>7</v>
      </c>
      <c r="W299" s="475" t="str">
        <f>IF($AC$299="","",$W$288)</f>
        <v/>
      </c>
      <c r="X299" s="476" t="str">
        <f>IF($AC$299="","",$X$288)</f>
        <v/>
      </c>
      <c r="Y299" s="477" t="str">
        <f>IF($X$299="","",$Y$288)</f>
        <v/>
      </c>
      <c r="Z299" s="477" t="str">
        <f>IF($X$299="","",$Z$288)</f>
        <v/>
      </c>
      <c r="AA299" s="477" t="str">
        <f>IF($AC$299="","",ROW($A$299)-ROW($A$288))</f>
        <v/>
      </c>
      <c r="AB299" s="478"/>
      <c r="AC299" s="34"/>
      <c r="AD299" s="356"/>
      <c r="AE299" s="479"/>
      <c r="AF299" s="475"/>
      <c r="AG299" s="480" t="str">
        <f t="shared" si="76"/>
        <v/>
      </c>
      <c r="AH299" s="481" t="str">
        <f t="shared" si="77"/>
        <v/>
      </c>
      <c r="AI299" s="477" t="str">
        <f>IF($AC$299="","",IFERROR(INDEX($AZ$74:$AZ$119,MATCH($AH$299,$AY$74:$AY$119,0)),"AUTRE"))</f>
        <v/>
      </c>
      <c r="AJ299" s="482" t="str">
        <f>IF($AC$299="","",IFERROR(INDEX($BA$74:$BA$119,MATCH($AH$299,$AY$74:$AY$119,0)),1))</f>
        <v/>
      </c>
      <c r="AK299" s="482" t="str">
        <f t="shared" si="66"/>
        <v/>
      </c>
      <c r="AL299" s="477" t="str">
        <f>IF($AC$299="","",IFERROR(INDEX($BB$74:$BB$119,MATCH($AH$299,$AY$74:$AY$119,0)),$AH$299))</f>
        <v/>
      </c>
      <c r="AM299" s="483" t="str">
        <f t="shared" si="78"/>
        <v/>
      </c>
      <c r="AN299" s="484" t="str">
        <f t="shared" si="79"/>
        <v/>
      </c>
      <c r="AO299" s="473" t="str">
        <f t="shared" si="80"/>
        <v/>
      </c>
      <c r="AP299" s="473" t="str">
        <f t="shared" si="81"/>
        <v/>
      </c>
      <c r="AQ299" s="473" t="str">
        <f t="shared" si="82"/>
        <v/>
      </c>
      <c r="AR299" s="473" t="str">
        <f t="shared" si="83"/>
        <v/>
      </c>
      <c r="AS299" s="473" t="str">
        <f t="shared" si="84"/>
        <v/>
      </c>
      <c r="AT299" s="473" t="str">
        <f t="shared" si="85"/>
        <v/>
      </c>
      <c r="AU299" s="473" t="str">
        <f t="shared" si="86"/>
        <v/>
      </c>
      <c r="AZ299" s="497" t="s">
        <v>8145</v>
      </c>
      <c r="BA299" s="25" t="s">
        <v>6133</v>
      </c>
      <c r="BB299" s="499"/>
      <c r="BC299" s="271"/>
      <c r="BD299" s="279">
        <v>1</v>
      </c>
      <c r="BE299" s="271"/>
      <c r="BF299" s="271"/>
      <c r="BG299" s="271"/>
      <c r="BH299" s="271"/>
      <c r="BI299" s="271"/>
      <c r="BJ299" s="271"/>
      <c r="BK299" s="271"/>
      <c r="BL299" s="271"/>
    </row>
    <row r="300" spans="18:64" ht="21" customHeight="1" x14ac:dyDescent="0.25">
      <c r="R300" s="34" t="s">
        <v>468</v>
      </c>
      <c r="S300" s="451"/>
      <c r="T300" s="32" t="s">
        <v>322</v>
      </c>
      <c r="V300" s="475">
        <v>7</v>
      </c>
      <c r="W300" s="475" t="str">
        <f>IF($AC$300="","",$W$288)</f>
        <v/>
      </c>
      <c r="X300" s="476" t="str">
        <f>IF($AC$300="","",$X$288)</f>
        <v/>
      </c>
      <c r="Y300" s="477" t="str">
        <f>IF($X$300="","",$Y$288)</f>
        <v/>
      </c>
      <c r="Z300" s="477" t="str">
        <f>IF($X$300="","",$Z$288)</f>
        <v/>
      </c>
      <c r="AA300" s="477" t="str">
        <f>IF($AC$300="","",ROW($A$300)-ROW($A$288))</f>
        <v/>
      </c>
      <c r="AB300" s="478"/>
      <c r="AC300" s="34"/>
      <c r="AD300" s="356"/>
      <c r="AE300" s="479"/>
      <c r="AF300" s="475"/>
      <c r="AG300" s="480" t="str">
        <f t="shared" si="76"/>
        <v/>
      </c>
      <c r="AH300" s="481" t="str">
        <f t="shared" si="77"/>
        <v/>
      </c>
      <c r="AI300" s="477" t="str">
        <f>IF($AC$300="","",IFERROR(INDEX($AZ$74:$AZ$119,MATCH($AH$300,$AY$74:$AY$119,0)),"AUTRE"))</f>
        <v/>
      </c>
      <c r="AJ300" s="482" t="str">
        <f>IF($AC$300="","",IFERROR(INDEX($BA$74:$BA$119,MATCH($AH$300,$AY$74:$AY$119,0)),1))</f>
        <v/>
      </c>
      <c r="AK300" s="482" t="str">
        <f t="shared" si="66"/>
        <v/>
      </c>
      <c r="AL300" s="477" t="str">
        <f>IF($AC$300="","",IFERROR(INDEX($BB$74:$BB$119,MATCH($AH$300,$AY$74:$AY$119,0)),$AH$300))</f>
        <v/>
      </c>
      <c r="AM300" s="483" t="str">
        <f t="shared" si="78"/>
        <v/>
      </c>
      <c r="AN300" s="484" t="str">
        <f t="shared" si="79"/>
        <v/>
      </c>
      <c r="AO300" s="473" t="str">
        <f t="shared" si="80"/>
        <v/>
      </c>
      <c r="AP300" s="473" t="str">
        <f t="shared" si="81"/>
        <v/>
      </c>
      <c r="AQ300" s="473" t="str">
        <f t="shared" si="82"/>
        <v/>
      </c>
      <c r="AR300" s="473" t="str">
        <f t="shared" si="83"/>
        <v/>
      </c>
      <c r="AS300" s="473" t="str">
        <f t="shared" si="84"/>
        <v/>
      </c>
      <c r="AT300" s="473" t="str">
        <f t="shared" si="85"/>
        <v/>
      </c>
      <c r="AU300" s="473" t="str">
        <f t="shared" si="86"/>
        <v/>
      </c>
      <c r="AZ300" s="497" t="s">
        <v>462</v>
      </c>
      <c r="BA300" s="34" t="s">
        <v>476</v>
      </c>
      <c r="BB300" s="499"/>
      <c r="BC300" s="271"/>
      <c r="BD300" s="279">
        <v>1</v>
      </c>
      <c r="BE300" s="271"/>
      <c r="BF300" s="271"/>
      <c r="BG300" s="271"/>
      <c r="BH300" s="271"/>
      <c r="BI300" s="271"/>
      <c r="BJ300" s="271"/>
      <c r="BK300" s="271"/>
      <c r="BL300" s="271"/>
    </row>
    <row r="301" spans="18:64" ht="21" customHeight="1" x14ac:dyDescent="0.25">
      <c r="R301" s="34" t="s">
        <v>473</v>
      </c>
      <c r="S301" s="451"/>
      <c r="T301" s="32" t="s">
        <v>305</v>
      </c>
      <c r="V301" s="475">
        <v>7</v>
      </c>
      <c r="W301" s="475" t="str">
        <f>IF($AC$301="","",$W$288)</f>
        <v/>
      </c>
      <c r="X301" s="476" t="str">
        <f>IF($AC$301="","",$X$288)</f>
        <v/>
      </c>
      <c r="Y301" s="477" t="str">
        <f>IF($X$301="","",$Y$288)</f>
        <v/>
      </c>
      <c r="Z301" s="477" t="str">
        <f>IF($X$301="","",$Z$288)</f>
        <v/>
      </c>
      <c r="AA301" s="477" t="str">
        <f>IF($AC$301="","",ROW($A$301)-ROW($A$288))</f>
        <v/>
      </c>
      <c r="AB301" s="478"/>
      <c r="AC301" s="34"/>
      <c r="AD301" s="356"/>
      <c r="AE301" s="479"/>
      <c r="AF301" s="475"/>
      <c r="AG301" s="480" t="str">
        <f t="shared" si="76"/>
        <v/>
      </c>
      <c r="AH301" s="481" t="str">
        <f t="shared" si="77"/>
        <v/>
      </c>
      <c r="AI301" s="477" t="str">
        <f>IF($AC$301="","",IFERROR(INDEX($AZ$74:$AZ$119,MATCH($AH$301,$AY$74:$AY$119,0)),"AUTRE"))</f>
        <v/>
      </c>
      <c r="AJ301" s="482" t="str">
        <f>IF($AC$301="","",IFERROR(INDEX($BA$74:$BA$119,MATCH($AH$301,$AY$74:$AY$119,0)),1))</f>
        <v/>
      </c>
      <c r="AK301" s="482" t="str">
        <f t="shared" si="66"/>
        <v/>
      </c>
      <c r="AL301" s="477" t="str">
        <f>IF($AC$301="","",IFERROR(INDEX($BB$74:$BB$119,MATCH($AH$301,$AY$74:$AY$119,0)),$AH$301))</f>
        <v/>
      </c>
      <c r="AM301" s="483" t="str">
        <f t="shared" si="78"/>
        <v/>
      </c>
      <c r="AN301" s="484" t="str">
        <f t="shared" si="79"/>
        <v/>
      </c>
      <c r="AO301" s="473" t="str">
        <f t="shared" si="80"/>
        <v/>
      </c>
      <c r="AP301" s="473" t="str">
        <f t="shared" si="81"/>
        <v/>
      </c>
      <c r="AQ301" s="473" t="str">
        <f t="shared" si="82"/>
        <v/>
      </c>
      <c r="AR301" s="473" t="str">
        <f t="shared" si="83"/>
        <v/>
      </c>
      <c r="AS301" s="473" t="str">
        <f t="shared" si="84"/>
        <v/>
      </c>
      <c r="AT301" s="473" t="str">
        <f t="shared" si="85"/>
        <v/>
      </c>
      <c r="AU301" s="473" t="str">
        <f t="shared" si="86"/>
        <v/>
      </c>
      <c r="AZ301" s="497" t="s">
        <v>463</v>
      </c>
      <c r="BA301" s="34" t="s">
        <v>468</v>
      </c>
      <c r="BB301" s="499"/>
      <c r="BC301" s="271"/>
      <c r="BD301" s="279">
        <v>1</v>
      </c>
      <c r="BE301" s="271"/>
      <c r="BF301" s="271"/>
      <c r="BG301" s="271"/>
      <c r="BH301" s="271"/>
      <c r="BI301" s="271"/>
      <c r="BJ301" s="271"/>
      <c r="BK301" s="271"/>
      <c r="BL301" s="271"/>
    </row>
    <row r="302" spans="18:64" ht="21" customHeight="1" x14ac:dyDescent="0.25">
      <c r="R302" s="34" t="s">
        <v>497</v>
      </c>
      <c r="S302" s="451"/>
      <c r="T302" s="32" t="s">
        <v>309</v>
      </c>
      <c r="V302" s="475">
        <v>7</v>
      </c>
      <c r="W302" s="475" t="str">
        <f>IF($AC$302="","",$W$288)</f>
        <v/>
      </c>
      <c r="X302" s="476" t="str">
        <f>IF($AC$302="","",$X$288)</f>
        <v/>
      </c>
      <c r="Y302" s="477" t="str">
        <f>IF($X$302="","",$Y$288)</f>
        <v/>
      </c>
      <c r="Z302" s="477" t="str">
        <f>IF($X$302="","",$Z$288)</f>
        <v/>
      </c>
      <c r="AA302" s="477" t="str">
        <f>IF($AC$302="","",ROW($A$302)-ROW($A$288))</f>
        <v/>
      </c>
      <c r="AB302" s="478"/>
      <c r="AC302" s="34"/>
      <c r="AD302" s="356"/>
      <c r="AE302" s="479"/>
      <c r="AF302" s="475"/>
      <c r="AG302" s="480" t="str">
        <f t="shared" si="76"/>
        <v/>
      </c>
      <c r="AH302" s="481" t="str">
        <f t="shared" si="77"/>
        <v/>
      </c>
      <c r="AI302" s="477" t="str">
        <f>IF($AC$302="","",IFERROR(INDEX($AZ$74:$AZ$119,MATCH($AH$302,$AY$74:$AY$119,0)),"AUTRE"))</f>
        <v/>
      </c>
      <c r="AJ302" s="482" t="str">
        <f>IF($AC$302="","",IFERROR(INDEX($BA$74:$BA$119,MATCH($AH$302,$AY$74:$AY$119,0)),1))</f>
        <v/>
      </c>
      <c r="AK302" s="482" t="str">
        <f t="shared" si="66"/>
        <v/>
      </c>
      <c r="AL302" s="477" t="str">
        <f>IF($AC$302="","",IFERROR(INDEX($BB$74:$BB$119,MATCH($AH$302,$AY$74:$AY$119,0)),$AH$302))</f>
        <v/>
      </c>
      <c r="AM302" s="483" t="str">
        <f t="shared" si="78"/>
        <v/>
      </c>
      <c r="AN302" s="484" t="str">
        <f t="shared" si="79"/>
        <v/>
      </c>
      <c r="AO302" s="473" t="str">
        <f t="shared" si="80"/>
        <v/>
      </c>
      <c r="AP302" s="473" t="str">
        <f t="shared" si="81"/>
        <v/>
      </c>
      <c r="AQ302" s="473" t="str">
        <f t="shared" si="82"/>
        <v/>
      </c>
      <c r="AR302" s="473" t="str">
        <f t="shared" si="83"/>
        <v/>
      </c>
      <c r="AS302" s="473" t="str">
        <f t="shared" si="84"/>
        <v/>
      </c>
      <c r="AT302" s="473" t="str">
        <f t="shared" si="85"/>
        <v/>
      </c>
      <c r="AU302" s="473" t="str">
        <f t="shared" si="86"/>
        <v/>
      </c>
      <c r="AZ302" s="497" t="s">
        <v>8147</v>
      </c>
      <c r="BA302" s="34" t="s">
        <v>473</v>
      </c>
      <c r="BB302" s="499"/>
      <c r="BC302" s="271"/>
      <c r="BD302" s="279">
        <v>1</v>
      </c>
      <c r="BE302" s="271"/>
      <c r="BF302" s="271"/>
      <c r="BG302" s="271"/>
      <c r="BH302" s="271"/>
      <c r="BI302" s="271"/>
      <c r="BJ302" s="271"/>
      <c r="BK302" s="271"/>
      <c r="BL302" s="271"/>
    </row>
    <row r="303" spans="18:64" ht="21" customHeight="1" x14ac:dyDescent="0.25">
      <c r="R303" s="34" t="s">
        <v>470</v>
      </c>
      <c r="S303" s="451"/>
      <c r="T303" s="32" t="s">
        <v>311</v>
      </c>
      <c r="V303" s="475">
        <v>7</v>
      </c>
      <c r="W303" s="475" t="str">
        <f>IF($AC$303="","",$W$288)</f>
        <v/>
      </c>
      <c r="X303" s="476" t="str">
        <f>IF($AC$303="","",$X$288)</f>
        <v/>
      </c>
      <c r="Y303" s="477" t="str">
        <f>IF($X$303="","",$Y$288)</f>
        <v/>
      </c>
      <c r="Z303" s="477" t="str">
        <f>IF($X$303="","",$Z$288)</f>
        <v/>
      </c>
      <c r="AA303" s="477" t="str">
        <f>IF($AC$303="","",ROW($A$303)-ROW($A$288))</f>
        <v/>
      </c>
      <c r="AB303" s="478"/>
      <c r="AC303" s="34"/>
      <c r="AD303" s="356"/>
      <c r="AE303" s="479"/>
      <c r="AF303" s="475"/>
      <c r="AG303" s="480" t="str">
        <f t="shared" si="76"/>
        <v/>
      </c>
      <c r="AH303" s="481" t="str">
        <f t="shared" si="77"/>
        <v/>
      </c>
      <c r="AI303" s="477" t="str">
        <f>IF($AC$303="","",IFERROR(INDEX($AZ$74:$AZ$119,MATCH($AH$303,$AY$74:$AY$119,0)),"AUTRE"))</f>
        <v/>
      </c>
      <c r="AJ303" s="482" t="str">
        <f>IF($AC$303="","",IFERROR(INDEX($BA$74:$BA$119,MATCH($AH$303,$AY$74:$AY$119,0)),1))</f>
        <v/>
      </c>
      <c r="AK303" s="482" t="str">
        <f t="shared" si="66"/>
        <v/>
      </c>
      <c r="AL303" s="477" t="str">
        <f>IF($AC$303="","",IFERROR(INDEX($BB$74:$BB$119,MATCH($AH$303,$AY$74:$AY$119,0)),$AH$303))</f>
        <v/>
      </c>
      <c r="AM303" s="483" t="str">
        <f t="shared" si="78"/>
        <v/>
      </c>
      <c r="AN303" s="484" t="str">
        <f t="shared" si="79"/>
        <v/>
      </c>
      <c r="AO303" s="473" t="str">
        <f t="shared" si="80"/>
        <v/>
      </c>
      <c r="AP303" s="473" t="str">
        <f t="shared" si="81"/>
        <v/>
      </c>
      <c r="AQ303" s="473" t="str">
        <f t="shared" si="82"/>
        <v/>
      </c>
      <c r="AR303" s="473" t="str">
        <f t="shared" si="83"/>
        <v/>
      </c>
      <c r="AS303" s="473" t="str">
        <f t="shared" si="84"/>
        <v/>
      </c>
      <c r="AT303" s="473" t="str">
        <f t="shared" si="85"/>
        <v/>
      </c>
      <c r="AU303" s="473" t="str">
        <f t="shared" si="86"/>
        <v/>
      </c>
      <c r="AZ303" s="497" t="s">
        <v>465</v>
      </c>
      <c r="BA303" s="34" t="s">
        <v>497</v>
      </c>
      <c r="BB303" s="499"/>
      <c r="BC303" s="271"/>
      <c r="BD303" s="279">
        <v>1</v>
      </c>
      <c r="BE303" s="271"/>
      <c r="BF303" s="271"/>
      <c r="BG303" s="271"/>
      <c r="BH303" s="271"/>
      <c r="BI303" s="271"/>
      <c r="BJ303" s="271"/>
      <c r="BK303" s="271"/>
      <c r="BL303" s="271"/>
    </row>
    <row r="304" spans="18:64" ht="21" customHeight="1" x14ac:dyDescent="0.25">
      <c r="R304" s="34" t="s">
        <v>477</v>
      </c>
      <c r="S304" s="451"/>
      <c r="T304" s="32" t="s">
        <v>8135</v>
      </c>
      <c r="V304" s="475">
        <v>7</v>
      </c>
      <c r="W304" s="475" t="str">
        <f>IF($AC$304="","",$W$288)</f>
        <v/>
      </c>
      <c r="X304" s="476" t="str">
        <f>IF($AC$304="","",$X$288)</f>
        <v/>
      </c>
      <c r="Y304" s="477" t="str">
        <f>IF($X$304="","",$Y$288)</f>
        <v/>
      </c>
      <c r="Z304" s="477" t="str">
        <f>IF($X$304="","",$Z$288)</f>
        <v/>
      </c>
      <c r="AA304" s="477" t="str">
        <f>IF($AC$304="","",ROW($A$304)-ROW($A$288))</f>
        <v/>
      </c>
      <c r="AB304" s="478"/>
      <c r="AC304" s="34"/>
      <c r="AD304" s="356"/>
      <c r="AE304" s="479"/>
      <c r="AF304" s="475"/>
      <c r="AG304" s="480" t="str">
        <f t="shared" si="76"/>
        <v/>
      </c>
      <c r="AH304" s="481" t="str">
        <f t="shared" si="77"/>
        <v/>
      </c>
      <c r="AI304" s="477" t="str">
        <f>IF($AC$304="","",IFERROR(INDEX($AZ$74:$AZ$119,MATCH($AH$304,$AY$74:$AY$119,0)),"AUTRE"))</f>
        <v/>
      </c>
      <c r="AJ304" s="482" t="str">
        <f>IF($AC$304="","",IFERROR(INDEX($BA$74:$BA$119,MATCH($AH$304,$AY$74:$AY$119,0)),1))</f>
        <v/>
      </c>
      <c r="AK304" s="482" t="str">
        <f t="shared" si="66"/>
        <v/>
      </c>
      <c r="AL304" s="477" t="str">
        <f>IF($AC$304="","",IFERROR(INDEX($BB$74:$BB$119,MATCH($AH$304,$AY$74:$AY$119,0)),$AH$304))</f>
        <v/>
      </c>
      <c r="AM304" s="483" t="str">
        <f t="shared" si="78"/>
        <v/>
      </c>
      <c r="AN304" s="484" t="str">
        <f t="shared" si="79"/>
        <v/>
      </c>
      <c r="AO304" s="473" t="str">
        <f t="shared" si="80"/>
        <v/>
      </c>
      <c r="AP304" s="473" t="str">
        <f t="shared" si="81"/>
        <v/>
      </c>
      <c r="AQ304" s="473" t="str">
        <f t="shared" si="82"/>
        <v/>
      </c>
      <c r="AR304" s="473" t="str">
        <f t="shared" si="83"/>
        <v/>
      </c>
      <c r="AS304" s="473" t="str">
        <f t="shared" si="84"/>
        <v/>
      </c>
      <c r="AT304" s="473" t="str">
        <f t="shared" si="85"/>
        <v/>
      </c>
      <c r="AU304" s="473" t="str">
        <f t="shared" si="86"/>
        <v/>
      </c>
      <c r="AZ304" s="497" t="s">
        <v>466</v>
      </c>
      <c r="BA304" s="34" t="s">
        <v>470</v>
      </c>
      <c r="BB304" s="499"/>
      <c r="BC304" s="271"/>
      <c r="BD304" s="279">
        <v>1</v>
      </c>
      <c r="BE304" s="271"/>
      <c r="BF304" s="271"/>
      <c r="BG304" s="271"/>
      <c r="BH304" s="271"/>
      <c r="BI304" s="271"/>
      <c r="BJ304" s="271"/>
      <c r="BK304" s="271"/>
      <c r="BL304" s="271"/>
    </row>
    <row r="305" spans="18:64" ht="21" customHeight="1" x14ac:dyDescent="0.25">
      <c r="S305" s="451"/>
      <c r="T305" s="497" t="s">
        <v>462</v>
      </c>
      <c r="V305" s="475">
        <v>7</v>
      </c>
      <c r="W305" s="475" t="str">
        <f>IF($AC$305="","",$W$288)</f>
        <v/>
      </c>
      <c r="X305" s="476" t="str">
        <f>IF($AC$305="","",$X$288)</f>
        <v/>
      </c>
      <c r="Y305" s="477" t="str">
        <f>IF($X$305="","",$Y$288)</f>
        <v/>
      </c>
      <c r="Z305" s="477" t="str">
        <f>IF($X$305="","",$Z$288)</f>
        <v/>
      </c>
      <c r="AA305" s="477" t="str">
        <f>IF($AC$305="","",ROW($A$305)-ROW($A$288))</f>
        <v/>
      </c>
      <c r="AB305" s="478"/>
      <c r="AC305" s="34"/>
      <c r="AD305" s="356"/>
      <c r="AE305" s="479"/>
      <c r="AF305" s="475"/>
      <c r="AG305" s="480" t="str">
        <f t="shared" si="76"/>
        <v/>
      </c>
      <c r="AH305" s="481" t="str">
        <f t="shared" si="77"/>
        <v/>
      </c>
      <c r="AI305" s="477" t="str">
        <f>IF($AC$305="","",IFERROR(INDEX($AZ$74:$AZ$119,MATCH($AH$305,$AY$74:$AY$119,0)),"AUTRE"))</f>
        <v/>
      </c>
      <c r="AJ305" s="482" t="str">
        <f>IF($AC$305="","",IFERROR(INDEX($BA$74:$BA$119,MATCH($AH$305,$AY$74:$AY$119,0)),1))</f>
        <v/>
      </c>
      <c r="AK305" s="482" t="str">
        <f t="shared" si="66"/>
        <v/>
      </c>
      <c r="AL305" s="477" t="str">
        <f>IF($AC$305="","",IFERROR(INDEX($BB$74:$BB$119,MATCH($AH$305,$AY$74:$AY$119,0)),$AH$305))</f>
        <v/>
      </c>
      <c r="AM305" s="483" t="str">
        <f t="shared" si="78"/>
        <v/>
      </c>
      <c r="AN305" s="484" t="str">
        <f t="shared" si="79"/>
        <v/>
      </c>
      <c r="AO305" s="473" t="str">
        <f t="shared" si="80"/>
        <v/>
      </c>
      <c r="AP305" s="473" t="str">
        <f t="shared" si="81"/>
        <v/>
      </c>
      <c r="AQ305" s="473" t="str">
        <f t="shared" si="82"/>
        <v/>
      </c>
      <c r="AR305" s="473" t="str">
        <f t="shared" si="83"/>
        <v/>
      </c>
      <c r="AS305" s="473" t="str">
        <f t="shared" si="84"/>
        <v/>
      </c>
      <c r="AT305" s="473" t="str">
        <f t="shared" si="85"/>
        <v/>
      </c>
      <c r="AU305" s="473" t="str">
        <f t="shared" si="86"/>
        <v/>
      </c>
      <c r="AZ305" s="14" t="s">
        <v>7</v>
      </c>
      <c r="BA305" s="34" t="s">
        <v>477</v>
      </c>
      <c r="BB305" s="499"/>
      <c r="BC305" s="271"/>
      <c r="BD305" s="279">
        <v>1</v>
      </c>
      <c r="BE305" s="271"/>
      <c r="BF305" s="271"/>
      <c r="BG305" s="271"/>
      <c r="BH305" s="271"/>
      <c r="BI305" s="271"/>
      <c r="BJ305" s="271"/>
      <c r="BK305" s="271"/>
      <c r="BL305" s="271"/>
    </row>
    <row r="306" spans="18:64" ht="21" customHeight="1" x14ac:dyDescent="0.25">
      <c r="R306" s="25" t="s">
        <v>6134</v>
      </c>
      <c r="S306" s="451"/>
      <c r="T306" s="497" t="s">
        <v>463</v>
      </c>
      <c r="V306" s="475">
        <v>7</v>
      </c>
      <c r="W306" s="475" t="str">
        <f>IF($AC$306="","",$W$288)</f>
        <v/>
      </c>
      <c r="X306" s="476" t="str">
        <f>IF($AC$306="","",$X$288)</f>
        <v/>
      </c>
      <c r="Y306" s="477" t="str">
        <f>IF($X$306="","",$Y$288)</f>
        <v/>
      </c>
      <c r="Z306" s="477" t="str">
        <f>IF($X$306="","",$Z$288)</f>
        <v/>
      </c>
      <c r="AA306" s="477" t="str">
        <f>IF($AC$306="","",ROW($A$306)-ROW($A$288))</f>
        <v/>
      </c>
      <c r="AB306" s="478"/>
      <c r="AC306" s="34"/>
      <c r="AD306" s="356"/>
      <c r="AE306" s="479"/>
      <c r="AF306" s="475"/>
      <c r="AG306" s="480" t="str">
        <f t="shared" si="76"/>
        <v/>
      </c>
      <c r="AH306" s="481" t="str">
        <f t="shared" si="77"/>
        <v/>
      </c>
      <c r="AI306" s="477" t="str">
        <f>IF($AC$306="","",IFERROR(INDEX($AZ$74:$AZ$119,MATCH($AH$306,$AY$74:$AY$119,0)),"AUTRE"))</f>
        <v/>
      </c>
      <c r="AJ306" s="482" t="str">
        <f>IF($AC$306="","",IFERROR(INDEX($BA$74:$BA$119,MATCH($AH$306,$AY$74:$AY$119,0)),1))</f>
        <v/>
      </c>
      <c r="AK306" s="482" t="str">
        <f t="shared" si="66"/>
        <v/>
      </c>
      <c r="AL306" s="477" t="str">
        <f>IF($AC$306="","",IFERROR(INDEX($BB$74:$BB$119,MATCH($AH$306,$AY$74:$AY$119,0)),$AH$306))</f>
        <v/>
      </c>
      <c r="AM306" s="483" t="str">
        <f t="shared" si="78"/>
        <v/>
      </c>
      <c r="AN306" s="484" t="str">
        <f t="shared" si="79"/>
        <v/>
      </c>
      <c r="AO306" s="473" t="str">
        <f t="shared" si="80"/>
        <v/>
      </c>
      <c r="AP306" s="473" t="str">
        <f t="shared" si="81"/>
        <v/>
      </c>
      <c r="AQ306" s="473" t="str">
        <f t="shared" si="82"/>
        <v/>
      </c>
      <c r="AR306" s="473" t="str">
        <f t="shared" si="83"/>
        <v/>
      </c>
      <c r="AS306" s="473" t="str">
        <f t="shared" si="84"/>
        <v/>
      </c>
      <c r="AT306" s="473" t="str">
        <f t="shared" si="85"/>
        <v/>
      </c>
      <c r="AU306" s="473" t="str">
        <f t="shared" si="86"/>
        <v/>
      </c>
      <c r="AZ306" s="27" t="s">
        <v>8</v>
      </c>
      <c r="BB306" s="499"/>
      <c r="BC306" s="271"/>
      <c r="BD306" s="279">
        <v>1</v>
      </c>
      <c r="BE306" s="271"/>
      <c r="BF306" s="271"/>
      <c r="BG306" s="271"/>
      <c r="BH306" s="271"/>
      <c r="BI306" s="271"/>
      <c r="BJ306" s="271"/>
      <c r="BK306" s="271"/>
      <c r="BL306" s="271"/>
    </row>
    <row r="307" spans="18:64" ht="21" customHeight="1" x14ac:dyDescent="0.25">
      <c r="R307" s="34" t="s">
        <v>481</v>
      </c>
      <c r="S307" s="451"/>
      <c r="T307" s="497" t="s">
        <v>8147</v>
      </c>
      <c r="V307" s="475">
        <v>7</v>
      </c>
      <c r="W307" s="475" t="str">
        <f>IF($AC$307="","",$W$288)</f>
        <v/>
      </c>
      <c r="X307" s="476" t="str">
        <f>IF($AC$307="","",$X$288)</f>
        <v/>
      </c>
      <c r="Y307" s="477" t="str">
        <f>IF($X$307="","",$Y$288)</f>
        <v/>
      </c>
      <c r="Z307" s="477" t="str">
        <f>IF($X$307="","",$Z$288)</f>
        <v/>
      </c>
      <c r="AA307" s="477" t="str">
        <f>IF($AC$307="","",ROW($A$307)-ROW($A$288))</f>
        <v/>
      </c>
      <c r="AB307" s="478"/>
      <c r="AC307" s="34"/>
      <c r="AD307" s="356"/>
      <c r="AE307" s="479"/>
      <c r="AF307" s="475"/>
      <c r="AG307" s="480" t="str">
        <f t="shared" si="76"/>
        <v/>
      </c>
      <c r="AH307" s="481" t="str">
        <f t="shared" si="77"/>
        <v/>
      </c>
      <c r="AI307" s="477" t="str">
        <f>IF($AC$307="","",IFERROR(INDEX($AZ$74:$AZ$119,MATCH($AH$307,$AY$74:$AY$119,0)),"AUTRE"))</f>
        <v/>
      </c>
      <c r="AJ307" s="482" t="str">
        <f>IF($AC$307="","",IFERROR(INDEX($BA$74:$BA$119,MATCH($AH$307,$AY$74:$AY$119,0)),1))</f>
        <v/>
      </c>
      <c r="AK307" s="482" t="str">
        <f t="shared" si="66"/>
        <v/>
      </c>
      <c r="AL307" s="477" t="str">
        <f>IF($AC$307="","",IFERROR(INDEX($BB$74:$BB$119,MATCH($AH$307,$AY$74:$AY$119,0)),$AH$307))</f>
        <v/>
      </c>
      <c r="AM307" s="483" t="str">
        <f t="shared" si="78"/>
        <v/>
      </c>
      <c r="AN307" s="484" t="str">
        <f t="shared" si="79"/>
        <v/>
      </c>
      <c r="AO307" s="473" t="str">
        <f t="shared" si="80"/>
        <v/>
      </c>
      <c r="AP307" s="473" t="str">
        <f t="shared" si="81"/>
        <v/>
      </c>
      <c r="AQ307" s="473" t="str">
        <f t="shared" si="82"/>
        <v/>
      </c>
      <c r="AR307" s="473" t="str">
        <f t="shared" si="83"/>
        <v/>
      </c>
      <c r="AS307" s="473" t="str">
        <f t="shared" si="84"/>
        <v/>
      </c>
      <c r="AT307" s="473" t="str">
        <f t="shared" si="85"/>
        <v/>
      </c>
      <c r="AU307" s="473" t="str">
        <f t="shared" si="86"/>
        <v/>
      </c>
      <c r="AZ307" s="28" t="s">
        <v>13</v>
      </c>
      <c r="BA307" s="25" t="s">
        <v>6134</v>
      </c>
      <c r="BB307" s="499"/>
      <c r="BC307" s="271"/>
      <c r="BD307" s="279">
        <v>1</v>
      </c>
      <c r="BE307" s="271"/>
      <c r="BF307" s="271"/>
      <c r="BG307" s="271"/>
      <c r="BH307" s="271"/>
      <c r="BI307" s="271"/>
      <c r="BJ307" s="271"/>
      <c r="BK307" s="271"/>
      <c r="BL307" s="271"/>
    </row>
    <row r="308" spans="18:64" ht="21" customHeight="1" x14ac:dyDescent="0.25">
      <c r="R308" s="34" t="s">
        <v>475</v>
      </c>
      <c r="S308" s="451"/>
      <c r="T308" s="497" t="s">
        <v>465</v>
      </c>
      <c r="V308" s="475">
        <v>7</v>
      </c>
      <c r="W308" s="475" t="str">
        <f>IF($AC$308="","",$W$288)</f>
        <v/>
      </c>
      <c r="X308" s="476" t="str">
        <f>IF($AC$308="","",$X$288)</f>
        <v/>
      </c>
      <c r="Y308" s="477" t="str">
        <f>IF($X$308="","",$Y$288)</f>
        <v/>
      </c>
      <c r="Z308" s="477" t="str">
        <f>IF($X$308="","",$Z$288)</f>
        <v/>
      </c>
      <c r="AA308" s="477" t="str">
        <f>IF($AC$308="","",ROW($A$308)-ROW($A$288))</f>
        <v/>
      </c>
      <c r="AB308" s="478"/>
      <c r="AC308" s="34"/>
      <c r="AD308" s="356"/>
      <c r="AE308" s="479"/>
      <c r="AF308" s="475"/>
      <c r="AG308" s="480" t="str">
        <f t="shared" si="76"/>
        <v/>
      </c>
      <c r="AH308" s="481" t="str">
        <f t="shared" si="77"/>
        <v/>
      </c>
      <c r="AI308" s="477" t="str">
        <f>IF($AC$308="","",IFERROR(INDEX($AZ$74:$AZ$119,MATCH($AH$308,$AY$74:$AY$119,0)),"AUTRE"))</f>
        <v/>
      </c>
      <c r="AJ308" s="482" t="str">
        <f>IF($AC$308="","",IFERROR(INDEX($BA$74:$BA$119,MATCH($AH$308,$AY$74:$AY$119,0)),1))</f>
        <v/>
      </c>
      <c r="AK308" s="482" t="str">
        <f t="shared" si="66"/>
        <v/>
      </c>
      <c r="AL308" s="477" t="str">
        <f>IF($AC$308="","",IFERROR(INDEX($BB$74:$BB$119,MATCH($AH$308,$AY$74:$AY$119,0)),$AH$308))</f>
        <v/>
      </c>
      <c r="AM308" s="483" t="str">
        <f t="shared" si="78"/>
        <v/>
      </c>
      <c r="AN308" s="484" t="str">
        <f t="shared" si="79"/>
        <v/>
      </c>
      <c r="AO308" s="473" t="str">
        <f t="shared" si="80"/>
        <v/>
      </c>
      <c r="AP308" s="473" t="str">
        <f t="shared" si="81"/>
        <v/>
      </c>
      <c r="AQ308" s="473" t="str">
        <f t="shared" si="82"/>
        <v/>
      </c>
      <c r="AR308" s="473" t="str">
        <f t="shared" si="83"/>
        <v/>
      </c>
      <c r="AS308" s="473" t="str">
        <f t="shared" si="84"/>
        <v/>
      </c>
      <c r="AT308" s="473" t="str">
        <f t="shared" si="85"/>
        <v/>
      </c>
      <c r="AU308" s="473" t="str">
        <f t="shared" si="86"/>
        <v/>
      </c>
      <c r="AZ308" s="28" t="s">
        <v>14</v>
      </c>
      <c r="BA308" s="34" t="s">
        <v>481</v>
      </c>
      <c r="BB308" s="499"/>
      <c r="BC308" s="271"/>
      <c r="BD308" s="279">
        <v>1</v>
      </c>
      <c r="BE308" s="271"/>
      <c r="BF308" s="271"/>
      <c r="BG308" s="271"/>
      <c r="BH308" s="271"/>
      <c r="BI308" s="271"/>
      <c r="BJ308" s="271"/>
      <c r="BK308" s="271"/>
      <c r="BL308" s="271"/>
    </row>
    <row r="309" spans="18:64" ht="21" customHeight="1" x14ac:dyDescent="0.25">
      <c r="R309" s="34" t="s">
        <v>457</v>
      </c>
      <c r="S309" s="451"/>
      <c r="T309" s="497" t="s">
        <v>466</v>
      </c>
      <c r="V309" s="475">
        <v>7</v>
      </c>
      <c r="W309" s="475" t="str">
        <f>IF($AC$309="","",$W$288)</f>
        <v/>
      </c>
      <c r="X309" s="476" t="str">
        <f>IF($AC$309="","",$X$288)</f>
        <v/>
      </c>
      <c r="Y309" s="477" t="str">
        <f>IF($X$309="","",$Y$288)</f>
        <v/>
      </c>
      <c r="Z309" s="477" t="str">
        <f>IF($X$309="","",$Z$288)</f>
        <v/>
      </c>
      <c r="AA309" s="477" t="str">
        <f>IF($AC$309="","",ROW($A$309)-ROW($A$288))</f>
        <v/>
      </c>
      <c r="AB309" s="478"/>
      <c r="AC309" s="34"/>
      <c r="AD309" s="356"/>
      <c r="AE309" s="479"/>
      <c r="AF309" s="475"/>
      <c r="AG309" s="480" t="str">
        <f t="shared" si="76"/>
        <v/>
      </c>
      <c r="AH309" s="481" t="str">
        <f t="shared" si="77"/>
        <v/>
      </c>
      <c r="AI309" s="477" t="str">
        <f>IF($AC$309="","",IFERROR(INDEX($AZ$74:$AZ$119,MATCH($AH$309,$AY$74:$AY$119,0)),"AUTRE"))</f>
        <v/>
      </c>
      <c r="AJ309" s="482" t="str">
        <f>IF($AC$309="","",IFERROR(INDEX($BA$74:$BA$119,MATCH($AH$309,$AY$74:$AY$119,0)),1))</f>
        <v/>
      </c>
      <c r="AK309" s="482" t="str">
        <f t="shared" si="66"/>
        <v/>
      </c>
      <c r="AL309" s="477" t="str">
        <f>IF($AC$309="","",IFERROR(INDEX($BB$74:$BB$119,MATCH($AH$309,$AY$74:$AY$119,0)),$AH$309))</f>
        <v/>
      </c>
      <c r="AM309" s="483" t="str">
        <f t="shared" si="78"/>
        <v/>
      </c>
      <c r="AN309" s="484" t="str">
        <f t="shared" si="79"/>
        <v/>
      </c>
      <c r="AO309" s="473" t="str">
        <f t="shared" si="80"/>
        <v/>
      </c>
      <c r="AP309" s="473" t="str">
        <f t="shared" si="81"/>
        <v/>
      </c>
      <c r="AQ309" s="473" t="str">
        <f t="shared" si="82"/>
        <v/>
      </c>
      <c r="AR309" s="473" t="str">
        <f t="shared" si="83"/>
        <v/>
      </c>
      <c r="AS309" s="473" t="str">
        <f t="shared" si="84"/>
        <v/>
      </c>
      <c r="AT309" s="473" t="str">
        <f t="shared" si="85"/>
        <v/>
      </c>
      <c r="AU309" s="473" t="str">
        <f t="shared" si="86"/>
        <v/>
      </c>
      <c r="AZ309" s="28" t="s">
        <v>15</v>
      </c>
      <c r="BA309" s="34" t="s">
        <v>475</v>
      </c>
      <c r="BB309" s="499"/>
      <c r="BC309" s="271"/>
      <c r="BD309" s="279">
        <v>1</v>
      </c>
      <c r="BE309" s="271"/>
      <c r="BF309" s="271"/>
      <c r="BG309" s="271"/>
      <c r="BH309" s="271"/>
      <c r="BI309" s="271"/>
      <c r="BJ309" s="271"/>
      <c r="BK309" s="271"/>
      <c r="BL309" s="271"/>
    </row>
    <row r="310" spans="18:64" ht="21" customHeight="1" x14ac:dyDescent="0.25">
      <c r="R310" s="34" t="s">
        <v>482</v>
      </c>
      <c r="S310" s="451"/>
      <c r="T310" s="440" t="s">
        <v>8110</v>
      </c>
      <c r="V310" s="475">
        <v>7</v>
      </c>
      <c r="W310" s="475" t="str">
        <f>IF($AC$310="","",$W$288)</f>
        <v/>
      </c>
      <c r="X310" s="476" t="str">
        <f>IF($AC$310="","",$X$288)</f>
        <v/>
      </c>
      <c r="Y310" s="477" t="str">
        <f>IF($X$310="","",$Y$288)</f>
        <v/>
      </c>
      <c r="Z310" s="477" t="str">
        <f>IF($X$310="","",$Z$288)</f>
        <v/>
      </c>
      <c r="AA310" s="477" t="str">
        <f>IF($AC$310="","",ROW($A$310)-ROW($A$288))</f>
        <v/>
      </c>
      <c r="AB310" s="478"/>
      <c r="AC310" s="34"/>
      <c r="AD310" s="356"/>
      <c r="AE310" s="479"/>
      <c r="AF310" s="475"/>
      <c r="AG310" s="480" t="str">
        <f t="shared" si="76"/>
        <v/>
      </c>
      <c r="AH310" s="481" t="str">
        <f t="shared" si="77"/>
        <v/>
      </c>
      <c r="AI310" s="477" t="str">
        <f>IF($AC$310="","",IFERROR(INDEX($AZ$74:$AZ$119,MATCH($AH$310,$AY$74:$AY$119,0)),"AUTRE"))</f>
        <v/>
      </c>
      <c r="AJ310" s="482" t="str">
        <f>IF($AC$310="","",IFERROR(INDEX($BA$74:$BA$119,MATCH($AH$310,$AY$74:$AY$119,0)),1))</f>
        <v/>
      </c>
      <c r="AK310" s="482" t="str">
        <f t="shared" si="66"/>
        <v/>
      </c>
      <c r="AL310" s="477" t="str">
        <f>IF($AC$310="","",IFERROR(INDEX($BB$74:$BB$119,MATCH($AH$310,$AY$74:$AY$119,0)),$AH$310))</f>
        <v/>
      </c>
      <c r="AM310" s="483" t="str">
        <f t="shared" si="78"/>
        <v/>
      </c>
      <c r="AN310" s="484" t="str">
        <f t="shared" si="79"/>
        <v/>
      </c>
      <c r="AO310" s="473" t="str">
        <f t="shared" si="80"/>
        <v/>
      </c>
      <c r="AP310" s="473" t="str">
        <f t="shared" si="81"/>
        <v/>
      </c>
      <c r="AQ310" s="473" t="str">
        <f t="shared" si="82"/>
        <v/>
      </c>
      <c r="AR310" s="473" t="str">
        <f t="shared" si="83"/>
        <v/>
      </c>
      <c r="AS310" s="473" t="str">
        <f t="shared" si="84"/>
        <v/>
      </c>
      <c r="AT310" s="473" t="str">
        <f t="shared" si="85"/>
        <v/>
      </c>
      <c r="AU310" s="473" t="str">
        <f t="shared" si="86"/>
        <v/>
      </c>
      <c r="AZ310" s="29" t="s">
        <v>9</v>
      </c>
      <c r="BA310" s="34" t="s">
        <v>457</v>
      </c>
      <c r="BB310" s="499"/>
      <c r="BC310" s="271"/>
      <c r="BD310" s="279">
        <v>1</v>
      </c>
      <c r="BE310" s="271"/>
      <c r="BF310" s="271"/>
      <c r="BG310" s="271"/>
      <c r="BH310" s="271"/>
      <c r="BI310" s="271"/>
      <c r="BJ310" s="271"/>
      <c r="BK310" s="271"/>
      <c r="BL310" s="271"/>
    </row>
    <row r="311" spans="18:64" ht="21" customHeight="1" x14ac:dyDescent="0.25">
      <c r="R311" s="34" t="s">
        <v>496</v>
      </c>
      <c r="S311" s="451"/>
      <c r="T311" s="452" t="s">
        <v>8113</v>
      </c>
      <c r="V311" s="475">
        <v>7</v>
      </c>
      <c r="W311" s="475" t="str">
        <f>IF($AC$311="","",$W$288)</f>
        <v/>
      </c>
      <c r="X311" s="476" t="str">
        <f>IF($AC$311="","",$X$288)</f>
        <v/>
      </c>
      <c r="Y311" s="477" t="str">
        <f>IF($X$311="","",$Y$288)</f>
        <v/>
      </c>
      <c r="Z311" s="477" t="str">
        <f>IF($X$311="","",$Z$288)</f>
        <v/>
      </c>
      <c r="AA311" s="477" t="str">
        <f>IF($AC$311="","",ROW($A$311)-ROW($A$288))</f>
        <v/>
      </c>
      <c r="AB311" s="478"/>
      <c r="AC311" s="34"/>
      <c r="AD311" s="356"/>
      <c r="AE311" s="479"/>
      <c r="AF311" s="475"/>
      <c r="AG311" s="480" t="str">
        <f t="shared" si="76"/>
        <v/>
      </c>
      <c r="AH311" s="481" t="str">
        <f t="shared" si="77"/>
        <v/>
      </c>
      <c r="AI311" s="477" t="str">
        <f>IF($AC$311="","",IFERROR(INDEX($AZ$74:$AZ$119,MATCH($AH$311,$AY$74:$AY$119,0)),"AUTRE"))</f>
        <v/>
      </c>
      <c r="AJ311" s="482" t="str">
        <f>IF($AC$311="","",IFERROR(INDEX($BA$74:$BA$119,MATCH($AH$311,$AY$74:$AY$119,0)),1))</f>
        <v/>
      </c>
      <c r="AK311" s="482" t="str">
        <f t="shared" si="66"/>
        <v/>
      </c>
      <c r="AL311" s="477" t="str">
        <f>IF($AC$311="","",IFERROR(INDEX($BB$74:$BB$119,MATCH($AH$311,$AY$74:$AY$119,0)),$AH$311))</f>
        <v/>
      </c>
      <c r="AM311" s="483" t="str">
        <f t="shared" si="78"/>
        <v/>
      </c>
      <c r="AN311" s="484" t="str">
        <f t="shared" si="79"/>
        <v/>
      </c>
      <c r="AO311" s="473" t="str">
        <f t="shared" si="80"/>
        <v/>
      </c>
      <c r="AP311" s="473" t="str">
        <f t="shared" si="81"/>
        <v/>
      </c>
      <c r="AQ311" s="473" t="str">
        <f t="shared" si="82"/>
        <v/>
      </c>
      <c r="AR311" s="473" t="str">
        <f t="shared" si="83"/>
        <v/>
      </c>
      <c r="AS311" s="473" t="str">
        <f t="shared" si="84"/>
        <v/>
      </c>
      <c r="AT311" s="473" t="str">
        <f t="shared" si="85"/>
        <v/>
      </c>
      <c r="AU311" s="473" t="str">
        <f t="shared" si="86"/>
        <v/>
      </c>
      <c r="AZ311" s="30" t="s">
        <v>10</v>
      </c>
      <c r="BA311" s="34" t="s">
        <v>482</v>
      </c>
      <c r="BB311" s="499"/>
      <c r="BC311" s="271"/>
      <c r="BD311" s="279">
        <v>1</v>
      </c>
      <c r="BE311" s="271"/>
      <c r="BF311" s="271"/>
      <c r="BG311" s="271"/>
      <c r="BH311" s="271"/>
      <c r="BI311" s="271"/>
      <c r="BJ311" s="271"/>
      <c r="BK311" s="271"/>
      <c r="BL311" s="271"/>
    </row>
    <row r="312" spans="18:64" ht="21" customHeight="1" x14ac:dyDescent="0.25">
      <c r="R312" s="34" t="s">
        <v>483</v>
      </c>
      <c r="S312" s="451"/>
      <c r="T312" s="14" t="s">
        <v>7</v>
      </c>
      <c r="V312" s="475">
        <v>7</v>
      </c>
      <c r="W312" s="475" t="str">
        <f>IF($AC$312="","",$W$288)</f>
        <v/>
      </c>
      <c r="X312" s="476" t="str">
        <f>IF($AC$312="","",$X$288)</f>
        <v/>
      </c>
      <c r="Y312" s="477" t="str">
        <f>IF($X$312="","",$Y$288)</f>
        <v/>
      </c>
      <c r="Z312" s="477" t="str">
        <f>IF($X$312="","",$Z$288)</f>
        <v/>
      </c>
      <c r="AA312" s="477" t="str">
        <f>IF($AC$312="","",ROW($A$312)-ROW($A$288))</f>
        <v/>
      </c>
      <c r="AB312" s="478"/>
      <c r="AC312" s="34"/>
      <c r="AD312" s="356"/>
      <c r="AE312" s="479"/>
      <c r="AF312" s="475"/>
      <c r="AG312" s="480" t="str">
        <f t="shared" si="76"/>
        <v/>
      </c>
      <c r="AH312" s="481" t="str">
        <f t="shared" si="77"/>
        <v/>
      </c>
      <c r="AI312" s="477" t="str">
        <f>IF($AC$312="","",IFERROR(INDEX($AZ$74:$AZ$119,MATCH($AH$312,$AY$74:$AY$119,0)),"AUTRE"))</f>
        <v/>
      </c>
      <c r="AJ312" s="482" t="str">
        <f>IF($AC$312="","",IFERROR(INDEX($BA$74:$BA$119,MATCH($AH$312,$AY$74:$AY$119,0)),1))</f>
        <v/>
      </c>
      <c r="AK312" s="482" t="str">
        <f t="shared" si="66"/>
        <v/>
      </c>
      <c r="AL312" s="477" t="str">
        <f>IF($AC$312="","",IFERROR(INDEX($BB$74:$BB$119,MATCH($AH$312,$AY$74:$AY$119,0)),$AH$312))</f>
        <v/>
      </c>
      <c r="AM312" s="483" t="str">
        <f t="shared" si="78"/>
        <v/>
      </c>
      <c r="AN312" s="484" t="str">
        <f t="shared" si="79"/>
        <v/>
      </c>
      <c r="AO312" s="473" t="str">
        <f t="shared" si="80"/>
        <v/>
      </c>
      <c r="AP312" s="473" t="str">
        <f t="shared" si="81"/>
        <v/>
      </c>
      <c r="AQ312" s="473" t="str">
        <f t="shared" si="82"/>
        <v/>
      </c>
      <c r="AR312" s="473" t="str">
        <f t="shared" si="83"/>
        <v/>
      </c>
      <c r="AS312" s="473" t="str">
        <f t="shared" si="84"/>
        <v/>
      </c>
      <c r="AT312" s="473" t="str">
        <f t="shared" si="85"/>
        <v/>
      </c>
      <c r="AU312" s="473" t="str">
        <f t="shared" si="86"/>
        <v/>
      </c>
      <c r="AZ312" s="30" t="s">
        <v>11</v>
      </c>
      <c r="BA312" s="34" t="s">
        <v>496</v>
      </c>
      <c r="BB312" s="499"/>
      <c r="BC312" s="271"/>
      <c r="BD312" s="279">
        <v>1</v>
      </c>
      <c r="BE312" s="271"/>
      <c r="BF312" s="271"/>
      <c r="BG312" s="271"/>
      <c r="BH312" s="271"/>
      <c r="BI312" s="271"/>
      <c r="BJ312" s="271"/>
      <c r="BK312" s="271"/>
      <c r="BL312" s="271"/>
    </row>
    <row r="313" spans="18:64" ht="21" customHeight="1" x14ac:dyDescent="0.25">
      <c r="R313" s="34" t="s">
        <v>493</v>
      </c>
      <c r="S313" s="451"/>
      <c r="T313" s="27" t="s">
        <v>8</v>
      </c>
      <c r="V313" s="475">
        <v>7</v>
      </c>
      <c r="W313" s="475" t="str">
        <f>IF($AC$313="","",$W$288)</f>
        <v/>
      </c>
      <c r="X313" s="476" t="str">
        <f>IF($AC$313="","",$X$288)</f>
        <v/>
      </c>
      <c r="Y313" s="477" t="str">
        <f>IF($X$313="","",$Y$288)</f>
        <v/>
      </c>
      <c r="Z313" s="477" t="str">
        <f>IF($X$313="","",$Z$288)</f>
        <v/>
      </c>
      <c r="AA313" s="477" t="str">
        <f>IF($AC$313="","",ROW($A$313)-ROW($A$288))</f>
        <v/>
      </c>
      <c r="AB313" s="478"/>
      <c r="AC313" s="34"/>
      <c r="AD313" s="356"/>
      <c r="AE313" s="479"/>
      <c r="AF313" s="475"/>
      <c r="AG313" s="480" t="str">
        <f t="shared" si="76"/>
        <v/>
      </c>
      <c r="AH313" s="481" t="str">
        <f t="shared" si="77"/>
        <v/>
      </c>
      <c r="AI313" s="477" t="str">
        <f>IF($AC$313="","",IFERROR(INDEX($AZ$74:$AZ$119,MATCH($AH$313,$AY$74:$AY$119,0)),"AUTRE"))</f>
        <v/>
      </c>
      <c r="AJ313" s="482" t="str">
        <f>IF($AC$313="","",IFERROR(INDEX($BA$74:$BA$119,MATCH($AH$313,$AY$74:$AY$119,0)),1))</f>
        <v/>
      </c>
      <c r="AK313" s="482" t="str">
        <f t="shared" si="66"/>
        <v/>
      </c>
      <c r="AL313" s="477" t="str">
        <f>IF($AC$313="","",IFERROR(INDEX($BB$74:$BB$119,MATCH($AH$313,$AY$74:$AY$119,0)),$AH$313))</f>
        <v/>
      </c>
      <c r="AM313" s="483" t="str">
        <f t="shared" si="78"/>
        <v/>
      </c>
      <c r="AN313" s="484" t="str">
        <f t="shared" si="79"/>
        <v/>
      </c>
      <c r="AO313" s="473" t="str">
        <f t="shared" si="80"/>
        <v/>
      </c>
      <c r="AP313" s="473" t="str">
        <f t="shared" si="81"/>
        <v/>
      </c>
      <c r="AQ313" s="473" t="str">
        <f t="shared" si="82"/>
        <v/>
      </c>
      <c r="AR313" s="473" t="str">
        <f t="shared" si="83"/>
        <v/>
      </c>
      <c r="AS313" s="473" t="str">
        <f t="shared" si="84"/>
        <v/>
      </c>
      <c r="AT313" s="473" t="str">
        <f t="shared" si="85"/>
        <v/>
      </c>
      <c r="AU313" s="473" t="str">
        <f t="shared" si="86"/>
        <v/>
      </c>
      <c r="AZ313" s="30" t="s">
        <v>12</v>
      </c>
      <c r="BA313" s="34" t="s">
        <v>483</v>
      </c>
      <c r="BB313" s="499"/>
      <c r="BC313" s="271"/>
      <c r="BD313" s="279">
        <v>1</v>
      </c>
      <c r="BE313" s="271"/>
      <c r="BF313" s="271"/>
      <c r="BG313" s="271"/>
      <c r="BH313" s="271"/>
      <c r="BI313" s="271"/>
      <c r="BJ313" s="271"/>
      <c r="BK313" s="271"/>
      <c r="BL313" s="271"/>
    </row>
    <row r="314" spans="18:64" ht="21" customHeight="1" x14ac:dyDescent="0.25">
      <c r="R314" s="34" t="s">
        <v>494</v>
      </c>
      <c r="S314" s="451"/>
      <c r="T314" s="28" t="s">
        <v>13</v>
      </c>
      <c r="V314" s="475">
        <v>7</v>
      </c>
      <c r="W314" s="475" t="str">
        <f>IF($AC$314="","",$W$288)</f>
        <v/>
      </c>
      <c r="X314" s="476" t="str">
        <f>IF($AC$314="","",$X$288)</f>
        <v/>
      </c>
      <c r="Y314" s="477" t="str">
        <f>IF($X$314="","",$Y$288)</f>
        <v/>
      </c>
      <c r="Z314" s="477" t="str">
        <f>IF($X$314="","",$Z$288)</f>
        <v/>
      </c>
      <c r="AA314" s="477" t="str">
        <f>IF($AC$314="","",ROW($A$314)-ROW($A$288))</f>
        <v/>
      </c>
      <c r="AB314" s="478"/>
      <c r="AC314" s="34"/>
      <c r="AD314" s="356"/>
      <c r="AE314" s="479"/>
      <c r="AF314" s="475"/>
      <c r="AG314" s="480" t="str">
        <f t="shared" si="76"/>
        <v/>
      </c>
      <c r="AH314" s="481" t="str">
        <f t="shared" si="77"/>
        <v/>
      </c>
      <c r="AI314" s="477" t="str">
        <f>IF($AC$314="","",IFERROR(INDEX($AZ$74:$AZ$119,MATCH($AH$314,$AY$74:$AY$119,0)),"AUTRE"))</f>
        <v/>
      </c>
      <c r="AJ314" s="482" t="str">
        <f>IF($AC$314="","",IFERROR(INDEX($BA$74:$BA$119,MATCH($AH$314,$AY$74:$AY$119,0)),1))</f>
        <v/>
      </c>
      <c r="AK314" s="482" t="str">
        <f t="shared" si="66"/>
        <v/>
      </c>
      <c r="AL314" s="477" t="str">
        <f>IF($AC$314="","",IFERROR(INDEX($BB$74:$BB$119,MATCH($AH$314,$AY$74:$AY$119,0)),$AH$314))</f>
        <v/>
      </c>
      <c r="AM314" s="483" t="str">
        <f t="shared" si="78"/>
        <v/>
      </c>
      <c r="AN314" s="484" t="str">
        <f t="shared" si="79"/>
        <v/>
      </c>
      <c r="AO314" s="473" t="str">
        <f t="shared" si="80"/>
        <v/>
      </c>
      <c r="AP314" s="473" t="str">
        <f t="shared" si="81"/>
        <v/>
      </c>
      <c r="AQ314" s="473" t="str">
        <f t="shared" si="82"/>
        <v/>
      </c>
      <c r="AR314" s="473" t="str">
        <f t="shared" si="83"/>
        <v/>
      </c>
      <c r="AS314" s="473" t="str">
        <f t="shared" si="84"/>
        <v/>
      </c>
      <c r="AT314" s="473" t="str">
        <f t="shared" si="85"/>
        <v/>
      </c>
      <c r="AU314" s="473" t="str">
        <f t="shared" si="86"/>
        <v/>
      </c>
      <c r="AZ314" s="31" t="s">
        <v>16</v>
      </c>
      <c r="BA314" s="34" t="s">
        <v>493</v>
      </c>
      <c r="BB314" s="499"/>
      <c r="BC314" s="271"/>
      <c r="BD314" s="279">
        <v>1</v>
      </c>
      <c r="BE314" s="271"/>
      <c r="BF314" s="271"/>
      <c r="BG314" s="271"/>
      <c r="BH314" s="271"/>
      <c r="BI314" s="271"/>
      <c r="BJ314" s="271"/>
      <c r="BK314" s="271"/>
      <c r="BL314" s="271"/>
    </row>
    <row r="315" spans="18:64" ht="21" customHeight="1" x14ac:dyDescent="0.25">
      <c r="S315" s="451"/>
      <c r="T315" s="28" t="s">
        <v>14</v>
      </c>
      <c r="V315" s="475">
        <v>7</v>
      </c>
      <c r="W315" s="475" t="str">
        <f>IF($AC$315="","",$W$288)</f>
        <v/>
      </c>
      <c r="X315" s="476" t="str">
        <f>IF($AC$315="","",$X$288)</f>
        <v/>
      </c>
      <c r="Y315" s="477" t="str">
        <f>IF($X$315="","",$Y$288)</f>
        <v/>
      </c>
      <c r="Z315" s="477" t="str">
        <f>IF($X$315="","",$Z$288)</f>
        <v/>
      </c>
      <c r="AA315" s="477" t="str">
        <f>IF($AC$315="","",ROW($A$315)-ROW($A$288))</f>
        <v/>
      </c>
      <c r="AB315" s="478"/>
      <c r="AC315" s="34"/>
      <c r="AD315" s="356"/>
      <c r="AE315" s="479"/>
      <c r="AF315" s="475"/>
      <c r="AG315" s="480" t="str">
        <f t="shared" si="76"/>
        <v/>
      </c>
      <c r="AH315" s="481" t="str">
        <f t="shared" si="77"/>
        <v/>
      </c>
      <c r="AI315" s="477" t="str">
        <f>IF($AC$315="","",IFERROR(INDEX($AZ$74:$AZ$119,MATCH($AH$315,$AY$74:$AY$119,0)),"AUTRE"))</f>
        <v/>
      </c>
      <c r="AJ315" s="482" t="str">
        <f>IF($AC$315="","",IFERROR(INDEX($BA$74:$BA$119,MATCH($AH$315,$AY$74:$AY$119,0)),1))</f>
        <v/>
      </c>
      <c r="AK315" s="482" t="str">
        <f t="shared" si="66"/>
        <v/>
      </c>
      <c r="AL315" s="477" t="str">
        <f>IF($AC$315="","",IFERROR(INDEX($BB$74:$BB$119,MATCH($AH$315,$AY$74:$AY$119,0)),$AH$315))</f>
        <v/>
      </c>
      <c r="AM315" s="483" t="str">
        <f t="shared" si="78"/>
        <v/>
      </c>
      <c r="AN315" s="484" t="str">
        <f t="shared" si="79"/>
        <v/>
      </c>
      <c r="AO315" s="473" t="str">
        <f t="shared" si="80"/>
        <v/>
      </c>
      <c r="AP315" s="473" t="str">
        <f t="shared" si="81"/>
        <v/>
      </c>
      <c r="AQ315" s="473" t="str">
        <f t="shared" si="82"/>
        <v/>
      </c>
      <c r="AR315" s="473" t="str">
        <f t="shared" si="83"/>
        <v/>
      </c>
      <c r="AS315" s="473" t="str">
        <f t="shared" si="84"/>
        <v/>
      </c>
      <c r="AT315" s="473" t="str">
        <f t="shared" si="85"/>
        <v/>
      </c>
      <c r="AU315" s="473" t="str">
        <f t="shared" si="86"/>
        <v/>
      </c>
      <c r="AZ315" s="31" t="s">
        <v>17</v>
      </c>
      <c r="BA315" s="34" t="s">
        <v>494</v>
      </c>
      <c r="BB315" s="499"/>
      <c r="BC315" s="271"/>
      <c r="BD315" s="279">
        <v>1</v>
      </c>
      <c r="BE315" s="271"/>
      <c r="BF315" s="271"/>
      <c r="BG315" s="271"/>
      <c r="BH315" s="271"/>
      <c r="BI315" s="271"/>
      <c r="BJ315" s="271"/>
      <c r="BK315" s="271"/>
      <c r="BL315" s="271"/>
    </row>
    <row r="316" spans="18:64" ht="21" customHeight="1" x14ac:dyDescent="0.25">
      <c r="R316" s="25" t="s">
        <v>6115</v>
      </c>
      <c r="S316" s="451"/>
      <c r="T316" s="28" t="s">
        <v>15</v>
      </c>
      <c r="V316" s="475">
        <v>7</v>
      </c>
      <c r="W316" s="475" t="str">
        <f>IF($AC$316="","",$W$288)</f>
        <v/>
      </c>
      <c r="X316" s="476" t="str">
        <f>IF($AC$316="","",$X$288)</f>
        <v/>
      </c>
      <c r="Y316" s="477" t="str">
        <f>IF($X$316="","",$Y$288)</f>
        <v/>
      </c>
      <c r="Z316" s="477" t="str">
        <f>IF($X$316="","",$Z$288)</f>
        <v/>
      </c>
      <c r="AA316" s="477" t="str">
        <f>IF($AC$316="","",ROW($A$316)-ROW($A$288))</f>
        <v/>
      </c>
      <c r="AB316" s="478"/>
      <c r="AC316" s="34"/>
      <c r="AD316" s="356"/>
      <c r="AE316" s="479"/>
      <c r="AF316" s="475"/>
      <c r="AG316" s="480" t="str">
        <f t="shared" si="76"/>
        <v/>
      </c>
      <c r="AH316" s="481" t="str">
        <f t="shared" si="77"/>
        <v/>
      </c>
      <c r="AI316" s="477" t="str">
        <f>IF($AC$316="","",IFERROR(INDEX($AZ$74:$AZ$119,MATCH($AH$316,$AY$74:$AY$119,0)),"AUTRE"))</f>
        <v/>
      </c>
      <c r="AJ316" s="482" t="str">
        <f>IF($AC$316="","",IFERROR(INDEX($BA$74:$BA$119,MATCH($AH$316,$AY$74:$AY$119,0)),1))</f>
        <v/>
      </c>
      <c r="AK316" s="482" t="str">
        <f t="shared" ref="AK316:AK322" si="87">IF(OR(AG316="",AJ316=""),"",AG316*AJ316)</f>
        <v/>
      </c>
      <c r="AL316" s="477" t="str">
        <f>IF($AC$316="","",IFERROR(INDEX($BB$74:$BB$119,MATCH($AH$316,$AY$74:$AY$119,0)),$AH$316))</f>
        <v/>
      </c>
      <c r="AM316" s="483" t="str">
        <f t="shared" si="78"/>
        <v/>
      </c>
      <c r="AN316" s="484" t="str">
        <f t="shared" si="79"/>
        <v/>
      </c>
      <c r="AO316" s="473" t="str">
        <f t="shared" si="80"/>
        <v/>
      </c>
      <c r="AP316" s="473" t="str">
        <f t="shared" si="81"/>
        <v/>
      </c>
      <c r="AQ316" s="473" t="str">
        <f t="shared" si="82"/>
        <v/>
      </c>
      <c r="AR316" s="473" t="str">
        <f t="shared" si="83"/>
        <v/>
      </c>
      <c r="AS316" s="473" t="str">
        <f t="shared" si="84"/>
        <v/>
      </c>
      <c r="AT316" s="473" t="str">
        <f t="shared" si="85"/>
        <v/>
      </c>
      <c r="AU316" s="473" t="str">
        <f t="shared" si="86"/>
        <v/>
      </c>
      <c r="AY316" s="271"/>
      <c r="AZ316" s="31" t="s">
        <v>18</v>
      </c>
      <c r="BB316" s="499"/>
      <c r="BC316" s="271"/>
      <c r="BD316" s="279">
        <v>1</v>
      </c>
      <c r="BE316" s="271"/>
      <c r="BF316" s="271"/>
      <c r="BG316" s="271"/>
      <c r="BH316" s="271"/>
      <c r="BI316" s="271"/>
      <c r="BJ316" s="271"/>
      <c r="BK316" s="271"/>
      <c r="BL316" s="271"/>
    </row>
    <row r="317" spans="18:64" ht="21" customHeight="1" x14ac:dyDescent="0.25">
      <c r="R317" s="34" t="s">
        <v>471</v>
      </c>
      <c r="S317" s="451"/>
      <c r="T317" s="28" t="s">
        <v>21</v>
      </c>
      <c r="V317" s="475">
        <v>7</v>
      </c>
      <c r="W317" s="475" t="str">
        <f>IF($AC$317="","",$W$288)</f>
        <v/>
      </c>
      <c r="X317" s="476" t="str">
        <f>IF($AC$317="","",$X$288)</f>
        <v/>
      </c>
      <c r="Y317" s="477" t="str">
        <f>IF($X$317="","",$Y$288)</f>
        <v/>
      </c>
      <c r="Z317" s="477" t="str">
        <f>IF($X$317="","",$Z$288)</f>
        <v/>
      </c>
      <c r="AA317" s="477" t="str">
        <f>IF($AC$317="","",ROW($A$317)-ROW($A$288))</f>
        <v/>
      </c>
      <c r="AB317" s="478"/>
      <c r="AC317" s="34"/>
      <c r="AD317" s="356"/>
      <c r="AE317" s="479"/>
      <c r="AF317" s="475"/>
      <c r="AG317" s="480" t="str">
        <f t="shared" si="76"/>
        <v/>
      </c>
      <c r="AH317" s="481" t="str">
        <f t="shared" si="77"/>
        <v/>
      </c>
      <c r="AI317" s="477" t="str">
        <f>IF($AC$317="","",IFERROR(INDEX($AZ$74:$AZ$119,MATCH($AH$317,$AY$74:$AY$119,0)),"AUTRE"))</f>
        <v/>
      </c>
      <c r="AJ317" s="482" t="str">
        <f>IF($AC$317="","",IFERROR(INDEX($BA$74:$BA$119,MATCH($AH$317,$AY$74:$AY$119,0)),1))</f>
        <v/>
      </c>
      <c r="AK317" s="482" t="str">
        <f t="shared" si="87"/>
        <v/>
      </c>
      <c r="AL317" s="477" t="str">
        <f>IF($AC$317="","",IFERROR(INDEX($BB$74:$BB$119,MATCH($AH$317,$AY$74:$AY$119,0)),$AH$317))</f>
        <v/>
      </c>
      <c r="AM317" s="483" t="str">
        <f t="shared" si="78"/>
        <v/>
      </c>
      <c r="AN317" s="484" t="str">
        <f t="shared" si="79"/>
        <v/>
      </c>
      <c r="AO317" s="473" t="str">
        <f t="shared" si="80"/>
        <v/>
      </c>
      <c r="AP317" s="473" t="str">
        <f t="shared" si="81"/>
        <v/>
      </c>
      <c r="AQ317" s="473" t="str">
        <f t="shared" si="82"/>
        <v/>
      </c>
      <c r="AR317" s="473" t="str">
        <f t="shared" si="83"/>
        <v/>
      </c>
      <c r="AS317" s="473" t="str">
        <f t="shared" si="84"/>
        <v/>
      </c>
      <c r="AT317" s="473" t="str">
        <f t="shared" si="85"/>
        <v/>
      </c>
      <c r="AU317" s="473" t="str">
        <f t="shared" si="86"/>
        <v/>
      </c>
      <c r="AY317" s="497" t="s">
        <v>8145</v>
      </c>
      <c r="AZ317" s="31" t="s">
        <v>19</v>
      </c>
      <c r="BA317" s="25" t="s">
        <v>6115</v>
      </c>
      <c r="BB317" s="499"/>
      <c r="BC317" s="271"/>
      <c r="BD317" s="279">
        <v>1</v>
      </c>
      <c r="BE317" s="271"/>
      <c r="BF317" s="271"/>
      <c r="BG317" s="271"/>
      <c r="BH317" s="271"/>
      <c r="BI317" s="271"/>
      <c r="BJ317" s="271"/>
      <c r="BK317" s="271"/>
      <c r="BL317" s="271"/>
    </row>
    <row r="318" spans="18:64" ht="21" customHeight="1" x14ac:dyDescent="0.25">
      <c r="R318" s="34" t="s">
        <v>472</v>
      </c>
      <c r="S318" s="451"/>
      <c r="T318" s="28" t="s">
        <v>22</v>
      </c>
      <c r="V318" s="475">
        <v>7</v>
      </c>
      <c r="W318" s="475" t="str">
        <f>IF($AC$318="","",$W$288)</f>
        <v/>
      </c>
      <c r="X318" s="476" t="str">
        <f>IF($AC$318="","",$X$288)</f>
        <v/>
      </c>
      <c r="Y318" s="477" t="str">
        <f>IF($X$318="","",$Y$288)</f>
        <v/>
      </c>
      <c r="Z318" s="477" t="str">
        <f>IF($X$318="","",$Z$288)</f>
        <v/>
      </c>
      <c r="AA318" s="477" t="str">
        <f>IF($AC$318="","",ROW($A$318)-ROW($A$288))</f>
        <v/>
      </c>
      <c r="AB318" s="478"/>
      <c r="AC318" s="34"/>
      <c r="AD318" s="356"/>
      <c r="AE318" s="479"/>
      <c r="AF318" s="475"/>
      <c r="AG318" s="480" t="str">
        <f t="shared" si="76"/>
        <v/>
      </c>
      <c r="AH318" s="481" t="str">
        <f t="shared" si="77"/>
        <v/>
      </c>
      <c r="AI318" s="477" t="str">
        <f>IF($AC$318="","",IFERROR(INDEX($AZ$74:$AZ$119,MATCH($AH$318,$AY$74:$AY$119,0)),"AUTRE"))</f>
        <v/>
      </c>
      <c r="AJ318" s="482" t="str">
        <f>IF($AC$318="","",IFERROR(INDEX($BA$74:$BA$119,MATCH($AH$318,$AY$74:$AY$119,0)),1))</f>
        <v/>
      </c>
      <c r="AK318" s="482" t="str">
        <f t="shared" si="87"/>
        <v/>
      </c>
      <c r="AL318" s="477" t="str">
        <f>IF($AC$318="","",IFERROR(INDEX($BB$74:$BB$119,MATCH($AH$318,$AY$74:$AY$119,0)),$AH$318))</f>
        <v/>
      </c>
      <c r="AM318" s="483" t="str">
        <f t="shared" si="78"/>
        <v/>
      </c>
      <c r="AN318" s="484" t="str">
        <f t="shared" si="79"/>
        <v/>
      </c>
      <c r="AO318" s="473" t="str">
        <f t="shared" si="80"/>
        <v/>
      </c>
      <c r="AP318" s="473" t="str">
        <f t="shared" si="81"/>
        <v/>
      </c>
      <c r="AQ318" s="473" t="str">
        <f t="shared" si="82"/>
        <v/>
      </c>
      <c r="AR318" s="473" t="str">
        <f t="shared" si="83"/>
        <v/>
      </c>
      <c r="AS318" s="473" t="str">
        <f t="shared" si="84"/>
        <v/>
      </c>
      <c r="AT318" s="473" t="str">
        <f t="shared" si="85"/>
        <v/>
      </c>
      <c r="AU318" s="473" t="str">
        <f t="shared" si="86"/>
        <v/>
      </c>
      <c r="AY318" s="497" t="s">
        <v>462</v>
      </c>
      <c r="AZ318" s="31" t="s">
        <v>211</v>
      </c>
      <c r="BA318" s="34" t="s">
        <v>471</v>
      </c>
      <c r="BB318" s="499"/>
      <c r="BC318" s="271"/>
      <c r="BD318" s="279">
        <v>1</v>
      </c>
      <c r="BE318" s="271"/>
      <c r="BF318" s="271"/>
      <c r="BG318" s="271"/>
      <c r="BH318" s="271"/>
      <c r="BI318" s="271"/>
      <c r="BJ318" s="271"/>
      <c r="BK318" s="271"/>
      <c r="BL318" s="271"/>
    </row>
    <row r="319" spans="18:64" ht="21" customHeight="1" x14ac:dyDescent="0.25">
      <c r="R319" s="34" t="s">
        <v>6112</v>
      </c>
      <c r="S319" s="451"/>
      <c r="T319" s="28" t="s">
        <v>23</v>
      </c>
      <c r="V319" s="475">
        <v>7</v>
      </c>
      <c r="W319" s="475" t="str">
        <f>IF($AC$319="","",$W$288)</f>
        <v/>
      </c>
      <c r="X319" s="476" t="str">
        <f>IF($AC$319="","",$X$288)</f>
        <v/>
      </c>
      <c r="Y319" s="477" t="str">
        <f>IF($X$319="","",$Y$288)</f>
        <v/>
      </c>
      <c r="Z319" s="477" t="str">
        <f>IF($X$319="","",$Z$288)</f>
        <v/>
      </c>
      <c r="AA319" s="477" t="str">
        <f>IF($AC$319="","",ROW($A$319)-ROW($A$288))</f>
        <v/>
      </c>
      <c r="AB319" s="478"/>
      <c r="AC319" s="34"/>
      <c r="AD319" s="356"/>
      <c r="AE319" s="479"/>
      <c r="AF319" s="475"/>
      <c r="AG319" s="480" t="str">
        <f t="shared" si="76"/>
        <v/>
      </c>
      <c r="AH319" s="481" t="str">
        <f t="shared" si="77"/>
        <v/>
      </c>
      <c r="AI319" s="477" t="str">
        <f>IF($AC$319="","",IFERROR(INDEX($AZ$74:$AZ$119,MATCH($AH$319,$AY$74:$AY$119,0)),"AUTRE"))</f>
        <v/>
      </c>
      <c r="AJ319" s="482" t="str">
        <f>IF($AC$319="","",IFERROR(INDEX($BA$74:$BA$119,MATCH($AH$319,$AY$74:$AY$119,0)),1))</f>
        <v/>
      </c>
      <c r="AK319" s="482" t="str">
        <f t="shared" si="87"/>
        <v/>
      </c>
      <c r="AL319" s="477" t="str">
        <f>IF($AC$319="","",IFERROR(INDEX($BB$74:$BB$119,MATCH($AH$319,$AY$74:$AY$119,0)),$AH$319))</f>
        <v/>
      </c>
      <c r="AM319" s="483" t="str">
        <f t="shared" si="78"/>
        <v/>
      </c>
      <c r="AN319" s="484" t="str">
        <f t="shared" si="79"/>
        <v/>
      </c>
      <c r="AO319" s="473" t="str">
        <f t="shared" si="80"/>
        <v/>
      </c>
      <c r="AP319" s="473" t="str">
        <f t="shared" si="81"/>
        <v/>
      </c>
      <c r="AQ319" s="473" t="str">
        <f t="shared" si="82"/>
        <v/>
      </c>
      <c r="AR319" s="473" t="str">
        <f t="shared" si="83"/>
        <v/>
      </c>
      <c r="AS319" s="473" t="str">
        <f t="shared" si="84"/>
        <v/>
      </c>
      <c r="AT319" s="473" t="str">
        <f t="shared" si="85"/>
        <v/>
      </c>
      <c r="AU319" s="473" t="str">
        <f t="shared" si="86"/>
        <v/>
      </c>
      <c r="AY319" s="497" t="s">
        <v>463</v>
      </c>
      <c r="AZ319" s="31" t="s">
        <v>20</v>
      </c>
      <c r="BA319" s="34" t="s">
        <v>472</v>
      </c>
      <c r="BB319" s="499"/>
      <c r="BC319" s="271"/>
      <c r="BD319" s="279">
        <v>1</v>
      </c>
      <c r="BE319" s="271"/>
      <c r="BF319" s="271"/>
      <c r="BG319" s="271"/>
      <c r="BH319" s="271"/>
      <c r="BI319" s="271"/>
      <c r="BJ319" s="271"/>
      <c r="BK319" s="271"/>
      <c r="BL319" s="271"/>
    </row>
    <row r="320" spans="18:64" ht="21" customHeight="1" x14ac:dyDescent="0.25">
      <c r="R320" s="25" t="s">
        <v>6116</v>
      </c>
      <c r="S320" s="451"/>
      <c r="T320" s="28" t="s">
        <v>24</v>
      </c>
      <c r="V320" s="475">
        <v>7</v>
      </c>
      <c r="W320" s="475" t="str">
        <f>IF($AC$320="","",$W$288)</f>
        <v/>
      </c>
      <c r="X320" s="476" t="str">
        <f>IF($AC$320="","",$X$288)</f>
        <v/>
      </c>
      <c r="Y320" s="477" t="str">
        <f>IF($X$320="","",$Y$288)</f>
        <v/>
      </c>
      <c r="Z320" s="477" t="str">
        <f>IF($X$320="","",$Z$288)</f>
        <v/>
      </c>
      <c r="AA320" s="477" t="str">
        <f>IF($AC$320="","",ROW($A$320)-ROW($A$288))</f>
        <v/>
      </c>
      <c r="AB320" s="478"/>
      <c r="AC320" s="34"/>
      <c r="AD320" s="356"/>
      <c r="AE320" s="479"/>
      <c r="AF320" s="475"/>
      <c r="AG320" s="480" t="str">
        <f t="shared" si="76"/>
        <v/>
      </c>
      <c r="AH320" s="481" t="str">
        <f t="shared" si="77"/>
        <v/>
      </c>
      <c r="AI320" s="477" t="str">
        <f>IF($AC$320="","",IFERROR(INDEX($AZ$74:$AZ$119,MATCH($AH$320,$AY$74:$AY$119,0)),"AUTRE"))</f>
        <v/>
      </c>
      <c r="AJ320" s="482" t="str">
        <f>IF($AC$320="","",IFERROR(INDEX($BA$74:$BA$119,MATCH($AH$320,$AY$74:$AY$119,0)),1))</f>
        <v/>
      </c>
      <c r="AK320" s="482" t="str">
        <f t="shared" si="87"/>
        <v/>
      </c>
      <c r="AL320" s="477" t="str">
        <f>IF($AC$320="","",IFERROR(INDEX($BB$74:$BB$119,MATCH($AH$320,$AY$74:$AY$119,0)),$AH$320))</f>
        <v/>
      </c>
      <c r="AM320" s="483" t="str">
        <f t="shared" si="78"/>
        <v/>
      </c>
      <c r="AN320" s="484" t="str">
        <f t="shared" si="79"/>
        <v/>
      </c>
      <c r="AO320" s="473" t="str">
        <f t="shared" si="80"/>
        <v/>
      </c>
      <c r="AP320" s="473" t="str">
        <f t="shared" si="81"/>
        <v/>
      </c>
      <c r="AQ320" s="473" t="str">
        <f t="shared" si="82"/>
        <v/>
      </c>
      <c r="AR320" s="473" t="str">
        <f t="shared" si="83"/>
        <v/>
      </c>
      <c r="AS320" s="473" t="str">
        <f t="shared" si="84"/>
        <v/>
      </c>
      <c r="AT320" s="473" t="str">
        <f t="shared" si="85"/>
        <v/>
      </c>
      <c r="AU320" s="473" t="str">
        <f t="shared" si="86"/>
        <v/>
      </c>
      <c r="AY320" s="497" t="s">
        <v>8147</v>
      </c>
      <c r="AZ320" s="31" t="s">
        <v>304</v>
      </c>
      <c r="BA320" s="34" t="s">
        <v>6112</v>
      </c>
      <c r="BB320" s="499"/>
      <c r="BC320" s="271"/>
      <c r="BD320" s="279">
        <v>1</v>
      </c>
      <c r="BE320" s="271"/>
      <c r="BF320" s="271"/>
      <c r="BG320" s="271"/>
      <c r="BH320" s="271"/>
      <c r="BI320" s="271"/>
      <c r="BJ320" s="271"/>
      <c r="BK320" s="271"/>
      <c r="BL320" s="271"/>
    </row>
    <row r="321" spans="18:64" ht="21" customHeight="1" x14ac:dyDescent="0.25">
      <c r="R321" s="34" t="s">
        <v>6117</v>
      </c>
      <c r="S321" s="451"/>
      <c r="T321" s="29" t="s">
        <v>9</v>
      </c>
      <c r="V321" s="475">
        <v>7</v>
      </c>
      <c r="W321" s="475" t="str">
        <f>IF($AC$321="","",$W$288)</f>
        <v>N° 17</v>
      </c>
      <c r="X321" s="476" t="str">
        <f>IF($AC$321="","",$X$288)</f>
        <v>CONCOMBRE AU YAOURT (TZATZIKI)*</v>
      </c>
      <c r="Y321" s="477">
        <f>IF($X$321="","",$Y$288)</f>
        <v>34</v>
      </c>
      <c r="Z321" s="477">
        <f>IF($X$321="","",$Z$288)</f>
        <v>100</v>
      </c>
      <c r="AA321" s="477">
        <f>IF($AC$321="","",ROW($A$321)-ROW($A$288))</f>
        <v>33</v>
      </c>
      <c r="AB321" s="478"/>
      <c r="AC321" s="34" t="s">
        <v>8177</v>
      </c>
      <c r="AD321" s="356"/>
      <c r="AE321" s="479">
        <v>1</v>
      </c>
      <c r="AF321" s="497" t="s">
        <v>462</v>
      </c>
      <c r="AG321" s="480">
        <f t="shared" si="76"/>
        <v>1</v>
      </c>
      <c r="AH321" s="481" t="str">
        <f t="shared" si="77"/>
        <v>BAC(S)</v>
      </c>
      <c r="AI321" s="477" t="str">
        <f>IF($AC$321="","",IFERROR(INDEX($AZ$74:$AZ$119,MATCH($AH$321,$AY$74:$AY$119,0)),"AUTRE"))</f>
        <v>AUTRE</v>
      </c>
      <c r="AJ321" s="482">
        <f>IF($AC$321="","",IFERROR(INDEX($BA$74:$BA$119,MATCH($AH$321,$AY$74:$AY$119,0)),1))</f>
        <v>1</v>
      </c>
      <c r="AK321" s="482">
        <f t="shared" si="87"/>
        <v>1</v>
      </c>
      <c r="AL321" s="477" t="str">
        <f>IF($AC$321="","",IFERROR(INDEX($BB$74:$BB$119,MATCH($AH$321,$AY$74:$AY$119,0)),$AH$321))</f>
        <v>bac(s)</v>
      </c>
      <c r="AM321" s="483" t="str">
        <f t="shared" si="78"/>
        <v>OK</v>
      </c>
      <c r="AN321" s="484">
        <f t="shared" si="79"/>
        <v>1</v>
      </c>
      <c r="AO321" s="473" t="str">
        <f t="shared" si="80"/>
        <v/>
      </c>
      <c r="AP321" s="473" t="str">
        <f t="shared" si="81"/>
        <v/>
      </c>
      <c r="AQ321" s="473" t="str">
        <f t="shared" si="82"/>
        <v/>
      </c>
      <c r="AR321" s="473" t="str">
        <f t="shared" si="83"/>
        <v/>
      </c>
      <c r="AS321" s="473" t="str">
        <f t="shared" si="84"/>
        <v/>
      </c>
      <c r="AT321" s="473" t="str">
        <f t="shared" si="85"/>
        <v/>
      </c>
      <c r="AU321" s="473" t="str">
        <f t="shared" si="86"/>
        <v/>
      </c>
      <c r="AY321" s="497" t="s">
        <v>465</v>
      </c>
      <c r="AZ321" s="31" t="s">
        <v>352</v>
      </c>
      <c r="BA321" s="25" t="s">
        <v>6116</v>
      </c>
      <c r="BB321" s="499"/>
      <c r="BC321" s="271"/>
      <c r="BD321" s="279">
        <v>1</v>
      </c>
      <c r="BE321" s="271"/>
      <c r="BF321" s="271"/>
      <c r="BG321" s="271"/>
      <c r="BH321" s="271"/>
      <c r="BI321" s="271"/>
      <c r="BJ321" s="271"/>
      <c r="BK321" s="271"/>
      <c r="BL321" s="271"/>
    </row>
    <row r="322" spans="18:64" ht="21" customHeight="1" x14ac:dyDescent="0.25">
      <c r="R322" s="34" t="s">
        <v>469</v>
      </c>
      <c r="S322" s="451"/>
      <c r="T322" s="30" t="s">
        <v>10</v>
      </c>
      <c r="V322" s="475">
        <v>7</v>
      </c>
      <c r="W322" s="475" t="str">
        <f>IF($AC$322="","",$W$288)</f>
        <v>N° 17</v>
      </c>
      <c r="X322" s="476" t="str">
        <f>IF($AC$322="","",$X$288)</f>
        <v>CONCOMBRE AU YAOURT (TZATZIKI)*</v>
      </c>
      <c r="Y322" s="477">
        <f>IF($X$322="","",$Y$288)</f>
        <v>34</v>
      </c>
      <c r="Z322" s="477">
        <f>IF($X$322="","",$Z$288)</f>
        <v>100</v>
      </c>
      <c r="AA322" s="477">
        <f>IF($AC$322="","",ROW($A$322)-ROW($A$288))</f>
        <v>34</v>
      </c>
      <c r="AB322" s="478"/>
      <c r="AC322" s="34" t="s">
        <v>8181</v>
      </c>
      <c r="AD322" s="356"/>
      <c r="AE322" s="479">
        <v>1</v>
      </c>
      <c r="AF322" s="497" t="s">
        <v>462</v>
      </c>
      <c r="AG322" s="491">
        <f t="shared" si="76"/>
        <v>1</v>
      </c>
      <c r="AH322" s="481" t="str">
        <f t="shared" si="77"/>
        <v>BAC(S)</v>
      </c>
      <c r="AI322" s="477" t="str">
        <f>IF($AC$322="","",IFERROR(INDEX($AZ$74:$AZ$119,MATCH($AH$322,$AY$74:$AY$119,0)),"AUTRE"))</f>
        <v>AUTRE</v>
      </c>
      <c r="AJ322" s="482">
        <f>IF($AC$322="","",IFERROR(INDEX($BA$74:$BA$119,MATCH($AH$322,$AY$74:$AY$119,0)),1))</f>
        <v>1</v>
      </c>
      <c r="AK322" s="482">
        <f t="shared" si="87"/>
        <v>1</v>
      </c>
      <c r="AL322" s="477" t="str">
        <f>IF($AC$322="","",IFERROR(INDEX($BB$74:$BB$119,MATCH($AH$322,$AY$74:$AY$119,0)),$AH$322))</f>
        <v>bac(s)</v>
      </c>
      <c r="AM322" s="483" t="str">
        <f t="shared" si="78"/>
        <v>OK</v>
      </c>
      <c r="AN322" s="484">
        <f t="shared" si="79"/>
        <v>1</v>
      </c>
      <c r="AO322" s="473" t="str">
        <f t="shared" si="80"/>
        <v/>
      </c>
      <c r="AP322" s="473" t="str">
        <f t="shared" si="81"/>
        <v/>
      </c>
      <c r="AQ322" s="473" t="str">
        <f t="shared" si="82"/>
        <v/>
      </c>
      <c r="AR322" s="473" t="str">
        <f t="shared" si="83"/>
        <v/>
      </c>
      <c r="AS322" s="473" t="str">
        <f t="shared" si="84"/>
        <v/>
      </c>
      <c r="AT322" s="473" t="str">
        <f t="shared" si="85"/>
        <v/>
      </c>
      <c r="AU322" s="473" t="str">
        <f t="shared" si="86"/>
        <v/>
      </c>
      <c r="AY322" s="497" t="s">
        <v>466</v>
      </c>
      <c r="AZ322" s="31" t="s">
        <v>27</v>
      </c>
      <c r="BA322" s="34" t="s">
        <v>6117</v>
      </c>
      <c r="BB322" s="499"/>
      <c r="BC322" s="271"/>
      <c r="BD322" s="279">
        <v>1</v>
      </c>
      <c r="BE322" s="271"/>
      <c r="BF322" s="271"/>
      <c r="BG322" s="271"/>
      <c r="BH322" s="271"/>
      <c r="BI322" s="271"/>
      <c r="BJ322" s="271"/>
      <c r="BK322" s="271"/>
      <c r="BL322" s="271"/>
    </row>
    <row r="323" spans="18:64" ht="30" customHeight="1" x14ac:dyDescent="0.25">
      <c r="R323" s="34" t="s">
        <v>6118</v>
      </c>
      <c r="S323" s="451"/>
      <c r="T323" s="30" t="s">
        <v>11</v>
      </c>
      <c r="V323" s="453" t="s">
        <v>324</v>
      </c>
      <c r="W323" s="453" t="s">
        <v>7912</v>
      </c>
      <c r="X323" s="453" t="s">
        <v>326</v>
      </c>
      <c r="Y323" s="453" t="s">
        <v>327</v>
      </c>
      <c r="Z323" s="454" t="s">
        <v>7930</v>
      </c>
      <c r="AA323" s="453" t="s">
        <v>7937</v>
      </c>
      <c r="AB323" s="455" t="s">
        <v>39</v>
      </c>
      <c r="AC323" s="455" t="s">
        <v>338</v>
      </c>
      <c r="AD323" s="455" t="s">
        <v>8114</v>
      </c>
      <c r="AE323" s="455" t="s">
        <v>8114</v>
      </c>
      <c r="AF323" s="455" t="s">
        <v>339</v>
      </c>
      <c r="AG323" s="453" t="s">
        <v>8018</v>
      </c>
      <c r="AH323" s="453" t="s">
        <v>8023</v>
      </c>
      <c r="AI323" s="453" t="s">
        <v>330</v>
      </c>
      <c r="AJ323" s="453" t="s">
        <v>8031</v>
      </c>
      <c r="AK323" s="453" t="s">
        <v>8037</v>
      </c>
      <c r="AL323" s="453" t="s">
        <v>8041</v>
      </c>
      <c r="AM323" s="453" t="s">
        <v>343</v>
      </c>
      <c r="AN323" s="457" t="s">
        <v>8115</v>
      </c>
      <c r="AO323" s="457" t="s">
        <v>8116</v>
      </c>
      <c r="AP323" s="656" t="s">
        <v>8117</v>
      </c>
      <c r="AQ323" s="656"/>
      <c r="AR323" s="656"/>
      <c r="AS323" s="656"/>
      <c r="AT323" s="656"/>
      <c r="AU323" s="657"/>
      <c r="AZ323" s="31" t="s">
        <v>28</v>
      </c>
      <c r="BA323" s="34" t="s">
        <v>469</v>
      </c>
      <c r="BB323" s="499"/>
      <c r="BC323" s="271"/>
      <c r="BD323" s="279">
        <v>1</v>
      </c>
      <c r="BE323" s="271"/>
      <c r="BF323" s="271"/>
      <c r="BG323" s="271"/>
      <c r="BH323" s="271"/>
      <c r="BI323" s="271"/>
      <c r="BJ323" s="271"/>
      <c r="BK323" s="271"/>
      <c r="BL323" s="271"/>
    </row>
    <row r="324" spans="18:64" ht="30" customHeight="1" x14ac:dyDescent="0.25">
      <c r="R324" s="34" t="s">
        <v>492</v>
      </c>
      <c r="S324" s="451"/>
      <c r="T324" s="30" t="s">
        <v>12</v>
      </c>
      <c r="V324" s="459">
        <v>8</v>
      </c>
      <c r="W324" s="460" t="s">
        <v>158</v>
      </c>
      <c r="X324" s="461" t="s">
        <v>366</v>
      </c>
      <c r="Y324" s="462">
        <v>35</v>
      </c>
      <c r="Z324" s="463">
        <v>100</v>
      </c>
      <c r="AA324" s="464">
        <f>IF($AC$396="","",ROW($A$396)-ROW($A$396))</f>
        <v>0</v>
      </c>
      <c r="AB324" s="461"/>
      <c r="AC324" s="465" t="s">
        <v>367</v>
      </c>
      <c r="AD324" s="390"/>
      <c r="AE324" s="390">
        <v>200</v>
      </c>
      <c r="AF324" s="466" t="s">
        <v>309</v>
      </c>
      <c r="AG324" s="467">
        <f t="shared" ref="AG324:AG358" si="88">IF($AC324="","",IF(LEN($AN324&amp;"")=0,"",$AN324))</f>
        <v>200</v>
      </c>
      <c r="AH324" s="468" t="str">
        <f t="shared" ref="AH324:AH358" si="89">IF($AC324="","",IF($AF324&lt;&gt;"",UPPER(TRIM(SUBSTITUTE(SUBSTITUTE($AF324&amp;"",CHAR(160)," ")," "," "))),$AP324))</f>
        <v>PIÈCE(S)</v>
      </c>
      <c r="AI324" s="469" t="str">
        <f>IF($AC$324="","",IFERROR(INDEX($AZ$74:$AZ$119,MATCH($AH$324,$AY$74:$AY$119,0)),"AUTRE"))</f>
        <v>AUTRE</v>
      </c>
      <c r="AJ324" s="470">
        <f>IF($AC$324="","",IFERROR(INDEX($BA$74:$BA$119,MATCH($AH$324,$AY$74:$AY$119,0)),1))</f>
        <v>1</v>
      </c>
      <c r="AK324" s="470">
        <f t="shared" ref="AK324:AK358" si="90">IF(OR(AG324="",AJ324=""),"",AG324*AJ324)</f>
        <v>200</v>
      </c>
      <c r="AL324" s="469" t="str">
        <f>IF($AC$324="","",IFERROR(INDEX($BB$74:$BB$119,MATCH($AH$324,$AY$74:$AY$119,0)),$AH$324))</f>
        <v>pièce(s)</v>
      </c>
      <c r="AM324" s="471" t="str">
        <f t="shared" ref="AM324:AM358" si="91">IF($AC324="","",IF($AH324="QT. SUFFISANTE","OK",IF($AG324="","TEXTE",IF(NOT(ISNUMBER($AG324)),"QUANTITÉ À CONTRÔLER",IF(COUNTIF($AY$74:$AY$119,$AH324)=0,"UNITÉ À CONTRÔLER","OK")))))</f>
        <v>OK</v>
      </c>
      <c r="AN324" s="474">
        <f t="shared" ref="AN324:AN358" si="92">IF($AE324&lt;&gt;"",$AE324,IF($AD324="","",IF(ISNUMBER($AD324),$AD324,IF($AO324="QT",0,IF($AO324="","",IFERROR(IF(ISNUMBER(SEARCH("/",$AO324)),VALUE(TRIM(LEFT($AO324,SEARCH("/",$AO324)-1)))/VALUE(TRIM(MID($AO324,SEARCH("/",$AO324)+1,99))),VALUE(SUBSTITUTE($AO324,".",","))),""))))))</f>
        <v>200</v>
      </c>
      <c r="AO324" s="473" t="str">
        <f t="shared" ref="AO324:AO358" si="93">IF($AD324="","",IF(ISNUMBER($AD324),$AD324,IF(OR(LEFT($AQ324,3)="QT.",LEFT($AQ324,4)="QUAN"),"QT",IF($AR324=999,$AQ324,TRIM(LEFT($AQ324,$AR324-1))))))</f>
        <v/>
      </c>
      <c r="AP324" s="473" t="str">
        <f t="shared" ref="AP324:AP358" si="94">IF($AD324="","",IF(ISNUMBER($AD324),"",IF(OR(LEFT($AQ324,3)="QT.",LEFT($AQ324,4)="QUAN"),"QT. SUFFISANTE",IF($AO324="","",TRIM(MID($AQ324,LEN($AO324&amp;"")+1,999))))))</f>
        <v/>
      </c>
      <c r="AQ324" s="473" t="str">
        <f t="shared" ref="AQ324:AQ358" si="95">IF($AD324="","",UPPER(TRIM(SUBSTITUTE(SUBSTITUTE($AD324&amp;"",CHAR(160)," ")," "," "))))</f>
        <v/>
      </c>
      <c r="AR324" s="473" t="str">
        <f t="shared" ref="AR324:AR358" si="96">IF($AQ324="","",MIN($AS324,$AT324,$AU324))</f>
        <v/>
      </c>
      <c r="AS324" s="473" t="str">
        <f t="shared" ref="AS324:AS358" si="97">IF($AQ324="","",MIN(IFERROR(SEARCH("A",$AQ324),999),IFERROR(SEARCH("B",$AQ324),999),IFERROR(SEARCH("C",$AQ324),999),IFERROR(SEARCH("D",$AQ324),999),IFERROR(SEARCH("E",$AQ324),999),IFERROR(SEARCH("F",$AQ324),999),IFERROR(SEARCH("G",$AQ324),999),IFERROR(SEARCH("H",$AQ324),999),IFERROR(SEARCH("I",$AQ324),999)))</f>
        <v/>
      </c>
      <c r="AT324" s="473" t="str">
        <f t="shared" ref="AT324:AT358" si="98">IF($AQ324="","",MIN(IFERROR(SEARCH("J",$AQ324),999),IFERROR(SEARCH("K",$AQ324),999),IFERROR(SEARCH("L",$AQ324),999),IFERROR(SEARCH("M",$AQ324),999),IFERROR(SEARCH("N",$AQ324),999),IFERROR(SEARCH("O",$AQ324),999),IFERROR(SEARCH("P",$AQ324),999),IFERROR(SEARCH("Q",$AQ324),999),IFERROR(SEARCH("R",$AQ324),999)))</f>
        <v/>
      </c>
      <c r="AU324" s="473" t="str">
        <f t="shared" ref="AU324:AU358" si="99">IF($AQ324="","",MIN(IFERROR(SEARCH("S",$AQ324),999),IFERROR(SEARCH("T",$AQ324),999),IFERROR(SEARCH("U",$AQ324),999),IFERROR(SEARCH("V",$AQ324),999),IFERROR(SEARCH("W",$AQ324),999),IFERROR(SEARCH("X",$AQ324),999),IFERROR(SEARCH("Y",$AQ324),999),IFERROR(SEARCH("Z",$AQ324),999)))</f>
        <v/>
      </c>
      <c r="AZ324" s="31" t="s">
        <v>29</v>
      </c>
      <c r="BA324" s="34" t="s">
        <v>6118</v>
      </c>
      <c r="BB324" s="499"/>
      <c r="BC324" s="271"/>
      <c r="BD324" s="279">
        <v>1</v>
      </c>
      <c r="BE324" s="271"/>
      <c r="BF324" s="271"/>
      <c r="BG324" s="271"/>
      <c r="BH324" s="271"/>
      <c r="BI324" s="271"/>
      <c r="BJ324" s="271"/>
      <c r="BK324" s="271"/>
      <c r="BL324" s="271"/>
    </row>
    <row r="325" spans="18:64" ht="21" customHeight="1" x14ac:dyDescent="0.25">
      <c r="R325" s="34" t="s">
        <v>458</v>
      </c>
      <c r="S325" s="451"/>
      <c r="T325" s="31" t="s">
        <v>16</v>
      </c>
      <c r="V325" s="475">
        <f>$V$324</f>
        <v>8</v>
      </c>
      <c r="W325" s="475" t="str">
        <f>IF($AC$325="","",$W$324)</f>
        <v>N° 18</v>
      </c>
      <c r="X325" s="476" t="str">
        <f>IF($AC$325="","",$X$324)</f>
        <v>SARDINES A L'ESCABÈCHE*</v>
      </c>
      <c r="Y325" s="477">
        <f>IF($X$325="","",$Y$324)</f>
        <v>35</v>
      </c>
      <c r="Z325" s="477">
        <f>IF($X$325="","",$Z$324)</f>
        <v>100</v>
      </c>
      <c r="AA325" s="477">
        <f>IF($AC$325="","",ROW($A$325)-ROW($A$324))</f>
        <v>1</v>
      </c>
      <c r="AB325" s="478"/>
      <c r="AC325" s="34" t="s">
        <v>54</v>
      </c>
      <c r="AD325" s="356"/>
      <c r="AE325" s="479">
        <v>5</v>
      </c>
      <c r="AF325" s="466" t="s">
        <v>7</v>
      </c>
      <c r="AG325" s="480">
        <f t="shared" si="88"/>
        <v>5</v>
      </c>
      <c r="AH325" s="481" t="str">
        <f t="shared" si="89"/>
        <v>KG</v>
      </c>
      <c r="AI325" s="477" t="str">
        <f>IF($AC$325="","",IFERROR(INDEX($AZ$74:$AZ$119,MATCH($AH$325,$AY$74:$AY$119,0)),"AUTRE"))</f>
        <v>MASSE</v>
      </c>
      <c r="AJ325" s="482">
        <f>IF($AC$325="","",IFERROR(INDEX($BA$74:$BA$119,MATCH($AH$325,$AY$74:$AY$119,0)),1))</f>
        <v>1</v>
      </c>
      <c r="AK325" s="482">
        <f t="shared" si="90"/>
        <v>5</v>
      </c>
      <c r="AL325" s="477" t="str">
        <f>IF($AC$325="","",IFERROR(INDEX($BB$74:$BB$119,MATCH($AH$325,$AY$74:$AY$119,0)),$AH$325))</f>
        <v>kg</v>
      </c>
      <c r="AM325" s="483" t="str">
        <f t="shared" si="91"/>
        <v>OK</v>
      </c>
      <c r="AN325" s="484">
        <f t="shared" si="92"/>
        <v>5</v>
      </c>
      <c r="AO325" s="473" t="str">
        <f t="shared" si="93"/>
        <v/>
      </c>
      <c r="AP325" s="473" t="str">
        <f t="shared" si="94"/>
        <v/>
      </c>
      <c r="AQ325" s="473" t="str">
        <f t="shared" si="95"/>
        <v/>
      </c>
      <c r="AR325" s="473" t="str">
        <f t="shared" si="96"/>
        <v/>
      </c>
      <c r="AS325" s="473" t="str">
        <f t="shared" si="97"/>
        <v/>
      </c>
      <c r="AT325" s="473" t="str">
        <f t="shared" si="98"/>
        <v/>
      </c>
      <c r="AU325" s="473" t="str">
        <f t="shared" si="99"/>
        <v/>
      </c>
      <c r="AZ325" s="31" t="s">
        <v>30</v>
      </c>
      <c r="BA325" s="34" t="s">
        <v>492</v>
      </c>
      <c r="BB325" s="499"/>
      <c r="BC325" s="271"/>
      <c r="BD325" s="279">
        <v>1</v>
      </c>
      <c r="BE325" s="271"/>
      <c r="BF325" s="271"/>
      <c r="BG325" s="271"/>
      <c r="BH325" s="271"/>
      <c r="BI325" s="271"/>
      <c r="BJ325" s="271"/>
      <c r="BK325" s="271"/>
      <c r="BL325" s="271"/>
    </row>
    <row r="326" spans="18:64" ht="21" customHeight="1" x14ac:dyDescent="0.25">
      <c r="R326" s="490"/>
      <c r="S326" s="451"/>
      <c r="T326" s="31" t="s">
        <v>17</v>
      </c>
      <c r="V326" s="475">
        <v>8</v>
      </c>
      <c r="W326" s="475" t="str">
        <f>IF($AC$326="","",$W$324)</f>
        <v>N° 18</v>
      </c>
      <c r="X326" s="476" t="str">
        <f>IF($AC$326="","",$X$324)</f>
        <v>SARDINES A L'ESCABÈCHE*</v>
      </c>
      <c r="Y326" s="477">
        <f>IF($X$326="","",$Y$324)</f>
        <v>35</v>
      </c>
      <c r="Z326" s="477">
        <f>IF($X$326="","",$Z$324)</f>
        <v>100</v>
      </c>
      <c r="AA326" s="477">
        <f>IF($AC$326="","",ROW($A$326)-ROW($A$324))</f>
        <v>2</v>
      </c>
      <c r="AB326" s="478"/>
      <c r="AC326" s="34" t="s">
        <v>139</v>
      </c>
      <c r="AD326" s="356"/>
      <c r="AE326" s="479">
        <v>3</v>
      </c>
      <c r="AF326" s="466" t="s">
        <v>7</v>
      </c>
      <c r="AG326" s="480">
        <f t="shared" si="88"/>
        <v>3</v>
      </c>
      <c r="AH326" s="481" t="str">
        <f t="shared" si="89"/>
        <v>KG</v>
      </c>
      <c r="AI326" s="477" t="str">
        <f>IF($AC$326="","",IFERROR(INDEX($AZ$74:$AZ$119,MATCH($AH$326,$AY$74:$AY$119,0)),"AUTRE"))</f>
        <v>MASSE</v>
      </c>
      <c r="AJ326" s="482">
        <f>IF($AC$326="","",IFERROR(INDEX($BA$74:$BA$119,MATCH($AH$326,$AY$74:$AY$119,0)),1))</f>
        <v>1</v>
      </c>
      <c r="AK326" s="482">
        <f t="shared" si="90"/>
        <v>3</v>
      </c>
      <c r="AL326" s="477" t="str">
        <f>IF($AC$326="","",IFERROR(INDEX($BB$74:$BB$119,MATCH($AH$326,$AY$74:$AY$119,0)),$AH$326))</f>
        <v>kg</v>
      </c>
      <c r="AM326" s="483" t="str">
        <f t="shared" si="91"/>
        <v>OK</v>
      </c>
      <c r="AN326" s="484">
        <f t="shared" si="92"/>
        <v>3</v>
      </c>
      <c r="AO326" s="473" t="str">
        <f t="shared" si="93"/>
        <v/>
      </c>
      <c r="AP326" s="473" t="str">
        <f t="shared" si="94"/>
        <v/>
      </c>
      <c r="AQ326" s="473" t="str">
        <f t="shared" si="95"/>
        <v/>
      </c>
      <c r="AR326" s="473" t="str">
        <f t="shared" si="96"/>
        <v/>
      </c>
      <c r="AS326" s="473" t="str">
        <f t="shared" si="97"/>
        <v/>
      </c>
      <c r="AT326" s="473" t="str">
        <f t="shared" si="98"/>
        <v/>
      </c>
      <c r="AU326" s="473" t="str">
        <f t="shared" si="99"/>
        <v/>
      </c>
      <c r="AZ326" s="32" t="s">
        <v>33</v>
      </c>
      <c r="BA326" s="34" t="s">
        <v>458</v>
      </c>
      <c r="BB326" s="499"/>
      <c r="BC326" s="271"/>
      <c r="BD326" s="279">
        <v>1</v>
      </c>
      <c r="BE326" s="271"/>
      <c r="BF326" s="271"/>
      <c r="BG326" s="271"/>
      <c r="BH326" s="271"/>
      <c r="BI326" s="271"/>
      <c r="BJ326" s="271"/>
      <c r="BK326" s="271"/>
      <c r="BL326" s="271"/>
    </row>
    <row r="327" spans="18:64" ht="21" customHeight="1" x14ac:dyDescent="0.25">
      <c r="R327" s="25" t="s">
        <v>6119</v>
      </c>
      <c r="S327" s="451"/>
      <c r="T327" s="31" t="s">
        <v>18</v>
      </c>
      <c r="V327" s="475">
        <v>8</v>
      </c>
      <c r="W327" s="475" t="str">
        <f>IF($AC$327="","",$W$324)</f>
        <v>N° 18</v>
      </c>
      <c r="X327" s="476" t="str">
        <f>IF($AC$327="","",$X$324)</f>
        <v>SARDINES A L'ESCABÈCHE*</v>
      </c>
      <c r="Y327" s="477">
        <f>IF($X$327="","",$Y$324)</f>
        <v>35</v>
      </c>
      <c r="Z327" s="477">
        <f>IF($X$327="","",$Z$324)</f>
        <v>100</v>
      </c>
      <c r="AA327" s="477">
        <f>IF($AC$327="","",ROW($A$327)-ROW($A$324))</f>
        <v>3</v>
      </c>
      <c r="AB327" s="478"/>
      <c r="AC327" s="34" t="s">
        <v>48</v>
      </c>
      <c r="AD327" s="356"/>
      <c r="AE327" s="479">
        <v>100</v>
      </c>
      <c r="AF327" s="27" t="s">
        <v>8</v>
      </c>
      <c r="AG327" s="480">
        <f t="shared" si="88"/>
        <v>100</v>
      </c>
      <c r="AH327" s="481" t="str">
        <f t="shared" si="89"/>
        <v>G</v>
      </c>
      <c r="AI327" s="477" t="str">
        <f>IF($AC$327="","",IFERROR(INDEX($AZ$74:$AZ$119,MATCH($AH$327,$AY$74:$AY$119,0)),"AUTRE"))</f>
        <v>MASSE</v>
      </c>
      <c r="AJ327" s="482">
        <f>IF($AC$327="","",IFERROR(INDEX($BA$74:$BA$119,MATCH($AH$327,$AY$74:$AY$119,0)),1))</f>
        <v>1E-3</v>
      </c>
      <c r="AK327" s="482">
        <f t="shared" si="90"/>
        <v>0.1</v>
      </c>
      <c r="AL327" s="477" t="str">
        <f>IF($AC$327="","",IFERROR(INDEX($BB$74:$BB$119,MATCH($AH$327,$AY$74:$AY$119,0)),$AH$327))</f>
        <v>kg</v>
      </c>
      <c r="AM327" s="483" t="str">
        <f t="shared" si="91"/>
        <v>OK</v>
      </c>
      <c r="AN327" s="484">
        <f t="shared" si="92"/>
        <v>100</v>
      </c>
      <c r="AO327" s="473" t="str">
        <f t="shared" si="93"/>
        <v/>
      </c>
      <c r="AP327" s="473" t="str">
        <f t="shared" si="94"/>
        <v/>
      </c>
      <c r="AQ327" s="473" t="str">
        <f t="shared" si="95"/>
        <v/>
      </c>
      <c r="AR327" s="473" t="str">
        <f t="shared" si="96"/>
        <v/>
      </c>
      <c r="AS327" s="473" t="str">
        <f t="shared" si="97"/>
        <v/>
      </c>
      <c r="AT327" s="473" t="str">
        <f t="shared" si="98"/>
        <v/>
      </c>
      <c r="AU327" s="473" t="str">
        <f t="shared" si="99"/>
        <v/>
      </c>
      <c r="AZ327" s="32" t="s">
        <v>8125</v>
      </c>
      <c r="BA327" s="490"/>
      <c r="BB327" s="499"/>
      <c r="BC327" s="271"/>
      <c r="BD327" s="279">
        <v>1</v>
      </c>
      <c r="BE327" s="271"/>
      <c r="BF327" s="271"/>
      <c r="BG327" s="271"/>
      <c r="BH327" s="271"/>
      <c r="BI327" s="271"/>
      <c r="BJ327" s="271"/>
      <c r="BK327" s="271"/>
      <c r="BL327" s="271"/>
    </row>
    <row r="328" spans="18:64" ht="21" customHeight="1" x14ac:dyDescent="0.25">
      <c r="R328" s="34" t="s">
        <v>6120</v>
      </c>
      <c r="S328" s="451"/>
      <c r="T328" s="31" t="s">
        <v>19</v>
      </c>
      <c r="V328" s="475">
        <v>8</v>
      </c>
      <c r="W328" s="475" t="str">
        <f>IF($AC$328="","",$W$324)</f>
        <v>N° 18</v>
      </c>
      <c r="X328" s="476" t="str">
        <f>IF($AC$328="","",$X$324)</f>
        <v>SARDINES A L'ESCABÈCHE*</v>
      </c>
      <c r="Y328" s="477">
        <f>IF($X$328="","",$Y$324)</f>
        <v>35</v>
      </c>
      <c r="Z328" s="477">
        <f>IF($X$328="","",$Z$324)</f>
        <v>100</v>
      </c>
      <c r="AA328" s="477">
        <f>IF($AC$328="","",ROW($A$328)-ROW($A$324))</f>
        <v>4</v>
      </c>
      <c r="AB328" s="478"/>
      <c r="AC328" s="34" t="s">
        <v>299</v>
      </c>
      <c r="AD328" s="356"/>
      <c r="AE328" s="479">
        <v>1</v>
      </c>
      <c r="AF328" s="32" t="s">
        <v>309</v>
      </c>
      <c r="AG328" s="480">
        <f t="shared" si="88"/>
        <v>1</v>
      </c>
      <c r="AH328" s="481" t="str">
        <f t="shared" si="89"/>
        <v>PIÈCE(S)</v>
      </c>
      <c r="AI328" s="477" t="str">
        <f>IF($AC$328="","",IFERROR(INDEX($AZ$74:$AZ$119,MATCH($AH$328,$AY$74:$AY$119,0)),"AUTRE"))</f>
        <v>AUTRE</v>
      </c>
      <c r="AJ328" s="482">
        <f>IF($AC$328="","",IFERROR(INDEX($BA$74:$BA$119,MATCH($AH$328,$AY$74:$AY$119,0)),1))</f>
        <v>1</v>
      </c>
      <c r="AK328" s="482">
        <f t="shared" si="90"/>
        <v>1</v>
      </c>
      <c r="AL328" s="477" t="str">
        <f>IF($AC$328="","",IFERROR(INDEX($BB$74:$BB$119,MATCH($AH$328,$AY$74:$AY$119,0)),$AH$328))</f>
        <v>pièce(s)</v>
      </c>
      <c r="AM328" s="483" t="str">
        <f t="shared" si="91"/>
        <v>OK</v>
      </c>
      <c r="AN328" s="484">
        <f t="shared" si="92"/>
        <v>1</v>
      </c>
      <c r="AO328" s="473" t="str">
        <f t="shared" si="93"/>
        <v/>
      </c>
      <c r="AP328" s="473" t="str">
        <f t="shared" si="94"/>
        <v/>
      </c>
      <c r="AQ328" s="473" t="str">
        <f t="shared" si="95"/>
        <v/>
      </c>
      <c r="AR328" s="473" t="str">
        <f t="shared" si="96"/>
        <v/>
      </c>
      <c r="AS328" s="473" t="str">
        <f t="shared" si="97"/>
        <v/>
      </c>
      <c r="AT328" s="473" t="str">
        <f t="shared" si="98"/>
        <v/>
      </c>
      <c r="AU328" s="473" t="str">
        <f t="shared" si="99"/>
        <v/>
      </c>
      <c r="AZ328" s="32" t="s">
        <v>8127</v>
      </c>
      <c r="BA328" s="25" t="s">
        <v>6119</v>
      </c>
      <c r="BB328" s="499"/>
      <c r="BC328" s="271"/>
      <c r="BD328" s="279">
        <v>1</v>
      </c>
      <c r="BE328" s="271"/>
      <c r="BF328" s="271"/>
      <c r="BG328" s="271"/>
      <c r="BH328" s="271"/>
      <c r="BI328" s="271"/>
      <c r="BJ328" s="271"/>
      <c r="BK328" s="271"/>
      <c r="BL328" s="271"/>
    </row>
    <row r="329" spans="18:64" ht="21" customHeight="1" x14ac:dyDescent="0.25">
      <c r="R329" s="34" t="s">
        <v>6121</v>
      </c>
      <c r="S329" s="451"/>
      <c r="T329" s="31" t="s">
        <v>211</v>
      </c>
      <c r="V329" s="475">
        <v>8</v>
      </c>
      <c r="W329" s="475" t="str">
        <f>IF($AC$329="","",$W$324)</f>
        <v>N° 18</v>
      </c>
      <c r="X329" s="476" t="str">
        <f>IF($AC$329="","",$X$324)</f>
        <v>SARDINES A L'ESCABÈCHE*</v>
      </c>
      <c r="Y329" s="477">
        <f>IF($X$329="","",$Y$324)</f>
        <v>35</v>
      </c>
      <c r="Z329" s="477">
        <f>IF($X$329="","",$Z$324)</f>
        <v>100</v>
      </c>
      <c r="AA329" s="477">
        <f>IF($AC$329="","",ROW($A$329)-ROW($A$324))</f>
        <v>5</v>
      </c>
      <c r="AB329" s="478"/>
      <c r="AC329" s="34" t="s">
        <v>368</v>
      </c>
      <c r="AD329" s="356"/>
      <c r="AE329" s="479">
        <v>1</v>
      </c>
      <c r="AF329" s="29" t="s">
        <v>9</v>
      </c>
      <c r="AG329" s="480">
        <f t="shared" si="88"/>
        <v>1</v>
      </c>
      <c r="AH329" s="481" t="str">
        <f t="shared" si="89"/>
        <v>L</v>
      </c>
      <c r="AI329" s="477" t="str">
        <f>IF($AC$329="","",IFERROR(INDEX($AZ$74:$AZ$119,MATCH($AH$329,$AY$74:$AY$119,0)),"AUTRE"))</f>
        <v>VOLUME</v>
      </c>
      <c r="AJ329" s="482">
        <f>IF($AC$329="","",IFERROR(INDEX($BA$74:$BA$119,MATCH($AH$329,$AY$74:$AY$119,0)),1))</f>
        <v>1</v>
      </c>
      <c r="AK329" s="482">
        <f t="shared" si="90"/>
        <v>1</v>
      </c>
      <c r="AL329" s="477" t="str">
        <f>IF($AC$329="","",IFERROR(INDEX($BB$74:$BB$119,MATCH($AH$329,$AY$74:$AY$119,0)),$AH$329))</f>
        <v>L</v>
      </c>
      <c r="AM329" s="483" t="str">
        <f t="shared" si="91"/>
        <v>OK</v>
      </c>
      <c r="AN329" s="484">
        <f t="shared" si="92"/>
        <v>1</v>
      </c>
      <c r="AO329" s="473" t="str">
        <f t="shared" si="93"/>
        <v/>
      </c>
      <c r="AP329" s="473" t="str">
        <f t="shared" si="94"/>
        <v/>
      </c>
      <c r="AQ329" s="473" t="str">
        <f t="shared" si="95"/>
        <v/>
      </c>
      <c r="AR329" s="473" t="str">
        <f t="shared" si="96"/>
        <v/>
      </c>
      <c r="AS329" s="473" t="str">
        <f t="shared" si="97"/>
        <v/>
      </c>
      <c r="AT329" s="473" t="str">
        <f t="shared" si="98"/>
        <v/>
      </c>
      <c r="AU329" s="473" t="str">
        <f t="shared" si="99"/>
        <v/>
      </c>
      <c r="AZ329" s="32" t="s">
        <v>320</v>
      </c>
      <c r="BA329" s="34" t="s">
        <v>6120</v>
      </c>
      <c r="BB329" s="499"/>
      <c r="BC329" s="271"/>
      <c r="BD329" s="279">
        <v>1</v>
      </c>
      <c r="BE329" s="271"/>
      <c r="BF329" s="271"/>
      <c r="BG329" s="271"/>
      <c r="BH329" s="271"/>
      <c r="BI329" s="271"/>
      <c r="BJ329" s="271"/>
      <c r="BK329" s="271"/>
      <c r="BL329" s="271"/>
    </row>
    <row r="330" spans="18:64" ht="21" customHeight="1" x14ac:dyDescent="0.25">
      <c r="R330" s="34" t="s">
        <v>6122</v>
      </c>
      <c r="S330" s="451"/>
      <c r="T330" s="31" t="s">
        <v>20</v>
      </c>
      <c r="V330" s="475">
        <v>8</v>
      </c>
      <c r="W330" s="475" t="str">
        <f>IF($AC$330="","",$W$324)</f>
        <v>N° 18</v>
      </c>
      <c r="X330" s="476" t="str">
        <f>IF($AC$330="","",$X$324)</f>
        <v>SARDINES A L'ESCABÈCHE*</v>
      </c>
      <c r="Y330" s="477">
        <f>IF($X$330="","",$Y$324)</f>
        <v>35</v>
      </c>
      <c r="Z330" s="477">
        <f>IF($X$330="","",$Z$324)</f>
        <v>100</v>
      </c>
      <c r="AA330" s="477">
        <f>IF($AC$330="","",ROW($A$330)-ROW($A$324))</f>
        <v>6</v>
      </c>
      <c r="AB330" s="478"/>
      <c r="AC330" s="34" t="s">
        <v>142</v>
      </c>
      <c r="AD330" s="356"/>
      <c r="AE330" s="479">
        <v>150</v>
      </c>
      <c r="AF330" s="27" t="s">
        <v>8</v>
      </c>
      <c r="AG330" s="480">
        <f t="shared" si="88"/>
        <v>150</v>
      </c>
      <c r="AH330" s="481" t="str">
        <f t="shared" si="89"/>
        <v>G</v>
      </c>
      <c r="AI330" s="477" t="str">
        <f>IF($AC$330="","",IFERROR(INDEX($AZ$74:$AZ$119,MATCH($AH$330,$AY$74:$AY$119,0)),"AUTRE"))</f>
        <v>MASSE</v>
      </c>
      <c r="AJ330" s="482">
        <f>IF($AC$330="","",IFERROR(INDEX($BA$74:$BA$119,MATCH($AH$330,$AY$74:$AY$119,0)),1))</f>
        <v>1E-3</v>
      </c>
      <c r="AK330" s="482">
        <f t="shared" si="90"/>
        <v>0.15</v>
      </c>
      <c r="AL330" s="477" t="str">
        <f>IF($AC$330="","",IFERROR(INDEX($BB$74:$BB$119,MATCH($AH$330,$AY$74:$AY$119,0)),$AH$330))</f>
        <v>kg</v>
      </c>
      <c r="AM330" s="483" t="str">
        <f t="shared" si="91"/>
        <v>OK</v>
      </c>
      <c r="AN330" s="484">
        <f t="shared" si="92"/>
        <v>150</v>
      </c>
      <c r="AO330" s="473" t="str">
        <f t="shared" si="93"/>
        <v/>
      </c>
      <c r="AP330" s="473" t="str">
        <f t="shared" si="94"/>
        <v/>
      </c>
      <c r="AQ330" s="473" t="str">
        <f t="shared" si="95"/>
        <v/>
      </c>
      <c r="AR330" s="473" t="str">
        <f t="shared" si="96"/>
        <v/>
      </c>
      <c r="AS330" s="473" t="str">
        <f t="shared" si="97"/>
        <v/>
      </c>
      <c r="AT330" s="473" t="str">
        <f t="shared" si="98"/>
        <v/>
      </c>
      <c r="AU330" s="473" t="str">
        <f t="shared" si="99"/>
        <v/>
      </c>
      <c r="AZ330" s="32" t="s">
        <v>318</v>
      </c>
      <c r="BA330" s="34" t="s">
        <v>6121</v>
      </c>
      <c r="BB330" s="499"/>
      <c r="BC330" s="271"/>
      <c r="BD330" s="279">
        <v>1</v>
      </c>
      <c r="BE330" s="271"/>
      <c r="BF330" s="271"/>
      <c r="BG330" s="271"/>
      <c r="BH330" s="271"/>
      <c r="BI330" s="271"/>
      <c r="BJ330" s="271"/>
      <c r="BK330" s="271"/>
      <c r="BL330" s="271"/>
    </row>
    <row r="331" spans="18:64" ht="21" customHeight="1" x14ac:dyDescent="0.25">
      <c r="R331" s="34" t="s">
        <v>6123</v>
      </c>
      <c r="S331" s="451"/>
      <c r="T331" s="31" t="s">
        <v>304</v>
      </c>
      <c r="V331" s="475">
        <v>8</v>
      </c>
      <c r="W331" s="475" t="str">
        <f>IF($AC$331="","",$W$324)</f>
        <v>N° 18</v>
      </c>
      <c r="X331" s="476" t="str">
        <f>IF($AC$331="","",$X$324)</f>
        <v>SARDINES A L'ESCABÈCHE*</v>
      </c>
      <c r="Y331" s="477">
        <f>IF($X$331="","",$Y$324)</f>
        <v>35</v>
      </c>
      <c r="Z331" s="477">
        <f>IF($X$331="","",$Z$324)</f>
        <v>100</v>
      </c>
      <c r="AA331" s="477">
        <f>IF($AC$331="","",ROW($A$331)-ROW($A$324))</f>
        <v>7</v>
      </c>
      <c r="AB331" s="478"/>
      <c r="AC331" s="34" t="s">
        <v>159</v>
      </c>
      <c r="AD331" s="356"/>
      <c r="AE331" s="479">
        <v>12</v>
      </c>
      <c r="AF331" s="27" t="s">
        <v>8</v>
      </c>
      <c r="AG331" s="480">
        <f t="shared" si="88"/>
        <v>12</v>
      </c>
      <c r="AH331" s="481" t="str">
        <f t="shared" si="89"/>
        <v>G</v>
      </c>
      <c r="AI331" s="477" t="str">
        <f>IF($AC$331="","",IFERROR(INDEX($AZ$74:$AZ$119,MATCH($AH$331,$AY$74:$AY$119,0)),"AUTRE"))</f>
        <v>MASSE</v>
      </c>
      <c r="AJ331" s="482">
        <f>IF($AC$331="","",IFERROR(INDEX($BA$74:$BA$119,MATCH($AH$331,$AY$74:$AY$119,0)),1))</f>
        <v>1E-3</v>
      </c>
      <c r="AK331" s="482">
        <f t="shared" si="90"/>
        <v>1.2E-2</v>
      </c>
      <c r="AL331" s="477" t="str">
        <f>IF($AC$331="","",IFERROR(INDEX($BB$74:$BB$119,MATCH($AH$331,$AY$74:$AY$119,0)),$AH$331))</f>
        <v>kg</v>
      </c>
      <c r="AM331" s="483" t="str">
        <f t="shared" si="91"/>
        <v>OK</v>
      </c>
      <c r="AN331" s="484">
        <f t="shared" si="92"/>
        <v>12</v>
      </c>
      <c r="AO331" s="473" t="str">
        <f t="shared" si="93"/>
        <v/>
      </c>
      <c r="AP331" s="473" t="str">
        <f t="shared" si="94"/>
        <v/>
      </c>
      <c r="AQ331" s="473" t="str">
        <f t="shared" si="95"/>
        <v/>
      </c>
      <c r="AR331" s="473" t="str">
        <f t="shared" si="96"/>
        <v/>
      </c>
      <c r="AS331" s="473" t="str">
        <f t="shared" si="97"/>
        <v/>
      </c>
      <c r="AT331" s="473" t="str">
        <f t="shared" si="98"/>
        <v/>
      </c>
      <c r="AU331" s="473" t="str">
        <f t="shared" si="99"/>
        <v/>
      </c>
      <c r="AZ331" s="32" t="s">
        <v>316</v>
      </c>
      <c r="BA331" s="34" t="s">
        <v>6122</v>
      </c>
      <c r="BB331" s="499"/>
      <c r="BC331" s="271"/>
      <c r="BD331" s="279">
        <v>1</v>
      </c>
      <c r="BE331" s="271"/>
      <c r="BF331" s="271"/>
      <c r="BG331" s="271"/>
      <c r="BH331" s="271"/>
      <c r="BI331" s="271"/>
      <c r="BJ331" s="271"/>
      <c r="BK331" s="271"/>
      <c r="BL331" s="271"/>
    </row>
    <row r="332" spans="18:64" ht="21" customHeight="1" x14ac:dyDescent="0.25">
      <c r="R332" s="34" t="s">
        <v>6124</v>
      </c>
      <c r="S332" s="451"/>
      <c r="T332" s="31" t="s">
        <v>352</v>
      </c>
      <c r="V332" s="475">
        <v>8</v>
      </c>
      <c r="W332" s="475" t="str">
        <f>IF($AC$332="","",$W$324)</f>
        <v>N° 18</v>
      </c>
      <c r="X332" s="476" t="str">
        <f>IF($AC$332="","",$X$324)</f>
        <v>SARDINES A L'ESCABÈCHE*</v>
      </c>
      <c r="Y332" s="477">
        <f>IF($X$332="","",$Y$324)</f>
        <v>35</v>
      </c>
      <c r="Z332" s="477">
        <f>IF($X$332="","",$Z$324)</f>
        <v>100</v>
      </c>
      <c r="AA332" s="477">
        <f>IF($AC$332="","",ROW($A$332)-ROW($A$324))</f>
        <v>8</v>
      </c>
      <c r="AB332" s="478"/>
      <c r="AC332" s="34" t="s">
        <v>144</v>
      </c>
      <c r="AD332" s="356"/>
      <c r="AE332" s="479">
        <v>12</v>
      </c>
      <c r="AF332" s="27" t="s">
        <v>8</v>
      </c>
      <c r="AG332" s="480">
        <f t="shared" si="88"/>
        <v>12</v>
      </c>
      <c r="AH332" s="481" t="str">
        <f t="shared" si="89"/>
        <v>G</v>
      </c>
      <c r="AI332" s="477" t="str">
        <f>IF($AC$332="","",IFERROR(INDEX($AZ$74:$AZ$119,MATCH($AH$332,$AY$74:$AY$119,0)),"AUTRE"))</f>
        <v>MASSE</v>
      </c>
      <c r="AJ332" s="482">
        <f>IF($AC$332="","",IFERROR(INDEX($BA$74:$BA$119,MATCH($AH$332,$AY$74:$AY$119,0)),1))</f>
        <v>1E-3</v>
      </c>
      <c r="AK332" s="482">
        <f t="shared" si="90"/>
        <v>1.2E-2</v>
      </c>
      <c r="AL332" s="477" t="str">
        <f>IF($AC$332="","",IFERROR(INDEX($BB$74:$BB$119,MATCH($AH$332,$AY$74:$AY$119,0)),$AH$332))</f>
        <v>kg</v>
      </c>
      <c r="AM332" s="483" t="str">
        <f t="shared" si="91"/>
        <v>OK</v>
      </c>
      <c r="AN332" s="484">
        <f t="shared" si="92"/>
        <v>12</v>
      </c>
      <c r="AO332" s="473" t="str">
        <f t="shared" si="93"/>
        <v/>
      </c>
      <c r="AP332" s="473" t="str">
        <f t="shared" si="94"/>
        <v/>
      </c>
      <c r="AQ332" s="473" t="str">
        <f t="shared" si="95"/>
        <v/>
      </c>
      <c r="AR332" s="473" t="str">
        <f t="shared" si="96"/>
        <v/>
      </c>
      <c r="AS332" s="473" t="str">
        <f t="shared" si="97"/>
        <v/>
      </c>
      <c r="AT332" s="473" t="str">
        <f t="shared" si="98"/>
        <v/>
      </c>
      <c r="AU332" s="473" t="str">
        <f t="shared" si="99"/>
        <v/>
      </c>
      <c r="AZ332" s="32" t="s">
        <v>313</v>
      </c>
      <c r="BA332" s="34" t="s">
        <v>6123</v>
      </c>
      <c r="BB332" s="499"/>
      <c r="BC332" s="271"/>
      <c r="BD332" s="279">
        <v>1</v>
      </c>
      <c r="BE332" s="271"/>
      <c r="BF332" s="271"/>
      <c r="BG332" s="271"/>
      <c r="BH332" s="271"/>
      <c r="BI332" s="271"/>
      <c r="BJ332" s="271"/>
      <c r="BK332" s="271"/>
      <c r="BL332" s="271"/>
    </row>
    <row r="333" spans="18:64" ht="21" customHeight="1" x14ac:dyDescent="0.25">
      <c r="R333" s="34" t="s">
        <v>6125</v>
      </c>
      <c r="S333" s="451"/>
      <c r="T333" s="31" t="s">
        <v>25</v>
      </c>
      <c r="V333" s="475">
        <v>8</v>
      </c>
      <c r="W333" s="475" t="str">
        <f>IF($AC$333="","",$W$324)</f>
        <v>N° 18</v>
      </c>
      <c r="X333" s="476" t="str">
        <f>IF($AC$333="","",$X$324)</f>
        <v>SARDINES A L'ESCABÈCHE*</v>
      </c>
      <c r="Y333" s="477">
        <f>IF($X$333="","",$Y$324)</f>
        <v>35</v>
      </c>
      <c r="Z333" s="477">
        <f>IF($X$333="","",$Z$324)</f>
        <v>100</v>
      </c>
      <c r="AA333" s="477">
        <f>IF($AC$333="","",ROW($A$333)-ROW($A$324))</f>
        <v>9</v>
      </c>
      <c r="AB333" s="478"/>
      <c r="AC333" s="34" t="s">
        <v>43</v>
      </c>
      <c r="AD333" s="356"/>
      <c r="AE333" s="32" t="s">
        <v>33</v>
      </c>
      <c r="AF333" s="475"/>
      <c r="AG333" s="480" t="str">
        <f t="shared" si="88"/>
        <v>QT. SUFFISANTE</v>
      </c>
      <c r="AH333" s="481" t="str">
        <f t="shared" si="89"/>
        <v/>
      </c>
      <c r="AI333" s="477" t="str">
        <f>IF($AC$333="","",IFERROR(INDEX($AZ$74:$AZ$119,MATCH($AH$333,$AY$74:$AY$119,0)),"AUTRE"))</f>
        <v>AUTRE</v>
      </c>
      <c r="AJ333" s="482">
        <f>IF($AC$333="","",IFERROR(INDEX($BA$74:$BA$119,MATCH($AH$333,$AY$74:$AY$119,0)),1))</f>
        <v>1</v>
      </c>
      <c r="AK333" s="482" t="e">
        <f t="shared" si="90"/>
        <v>#VALUE!</v>
      </c>
      <c r="AL333" s="477" t="str">
        <f>IF($AC$333="","",IFERROR(INDEX($BB$74:$BB$119,MATCH($AH$333,$AY$74:$AY$119,0)),$AH$333))</f>
        <v/>
      </c>
      <c r="AM333" s="483" t="str">
        <f t="shared" si="91"/>
        <v>QUANTITÉ À CONTRÔLER</v>
      </c>
      <c r="AN333" s="484" t="str">
        <f t="shared" si="92"/>
        <v>QT. SUFFISANTE</v>
      </c>
      <c r="AO333" s="473" t="str">
        <f t="shared" si="93"/>
        <v/>
      </c>
      <c r="AP333" s="473" t="str">
        <f t="shared" si="94"/>
        <v/>
      </c>
      <c r="AQ333" s="473" t="str">
        <f t="shared" si="95"/>
        <v/>
      </c>
      <c r="AR333" s="473" t="str">
        <f t="shared" si="96"/>
        <v/>
      </c>
      <c r="AS333" s="473" t="str">
        <f t="shared" si="97"/>
        <v/>
      </c>
      <c r="AT333" s="473" t="str">
        <f t="shared" si="98"/>
        <v/>
      </c>
      <c r="AU333" s="473" t="str">
        <f t="shared" si="99"/>
        <v/>
      </c>
      <c r="AZ333" s="32" t="s">
        <v>307</v>
      </c>
      <c r="BA333" s="34" t="s">
        <v>6124</v>
      </c>
      <c r="BB333" s="499"/>
      <c r="BC333" s="271"/>
      <c r="BD333" s="279">
        <v>1</v>
      </c>
      <c r="BE333" s="271"/>
      <c r="BF333" s="271"/>
      <c r="BG333" s="271"/>
      <c r="BH333" s="271"/>
      <c r="BI333" s="271"/>
      <c r="BJ333" s="271"/>
      <c r="BK333" s="271"/>
      <c r="BL333" s="271"/>
    </row>
    <row r="334" spans="18:64" ht="21" customHeight="1" x14ac:dyDescent="0.25">
      <c r="R334" s="34" t="s">
        <v>6126</v>
      </c>
      <c r="S334" s="451"/>
      <c r="T334" s="31" t="s">
        <v>26</v>
      </c>
      <c r="V334" s="475">
        <v>8</v>
      </c>
      <c r="W334" s="475" t="str">
        <f>IF($AC$334="","",$W$324)</f>
        <v>N° 18</v>
      </c>
      <c r="X334" s="476" t="str">
        <f>IF($AC$334="","",$X$324)</f>
        <v>SARDINES A L'ESCABÈCHE*</v>
      </c>
      <c r="Y334" s="477">
        <f>IF($X$334="","",$Y$324)</f>
        <v>35</v>
      </c>
      <c r="Z334" s="477">
        <f>IF($X$334="","",$Z$324)</f>
        <v>100</v>
      </c>
      <c r="AA334" s="477">
        <f>IF($AC$334="","",ROW($A$334)-ROW($A$324))</f>
        <v>10</v>
      </c>
      <c r="AB334" s="478"/>
      <c r="AC334" s="34" t="s">
        <v>42</v>
      </c>
      <c r="AD334" s="356"/>
      <c r="AE334" s="479">
        <v>1</v>
      </c>
      <c r="AF334" s="32" t="s">
        <v>18</v>
      </c>
      <c r="AG334" s="480">
        <f t="shared" si="88"/>
        <v>1</v>
      </c>
      <c r="AH334" s="481" t="str">
        <f t="shared" si="89"/>
        <v>3.QUART/L</v>
      </c>
      <c r="AI334" s="477" t="str">
        <f>IF($AC$334="","",IFERROR(INDEX($AZ$74:$AZ$119,MATCH($AH$334,$AY$74:$AY$119,0)),"AUTRE"))</f>
        <v>VOLUME</v>
      </c>
      <c r="AJ334" s="482">
        <f>IF($AC$334="","",IFERROR(INDEX($BA$74:$BA$119,MATCH($AH$334,$AY$74:$AY$119,0)),1))</f>
        <v>0.75</v>
      </c>
      <c r="AK334" s="482">
        <f t="shared" si="90"/>
        <v>0.75</v>
      </c>
      <c r="AL334" s="477" t="str">
        <f>IF($AC$334="","",IFERROR(INDEX($BB$74:$BB$119,MATCH($AH$334,$AY$74:$AY$119,0)),$AH$334))</f>
        <v>L</v>
      </c>
      <c r="AM334" s="483" t="str">
        <f t="shared" si="91"/>
        <v>OK</v>
      </c>
      <c r="AN334" s="484">
        <f t="shared" si="92"/>
        <v>1</v>
      </c>
      <c r="AO334" s="473" t="str">
        <f t="shared" si="93"/>
        <v/>
      </c>
      <c r="AP334" s="473" t="str">
        <f t="shared" si="94"/>
        <v/>
      </c>
      <c r="AQ334" s="473" t="str">
        <f t="shared" si="95"/>
        <v/>
      </c>
      <c r="AR334" s="473" t="str">
        <f t="shared" si="96"/>
        <v/>
      </c>
      <c r="AS334" s="473" t="str">
        <f t="shared" si="97"/>
        <v/>
      </c>
      <c r="AT334" s="473" t="str">
        <f t="shared" si="98"/>
        <v/>
      </c>
      <c r="AU334" s="473" t="str">
        <f t="shared" si="99"/>
        <v/>
      </c>
      <c r="AZ334" s="32" t="s">
        <v>322</v>
      </c>
      <c r="BA334" s="34" t="s">
        <v>6125</v>
      </c>
      <c r="BB334" s="499"/>
      <c r="BC334" s="271"/>
      <c r="BD334" s="279">
        <v>1</v>
      </c>
      <c r="BE334" s="271"/>
      <c r="BF334" s="271"/>
      <c r="BG334" s="271"/>
      <c r="BH334" s="271"/>
      <c r="BI334" s="271"/>
      <c r="BJ334" s="271"/>
      <c r="BK334" s="271"/>
      <c r="BL334" s="271"/>
    </row>
    <row r="335" spans="18:64" ht="21" customHeight="1" x14ac:dyDescent="0.25">
      <c r="R335" s="34" t="s">
        <v>6127</v>
      </c>
      <c r="S335" s="451"/>
      <c r="T335" s="31" t="s">
        <v>27</v>
      </c>
      <c r="V335" s="475">
        <v>8</v>
      </c>
      <c r="W335" s="475" t="str">
        <f>IF($AC$335="","",$W$324)</f>
        <v/>
      </c>
      <c r="X335" s="476" t="str">
        <f>IF($AC$335="","",$X$324)</f>
        <v/>
      </c>
      <c r="Y335" s="477" t="str">
        <f>IF($X$335="","",$Y$324)</f>
        <v/>
      </c>
      <c r="Z335" s="477" t="str">
        <f>IF($X$335="","",$Z$324)</f>
        <v/>
      </c>
      <c r="AA335" s="477" t="str">
        <f>IF($AC$335="","",ROW($A$335)-ROW($A$324))</f>
        <v/>
      </c>
      <c r="AB335" s="478"/>
      <c r="AC335" s="34"/>
      <c r="AD335" s="356"/>
      <c r="AE335" s="479"/>
      <c r="AF335" s="475"/>
      <c r="AG335" s="480" t="str">
        <f t="shared" si="88"/>
        <v/>
      </c>
      <c r="AH335" s="481" t="str">
        <f t="shared" si="89"/>
        <v/>
      </c>
      <c r="AI335" s="477" t="str">
        <f>IF($AC$335="","",IFERROR(INDEX($AZ$74:$AZ$119,MATCH($AH$335,$AY$74:$AY$119,0)),"AUTRE"))</f>
        <v/>
      </c>
      <c r="AJ335" s="482" t="str">
        <f>IF($AC$335="","",IFERROR(INDEX($BA$74:$BA$119,MATCH($AH$335,$AY$74:$AY$119,0)),1))</f>
        <v/>
      </c>
      <c r="AK335" s="482" t="str">
        <f t="shared" si="90"/>
        <v/>
      </c>
      <c r="AL335" s="477" t="str">
        <f>IF($AC$335="","",IFERROR(INDEX($BB$74:$BB$119,MATCH($AH$335,$AY$74:$AY$119,0)),$AH$335))</f>
        <v/>
      </c>
      <c r="AM335" s="483" t="str">
        <f t="shared" si="91"/>
        <v/>
      </c>
      <c r="AN335" s="484" t="str">
        <f t="shared" si="92"/>
        <v/>
      </c>
      <c r="AO335" s="473" t="str">
        <f t="shared" si="93"/>
        <v/>
      </c>
      <c r="AP335" s="473" t="str">
        <f t="shared" si="94"/>
        <v/>
      </c>
      <c r="AQ335" s="473" t="str">
        <f t="shared" si="95"/>
        <v/>
      </c>
      <c r="AR335" s="473" t="str">
        <f t="shared" si="96"/>
        <v/>
      </c>
      <c r="AS335" s="473" t="str">
        <f t="shared" si="97"/>
        <v/>
      </c>
      <c r="AT335" s="473" t="str">
        <f t="shared" si="98"/>
        <v/>
      </c>
      <c r="AU335" s="473" t="str">
        <f t="shared" si="99"/>
        <v/>
      </c>
      <c r="AZ335" s="32" t="s">
        <v>305</v>
      </c>
      <c r="BA335" s="34" t="s">
        <v>6126</v>
      </c>
      <c r="BB335" s="499"/>
      <c r="BC335" s="271"/>
      <c r="BD335" s="279">
        <v>1</v>
      </c>
      <c r="BE335" s="271"/>
      <c r="BF335" s="271"/>
      <c r="BG335" s="271"/>
      <c r="BH335" s="271"/>
      <c r="BI335" s="271"/>
      <c r="BJ335" s="271"/>
      <c r="BK335" s="271"/>
      <c r="BL335" s="271"/>
    </row>
    <row r="336" spans="18:64" ht="21" customHeight="1" x14ac:dyDescent="0.25">
      <c r="R336" s="25" t="s">
        <v>6128</v>
      </c>
      <c r="S336" s="451"/>
      <c r="T336" s="31" t="s">
        <v>28</v>
      </c>
      <c r="V336" s="475">
        <v>8</v>
      </c>
      <c r="W336" s="475" t="str">
        <f>IF($AC$336="","",$W$324)</f>
        <v/>
      </c>
      <c r="X336" s="476" t="str">
        <f>IF($AC$336="","",$X$324)</f>
        <v/>
      </c>
      <c r="Y336" s="477" t="str">
        <f>IF($X$336="","",$Y$324)</f>
        <v/>
      </c>
      <c r="Z336" s="477" t="str">
        <f>IF($X$336="","",$Z$324)</f>
        <v/>
      </c>
      <c r="AA336" s="477" t="str">
        <f>IF($AC$336="","",ROW($A$336)-ROW($A$324))</f>
        <v/>
      </c>
      <c r="AB336" s="478"/>
      <c r="AC336" s="34"/>
      <c r="AD336" s="356"/>
      <c r="AE336" s="479"/>
      <c r="AF336" s="475"/>
      <c r="AG336" s="480" t="str">
        <f t="shared" si="88"/>
        <v/>
      </c>
      <c r="AH336" s="481" t="str">
        <f t="shared" si="89"/>
        <v/>
      </c>
      <c r="AI336" s="477" t="str">
        <f>IF($AC$336="","",IFERROR(INDEX($AZ$74:$AZ$119,MATCH($AH$336,$AY$74:$AY$119,0)),"AUTRE"))</f>
        <v/>
      </c>
      <c r="AJ336" s="482" t="str">
        <f>IF($AC$336="","",IFERROR(INDEX($BA$74:$BA$119,MATCH($AH$336,$AY$74:$AY$119,0)),1))</f>
        <v/>
      </c>
      <c r="AK336" s="482" t="str">
        <f t="shared" si="90"/>
        <v/>
      </c>
      <c r="AL336" s="477" t="str">
        <f>IF($AC$336="","",IFERROR(INDEX($BB$74:$BB$119,MATCH($AH$336,$AY$74:$AY$119,0)),$AH$336))</f>
        <v/>
      </c>
      <c r="AM336" s="483" t="str">
        <f t="shared" si="91"/>
        <v/>
      </c>
      <c r="AN336" s="484" t="str">
        <f t="shared" si="92"/>
        <v/>
      </c>
      <c r="AO336" s="473" t="str">
        <f t="shared" si="93"/>
        <v/>
      </c>
      <c r="AP336" s="473" t="str">
        <f t="shared" si="94"/>
        <v/>
      </c>
      <c r="AQ336" s="473" t="str">
        <f t="shared" si="95"/>
        <v/>
      </c>
      <c r="AR336" s="473" t="str">
        <f t="shared" si="96"/>
        <v/>
      </c>
      <c r="AS336" s="473" t="str">
        <f t="shared" si="97"/>
        <v/>
      </c>
      <c r="AT336" s="473" t="str">
        <f t="shared" si="98"/>
        <v/>
      </c>
      <c r="AU336" s="473" t="str">
        <f t="shared" si="99"/>
        <v/>
      </c>
      <c r="AZ336" s="32" t="s">
        <v>8129</v>
      </c>
      <c r="BA336" s="34" t="s">
        <v>6127</v>
      </c>
      <c r="BB336" s="499"/>
      <c r="BC336" s="271"/>
      <c r="BD336" s="279">
        <v>1</v>
      </c>
      <c r="BE336" s="271"/>
      <c r="BF336" s="271"/>
      <c r="BG336" s="271"/>
      <c r="BH336" s="271"/>
      <c r="BI336" s="271"/>
      <c r="BJ336" s="271"/>
      <c r="BK336" s="271"/>
      <c r="BL336" s="271"/>
    </row>
    <row r="337" spans="18:64" ht="21" customHeight="1" x14ac:dyDescent="0.25">
      <c r="R337" s="34" t="s">
        <v>474</v>
      </c>
      <c r="S337" s="451"/>
      <c r="T337" s="31" t="s">
        <v>29</v>
      </c>
      <c r="V337" s="475">
        <v>8</v>
      </c>
      <c r="W337" s="475" t="str">
        <f>IF($AC$337="","",$W$324)</f>
        <v/>
      </c>
      <c r="X337" s="476" t="str">
        <f>IF($AC$337="","",$X$324)</f>
        <v/>
      </c>
      <c r="Y337" s="477" t="str">
        <f>IF($X$337="","",$Y$324)</f>
        <v/>
      </c>
      <c r="Z337" s="477" t="str">
        <f>IF($X$337="","",$Z$324)</f>
        <v/>
      </c>
      <c r="AA337" s="477" t="str">
        <f>IF($AC$337="","",ROW($A$337)-ROW($A$324))</f>
        <v/>
      </c>
      <c r="AB337" s="478"/>
      <c r="AC337" s="34"/>
      <c r="AD337" s="356"/>
      <c r="AE337" s="479"/>
      <c r="AF337" s="475"/>
      <c r="AG337" s="480" t="str">
        <f t="shared" si="88"/>
        <v/>
      </c>
      <c r="AH337" s="481" t="str">
        <f t="shared" si="89"/>
        <v/>
      </c>
      <c r="AI337" s="477" t="str">
        <f>IF($AC$337="","",IFERROR(INDEX($AZ$74:$AZ$119,MATCH($AH$337,$AY$74:$AY$119,0)),"AUTRE"))</f>
        <v/>
      </c>
      <c r="AJ337" s="482" t="str">
        <f>IF($AC$337="","",IFERROR(INDEX($BA$74:$BA$119,MATCH($AH$337,$AY$74:$AY$119,0)),1))</f>
        <v/>
      </c>
      <c r="AK337" s="482" t="str">
        <f t="shared" si="90"/>
        <v/>
      </c>
      <c r="AL337" s="477" t="str">
        <f>IF($AC$337="","",IFERROR(INDEX($BB$74:$BB$119,MATCH($AH$337,$AY$74:$AY$119,0)),$AH$337))</f>
        <v/>
      </c>
      <c r="AM337" s="483" t="str">
        <f t="shared" si="91"/>
        <v/>
      </c>
      <c r="AN337" s="484" t="str">
        <f t="shared" si="92"/>
        <v/>
      </c>
      <c r="AO337" s="473" t="str">
        <f t="shared" si="93"/>
        <v/>
      </c>
      <c r="AP337" s="473" t="str">
        <f t="shared" si="94"/>
        <v/>
      </c>
      <c r="AQ337" s="473" t="str">
        <f t="shared" si="95"/>
        <v/>
      </c>
      <c r="AR337" s="473" t="str">
        <f t="shared" si="96"/>
        <v/>
      </c>
      <c r="AS337" s="473" t="str">
        <f t="shared" si="97"/>
        <v/>
      </c>
      <c r="AT337" s="473" t="str">
        <f t="shared" si="98"/>
        <v/>
      </c>
      <c r="AU337" s="473" t="str">
        <f t="shared" si="99"/>
        <v/>
      </c>
      <c r="AZ337" s="32" t="s">
        <v>8131</v>
      </c>
      <c r="BA337" s="25" t="s">
        <v>6128</v>
      </c>
      <c r="BB337" s="499"/>
      <c r="BC337" s="271"/>
      <c r="BD337" s="279">
        <v>1</v>
      </c>
      <c r="BE337" s="271"/>
      <c r="BF337" s="271"/>
      <c r="BG337" s="271"/>
      <c r="BH337" s="271"/>
      <c r="BI337" s="271"/>
      <c r="BJ337" s="271"/>
      <c r="BK337" s="271"/>
      <c r="BL337" s="271"/>
    </row>
    <row r="338" spans="18:64" ht="21" customHeight="1" x14ac:dyDescent="0.25">
      <c r="R338" s="34" t="s">
        <v>490</v>
      </c>
      <c r="S338" s="451"/>
      <c r="T338" s="31" t="s">
        <v>30</v>
      </c>
      <c r="V338" s="475">
        <v>8</v>
      </c>
      <c r="W338" s="475" t="str">
        <f>IF($AC$338="","",$W$324)</f>
        <v/>
      </c>
      <c r="X338" s="476" t="str">
        <f>IF($AC$338="","",$X$324)</f>
        <v/>
      </c>
      <c r="Y338" s="477" t="str">
        <f>IF($X$338="","",$Y$324)</f>
        <v/>
      </c>
      <c r="Z338" s="477" t="str">
        <f>IF($X$338="","",$Z$324)</f>
        <v/>
      </c>
      <c r="AA338" s="477" t="str">
        <f>IF($AC$338="","",ROW($A$338)-ROW($A$324))</f>
        <v/>
      </c>
      <c r="AB338" s="478"/>
      <c r="AC338" s="34"/>
      <c r="AD338" s="356"/>
      <c r="AE338" s="479"/>
      <c r="AF338" s="475"/>
      <c r="AG338" s="480" t="str">
        <f t="shared" si="88"/>
        <v/>
      </c>
      <c r="AH338" s="481" t="str">
        <f t="shared" si="89"/>
        <v/>
      </c>
      <c r="AI338" s="477" t="str">
        <f>IF($AC$338="","",IFERROR(INDEX($AZ$74:$AZ$119,MATCH($AH$338,$AY$74:$AY$119,0)),"AUTRE"))</f>
        <v/>
      </c>
      <c r="AJ338" s="482" t="str">
        <f>IF($AC$338="","",IFERROR(INDEX($BA$74:$BA$119,MATCH($AH$338,$AY$74:$AY$119,0)),1))</f>
        <v/>
      </c>
      <c r="AK338" s="482" t="str">
        <f t="shared" si="90"/>
        <v/>
      </c>
      <c r="AL338" s="477" t="str">
        <f>IF($AC$338="","",IFERROR(INDEX($BB$74:$BB$119,MATCH($AH$338,$AY$74:$AY$119,0)),$AH$338))</f>
        <v/>
      </c>
      <c r="AM338" s="483" t="str">
        <f t="shared" si="91"/>
        <v/>
      </c>
      <c r="AN338" s="484" t="str">
        <f t="shared" si="92"/>
        <v/>
      </c>
      <c r="AO338" s="473" t="str">
        <f t="shared" si="93"/>
        <v/>
      </c>
      <c r="AP338" s="473" t="str">
        <f t="shared" si="94"/>
        <v/>
      </c>
      <c r="AQ338" s="473" t="str">
        <f t="shared" si="95"/>
        <v/>
      </c>
      <c r="AR338" s="473" t="str">
        <f t="shared" si="96"/>
        <v/>
      </c>
      <c r="AS338" s="473" t="str">
        <f t="shared" si="97"/>
        <v/>
      </c>
      <c r="AT338" s="473" t="str">
        <f t="shared" si="98"/>
        <v/>
      </c>
      <c r="AU338" s="473" t="str">
        <f t="shared" si="99"/>
        <v/>
      </c>
      <c r="AZ338" s="32" t="s">
        <v>309</v>
      </c>
      <c r="BA338" s="34" t="s">
        <v>474</v>
      </c>
      <c r="BB338" s="499"/>
      <c r="BC338" s="271"/>
      <c r="BD338" s="279">
        <v>1</v>
      </c>
      <c r="BE338" s="271"/>
      <c r="BF338" s="271"/>
      <c r="BG338" s="271"/>
      <c r="BH338" s="271"/>
      <c r="BI338" s="271"/>
      <c r="BJ338" s="271"/>
      <c r="BK338" s="271"/>
      <c r="BL338" s="271"/>
    </row>
    <row r="339" spans="18:64" ht="21" customHeight="1" x14ac:dyDescent="0.25">
      <c r="R339" s="34" t="s">
        <v>6129</v>
      </c>
      <c r="S339" s="451"/>
      <c r="T339" s="31" t="s">
        <v>31</v>
      </c>
      <c r="V339" s="475">
        <v>8</v>
      </c>
      <c r="W339" s="475" t="str">
        <f>IF($AC$339="","",$W$324)</f>
        <v/>
      </c>
      <c r="X339" s="476" t="str">
        <f>IF($AC$339="","",$X$324)</f>
        <v/>
      </c>
      <c r="Y339" s="477" t="str">
        <f>IF($X$339="","",$Y$324)</f>
        <v/>
      </c>
      <c r="Z339" s="477" t="str">
        <f>IF($X$339="","",$Z$324)</f>
        <v/>
      </c>
      <c r="AA339" s="477" t="str">
        <f>IF($AC$339="","",ROW($A$339)-ROW($A$324))</f>
        <v/>
      </c>
      <c r="AB339" s="478"/>
      <c r="AC339" s="34"/>
      <c r="AD339" s="356"/>
      <c r="AE339" s="479"/>
      <c r="AF339" s="475"/>
      <c r="AG339" s="480" t="str">
        <f t="shared" si="88"/>
        <v/>
      </c>
      <c r="AH339" s="481" t="str">
        <f t="shared" si="89"/>
        <v/>
      </c>
      <c r="AI339" s="477" t="str">
        <f>IF($AC$339="","",IFERROR(INDEX($AZ$74:$AZ$119,MATCH($AH$339,$AY$74:$AY$119,0)),"AUTRE"))</f>
        <v/>
      </c>
      <c r="AJ339" s="482" t="str">
        <f>IF($AC$339="","",IFERROR(INDEX($BA$74:$BA$119,MATCH($AH$339,$AY$74:$AY$119,0)),1))</f>
        <v/>
      </c>
      <c r="AK339" s="482" t="str">
        <f t="shared" si="90"/>
        <v/>
      </c>
      <c r="AL339" s="477" t="str">
        <f>IF($AC$339="","",IFERROR(INDEX($BB$74:$BB$119,MATCH($AH$339,$AY$74:$AY$119,0)),$AH$339))</f>
        <v/>
      </c>
      <c r="AM339" s="483" t="str">
        <f t="shared" si="91"/>
        <v/>
      </c>
      <c r="AN339" s="484" t="str">
        <f t="shared" si="92"/>
        <v/>
      </c>
      <c r="AO339" s="473" t="str">
        <f t="shared" si="93"/>
        <v/>
      </c>
      <c r="AP339" s="473" t="str">
        <f t="shared" si="94"/>
        <v/>
      </c>
      <c r="AQ339" s="473" t="str">
        <f t="shared" si="95"/>
        <v/>
      </c>
      <c r="AR339" s="473" t="str">
        <f t="shared" si="96"/>
        <v/>
      </c>
      <c r="AS339" s="473" t="str">
        <f t="shared" si="97"/>
        <v/>
      </c>
      <c r="AT339" s="473" t="str">
        <f t="shared" si="98"/>
        <v/>
      </c>
      <c r="AU339" s="473" t="str">
        <f t="shared" si="99"/>
        <v/>
      </c>
      <c r="AZ339" s="32" t="s">
        <v>311</v>
      </c>
      <c r="BA339" s="34" t="s">
        <v>490</v>
      </c>
      <c r="BB339" s="499"/>
      <c r="BC339" s="271"/>
      <c r="BD339" s="279">
        <v>1</v>
      </c>
      <c r="BE339" s="271"/>
      <c r="BF339" s="271"/>
      <c r="BG339" s="271"/>
      <c r="BH339" s="271"/>
      <c r="BI339" s="271"/>
      <c r="BJ339" s="271"/>
      <c r="BK339" s="271"/>
      <c r="BL339" s="271"/>
    </row>
    <row r="340" spans="18:64" ht="21" customHeight="1" x14ac:dyDescent="0.25">
      <c r="R340" s="34" t="s">
        <v>478</v>
      </c>
      <c r="S340" s="451"/>
      <c r="T340" s="32" t="s">
        <v>33</v>
      </c>
      <c r="V340" s="475">
        <v>8</v>
      </c>
      <c r="W340" s="475" t="str">
        <f>IF($AC$340="","",$W$324)</f>
        <v/>
      </c>
      <c r="X340" s="476" t="str">
        <f>IF($AC$340="","",$X$324)</f>
        <v/>
      </c>
      <c r="Y340" s="477" t="str">
        <f>IF($X$340="","",$Y$324)</f>
        <v/>
      </c>
      <c r="Z340" s="477" t="str">
        <f>IF($X$340="","",$Z$324)</f>
        <v/>
      </c>
      <c r="AA340" s="477" t="str">
        <f>IF($AC$340="","",ROW($A$340)-ROW($A$324))</f>
        <v/>
      </c>
      <c r="AB340" s="478"/>
      <c r="AC340" s="34"/>
      <c r="AD340" s="356"/>
      <c r="AE340" s="479"/>
      <c r="AF340" s="475"/>
      <c r="AG340" s="480" t="str">
        <f t="shared" si="88"/>
        <v/>
      </c>
      <c r="AH340" s="481" t="str">
        <f t="shared" si="89"/>
        <v/>
      </c>
      <c r="AI340" s="477" t="str">
        <f>IF($AC$340="","",IFERROR(INDEX($AZ$74:$AZ$119,MATCH($AH$340,$AY$74:$AY$119,0)),"AUTRE"))</f>
        <v/>
      </c>
      <c r="AJ340" s="482" t="str">
        <f>IF($AC$340="","",IFERROR(INDEX($BA$74:$BA$119,MATCH($AH$340,$AY$74:$AY$119,0)),1))</f>
        <v/>
      </c>
      <c r="AK340" s="482" t="str">
        <f t="shared" si="90"/>
        <v/>
      </c>
      <c r="AL340" s="477" t="str">
        <f>IF($AC$340="","",IFERROR(INDEX($BB$74:$BB$119,MATCH($AH$340,$AY$74:$AY$119,0)),$AH$340))</f>
        <v/>
      </c>
      <c r="AM340" s="483" t="str">
        <f t="shared" si="91"/>
        <v/>
      </c>
      <c r="AN340" s="484" t="str">
        <f t="shared" si="92"/>
        <v/>
      </c>
      <c r="AO340" s="473" t="str">
        <f t="shared" si="93"/>
        <v/>
      </c>
      <c r="AP340" s="473" t="str">
        <f t="shared" si="94"/>
        <v/>
      </c>
      <c r="AQ340" s="473" t="str">
        <f t="shared" si="95"/>
        <v/>
      </c>
      <c r="AR340" s="473" t="str">
        <f t="shared" si="96"/>
        <v/>
      </c>
      <c r="AS340" s="473" t="str">
        <f t="shared" si="97"/>
        <v/>
      </c>
      <c r="AT340" s="473" t="str">
        <f t="shared" si="98"/>
        <v/>
      </c>
      <c r="AU340" s="473" t="str">
        <f t="shared" si="99"/>
        <v/>
      </c>
      <c r="AZ340" s="32" t="s">
        <v>8135</v>
      </c>
      <c r="BA340" s="34" t="s">
        <v>6129</v>
      </c>
      <c r="BB340" s="499"/>
      <c r="BC340" s="271"/>
      <c r="BD340" s="279">
        <v>1</v>
      </c>
      <c r="BE340" s="271"/>
      <c r="BF340" s="271"/>
      <c r="BG340" s="271"/>
      <c r="BH340" s="271"/>
      <c r="BI340" s="271"/>
      <c r="BJ340" s="271"/>
      <c r="BK340" s="271"/>
      <c r="BL340" s="271"/>
    </row>
    <row r="341" spans="18:64" ht="21" customHeight="1" x14ac:dyDescent="0.25">
      <c r="R341" s="34" t="s">
        <v>6130</v>
      </c>
      <c r="S341" s="451"/>
      <c r="T341" s="32" t="s">
        <v>8125</v>
      </c>
      <c r="V341" s="475">
        <v>8</v>
      </c>
      <c r="W341" s="475" t="str">
        <f>IF($AC$341="","",$W$324)</f>
        <v/>
      </c>
      <c r="X341" s="476" t="str">
        <f>IF($AC$341="","",$X$324)</f>
        <v/>
      </c>
      <c r="Y341" s="477" t="str">
        <f>IF($X$341="","",$Y$324)</f>
        <v/>
      </c>
      <c r="Z341" s="477" t="str">
        <f>IF($X$341="","",$Z$324)</f>
        <v/>
      </c>
      <c r="AA341" s="477" t="str">
        <f>IF($AC$341="","",ROW($A$341)-ROW($A$324))</f>
        <v/>
      </c>
      <c r="AB341" s="478"/>
      <c r="AC341" s="34"/>
      <c r="AD341" s="356"/>
      <c r="AE341" s="479"/>
      <c r="AF341" s="475"/>
      <c r="AG341" s="480" t="str">
        <f t="shared" si="88"/>
        <v/>
      </c>
      <c r="AH341" s="481" t="str">
        <f t="shared" si="89"/>
        <v/>
      </c>
      <c r="AI341" s="477" t="str">
        <f>IF($AC$341="","",IFERROR(INDEX($AZ$74:$AZ$119,MATCH($AH$341,$AY$74:$AY$119,0)),"AUTRE"))</f>
        <v/>
      </c>
      <c r="AJ341" s="482" t="str">
        <f>IF($AC$341="","",IFERROR(INDEX($BA$74:$BA$119,MATCH($AH$341,$AY$74:$AY$119,0)),1))</f>
        <v/>
      </c>
      <c r="AK341" s="482" t="str">
        <f t="shared" si="90"/>
        <v/>
      </c>
      <c r="AL341" s="477" t="str">
        <f>IF($AC$341="","",IFERROR(INDEX($BB$74:$BB$119,MATCH($AH$341,$AY$74:$AY$119,0)),$AH$341))</f>
        <v/>
      </c>
      <c r="AM341" s="483" t="str">
        <f t="shared" si="91"/>
        <v/>
      </c>
      <c r="AN341" s="484" t="str">
        <f t="shared" si="92"/>
        <v/>
      </c>
      <c r="AO341" s="473" t="str">
        <f t="shared" si="93"/>
        <v/>
      </c>
      <c r="AP341" s="473" t="str">
        <f t="shared" si="94"/>
        <v/>
      </c>
      <c r="AQ341" s="473" t="str">
        <f t="shared" si="95"/>
        <v/>
      </c>
      <c r="AR341" s="473" t="str">
        <f t="shared" si="96"/>
        <v/>
      </c>
      <c r="AS341" s="473" t="str">
        <f t="shared" si="97"/>
        <v/>
      </c>
      <c r="AT341" s="473" t="str">
        <f t="shared" si="98"/>
        <v/>
      </c>
      <c r="AU341" s="473" t="str">
        <f t="shared" si="99"/>
        <v/>
      </c>
      <c r="AZ341" s="32" t="s">
        <v>8137</v>
      </c>
      <c r="BA341" s="34" t="s">
        <v>478</v>
      </c>
      <c r="BB341" s="499"/>
      <c r="BC341" s="271"/>
      <c r="BD341" s="279">
        <v>1</v>
      </c>
      <c r="BE341" s="271"/>
      <c r="BF341" s="271"/>
      <c r="BG341" s="271"/>
      <c r="BH341" s="271"/>
      <c r="BI341" s="271"/>
      <c r="BJ341" s="271"/>
      <c r="BK341" s="271"/>
      <c r="BL341" s="271"/>
    </row>
    <row r="342" spans="18:64" ht="21" customHeight="1" x14ac:dyDescent="0.25">
      <c r="R342" s="34" t="s">
        <v>486</v>
      </c>
      <c r="S342" s="451"/>
      <c r="T342" s="32" t="s">
        <v>8127</v>
      </c>
      <c r="V342" s="475">
        <v>8</v>
      </c>
      <c r="W342" s="475" t="str">
        <f>IF($AC$342="","",$W$324)</f>
        <v/>
      </c>
      <c r="X342" s="476" t="str">
        <f>IF($AC$342="","",$X$324)</f>
        <v/>
      </c>
      <c r="Y342" s="477" t="str">
        <f>IF($X$342="","",$Y$324)</f>
        <v/>
      </c>
      <c r="Z342" s="477" t="str">
        <f>IF($X$342="","",$Z$324)</f>
        <v/>
      </c>
      <c r="AA342" s="477" t="str">
        <f>IF($AC$342="","",ROW($A$342)-ROW($A$324))</f>
        <v/>
      </c>
      <c r="AB342" s="478"/>
      <c r="AC342" s="34"/>
      <c r="AD342" s="356"/>
      <c r="AE342" s="479"/>
      <c r="AF342" s="475"/>
      <c r="AG342" s="480" t="str">
        <f t="shared" si="88"/>
        <v/>
      </c>
      <c r="AH342" s="481" t="str">
        <f t="shared" si="89"/>
        <v/>
      </c>
      <c r="AI342" s="477" t="str">
        <f>IF($AC$342="","",IFERROR(INDEX($AZ$74:$AZ$119,MATCH($AH$342,$AY$74:$AY$119,0)),"AUTRE"))</f>
        <v/>
      </c>
      <c r="AJ342" s="482" t="str">
        <f>IF($AC$342="","",IFERROR(INDEX($BA$74:$BA$119,MATCH($AH$342,$AY$74:$AY$119,0)),1))</f>
        <v/>
      </c>
      <c r="AK342" s="482" t="str">
        <f t="shared" si="90"/>
        <v/>
      </c>
      <c r="AL342" s="477" t="str">
        <f>IF($AC$342="","",IFERROR(INDEX($BB$74:$BB$119,MATCH($AH$342,$AY$74:$AY$119,0)),$AH$342))</f>
        <v/>
      </c>
      <c r="AM342" s="483" t="str">
        <f t="shared" si="91"/>
        <v/>
      </c>
      <c r="AN342" s="484" t="str">
        <f t="shared" si="92"/>
        <v/>
      </c>
      <c r="AO342" s="473" t="str">
        <f t="shared" si="93"/>
        <v/>
      </c>
      <c r="AP342" s="473" t="str">
        <f t="shared" si="94"/>
        <v/>
      </c>
      <c r="AQ342" s="473" t="str">
        <f t="shared" si="95"/>
        <v/>
      </c>
      <c r="AR342" s="473" t="str">
        <f t="shared" si="96"/>
        <v/>
      </c>
      <c r="AS342" s="473" t="str">
        <f t="shared" si="97"/>
        <v/>
      </c>
      <c r="AT342" s="473" t="str">
        <f t="shared" si="98"/>
        <v/>
      </c>
      <c r="AU342" s="473" t="str">
        <f t="shared" si="99"/>
        <v/>
      </c>
      <c r="AZ342" s="32" t="s">
        <v>8139</v>
      </c>
      <c r="BA342" s="34" t="s">
        <v>6130</v>
      </c>
      <c r="BB342" s="499"/>
      <c r="BC342" s="271"/>
      <c r="BD342" s="279">
        <v>1</v>
      </c>
      <c r="BE342" s="271"/>
      <c r="BF342" s="271"/>
      <c r="BG342" s="271"/>
      <c r="BH342" s="271"/>
      <c r="BI342" s="271"/>
      <c r="BJ342" s="271"/>
      <c r="BK342" s="271"/>
      <c r="BL342" s="271"/>
    </row>
    <row r="343" spans="18:64" ht="21" customHeight="1" x14ac:dyDescent="0.25">
      <c r="R343" s="34" t="s">
        <v>479</v>
      </c>
      <c r="S343" s="451"/>
      <c r="T343" s="32" t="s">
        <v>320</v>
      </c>
      <c r="V343" s="475">
        <v>8</v>
      </c>
      <c r="W343" s="475" t="str">
        <f>IF($AC$343="","",$W$324)</f>
        <v/>
      </c>
      <c r="X343" s="476" t="str">
        <f>IF($AC$343="","",$X$324)</f>
        <v/>
      </c>
      <c r="Y343" s="477" t="str">
        <f>IF($X$343="","",$Y$324)</f>
        <v/>
      </c>
      <c r="Z343" s="477" t="str">
        <f>IF($X$343="","",$Z$324)</f>
        <v/>
      </c>
      <c r="AA343" s="477" t="str">
        <f>IF($AC$343="","",ROW($A$343)-ROW($A$324))</f>
        <v/>
      </c>
      <c r="AB343" s="478"/>
      <c r="AC343" s="34"/>
      <c r="AD343" s="356"/>
      <c r="AE343" s="479"/>
      <c r="AF343" s="475"/>
      <c r="AG343" s="480" t="str">
        <f t="shared" si="88"/>
        <v/>
      </c>
      <c r="AH343" s="481" t="str">
        <f t="shared" si="89"/>
        <v/>
      </c>
      <c r="AI343" s="477" t="str">
        <f>IF($AC$343="","",IFERROR(INDEX($AZ$74:$AZ$119,MATCH($AH$343,$AY$74:$AY$119,0)),"AUTRE"))</f>
        <v/>
      </c>
      <c r="AJ343" s="482" t="str">
        <f>IF($AC$343="","",IFERROR(INDEX($BA$74:$BA$119,MATCH($AH$343,$AY$74:$AY$119,0)),1))</f>
        <v/>
      </c>
      <c r="AK343" s="482" t="str">
        <f t="shared" si="90"/>
        <v/>
      </c>
      <c r="AL343" s="477" t="str">
        <f>IF($AC$343="","",IFERROR(INDEX($BB$74:$BB$119,MATCH($AH$343,$AY$74:$AY$119,0)),$AH$343))</f>
        <v/>
      </c>
      <c r="AM343" s="483" t="str">
        <f t="shared" si="91"/>
        <v/>
      </c>
      <c r="AN343" s="484" t="str">
        <f t="shared" si="92"/>
        <v/>
      </c>
      <c r="AO343" s="473" t="str">
        <f t="shared" si="93"/>
        <v/>
      </c>
      <c r="AP343" s="473" t="str">
        <f t="shared" si="94"/>
        <v/>
      </c>
      <c r="AQ343" s="473" t="str">
        <f t="shared" si="95"/>
        <v/>
      </c>
      <c r="AR343" s="473" t="str">
        <f t="shared" si="96"/>
        <v/>
      </c>
      <c r="AS343" s="473" t="str">
        <f t="shared" si="97"/>
        <v/>
      </c>
      <c r="AT343" s="473" t="str">
        <f t="shared" si="98"/>
        <v/>
      </c>
      <c r="AU343" s="473" t="str">
        <f t="shared" si="99"/>
        <v/>
      </c>
      <c r="AZ343" s="32" t="s">
        <v>8141</v>
      </c>
      <c r="BA343" s="34" t="s">
        <v>486</v>
      </c>
      <c r="BB343" s="499"/>
      <c r="BC343" s="271"/>
      <c r="BD343" s="279">
        <v>1</v>
      </c>
      <c r="BE343" s="271"/>
      <c r="BF343" s="271"/>
      <c r="BG343" s="271"/>
      <c r="BH343" s="271"/>
      <c r="BI343" s="271"/>
      <c r="BJ343" s="271"/>
      <c r="BK343" s="271"/>
      <c r="BL343" s="271"/>
    </row>
    <row r="344" spans="18:64" ht="21" customHeight="1" x14ac:dyDescent="0.25">
      <c r="R344" s="34" t="s">
        <v>6131</v>
      </c>
      <c r="S344" s="451"/>
      <c r="T344" s="32" t="s">
        <v>318</v>
      </c>
      <c r="V344" s="475">
        <v>8</v>
      </c>
      <c r="W344" s="475" t="str">
        <f>IF($AC$344="","",$W$324)</f>
        <v/>
      </c>
      <c r="X344" s="476" t="str">
        <f>IF($AC$344="","",$X$324)</f>
        <v/>
      </c>
      <c r="Y344" s="477" t="str">
        <f>IF($X$344="","",$Y$324)</f>
        <v/>
      </c>
      <c r="Z344" s="477" t="str">
        <f>IF($X$344="","",$Z$324)</f>
        <v/>
      </c>
      <c r="AA344" s="477" t="str">
        <f>IF($AC$344="","",ROW($A$344)-ROW($A$324))</f>
        <v/>
      </c>
      <c r="AB344" s="478"/>
      <c r="AC344" s="34"/>
      <c r="AD344" s="356"/>
      <c r="AE344" s="479"/>
      <c r="AF344" s="475"/>
      <c r="AG344" s="480" t="str">
        <f t="shared" si="88"/>
        <v/>
      </c>
      <c r="AH344" s="481" t="str">
        <f t="shared" si="89"/>
        <v/>
      </c>
      <c r="AI344" s="477" t="str">
        <f>IF($AC$344="","",IFERROR(INDEX($AZ$74:$AZ$119,MATCH($AH$344,$AY$74:$AY$119,0)),"AUTRE"))</f>
        <v/>
      </c>
      <c r="AJ344" s="482" t="str">
        <f>IF($AC$344="","",IFERROR(INDEX($BA$74:$BA$119,MATCH($AH$344,$AY$74:$AY$119,0)),1))</f>
        <v/>
      </c>
      <c r="AK344" s="482" t="str">
        <f t="shared" si="90"/>
        <v/>
      </c>
      <c r="AL344" s="477" t="str">
        <f>IF($AC$344="","",IFERROR(INDEX($BB$74:$BB$119,MATCH($AH$344,$AY$74:$AY$119,0)),$AH$344))</f>
        <v/>
      </c>
      <c r="AM344" s="483" t="str">
        <f t="shared" si="91"/>
        <v/>
      </c>
      <c r="AN344" s="484" t="str">
        <f t="shared" si="92"/>
        <v/>
      </c>
      <c r="AO344" s="473" t="str">
        <f t="shared" si="93"/>
        <v/>
      </c>
      <c r="AP344" s="473" t="str">
        <f t="shared" si="94"/>
        <v/>
      </c>
      <c r="AQ344" s="473" t="str">
        <f t="shared" si="95"/>
        <v/>
      </c>
      <c r="AR344" s="473" t="str">
        <f t="shared" si="96"/>
        <v/>
      </c>
      <c r="AS344" s="473" t="str">
        <f t="shared" si="97"/>
        <v/>
      </c>
      <c r="AT344" s="473" t="str">
        <f t="shared" si="98"/>
        <v/>
      </c>
      <c r="AU344" s="473" t="str">
        <f t="shared" si="99"/>
        <v/>
      </c>
      <c r="AZ344" s="32" t="s">
        <v>8143</v>
      </c>
      <c r="BA344" s="34" t="s">
        <v>479</v>
      </c>
      <c r="BB344" s="499"/>
      <c r="BC344" s="271"/>
      <c r="BD344" s="279">
        <v>1</v>
      </c>
      <c r="BE344" s="271"/>
      <c r="BF344" s="271"/>
      <c r="BG344" s="271"/>
      <c r="BH344" s="271"/>
      <c r="BI344" s="271"/>
      <c r="BJ344" s="271"/>
      <c r="BK344" s="271"/>
      <c r="BL344" s="271"/>
    </row>
    <row r="345" spans="18:64" ht="21" customHeight="1" x14ac:dyDescent="0.25">
      <c r="R345" s="34" t="s">
        <v>485</v>
      </c>
      <c r="S345" s="451"/>
      <c r="T345" s="32" t="s">
        <v>316</v>
      </c>
      <c r="V345" s="475">
        <v>8</v>
      </c>
      <c r="W345" s="475" t="str">
        <f>IF($AC$345="","",$W$324)</f>
        <v/>
      </c>
      <c r="X345" s="476" t="str">
        <f>IF($AC$345="","",$X$324)</f>
        <v/>
      </c>
      <c r="Y345" s="477" t="str">
        <f>IF($X$345="","",$Y$324)</f>
        <v/>
      </c>
      <c r="Z345" s="477" t="str">
        <f>IF($X$345="","",$Z$324)</f>
        <v/>
      </c>
      <c r="AA345" s="477" t="str">
        <f>IF($AC$345="","",ROW($A$345)-ROW($A$324))</f>
        <v/>
      </c>
      <c r="AB345" s="478"/>
      <c r="AC345" s="34"/>
      <c r="AD345" s="356"/>
      <c r="AE345" s="479"/>
      <c r="AF345" s="475"/>
      <c r="AG345" s="480" t="str">
        <f t="shared" si="88"/>
        <v/>
      </c>
      <c r="AH345" s="481" t="str">
        <f t="shared" si="89"/>
        <v/>
      </c>
      <c r="AI345" s="477" t="str">
        <f>IF($AC$345="","",IFERROR(INDEX($AZ$74:$AZ$119,MATCH($AH$345,$AY$74:$AY$119,0)),"AUTRE"))</f>
        <v/>
      </c>
      <c r="AJ345" s="482" t="str">
        <f>IF($AC$345="","",IFERROR(INDEX($BA$74:$BA$119,MATCH($AH$345,$AY$74:$AY$119,0)),1))</f>
        <v/>
      </c>
      <c r="AK345" s="482" t="str">
        <f t="shared" si="90"/>
        <v/>
      </c>
      <c r="AL345" s="477" t="str">
        <f>IF($AC$345="","",IFERROR(INDEX($BB$74:$BB$119,MATCH($AH$345,$AY$74:$AY$119,0)),$AH$345))</f>
        <v/>
      </c>
      <c r="AM345" s="483" t="str">
        <f t="shared" si="91"/>
        <v/>
      </c>
      <c r="AN345" s="484" t="str">
        <f t="shared" si="92"/>
        <v/>
      </c>
      <c r="AO345" s="473" t="str">
        <f t="shared" si="93"/>
        <v/>
      </c>
      <c r="AP345" s="473" t="str">
        <f t="shared" si="94"/>
        <v/>
      </c>
      <c r="AQ345" s="473" t="str">
        <f t="shared" si="95"/>
        <v/>
      </c>
      <c r="AR345" s="473" t="str">
        <f t="shared" si="96"/>
        <v/>
      </c>
      <c r="AS345" s="473" t="str">
        <f t="shared" si="97"/>
        <v/>
      </c>
      <c r="AT345" s="473" t="str">
        <f t="shared" si="98"/>
        <v/>
      </c>
      <c r="AU345" s="473" t="str">
        <f t="shared" si="99"/>
        <v/>
      </c>
      <c r="AZ345" s="497" t="s">
        <v>8145</v>
      </c>
      <c r="BA345" s="34" t="s">
        <v>6131</v>
      </c>
      <c r="BB345" s="499"/>
      <c r="BC345" s="271"/>
      <c r="BD345" s="279">
        <v>1</v>
      </c>
      <c r="BE345" s="271"/>
      <c r="BF345" s="271"/>
      <c r="BG345" s="271"/>
      <c r="BH345" s="271"/>
      <c r="BI345" s="271"/>
      <c r="BJ345" s="271"/>
      <c r="BK345" s="271"/>
      <c r="BL345" s="271"/>
    </row>
    <row r="346" spans="18:64" ht="21" customHeight="1" x14ac:dyDescent="0.25">
      <c r="R346" s="34" t="s">
        <v>6132</v>
      </c>
      <c r="S346" s="451"/>
      <c r="T346" s="32" t="s">
        <v>313</v>
      </c>
      <c r="V346" s="475">
        <v>8</v>
      </c>
      <c r="W346" s="475" t="str">
        <f>IF($AC$346="","",$W$324)</f>
        <v/>
      </c>
      <c r="X346" s="476" t="str">
        <f>IF($AC$346="","",$X$324)</f>
        <v/>
      </c>
      <c r="Y346" s="477" t="str">
        <f>IF($X$346="","",$Y$324)</f>
        <v/>
      </c>
      <c r="Z346" s="477" t="str">
        <f>IF($X$346="","",$Z$324)</f>
        <v/>
      </c>
      <c r="AA346" s="477" t="str">
        <f>IF($AC$346="","",ROW($A$346)-ROW($A$324))</f>
        <v/>
      </c>
      <c r="AB346" s="478"/>
      <c r="AC346" s="34"/>
      <c r="AD346" s="356"/>
      <c r="AE346" s="479"/>
      <c r="AF346" s="475"/>
      <c r="AG346" s="480" t="str">
        <f t="shared" si="88"/>
        <v/>
      </c>
      <c r="AH346" s="481" t="str">
        <f t="shared" si="89"/>
        <v/>
      </c>
      <c r="AI346" s="477" t="str">
        <f>IF($AC$346="","",IFERROR(INDEX($AZ$74:$AZ$119,MATCH($AH$346,$AY$74:$AY$119,0)),"AUTRE"))</f>
        <v/>
      </c>
      <c r="AJ346" s="482" t="str">
        <f>IF($AC$346="","",IFERROR(INDEX($BA$74:$BA$119,MATCH($AH$346,$AY$74:$AY$119,0)),1))</f>
        <v/>
      </c>
      <c r="AK346" s="482" t="str">
        <f t="shared" si="90"/>
        <v/>
      </c>
      <c r="AL346" s="477" t="str">
        <f>IF($AC$346="","",IFERROR(INDEX($BB$74:$BB$119,MATCH($AH$346,$AY$74:$AY$119,0)),$AH$346))</f>
        <v/>
      </c>
      <c r="AM346" s="483" t="str">
        <f t="shared" si="91"/>
        <v/>
      </c>
      <c r="AN346" s="484" t="str">
        <f t="shared" si="92"/>
        <v/>
      </c>
      <c r="AO346" s="473" t="str">
        <f t="shared" si="93"/>
        <v/>
      </c>
      <c r="AP346" s="473" t="str">
        <f t="shared" si="94"/>
        <v/>
      </c>
      <c r="AQ346" s="473" t="str">
        <f t="shared" si="95"/>
        <v/>
      </c>
      <c r="AR346" s="473" t="str">
        <f t="shared" si="96"/>
        <v/>
      </c>
      <c r="AS346" s="473" t="str">
        <f t="shared" si="97"/>
        <v/>
      </c>
      <c r="AT346" s="473" t="str">
        <f t="shared" si="98"/>
        <v/>
      </c>
      <c r="AU346" s="473" t="str">
        <f t="shared" si="99"/>
        <v/>
      </c>
      <c r="AZ346" s="497" t="s">
        <v>462</v>
      </c>
      <c r="BA346" s="34" t="s">
        <v>485</v>
      </c>
      <c r="BB346" s="499"/>
      <c r="BC346" s="271"/>
      <c r="BD346" s="279">
        <v>1</v>
      </c>
      <c r="BE346" s="271"/>
      <c r="BF346" s="271"/>
      <c r="BG346" s="271"/>
      <c r="BH346" s="271"/>
      <c r="BI346" s="271"/>
      <c r="BJ346" s="271"/>
      <c r="BK346" s="271"/>
      <c r="BL346" s="271"/>
    </row>
    <row r="347" spans="18:64" ht="21" customHeight="1" x14ac:dyDescent="0.25">
      <c r="R347" s="25" t="s">
        <v>6133</v>
      </c>
      <c r="S347" s="451"/>
      <c r="T347" s="32" t="s">
        <v>307</v>
      </c>
      <c r="V347" s="475">
        <v>8</v>
      </c>
      <c r="W347" s="475" t="str">
        <f>IF($AC$347="","",$W$324)</f>
        <v/>
      </c>
      <c r="X347" s="476" t="str">
        <f>IF($AC$347="","",$X$324)</f>
        <v/>
      </c>
      <c r="Y347" s="477" t="str">
        <f>IF($X$347="","",$Y$324)</f>
        <v/>
      </c>
      <c r="Z347" s="477" t="str">
        <f>IF($X$347="","",$Z$324)</f>
        <v/>
      </c>
      <c r="AA347" s="477" t="str">
        <f>IF($AC$347="","",ROW($A$347)-ROW($A$324))</f>
        <v/>
      </c>
      <c r="AB347" s="478"/>
      <c r="AC347" s="34"/>
      <c r="AD347" s="356"/>
      <c r="AE347" s="479"/>
      <c r="AF347" s="475"/>
      <c r="AG347" s="480" t="str">
        <f t="shared" si="88"/>
        <v/>
      </c>
      <c r="AH347" s="481" t="str">
        <f t="shared" si="89"/>
        <v/>
      </c>
      <c r="AI347" s="477" t="str">
        <f>IF($AC$347="","",IFERROR(INDEX($AZ$74:$AZ$119,MATCH($AH$347,$AY$74:$AY$119,0)),"AUTRE"))</f>
        <v/>
      </c>
      <c r="AJ347" s="482" t="str">
        <f>IF($AC$347="","",IFERROR(INDEX($BA$74:$BA$119,MATCH($AH$347,$AY$74:$AY$119,0)),1))</f>
        <v/>
      </c>
      <c r="AK347" s="482" t="str">
        <f t="shared" si="90"/>
        <v/>
      </c>
      <c r="AL347" s="477" t="str">
        <f>IF($AC$347="","",IFERROR(INDEX($BB$74:$BB$119,MATCH($AH$347,$AY$74:$AY$119,0)),$AH$347))</f>
        <v/>
      </c>
      <c r="AM347" s="483" t="str">
        <f t="shared" si="91"/>
        <v/>
      </c>
      <c r="AN347" s="484" t="str">
        <f t="shared" si="92"/>
        <v/>
      </c>
      <c r="AO347" s="473" t="str">
        <f t="shared" si="93"/>
        <v/>
      </c>
      <c r="AP347" s="473" t="str">
        <f t="shared" si="94"/>
        <v/>
      </c>
      <c r="AQ347" s="473" t="str">
        <f t="shared" si="95"/>
        <v/>
      </c>
      <c r="AR347" s="473" t="str">
        <f t="shared" si="96"/>
        <v/>
      </c>
      <c r="AS347" s="473" t="str">
        <f t="shared" si="97"/>
        <v/>
      </c>
      <c r="AT347" s="473" t="str">
        <f t="shared" si="98"/>
        <v/>
      </c>
      <c r="AU347" s="473" t="str">
        <f t="shared" si="99"/>
        <v/>
      </c>
      <c r="AZ347" s="497" t="s">
        <v>463</v>
      </c>
      <c r="BA347" s="34" t="s">
        <v>6132</v>
      </c>
      <c r="BB347" s="499"/>
      <c r="BC347" s="271"/>
      <c r="BD347" s="279">
        <v>1</v>
      </c>
      <c r="BE347" s="271"/>
      <c r="BF347" s="271"/>
      <c r="BG347" s="271"/>
      <c r="BH347" s="271"/>
      <c r="BI347" s="271"/>
      <c r="BJ347" s="271"/>
      <c r="BK347" s="271"/>
      <c r="BL347" s="271"/>
    </row>
    <row r="348" spans="18:64" ht="21" customHeight="1" x14ac:dyDescent="0.25">
      <c r="R348" s="34" t="s">
        <v>476</v>
      </c>
      <c r="S348" s="451"/>
      <c r="T348" s="32" t="s">
        <v>322</v>
      </c>
      <c r="V348" s="475">
        <v>8</v>
      </c>
      <c r="W348" s="475" t="str">
        <f>IF($AC$348="","",$W$324)</f>
        <v/>
      </c>
      <c r="X348" s="476" t="str">
        <f>IF($AC$348="","",$X$324)</f>
        <v/>
      </c>
      <c r="Y348" s="477" t="str">
        <f>IF($X$348="","",$Y$324)</f>
        <v/>
      </c>
      <c r="Z348" s="477" t="str">
        <f>IF($X$348="","",$Z$324)</f>
        <v/>
      </c>
      <c r="AA348" s="477" t="str">
        <f>IF($AC$348="","",ROW($A$348)-ROW($A$324))</f>
        <v/>
      </c>
      <c r="AB348" s="478"/>
      <c r="AC348" s="34"/>
      <c r="AD348" s="356"/>
      <c r="AE348" s="479"/>
      <c r="AF348" s="475"/>
      <c r="AG348" s="480" t="str">
        <f t="shared" si="88"/>
        <v/>
      </c>
      <c r="AH348" s="481" t="str">
        <f t="shared" si="89"/>
        <v/>
      </c>
      <c r="AI348" s="477" t="str">
        <f>IF($AC$348="","",IFERROR(INDEX($AZ$74:$AZ$119,MATCH($AH$348,$AY$74:$AY$119,0)),"AUTRE"))</f>
        <v/>
      </c>
      <c r="AJ348" s="482" t="str">
        <f>IF($AC$348="","",IFERROR(INDEX($BA$74:$BA$119,MATCH($AH$348,$AY$74:$AY$119,0)),1))</f>
        <v/>
      </c>
      <c r="AK348" s="482" t="str">
        <f t="shared" si="90"/>
        <v/>
      </c>
      <c r="AL348" s="477" t="str">
        <f>IF($AC$348="","",IFERROR(INDEX($BB$74:$BB$119,MATCH($AH$348,$AY$74:$AY$119,0)),$AH$348))</f>
        <v/>
      </c>
      <c r="AM348" s="483" t="str">
        <f t="shared" si="91"/>
        <v/>
      </c>
      <c r="AN348" s="484" t="str">
        <f t="shared" si="92"/>
        <v/>
      </c>
      <c r="AO348" s="473" t="str">
        <f t="shared" si="93"/>
        <v/>
      </c>
      <c r="AP348" s="473" t="str">
        <f t="shared" si="94"/>
        <v/>
      </c>
      <c r="AQ348" s="473" t="str">
        <f t="shared" si="95"/>
        <v/>
      </c>
      <c r="AR348" s="473" t="str">
        <f t="shared" si="96"/>
        <v/>
      </c>
      <c r="AS348" s="473" t="str">
        <f t="shared" si="97"/>
        <v/>
      </c>
      <c r="AT348" s="473" t="str">
        <f t="shared" si="98"/>
        <v/>
      </c>
      <c r="AU348" s="473" t="str">
        <f t="shared" si="99"/>
        <v/>
      </c>
      <c r="AZ348" s="497" t="s">
        <v>8147</v>
      </c>
      <c r="BA348" s="25" t="s">
        <v>6133</v>
      </c>
      <c r="BB348" s="499"/>
      <c r="BC348" s="271"/>
      <c r="BD348" s="279">
        <v>1</v>
      </c>
      <c r="BE348" s="271"/>
      <c r="BF348" s="271"/>
      <c r="BG348" s="271"/>
      <c r="BH348" s="271"/>
      <c r="BI348" s="271"/>
      <c r="BJ348" s="271"/>
      <c r="BK348" s="271"/>
      <c r="BL348" s="271"/>
    </row>
    <row r="349" spans="18:64" ht="21" customHeight="1" x14ac:dyDescent="0.25">
      <c r="R349" s="34" t="s">
        <v>468</v>
      </c>
      <c r="S349" s="451"/>
      <c r="T349" s="32" t="s">
        <v>305</v>
      </c>
      <c r="V349" s="475">
        <v>8</v>
      </c>
      <c r="W349" s="475" t="str">
        <f>IF($AC$349="","",$W$324)</f>
        <v/>
      </c>
      <c r="X349" s="476" t="str">
        <f>IF($AC$349="","",$X$324)</f>
        <v/>
      </c>
      <c r="Y349" s="477" t="str">
        <f>IF($X$349="","",$Y$324)</f>
        <v/>
      </c>
      <c r="Z349" s="477" t="str">
        <f>IF($X$349="","",$Z$324)</f>
        <v/>
      </c>
      <c r="AA349" s="477" t="str">
        <f>IF($AC$349="","",ROW($A$349)-ROW($A$324))</f>
        <v/>
      </c>
      <c r="AB349" s="478"/>
      <c r="AC349" s="34"/>
      <c r="AD349" s="356"/>
      <c r="AE349" s="479"/>
      <c r="AF349" s="475"/>
      <c r="AG349" s="480" t="str">
        <f t="shared" si="88"/>
        <v/>
      </c>
      <c r="AH349" s="481" t="str">
        <f t="shared" si="89"/>
        <v/>
      </c>
      <c r="AI349" s="477" t="str">
        <f>IF($AC$349="","",IFERROR(INDEX($AZ$74:$AZ$119,MATCH($AH$349,$AY$74:$AY$119,0)),"AUTRE"))</f>
        <v/>
      </c>
      <c r="AJ349" s="482" t="str">
        <f>IF($AC$349="","",IFERROR(INDEX($BA$74:$BA$119,MATCH($AH$349,$AY$74:$AY$119,0)),1))</f>
        <v/>
      </c>
      <c r="AK349" s="482" t="str">
        <f t="shared" si="90"/>
        <v/>
      </c>
      <c r="AL349" s="477" t="str">
        <f>IF($AC$349="","",IFERROR(INDEX($BB$74:$BB$119,MATCH($AH$349,$AY$74:$AY$119,0)),$AH$349))</f>
        <v/>
      </c>
      <c r="AM349" s="483" t="str">
        <f t="shared" si="91"/>
        <v/>
      </c>
      <c r="AN349" s="484" t="str">
        <f t="shared" si="92"/>
        <v/>
      </c>
      <c r="AO349" s="473" t="str">
        <f t="shared" si="93"/>
        <v/>
      </c>
      <c r="AP349" s="473" t="str">
        <f t="shared" si="94"/>
        <v/>
      </c>
      <c r="AQ349" s="473" t="str">
        <f t="shared" si="95"/>
        <v/>
      </c>
      <c r="AR349" s="473" t="str">
        <f t="shared" si="96"/>
        <v/>
      </c>
      <c r="AS349" s="473" t="str">
        <f t="shared" si="97"/>
        <v/>
      </c>
      <c r="AT349" s="473" t="str">
        <f t="shared" si="98"/>
        <v/>
      </c>
      <c r="AU349" s="473" t="str">
        <f t="shared" si="99"/>
        <v/>
      </c>
      <c r="AZ349" s="497" t="s">
        <v>465</v>
      </c>
      <c r="BA349" s="34" t="s">
        <v>476</v>
      </c>
      <c r="BB349" s="499"/>
      <c r="BC349" s="271"/>
      <c r="BD349" s="279">
        <v>1</v>
      </c>
      <c r="BE349" s="271"/>
      <c r="BF349" s="271"/>
      <c r="BG349" s="271"/>
      <c r="BH349" s="271"/>
      <c r="BI349" s="271"/>
      <c r="BJ349" s="271"/>
      <c r="BK349" s="271"/>
      <c r="BL349" s="271"/>
    </row>
    <row r="350" spans="18:64" ht="21" customHeight="1" x14ac:dyDescent="0.25">
      <c r="R350" s="34" t="s">
        <v>473</v>
      </c>
      <c r="S350" s="451"/>
      <c r="T350" s="32" t="s">
        <v>309</v>
      </c>
      <c r="V350" s="475">
        <v>8</v>
      </c>
      <c r="W350" s="475" t="str">
        <f>IF($AC$350="","",$W$324)</f>
        <v/>
      </c>
      <c r="X350" s="476" t="str">
        <f>IF($AC$350="","",$X$324)</f>
        <v/>
      </c>
      <c r="Y350" s="477" t="str">
        <f>IF($X$350="","",$Y$324)</f>
        <v/>
      </c>
      <c r="Z350" s="477" t="str">
        <f>IF($X$350="","",$Z$324)</f>
        <v/>
      </c>
      <c r="AA350" s="477" t="str">
        <f>IF($AC$350="","",ROW($A$350)-ROW($A$324))</f>
        <v/>
      </c>
      <c r="AB350" s="478"/>
      <c r="AC350" s="34"/>
      <c r="AD350" s="356"/>
      <c r="AE350" s="479"/>
      <c r="AF350" s="475"/>
      <c r="AG350" s="480" t="str">
        <f t="shared" si="88"/>
        <v/>
      </c>
      <c r="AH350" s="481" t="str">
        <f t="shared" si="89"/>
        <v/>
      </c>
      <c r="AI350" s="477" t="str">
        <f>IF($AC$350="","",IFERROR(INDEX($AZ$74:$AZ$119,MATCH($AH$350,$AY$74:$AY$119,0)),"AUTRE"))</f>
        <v/>
      </c>
      <c r="AJ350" s="482" t="str">
        <f>IF($AC$350="","",IFERROR(INDEX($BA$74:$BA$119,MATCH($AH$350,$AY$74:$AY$119,0)),1))</f>
        <v/>
      </c>
      <c r="AK350" s="482" t="str">
        <f t="shared" si="90"/>
        <v/>
      </c>
      <c r="AL350" s="477" t="str">
        <f>IF($AC$350="","",IFERROR(INDEX($BB$74:$BB$119,MATCH($AH$350,$AY$74:$AY$119,0)),$AH$350))</f>
        <v/>
      </c>
      <c r="AM350" s="483" t="str">
        <f t="shared" si="91"/>
        <v/>
      </c>
      <c r="AN350" s="484" t="str">
        <f t="shared" si="92"/>
        <v/>
      </c>
      <c r="AO350" s="473" t="str">
        <f t="shared" si="93"/>
        <v/>
      </c>
      <c r="AP350" s="473" t="str">
        <f t="shared" si="94"/>
        <v/>
      </c>
      <c r="AQ350" s="473" t="str">
        <f t="shared" si="95"/>
        <v/>
      </c>
      <c r="AR350" s="473" t="str">
        <f t="shared" si="96"/>
        <v/>
      </c>
      <c r="AS350" s="473" t="str">
        <f t="shared" si="97"/>
        <v/>
      </c>
      <c r="AT350" s="473" t="str">
        <f t="shared" si="98"/>
        <v/>
      </c>
      <c r="AU350" s="473" t="str">
        <f t="shared" si="99"/>
        <v/>
      </c>
      <c r="AZ350" s="497" t="s">
        <v>466</v>
      </c>
      <c r="BA350" s="34" t="s">
        <v>468</v>
      </c>
      <c r="BB350" s="499"/>
      <c r="BC350" s="271"/>
      <c r="BD350" s="279">
        <v>1</v>
      </c>
      <c r="BE350" s="271"/>
      <c r="BF350" s="271"/>
      <c r="BG350" s="271"/>
      <c r="BH350" s="271"/>
      <c r="BI350" s="271"/>
      <c r="BJ350" s="271"/>
      <c r="BK350" s="271"/>
      <c r="BL350" s="271"/>
    </row>
    <row r="351" spans="18:64" ht="21" customHeight="1" x14ac:dyDescent="0.25">
      <c r="R351" s="34" t="s">
        <v>497</v>
      </c>
      <c r="S351" s="451"/>
      <c r="T351" s="32" t="s">
        <v>311</v>
      </c>
      <c r="V351" s="475">
        <v>8</v>
      </c>
      <c r="W351" s="475" t="str">
        <f>IF($AC$351="","",$W$324)</f>
        <v/>
      </c>
      <c r="X351" s="476" t="str">
        <f>IF($AC$351="","",$X$324)</f>
        <v/>
      </c>
      <c r="Y351" s="477" t="str">
        <f>IF($X$351="","",$Y$324)</f>
        <v/>
      </c>
      <c r="Z351" s="477" t="str">
        <f>IF($X$351="","",$Z$324)</f>
        <v/>
      </c>
      <c r="AA351" s="477" t="str">
        <f>IF($AC$351="","",ROW($A$351)-ROW($A$324))</f>
        <v/>
      </c>
      <c r="AB351" s="478"/>
      <c r="AC351" s="34"/>
      <c r="AD351" s="356"/>
      <c r="AE351" s="479"/>
      <c r="AF351" s="475"/>
      <c r="AG351" s="480" t="str">
        <f t="shared" si="88"/>
        <v/>
      </c>
      <c r="AH351" s="481" t="str">
        <f t="shared" si="89"/>
        <v/>
      </c>
      <c r="AI351" s="477" t="str">
        <f>IF($AC$351="","",IFERROR(INDEX($AZ$74:$AZ$119,MATCH($AH$351,$AY$74:$AY$119,0)),"AUTRE"))</f>
        <v/>
      </c>
      <c r="AJ351" s="482" t="str">
        <f>IF($AC$351="","",IFERROR(INDEX($BA$74:$BA$119,MATCH($AH$351,$AY$74:$AY$119,0)),1))</f>
        <v/>
      </c>
      <c r="AK351" s="482" t="str">
        <f t="shared" si="90"/>
        <v/>
      </c>
      <c r="AL351" s="477" t="str">
        <f>IF($AC$351="","",IFERROR(INDEX($BB$74:$BB$119,MATCH($AH$351,$AY$74:$AY$119,0)),$AH$351))</f>
        <v/>
      </c>
      <c r="AM351" s="483" t="str">
        <f t="shared" si="91"/>
        <v/>
      </c>
      <c r="AN351" s="484" t="str">
        <f t="shared" si="92"/>
        <v/>
      </c>
      <c r="AO351" s="473" t="str">
        <f t="shared" si="93"/>
        <v/>
      </c>
      <c r="AP351" s="473" t="str">
        <f t="shared" si="94"/>
        <v/>
      </c>
      <c r="AQ351" s="473" t="str">
        <f t="shared" si="95"/>
        <v/>
      </c>
      <c r="AR351" s="473" t="str">
        <f t="shared" si="96"/>
        <v/>
      </c>
      <c r="AS351" s="473" t="str">
        <f t="shared" si="97"/>
        <v/>
      </c>
      <c r="AT351" s="473" t="str">
        <f t="shared" si="98"/>
        <v/>
      </c>
      <c r="AU351" s="473" t="str">
        <f t="shared" si="99"/>
        <v/>
      </c>
      <c r="AZ351" s="14" t="s">
        <v>7</v>
      </c>
      <c r="BA351" s="34" t="s">
        <v>473</v>
      </c>
      <c r="BB351" s="499"/>
      <c r="BC351" s="271"/>
      <c r="BD351" s="279">
        <v>1</v>
      </c>
      <c r="BE351" s="271"/>
      <c r="BF351" s="271"/>
      <c r="BG351" s="271"/>
      <c r="BH351" s="271"/>
      <c r="BI351" s="271"/>
      <c r="BJ351" s="271"/>
      <c r="BK351" s="271"/>
      <c r="BL351" s="271"/>
    </row>
    <row r="352" spans="18:64" ht="21" customHeight="1" x14ac:dyDescent="0.25">
      <c r="R352" s="34" t="s">
        <v>470</v>
      </c>
      <c r="S352" s="451"/>
      <c r="T352" s="32" t="s">
        <v>8135</v>
      </c>
      <c r="V352" s="475">
        <v>8</v>
      </c>
      <c r="W352" s="475" t="str">
        <f>IF($AC$352="","",$W$324)</f>
        <v/>
      </c>
      <c r="X352" s="476" t="str">
        <f>IF($AC$352="","",$X$324)</f>
        <v/>
      </c>
      <c r="Y352" s="477" t="str">
        <f>IF($X$352="","",$Y$324)</f>
        <v/>
      </c>
      <c r="Z352" s="477" t="str">
        <f>IF($X$352="","",$Z$324)</f>
        <v/>
      </c>
      <c r="AA352" s="477" t="str">
        <f>IF($AC$352="","",ROW($A$352)-ROW($A$324))</f>
        <v/>
      </c>
      <c r="AB352" s="478"/>
      <c r="AC352" s="34"/>
      <c r="AD352" s="356"/>
      <c r="AE352" s="479"/>
      <c r="AF352" s="475"/>
      <c r="AG352" s="480" t="str">
        <f t="shared" si="88"/>
        <v/>
      </c>
      <c r="AH352" s="481" t="str">
        <f t="shared" si="89"/>
        <v/>
      </c>
      <c r="AI352" s="477" t="str">
        <f>IF($AC$352="","",IFERROR(INDEX($AZ$74:$AZ$119,MATCH($AH$352,$AY$74:$AY$119,0)),"AUTRE"))</f>
        <v/>
      </c>
      <c r="AJ352" s="482" t="str">
        <f>IF($AC$352="","",IFERROR(INDEX($BA$74:$BA$119,MATCH($AH$352,$AY$74:$AY$119,0)),1))</f>
        <v/>
      </c>
      <c r="AK352" s="482" t="str">
        <f t="shared" si="90"/>
        <v/>
      </c>
      <c r="AL352" s="477" t="str">
        <f>IF($AC$352="","",IFERROR(INDEX($BB$74:$BB$119,MATCH($AH$352,$AY$74:$AY$119,0)),$AH$352))</f>
        <v/>
      </c>
      <c r="AM352" s="483" t="str">
        <f t="shared" si="91"/>
        <v/>
      </c>
      <c r="AN352" s="484" t="str">
        <f t="shared" si="92"/>
        <v/>
      </c>
      <c r="AO352" s="473" t="str">
        <f t="shared" si="93"/>
        <v/>
      </c>
      <c r="AP352" s="473" t="str">
        <f t="shared" si="94"/>
        <v/>
      </c>
      <c r="AQ352" s="473" t="str">
        <f t="shared" si="95"/>
        <v/>
      </c>
      <c r="AR352" s="473" t="str">
        <f t="shared" si="96"/>
        <v/>
      </c>
      <c r="AS352" s="473" t="str">
        <f t="shared" si="97"/>
        <v/>
      </c>
      <c r="AT352" s="473" t="str">
        <f t="shared" si="98"/>
        <v/>
      </c>
      <c r="AU352" s="473" t="str">
        <f t="shared" si="99"/>
        <v/>
      </c>
      <c r="AY352" s="271"/>
      <c r="AZ352" s="27" t="s">
        <v>8</v>
      </c>
      <c r="BA352" s="34" t="s">
        <v>497</v>
      </c>
      <c r="BB352" s="499"/>
      <c r="BC352" s="271"/>
      <c r="BD352" s="279">
        <v>1</v>
      </c>
      <c r="BE352" s="271"/>
      <c r="BF352" s="271"/>
      <c r="BG352" s="271"/>
      <c r="BH352" s="271"/>
      <c r="BI352" s="271"/>
      <c r="BJ352" s="271"/>
      <c r="BK352" s="271"/>
      <c r="BL352" s="271"/>
    </row>
    <row r="353" spans="18:64" ht="21" customHeight="1" x14ac:dyDescent="0.25">
      <c r="R353" s="34" t="s">
        <v>477</v>
      </c>
      <c r="S353" s="451"/>
      <c r="T353" s="497" t="s">
        <v>462</v>
      </c>
      <c r="V353" s="475">
        <v>8</v>
      </c>
      <c r="W353" s="475" t="str">
        <f>IF($AC$353="","",$W$324)</f>
        <v/>
      </c>
      <c r="X353" s="476" t="str">
        <f>IF($AC$353="","",$X$324)</f>
        <v/>
      </c>
      <c r="Y353" s="477" t="str">
        <f>IF($X$353="","",$Y$324)</f>
        <v/>
      </c>
      <c r="Z353" s="477" t="str">
        <f>IF($X$353="","",$Z$324)</f>
        <v/>
      </c>
      <c r="AA353" s="477" t="str">
        <f>IF($AC$353="","",ROW($A$353)-ROW($A$324))</f>
        <v/>
      </c>
      <c r="AB353" s="478"/>
      <c r="AC353" s="34"/>
      <c r="AD353" s="356"/>
      <c r="AE353" s="479"/>
      <c r="AF353" s="475"/>
      <c r="AG353" s="480" t="str">
        <f t="shared" si="88"/>
        <v/>
      </c>
      <c r="AH353" s="481" t="str">
        <f t="shared" si="89"/>
        <v/>
      </c>
      <c r="AI353" s="477" t="str">
        <f>IF($AC$353="","",IFERROR(INDEX($AZ$74:$AZ$119,MATCH($AH$353,$AY$74:$AY$119,0)),"AUTRE"))</f>
        <v/>
      </c>
      <c r="AJ353" s="482" t="str">
        <f>IF($AC$353="","",IFERROR(INDEX($BA$74:$BA$119,MATCH($AH$353,$AY$74:$AY$119,0)),1))</f>
        <v/>
      </c>
      <c r="AK353" s="482" t="str">
        <f t="shared" si="90"/>
        <v/>
      </c>
      <c r="AL353" s="477" t="str">
        <f>IF($AC$353="","",IFERROR(INDEX($BB$74:$BB$119,MATCH($AH$353,$AY$74:$AY$119,0)),$AH$353))</f>
        <v/>
      </c>
      <c r="AM353" s="483" t="str">
        <f t="shared" si="91"/>
        <v/>
      </c>
      <c r="AN353" s="484" t="str">
        <f t="shared" si="92"/>
        <v/>
      </c>
      <c r="AO353" s="473" t="str">
        <f t="shared" si="93"/>
        <v/>
      </c>
      <c r="AP353" s="473" t="str">
        <f t="shared" si="94"/>
        <v/>
      </c>
      <c r="AQ353" s="473" t="str">
        <f t="shared" si="95"/>
        <v/>
      </c>
      <c r="AR353" s="473" t="str">
        <f t="shared" si="96"/>
        <v/>
      </c>
      <c r="AS353" s="473" t="str">
        <f t="shared" si="97"/>
        <v/>
      </c>
      <c r="AT353" s="473" t="str">
        <f t="shared" si="98"/>
        <v/>
      </c>
      <c r="AU353" s="473" t="str">
        <f t="shared" si="99"/>
        <v/>
      </c>
      <c r="AY353" s="497" t="s">
        <v>8145</v>
      </c>
      <c r="AZ353" s="28" t="s">
        <v>13</v>
      </c>
      <c r="BA353" s="34" t="s">
        <v>470</v>
      </c>
      <c r="BB353" s="499"/>
      <c r="BC353" s="271"/>
      <c r="BD353" s="279">
        <v>1</v>
      </c>
      <c r="BE353" s="271"/>
      <c r="BF353" s="271"/>
      <c r="BG353" s="271"/>
      <c r="BH353" s="271"/>
      <c r="BI353" s="271"/>
      <c r="BJ353" s="271"/>
      <c r="BK353" s="271"/>
      <c r="BL353" s="271"/>
    </row>
    <row r="354" spans="18:64" ht="21" customHeight="1" x14ac:dyDescent="0.25">
      <c r="S354" s="451"/>
      <c r="T354" s="497" t="s">
        <v>463</v>
      </c>
      <c r="V354" s="475">
        <v>8</v>
      </c>
      <c r="W354" s="475" t="str">
        <f>IF($AC$354="","",$W$324)</f>
        <v/>
      </c>
      <c r="X354" s="476" t="str">
        <f>IF($AC$354="","",$X$324)</f>
        <v/>
      </c>
      <c r="Y354" s="477" t="str">
        <f>IF($X$354="","",$Y$324)</f>
        <v/>
      </c>
      <c r="Z354" s="477" t="str">
        <f>IF($X$354="","",$Z$324)</f>
        <v/>
      </c>
      <c r="AA354" s="477" t="str">
        <f>IF($AC$354="","",ROW($A$354)-ROW($A$324))</f>
        <v/>
      </c>
      <c r="AB354" s="478"/>
      <c r="AC354" s="34"/>
      <c r="AD354" s="356"/>
      <c r="AE354" s="479"/>
      <c r="AF354" s="475"/>
      <c r="AG354" s="480" t="str">
        <f t="shared" si="88"/>
        <v/>
      </c>
      <c r="AH354" s="481" t="str">
        <f t="shared" si="89"/>
        <v/>
      </c>
      <c r="AI354" s="477" t="str">
        <f>IF($AC$354="","",IFERROR(INDEX($AZ$74:$AZ$119,MATCH($AH$354,$AY$74:$AY$119,0)),"AUTRE"))</f>
        <v/>
      </c>
      <c r="AJ354" s="482" t="str">
        <f>IF($AC$354="","",IFERROR(INDEX($BA$74:$BA$119,MATCH($AH$354,$AY$74:$AY$119,0)),1))</f>
        <v/>
      </c>
      <c r="AK354" s="482" t="str">
        <f t="shared" si="90"/>
        <v/>
      </c>
      <c r="AL354" s="477" t="str">
        <f>IF($AC$354="","",IFERROR(INDEX($BB$74:$BB$119,MATCH($AH$354,$AY$74:$AY$119,0)),$AH$354))</f>
        <v/>
      </c>
      <c r="AM354" s="483" t="str">
        <f t="shared" si="91"/>
        <v/>
      </c>
      <c r="AN354" s="484" t="str">
        <f t="shared" si="92"/>
        <v/>
      </c>
      <c r="AO354" s="473" t="str">
        <f t="shared" si="93"/>
        <v/>
      </c>
      <c r="AP354" s="473" t="str">
        <f t="shared" si="94"/>
        <v/>
      </c>
      <c r="AQ354" s="473" t="str">
        <f t="shared" si="95"/>
        <v/>
      </c>
      <c r="AR354" s="473" t="str">
        <f t="shared" si="96"/>
        <v/>
      </c>
      <c r="AS354" s="473" t="str">
        <f t="shared" si="97"/>
        <v/>
      </c>
      <c r="AT354" s="473" t="str">
        <f t="shared" si="98"/>
        <v/>
      </c>
      <c r="AU354" s="473" t="str">
        <f t="shared" si="99"/>
        <v/>
      </c>
      <c r="AY354" s="497" t="s">
        <v>462</v>
      </c>
      <c r="AZ354" s="28" t="s">
        <v>14</v>
      </c>
      <c r="BA354" s="34" t="s">
        <v>477</v>
      </c>
      <c r="BB354" s="499"/>
      <c r="BC354" s="271"/>
      <c r="BD354" s="279">
        <v>1</v>
      </c>
      <c r="BE354" s="271"/>
      <c r="BF354" s="271"/>
      <c r="BG354" s="271"/>
      <c r="BH354" s="271"/>
      <c r="BI354" s="271"/>
      <c r="BJ354" s="271"/>
      <c r="BK354" s="271"/>
      <c r="BL354" s="271"/>
    </row>
    <row r="355" spans="18:64" ht="21" customHeight="1" x14ac:dyDescent="0.25">
      <c r="R355" s="25" t="s">
        <v>6134</v>
      </c>
      <c r="S355" s="451"/>
      <c r="T355" s="497" t="s">
        <v>8147</v>
      </c>
      <c r="V355" s="475">
        <v>8</v>
      </c>
      <c r="W355" s="475" t="str">
        <f>IF($AC$355="","",$W$324)</f>
        <v/>
      </c>
      <c r="X355" s="476" t="str">
        <f>IF($AC$355="","",$X$324)</f>
        <v/>
      </c>
      <c r="Y355" s="477" t="str">
        <f>IF($X$355="","",$Y$324)</f>
        <v/>
      </c>
      <c r="Z355" s="477" t="str">
        <f>IF($X$355="","",$Z$324)</f>
        <v/>
      </c>
      <c r="AA355" s="477" t="str">
        <f>IF($AC$355="","",ROW($A$355)-ROW($A$324))</f>
        <v/>
      </c>
      <c r="AB355" s="478"/>
      <c r="AC355" s="34"/>
      <c r="AD355" s="356"/>
      <c r="AE355" s="479"/>
      <c r="AF355" s="475"/>
      <c r="AG355" s="480" t="str">
        <f t="shared" si="88"/>
        <v/>
      </c>
      <c r="AH355" s="481" t="str">
        <f t="shared" si="89"/>
        <v/>
      </c>
      <c r="AI355" s="477" t="str">
        <f>IF($AC$355="","",IFERROR(INDEX($AZ$74:$AZ$119,MATCH($AH$355,$AY$74:$AY$119,0)),"AUTRE"))</f>
        <v/>
      </c>
      <c r="AJ355" s="482" t="str">
        <f>IF($AC$355="","",IFERROR(INDEX($BA$74:$BA$119,MATCH($AH$355,$AY$74:$AY$119,0)),1))</f>
        <v/>
      </c>
      <c r="AK355" s="482" t="str">
        <f t="shared" si="90"/>
        <v/>
      </c>
      <c r="AL355" s="477" t="str">
        <f>IF($AC$355="","",IFERROR(INDEX($BB$74:$BB$119,MATCH($AH$355,$AY$74:$AY$119,0)),$AH$355))</f>
        <v/>
      </c>
      <c r="AM355" s="483" t="str">
        <f t="shared" si="91"/>
        <v/>
      </c>
      <c r="AN355" s="484" t="str">
        <f t="shared" si="92"/>
        <v/>
      </c>
      <c r="AO355" s="473" t="str">
        <f t="shared" si="93"/>
        <v/>
      </c>
      <c r="AP355" s="473" t="str">
        <f t="shared" si="94"/>
        <v/>
      </c>
      <c r="AQ355" s="473" t="str">
        <f t="shared" si="95"/>
        <v/>
      </c>
      <c r="AR355" s="473" t="str">
        <f t="shared" si="96"/>
        <v/>
      </c>
      <c r="AS355" s="473" t="str">
        <f t="shared" si="97"/>
        <v/>
      </c>
      <c r="AT355" s="473" t="str">
        <f t="shared" si="98"/>
        <v/>
      </c>
      <c r="AU355" s="473" t="str">
        <f t="shared" si="99"/>
        <v/>
      </c>
      <c r="AY355" s="497" t="s">
        <v>463</v>
      </c>
      <c r="AZ355" s="28" t="s">
        <v>15</v>
      </c>
      <c r="BB355" s="499"/>
      <c r="BC355" s="271"/>
      <c r="BD355" s="279">
        <v>1</v>
      </c>
      <c r="BE355" s="271"/>
      <c r="BF355" s="271"/>
      <c r="BG355" s="271"/>
      <c r="BH355" s="271"/>
      <c r="BI355" s="271"/>
      <c r="BJ355" s="271"/>
      <c r="BK355" s="271"/>
      <c r="BL355" s="271"/>
    </row>
    <row r="356" spans="18:64" ht="21" customHeight="1" x14ac:dyDescent="0.25">
      <c r="R356" s="34" t="s">
        <v>481</v>
      </c>
      <c r="S356" s="451"/>
      <c r="T356" s="497" t="s">
        <v>465</v>
      </c>
      <c r="V356" s="475">
        <v>8</v>
      </c>
      <c r="W356" s="475" t="str">
        <f>IF($AC$356="","",$W$324)</f>
        <v>N° 18</v>
      </c>
      <c r="X356" s="476" t="str">
        <f>IF($AC$356="","",$X$324)</f>
        <v>SARDINES A L'ESCABÈCHE*</v>
      </c>
      <c r="Y356" s="477">
        <f>IF($X$356="","",$Y$324)</f>
        <v>35</v>
      </c>
      <c r="Z356" s="477">
        <f>IF($X$356="","",$Z$324)</f>
        <v>100</v>
      </c>
      <c r="AA356" s="477">
        <f>IF($AC$356="","",ROW($A$356)-ROW($A$324))</f>
        <v>32</v>
      </c>
      <c r="AB356" s="478"/>
      <c r="AC356" s="34" t="s">
        <v>8182</v>
      </c>
      <c r="AD356" s="356"/>
      <c r="AE356" s="479">
        <v>2</v>
      </c>
      <c r="AF356" s="497" t="s">
        <v>462</v>
      </c>
      <c r="AG356" s="480">
        <f t="shared" si="88"/>
        <v>2</v>
      </c>
      <c r="AH356" s="481" t="str">
        <f t="shared" si="89"/>
        <v>BAC(S)</v>
      </c>
      <c r="AI356" s="477" t="str">
        <f>IF($AC$356="","",IFERROR(INDEX($AZ$74:$AZ$119,MATCH($AH$356,$AY$74:$AY$119,0)),"AUTRE"))</f>
        <v>AUTRE</v>
      </c>
      <c r="AJ356" s="482">
        <f>IF($AC$356="","",IFERROR(INDEX($BA$74:$BA$119,MATCH($AH$356,$AY$74:$AY$119,0)),1))</f>
        <v>1</v>
      </c>
      <c r="AK356" s="482">
        <f t="shared" si="90"/>
        <v>2</v>
      </c>
      <c r="AL356" s="477" t="str">
        <f>IF($AC$356="","",IFERROR(INDEX($BB$74:$BB$119,MATCH($AH$356,$AY$74:$AY$119,0)),$AH$356))</f>
        <v>bac(s)</v>
      </c>
      <c r="AM356" s="483" t="str">
        <f t="shared" si="91"/>
        <v>OK</v>
      </c>
      <c r="AN356" s="484">
        <f t="shared" si="92"/>
        <v>2</v>
      </c>
      <c r="AO356" s="473" t="str">
        <f t="shared" si="93"/>
        <v/>
      </c>
      <c r="AP356" s="473" t="str">
        <f t="shared" si="94"/>
        <v/>
      </c>
      <c r="AQ356" s="473" t="str">
        <f t="shared" si="95"/>
        <v/>
      </c>
      <c r="AR356" s="473" t="str">
        <f t="shared" si="96"/>
        <v/>
      </c>
      <c r="AS356" s="473" t="str">
        <f t="shared" si="97"/>
        <v/>
      </c>
      <c r="AT356" s="473" t="str">
        <f t="shared" si="98"/>
        <v/>
      </c>
      <c r="AU356" s="473" t="str">
        <f t="shared" si="99"/>
        <v/>
      </c>
      <c r="AY356" s="497" t="s">
        <v>8147</v>
      </c>
      <c r="AZ356" s="29" t="s">
        <v>9</v>
      </c>
      <c r="BA356" s="25" t="s">
        <v>6134</v>
      </c>
      <c r="BB356" s="499"/>
      <c r="BC356" s="271"/>
      <c r="BD356" s="279">
        <v>1</v>
      </c>
      <c r="BE356" s="271"/>
      <c r="BF356" s="271"/>
      <c r="BG356" s="271"/>
      <c r="BH356" s="271"/>
      <c r="BI356" s="271"/>
      <c r="BJ356" s="271"/>
      <c r="BK356" s="271"/>
      <c r="BL356" s="271"/>
    </row>
    <row r="357" spans="18:64" ht="21" customHeight="1" x14ac:dyDescent="0.25">
      <c r="R357" s="34" t="s">
        <v>475</v>
      </c>
      <c r="S357" s="451"/>
      <c r="T357" s="497" t="s">
        <v>466</v>
      </c>
      <c r="V357" s="475">
        <v>8</v>
      </c>
      <c r="W357" s="475" t="str">
        <f>IF($AC$357="","",$W$324)</f>
        <v>N° 18</v>
      </c>
      <c r="X357" s="476" t="str">
        <f>IF($AC$357="","",$X$324)</f>
        <v>SARDINES A L'ESCABÈCHE*</v>
      </c>
      <c r="Y357" s="477">
        <f>IF($X$357="","",$Y$324)</f>
        <v>35</v>
      </c>
      <c r="Z357" s="477">
        <f>IF($X$357="","",$Z$324)</f>
        <v>100</v>
      </c>
      <c r="AA357" s="477">
        <f>IF($AC$357="","",ROW($A$357)-ROW($A$324))</f>
        <v>33</v>
      </c>
      <c r="AB357" s="478"/>
      <c r="AC357" s="34" t="s">
        <v>8183</v>
      </c>
      <c r="AD357" s="356"/>
      <c r="AE357" s="479">
        <v>2</v>
      </c>
      <c r="AF357" s="497" t="s">
        <v>462</v>
      </c>
      <c r="AG357" s="480">
        <f t="shared" si="88"/>
        <v>2</v>
      </c>
      <c r="AH357" s="481" t="str">
        <f t="shared" si="89"/>
        <v>BAC(S)</v>
      </c>
      <c r="AI357" s="477" t="str">
        <f>IF($AC$357="","",IFERROR(INDEX($AZ$74:$AZ$119,MATCH($AH$357,$AY$74:$AY$119,0)),"AUTRE"))</f>
        <v>AUTRE</v>
      </c>
      <c r="AJ357" s="482">
        <f>IF($AC$357="","",IFERROR(INDEX($BA$74:$BA$119,MATCH($AH$357,$AY$74:$AY$119,0)),1))</f>
        <v>1</v>
      </c>
      <c r="AK357" s="482">
        <f t="shared" si="90"/>
        <v>2</v>
      </c>
      <c r="AL357" s="477" t="str">
        <f>IF($AC$357="","",IFERROR(INDEX($BB$74:$BB$119,MATCH($AH$357,$AY$74:$AY$119,0)),$AH$357))</f>
        <v>bac(s)</v>
      </c>
      <c r="AM357" s="483" t="str">
        <f t="shared" si="91"/>
        <v>OK</v>
      </c>
      <c r="AN357" s="484">
        <f t="shared" si="92"/>
        <v>2</v>
      </c>
      <c r="AO357" s="473" t="str">
        <f t="shared" si="93"/>
        <v/>
      </c>
      <c r="AP357" s="473" t="str">
        <f t="shared" si="94"/>
        <v/>
      </c>
      <c r="AQ357" s="473" t="str">
        <f t="shared" si="95"/>
        <v/>
      </c>
      <c r="AR357" s="473" t="str">
        <f t="shared" si="96"/>
        <v/>
      </c>
      <c r="AS357" s="473" t="str">
        <f t="shared" si="97"/>
        <v/>
      </c>
      <c r="AT357" s="473" t="str">
        <f t="shared" si="98"/>
        <v/>
      </c>
      <c r="AU357" s="473" t="str">
        <f t="shared" si="99"/>
        <v/>
      </c>
      <c r="AY357" s="497" t="s">
        <v>465</v>
      </c>
      <c r="AZ357" s="30" t="s">
        <v>10</v>
      </c>
      <c r="BA357" s="34" t="s">
        <v>481</v>
      </c>
      <c r="BB357" s="499"/>
      <c r="BC357" s="271"/>
      <c r="BD357" s="279">
        <v>1</v>
      </c>
      <c r="BE357" s="271"/>
      <c r="BF357" s="271"/>
      <c r="BG357" s="271"/>
      <c r="BH357" s="271"/>
      <c r="BI357" s="271"/>
      <c r="BJ357" s="271"/>
      <c r="BK357" s="271"/>
      <c r="BL357" s="271"/>
    </row>
    <row r="358" spans="18:64" ht="21" customHeight="1" x14ac:dyDescent="0.25">
      <c r="R358" s="34" t="s">
        <v>457</v>
      </c>
      <c r="S358" s="451"/>
      <c r="T358" s="440" t="s">
        <v>8110</v>
      </c>
      <c r="V358" s="475">
        <v>8</v>
      </c>
      <c r="W358" s="475" t="str">
        <f>IF($AC$358="","",$W$324)</f>
        <v>N° 18</v>
      </c>
      <c r="X358" s="476" t="str">
        <f>IF($AC$358="","",$X$324)</f>
        <v>SARDINES A L'ESCABÈCHE*</v>
      </c>
      <c r="Y358" s="477">
        <f>IF($X$358="","",$Y$324)</f>
        <v>35</v>
      </c>
      <c r="Z358" s="477">
        <f>IF($X$358="","",$Z$324)</f>
        <v>100</v>
      </c>
      <c r="AA358" s="477">
        <f>IF($AC$358="","",ROW($A$358)-ROW($A$324))</f>
        <v>34</v>
      </c>
      <c r="AB358" s="478"/>
      <c r="AC358" s="34" t="s">
        <v>8184</v>
      </c>
      <c r="AD358" s="356"/>
      <c r="AE358" s="479">
        <v>3</v>
      </c>
      <c r="AF358" s="497" t="s">
        <v>462</v>
      </c>
      <c r="AG358" s="491">
        <f t="shared" si="88"/>
        <v>3</v>
      </c>
      <c r="AH358" s="481" t="str">
        <f t="shared" si="89"/>
        <v>BAC(S)</v>
      </c>
      <c r="AI358" s="477" t="str">
        <f>IF($AC$358="","",IFERROR(INDEX($AZ$74:$AZ$119,MATCH($AH$358,$AY$74:$AY$119,0)),"AUTRE"))</f>
        <v>AUTRE</v>
      </c>
      <c r="AJ358" s="482">
        <f>IF($AC$358="","",IFERROR(INDEX($BA$74:$BA$119,MATCH($AH$358,$AY$74:$AY$119,0)),1))</f>
        <v>1</v>
      </c>
      <c r="AK358" s="482">
        <f t="shared" si="90"/>
        <v>3</v>
      </c>
      <c r="AL358" s="477" t="str">
        <f>IF($AC$358="","",IFERROR(INDEX($BB$74:$BB$119,MATCH($AH$358,$AY$74:$AY$119,0)),$AH$358))</f>
        <v>bac(s)</v>
      </c>
      <c r="AM358" s="483" t="str">
        <f t="shared" si="91"/>
        <v>OK</v>
      </c>
      <c r="AN358" s="484">
        <f t="shared" si="92"/>
        <v>3</v>
      </c>
      <c r="AO358" s="473" t="str">
        <f t="shared" si="93"/>
        <v/>
      </c>
      <c r="AP358" s="473" t="str">
        <f t="shared" si="94"/>
        <v/>
      </c>
      <c r="AQ358" s="473" t="str">
        <f t="shared" si="95"/>
        <v/>
      </c>
      <c r="AR358" s="473" t="str">
        <f t="shared" si="96"/>
        <v/>
      </c>
      <c r="AS358" s="473" t="str">
        <f t="shared" si="97"/>
        <v/>
      </c>
      <c r="AT358" s="473" t="str">
        <f t="shared" si="98"/>
        <v/>
      </c>
      <c r="AU358" s="473" t="str">
        <f t="shared" si="99"/>
        <v/>
      </c>
      <c r="AY358" s="497" t="s">
        <v>466</v>
      </c>
      <c r="AZ358" s="30" t="s">
        <v>11</v>
      </c>
      <c r="BA358" s="34" t="s">
        <v>475</v>
      </c>
      <c r="BB358" s="499"/>
      <c r="BC358" s="271"/>
      <c r="BD358" s="279">
        <v>1</v>
      </c>
      <c r="BE358" s="271"/>
      <c r="BF358" s="271"/>
      <c r="BG358" s="271"/>
      <c r="BH358" s="271"/>
      <c r="BI358" s="271"/>
      <c r="BJ358" s="271"/>
      <c r="BK358" s="271"/>
      <c r="BL358" s="271"/>
    </row>
    <row r="359" spans="18:64" ht="30" customHeight="1" x14ac:dyDescent="0.25">
      <c r="R359" s="34" t="s">
        <v>482</v>
      </c>
      <c r="S359" s="451"/>
      <c r="T359" s="452" t="s">
        <v>8113</v>
      </c>
      <c r="V359" s="453" t="s">
        <v>324</v>
      </c>
      <c r="W359" s="453" t="s">
        <v>7912</v>
      </c>
      <c r="X359" s="453" t="s">
        <v>326</v>
      </c>
      <c r="Y359" s="453" t="s">
        <v>327</v>
      </c>
      <c r="Z359" s="454" t="s">
        <v>7930</v>
      </c>
      <c r="AA359" s="453" t="s">
        <v>7937</v>
      </c>
      <c r="AB359" s="455" t="s">
        <v>39</v>
      </c>
      <c r="AC359" s="455" t="s">
        <v>338</v>
      </c>
      <c r="AD359" s="455" t="s">
        <v>8114</v>
      </c>
      <c r="AE359" s="455" t="s">
        <v>8114</v>
      </c>
      <c r="AF359" s="455" t="s">
        <v>339</v>
      </c>
      <c r="AG359" s="453" t="s">
        <v>8018</v>
      </c>
      <c r="AH359" s="453" t="s">
        <v>8023</v>
      </c>
      <c r="AI359" s="453" t="s">
        <v>330</v>
      </c>
      <c r="AJ359" s="453" t="s">
        <v>8031</v>
      </c>
      <c r="AK359" s="453" t="s">
        <v>8037</v>
      </c>
      <c r="AL359" s="453" t="s">
        <v>8041</v>
      </c>
      <c r="AM359" s="453" t="s">
        <v>343</v>
      </c>
      <c r="AN359" s="457" t="s">
        <v>8115</v>
      </c>
      <c r="AO359" s="457" t="s">
        <v>8116</v>
      </c>
      <c r="AP359" s="656" t="s">
        <v>8117</v>
      </c>
      <c r="AQ359" s="656"/>
      <c r="AR359" s="656"/>
      <c r="AS359" s="656"/>
      <c r="AT359" s="656"/>
      <c r="AU359" s="657"/>
      <c r="AZ359" s="30" t="s">
        <v>12</v>
      </c>
      <c r="BA359" s="34" t="s">
        <v>457</v>
      </c>
      <c r="BB359" s="499"/>
      <c r="BC359" s="271"/>
      <c r="BD359" s="279">
        <v>1</v>
      </c>
      <c r="BE359" s="271"/>
      <c r="BF359" s="271"/>
      <c r="BG359" s="271"/>
      <c r="BH359" s="271"/>
      <c r="BI359" s="271"/>
      <c r="BJ359" s="271"/>
      <c r="BK359" s="271"/>
      <c r="BL359" s="271"/>
    </row>
    <row r="360" spans="18:64" ht="30" customHeight="1" x14ac:dyDescent="0.25">
      <c r="R360" s="34" t="s">
        <v>496</v>
      </c>
      <c r="S360" s="451"/>
      <c r="T360" s="14" t="s">
        <v>7</v>
      </c>
      <c r="V360" s="459">
        <v>9</v>
      </c>
      <c r="W360" s="460" t="s">
        <v>160</v>
      </c>
      <c r="X360" s="461" t="s">
        <v>369</v>
      </c>
      <c r="Y360" s="462">
        <v>36</v>
      </c>
      <c r="Z360" s="463">
        <v>100</v>
      </c>
      <c r="AA360" s="464">
        <f>IF($AC$396="","",ROW($A$396)-ROW($A$396))</f>
        <v>0</v>
      </c>
      <c r="AB360" s="461"/>
      <c r="AC360" s="465" t="s">
        <v>370</v>
      </c>
      <c r="AD360" s="390"/>
      <c r="AE360" s="390">
        <v>3.5</v>
      </c>
      <c r="AF360" s="466" t="s">
        <v>7</v>
      </c>
      <c r="AG360" s="467">
        <f t="shared" ref="AG360:AG394" si="100">IF($AC360="","",IF(LEN($AN360&amp;"")=0,"",$AN360))</f>
        <v>3.5</v>
      </c>
      <c r="AH360" s="468" t="str">
        <f t="shared" ref="AH360:AH394" si="101">IF($AC360="","",IF($AF360&lt;&gt;"",UPPER(TRIM(SUBSTITUTE(SUBSTITUTE($AF360&amp;"",CHAR(160)," ")," "," "))),$AP360))</f>
        <v>KG</v>
      </c>
      <c r="AI360" s="469" t="str">
        <f>IF($AC$360="","",IFERROR(INDEX($AZ$74:$AZ$119,MATCH($AH$360,$AY$74:$AY$119,0)),"AUTRE"))</f>
        <v>MASSE</v>
      </c>
      <c r="AJ360" s="470">
        <f>IF($AC$360="","",IFERROR(INDEX($BA$74:$BA$119,MATCH($AH$360,$AY$74:$AY$119,0)),1))</f>
        <v>1</v>
      </c>
      <c r="AK360" s="470">
        <f t="shared" ref="AK360:AK394" si="102">IF(OR(AG360="",AJ360=""),"",AG360*AJ360)</f>
        <v>3.5</v>
      </c>
      <c r="AL360" s="469" t="str">
        <f>IF($AC$360="","",IFERROR(INDEX($BB$74:$BB$119,MATCH($AH$360,$AY$74:$AY$119,0)),$AH$360))</f>
        <v>kg</v>
      </c>
      <c r="AM360" s="471" t="str">
        <f t="shared" ref="AM360:AM394" si="103">IF($AC360="","",IF($AH360="QT. SUFFISANTE","OK",IF($AG360="","TEXTE",IF(NOT(ISNUMBER($AG360)),"QUANTITÉ À CONTRÔLER",IF(COUNTIF($AY$74:$AY$119,$AH360)=0,"UNITÉ À CONTRÔLER","OK")))))</f>
        <v>OK</v>
      </c>
      <c r="AN360" s="474">
        <f t="shared" ref="AN360:AN394" si="104">IF($AE360&lt;&gt;"",$AE360,IF($AD360="","",IF(ISNUMBER($AD360),$AD360,IF($AO360="QT",0,IF($AO360="","",IFERROR(IF(ISNUMBER(SEARCH("/",$AO360)),VALUE(TRIM(LEFT($AO360,SEARCH("/",$AO360)-1)))/VALUE(TRIM(MID($AO360,SEARCH("/",$AO360)+1,99))),VALUE(SUBSTITUTE($AO360,".",","))),""))))))</f>
        <v>3.5</v>
      </c>
      <c r="AO360" s="473" t="str">
        <f t="shared" ref="AO360:AO394" si="105">IF($AD360="","",IF(ISNUMBER($AD360),$AD360,IF(OR(LEFT($AQ360,3)="QT.",LEFT($AQ360,4)="QUAN"),"QT",IF($AR360=999,$AQ360,TRIM(LEFT($AQ360,$AR360-1))))))</f>
        <v/>
      </c>
      <c r="AP360" s="473" t="str">
        <f t="shared" ref="AP360:AP394" si="106">IF($AD360="","",IF(ISNUMBER($AD360),"",IF(OR(LEFT($AQ360,3)="QT.",LEFT($AQ360,4)="QUAN"),"QT. SUFFISANTE",IF($AO360="","",TRIM(MID($AQ360,LEN($AO360&amp;"")+1,999))))))</f>
        <v/>
      </c>
      <c r="AQ360" s="473" t="str">
        <f t="shared" ref="AQ360:AQ394" si="107">IF($AD360="","",UPPER(TRIM(SUBSTITUTE(SUBSTITUTE($AD360&amp;"",CHAR(160)," ")," "," "))))</f>
        <v/>
      </c>
      <c r="AR360" s="473" t="str">
        <f t="shared" ref="AR360:AR394" si="108">IF($AQ360="","",MIN($AS360,$AT360,$AU360))</f>
        <v/>
      </c>
      <c r="AS360" s="473" t="str">
        <f t="shared" ref="AS360:AS394" si="109">IF($AQ360="","",MIN(IFERROR(SEARCH("A",$AQ360),999),IFERROR(SEARCH("B",$AQ360),999),IFERROR(SEARCH("C",$AQ360),999),IFERROR(SEARCH("D",$AQ360),999),IFERROR(SEARCH("E",$AQ360),999),IFERROR(SEARCH("F",$AQ360),999),IFERROR(SEARCH("G",$AQ360),999),IFERROR(SEARCH("H",$AQ360),999),IFERROR(SEARCH("I",$AQ360),999)))</f>
        <v/>
      </c>
      <c r="AT360" s="473" t="str">
        <f t="shared" ref="AT360:AT394" si="110">IF($AQ360="","",MIN(IFERROR(SEARCH("J",$AQ360),999),IFERROR(SEARCH("K",$AQ360),999),IFERROR(SEARCH("L",$AQ360),999),IFERROR(SEARCH("M",$AQ360),999),IFERROR(SEARCH("N",$AQ360),999),IFERROR(SEARCH("O",$AQ360),999),IFERROR(SEARCH("P",$AQ360),999),IFERROR(SEARCH("Q",$AQ360),999),IFERROR(SEARCH("R",$AQ360),999)))</f>
        <v/>
      </c>
      <c r="AU360" s="473" t="str">
        <f t="shared" ref="AU360:AU394" si="111">IF($AQ360="","",MIN(IFERROR(SEARCH("S",$AQ360),999),IFERROR(SEARCH("T",$AQ360),999),IFERROR(SEARCH("U",$AQ360),999),IFERROR(SEARCH("V",$AQ360),999),IFERROR(SEARCH("W",$AQ360),999),IFERROR(SEARCH("X",$AQ360),999),IFERROR(SEARCH("Y",$AQ360),999),IFERROR(SEARCH("Z",$AQ360),999)))</f>
        <v/>
      </c>
      <c r="AZ360" s="31" t="s">
        <v>16</v>
      </c>
      <c r="BA360" s="34" t="s">
        <v>482</v>
      </c>
      <c r="BB360" s="499"/>
      <c r="BC360" s="271"/>
      <c r="BD360" s="279">
        <v>1</v>
      </c>
      <c r="BE360" s="271"/>
      <c r="BF360" s="271"/>
      <c r="BG360" s="271"/>
      <c r="BH360" s="271"/>
      <c r="BI360" s="271"/>
      <c r="BJ360" s="271"/>
      <c r="BK360" s="271"/>
      <c r="BL360" s="271"/>
    </row>
    <row r="361" spans="18:64" ht="21" customHeight="1" x14ac:dyDescent="0.25">
      <c r="R361" s="34" t="s">
        <v>483</v>
      </c>
      <c r="S361" s="451"/>
      <c r="T361" s="27" t="s">
        <v>8</v>
      </c>
      <c r="V361" s="475">
        <f>$V$360</f>
        <v>9</v>
      </c>
      <c r="W361" s="475" t="str">
        <f>IF($AC$361="","",$W$360)</f>
        <v>N° 19</v>
      </c>
      <c r="X361" s="476" t="str">
        <f>IF($AC$361="","",$X$360)</f>
        <v>TERRINE DE SAUMON COULIS DE TOMATE *</v>
      </c>
      <c r="Y361" s="477">
        <f>IF($X$361="","",$Y$360)</f>
        <v>36</v>
      </c>
      <c r="Z361" s="477">
        <f>IF($X$361="","",$Z$360)</f>
        <v>100</v>
      </c>
      <c r="AA361" s="477">
        <f>IF($AC$361="","",ROW($A$361)-ROW($A$360))</f>
        <v>1</v>
      </c>
      <c r="AB361" s="478"/>
      <c r="AC361" s="34" t="s">
        <v>371</v>
      </c>
      <c r="AD361" s="356"/>
      <c r="AE361" s="479">
        <v>2.5</v>
      </c>
      <c r="AF361" s="466" t="s">
        <v>7</v>
      </c>
      <c r="AG361" s="480">
        <f t="shared" si="100"/>
        <v>2.5</v>
      </c>
      <c r="AH361" s="481" t="str">
        <f t="shared" si="101"/>
        <v>KG</v>
      </c>
      <c r="AI361" s="477" t="str">
        <f>IF($AC$361="","",IFERROR(INDEX($AZ$74:$AZ$119,MATCH($AH$361,$AY$74:$AY$119,0)),"AUTRE"))</f>
        <v>MASSE</v>
      </c>
      <c r="AJ361" s="482">
        <f>IF($AC$361="","",IFERROR(INDEX($BA$74:$BA$119,MATCH($AH$361,$AY$74:$AY$119,0)),1))</f>
        <v>1</v>
      </c>
      <c r="AK361" s="482">
        <f t="shared" si="102"/>
        <v>2.5</v>
      </c>
      <c r="AL361" s="477" t="str">
        <f>IF($AC$361="","",IFERROR(INDEX($BB$74:$BB$119,MATCH($AH$361,$AY$74:$AY$119,0)),$AH$361))</f>
        <v>kg</v>
      </c>
      <c r="AM361" s="483" t="str">
        <f t="shared" si="103"/>
        <v>OK</v>
      </c>
      <c r="AN361" s="484">
        <f t="shared" si="104"/>
        <v>2.5</v>
      </c>
      <c r="AO361" s="473" t="str">
        <f t="shared" si="105"/>
        <v/>
      </c>
      <c r="AP361" s="473" t="str">
        <f t="shared" si="106"/>
        <v/>
      </c>
      <c r="AQ361" s="473" t="str">
        <f t="shared" si="107"/>
        <v/>
      </c>
      <c r="AR361" s="473" t="str">
        <f t="shared" si="108"/>
        <v/>
      </c>
      <c r="AS361" s="473" t="str">
        <f t="shared" si="109"/>
        <v/>
      </c>
      <c r="AT361" s="473" t="str">
        <f t="shared" si="110"/>
        <v/>
      </c>
      <c r="AU361" s="473" t="str">
        <f t="shared" si="111"/>
        <v/>
      </c>
      <c r="AZ361" s="31" t="s">
        <v>17</v>
      </c>
      <c r="BA361" s="34" t="s">
        <v>496</v>
      </c>
      <c r="BB361" s="499"/>
      <c r="BC361" s="271"/>
      <c r="BD361" s="279">
        <v>1</v>
      </c>
      <c r="BE361" s="271"/>
      <c r="BF361" s="271"/>
      <c r="BG361" s="271"/>
      <c r="BH361" s="271"/>
      <c r="BI361" s="271"/>
      <c r="BJ361" s="271"/>
      <c r="BK361" s="271"/>
      <c r="BL361" s="271"/>
    </row>
    <row r="362" spans="18:64" ht="21" customHeight="1" x14ac:dyDescent="0.25">
      <c r="R362" s="34" t="s">
        <v>493</v>
      </c>
      <c r="S362" s="451"/>
      <c r="T362" s="28" t="s">
        <v>13</v>
      </c>
      <c r="V362" s="475">
        <v>9</v>
      </c>
      <c r="W362" s="475" t="str">
        <f>IF($AC$362="","",$W$360)</f>
        <v/>
      </c>
      <c r="X362" s="476" t="str">
        <f>IF($AC$362="","",$X$360)</f>
        <v/>
      </c>
      <c r="Y362" s="477" t="str">
        <f>IF($X$362="","",$Y$360)</f>
        <v/>
      </c>
      <c r="Z362" s="477" t="str">
        <f>IF($X$362="","",$Z$360)</f>
        <v/>
      </c>
      <c r="AA362" s="477" t="str">
        <f>IF($AC$362="","",ROW($A$362)-ROW($A$360))</f>
        <v/>
      </c>
      <c r="AB362" s="478"/>
      <c r="AC362" s="34" t="s">
        <v>345</v>
      </c>
      <c r="AD362" s="356"/>
      <c r="AE362" s="479"/>
      <c r="AF362" s="475"/>
      <c r="AG362" s="480" t="str">
        <f t="shared" si="100"/>
        <v/>
      </c>
      <c r="AH362" s="481" t="str">
        <f t="shared" si="101"/>
        <v/>
      </c>
      <c r="AI362" s="477" t="str">
        <f>IF($AC$362="","",IFERROR(INDEX($AZ$74:$AZ$119,MATCH($AH$362,$AY$74:$AY$119,0)),"AUTRE"))</f>
        <v/>
      </c>
      <c r="AJ362" s="482" t="str">
        <f>IF($AC$362="","",IFERROR(INDEX($BA$74:$BA$119,MATCH($AH$362,$AY$74:$AY$119,0)),1))</f>
        <v/>
      </c>
      <c r="AK362" s="482" t="str">
        <f t="shared" si="102"/>
        <v/>
      </c>
      <c r="AL362" s="477" t="str">
        <f>IF($AC$362="","",IFERROR(INDEX($BB$74:$BB$119,MATCH($AH$362,$AY$74:$AY$119,0)),$AH$362))</f>
        <v/>
      </c>
      <c r="AM362" s="483" t="str">
        <f t="shared" si="103"/>
        <v/>
      </c>
      <c r="AN362" s="484" t="str">
        <f t="shared" si="104"/>
        <v/>
      </c>
      <c r="AO362" s="473" t="str">
        <f t="shared" si="105"/>
        <v/>
      </c>
      <c r="AP362" s="473" t="str">
        <f t="shared" si="106"/>
        <v/>
      </c>
      <c r="AQ362" s="473" t="str">
        <f t="shared" si="107"/>
        <v/>
      </c>
      <c r="AR362" s="473" t="str">
        <f t="shared" si="108"/>
        <v/>
      </c>
      <c r="AS362" s="473" t="str">
        <f t="shared" si="109"/>
        <v/>
      </c>
      <c r="AT362" s="473" t="str">
        <f t="shared" si="110"/>
        <v/>
      </c>
      <c r="AU362" s="473" t="str">
        <f t="shared" si="111"/>
        <v/>
      </c>
      <c r="AZ362" s="31" t="s">
        <v>18</v>
      </c>
      <c r="BA362" s="34" t="s">
        <v>483</v>
      </c>
      <c r="BB362" s="499"/>
      <c r="BC362" s="271"/>
      <c r="BD362" s="279">
        <v>1</v>
      </c>
      <c r="BE362" s="271"/>
      <c r="BF362" s="271"/>
      <c r="BG362" s="271"/>
      <c r="BH362" s="271"/>
      <c r="BI362" s="271"/>
      <c r="BJ362" s="271"/>
      <c r="BK362" s="271"/>
      <c r="BL362" s="271"/>
    </row>
    <row r="363" spans="18:64" ht="21" customHeight="1" x14ac:dyDescent="0.25">
      <c r="R363" s="34" t="s">
        <v>494</v>
      </c>
      <c r="S363" s="451"/>
      <c r="T363" s="28" t="s">
        <v>14</v>
      </c>
      <c r="V363" s="475">
        <v>9</v>
      </c>
      <c r="W363" s="475" t="str">
        <f>IF($AC$363="","",$W$360)</f>
        <v>N° 19</v>
      </c>
      <c r="X363" s="476" t="str">
        <f>IF($AC$363="","",$X$360)</f>
        <v>TERRINE DE SAUMON COULIS DE TOMATE *</v>
      </c>
      <c r="Y363" s="477">
        <f>IF($X$363="","",$Y$360)</f>
        <v>36</v>
      </c>
      <c r="Z363" s="477">
        <f>IF($X$363="","",$Z$360)</f>
        <v>100</v>
      </c>
      <c r="AA363" s="477">
        <f>IF($AC$363="","",ROW($A$363)-ROW($A$360))</f>
        <v>3</v>
      </c>
      <c r="AB363" s="478"/>
      <c r="AC363" s="34" t="s">
        <v>372</v>
      </c>
      <c r="AD363" s="356"/>
      <c r="AE363" s="479">
        <v>120</v>
      </c>
      <c r="AF363" s="27" t="s">
        <v>8</v>
      </c>
      <c r="AG363" s="480">
        <f t="shared" si="100"/>
        <v>120</v>
      </c>
      <c r="AH363" s="481" t="str">
        <f t="shared" si="101"/>
        <v>G</v>
      </c>
      <c r="AI363" s="477" t="str">
        <f>IF($AC$363="","",IFERROR(INDEX($AZ$74:$AZ$119,MATCH($AH$363,$AY$74:$AY$119,0)),"AUTRE"))</f>
        <v>MASSE</v>
      </c>
      <c r="AJ363" s="482">
        <f>IF($AC$363="","",IFERROR(INDEX($BA$74:$BA$119,MATCH($AH$363,$AY$74:$AY$119,0)),1))</f>
        <v>1E-3</v>
      </c>
      <c r="AK363" s="482">
        <f t="shared" si="102"/>
        <v>0.12</v>
      </c>
      <c r="AL363" s="477" t="str">
        <f>IF($AC$363="","",IFERROR(INDEX($BB$74:$BB$119,MATCH($AH$363,$AY$74:$AY$119,0)),$AH$363))</f>
        <v>kg</v>
      </c>
      <c r="AM363" s="483" t="str">
        <f t="shared" si="103"/>
        <v>OK</v>
      </c>
      <c r="AN363" s="484">
        <f t="shared" si="104"/>
        <v>120</v>
      </c>
      <c r="AO363" s="473" t="str">
        <f t="shared" si="105"/>
        <v/>
      </c>
      <c r="AP363" s="473" t="str">
        <f t="shared" si="106"/>
        <v/>
      </c>
      <c r="AQ363" s="473" t="str">
        <f t="shared" si="107"/>
        <v/>
      </c>
      <c r="AR363" s="473" t="str">
        <f t="shared" si="108"/>
        <v/>
      </c>
      <c r="AS363" s="473" t="str">
        <f t="shared" si="109"/>
        <v/>
      </c>
      <c r="AT363" s="473" t="str">
        <f t="shared" si="110"/>
        <v/>
      </c>
      <c r="AU363" s="473" t="str">
        <f t="shared" si="111"/>
        <v/>
      </c>
      <c r="AZ363" s="31" t="s">
        <v>19</v>
      </c>
      <c r="BA363" s="34" t="s">
        <v>493</v>
      </c>
      <c r="BB363" s="499"/>
      <c r="BC363" s="271"/>
      <c r="BD363" s="279">
        <v>1</v>
      </c>
      <c r="BE363" s="271"/>
      <c r="BF363" s="271"/>
      <c r="BG363" s="271"/>
      <c r="BH363" s="271"/>
      <c r="BI363" s="271"/>
      <c r="BJ363" s="271"/>
      <c r="BK363" s="271"/>
      <c r="BL363" s="271"/>
    </row>
    <row r="364" spans="18:64" ht="21" customHeight="1" x14ac:dyDescent="0.25">
      <c r="S364" s="451"/>
      <c r="T364" s="28" t="s">
        <v>15</v>
      </c>
      <c r="V364" s="475">
        <v>9</v>
      </c>
      <c r="W364" s="475" t="str">
        <f>IF($AC$364="","",$W$360)</f>
        <v>N° 19</v>
      </c>
      <c r="X364" s="476" t="str">
        <f>IF($AC$364="","",$X$360)</f>
        <v>TERRINE DE SAUMON COULIS DE TOMATE *</v>
      </c>
      <c r="Y364" s="477">
        <f>IF($X$364="","",$Y$360)</f>
        <v>36</v>
      </c>
      <c r="Z364" s="477">
        <f>IF($X$364="","",$Z$360)</f>
        <v>100</v>
      </c>
      <c r="AA364" s="477">
        <f>IF($AC$364="","",ROW($A$364)-ROW($A$360))</f>
        <v>4</v>
      </c>
      <c r="AB364" s="478"/>
      <c r="AC364" s="34" t="s">
        <v>373</v>
      </c>
      <c r="AD364" s="356"/>
      <c r="AE364" s="479">
        <v>2.5</v>
      </c>
      <c r="AF364" s="29" t="s">
        <v>9</v>
      </c>
      <c r="AG364" s="480">
        <f t="shared" si="100"/>
        <v>2.5</v>
      </c>
      <c r="AH364" s="481" t="str">
        <f t="shared" si="101"/>
        <v>L</v>
      </c>
      <c r="AI364" s="477" t="str">
        <f>IF($AC$364="","",IFERROR(INDEX($AZ$74:$AZ$119,MATCH($AH$364,$AY$74:$AY$119,0)),"AUTRE"))</f>
        <v>VOLUME</v>
      </c>
      <c r="AJ364" s="482">
        <f>IF($AC$364="","",IFERROR(INDEX($BA$74:$BA$119,MATCH($AH$364,$AY$74:$AY$119,0)),1))</f>
        <v>1</v>
      </c>
      <c r="AK364" s="482">
        <f t="shared" si="102"/>
        <v>2.5</v>
      </c>
      <c r="AL364" s="477" t="str">
        <f>IF($AC$364="","",IFERROR(INDEX($BB$74:$BB$119,MATCH($AH$364,$AY$74:$AY$119,0)),$AH$364))</f>
        <v>L</v>
      </c>
      <c r="AM364" s="483" t="str">
        <f t="shared" si="103"/>
        <v>OK</v>
      </c>
      <c r="AN364" s="484">
        <f t="shared" si="104"/>
        <v>2.5</v>
      </c>
      <c r="AO364" s="473" t="str">
        <f t="shared" si="105"/>
        <v/>
      </c>
      <c r="AP364" s="473" t="str">
        <f t="shared" si="106"/>
        <v/>
      </c>
      <c r="AQ364" s="473" t="str">
        <f t="shared" si="107"/>
        <v/>
      </c>
      <c r="AR364" s="473" t="str">
        <f t="shared" si="108"/>
        <v/>
      </c>
      <c r="AS364" s="473" t="str">
        <f t="shared" si="109"/>
        <v/>
      </c>
      <c r="AT364" s="473" t="str">
        <f t="shared" si="110"/>
        <v/>
      </c>
      <c r="AU364" s="473" t="str">
        <f t="shared" si="111"/>
        <v/>
      </c>
      <c r="AZ364" s="31" t="s">
        <v>211</v>
      </c>
      <c r="BA364" s="34" t="s">
        <v>494</v>
      </c>
      <c r="BB364" s="499"/>
      <c r="BC364" s="271"/>
      <c r="BD364" s="279">
        <v>1</v>
      </c>
      <c r="BE364" s="271"/>
      <c r="BF364" s="271"/>
      <c r="BG364" s="271"/>
      <c r="BH364" s="271"/>
      <c r="BI364" s="271"/>
      <c r="BJ364" s="271"/>
      <c r="BK364" s="271"/>
      <c r="BL364" s="271"/>
    </row>
    <row r="365" spans="18:64" ht="21" customHeight="1" x14ac:dyDescent="0.25">
      <c r="R365" s="25" t="s">
        <v>6115</v>
      </c>
      <c r="S365" s="451"/>
      <c r="T365" s="28" t="s">
        <v>21</v>
      </c>
      <c r="V365" s="475">
        <v>9</v>
      </c>
      <c r="W365" s="475" t="str">
        <f>IF($AC$365="","",$W$360)</f>
        <v>N° 19</v>
      </c>
      <c r="X365" s="476" t="str">
        <f>IF($AC$365="","",$X$360)</f>
        <v>TERRINE DE SAUMON COULIS DE TOMATE *</v>
      </c>
      <c r="Y365" s="477">
        <f>IF($X$365="","",$Y$360)</f>
        <v>36</v>
      </c>
      <c r="Z365" s="477">
        <f>IF($X$365="","",$Z$360)</f>
        <v>100</v>
      </c>
      <c r="AA365" s="477">
        <f>IF($AC$365="","",ROW($A$365)-ROW($A$360))</f>
        <v>5</v>
      </c>
      <c r="AB365" s="478"/>
      <c r="AC365" s="34" t="s">
        <v>374</v>
      </c>
      <c r="AD365" s="356"/>
      <c r="AE365" s="479">
        <v>15</v>
      </c>
      <c r="AF365" s="27" t="s">
        <v>8</v>
      </c>
      <c r="AG365" s="480">
        <f t="shared" si="100"/>
        <v>15</v>
      </c>
      <c r="AH365" s="481" t="str">
        <f t="shared" si="101"/>
        <v>G</v>
      </c>
      <c r="AI365" s="477" t="str">
        <f>IF($AC$365="","",IFERROR(INDEX($AZ$74:$AZ$119,MATCH($AH$365,$AY$74:$AY$119,0)),"AUTRE"))</f>
        <v>MASSE</v>
      </c>
      <c r="AJ365" s="482">
        <f>IF($AC$365="","",IFERROR(INDEX($BA$74:$BA$119,MATCH($AH$365,$AY$74:$AY$119,0)),1))</f>
        <v>1E-3</v>
      </c>
      <c r="AK365" s="482">
        <f t="shared" si="102"/>
        <v>1.4999999999999999E-2</v>
      </c>
      <c r="AL365" s="477" t="str">
        <f>IF($AC$365="","",IFERROR(INDEX($BB$74:$BB$119,MATCH($AH$365,$AY$74:$AY$119,0)),$AH$365))</f>
        <v>kg</v>
      </c>
      <c r="AM365" s="483" t="str">
        <f t="shared" si="103"/>
        <v>OK</v>
      </c>
      <c r="AN365" s="484">
        <f t="shared" si="104"/>
        <v>15</v>
      </c>
      <c r="AO365" s="473" t="str">
        <f t="shared" si="105"/>
        <v/>
      </c>
      <c r="AP365" s="473" t="str">
        <f t="shared" si="106"/>
        <v/>
      </c>
      <c r="AQ365" s="473" t="str">
        <f t="shared" si="107"/>
        <v/>
      </c>
      <c r="AR365" s="473" t="str">
        <f t="shared" si="108"/>
        <v/>
      </c>
      <c r="AS365" s="473" t="str">
        <f t="shared" si="109"/>
        <v/>
      </c>
      <c r="AT365" s="473" t="str">
        <f t="shared" si="110"/>
        <v/>
      </c>
      <c r="AU365" s="473" t="str">
        <f t="shared" si="111"/>
        <v/>
      </c>
      <c r="AZ365" s="31" t="s">
        <v>20</v>
      </c>
      <c r="BB365" s="499"/>
      <c r="BC365" s="271"/>
      <c r="BD365" s="279">
        <v>1</v>
      </c>
      <c r="BE365" s="271"/>
      <c r="BF365" s="271"/>
      <c r="BG365" s="271"/>
      <c r="BH365" s="271"/>
      <c r="BI365" s="271"/>
      <c r="BJ365" s="271"/>
      <c r="BK365" s="271"/>
      <c r="BL365" s="271"/>
    </row>
    <row r="366" spans="18:64" ht="21" customHeight="1" x14ac:dyDescent="0.25">
      <c r="R366" s="34" t="s">
        <v>471</v>
      </c>
      <c r="S366" s="451"/>
      <c r="T366" s="28" t="s">
        <v>22</v>
      </c>
      <c r="V366" s="475">
        <v>9</v>
      </c>
      <c r="W366" s="475" t="str">
        <f>IF($AC$366="","",$W$360)</f>
        <v>N° 19</v>
      </c>
      <c r="X366" s="476" t="str">
        <f>IF($AC$366="","",$X$360)</f>
        <v>TERRINE DE SAUMON COULIS DE TOMATE *</v>
      </c>
      <c r="Y366" s="477">
        <f>IF($X$366="","",$Y$360)</f>
        <v>36</v>
      </c>
      <c r="Z366" s="477">
        <f>IF($X$366="","",$Z$360)</f>
        <v>100</v>
      </c>
      <c r="AA366" s="477">
        <f>IF($AC$366="","",ROW($A$366)-ROW($A$360))</f>
        <v>6</v>
      </c>
      <c r="AB366" s="478"/>
      <c r="AC366" s="34" t="s">
        <v>375</v>
      </c>
      <c r="AD366" s="356"/>
      <c r="AE366" s="479">
        <v>30</v>
      </c>
      <c r="AF366" s="27" t="s">
        <v>8</v>
      </c>
      <c r="AG366" s="480">
        <f t="shared" si="100"/>
        <v>30</v>
      </c>
      <c r="AH366" s="481" t="str">
        <f t="shared" si="101"/>
        <v>G</v>
      </c>
      <c r="AI366" s="477" t="str">
        <f>IF($AC$366="","",IFERROR(INDEX($AZ$74:$AZ$119,MATCH($AH$366,$AY$74:$AY$119,0)),"AUTRE"))</f>
        <v>MASSE</v>
      </c>
      <c r="AJ366" s="482">
        <f>IF($AC$366="","",IFERROR(INDEX($BA$74:$BA$119,MATCH($AH$366,$AY$74:$AY$119,0)),1))</f>
        <v>1E-3</v>
      </c>
      <c r="AK366" s="482">
        <f t="shared" si="102"/>
        <v>0.03</v>
      </c>
      <c r="AL366" s="477" t="str">
        <f>IF($AC$366="","",IFERROR(INDEX($BB$74:$BB$119,MATCH($AH$366,$AY$74:$AY$119,0)),$AH$366))</f>
        <v>kg</v>
      </c>
      <c r="AM366" s="483" t="str">
        <f t="shared" si="103"/>
        <v>OK</v>
      </c>
      <c r="AN366" s="484">
        <f t="shared" si="104"/>
        <v>30</v>
      </c>
      <c r="AO366" s="473" t="str">
        <f t="shared" si="105"/>
        <v/>
      </c>
      <c r="AP366" s="473" t="str">
        <f t="shared" si="106"/>
        <v/>
      </c>
      <c r="AQ366" s="473" t="str">
        <f t="shared" si="107"/>
        <v/>
      </c>
      <c r="AR366" s="473" t="str">
        <f t="shared" si="108"/>
        <v/>
      </c>
      <c r="AS366" s="473" t="str">
        <f t="shared" si="109"/>
        <v/>
      </c>
      <c r="AT366" s="473" t="str">
        <f t="shared" si="110"/>
        <v/>
      </c>
      <c r="AU366" s="473" t="str">
        <f t="shared" si="111"/>
        <v/>
      </c>
      <c r="AZ366" s="31" t="s">
        <v>304</v>
      </c>
      <c r="BA366" s="25" t="s">
        <v>6115</v>
      </c>
      <c r="BB366" s="499"/>
      <c r="BC366" s="271"/>
      <c r="BD366" s="279">
        <v>1</v>
      </c>
      <c r="BE366" s="271"/>
      <c r="BF366" s="271"/>
      <c r="BG366" s="271"/>
      <c r="BH366" s="271"/>
      <c r="BI366" s="271"/>
      <c r="BJ366" s="271"/>
      <c r="BK366" s="271"/>
      <c r="BL366" s="271"/>
    </row>
    <row r="367" spans="18:64" ht="21" customHeight="1" x14ac:dyDescent="0.25">
      <c r="R367" s="34" t="s">
        <v>472</v>
      </c>
      <c r="S367" s="451"/>
      <c r="T367" s="28" t="s">
        <v>23</v>
      </c>
      <c r="V367" s="475">
        <v>9</v>
      </c>
      <c r="W367" s="475" t="str">
        <f>IF($AC$367="","",$W$360)</f>
        <v>N° 19</v>
      </c>
      <c r="X367" s="476" t="str">
        <f>IF($AC$367="","",$X$360)</f>
        <v>TERRINE DE SAUMON COULIS DE TOMATE *</v>
      </c>
      <c r="Y367" s="477">
        <f>IF($X$367="","",$Y$360)</f>
        <v>36</v>
      </c>
      <c r="Z367" s="477">
        <f>IF($X$367="","",$Z$360)</f>
        <v>100</v>
      </c>
      <c r="AA367" s="477">
        <f>IF($AC$367="","",ROW($A$367)-ROW($A$360))</f>
        <v>7</v>
      </c>
      <c r="AB367" s="478"/>
      <c r="AC367" s="34" t="s">
        <v>43</v>
      </c>
      <c r="AD367" s="356"/>
      <c r="AE367" s="479">
        <v>45</v>
      </c>
      <c r="AF367" s="27" t="s">
        <v>8</v>
      </c>
      <c r="AG367" s="480">
        <f t="shared" si="100"/>
        <v>45</v>
      </c>
      <c r="AH367" s="481" t="str">
        <f t="shared" si="101"/>
        <v>G</v>
      </c>
      <c r="AI367" s="477" t="str">
        <f>IF($AC$367="","",IFERROR(INDEX($AZ$74:$AZ$119,MATCH($AH$367,$AY$74:$AY$119,0)),"AUTRE"))</f>
        <v>MASSE</v>
      </c>
      <c r="AJ367" s="482">
        <f>IF($AC$367="","",IFERROR(INDEX($BA$74:$BA$119,MATCH($AH$367,$AY$74:$AY$119,0)),1))</f>
        <v>1E-3</v>
      </c>
      <c r="AK367" s="482">
        <f t="shared" si="102"/>
        <v>4.4999999999999998E-2</v>
      </c>
      <c r="AL367" s="477" t="str">
        <f>IF($AC$367="","",IFERROR(INDEX($BB$74:$BB$119,MATCH($AH$367,$AY$74:$AY$119,0)),$AH$367))</f>
        <v>kg</v>
      </c>
      <c r="AM367" s="483" t="str">
        <f t="shared" si="103"/>
        <v>OK</v>
      </c>
      <c r="AN367" s="484">
        <f t="shared" si="104"/>
        <v>45</v>
      </c>
      <c r="AO367" s="473" t="str">
        <f t="shared" si="105"/>
        <v/>
      </c>
      <c r="AP367" s="473" t="str">
        <f t="shared" si="106"/>
        <v/>
      </c>
      <c r="AQ367" s="473" t="str">
        <f t="shared" si="107"/>
        <v/>
      </c>
      <c r="AR367" s="473" t="str">
        <f t="shared" si="108"/>
        <v/>
      </c>
      <c r="AS367" s="473" t="str">
        <f t="shared" si="109"/>
        <v/>
      </c>
      <c r="AT367" s="473" t="str">
        <f t="shared" si="110"/>
        <v/>
      </c>
      <c r="AU367" s="473" t="str">
        <f t="shared" si="111"/>
        <v/>
      </c>
      <c r="AZ367" s="31" t="s">
        <v>352</v>
      </c>
      <c r="BA367" s="34" t="s">
        <v>471</v>
      </c>
      <c r="BB367" s="499"/>
      <c r="BC367" s="271"/>
      <c r="BD367" s="279">
        <v>1</v>
      </c>
      <c r="BE367" s="271"/>
      <c r="BF367" s="271"/>
      <c r="BG367" s="271"/>
      <c r="BH367" s="271"/>
      <c r="BI367" s="271"/>
      <c r="BJ367" s="271"/>
      <c r="BK367" s="271"/>
      <c r="BL367" s="271"/>
    </row>
    <row r="368" spans="18:64" ht="21" customHeight="1" x14ac:dyDescent="0.25">
      <c r="R368" s="34" t="s">
        <v>6112</v>
      </c>
      <c r="S368" s="451"/>
      <c r="T368" s="28" t="s">
        <v>24</v>
      </c>
      <c r="V368" s="475">
        <v>9</v>
      </c>
      <c r="W368" s="475" t="str">
        <f>IF($AC$368="","",$W$360)</f>
        <v>N° 19</v>
      </c>
      <c r="X368" s="476" t="str">
        <f>IF($AC$368="","",$X$360)</f>
        <v>TERRINE DE SAUMON COULIS DE TOMATE *</v>
      </c>
      <c r="Y368" s="477">
        <f>IF($X$368="","",$Y$360)</f>
        <v>36</v>
      </c>
      <c r="Z368" s="477">
        <f>IF($X$368="","",$Z$360)</f>
        <v>100</v>
      </c>
      <c r="AA368" s="477">
        <f>IF($AC$368="","",ROW($A$368)-ROW($A$360))</f>
        <v>8</v>
      </c>
      <c r="AB368" s="478"/>
      <c r="AC368" s="34" t="s">
        <v>44</v>
      </c>
      <c r="AD368" s="356"/>
      <c r="AE368" s="479">
        <v>8</v>
      </c>
      <c r="AF368" s="27" t="s">
        <v>8</v>
      </c>
      <c r="AG368" s="480">
        <f t="shared" si="100"/>
        <v>8</v>
      </c>
      <c r="AH368" s="481" t="str">
        <f t="shared" si="101"/>
        <v>G</v>
      </c>
      <c r="AI368" s="477" t="str">
        <f>IF($AC$368="","",IFERROR(INDEX($AZ$74:$AZ$119,MATCH($AH$368,$AY$74:$AY$119,0)),"AUTRE"))</f>
        <v>MASSE</v>
      </c>
      <c r="AJ368" s="482">
        <f>IF($AC$368="","",IFERROR(INDEX($BA$74:$BA$119,MATCH($AH$368,$AY$74:$AY$119,0)),1))</f>
        <v>1E-3</v>
      </c>
      <c r="AK368" s="482">
        <f t="shared" si="102"/>
        <v>8.0000000000000002E-3</v>
      </c>
      <c r="AL368" s="477" t="str">
        <f>IF($AC$368="","",IFERROR(INDEX($BB$74:$BB$119,MATCH($AH$368,$AY$74:$AY$119,0)),$AH$368))</f>
        <v>kg</v>
      </c>
      <c r="AM368" s="483" t="str">
        <f t="shared" si="103"/>
        <v>OK</v>
      </c>
      <c r="AN368" s="484">
        <f t="shared" si="104"/>
        <v>8</v>
      </c>
      <c r="AO368" s="473" t="str">
        <f t="shared" si="105"/>
        <v/>
      </c>
      <c r="AP368" s="473" t="str">
        <f t="shared" si="106"/>
        <v/>
      </c>
      <c r="AQ368" s="473" t="str">
        <f t="shared" si="107"/>
        <v/>
      </c>
      <c r="AR368" s="473" t="str">
        <f t="shared" si="108"/>
        <v/>
      </c>
      <c r="AS368" s="473" t="str">
        <f t="shared" si="109"/>
        <v/>
      </c>
      <c r="AT368" s="473" t="str">
        <f t="shared" si="110"/>
        <v/>
      </c>
      <c r="AU368" s="473" t="str">
        <f t="shared" si="111"/>
        <v/>
      </c>
      <c r="AZ368" s="31" t="s">
        <v>27</v>
      </c>
      <c r="BA368" s="34" t="s">
        <v>472</v>
      </c>
      <c r="BB368" s="499"/>
      <c r="BC368" s="271"/>
      <c r="BD368" s="279">
        <v>1</v>
      </c>
      <c r="BE368" s="271"/>
      <c r="BF368" s="271"/>
      <c r="BG368" s="271"/>
      <c r="BH368" s="271"/>
      <c r="BI368" s="271"/>
      <c r="BJ368" s="271"/>
      <c r="BK368" s="271"/>
      <c r="BL368" s="271"/>
    </row>
    <row r="369" spans="18:64" ht="21" customHeight="1" x14ac:dyDescent="0.25">
      <c r="R369" s="25" t="s">
        <v>6116</v>
      </c>
      <c r="S369" s="451"/>
      <c r="T369" s="29" t="s">
        <v>9</v>
      </c>
      <c r="V369" s="475">
        <v>9</v>
      </c>
      <c r="W369" s="475" t="str">
        <f>IF($AC$369="","",$W$360)</f>
        <v>N° 19</v>
      </c>
      <c r="X369" s="476" t="str">
        <f>IF($AC$369="","",$X$360)</f>
        <v>TERRINE DE SAUMON COULIS DE TOMATE *</v>
      </c>
      <c r="Y369" s="477">
        <f>IF($X$369="","",$Y$360)</f>
        <v>36</v>
      </c>
      <c r="Z369" s="477">
        <f>IF($X$369="","",$Z$360)</f>
        <v>100</v>
      </c>
      <c r="AA369" s="477">
        <f>IF($AC$369="","",ROW($A$369)-ROW($A$360))</f>
        <v>9</v>
      </c>
      <c r="AB369" s="478"/>
      <c r="AC369" s="34" t="s">
        <v>61</v>
      </c>
      <c r="AD369" s="356"/>
      <c r="AE369" s="479">
        <v>2</v>
      </c>
      <c r="AF369" s="27" t="s">
        <v>8</v>
      </c>
      <c r="AG369" s="480">
        <f t="shared" si="100"/>
        <v>2</v>
      </c>
      <c r="AH369" s="481" t="str">
        <f t="shared" si="101"/>
        <v>G</v>
      </c>
      <c r="AI369" s="477" t="str">
        <f>IF($AC$369="","",IFERROR(INDEX($AZ$74:$AZ$119,MATCH($AH$369,$AY$74:$AY$119,0)),"AUTRE"))</f>
        <v>MASSE</v>
      </c>
      <c r="AJ369" s="482">
        <f>IF($AC$369="","",IFERROR(INDEX($BA$74:$BA$119,MATCH($AH$369,$AY$74:$AY$119,0)),1))</f>
        <v>1E-3</v>
      </c>
      <c r="AK369" s="482">
        <f t="shared" si="102"/>
        <v>2E-3</v>
      </c>
      <c r="AL369" s="477" t="str">
        <f>IF($AC$369="","",IFERROR(INDEX($BB$74:$BB$119,MATCH($AH$369,$AY$74:$AY$119,0)),$AH$369))</f>
        <v>kg</v>
      </c>
      <c r="AM369" s="483" t="str">
        <f t="shared" si="103"/>
        <v>OK</v>
      </c>
      <c r="AN369" s="484">
        <f t="shared" si="104"/>
        <v>2</v>
      </c>
      <c r="AO369" s="473" t="str">
        <f t="shared" si="105"/>
        <v/>
      </c>
      <c r="AP369" s="473" t="str">
        <f t="shared" si="106"/>
        <v/>
      </c>
      <c r="AQ369" s="473" t="str">
        <f t="shared" si="107"/>
        <v/>
      </c>
      <c r="AR369" s="473" t="str">
        <f t="shared" si="108"/>
        <v/>
      </c>
      <c r="AS369" s="473" t="str">
        <f t="shared" si="109"/>
        <v/>
      </c>
      <c r="AT369" s="473" t="str">
        <f t="shared" si="110"/>
        <v/>
      </c>
      <c r="AU369" s="473" t="str">
        <f t="shared" si="111"/>
        <v/>
      </c>
      <c r="AZ369" s="31" t="s">
        <v>28</v>
      </c>
      <c r="BA369" s="34" t="s">
        <v>6112</v>
      </c>
      <c r="BB369" s="499"/>
      <c r="BC369" s="271"/>
      <c r="BD369" s="279">
        <v>1</v>
      </c>
      <c r="BE369" s="271"/>
      <c r="BF369" s="271"/>
      <c r="BG369" s="271"/>
      <c r="BH369" s="271"/>
      <c r="BI369" s="271"/>
      <c r="BJ369" s="271"/>
      <c r="BK369" s="271"/>
      <c r="BL369" s="271"/>
    </row>
    <row r="370" spans="18:64" ht="21" customHeight="1" x14ac:dyDescent="0.25">
      <c r="R370" s="34" t="s">
        <v>6117</v>
      </c>
      <c r="S370" s="451"/>
      <c r="T370" s="30" t="s">
        <v>10</v>
      </c>
      <c r="V370" s="475">
        <v>9</v>
      </c>
      <c r="W370" s="475" t="str">
        <f>IF($AC$370="","",$W$360)</f>
        <v>N° 19</v>
      </c>
      <c r="X370" s="476" t="str">
        <f>IF($AC$370="","",$X$360)</f>
        <v>TERRINE DE SAUMON COULIS DE TOMATE *</v>
      </c>
      <c r="Y370" s="477">
        <f>IF($X$370="","",$Y$360)</f>
        <v>36</v>
      </c>
      <c r="Z370" s="477">
        <f>IF($X$370="","",$Z$360)</f>
        <v>100</v>
      </c>
      <c r="AA370" s="477">
        <f>IF($AC$370="","",ROW($A$370)-ROW($A$360))</f>
        <v>10</v>
      </c>
      <c r="AB370" s="478"/>
      <c r="AC370" s="34" t="s">
        <v>45</v>
      </c>
      <c r="AD370" s="356"/>
      <c r="AE370" s="479">
        <v>150</v>
      </c>
      <c r="AF370" s="27" t="s">
        <v>8</v>
      </c>
      <c r="AG370" s="480">
        <f t="shared" si="100"/>
        <v>150</v>
      </c>
      <c r="AH370" s="481" t="str">
        <f t="shared" si="101"/>
        <v>G</v>
      </c>
      <c r="AI370" s="477" t="str">
        <f>IF($AC$370="","",IFERROR(INDEX($AZ$74:$AZ$119,MATCH($AH$370,$AY$74:$AY$119,0)),"AUTRE"))</f>
        <v>MASSE</v>
      </c>
      <c r="AJ370" s="482">
        <f>IF($AC$370="","",IFERROR(INDEX($BA$74:$BA$119,MATCH($AH$370,$AY$74:$AY$119,0)),1))</f>
        <v>1E-3</v>
      </c>
      <c r="AK370" s="482">
        <f t="shared" si="102"/>
        <v>0.15</v>
      </c>
      <c r="AL370" s="477" t="str">
        <f>IF($AC$370="","",IFERROR(INDEX($BB$74:$BB$119,MATCH($AH$370,$AY$74:$AY$119,0)),$AH$370))</f>
        <v>kg</v>
      </c>
      <c r="AM370" s="483" t="str">
        <f t="shared" si="103"/>
        <v>OK</v>
      </c>
      <c r="AN370" s="484">
        <f t="shared" si="104"/>
        <v>150</v>
      </c>
      <c r="AO370" s="473" t="str">
        <f t="shared" si="105"/>
        <v/>
      </c>
      <c r="AP370" s="473" t="str">
        <f t="shared" si="106"/>
        <v/>
      </c>
      <c r="AQ370" s="473" t="str">
        <f t="shared" si="107"/>
        <v/>
      </c>
      <c r="AR370" s="473" t="str">
        <f t="shared" si="108"/>
        <v/>
      </c>
      <c r="AS370" s="473" t="str">
        <f t="shared" si="109"/>
        <v/>
      </c>
      <c r="AT370" s="473" t="str">
        <f t="shared" si="110"/>
        <v/>
      </c>
      <c r="AU370" s="473" t="str">
        <f t="shared" si="111"/>
        <v/>
      </c>
      <c r="AZ370" s="31" t="s">
        <v>29</v>
      </c>
      <c r="BA370" s="25" t="s">
        <v>6116</v>
      </c>
      <c r="BB370" s="499"/>
      <c r="BC370" s="271"/>
      <c r="BD370" s="279">
        <v>1</v>
      </c>
      <c r="BE370" s="271"/>
      <c r="BF370" s="271"/>
      <c r="BG370" s="271"/>
      <c r="BH370" s="271"/>
      <c r="BI370" s="271"/>
      <c r="BJ370" s="271"/>
      <c r="BK370" s="271"/>
      <c r="BL370" s="271"/>
    </row>
    <row r="371" spans="18:64" ht="21" customHeight="1" x14ac:dyDescent="0.25">
      <c r="R371" s="34" t="s">
        <v>469</v>
      </c>
      <c r="S371" s="451"/>
      <c r="T371" s="30" t="s">
        <v>11</v>
      </c>
      <c r="V371" s="475">
        <v>9</v>
      </c>
      <c r="W371" s="475" t="str">
        <f>IF($AC$371="","",$W$360)</f>
        <v>N° 19</v>
      </c>
      <c r="X371" s="476" t="str">
        <f>IF($AC$371="","",$X$360)</f>
        <v>TERRINE DE SAUMON COULIS DE TOMATE *</v>
      </c>
      <c r="Y371" s="477">
        <f>IF($X$371="","",$Y$360)</f>
        <v>36</v>
      </c>
      <c r="Z371" s="477">
        <f>IF($X$371="","",$Z$360)</f>
        <v>100</v>
      </c>
      <c r="AA371" s="477">
        <f>IF($AC$371="","",ROW($A$371)-ROW($A$360))</f>
        <v>11</v>
      </c>
      <c r="AB371" s="478"/>
      <c r="AC371" s="34" t="s">
        <v>161</v>
      </c>
      <c r="AD371" s="356"/>
      <c r="AE371" s="479">
        <v>100</v>
      </c>
      <c r="AF371" s="27" t="s">
        <v>8</v>
      </c>
      <c r="AG371" s="480">
        <f t="shared" si="100"/>
        <v>100</v>
      </c>
      <c r="AH371" s="481" t="str">
        <f t="shared" si="101"/>
        <v>G</v>
      </c>
      <c r="AI371" s="477" t="str">
        <f>IF($AC$371="","",IFERROR(INDEX($AZ$74:$AZ$119,MATCH($AH$371,$AY$74:$AY$119,0)),"AUTRE"))</f>
        <v>MASSE</v>
      </c>
      <c r="AJ371" s="482">
        <f>IF($AC$371="","",IFERROR(INDEX($BA$74:$BA$119,MATCH($AH$371,$AY$74:$AY$119,0)),1))</f>
        <v>1E-3</v>
      </c>
      <c r="AK371" s="482">
        <f t="shared" si="102"/>
        <v>0.1</v>
      </c>
      <c r="AL371" s="477" t="str">
        <f>IF($AC$371="","",IFERROR(INDEX($BB$74:$BB$119,MATCH($AH$371,$AY$74:$AY$119,0)),$AH$371))</f>
        <v>kg</v>
      </c>
      <c r="AM371" s="483" t="str">
        <f t="shared" si="103"/>
        <v>OK</v>
      </c>
      <c r="AN371" s="484">
        <f t="shared" si="104"/>
        <v>100</v>
      </c>
      <c r="AO371" s="473" t="str">
        <f t="shared" si="105"/>
        <v/>
      </c>
      <c r="AP371" s="473" t="str">
        <f t="shared" si="106"/>
        <v/>
      </c>
      <c r="AQ371" s="473" t="str">
        <f t="shared" si="107"/>
        <v/>
      </c>
      <c r="AR371" s="473" t="str">
        <f t="shared" si="108"/>
        <v/>
      </c>
      <c r="AS371" s="473" t="str">
        <f t="shared" si="109"/>
        <v/>
      </c>
      <c r="AT371" s="473" t="str">
        <f t="shared" si="110"/>
        <v/>
      </c>
      <c r="AU371" s="473" t="str">
        <f t="shared" si="111"/>
        <v/>
      </c>
      <c r="AZ371" s="31" t="s">
        <v>30</v>
      </c>
      <c r="BA371" s="34" t="s">
        <v>6117</v>
      </c>
      <c r="BB371" s="499"/>
      <c r="BC371" s="271"/>
      <c r="BD371" s="279">
        <v>1</v>
      </c>
      <c r="BE371" s="271"/>
      <c r="BF371" s="271"/>
      <c r="BG371" s="271"/>
      <c r="BH371" s="271"/>
      <c r="BI371" s="271"/>
      <c r="BJ371" s="271"/>
      <c r="BK371" s="271"/>
      <c r="BL371" s="271"/>
    </row>
    <row r="372" spans="18:64" ht="21" customHeight="1" x14ac:dyDescent="0.25">
      <c r="R372" s="34" t="s">
        <v>6118</v>
      </c>
      <c r="S372" s="451"/>
      <c r="T372" s="30" t="s">
        <v>12</v>
      </c>
      <c r="V372" s="475">
        <v>9</v>
      </c>
      <c r="W372" s="475" t="str">
        <f>IF($AC$372="","",$W$360)</f>
        <v>N° 19</v>
      </c>
      <c r="X372" s="476" t="str">
        <f>IF($AC$372="","",$X$360)</f>
        <v>TERRINE DE SAUMON COULIS DE TOMATE *</v>
      </c>
      <c r="Y372" s="477">
        <f>IF($X$372="","",$Y$360)</f>
        <v>36</v>
      </c>
      <c r="Z372" s="477">
        <f>IF($X$372="","",$Z$360)</f>
        <v>100</v>
      </c>
      <c r="AA372" s="477">
        <f>IF($AC$372="","",ROW($A$372)-ROW($A$360))</f>
        <v>12</v>
      </c>
      <c r="AB372" s="478"/>
      <c r="AC372" s="34" t="s">
        <v>66</v>
      </c>
      <c r="AD372" s="356"/>
      <c r="AE372" s="479">
        <v>75</v>
      </c>
      <c r="AF372" s="27" t="s">
        <v>8</v>
      </c>
      <c r="AG372" s="480">
        <f t="shared" si="100"/>
        <v>75</v>
      </c>
      <c r="AH372" s="481" t="str">
        <f t="shared" si="101"/>
        <v>G</v>
      </c>
      <c r="AI372" s="477" t="str">
        <f>IF($AC$372="","",IFERROR(INDEX($AZ$74:$AZ$119,MATCH($AH$372,$AY$74:$AY$119,0)),"AUTRE"))</f>
        <v>MASSE</v>
      </c>
      <c r="AJ372" s="482">
        <f>IF($AC$372="","",IFERROR(INDEX($BA$74:$BA$119,MATCH($AH$372,$AY$74:$AY$119,0)),1))</f>
        <v>1E-3</v>
      </c>
      <c r="AK372" s="482">
        <f t="shared" si="102"/>
        <v>7.4999999999999997E-2</v>
      </c>
      <c r="AL372" s="477" t="str">
        <f>IF($AC$372="","",IFERROR(INDEX($BB$74:$BB$119,MATCH($AH$372,$AY$74:$AY$119,0)),$AH$372))</f>
        <v>kg</v>
      </c>
      <c r="AM372" s="483" t="str">
        <f t="shared" si="103"/>
        <v>OK</v>
      </c>
      <c r="AN372" s="484">
        <f t="shared" si="104"/>
        <v>75</v>
      </c>
      <c r="AO372" s="473" t="str">
        <f t="shared" si="105"/>
        <v/>
      </c>
      <c r="AP372" s="473" t="str">
        <f t="shared" si="106"/>
        <v/>
      </c>
      <c r="AQ372" s="473" t="str">
        <f t="shared" si="107"/>
        <v/>
      </c>
      <c r="AR372" s="473" t="str">
        <f t="shared" si="108"/>
        <v/>
      </c>
      <c r="AS372" s="473" t="str">
        <f t="shared" si="109"/>
        <v/>
      </c>
      <c r="AT372" s="473" t="str">
        <f t="shared" si="110"/>
        <v/>
      </c>
      <c r="AU372" s="473" t="str">
        <f t="shared" si="111"/>
        <v/>
      </c>
      <c r="AZ372" s="32" t="s">
        <v>33</v>
      </c>
      <c r="BA372" s="34" t="s">
        <v>469</v>
      </c>
      <c r="BB372" s="499"/>
      <c r="BC372" s="271"/>
      <c r="BD372" s="279">
        <v>1</v>
      </c>
      <c r="BE372" s="271"/>
      <c r="BF372" s="271"/>
      <c r="BG372" s="271"/>
      <c r="BH372" s="271"/>
      <c r="BI372" s="271"/>
      <c r="BJ372" s="271"/>
      <c r="BK372" s="271"/>
      <c r="BL372" s="271"/>
    </row>
    <row r="373" spans="18:64" ht="21" customHeight="1" x14ac:dyDescent="0.25">
      <c r="R373" s="34" t="s">
        <v>492</v>
      </c>
      <c r="S373" s="451"/>
      <c r="T373" s="31" t="s">
        <v>16</v>
      </c>
      <c r="V373" s="475">
        <v>9</v>
      </c>
      <c r="W373" s="475" t="str">
        <f>IF($AC$373="","",$W$360)</f>
        <v/>
      </c>
      <c r="X373" s="476" t="str">
        <f>IF($AC$373="","",$X$360)</f>
        <v/>
      </c>
      <c r="Y373" s="477" t="str">
        <f>IF($X$373="","",$Y$360)</f>
        <v/>
      </c>
      <c r="Z373" s="477" t="str">
        <f>IF($X$373="","",$Z$360)</f>
        <v/>
      </c>
      <c r="AA373" s="477" t="str">
        <f>IF($AC$373="","",ROW($A$373)-ROW($A$360))</f>
        <v/>
      </c>
      <c r="AB373" s="478"/>
      <c r="AC373" s="34" t="s">
        <v>345</v>
      </c>
      <c r="AD373" s="356"/>
      <c r="AE373" s="479"/>
      <c r="AF373" s="475"/>
      <c r="AG373" s="480" t="str">
        <f t="shared" si="100"/>
        <v/>
      </c>
      <c r="AH373" s="481" t="str">
        <f t="shared" si="101"/>
        <v/>
      </c>
      <c r="AI373" s="477" t="str">
        <f>IF($AC$373="","",IFERROR(INDEX($AZ$74:$AZ$119,MATCH($AH$373,$AY$74:$AY$119,0)),"AUTRE"))</f>
        <v/>
      </c>
      <c r="AJ373" s="482" t="str">
        <f>IF($AC$373="","",IFERROR(INDEX($BA$74:$BA$119,MATCH($AH$373,$AY$74:$AY$119,0)),1))</f>
        <v/>
      </c>
      <c r="AK373" s="482" t="str">
        <f t="shared" si="102"/>
        <v/>
      </c>
      <c r="AL373" s="477" t="str">
        <f>IF($AC$373="","",IFERROR(INDEX($BB$74:$BB$119,MATCH($AH$373,$AY$74:$AY$119,0)),$AH$373))</f>
        <v/>
      </c>
      <c r="AM373" s="483" t="str">
        <f t="shared" si="103"/>
        <v/>
      </c>
      <c r="AN373" s="484" t="str">
        <f t="shared" si="104"/>
        <v/>
      </c>
      <c r="AO373" s="473" t="str">
        <f t="shared" si="105"/>
        <v/>
      </c>
      <c r="AP373" s="473" t="str">
        <f t="shared" si="106"/>
        <v/>
      </c>
      <c r="AQ373" s="473" t="str">
        <f t="shared" si="107"/>
        <v/>
      </c>
      <c r="AR373" s="473" t="str">
        <f t="shared" si="108"/>
        <v/>
      </c>
      <c r="AS373" s="473" t="str">
        <f t="shared" si="109"/>
        <v/>
      </c>
      <c r="AT373" s="473" t="str">
        <f t="shared" si="110"/>
        <v/>
      </c>
      <c r="AU373" s="473" t="str">
        <f t="shared" si="111"/>
        <v/>
      </c>
      <c r="AZ373" s="32" t="s">
        <v>8125</v>
      </c>
      <c r="BA373" s="34" t="s">
        <v>6118</v>
      </c>
      <c r="BB373" s="499"/>
      <c r="BC373" s="271"/>
      <c r="BD373" s="279">
        <v>1</v>
      </c>
      <c r="BE373" s="271"/>
      <c r="BF373" s="271"/>
      <c r="BG373" s="271"/>
      <c r="BH373" s="271"/>
      <c r="BI373" s="271"/>
      <c r="BJ373" s="271"/>
      <c r="BK373" s="271"/>
      <c r="BL373" s="271"/>
    </row>
    <row r="374" spans="18:64" ht="21" customHeight="1" x14ac:dyDescent="0.25">
      <c r="R374" s="34" t="s">
        <v>458</v>
      </c>
      <c r="S374" s="451"/>
      <c r="T374" s="31" t="s">
        <v>17</v>
      </c>
      <c r="V374" s="475">
        <v>9</v>
      </c>
      <c r="W374" s="475" t="str">
        <f>IF($AC$374="","",$W$360)</f>
        <v>N° 19</v>
      </c>
      <c r="X374" s="476" t="str">
        <f>IF($AC$374="","",$X$360)</f>
        <v>TERRINE DE SAUMON COULIS DE TOMATE *</v>
      </c>
      <c r="Y374" s="477">
        <f>IF($X$374="","",$Y$360)</f>
        <v>36</v>
      </c>
      <c r="Z374" s="477">
        <f>IF($X$374="","",$Z$360)</f>
        <v>100</v>
      </c>
      <c r="AA374" s="477">
        <f>IF($AC$374="","",ROW($A$374)-ROW($A$360))</f>
        <v>14</v>
      </c>
      <c r="AB374" s="478"/>
      <c r="AC374" s="34" t="s">
        <v>162</v>
      </c>
      <c r="AD374" s="356"/>
      <c r="AE374" s="479">
        <v>1</v>
      </c>
      <c r="AF374" s="32" t="s">
        <v>318</v>
      </c>
      <c r="AG374" s="480">
        <f t="shared" si="100"/>
        <v>1</v>
      </c>
      <c r="AH374" s="481" t="str">
        <f t="shared" si="101"/>
        <v>BTE(S) 3/1</v>
      </c>
      <c r="AI374" s="477" t="str">
        <f>IF($AC$374="","",IFERROR(INDEX($AZ$74:$AZ$119,MATCH($AH$374,$AY$74:$AY$119,0)),"AUTRE"))</f>
        <v>AUTRE</v>
      </c>
      <c r="AJ374" s="482">
        <f>IF($AC$374="","",IFERROR(INDEX($BA$74:$BA$119,MATCH($AH$374,$AY$74:$AY$119,0)),1))</f>
        <v>1</v>
      </c>
      <c r="AK374" s="482">
        <f t="shared" si="102"/>
        <v>1</v>
      </c>
      <c r="AL374" s="477" t="str">
        <f>IF($AC$374="","",IFERROR(INDEX($BB$74:$BB$119,MATCH($AH$374,$AY$74:$AY$119,0)),$AH$374))</f>
        <v>bte(s) 3/1</v>
      </c>
      <c r="AM374" s="483" t="str">
        <f t="shared" si="103"/>
        <v>OK</v>
      </c>
      <c r="AN374" s="484">
        <f t="shared" si="104"/>
        <v>1</v>
      </c>
      <c r="AO374" s="473" t="str">
        <f t="shared" si="105"/>
        <v/>
      </c>
      <c r="AP374" s="473" t="str">
        <f t="shared" si="106"/>
        <v/>
      </c>
      <c r="AQ374" s="473" t="str">
        <f t="shared" si="107"/>
        <v/>
      </c>
      <c r="AR374" s="473" t="str">
        <f t="shared" si="108"/>
        <v/>
      </c>
      <c r="AS374" s="473" t="str">
        <f t="shared" si="109"/>
        <v/>
      </c>
      <c r="AT374" s="473" t="str">
        <f t="shared" si="110"/>
        <v/>
      </c>
      <c r="AU374" s="473" t="str">
        <f t="shared" si="111"/>
        <v/>
      </c>
      <c r="AZ374" s="32" t="s">
        <v>8127</v>
      </c>
      <c r="BA374" s="34" t="s">
        <v>492</v>
      </c>
      <c r="BB374" s="499"/>
      <c r="BC374" s="271"/>
      <c r="BD374" s="279">
        <v>1</v>
      </c>
      <c r="BE374" s="271"/>
      <c r="BF374" s="271"/>
      <c r="BG374" s="271"/>
      <c r="BH374" s="271"/>
      <c r="BI374" s="271"/>
      <c r="BJ374" s="271"/>
      <c r="BK374" s="271"/>
      <c r="BL374" s="271"/>
    </row>
    <row r="375" spans="18:64" ht="21" customHeight="1" x14ac:dyDescent="0.25">
      <c r="R375" s="490"/>
      <c r="S375" s="451"/>
      <c r="T375" s="31" t="s">
        <v>18</v>
      </c>
      <c r="V375" s="475">
        <v>9</v>
      </c>
      <c r="W375" s="475" t="str">
        <f>IF($AC$375="","",$W$360)</f>
        <v>N° 19</v>
      </c>
      <c r="X375" s="476" t="str">
        <f>IF($AC$375="","",$X$360)</f>
        <v>TERRINE DE SAUMON COULIS DE TOMATE *</v>
      </c>
      <c r="Y375" s="477">
        <f>IF($X$375="","",$Y$360)</f>
        <v>36</v>
      </c>
      <c r="Z375" s="477">
        <f>IF($X$375="","",$Z$360)</f>
        <v>100</v>
      </c>
      <c r="AA375" s="477">
        <f>IF($AC$375="","",ROW($A$375)-ROW($A$360))</f>
        <v>15</v>
      </c>
      <c r="AB375" s="478"/>
      <c r="AC375" s="34" t="s">
        <v>151</v>
      </c>
      <c r="AD375" s="356"/>
      <c r="AE375" s="479">
        <v>50</v>
      </c>
      <c r="AF375" s="27" t="s">
        <v>8</v>
      </c>
      <c r="AG375" s="480">
        <f t="shared" si="100"/>
        <v>50</v>
      </c>
      <c r="AH375" s="481" t="str">
        <f t="shared" si="101"/>
        <v>G</v>
      </c>
      <c r="AI375" s="477" t="str">
        <f>IF($AC$375="","",IFERROR(INDEX($AZ$74:$AZ$119,MATCH($AH$375,$AY$74:$AY$119,0)),"AUTRE"))</f>
        <v>MASSE</v>
      </c>
      <c r="AJ375" s="482">
        <f>IF($AC$375="","",IFERROR(INDEX($BA$74:$BA$119,MATCH($AH$375,$AY$74:$AY$119,0)),1))</f>
        <v>1E-3</v>
      </c>
      <c r="AK375" s="482">
        <f t="shared" si="102"/>
        <v>0.05</v>
      </c>
      <c r="AL375" s="477" t="str">
        <f>IF($AC$375="","",IFERROR(INDEX($BB$74:$BB$119,MATCH($AH$375,$AY$74:$AY$119,0)),$AH$375))</f>
        <v>kg</v>
      </c>
      <c r="AM375" s="483" t="str">
        <f t="shared" si="103"/>
        <v>OK</v>
      </c>
      <c r="AN375" s="484">
        <f t="shared" si="104"/>
        <v>50</v>
      </c>
      <c r="AO375" s="473" t="str">
        <f t="shared" si="105"/>
        <v/>
      </c>
      <c r="AP375" s="473" t="str">
        <f t="shared" si="106"/>
        <v/>
      </c>
      <c r="AQ375" s="473" t="str">
        <f t="shared" si="107"/>
        <v/>
      </c>
      <c r="AR375" s="473" t="str">
        <f t="shared" si="108"/>
        <v/>
      </c>
      <c r="AS375" s="473" t="str">
        <f t="shared" si="109"/>
        <v/>
      </c>
      <c r="AT375" s="473" t="str">
        <f t="shared" si="110"/>
        <v/>
      </c>
      <c r="AU375" s="473" t="str">
        <f t="shared" si="111"/>
        <v/>
      </c>
      <c r="AZ375" s="32" t="s">
        <v>320</v>
      </c>
      <c r="BA375" s="34" t="s">
        <v>458</v>
      </c>
      <c r="BB375" s="499"/>
      <c r="BC375" s="271"/>
      <c r="BD375" s="279">
        <v>1</v>
      </c>
      <c r="BE375" s="271"/>
      <c r="BF375" s="271"/>
      <c r="BG375" s="271"/>
      <c r="BH375" s="271"/>
      <c r="BI375" s="271"/>
      <c r="BJ375" s="271"/>
      <c r="BK375" s="271"/>
      <c r="BL375" s="271"/>
    </row>
    <row r="376" spans="18:64" ht="21" customHeight="1" x14ac:dyDescent="0.25">
      <c r="R376" s="25" t="s">
        <v>6119</v>
      </c>
      <c r="S376" s="451"/>
      <c r="T376" s="31" t="s">
        <v>19</v>
      </c>
      <c r="V376" s="475">
        <v>9</v>
      </c>
      <c r="W376" s="475" t="str">
        <f>IF($AC$376="","",$W$360)</f>
        <v>N° 19</v>
      </c>
      <c r="X376" s="476" t="str">
        <f>IF($AC$376="","",$X$360)</f>
        <v>TERRINE DE SAUMON COULIS DE TOMATE *</v>
      </c>
      <c r="Y376" s="477">
        <f>IF($X$376="","",$Y$360)</f>
        <v>36</v>
      </c>
      <c r="Z376" s="477">
        <f>IF($X$376="","",$Z$360)</f>
        <v>100</v>
      </c>
      <c r="AA376" s="477">
        <f>IF($AC$376="","",ROW($A$376)-ROW($A$360))</f>
        <v>16</v>
      </c>
      <c r="AB376" s="478"/>
      <c r="AC376" s="34" t="s">
        <v>48</v>
      </c>
      <c r="AD376" s="356"/>
      <c r="AE376" s="479">
        <v>50</v>
      </c>
      <c r="AF376" s="27" t="s">
        <v>8</v>
      </c>
      <c r="AG376" s="480">
        <f t="shared" si="100"/>
        <v>50</v>
      </c>
      <c r="AH376" s="481" t="str">
        <f t="shared" si="101"/>
        <v>G</v>
      </c>
      <c r="AI376" s="477" t="str">
        <f>IF($AC$376="","",IFERROR(INDEX($AZ$74:$AZ$119,MATCH($AH$376,$AY$74:$AY$119,0)),"AUTRE"))</f>
        <v>MASSE</v>
      </c>
      <c r="AJ376" s="482">
        <f>IF($AC$376="","",IFERROR(INDEX($BA$74:$BA$119,MATCH($AH$376,$AY$74:$AY$119,0)),1))</f>
        <v>1E-3</v>
      </c>
      <c r="AK376" s="482">
        <f t="shared" si="102"/>
        <v>0.05</v>
      </c>
      <c r="AL376" s="477" t="str">
        <f>IF($AC$376="","",IFERROR(INDEX($BB$74:$BB$119,MATCH($AH$376,$AY$74:$AY$119,0)),$AH$376))</f>
        <v>kg</v>
      </c>
      <c r="AM376" s="483" t="str">
        <f t="shared" si="103"/>
        <v>OK</v>
      </c>
      <c r="AN376" s="484">
        <f t="shared" si="104"/>
        <v>50</v>
      </c>
      <c r="AO376" s="473" t="str">
        <f t="shared" si="105"/>
        <v/>
      </c>
      <c r="AP376" s="473" t="str">
        <f t="shared" si="106"/>
        <v/>
      </c>
      <c r="AQ376" s="473" t="str">
        <f t="shared" si="107"/>
        <v/>
      </c>
      <c r="AR376" s="473" t="str">
        <f t="shared" si="108"/>
        <v/>
      </c>
      <c r="AS376" s="473" t="str">
        <f t="shared" si="109"/>
        <v/>
      </c>
      <c r="AT376" s="473" t="str">
        <f t="shared" si="110"/>
        <v/>
      </c>
      <c r="AU376" s="473" t="str">
        <f t="shared" si="111"/>
        <v/>
      </c>
      <c r="AZ376" s="32" t="s">
        <v>318</v>
      </c>
      <c r="BA376" s="490"/>
      <c r="BB376" s="499"/>
      <c r="BC376" s="271"/>
      <c r="BD376" s="279">
        <v>1</v>
      </c>
      <c r="BE376" s="271"/>
      <c r="BF376" s="271"/>
      <c r="BG376" s="271"/>
      <c r="BH376" s="271"/>
      <c r="BI376" s="271"/>
      <c r="BJ376" s="271"/>
      <c r="BK376" s="271"/>
      <c r="BL376" s="271"/>
    </row>
    <row r="377" spans="18:64" ht="21" customHeight="1" x14ac:dyDescent="0.25">
      <c r="R377" s="34" t="s">
        <v>6120</v>
      </c>
      <c r="S377" s="451"/>
      <c r="T377" s="31" t="s">
        <v>211</v>
      </c>
      <c r="V377" s="475">
        <v>9</v>
      </c>
      <c r="W377" s="475" t="str">
        <f>IF($AC$377="","",$W$360)</f>
        <v>N° 19</v>
      </c>
      <c r="X377" s="476" t="str">
        <f>IF($AC$377="","",$X$360)</f>
        <v>TERRINE DE SAUMON COULIS DE TOMATE *</v>
      </c>
      <c r="Y377" s="477">
        <f>IF($X$377="","",$Y$360)</f>
        <v>36</v>
      </c>
      <c r="Z377" s="477">
        <f>IF($X$377="","",$Z$360)</f>
        <v>100</v>
      </c>
      <c r="AA377" s="477">
        <f>IF($AC$377="","",ROW($A$377)-ROW($A$360))</f>
        <v>17</v>
      </c>
      <c r="AB377" s="478"/>
      <c r="AC377" s="34" t="s">
        <v>43</v>
      </c>
      <c r="AD377" s="356"/>
      <c r="AE377" s="479">
        <v>6</v>
      </c>
      <c r="AF377" s="27" t="s">
        <v>8</v>
      </c>
      <c r="AG377" s="480">
        <f t="shared" si="100"/>
        <v>6</v>
      </c>
      <c r="AH377" s="481" t="str">
        <f t="shared" si="101"/>
        <v>G</v>
      </c>
      <c r="AI377" s="477" t="str">
        <f>IF($AC$377="","",IFERROR(INDEX($AZ$74:$AZ$119,MATCH($AH$377,$AY$74:$AY$119,0)),"AUTRE"))</f>
        <v>MASSE</v>
      </c>
      <c r="AJ377" s="482">
        <f>IF($AC$377="","",IFERROR(INDEX($BA$74:$BA$119,MATCH($AH$377,$AY$74:$AY$119,0)),1))</f>
        <v>1E-3</v>
      </c>
      <c r="AK377" s="482">
        <f t="shared" si="102"/>
        <v>6.0000000000000001E-3</v>
      </c>
      <c r="AL377" s="477" t="str">
        <f>IF($AC$377="","",IFERROR(INDEX($BB$74:$BB$119,MATCH($AH$377,$AY$74:$AY$119,0)),$AH$377))</f>
        <v>kg</v>
      </c>
      <c r="AM377" s="483" t="str">
        <f t="shared" si="103"/>
        <v>OK</v>
      </c>
      <c r="AN377" s="484">
        <f t="shared" si="104"/>
        <v>6</v>
      </c>
      <c r="AO377" s="473" t="str">
        <f t="shared" si="105"/>
        <v/>
      </c>
      <c r="AP377" s="473" t="str">
        <f t="shared" si="106"/>
        <v/>
      </c>
      <c r="AQ377" s="473" t="str">
        <f t="shared" si="107"/>
        <v/>
      </c>
      <c r="AR377" s="473" t="str">
        <f t="shared" si="108"/>
        <v/>
      </c>
      <c r="AS377" s="473" t="str">
        <f t="shared" si="109"/>
        <v/>
      </c>
      <c r="AT377" s="473" t="str">
        <f t="shared" si="110"/>
        <v/>
      </c>
      <c r="AU377" s="473" t="str">
        <f t="shared" si="111"/>
        <v/>
      </c>
      <c r="AZ377" s="32" t="s">
        <v>316</v>
      </c>
      <c r="BA377" s="25" t="s">
        <v>6119</v>
      </c>
      <c r="BB377" s="499"/>
      <c r="BC377" s="271"/>
      <c r="BD377" s="279">
        <v>1</v>
      </c>
      <c r="BE377" s="271"/>
      <c r="BF377" s="271"/>
      <c r="BG377" s="271"/>
      <c r="BH377" s="271"/>
      <c r="BI377" s="271"/>
      <c r="BJ377" s="271"/>
      <c r="BK377" s="271"/>
      <c r="BL377" s="271"/>
    </row>
    <row r="378" spans="18:64" ht="21" customHeight="1" x14ac:dyDescent="0.25">
      <c r="R378" s="34" t="s">
        <v>6121</v>
      </c>
      <c r="S378" s="451"/>
      <c r="T378" s="31" t="s">
        <v>20</v>
      </c>
      <c r="V378" s="475">
        <v>9</v>
      </c>
      <c r="W378" s="475" t="str">
        <f>IF($AC$378="","",$W$360)</f>
        <v>N° 19</v>
      </c>
      <c r="X378" s="476" t="str">
        <f>IF($AC$378="","",$X$360)</f>
        <v>TERRINE DE SAUMON COULIS DE TOMATE *</v>
      </c>
      <c r="Y378" s="477">
        <f>IF($X$378="","",$Y$360)</f>
        <v>36</v>
      </c>
      <c r="Z378" s="477">
        <f>IF($X$378="","",$Z$360)</f>
        <v>100</v>
      </c>
      <c r="AA378" s="477">
        <f>IF($AC$378="","",ROW($A$378)-ROW($A$360))</f>
        <v>18</v>
      </c>
      <c r="AB378" s="478"/>
      <c r="AC378" s="34" t="s">
        <v>44</v>
      </c>
      <c r="AD378" s="356"/>
      <c r="AE378" s="479">
        <v>3</v>
      </c>
      <c r="AF378" s="27" t="s">
        <v>8</v>
      </c>
      <c r="AG378" s="480">
        <f t="shared" si="100"/>
        <v>3</v>
      </c>
      <c r="AH378" s="481" t="str">
        <f t="shared" si="101"/>
        <v>G</v>
      </c>
      <c r="AI378" s="477" t="str">
        <f>IF($AC$378="","",IFERROR(INDEX($AZ$74:$AZ$119,MATCH($AH$378,$AY$74:$AY$119,0)),"AUTRE"))</f>
        <v>MASSE</v>
      </c>
      <c r="AJ378" s="482">
        <f>IF($AC$378="","",IFERROR(INDEX($BA$74:$BA$119,MATCH($AH$378,$AY$74:$AY$119,0)),1))</f>
        <v>1E-3</v>
      </c>
      <c r="AK378" s="482">
        <f t="shared" si="102"/>
        <v>3.0000000000000001E-3</v>
      </c>
      <c r="AL378" s="477" t="str">
        <f>IF($AC$378="","",IFERROR(INDEX($BB$74:$BB$119,MATCH($AH$378,$AY$74:$AY$119,0)),$AH$378))</f>
        <v>kg</v>
      </c>
      <c r="AM378" s="483" t="str">
        <f t="shared" si="103"/>
        <v>OK</v>
      </c>
      <c r="AN378" s="484">
        <f t="shared" si="104"/>
        <v>3</v>
      </c>
      <c r="AO378" s="473" t="str">
        <f t="shared" si="105"/>
        <v/>
      </c>
      <c r="AP378" s="473" t="str">
        <f t="shared" si="106"/>
        <v/>
      </c>
      <c r="AQ378" s="473" t="str">
        <f t="shared" si="107"/>
        <v/>
      </c>
      <c r="AR378" s="473" t="str">
        <f t="shared" si="108"/>
        <v/>
      </c>
      <c r="AS378" s="473" t="str">
        <f t="shared" si="109"/>
        <v/>
      </c>
      <c r="AT378" s="473" t="str">
        <f t="shared" si="110"/>
        <v/>
      </c>
      <c r="AU378" s="473" t="str">
        <f t="shared" si="111"/>
        <v/>
      </c>
      <c r="AZ378" s="32" t="s">
        <v>313</v>
      </c>
      <c r="BA378" s="34" t="s">
        <v>6120</v>
      </c>
      <c r="BB378" s="499"/>
      <c r="BC378" s="271"/>
      <c r="BD378" s="279">
        <v>1</v>
      </c>
      <c r="BE378" s="271"/>
      <c r="BF378" s="271"/>
      <c r="BG378" s="271"/>
      <c r="BH378" s="271"/>
      <c r="BI378" s="271"/>
      <c r="BJ378" s="271"/>
      <c r="BK378" s="271"/>
      <c r="BL378" s="271"/>
    </row>
    <row r="379" spans="18:64" ht="21" customHeight="1" x14ac:dyDescent="0.25">
      <c r="R379" s="34" t="s">
        <v>6122</v>
      </c>
      <c r="S379" s="451"/>
      <c r="T379" s="31" t="s">
        <v>304</v>
      </c>
      <c r="V379" s="475">
        <v>9</v>
      </c>
      <c r="W379" s="475" t="str">
        <f>IF($AC$379="","",$W$360)</f>
        <v/>
      </c>
      <c r="X379" s="476" t="str">
        <f>IF($AC$379="","",$X$360)</f>
        <v/>
      </c>
      <c r="Y379" s="477" t="str">
        <f>IF($X$379="","",$Y$360)</f>
        <v/>
      </c>
      <c r="Z379" s="477" t="str">
        <f>IF($X$379="","",$Z$360)</f>
        <v/>
      </c>
      <c r="AA379" s="477" t="str">
        <f>IF($AC$379="","",ROW($A$379)-ROW($A$360))</f>
        <v/>
      </c>
      <c r="AB379" s="478"/>
      <c r="AC379" s="34"/>
      <c r="AD379" s="356"/>
      <c r="AE379" s="479"/>
      <c r="AF379" s="475"/>
      <c r="AG379" s="480" t="str">
        <f t="shared" si="100"/>
        <v/>
      </c>
      <c r="AH379" s="481" t="str">
        <f t="shared" si="101"/>
        <v/>
      </c>
      <c r="AI379" s="477" t="str">
        <f>IF($AC$379="","",IFERROR(INDEX($AZ$74:$AZ$119,MATCH($AH$379,$AY$74:$AY$119,0)),"AUTRE"))</f>
        <v/>
      </c>
      <c r="AJ379" s="482" t="str">
        <f>IF($AC$379="","",IFERROR(INDEX($BA$74:$BA$119,MATCH($AH$379,$AY$74:$AY$119,0)),1))</f>
        <v/>
      </c>
      <c r="AK379" s="482" t="str">
        <f t="shared" si="102"/>
        <v/>
      </c>
      <c r="AL379" s="477" t="str">
        <f>IF($AC$379="","",IFERROR(INDEX($BB$74:$BB$119,MATCH($AH$379,$AY$74:$AY$119,0)),$AH$379))</f>
        <v/>
      </c>
      <c r="AM379" s="483" t="str">
        <f t="shared" si="103"/>
        <v/>
      </c>
      <c r="AN379" s="484" t="str">
        <f t="shared" si="104"/>
        <v/>
      </c>
      <c r="AO379" s="473" t="str">
        <f t="shared" si="105"/>
        <v/>
      </c>
      <c r="AP379" s="473" t="str">
        <f t="shared" si="106"/>
        <v/>
      </c>
      <c r="AQ379" s="473" t="str">
        <f t="shared" si="107"/>
        <v/>
      </c>
      <c r="AR379" s="473" t="str">
        <f t="shared" si="108"/>
        <v/>
      </c>
      <c r="AS379" s="473" t="str">
        <f t="shared" si="109"/>
        <v/>
      </c>
      <c r="AT379" s="473" t="str">
        <f t="shared" si="110"/>
        <v/>
      </c>
      <c r="AU379" s="473" t="str">
        <f t="shared" si="111"/>
        <v/>
      </c>
      <c r="AZ379" s="32" t="s">
        <v>307</v>
      </c>
      <c r="BA379" s="34" t="s">
        <v>6121</v>
      </c>
      <c r="BB379" s="499"/>
      <c r="BC379" s="271"/>
      <c r="BD379" s="279">
        <v>1</v>
      </c>
      <c r="BE379" s="271"/>
      <c r="BF379" s="271"/>
      <c r="BG379" s="271"/>
      <c r="BH379" s="271"/>
      <c r="BI379" s="271"/>
      <c r="BJ379" s="271"/>
      <c r="BK379" s="271"/>
      <c r="BL379" s="271"/>
    </row>
    <row r="380" spans="18:64" ht="21" customHeight="1" x14ac:dyDescent="0.25">
      <c r="R380" s="34" t="s">
        <v>6123</v>
      </c>
      <c r="S380" s="451"/>
      <c r="T380" s="31" t="s">
        <v>352</v>
      </c>
      <c r="V380" s="475">
        <v>9</v>
      </c>
      <c r="W380" s="475" t="str">
        <f>IF($AC$380="","",$W$360)</f>
        <v/>
      </c>
      <c r="X380" s="476" t="str">
        <f>IF($AC$380="","",$X$360)</f>
        <v/>
      </c>
      <c r="Y380" s="477" t="str">
        <f>IF($X$380="","",$Y$360)</f>
        <v/>
      </c>
      <c r="Z380" s="477" t="str">
        <f>IF($X$380="","",$Z$360)</f>
        <v/>
      </c>
      <c r="AA380" s="477" t="str">
        <f>IF($AC$380="","",ROW($A$380)-ROW($A$360))</f>
        <v/>
      </c>
      <c r="AB380" s="478"/>
      <c r="AC380" s="34"/>
      <c r="AD380" s="356"/>
      <c r="AE380" s="479"/>
      <c r="AF380" s="475"/>
      <c r="AG380" s="480" t="str">
        <f t="shared" si="100"/>
        <v/>
      </c>
      <c r="AH380" s="481" t="str">
        <f t="shared" si="101"/>
        <v/>
      </c>
      <c r="AI380" s="477" t="str">
        <f>IF($AC$380="","",IFERROR(INDEX($AZ$74:$AZ$119,MATCH($AH$380,$AY$74:$AY$119,0)),"AUTRE"))</f>
        <v/>
      </c>
      <c r="AJ380" s="482" t="str">
        <f>IF($AC$380="","",IFERROR(INDEX($BA$74:$BA$119,MATCH($AH$380,$AY$74:$AY$119,0)),1))</f>
        <v/>
      </c>
      <c r="AK380" s="482" t="str">
        <f t="shared" si="102"/>
        <v/>
      </c>
      <c r="AL380" s="477" t="str">
        <f>IF($AC$380="","",IFERROR(INDEX($BB$74:$BB$119,MATCH($AH$380,$AY$74:$AY$119,0)),$AH$380))</f>
        <v/>
      </c>
      <c r="AM380" s="483" t="str">
        <f t="shared" si="103"/>
        <v/>
      </c>
      <c r="AN380" s="484" t="str">
        <f t="shared" si="104"/>
        <v/>
      </c>
      <c r="AO380" s="473" t="str">
        <f t="shared" si="105"/>
        <v/>
      </c>
      <c r="AP380" s="473" t="str">
        <f t="shared" si="106"/>
        <v/>
      </c>
      <c r="AQ380" s="473" t="str">
        <f t="shared" si="107"/>
        <v/>
      </c>
      <c r="AR380" s="473" t="str">
        <f t="shared" si="108"/>
        <v/>
      </c>
      <c r="AS380" s="473" t="str">
        <f t="shared" si="109"/>
        <v/>
      </c>
      <c r="AT380" s="473" t="str">
        <f t="shared" si="110"/>
        <v/>
      </c>
      <c r="AU380" s="473" t="str">
        <f t="shared" si="111"/>
        <v/>
      </c>
      <c r="AZ380" s="32" t="s">
        <v>322</v>
      </c>
      <c r="BA380" s="34" t="s">
        <v>6122</v>
      </c>
      <c r="BB380" s="499"/>
      <c r="BC380" s="271"/>
      <c r="BD380" s="279">
        <v>1</v>
      </c>
      <c r="BE380" s="271"/>
      <c r="BF380" s="271"/>
      <c r="BG380" s="271"/>
      <c r="BH380" s="271"/>
      <c r="BI380" s="271"/>
      <c r="BJ380" s="271"/>
      <c r="BK380" s="271"/>
      <c r="BL380" s="271"/>
    </row>
    <row r="381" spans="18:64" ht="21" customHeight="1" x14ac:dyDescent="0.25">
      <c r="R381" s="34" t="s">
        <v>6124</v>
      </c>
      <c r="S381" s="451"/>
      <c r="T381" s="31" t="s">
        <v>25</v>
      </c>
      <c r="V381" s="475">
        <v>9</v>
      </c>
      <c r="W381" s="475" t="str">
        <f>IF($AC$381="","",$W$360)</f>
        <v/>
      </c>
      <c r="X381" s="476" t="str">
        <f>IF($AC$381="","",$X$360)</f>
        <v/>
      </c>
      <c r="Y381" s="477" t="str">
        <f>IF($X$381="","",$Y$360)</f>
        <v/>
      </c>
      <c r="Z381" s="477" t="str">
        <f>IF($X$381="","",$Z$360)</f>
        <v/>
      </c>
      <c r="AA381" s="477" t="str">
        <f>IF($AC$381="","",ROW($A$381)-ROW($A$360))</f>
        <v/>
      </c>
      <c r="AB381" s="478"/>
      <c r="AC381" s="34"/>
      <c r="AD381" s="356"/>
      <c r="AE381" s="479"/>
      <c r="AF381" s="475"/>
      <c r="AG381" s="480" t="str">
        <f t="shared" si="100"/>
        <v/>
      </c>
      <c r="AH381" s="481" t="str">
        <f t="shared" si="101"/>
        <v/>
      </c>
      <c r="AI381" s="477" t="str">
        <f>IF($AC$381="","",IFERROR(INDEX($AZ$74:$AZ$119,MATCH($AH$381,$AY$74:$AY$119,0)),"AUTRE"))</f>
        <v/>
      </c>
      <c r="AJ381" s="482" t="str">
        <f>IF($AC$381="","",IFERROR(INDEX($BA$74:$BA$119,MATCH($AH$381,$AY$74:$AY$119,0)),1))</f>
        <v/>
      </c>
      <c r="AK381" s="482" t="str">
        <f t="shared" si="102"/>
        <v/>
      </c>
      <c r="AL381" s="477" t="str">
        <f>IF($AC$381="","",IFERROR(INDEX($BB$74:$BB$119,MATCH($AH$381,$AY$74:$AY$119,0)),$AH$381))</f>
        <v/>
      </c>
      <c r="AM381" s="483" t="str">
        <f t="shared" si="103"/>
        <v/>
      </c>
      <c r="AN381" s="484" t="str">
        <f t="shared" si="104"/>
        <v/>
      </c>
      <c r="AO381" s="473" t="str">
        <f t="shared" si="105"/>
        <v/>
      </c>
      <c r="AP381" s="473" t="str">
        <f t="shared" si="106"/>
        <v/>
      </c>
      <c r="AQ381" s="473" t="str">
        <f t="shared" si="107"/>
        <v/>
      </c>
      <c r="AR381" s="473" t="str">
        <f t="shared" si="108"/>
        <v/>
      </c>
      <c r="AS381" s="473" t="str">
        <f t="shared" si="109"/>
        <v/>
      </c>
      <c r="AT381" s="473" t="str">
        <f t="shared" si="110"/>
        <v/>
      </c>
      <c r="AU381" s="473" t="str">
        <f t="shared" si="111"/>
        <v/>
      </c>
      <c r="AZ381" s="32" t="s">
        <v>305</v>
      </c>
      <c r="BA381" s="34" t="s">
        <v>6123</v>
      </c>
      <c r="BB381" s="499"/>
      <c r="BC381" s="271"/>
      <c r="BD381" s="279">
        <v>1</v>
      </c>
      <c r="BE381" s="271"/>
      <c r="BF381" s="271"/>
      <c r="BG381" s="271"/>
      <c r="BH381" s="271"/>
      <c r="BI381" s="271"/>
      <c r="BJ381" s="271"/>
      <c r="BK381" s="271"/>
      <c r="BL381" s="271"/>
    </row>
    <row r="382" spans="18:64" ht="21" customHeight="1" x14ac:dyDescent="0.25">
      <c r="R382" s="34" t="s">
        <v>6125</v>
      </c>
      <c r="S382" s="451"/>
      <c r="T382" s="31" t="s">
        <v>26</v>
      </c>
      <c r="V382" s="475">
        <v>9</v>
      </c>
      <c r="W382" s="475" t="str">
        <f>IF($AC$382="","",$W$360)</f>
        <v/>
      </c>
      <c r="X382" s="476" t="str">
        <f>IF($AC$382="","",$X$360)</f>
        <v/>
      </c>
      <c r="Y382" s="477" t="str">
        <f>IF($X$382="","",$Y$360)</f>
        <v/>
      </c>
      <c r="Z382" s="477" t="str">
        <f>IF($X$382="","",$Z$360)</f>
        <v/>
      </c>
      <c r="AA382" s="477" t="str">
        <f>IF($AC$382="","",ROW($A$382)-ROW($A$360))</f>
        <v/>
      </c>
      <c r="AB382" s="478"/>
      <c r="AC382" s="34"/>
      <c r="AD382" s="356"/>
      <c r="AE382" s="479"/>
      <c r="AF382" s="475"/>
      <c r="AG382" s="480" t="str">
        <f t="shared" si="100"/>
        <v/>
      </c>
      <c r="AH382" s="481" t="str">
        <f t="shared" si="101"/>
        <v/>
      </c>
      <c r="AI382" s="477" t="str">
        <f>IF($AC$382="","",IFERROR(INDEX($AZ$74:$AZ$119,MATCH($AH$382,$AY$74:$AY$119,0)),"AUTRE"))</f>
        <v/>
      </c>
      <c r="AJ382" s="482" t="str">
        <f>IF($AC$382="","",IFERROR(INDEX($BA$74:$BA$119,MATCH($AH$382,$AY$74:$AY$119,0)),1))</f>
        <v/>
      </c>
      <c r="AK382" s="482" t="str">
        <f t="shared" si="102"/>
        <v/>
      </c>
      <c r="AL382" s="477" t="str">
        <f>IF($AC$382="","",IFERROR(INDEX($BB$74:$BB$119,MATCH($AH$382,$AY$74:$AY$119,0)),$AH$382))</f>
        <v/>
      </c>
      <c r="AM382" s="483" t="str">
        <f t="shared" si="103"/>
        <v/>
      </c>
      <c r="AN382" s="484" t="str">
        <f t="shared" si="104"/>
        <v/>
      </c>
      <c r="AO382" s="473" t="str">
        <f t="shared" si="105"/>
        <v/>
      </c>
      <c r="AP382" s="473" t="str">
        <f t="shared" si="106"/>
        <v/>
      </c>
      <c r="AQ382" s="473" t="str">
        <f t="shared" si="107"/>
        <v/>
      </c>
      <c r="AR382" s="473" t="str">
        <f t="shared" si="108"/>
        <v/>
      </c>
      <c r="AS382" s="473" t="str">
        <f t="shared" si="109"/>
        <v/>
      </c>
      <c r="AT382" s="473" t="str">
        <f t="shared" si="110"/>
        <v/>
      </c>
      <c r="AU382" s="473" t="str">
        <f t="shared" si="111"/>
        <v/>
      </c>
      <c r="AZ382" s="32" t="s">
        <v>8129</v>
      </c>
      <c r="BA382" s="34" t="s">
        <v>6124</v>
      </c>
      <c r="BB382" s="499"/>
      <c r="BC382" s="271"/>
      <c r="BD382" s="279">
        <v>1</v>
      </c>
      <c r="BE382" s="271"/>
      <c r="BF382" s="271"/>
      <c r="BG382" s="271"/>
      <c r="BH382" s="271"/>
      <c r="BI382" s="271"/>
      <c r="BJ382" s="271"/>
      <c r="BK382" s="271"/>
      <c r="BL382" s="271"/>
    </row>
    <row r="383" spans="18:64" ht="21" customHeight="1" x14ac:dyDescent="0.25">
      <c r="R383" s="34" t="s">
        <v>6126</v>
      </c>
      <c r="S383" s="451"/>
      <c r="T383" s="31" t="s">
        <v>27</v>
      </c>
      <c r="V383" s="475">
        <v>9</v>
      </c>
      <c r="W383" s="475" t="str">
        <f>IF($AC$383="","",$W$360)</f>
        <v/>
      </c>
      <c r="X383" s="476" t="str">
        <f>IF($AC$383="","",$X$360)</f>
        <v/>
      </c>
      <c r="Y383" s="477" t="str">
        <f>IF($X$383="","",$Y$360)</f>
        <v/>
      </c>
      <c r="Z383" s="477" t="str">
        <f>IF($X$383="","",$Z$360)</f>
        <v/>
      </c>
      <c r="AA383" s="477" t="str">
        <f>IF($AC$383="","",ROW($A$383)-ROW($A$360))</f>
        <v/>
      </c>
      <c r="AB383" s="478"/>
      <c r="AC383" s="34"/>
      <c r="AD383" s="356"/>
      <c r="AE383" s="479"/>
      <c r="AF383" s="475"/>
      <c r="AG383" s="480" t="str">
        <f t="shared" si="100"/>
        <v/>
      </c>
      <c r="AH383" s="481" t="str">
        <f t="shared" si="101"/>
        <v/>
      </c>
      <c r="AI383" s="477" t="str">
        <f>IF($AC$383="","",IFERROR(INDEX($AZ$74:$AZ$119,MATCH($AH$383,$AY$74:$AY$119,0)),"AUTRE"))</f>
        <v/>
      </c>
      <c r="AJ383" s="482" t="str">
        <f>IF($AC$383="","",IFERROR(INDEX($BA$74:$BA$119,MATCH($AH$383,$AY$74:$AY$119,0)),1))</f>
        <v/>
      </c>
      <c r="AK383" s="482" t="str">
        <f t="shared" si="102"/>
        <v/>
      </c>
      <c r="AL383" s="477" t="str">
        <f>IF($AC$383="","",IFERROR(INDEX($BB$74:$BB$119,MATCH($AH$383,$AY$74:$AY$119,0)),$AH$383))</f>
        <v/>
      </c>
      <c r="AM383" s="483" t="str">
        <f t="shared" si="103"/>
        <v/>
      </c>
      <c r="AN383" s="484" t="str">
        <f t="shared" si="104"/>
        <v/>
      </c>
      <c r="AO383" s="473" t="str">
        <f t="shared" si="105"/>
        <v/>
      </c>
      <c r="AP383" s="473" t="str">
        <f t="shared" si="106"/>
        <v/>
      </c>
      <c r="AQ383" s="473" t="str">
        <f t="shared" si="107"/>
        <v/>
      </c>
      <c r="AR383" s="473" t="str">
        <f t="shared" si="108"/>
        <v/>
      </c>
      <c r="AS383" s="473" t="str">
        <f t="shared" si="109"/>
        <v/>
      </c>
      <c r="AT383" s="473" t="str">
        <f t="shared" si="110"/>
        <v/>
      </c>
      <c r="AU383" s="473" t="str">
        <f t="shared" si="111"/>
        <v/>
      </c>
      <c r="AZ383" s="32" t="s">
        <v>8131</v>
      </c>
      <c r="BA383" s="34" t="s">
        <v>6125</v>
      </c>
      <c r="BB383" s="499"/>
      <c r="BC383" s="271"/>
      <c r="BD383" s="279">
        <v>1</v>
      </c>
      <c r="BE383" s="271"/>
      <c r="BF383" s="271"/>
      <c r="BG383" s="271"/>
      <c r="BH383" s="271"/>
      <c r="BI383" s="271"/>
      <c r="BJ383" s="271"/>
      <c r="BK383" s="271"/>
      <c r="BL383" s="271"/>
    </row>
    <row r="384" spans="18:64" ht="21" customHeight="1" x14ac:dyDescent="0.25">
      <c r="R384" s="34" t="s">
        <v>6127</v>
      </c>
      <c r="S384" s="451"/>
      <c r="T384" s="31" t="s">
        <v>28</v>
      </c>
      <c r="V384" s="475">
        <v>9</v>
      </c>
      <c r="W384" s="475" t="str">
        <f>IF($AC$384="","",$W$360)</f>
        <v/>
      </c>
      <c r="X384" s="476" t="str">
        <f>IF($AC$384="","",$X$360)</f>
        <v/>
      </c>
      <c r="Y384" s="477" t="str">
        <f>IF($X$384="","",$Y$360)</f>
        <v/>
      </c>
      <c r="Z384" s="477" t="str">
        <f>IF($X$384="","",$Z$360)</f>
        <v/>
      </c>
      <c r="AA384" s="477" t="str">
        <f>IF($AC$384="","",ROW($A$384)-ROW($A$360))</f>
        <v/>
      </c>
      <c r="AB384" s="478"/>
      <c r="AC384" s="34"/>
      <c r="AD384" s="356"/>
      <c r="AE384" s="479"/>
      <c r="AF384" s="475"/>
      <c r="AG384" s="480" t="str">
        <f t="shared" si="100"/>
        <v/>
      </c>
      <c r="AH384" s="481" t="str">
        <f t="shared" si="101"/>
        <v/>
      </c>
      <c r="AI384" s="477" t="str">
        <f>IF($AC$384="","",IFERROR(INDEX($AZ$74:$AZ$119,MATCH($AH$384,$AY$74:$AY$119,0)),"AUTRE"))</f>
        <v/>
      </c>
      <c r="AJ384" s="482" t="str">
        <f>IF($AC$384="","",IFERROR(INDEX($BA$74:$BA$119,MATCH($AH$384,$AY$74:$AY$119,0)),1))</f>
        <v/>
      </c>
      <c r="AK384" s="482" t="str">
        <f t="shared" si="102"/>
        <v/>
      </c>
      <c r="AL384" s="477" t="str">
        <f>IF($AC$384="","",IFERROR(INDEX($BB$74:$BB$119,MATCH($AH$384,$AY$74:$AY$119,0)),$AH$384))</f>
        <v/>
      </c>
      <c r="AM384" s="483" t="str">
        <f t="shared" si="103"/>
        <v/>
      </c>
      <c r="AN384" s="484" t="str">
        <f t="shared" si="104"/>
        <v/>
      </c>
      <c r="AO384" s="473" t="str">
        <f t="shared" si="105"/>
        <v/>
      </c>
      <c r="AP384" s="473" t="str">
        <f t="shared" si="106"/>
        <v/>
      </c>
      <c r="AQ384" s="473" t="str">
        <f t="shared" si="107"/>
        <v/>
      </c>
      <c r="AR384" s="473" t="str">
        <f t="shared" si="108"/>
        <v/>
      </c>
      <c r="AS384" s="473" t="str">
        <f t="shared" si="109"/>
        <v/>
      </c>
      <c r="AT384" s="473" t="str">
        <f t="shared" si="110"/>
        <v/>
      </c>
      <c r="AU384" s="473" t="str">
        <f t="shared" si="111"/>
        <v/>
      </c>
      <c r="AZ384" s="32" t="s">
        <v>309</v>
      </c>
      <c r="BA384" s="34" t="s">
        <v>6126</v>
      </c>
      <c r="BB384" s="499"/>
      <c r="BC384" s="271"/>
      <c r="BD384" s="279">
        <v>1</v>
      </c>
      <c r="BE384" s="271"/>
      <c r="BF384" s="271"/>
      <c r="BG384" s="271"/>
      <c r="BH384" s="271"/>
      <c r="BI384" s="271"/>
      <c r="BJ384" s="271"/>
      <c r="BK384" s="271"/>
      <c r="BL384" s="271"/>
    </row>
    <row r="385" spans="18:64" ht="21" customHeight="1" x14ac:dyDescent="0.25">
      <c r="R385" s="25" t="s">
        <v>6128</v>
      </c>
      <c r="S385" s="451"/>
      <c r="T385" s="31" t="s">
        <v>29</v>
      </c>
      <c r="V385" s="475">
        <v>9</v>
      </c>
      <c r="W385" s="475" t="str">
        <f>IF($AC$385="","",$W$360)</f>
        <v/>
      </c>
      <c r="X385" s="476" t="str">
        <f>IF($AC$385="","",$X$360)</f>
        <v/>
      </c>
      <c r="Y385" s="477" t="str">
        <f>IF($X$385="","",$Y$360)</f>
        <v/>
      </c>
      <c r="Z385" s="477" t="str">
        <f>IF($X$385="","",$Z$360)</f>
        <v/>
      </c>
      <c r="AA385" s="477" t="str">
        <f>IF($AC$385="","",ROW($A$385)-ROW($A$360))</f>
        <v/>
      </c>
      <c r="AB385" s="478"/>
      <c r="AC385" s="34"/>
      <c r="AD385" s="356"/>
      <c r="AE385" s="479"/>
      <c r="AF385" s="475"/>
      <c r="AG385" s="480" t="str">
        <f t="shared" si="100"/>
        <v/>
      </c>
      <c r="AH385" s="481" t="str">
        <f t="shared" si="101"/>
        <v/>
      </c>
      <c r="AI385" s="477" t="str">
        <f>IF($AC$385="","",IFERROR(INDEX($AZ$74:$AZ$119,MATCH($AH$385,$AY$74:$AY$119,0)),"AUTRE"))</f>
        <v/>
      </c>
      <c r="AJ385" s="482" t="str">
        <f>IF($AC$385="","",IFERROR(INDEX($BA$74:$BA$119,MATCH($AH$385,$AY$74:$AY$119,0)),1))</f>
        <v/>
      </c>
      <c r="AK385" s="482" t="str">
        <f t="shared" si="102"/>
        <v/>
      </c>
      <c r="AL385" s="477" t="str">
        <f>IF($AC$385="","",IFERROR(INDEX($BB$74:$BB$119,MATCH($AH$385,$AY$74:$AY$119,0)),$AH$385))</f>
        <v/>
      </c>
      <c r="AM385" s="483" t="str">
        <f t="shared" si="103"/>
        <v/>
      </c>
      <c r="AN385" s="484" t="str">
        <f t="shared" si="104"/>
        <v/>
      </c>
      <c r="AO385" s="473" t="str">
        <f t="shared" si="105"/>
        <v/>
      </c>
      <c r="AP385" s="473" t="str">
        <f t="shared" si="106"/>
        <v/>
      </c>
      <c r="AQ385" s="473" t="str">
        <f t="shared" si="107"/>
        <v/>
      </c>
      <c r="AR385" s="473" t="str">
        <f t="shared" si="108"/>
        <v/>
      </c>
      <c r="AS385" s="473" t="str">
        <f t="shared" si="109"/>
        <v/>
      </c>
      <c r="AT385" s="473" t="str">
        <f t="shared" si="110"/>
        <v/>
      </c>
      <c r="AU385" s="473" t="str">
        <f t="shared" si="111"/>
        <v/>
      </c>
      <c r="AZ385" s="32" t="s">
        <v>311</v>
      </c>
      <c r="BA385" s="34" t="s">
        <v>6127</v>
      </c>
      <c r="BB385" s="499"/>
      <c r="BC385" s="271"/>
      <c r="BD385" s="279">
        <v>1</v>
      </c>
      <c r="BE385" s="271"/>
      <c r="BF385" s="271"/>
      <c r="BG385" s="271"/>
      <c r="BH385" s="271"/>
      <c r="BI385" s="271"/>
      <c r="BJ385" s="271"/>
      <c r="BK385" s="271"/>
      <c r="BL385" s="271"/>
    </row>
    <row r="386" spans="18:64" ht="21" customHeight="1" x14ac:dyDescent="0.25">
      <c r="R386" s="34" t="s">
        <v>474</v>
      </c>
      <c r="S386" s="451"/>
      <c r="T386" s="31" t="s">
        <v>30</v>
      </c>
      <c r="V386" s="475">
        <v>9</v>
      </c>
      <c r="W386" s="475" t="str">
        <f>IF($AC$386="","",$W$360)</f>
        <v/>
      </c>
      <c r="X386" s="476" t="str">
        <f>IF($AC$386="","",$X$360)</f>
        <v/>
      </c>
      <c r="Y386" s="477" t="str">
        <f>IF($X$386="","",$Y$360)</f>
        <v/>
      </c>
      <c r="Z386" s="477" t="str">
        <f>IF($X$386="","",$Z$360)</f>
        <v/>
      </c>
      <c r="AA386" s="477" t="str">
        <f>IF($AC$386="","",ROW($A$386)-ROW($A$360))</f>
        <v/>
      </c>
      <c r="AB386" s="478"/>
      <c r="AC386" s="34"/>
      <c r="AD386" s="356"/>
      <c r="AE386" s="479"/>
      <c r="AF386" s="475"/>
      <c r="AG386" s="480" t="str">
        <f t="shared" si="100"/>
        <v/>
      </c>
      <c r="AH386" s="481" t="str">
        <f t="shared" si="101"/>
        <v/>
      </c>
      <c r="AI386" s="477" t="str">
        <f>IF($AC$386="","",IFERROR(INDEX($AZ$74:$AZ$119,MATCH($AH$386,$AY$74:$AY$119,0)),"AUTRE"))</f>
        <v/>
      </c>
      <c r="AJ386" s="482" t="str">
        <f>IF($AC$386="","",IFERROR(INDEX($BA$74:$BA$119,MATCH($AH$386,$AY$74:$AY$119,0)),1))</f>
        <v/>
      </c>
      <c r="AK386" s="482" t="str">
        <f t="shared" si="102"/>
        <v/>
      </c>
      <c r="AL386" s="477" t="str">
        <f>IF($AC$386="","",IFERROR(INDEX($BB$74:$BB$119,MATCH($AH$386,$AY$74:$AY$119,0)),$AH$386))</f>
        <v/>
      </c>
      <c r="AM386" s="483" t="str">
        <f t="shared" si="103"/>
        <v/>
      </c>
      <c r="AN386" s="484" t="str">
        <f t="shared" si="104"/>
        <v/>
      </c>
      <c r="AO386" s="473" t="str">
        <f t="shared" si="105"/>
        <v/>
      </c>
      <c r="AP386" s="473" t="str">
        <f t="shared" si="106"/>
        <v/>
      </c>
      <c r="AQ386" s="473" t="str">
        <f t="shared" si="107"/>
        <v/>
      </c>
      <c r="AR386" s="473" t="str">
        <f t="shared" si="108"/>
        <v/>
      </c>
      <c r="AS386" s="473" t="str">
        <f t="shared" si="109"/>
        <v/>
      </c>
      <c r="AT386" s="473" t="str">
        <f t="shared" si="110"/>
        <v/>
      </c>
      <c r="AU386" s="473" t="str">
        <f t="shared" si="111"/>
        <v/>
      </c>
      <c r="AZ386" s="32" t="s">
        <v>8135</v>
      </c>
      <c r="BA386" s="25" t="s">
        <v>6128</v>
      </c>
      <c r="BB386" s="499"/>
      <c r="BC386" s="271"/>
      <c r="BD386" s="279">
        <v>1</v>
      </c>
      <c r="BE386" s="271"/>
      <c r="BF386" s="271"/>
      <c r="BG386" s="271"/>
      <c r="BH386" s="271"/>
      <c r="BI386" s="271"/>
      <c r="BJ386" s="271"/>
      <c r="BK386" s="271"/>
      <c r="BL386" s="271"/>
    </row>
    <row r="387" spans="18:64" ht="21" customHeight="1" x14ac:dyDescent="0.25">
      <c r="R387" s="34" t="s">
        <v>490</v>
      </c>
      <c r="S387" s="451"/>
      <c r="T387" s="31" t="s">
        <v>31</v>
      </c>
      <c r="V387" s="475">
        <v>9</v>
      </c>
      <c r="W387" s="475" t="str">
        <f>IF($AC$387="","",$W$360)</f>
        <v/>
      </c>
      <c r="X387" s="476" t="str">
        <f>IF($AC$387="","",$X$360)</f>
        <v/>
      </c>
      <c r="Y387" s="477" t="str">
        <f>IF($X$387="","",$Y$360)</f>
        <v/>
      </c>
      <c r="Z387" s="477" t="str">
        <f>IF($X$387="","",$Z$360)</f>
        <v/>
      </c>
      <c r="AA387" s="477" t="str">
        <f>IF($AC$387="","",ROW($A$387)-ROW($A$360))</f>
        <v/>
      </c>
      <c r="AB387" s="478"/>
      <c r="AC387" s="34"/>
      <c r="AD387" s="356"/>
      <c r="AE387" s="479"/>
      <c r="AF387" s="475"/>
      <c r="AG387" s="480" t="str">
        <f t="shared" si="100"/>
        <v/>
      </c>
      <c r="AH387" s="481" t="str">
        <f t="shared" si="101"/>
        <v/>
      </c>
      <c r="AI387" s="477" t="str">
        <f>IF($AC$387="","",IFERROR(INDEX($AZ$74:$AZ$119,MATCH($AH$387,$AY$74:$AY$119,0)),"AUTRE"))</f>
        <v/>
      </c>
      <c r="AJ387" s="482" t="str">
        <f>IF($AC$387="","",IFERROR(INDEX($BA$74:$BA$119,MATCH($AH$387,$AY$74:$AY$119,0)),1))</f>
        <v/>
      </c>
      <c r="AK387" s="482" t="str">
        <f t="shared" si="102"/>
        <v/>
      </c>
      <c r="AL387" s="477" t="str">
        <f>IF($AC$387="","",IFERROR(INDEX($BB$74:$BB$119,MATCH($AH$387,$AY$74:$AY$119,0)),$AH$387))</f>
        <v/>
      </c>
      <c r="AM387" s="483" t="str">
        <f t="shared" si="103"/>
        <v/>
      </c>
      <c r="AN387" s="484" t="str">
        <f t="shared" si="104"/>
        <v/>
      </c>
      <c r="AO387" s="473" t="str">
        <f t="shared" si="105"/>
        <v/>
      </c>
      <c r="AP387" s="473" t="str">
        <f t="shared" si="106"/>
        <v/>
      </c>
      <c r="AQ387" s="473" t="str">
        <f t="shared" si="107"/>
        <v/>
      </c>
      <c r="AR387" s="473" t="str">
        <f t="shared" si="108"/>
        <v/>
      </c>
      <c r="AS387" s="473" t="str">
        <f t="shared" si="109"/>
        <v/>
      </c>
      <c r="AT387" s="473" t="str">
        <f t="shared" si="110"/>
        <v/>
      </c>
      <c r="AU387" s="473" t="str">
        <f t="shared" si="111"/>
        <v/>
      </c>
      <c r="AZ387" s="32" t="s">
        <v>8137</v>
      </c>
      <c r="BA387" s="34" t="s">
        <v>474</v>
      </c>
      <c r="BB387" s="499"/>
      <c r="BC387" s="271"/>
      <c r="BD387" s="279">
        <v>1</v>
      </c>
      <c r="BE387" s="271"/>
      <c r="BF387" s="271"/>
      <c r="BG387" s="271"/>
      <c r="BH387" s="271"/>
      <c r="BI387" s="271"/>
      <c r="BJ387" s="271"/>
      <c r="BK387" s="271"/>
      <c r="BL387" s="271"/>
    </row>
    <row r="388" spans="18:64" ht="21" customHeight="1" x14ac:dyDescent="0.25">
      <c r="R388" s="34" t="s">
        <v>6129</v>
      </c>
      <c r="S388" s="451"/>
      <c r="T388" s="32" t="s">
        <v>33</v>
      </c>
      <c r="V388" s="475">
        <v>9</v>
      </c>
      <c r="W388" s="475" t="str">
        <f>IF($AC$388="","",$W$360)</f>
        <v/>
      </c>
      <c r="X388" s="476" t="str">
        <f>IF($AC$388="","",$X$360)</f>
        <v/>
      </c>
      <c r="Y388" s="477" t="str">
        <f>IF($X$388="","",$Y$360)</f>
        <v/>
      </c>
      <c r="Z388" s="477" t="str">
        <f>IF($X$388="","",$Z$360)</f>
        <v/>
      </c>
      <c r="AA388" s="477" t="str">
        <f>IF($AC$388="","",ROW($A$388)-ROW($A$360))</f>
        <v/>
      </c>
      <c r="AB388" s="478"/>
      <c r="AC388" s="34"/>
      <c r="AD388" s="356"/>
      <c r="AE388" s="479"/>
      <c r="AF388" s="475"/>
      <c r="AG388" s="480" t="str">
        <f t="shared" si="100"/>
        <v/>
      </c>
      <c r="AH388" s="481" t="str">
        <f t="shared" si="101"/>
        <v/>
      </c>
      <c r="AI388" s="477" t="str">
        <f>IF($AC$388="","",IFERROR(INDEX($AZ$74:$AZ$119,MATCH($AH$388,$AY$74:$AY$119,0)),"AUTRE"))</f>
        <v/>
      </c>
      <c r="AJ388" s="482" t="str">
        <f>IF($AC$388="","",IFERROR(INDEX($BA$74:$BA$119,MATCH($AH$388,$AY$74:$AY$119,0)),1))</f>
        <v/>
      </c>
      <c r="AK388" s="482" t="str">
        <f t="shared" si="102"/>
        <v/>
      </c>
      <c r="AL388" s="477" t="str">
        <f>IF($AC$388="","",IFERROR(INDEX($BB$74:$BB$119,MATCH($AH$388,$AY$74:$AY$119,0)),$AH$388))</f>
        <v/>
      </c>
      <c r="AM388" s="483" t="str">
        <f t="shared" si="103"/>
        <v/>
      </c>
      <c r="AN388" s="484" t="str">
        <f t="shared" si="104"/>
        <v/>
      </c>
      <c r="AO388" s="473" t="str">
        <f t="shared" si="105"/>
        <v/>
      </c>
      <c r="AP388" s="473" t="str">
        <f t="shared" si="106"/>
        <v/>
      </c>
      <c r="AQ388" s="473" t="str">
        <f t="shared" si="107"/>
        <v/>
      </c>
      <c r="AR388" s="473" t="str">
        <f t="shared" si="108"/>
        <v/>
      </c>
      <c r="AS388" s="473" t="str">
        <f t="shared" si="109"/>
        <v/>
      </c>
      <c r="AT388" s="473" t="str">
        <f t="shared" si="110"/>
        <v/>
      </c>
      <c r="AU388" s="473" t="str">
        <f t="shared" si="111"/>
        <v/>
      </c>
      <c r="AY388" s="271"/>
      <c r="AZ388" s="32" t="s">
        <v>8139</v>
      </c>
      <c r="BA388" s="34" t="s">
        <v>490</v>
      </c>
      <c r="BB388" s="499"/>
      <c r="BC388" s="271"/>
      <c r="BD388" s="279">
        <v>1</v>
      </c>
      <c r="BE388" s="271"/>
      <c r="BF388" s="271"/>
      <c r="BG388" s="271"/>
      <c r="BH388" s="271"/>
      <c r="BI388" s="271"/>
      <c r="BJ388" s="271"/>
      <c r="BK388" s="271"/>
      <c r="BL388" s="271"/>
    </row>
    <row r="389" spans="18:64" ht="21" customHeight="1" x14ac:dyDescent="0.25">
      <c r="R389" s="34" t="s">
        <v>478</v>
      </c>
      <c r="S389" s="451"/>
      <c r="T389" s="32" t="s">
        <v>8125</v>
      </c>
      <c r="V389" s="475">
        <v>9</v>
      </c>
      <c r="W389" s="475" t="str">
        <f>IF($AC$389="","",$W$360)</f>
        <v/>
      </c>
      <c r="X389" s="476" t="str">
        <f>IF($AC$389="","",$X$360)</f>
        <v/>
      </c>
      <c r="Y389" s="477" t="str">
        <f>IF($X$389="","",$Y$360)</f>
        <v/>
      </c>
      <c r="Z389" s="477" t="str">
        <f>IF($X$389="","",$Z$360)</f>
        <v/>
      </c>
      <c r="AA389" s="477" t="str">
        <f>IF($AC$389="","",ROW($A$389)-ROW($A$360))</f>
        <v/>
      </c>
      <c r="AB389" s="478"/>
      <c r="AC389" s="34"/>
      <c r="AD389" s="356"/>
      <c r="AE389" s="479"/>
      <c r="AF389" s="475"/>
      <c r="AG389" s="480" t="str">
        <f t="shared" si="100"/>
        <v/>
      </c>
      <c r="AH389" s="481" t="str">
        <f t="shared" si="101"/>
        <v/>
      </c>
      <c r="AI389" s="477" t="str">
        <f>IF($AC$389="","",IFERROR(INDEX($AZ$74:$AZ$119,MATCH($AH$389,$AY$74:$AY$119,0)),"AUTRE"))</f>
        <v/>
      </c>
      <c r="AJ389" s="482" t="str">
        <f>IF($AC$389="","",IFERROR(INDEX($BA$74:$BA$119,MATCH($AH$389,$AY$74:$AY$119,0)),1))</f>
        <v/>
      </c>
      <c r="AK389" s="482" t="str">
        <f t="shared" si="102"/>
        <v/>
      </c>
      <c r="AL389" s="477" t="str">
        <f>IF($AC$389="","",IFERROR(INDEX($BB$74:$BB$119,MATCH($AH$389,$AY$74:$AY$119,0)),$AH$389))</f>
        <v/>
      </c>
      <c r="AM389" s="483" t="str">
        <f t="shared" si="103"/>
        <v/>
      </c>
      <c r="AN389" s="484" t="str">
        <f t="shared" si="104"/>
        <v/>
      </c>
      <c r="AO389" s="473" t="str">
        <f t="shared" si="105"/>
        <v/>
      </c>
      <c r="AP389" s="473" t="str">
        <f t="shared" si="106"/>
        <v/>
      </c>
      <c r="AQ389" s="473" t="str">
        <f t="shared" si="107"/>
        <v/>
      </c>
      <c r="AR389" s="473" t="str">
        <f t="shared" si="108"/>
        <v/>
      </c>
      <c r="AS389" s="473" t="str">
        <f t="shared" si="109"/>
        <v/>
      </c>
      <c r="AT389" s="473" t="str">
        <f t="shared" si="110"/>
        <v/>
      </c>
      <c r="AU389" s="473" t="str">
        <f t="shared" si="111"/>
        <v/>
      </c>
      <c r="AY389" s="497" t="s">
        <v>8145</v>
      </c>
      <c r="AZ389" s="32" t="s">
        <v>8141</v>
      </c>
      <c r="BA389" s="34" t="s">
        <v>6129</v>
      </c>
      <c r="BB389" s="499"/>
      <c r="BC389" s="271"/>
      <c r="BD389" s="279">
        <v>1</v>
      </c>
      <c r="BE389" s="271"/>
      <c r="BF389" s="271"/>
      <c r="BG389" s="271"/>
      <c r="BH389" s="271"/>
      <c r="BI389" s="271"/>
      <c r="BJ389" s="271"/>
      <c r="BK389" s="271"/>
      <c r="BL389" s="271"/>
    </row>
    <row r="390" spans="18:64" ht="21" customHeight="1" x14ac:dyDescent="0.25">
      <c r="R390" s="34" t="s">
        <v>6130</v>
      </c>
      <c r="S390" s="451"/>
      <c r="T390" s="32" t="s">
        <v>8127</v>
      </c>
      <c r="V390" s="475">
        <v>9</v>
      </c>
      <c r="W390" s="475" t="str">
        <f>IF($AC$390="","",$W$360)</f>
        <v/>
      </c>
      <c r="X390" s="476" t="str">
        <f>IF($AC$390="","",$X$360)</f>
        <v/>
      </c>
      <c r="Y390" s="477" t="str">
        <f>IF($X$390="","",$Y$360)</f>
        <v/>
      </c>
      <c r="Z390" s="477" t="str">
        <f>IF($X$390="","",$Z$360)</f>
        <v/>
      </c>
      <c r="AA390" s="477" t="str">
        <f>IF($AC$390="","",ROW($A$390)-ROW($A$360))</f>
        <v/>
      </c>
      <c r="AB390" s="478"/>
      <c r="AC390" s="34"/>
      <c r="AD390" s="356"/>
      <c r="AE390" s="479"/>
      <c r="AF390" s="475"/>
      <c r="AG390" s="480" t="str">
        <f t="shared" si="100"/>
        <v/>
      </c>
      <c r="AH390" s="481" t="str">
        <f t="shared" si="101"/>
        <v/>
      </c>
      <c r="AI390" s="477" t="str">
        <f>IF($AC$390="","",IFERROR(INDEX($AZ$74:$AZ$119,MATCH($AH$390,$AY$74:$AY$119,0)),"AUTRE"))</f>
        <v/>
      </c>
      <c r="AJ390" s="482" t="str">
        <f>IF($AC$390="","",IFERROR(INDEX($BA$74:$BA$119,MATCH($AH$390,$AY$74:$AY$119,0)),1))</f>
        <v/>
      </c>
      <c r="AK390" s="482" t="str">
        <f t="shared" si="102"/>
        <v/>
      </c>
      <c r="AL390" s="477" t="str">
        <f>IF($AC$390="","",IFERROR(INDEX($BB$74:$BB$119,MATCH($AH$390,$AY$74:$AY$119,0)),$AH$390))</f>
        <v/>
      </c>
      <c r="AM390" s="483" t="str">
        <f t="shared" si="103"/>
        <v/>
      </c>
      <c r="AN390" s="484" t="str">
        <f t="shared" si="104"/>
        <v/>
      </c>
      <c r="AO390" s="473" t="str">
        <f t="shared" si="105"/>
        <v/>
      </c>
      <c r="AP390" s="473" t="str">
        <f t="shared" si="106"/>
        <v/>
      </c>
      <c r="AQ390" s="473" t="str">
        <f t="shared" si="107"/>
        <v/>
      </c>
      <c r="AR390" s="473" t="str">
        <f t="shared" si="108"/>
        <v/>
      </c>
      <c r="AS390" s="473" t="str">
        <f t="shared" si="109"/>
        <v/>
      </c>
      <c r="AT390" s="473" t="str">
        <f t="shared" si="110"/>
        <v/>
      </c>
      <c r="AU390" s="473" t="str">
        <f t="shared" si="111"/>
        <v/>
      </c>
      <c r="AY390" s="497" t="s">
        <v>462</v>
      </c>
      <c r="AZ390" s="32" t="s">
        <v>8143</v>
      </c>
      <c r="BA390" s="34" t="s">
        <v>478</v>
      </c>
      <c r="BB390" s="499"/>
      <c r="BC390" s="271"/>
      <c r="BD390" s="279">
        <v>1</v>
      </c>
      <c r="BE390" s="271"/>
      <c r="BF390" s="271"/>
      <c r="BG390" s="271"/>
      <c r="BH390" s="271"/>
      <c r="BI390" s="271"/>
      <c r="BJ390" s="271"/>
      <c r="BK390" s="271"/>
      <c r="BL390" s="271"/>
    </row>
    <row r="391" spans="18:64" ht="21" customHeight="1" x14ac:dyDescent="0.25">
      <c r="R391" s="34" t="s">
        <v>486</v>
      </c>
      <c r="S391" s="451"/>
      <c r="T391" s="32" t="s">
        <v>320</v>
      </c>
      <c r="V391" s="475">
        <v>9</v>
      </c>
      <c r="W391" s="475" t="str">
        <f>IF($AC$391="","",$W$360)</f>
        <v/>
      </c>
      <c r="X391" s="476" t="str">
        <f>IF($AC$391="","",$X$360)</f>
        <v/>
      </c>
      <c r="Y391" s="477" t="str">
        <f>IF($X$391="","",$Y$360)</f>
        <v/>
      </c>
      <c r="Z391" s="477" t="str">
        <f>IF($X$391="","",$Z$360)</f>
        <v/>
      </c>
      <c r="AA391" s="477" t="str">
        <f>IF($AC$391="","",ROW($A$391)-ROW($A$360))</f>
        <v/>
      </c>
      <c r="AB391" s="478"/>
      <c r="AC391" s="34"/>
      <c r="AD391" s="356"/>
      <c r="AE391" s="479"/>
      <c r="AF391" s="475"/>
      <c r="AG391" s="480" t="str">
        <f t="shared" si="100"/>
        <v/>
      </c>
      <c r="AH391" s="481" t="str">
        <f t="shared" si="101"/>
        <v/>
      </c>
      <c r="AI391" s="477" t="str">
        <f>IF($AC$391="","",IFERROR(INDEX($AZ$74:$AZ$119,MATCH($AH$391,$AY$74:$AY$119,0)),"AUTRE"))</f>
        <v/>
      </c>
      <c r="AJ391" s="482" t="str">
        <f>IF($AC$391="","",IFERROR(INDEX($BA$74:$BA$119,MATCH($AH$391,$AY$74:$AY$119,0)),1))</f>
        <v/>
      </c>
      <c r="AK391" s="482" t="str">
        <f t="shared" si="102"/>
        <v/>
      </c>
      <c r="AL391" s="477" t="str">
        <f>IF($AC$391="","",IFERROR(INDEX($BB$74:$BB$119,MATCH($AH$391,$AY$74:$AY$119,0)),$AH$391))</f>
        <v/>
      </c>
      <c r="AM391" s="483" t="str">
        <f t="shared" si="103"/>
        <v/>
      </c>
      <c r="AN391" s="484" t="str">
        <f t="shared" si="104"/>
        <v/>
      </c>
      <c r="AO391" s="473" t="str">
        <f t="shared" si="105"/>
        <v/>
      </c>
      <c r="AP391" s="473" t="str">
        <f t="shared" si="106"/>
        <v/>
      </c>
      <c r="AQ391" s="473" t="str">
        <f t="shared" si="107"/>
        <v/>
      </c>
      <c r="AR391" s="473" t="str">
        <f t="shared" si="108"/>
        <v/>
      </c>
      <c r="AS391" s="473" t="str">
        <f t="shared" si="109"/>
        <v/>
      </c>
      <c r="AT391" s="473" t="str">
        <f t="shared" si="110"/>
        <v/>
      </c>
      <c r="AU391" s="473" t="str">
        <f t="shared" si="111"/>
        <v/>
      </c>
      <c r="AY391" s="497" t="s">
        <v>463</v>
      </c>
      <c r="AZ391" s="497" t="s">
        <v>8145</v>
      </c>
      <c r="BA391" s="34" t="s">
        <v>6130</v>
      </c>
      <c r="BB391" s="499"/>
      <c r="BC391" s="271"/>
      <c r="BD391" s="279">
        <v>1</v>
      </c>
      <c r="BE391" s="271"/>
      <c r="BF391" s="271"/>
      <c r="BG391" s="271"/>
      <c r="BH391" s="271"/>
      <c r="BI391" s="271"/>
      <c r="BJ391" s="271"/>
      <c r="BK391" s="271"/>
      <c r="BL391" s="271"/>
    </row>
    <row r="392" spans="18:64" ht="21" customHeight="1" x14ac:dyDescent="0.25">
      <c r="R392" s="34" t="s">
        <v>479</v>
      </c>
      <c r="S392" s="451"/>
      <c r="T392" s="32" t="s">
        <v>318</v>
      </c>
      <c r="V392" s="475">
        <v>9</v>
      </c>
      <c r="W392" s="475" t="str">
        <f>IF($AC$392="","",$W$360)</f>
        <v/>
      </c>
      <c r="X392" s="476" t="str">
        <f>IF($AC$392="","",$X$360)</f>
        <v/>
      </c>
      <c r="Y392" s="477" t="str">
        <f>IF($X$392="","",$Y$360)</f>
        <v/>
      </c>
      <c r="Z392" s="477" t="str">
        <f>IF($X$392="","",$Z$360)</f>
        <v/>
      </c>
      <c r="AA392" s="477" t="str">
        <f>IF($AC$392="","",ROW($A$392)-ROW($A$360))</f>
        <v/>
      </c>
      <c r="AB392" s="478"/>
      <c r="AC392" s="34"/>
      <c r="AD392" s="356"/>
      <c r="AE392" s="479"/>
      <c r="AF392" s="475"/>
      <c r="AG392" s="480" t="str">
        <f t="shared" si="100"/>
        <v/>
      </c>
      <c r="AH392" s="481" t="str">
        <f t="shared" si="101"/>
        <v/>
      </c>
      <c r="AI392" s="477" t="str">
        <f>IF($AC$392="","",IFERROR(INDEX($AZ$74:$AZ$119,MATCH($AH$392,$AY$74:$AY$119,0)),"AUTRE"))</f>
        <v/>
      </c>
      <c r="AJ392" s="482" t="str">
        <f>IF($AC$392="","",IFERROR(INDEX($BA$74:$BA$119,MATCH($AH$392,$AY$74:$AY$119,0)),1))</f>
        <v/>
      </c>
      <c r="AK392" s="482" t="str">
        <f t="shared" si="102"/>
        <v/>
      </c>
      <c r="AL392" s="477" t="str">
        <f>IF($AC$392="","",IFERROR(INDEX($BB$74:$BB$119,MATCH($AH$392,$AY$74:$AY$119,0)),$AH$392))</f>
        <v/>
      </c>
      <c r="AM392" s="483" t="str">
        <f t="shared" si="103"/>
        <v/>
      </c>
      <c r="AN392" s="484" t="str">
        <f t="shared" si="104"/>
        <v/>
      </c>
      <c r="AO392" s="473" t="str">
        <f t="shared" si="105"/>
        <v/>
      </c>
      <c r="AP392" s="473" t="str">
        <f t="shared" si="106"/>
        <v/>
      </c>
      <c r="AQ392" s="473" t="str">
        <f t="shared" si="107"/>
        <v/>
      </c>
      <c r="AR392" s="473" t="str">
        <f t="shared" si="108"/>
        <v/>
      </c>
      <c r="AS392" s="473" t="str">
        <f t="shared" si="109"/>
        <v/>
      </c>
      <c r="AT392" s="473" t="str">
        <f t="shared" si="110"/>
        <v/>
      </c>
      <c r="AU392" s="473" t="str">
        <f t="shared" si="111"/>
        <v/>
      </c>
      <c r="AY392" s="497" t="s">
        <v>8147</v>
      </c>
      <c r="AZ392" s="497" t="s">
        <v>462</v>
      </c>
      <c r="BA392" s="34" t="s">
        <v>486</v>
      </c>
      <c r="BB392" s="499"/>
      <c r="BC392" s="271"/>
      <c r="BD392" s="279">
        <v>1</v>
      </c>
      <c r="BE392" s="271"/>
      <c r="BF392" s="271"/>
      <c r="BG392" s="271"/>
      <c r="BH392" s="271"/>
      <c r="BI392" s="271"/>
      <c r="BJ392" s="271"/>
      <c r="BK392" s="271"/>
      <c r="BL392" s="271"/>
    </row>
    <row r="393" spans="18:64" ht="21" customHeight="1" x14ac:dyDescent="0.25">
      <c r="R393" s="34" t="s">
        <v>6131</v>
      </c>
      <c r="S393" s="451"/>
      <c r="T393" s="32" t="s">
        <v>316</v>
      </c>
      <c r="V393" s="475">
        <v>9</v>
      </c>
      <c r="W393" s="475" t="str">
        <f>IF($AC$393="","",$W$360)</f>
        <v>N° 19</v>
      </c>
      <c r="X393" s="476" t="str">
        <f>IF($AC$393="","",$X$360)</f>
        <v>TERRINE DE SAUMON COULIS DE TOMATE *</v>
      </c>
      <c r="Y393" s="477">
        <f>IF($X$393="","",$Y$360)</f>
        <v>36</v>
      </c>
      <c r="Z393" s="477">
        <f>IF($X$393="","",$Z$360)</f>
        <v>100</v>
      </c>
      <c r="AA393" s="477">
        <f>IF($AC$393="","",ROW($A$393)-ROW($A$360))</f>
        <v>33</v>
      </c>
      <c r="AB393" s="478"/>
      <c r="AC393" s="34" t="s">
        <v>8172</v>
      </c>
      <c r="AD393" s="356"/>
      <c r="AE393" s="479">
        <v>4</v>
      </c>
      <c r="AF393" s="32" t="s">
        <v>311</v>
      </c>
      <c r="AG393" s="480">
        <f t="shared" si="100"/>
        <v>4</v>
      </c>
      <c r="AH393" s="481" t="str">
        <f t="shared" si="101"/>
        <v>UNITÉ(S)</v>
      </c>
      <c r="AI393" s="477" t="str">
        <f>IF($AC$393="","",IFERROR(INDEX($AZ$74:$AZ$119,MATCH($AH$393,$AY$74:$AY$119,0)),"AUTRE"))</f>
        <v>AUTRE</v>
      </c>
      <c r="AJ393" s="482">
        <f>IF($AC$393="","",IFERROR(INDEX($BA$74:$BA$119,MATCH($AH$393,$AY$74:$AY$119,0)),1))</f>
        <v>1</v>
      </c>
      <c r="AK393" s="482">
        <f t="shared" si="102"/>
        <v>4</v>
      </c>
      <c r="AL393" s="477" t="str">
        <f>IF($AC$393="","",IFERROR(INDEX($BB$74:$BB$119,MATCH($AH$393,$AY$74:$AY$119,0)),$AH$393))</f>
        <v>unité(s)</v>
      </c>
      <c r="AM393" s="483" t="str">
        <f t="shared" si="103"/>
        <v>OK</v>
      </c>
      <c r="AN393" s="484">
        <f t="shared" si="104"/>
        <v>4</v>
      </c>
      <c r="AO393" s="473" t="str">
        <f t="shared" si="105"/>
        <v/>
      </c>
      <c r="AP393" s="473" t="str">
        <f t="shared" si="106"/>
        <v/>
      </c>
      <c r="AQ393" s="473" t="str">
        <f t="shared" si="107"/>
        <v/>
      </c>
      <c r="AR393" s="473" t="str">
        <f t="shared" si="108"/>
        <v/>
      </c>
      <c r="AS393" s="473" t="str">
        <f t="shared" si="109"/>
        <v/>
      </c>
      <c r="AT393" s="473" t="str">
        <f t="shared" si="110"/>
        <v/>
      </c>
      <c r="AU393" s="473" t="str">
        <f t="shared" si="111"/>
        <v/>
      </c>
      <c r="AY393" s="497" t="s">
        <v>465</v>
      </c>
      <c r="AZ393" s="497" t="s">
        <v>463</v>
      </c>
      <c r="BA393" s="34" t="s">
        <v>479</v>
      </c>
      <c r="BB393" s="499"/>
      <c r="BC393" s="271"/>
      <c r="BD393" s="279">
        <v>1</v>
      </c>
      <c r="BE393" s="271"/>
      <c r="BF393" s="271"/>
      <c r="BG393" s="271"/>
      <c r="BH393" s="271"/>
      <c r="BI393" s="271"/>
      <c r="BJ393" s="271"/>
      <c r="BK393" s="271"/>
      <c r="BL393" s="271"/>
    </row>
    <row r="394" spans="18:64" ht="21" customHeight="1" x14ac:dyDescent="0.25">
      <c r="R394" s="34" t="s">
        <v>485</v>
      </c>
      <c r="S394" s="451"/>
      <c r="T394" s="32" t="s">
        <v>313</v>
      </c>
      <c r="V394" s="475">
        <v>9</v>
      </c>
      <c r="W394" s="475" t="str">
        <f>IF($AC$394="","",$W$360)</f>
        <v>N° 19</v>
      </c>
      <c r="X394" s="476" t="str">
        <f>IF($AC$394="","",$X$360)</f>
        <v>TERRINE DE SAUMON COULIS DE TOMATE *</v>
      </c>
      <c r="Y394" s="477">
        <f>IF($X$394="","",$Y$360)</f>
        <v>36</v>
      </c>
      <c r="Z394" s="477">
        <f>IF($X$394="","",$Z$360)</f>
        <v>100</v>
      </c>
      <c r="AA394" s="477">
        <f>IF($AC$394="","",ROW($A$394)-ROW($A$360))</f>
        <v>34</v>
      </c>
      <c r="AB394" s="478"/>
      <c r="AC394" s="34" t="s">
        <v>8185</v>
      </c>
      <c r="AD394" s="356"/>
      <c r="AE394" s="479">
        <v>2</v>
      </c>
      <c r="AF394" s="497" t="s">
        <v>462</v>
      </c>
      <c r="AG394" s="491">
        <f t="shared" si="100"/>
        <v>2</v>
      </c>
      <c r="AH394" s="481" t="str">
        <f t="shared" si="101"/>
        <v>BAC(S)</v>
      </c>
      <c r="AI394" s="477" t="str">
        <f>IF($AC$394="","",IFERROR(INDEX($AZ$74:$AZ$119,MATCH($AH$394,$AY$74:$AY$119,0)),"AUTRE"))</f>
        <v>AUTRE</v>
      </c>
      <c r="AJ394" s="482">
        <f>IF($AC$394="","",IFERROR(INDEX($BA$74:$BA$119,MATCH($AH$394,$AY$74:$AY$119,0)),1))</f>
        <v>1</v>
      </c>
      <c r="AK394" s="482">
        <f t="shared" si="102"/>
        <v>2</v>
      </c>
      <c r="AL394" s="477" t="str">
        <f>IF($AC$394="","",IFERROR(INDEX($BB$74:$BB$119,MATCH($AH$394,$AY$74:$AY$119,0)),$AH$394))</f>
        <v>bac(s)</v>
      </c>
      <c r="AM394" s="483" t="str">
        <f t="shared" si="103"/>
        <v>OK</v>
      </c>
      <c r="AN394" s="484">
        <f t="shared" si="104"/>
        <v>2</v>
      </c>
      <c r="AO394" s="473" t="str">
        <f t="shared" si="105"/>
        <v/>
      </c>
      <c r="AP394" s="473" t="str">
        <f t="shared" si="106"/>
        <v/>
      </c>
      <c r="AQ394" s="473" t="str">
        <f t="shared" si="107"/>
        <v/>
      </c>
      <c r="AR394" s="473" t="str">
        <f t="shared" si="108"/>
        <v/>
      </c>
      <c r="AS394" s="473" t="str">
        <f t="shared" si="109"/>
        <v/>
      </c>
      <c r="AT394" s="473" t="str">
        <f t="shared" si="110"/>
        <v/>
      </c>
      <c r="AU394" s="473" t="str">
        <f t="shared" si="111"/>
        <v/>
      </c>
      <c r="AY394" s="497" t="s">
        <v>466</v>
      </c>
      <c r="AZ394" s="497" t="s">
        <v>8147</v>
      </c>
      <c r="BA394" s="34" t="s">
        <v>6131</v>
      </c>
      <c r="BB394" s="499"/>
      <c r="BC394" s="271"/>
      <c r="BD394" s="279">
        <v>1</v>
      </c>
      <c r="BE394" s="271"/>
      <c r="BF394" s="271"/>
      <c r="BG394" s="271"/>
      <c r="BH394" s="271"/>
      <c r="BI394" s="271"/>
      <c r="BJ394" s="271"/>
      <c r="BK394" s="271"/>
      <c r="BL394" s="271"/>
    </row>
    <row r="395" spans="18:64" ht="30" customHeight="1" x14ac:dyDescent="0.25">
      <c r="R395" s="34" t="s">
        <v>6132</v>
      </c>
      <c r="S395" s="451"/>
      <c r="T395" s="32" t="s">
        <v>307</v>
      </c>
      <c r="V395" s="453" t="s">
        <v>324</v>
      </c>
      <c r="W395" s="453" t="s">
        <v>7912</v>
      </c>
      <c r="X395" s="453" t="s">
        <v>326</v>
      </c>
      <c r="Y395" s="453" t="s">
        <v>327</v>
      </c>
      <c r="Z395" s="454" t="s">
        <v>7930</v>
      </c>
      <c r="AA395" s="453" t="s">
        <v>7937</v>
      </c>
      <c r="AB395" s="501" t="s">
        <v>39</v>
      </c>
      <c r="AC395" s="501" t="s">
        <v>338</v>
      </c>
      <c r="AD395" s="455" t="s">
        <v>8114</v>
      </c>
      <c r="AE395" s="501" t="s">
        <v>8114</v>
      </c>
      <c r="AF395" s="501" t="s">
        <v>339</v>
      </c>
      <c r="AG395" s="453" t="s">
        <v>8018</v>
      </c>
      <c r="AH395" s="453" t="s">
        <v>8023</v>
      </c>
      <c r="AI395" s="453" t="s">
        <v>330</v>
      </c>
      <c r="AJ395" s="453" t="s">
        <v>8031</v>
      </c>
      <c r="AK395" s="453" t="s">
        <v>8037</v>
      </c>
      <c r="AL395" s="453" t="s">
        <v>8041</v>
      </c>
      <c r="AM395" s="453" t="s">
        <v>343</v>
      </c>
      <c r="AN395" s="457" t="s">
        <v>8115</v>
      </c>
      <c r="AO395" s="457" t="s">
        <v>8116</v>
      </c>
      <c r="AP395" s="656" t="s">
        <v>8117</v>
      </c>
      <c r="AQ395" s="656"/>
      <c r="AR395" s="656"/>
      <c r="AS395" s="656"/>
      <c r="AT395" s="656"/>
      <c r="AU395" s="657"/>
      <c r="AZ395" s="497" t="s">
        <v>465</v>
      </c>
      <c r="BA395" s="34" t="s">
        <v>485</v>
      </c>
      <c r="BB395" s="499"/>
      <c r="BC395" s="271"/>
      <c r="BD395" s="279">
        <v>1</v>
      </c>
      <c r="BE395" s="271"/>
      <c r="BF395" s="271"/>
      <c r="BG395" s="271"/>
      <c r="BH395" s="271"/>
      <c r="BI395" s="271"/>
      <c r="BJ395" s="271"/>
      <c r="BK395" s="271"/>
      <c r="BL395" s="271"/>
    </row>
    <row r="396" spans="18:64" ht="30" customHeight="1" x14ac:dyDescent="0.25">
      <c r="R396" s="25" t="s">
        <v>6133</v>
      </c>
      <c r="S396" s="451"/>
      <c r="T396" s="32" t="s">
        <v>322</v>
      </c>
      <c r="V396" s="459">
        <v>10</v>
      </c>
      <c r="W396" s="460" t="s">
        <v>164</v>
      </c>
      <c r="X396" s="461" t="s">
        <v>163</v>
      </c>
      <c r="Y396" s="502">
        <v>37</v>
      </c>
      <c r="Z396" s="463">
        <v>100</v>
      </c>
      <c r="AA396" s="464">
        <f>IF($AC$396="","",ROW($A$396)-ROW($A$396))</f>
        <v>0</v>
      </c>
      <c r="AB396" s="461"/>
      <c r="AC396" s="465" t="s">
        <v>376</v>
      </c>
      <c r="AD396" s="390"/>
      <c r="AE396" s="390">
        <v>7.5</v>
      </c>
      <c r="AF396" s="466" t="s">
        <v>7</v>
      </c>
      <c r="AG396" s="467">
        <f t="shared" ref="AG396:AG430" si="112">IF($AC396="","",IF(LEN($AN396&amp;"")=0,"",$AN396))</f>
        <v>7.5</v>
      </c>
      <c r="AH396" s="468" t="str">
        <f t="shared" ref="AH396:AH430" si="113">IF($AC396="","",IF($AF396&lt;&gt;"",UPPER(TRIM(SUBSTITUTE(SUBSTITUTE($AF396&amp;"",CHAR(160)," ")," "," "))),$AP396))</f>
        <v>KG</v>
      </c>
      <c r="AI396" s="469" t="str">
        <f>IF($AC$396="","",IFERROR(INDEX($AZ$74:$AZ$119,MATCH($AH$396,$AY$74:$AY$119,0)),"AUTRE"))</f>
        <v>MASSE</v>
      </c>
      <c r="AJ396" s="470">
        <f>IF($AC$396="","",IFERROR(INDEX($BA$74:$BA$119,MATCH($AH$396,$AY$74:$AY$119,0)),1))</f>
        <v>1</v>
      </c>
      <c r="AK396" s="470">
        <f t="shared" ref="AK396:AK430" si="114">IF(OR(AG396="",AJ396=""),"",AG396*AJ396)</f>
        <v>7.5</v>
      </c>
      <c r="AL396" s="469" t="str">
        <f>IF($AC$396="","",IFERROR(INDEX($BB$74:$BB$119,MATCH($AH$396,$AY$74:$AY$119,0)),$AH$396))</f>
        <v>kg</v>
      </c>
      <c r="AM396" s="471" t="str">
        <f t="shared" ref="AM396:AM430" si="115">IF($AC396="","",IF($AH396="QT. SUFFISANTE","OK",IF($AG396="","TEXTE",IF(NOT(ISNUMBER($AG396)),"QUANTITÉ À CONTRÔLER",IF(COUNTIF($AY$74:$AY$119,$AH396)=0,"UNITÉ À CONTRÔLER","OK")))))</f>
        <v>OK</v>
      </c>
      <c r="AN396" s="474">
        <f t="shared" ref="AN396:AN430" si="116">IF($AE396&lt;&gt;"",$AE396,IF($AD396="","",IF(ISNUMBER($AD396),$AD396,IF($AO396="QT",0,IF($AO396="","",IFERROR(IF(ISNUMBER(SEARCH("/",$AO396)),VALUE(TRIM(LEFT($AO396,SEARCH("/",$AO396)-1)))/VALUE(TRIM(MID($AO396,SEARCH("/",$AO396)+1,99))),VALUE(SUBSTITUTE($AO396,".",","))),""))))))</f>
        <v>7.5</v>
      </c>
      <c r="AO396" s="473" t="str">
        <f t="shared" ref="AO396:AO430" si="117">IF($AD396="","",IF(ISNUMBER($AD396),$AD396,IF(OR(LEFT($AQ396,3)="QT.",LEFT($AQ396,4)="QUAN"),"QT",IF($AR396=999,$AQ396,TRIM(LEFT($AQ396,$AR396-1))))))</f>
        <v/>
      </c>
      <c r="AP396" s="473" t="str">
        <f t="shared" ref="AP396:AP430" si="118">IF($AD396="","",IF(ISNUMBER($AD396),"",IF(OR(LEFT($AQ396,3)="QT.",LEFT($AQ396,4)="QUAN"),"QT. SUFFISANTE",IF($AO396="","",TRIM(MID($AQ396,LEN($AO396&amp;"")+1,999))))))</f>
        <v/>
      </c>
      <c r="AQ396" s="473" t="str">
        <f t="shared" ref="AQ396:AQ430" si="119">IF($AD396="","",UPPER(TRIM(SUBSTITUTE(SUBSTITUTE($AD396&amp;"",CHAR(160)," ")," "," "))))</f>
        <v/>
      </c>
      <c r="AR396" s="473" t="str">
        <f t="shared" ref="AR396:AR430" si="120">IF($AQ396="","",MIN($AS396,$AT396,$AU396))</f>
        <v/>
      </c>
      <c r="AS396" s="473" t="str">
        <f t="shared" ref="AS396:AS430" si="121">IF($AQ396="","",MIN(IFERROR(SEARCH("A",$AQ396),999),IFERROR(SEARCH("B",$AQ396),999),IFERROR(SEARCH("C",$AQ396),999),IFERROR(SEARCH("D",$AQ396),999),IFERROR(SEARCH("E",$AQ396),999),IFERROR(SEARCH("F",$AQ396),999),IFERROR(SEARCH("G",$AQ396),999),IFERROR(SEARCH("H",$AQ396),999),IFERROR(SEARCH("I",$AQ396),999)))</f>
        <v/>
      </c>
      <c r="AT396" s="473" t="str">
        <f t="shared" ref="AT396:AT430" si="122">IF($AQ396="","",MIN(IFERROR(SEARCH("J",$AQ396),999),IFERROR(SEARCH("K",$AQ396),999),IFERROR(SEARCH("L",$AQ396),999),IFERROR(SEARCH("M",$AQ396),999),IFERROR(SEARCH("N",$AQ396),999),IFERROR(SEARCH("O",$AQ396),999),IFERROR(SEARCH("P",$AQ396),999),IFERROR(SEARCH("Q",$AQ396),999),IFERROR(SEARCH("R",$AQ396),999)))</f>
        <v/>
      </c>
      <c r="AU396" s="473" t="str">
        <f t="shared" ref="AU396:AU430" si="123">IF($AQ396="","",MIN(IFERROR(SEARCH("S",$AQ396),999),IFERROR(SEARCH("T",$AQ396),999),IFERROR(SEARCH("U",$AQ396),999),IFERROR(SEARCH("V",$AQ396),999),IFERROR(SEARCH("W",$AQ396),999),IFERROR(SEARCH("X",$AQ396),999),IFERROR(SEARCH("Y",$AQ396),999),IFERROR(SEARCH("Z",$AQ396),999)))</f>
        <v/>
      </c>
      <c r="AZ396" s="497" t="s">
        <v>466</v>
      </c>
      <c r="BA396" s="34" t="s">
        <v>6132</v>
      </c>
      <c r="BB396" s="499"/>
      <c r="BC396" s="271"/>
      <c r="BD396" s="279">
        <v>1</v>
      </c>
      <c r="BE396" s="271"/>
      <c r="BF396" s="271"/>
      <c r="BG396" s="271"/>
      <c r="BH396" s="271"/>
      <c r="BI396" s="271"/>
      <c r="BJ396" s="271"/>
      <c r="BK396" s="271"/>
      <c r="BL396" s="271"/>
    </row>
    <row r="397" spans="18:64" ht="21" customHeight="1" x14ac:dyDescent="0.25">
      <c r="R397" s="34" t="s">
        <v>476</v>
      </c>
      <c r="S397" s="451"/>
      <c r="T397" s="32" t="s">
        <v>305</v>
      </c>
      <c r="V397" s="475">
        <f>$V$396</f>
        <v>10</v>
      </c>
      <c r="W397" s="475" t="str">
        <f>IF($AC$397="","",$W$396)</f>
        <v>N° 20</v>
      </c>
      <c r="X397" s="476" t="str">
        <f>IF($AC$397="","",$X$396)</f>
        <v>ARLEQUIN DE LÉGUMES EN TERRINE</v>
      </c>
      <c r="Y397" s="477">
        <f>IF($X$397="","",$Y$396)</f>
        <v>37</v>
      </c>
      <c r="Z397" s="477">
        <f>IF($X$397="","",$Z$396)</f>
        <v>100</v>
      </c>
      <c r="AA397" s="477">
        <f>IF($AC$397="","",ROW($A$397)-ROW($A$396))</f>
        <v>1</v>
      </c>
      <c r="AB397" s="478"/>
      <c r="AC397" s="34" t="s">
        <v>165</v>
      </c>
      <c r="AD397" s="356"/>
      <c r="AE397" s="479">
        <v>2.5</v>
      </c>
      <c r="AF397" s="466" t="s">
        <v>7</v>
      </c>
      <c r="AG397" s="480">
        <f t="shared" si="112"/>
        <v>2.5</v>
      </c>
      <c r="AH397" s="481" t="str">
        <f t="shared" si="113"/>
        <v>KG</v>
      </c>
      <c r="AI397" s="477" t="str">
        <f>IF($AC$397="","",IFERROR(INDEX($AZ$74:$AZ$119,MATCH($AH$397,$AY$74:$AY$119,0)),"AUTRE"))</f>
        <v>MASSE</v>
      </c>
      <c r="AJ397" s="482">
        <f>IF($AC$397="","",IFERROR(INDEX($BA$74:$BA$119,MATCH($AH$397,$AY$74:$AY$119,0)),1))</f>
        <v>1</v>
      </c>
      <c r="AK397" s="482">
        <f t="shared" si="114"/>
        <v>2.5</v>
      </c>
      <c r="AL397" s="477" t="str">
        <f>IF($AC$397="","",IFERROR(INDEX($BB$74:$BB$119,MATCH($AH$397,$AY$74:$AY$119,0)),$AH$397))</f>
        <v>kg</v>
      </c>
      <c r="AM397" s="483" t="str">
        <f t="shared" si="115"/>
        <v>OK</v>
      </c>
      <c r="AN397" s="484">
        <f t="shared" si="116"/>
        <v>2.5</v>
      </c>
      <c r="AO397" s="473" t="str">
        <f t="shared" si="117"/>
        <v/>
      </c>
      <c r="AP397" s="473" t="str">
        <f t="shared" si="118"/>
        <v/>
      </c>
      <c r="AQ397" s="473" t="str">
        <f t="shared" si="119"/>
        <v/>
      </c>
      <c r="AR397" s="473" t="str">
        <f t="shared" si="120"/>
        <v/>
      </c>
      <c r="AS397" s="473" t="str">
        <f t="shared" si="121"/>
        <v/>
      </c>
      <c r="AT397" s="473" t="str">
        <f t="shared" si="122"/>
        <v/>
      </c>
      <c r="AU397" s="473" t="str">
        <f t="shared" si="123"/>
        <v/>
      </c>
      <c r="AZ397" s="14" t="s">
        <v>7</v>
      </c>
      <c r="BA397" s="25" t="s">
        <v>6133</v>
      </c>
      <c r="BB397" s="499"/>
      <c r="BC397" s="271"/>
      <c r="BD397" s="279">
        <v>1</v>
      </c>
      <c r="BE397" s="271"/>
      <c r="BF397" s="271"/>
      <c r="BG397" s="271"/>
      <c r="BH397" s="271"/>
      <c r="BI397" s="271"/>
      <c r="BJ397" s="271"/>
      <c r="BK397" s="271"/>
      <c r="BL397" s="271"/>
    </row>
    <row r="398" spans="18:64" ht="21" customHeight="1" x14ac:dyDescent="0.25">
      <c r="R398" s="34" t="s">
        <v>468</v>
      </c>
      <c r="S398" s="451"/>
      <c r="T398" s="32" t="s">
        <v>309</v>
      </c>
      <c r="V398" s="475">
        <v>10</v>
      </c>
      <c r="W398" s="475" t="str">
        <f>IF($AC$398="","",$W$396)</f>
        <v>N° 20</v>
      </c>
      <c r="X398" s="476" t="str">
        <f>IF($AC$398="","",$X$396)</f>
        <v>ARLEQUIN DE LÉGUMES EN TERRINE</v>
      </c>
      <c r="Y398" s="477">
        <f>IF($X$398="","",$Y$396)</f>
        <v>37</v>
      </c>
      <c r="Z398" s="477">
        <f>IF($X$398="","",$Z$396)</f>
        <v>100</v>
      </c>
      <c r="AA398" s="477">
        <f>IF($AC$398="","",ROW($A$398)-ROW($A$396))</f>
        <v>2</v>
      </c>
      <c r="AB398" s="478"/>
      <c r="AC398" s="34" t="s">
        <v>377</v>
      </c>
      <c r="AD398" s="356"/>
      <c r="AE398" s="479">
        <v>1.25</v>
      </c>
      <c r="AF398" s="29" t="s">
        <v>9</v>
      </c>
      <c r="AG398" s="480">
        <f t="shared" si="112"/>
        <v>1.25</v>
      </c>
      <c r="AH398" s="481" t="str">
        <f t="shared" si="113"/>
        <v>L</v>
      </c>
      <c r="AI398" s="477" t="str">
        <f>IF($AC$398="","",IFERROR(INDEX($AZ$74:$AZ$119,MATCH($AH$398,$AY$74:$AY$119,0)),"AUTRE"))</f>
        <v>VOLUME</v>
      </c>
      <c r="AJ398" s="482">
        <f>IF($AC$398="","",IFERROR(INDEX($BA$74:$BA$119,MATCH($AH$398,$AY$74:$AY$119,0)),1))</f>
        <v>1</v>
      </c>
      <c r="AK398" s="482">
        <f t="shared" si="114"/>
        <v>1.25</v>
      </c>
      <c r="AL398" s="477" t="str">
        <f>IF($AC$398="","",IFERROR(INDEX($BB$74:$BB$119,MATCH($AH$398,$AY$74:$AY$119,0)),$AH$398))</f>
        <v>L</v>
      </c>
      <c r="AM398" s="483" t="str">
        <f t="shared" si="115"/>
        <v>OK</v>
      </c>
      <c r="AN398" s="484">
        <f t="shared" si="116"/>
        <v>1.25</v>
      </c>
      <c r="AO398" s="473" t="str">
        <f t="shared" si="117"/>
        <v/>
      </c>
      <c r="AP398" s="473" t="str">
        <f t="shared" si="118"/>
        <v/>
      </c>
      <c r="AQ398" s="473" t="str">
        <f t="shared" si="119"/>
        <v/>
      </c>
      <c r="AR398" s="473" t="str">
        <f t="shared" si="120"/>
        <v/>
      </c>
      <c r="AS398" s="473" t="str">
        <f t="shared" si="121"/>
        <v/>
      </c>
      <c r="AT398" s="473" t="str">
        <f t="shared" si="122"/>
        <v/>
      </c>
      <c r="AU398" s="473" t="str">
        <f t="shared" si="123"/>
        <v/>
      </c>
      <c r="AZ398" s="27" t="s">
        <v>8</v>
      </c>
      <c r="BA398" s="34" t="s">
        <v>476</v>
      </c>
      <c r="BB398" s="499"/>
      <c r="BC398" s="271"/>
      <c r="BD398" s="279">
        <v>1</v>
      </c>
      <c r="BE398" s="271"/>
      <c r="BF398" s="271"/>
      <c r="BG398" s="271"/>
      <c r="BH398" s="271"/>
      <c r="BI398" s="271"/>
      <c r="BJ398" s="271"/>
      <c r="BK398" s="271"/>
      <c r="BL398" s="271"/>
    </row>
    <row r="399" spans="18:64" ht="21" customHeight="1" x14ac:dyDescent="0.25">
      <c r="R399" s="34" t="s">
        <v>473</v>
      </c>
      <c r="S399" s="451"/>
      <c r="T399" s="32" t="s">
        <v>311</v>
      </c>
      <c r="V399" s="475">
        <v>10</v>
      </c>
      <c r="W399" s="475" t="str">
        <f>IF($AC$399="","",$W$396)</f>
        <v>N° 20</v>
      </c>
      <c r="X399" s="476" t="str">
        <f>IF($AC$399="","",$X$396)</f>
        <v>ARLEQUIN DE LÉGUMES EN TERRINE</v>
      </c>
      <c r="Y399" s="477">
        <f>IF($X$399="","",$Y$396)</f>
        <v>37</v>
      </c>
      <c r="Z399" s="477">
        <f>IF($X$399="","",$Z$396)</f>
        <v>100</v>
      </c>
      <c r="AA399" s="477">
        <f>IF($AC$399="","",ROW($A$399)-ROW($A$396))</f>
        <v>3</v>
      </c>
      <c r="AB399" s="478"/>
      <c r="AC399" s="34" t="s">
        <v>166</v>
      </c>
      <c r="AD399" s="356"/>
      <c r="AE399" s="479">
        <v>80</v>
      </c>
      <c r="AF399" s="32" t="s">
        <v>313</v>
      </c>
      <c r="AG399" s="480">
        <f t="shared" si="112"/>
        <v>80</v>
      </c>
      <c r="AH399" s="481" t="str">
        <f t="shared" si="113"/>
        <v>FEUILLE(S)</v>
      </c>
      <c r="AI399" s="477" t="str">
        <f>IF($AC$399="","",IFERROR(INDEX($AZ$74:$AZ$119,MATCH($AH$399,$AY$74:$AY$119,0)),"AUTRE"))</f>
        <v>AUTRE</v>
      </c>
      <c r="AJ399" s="482">
        <f>IF($AC$399="","",IFERROR(INDEX($BA$74:$BA$119,MATCH($AH$399,$AY$74:$AY$119,0)),1))</f>
        <v>1</v>
      </c>
      <c r="AK399" s="482">
        <f t="shared" si="114"/>
        <v>80</v>
      </c>
      <c r="AL399" s="477" t="str">
        <f>IF($AC$399="","",IFERROR(INDEX($BB$74:$BB$119,MATCH($AH$399,$AY$74:$AY$119,0)),$AH$399))</f>
        <v>feuille(s)</v>
      </c>
      <c r="AM399" s="483" t="str">
        <f t="shared" si="115"/>
        <v>OK</v>
      </c>
      <c r="AN399" s="484">
        <f t="shared" si="116"/>
        <v>80</v>
      </c>
      <c r="AO399" s="473" t="str">
        <f t="shared" si="117"/>
        <v/>
      </c>
      <c r="AP399" s="473" t="str">
        <f t="shared" si="118"/>
        <v/>
      </c>
      <c r="AQ399" s="473" t="str">
        <f t="shared" si="119"/>
        <v/>
      </c>
      <c r="AR399" s="473" t="str">
        <f t="shared" si="120"/>
        <v/>
      </c>
      <c r="AS399" s="473" t="str">
        <f t="shared" si="121"/>
        <v/>
      </c>
      <c r="AT399" s="473" t="str">
        <f t="shared" si="122"/>
        <v/>
      </c>
      <c r="AU399" s="473" t="str">
        <f t="shared" si="123"/>
        <v/>
      </c>
      <c r="AZ399" s="28" t="s">
        <v>13</v>
      </c>
      <c r="BA399" s="34" t="s">
        <v>468</v>
      </c>
      <c r="BB399" s="499"/>
      <c r="BC399" s="271"/>
      <c r="BD399" s="279">
        <v>1</v>
      </c>
      <c r="BE399" s="271"/>
      <c r="BF399" s="271"/>
      <c r="BG399" s="271"/>
      <c r="BH399" s="271"/>
      <c r="BI399" s="271"/>
      <c r="BJ399" s="271"/>
      <c r="BK399" s="271"/>
      <c r="BL399" s="271"/>
    </row>
    <row r="400" spans="18:64" ht="21" customHeight="1" x14ac:dyDescent="0.25">
      <c r="R400" s="34" t="s">
        <v>497</v>
      </c>
      <c r="S400" s="451"/>
      <c r="T400" s="32" t="s">
        <v>8135</v>
      </c>
      <c r="V400" s="475">
        <v>10</v>
      </c>
      <c r="W400" s="475" t="str">
        <f>IF($AC$400="","",$W$396)</f>
        <v>N° 20</v>
      </c>
      <c r="X400" s="476" t="str">
        <f>IF($AC$400="","",$X$396)</f>
        <v>ARLEQUIN DE LÉGUMES EN TERRINE</v>
      </c>
      <c r="Y400" s="477">
        <f>IF($X$400="","",$Y$396)</f>
        <v>37</v>
      </c>
      <c r="Z400" s="477">
        <f>IF($X$400="","",$Z$396)</f>
        <v>100</v>
      </c>
      <c r="AA400" s="477">
        <f>IF($AC$400="","",ROW($A$400)-ROW($A$396))</f>
        <v>4</v>
      </c>
      <c r="AB400" s="478"/>
      <c r="AC400" s="34" t="s">
        <v>378</v>
      </c>
      <c r="AD400" s="356"/>
      <c r="AE400" s="479">
        <v>0.5</v>
      </c>
      <c r="AF400" s="29" t="s">
        <v>9</v>
      </c>
      <c r="AG400" s="480">
        <f t="shared" si="112"/>
        <v>0.5</v>
      </c>
      <c r="AH400" s="481" t="str">
        <f t="shared" si="113"/>
        <v>L</v>
      </c>
      <c r="AI400" s="477" t="str">
        <f>IF($AC$400="","",IFERROR(INDEX($AZ$74:$AZ$119,MATCH($AH$400,$AY$74:$AY$119,0)),"AUTRE"))</f>
        <v>VOLUME</v>
      </c>
      <c r="AJ400" s="482">
        <f>IF($AC$400="","",IFERROR(INDEX($BA$74:$BA$119,MATCH($AH$400,$AY$74:$AY$119,0)),1))</f>
        <v>1</v>
      </c>
      <c r="AK400" s="482">
        <f t="shared" si="114"/>
        <v>0.5</v>
      </c>
      <c r="AL400" s="477" t="str">
        <f>IF($AC$400="","",IFERROR(INDEX($BB$74:$BB$119,MATCH($AH$400,$AY$74:$AY$119,0)),$AH$400))</f>
        <v>L</v>
      </c>
      <c r="AM400" s="483" t="str">
        <f t="shared" si="115"/>
        <v>OK</v>
      </c>
      <c r="AN400" s="484">
        <f t="shared" si="116"/>
        <v>0.5</v>
      </c>
      <c r="AO400" s="473" t="str">
        <f t="shared" si="117"/>
        <v/>
      </c>
      <c r="AP400" s="473" t="str">
        <f t="shared" si="118"/>
        <v/>
      </c>
      <c r="AQ400" s="473" t="str">
        <f t="shared" si="119"/>
        <v/>
      </c>
      <c r="AR400" s="473" t="str">
        <f t="shared" si="120"/>
        <v/>
      </c>
      <c r="AS400" s="473" t="str">
        <f t="shared" si="121"/>
        <v/>
      </c>
      <c r="AT400" s="473" t="str">
        <f t="shared" si="122"/>
        <v/>
      </c>
      <c r="AU400" s="473" t="str">
        <f t="shared" si="123"/>
        <v/>
      </c>
      <c r="AZ400" s="28" t="s">
        <v>14</v>
      </c>
      <c r="BA400" s="34" t="s">
        <v>473</v>
      </c>
      <c r="BB400" s="499"/>
      <c r="BC400" s="271"/>
      <c r="BD400" s="279">
        <v>1</v>
      </c>
      <c r="BE400" s="271"/>
      <c r="BF400" s="271"/>
      <c r="BG400" s="271"/>
      <c r="BH400" s="271"/>
      <c r="BI400" s="271"/>
      <c r="BJ400" s="271"/>
      <c r="BK400" s="271"/>
      <c r="BL400" s="271"/>
    </row>
    <row r="401" spans="18:64" ht="21" customHeight="1" x14ac:dyDescent="0.25">
      <c r="R401" s="34" t="s">
        <v>470</v>
      </c>
      <c r="S401" s="451"/>
      <c r="T401" s="497" t="s">
        <v>462</v>
      </c>
      <c r="V401" s="475">
        <v>10</v>
      </c>
      <c r="W401" s="475" t="str">
        <f>IF($AC$401="","",$W$396)</f>
        <v>N° 20</v>
      </c>
      <c r="X401" s="476" t="str">
        <f>IF($AC$401="","",$X$396)</f>
        <v>ARLEQUIN DE LÉGUMES EN TERRINE</v>
      </c>
      <c r="Y401" s="477">
        <f>IF($X$401="","",$Y$396)</f>
        <v>37</v>
      </c>
      <c r="Z401" s="477">
        <f>IF($X$401="","",$Z$396)</f>
        <v>100</v>
      </c>
      <c r="AA401" s="477">
        <f>IF($AC$401="","",ROW($A$401)-ROW($A$396))</f>
        <v>5</v>
      </c>
      <c r="AB401" s="478"/>
      <c r="AC401" s="34" t="s">
        <v>43</v>
      </c>
      <c r="AD401" s="356"/>
      <c r="AE401" s="479" t="s">
        <v>33</v>
      </c>
      <c r="AF401" s="475"/>
      <c r="AG401" s="480" t="str">
        <f t="shared" si="112"/>
        <v>QT. SUFFISANTE</v>
      </c>
      <c r="AH401" s="481" t="str">
        <f t="shared" si="113"/>
        <v/>
      </c>
      <c r="AI401" s="477" t="str">
        <f>IF($AC$401="","",IFERROR(INDEX($AZ$74:$AZ$119,MATCH($AH$401,$AY$74:$AY$119,0)),"AUTRE"))</f>
        <v>AUTRE</v>
      </c>
      <c r="AJ401" s="482">
        <f>IF($AC$401="","",IFERROR(INDEX($BA$74:$BA$119,MATCH($AH$401,$AY$74:$AY$119,0)),1))</f>
        <v>1</v>
      </c>
      <c r="AK401" s="482" t="e">
        <f t="shared" si="114"/>
        <v>#VALUE!</v>
      </c>
      <c r="AL401" s="477" t="str">
        <f>IF($AC$401="","",IFERROR(INDEX($BB$74:$BB$119,MATCH($AH$401,$AY$74:$AY$119,0)),$AH$401))</f>
        <v/>
      </c>
      <c r="AM401" s="483" t="str">
        <f t="shared" si="115"/>
        <v>QUANTITÉ À CONTRÔLER</v>
      </c>
      <c r="AN401" s="484" t="str">
        <f t="shared" si="116"/>
        <v>QT. SUFFISANTE</v>
      </c>
      <c r="AO401" s="473" t="str">
        <f t="shared" si="117"/>
        <v/>
      </c>
      <c r="AP401" s="473" t="str">
        <f t="shared" si="118"/>
        <v/>
      </c>
      <c r="AQ401" s="473" t="str">
        <f t="shared" si="119"/>
        <v/>
      </c>
      <c r="AR401" s="473" t="str">
        <f t="shared" si="120"/>
        <v/>
      </c>
      <c r="AS401" s="473" t="str">
        <f t="shared" si="121"/>
        <v/>
      </c>
      <c r="AT401" s="473" t="str">
        <f t="shared" si="122"/>
        <v/>
      </c>
      <c r="AU401" s="473" t="str">
        <f t="shared" si="123"/>
        <v/>
      </c>
      <c r="AZ401" s="28" t="s">
        <v>15</v>
      </c>
      <c r="BA401" s="34" t="s">
        <v>497</v>
      </c>
      <c r="BB401" s="499"/>
      <c r="BC401" s="271"/>
      <c r="BD401" s="279">
        <v>1</v>
      </c>
      <c r="BE401" s="271"/>
      <c r="BF401" s="271"/>
      <c r="BG401" s="271"/>
      <c r="BH401" s="271"/>
      <c r="BI401" s="271"/>
      <c r="BJ401" s="271"/>
      <c r="BK401" s="271"/>
      <c r="BL401" s="271"/>
    </row>
    <row r="402" spans="18:64" ht="21" customHeight="1" x14ac:dyDescent="0.25">
      <c r="R402" s="34" t="s">
        <v>477</v>
      </c>
      <c r="S402" s="451"/>
      <c r="T402" s="497" t="s">
        <v>463</v>
      </c>
      <c r="V402" s="475">
        <v>10</v>
      </c>
      <c r="W402" s="475" t="str">
        <f>IF($AC$402="","",$W$396)</f>
        <v>N° 20</v>
      </c>
      <c r="X402" s="476" t="str">
        <f>IF($AC$402="","",$X$396)</f>
        <v>ARLEQUIN DE LÉGUMES EN TERRINE</v>
      </c>
      <c r="Y402" s="477">
        <f>IF($X$402="","",$Y$396)</f>
        <v>37</v>
      </c>
      <c r="Z402" s="477">
        <f>IF($X$402="","",$Z$396)</f>
        <v>100</v>
      </c>
      <c r="AA402" s="477">
        <f>IF($AC$402="","",ROW($A$402)-ROW($A$396))</f>
        <v>6</v>
      </c>
      <c r="AB402" s="478"/>
      <c r="AC402" s="34" t="s">
        <v>44</v>
      </c>
      <c r="AD402" s="356"/>
      <c r="AE402" s="479" t="s">
        <v>33</v>
      </c>
      <c r="AF402" s="475"/>
      <c r="AG402" s="480" t="str">
        <f t="shared" si="112"/>
        <v>QT. SUFFISANTE</v>
      </c>
      <c r="AH402" s="481" t="str">
        <f t="shared" si="113"/>
        <v/>
      </c>
      <c r="AI402" s="477" t="str">
        <f>IF($AC$402="","",IFERROR(INDEX($AZ$74:$AZ$119,MATCH($AH$402,$AY$74:$AY$119,0)),"AUTRE"))</f>
        <v>AUTRE</v>
      </c>
      <c r="AJ402" s="482">
        <f>IF($AC$402="","",IFERROR(INDEX($BA$74:$BA$119,MATCH($AH$402,$AY$74:$AY$119,0)),1))</f>
        <v>1</v>
      </c>
      <c r="AK402" s="482" t="e">
        <f t="shared" si="114"/>
        <v>#VALUE!</v>
      </c>
      <c r="AL402" s="477" t="str">
        <f>IF($AC$402="","",IFERROR(INDEX($BB$74:$BB$119,MATCH($AH$402,$AY$74:$AY$119,0)),$AH$402))</f>
        <v/>
      </c>
      <c r="AM402" s="483" t="str">
        <f t="shared" si="115"/>
        <v>QUANTITÉ À CONTRÔLER</v>
      </c>
      <c r="AN402" s="484" t="str">
        <f t="shared" si="116"/>
        <v>QT. SUFFISANTE</v>
      </c>
      <c r="AO402" s="473" t="str">
        <f t="shared" si="117"/>
        <v/>
      </c>
      <c r="AP402" s="473" t="str">
        <f t="shared" si="118"/>
        <v/>
      </c>
      <c r="AQ402" s="473" t="str">
        <f t="shared" si="119"/>
        <v/>
      </c>
      <c r="AR402" s="473" t="str">
        <f t="shared" si="120"/>
        <v/>
      </c>
      <c r="AS402" s="473" t="str">
        <f t="shared" si="121"/>
        <v/>
      </c>
      <c r="AT402" s="473" t="str">
        <f t="shared" si="122"/>
        <v/>
      </c>
      <c r="AU402" s="473" t="str">
        <f t="shared" si="123"/>
        <v/>
      </c>
      <c r="AZ402" s="29" t="s">
        <v>9</v>
      </c>
      <c r="BA402" s="34" t="s">
        <v>470</v>
      </c>
      <c r="BB402" s="499"/>
      <c r="BC402" s="271"/>
      <c r="BD402" s="279">
        <v>1</v>
      </c>
      <c r="BE402" s="271"/>
      <c r="BF402" s="271"/>
      <c r="BG402" s="271"/>
      <c r="BH402" s="271"/>
      <c r="BI402" s="271"/>
      <c r="BJ402" s="271"/>
      <c r="BK402" s="271"/>
      <c r="BL402" s="271"/>
    </row>
    <row r="403" spans="18:64" ht="21" customHeight="1" x14ac:dyDescent="0.25">
      <c r="S403" s="451"/>
      <c r="T403" s="497" t="s">
        <v>8147</v>
      </c>
      <c r="V403" s="475">
        <v>10</v>
      </c>
      <c r="W403" s="475" t="str">
        <f>IF($AC$403="","",$W$396)</f>
        <v>N° 20</v>
      </c>
      <c r="X403" s="476" t="str">
        <f>IF($AC$403="","",$X$396)</f>
        <v>ARLEQUIN DE LÉGUMES EN TERRINE</v>
      </c>
      <c r="Y403" s="477">
        <f>IF($X$403="","",$Y$396)</f>
        <v>37</v>
      </c>
      <c r="Z403" s="477">
        <f>IF($X$403="","",$Z$396)</f>
        <v>100</v>
      </c>
      <c r="AA403" s="477">
        <f>IF($AC$403="","",ROW($A$403)-ROW($A$396))</f>
        <v>7</v>
      </c>
      <c r="AB403" s="478"/>
      <c r="AC403" s="34" t="s">
        <v>167</v>
      </c>
      <c r="AD403" s="356"/>
      <c r="AE403" s="479" t="s">
        <v>33</v>
      </c>
      <c r="AF403" s="475"/>
      <c r="AG403" s="480" t="str">
        <f t="shared" si="112"/>
        <v>QT. SUFFISANTE</v>
      </c>
      <c r="AH403" s="481" t="str">
        <f t="shared" si="113"/>
        <v/>
      </c>
      <c r="AI403" s="477" t="str">
        <f>IF($AC$403="","",IFERROR(INDEX($AZ$74:$AZ$119,MATCH($AH$403,$AY$74:$AY$119,0)),"AUTRE"))</f>
        <v>AUTRE</v>
      </c>
      <c r="AJ403" s="482">
        <f>IF($AC$403="","",IFERROR(INDEX($BA$74:$BA$119,MATCH($AH$403,$AY$74:$AY$119,0)),1))</f>
        <v>1</v>
      </c>
      <c r="AK403" s="482" t="e">
        <f t="shared" si="114"/>
        <v>#VALUE!</v>
      </c>
      <c r="AL403" s="477" t="str">
        <f>IF($AC$403="","",IFERROR(INDEX($BB$74:$BB$119,MATCH($AH$403,$AY$74:$AY$119,0)),$AH$403))</f>
        <v/>
      </c>
      <c r="AM403" s="483" t="str">
        <f t="shared" si="115"/>
        <v>QUANTITÉ À CONTRÔLER</v>
      </c>
      <c r="AN403" s="484" t="str">
        <f t="shared" si="116"/>
        <v>QT. SUFFISANTE</v>
      </c>
      <c r="AO403" s="473" t="str">
        <f t="shared" si="117"/>
        <v/>
      </c>
      <c r="AP403" s="473" t="str">
        <f t="shared" si="118"/>
        <v/>
      </c>
      <c r="AQ403" s="473" t="str">
        <f t="shared" si="119"/>
        <v/>
      </c>
      <c r="AR403" s="473" t="str">
        <f t="shared" si="120"/>
        <v/>
      </c>
      <c r="AS403" s="473" t="str">
        <f t="shared" si="121"/>
        <v/>
      </c>
      <c r="AT403" s="473" t="str">
        <f t="shared" si="122"/>
        <v/>
      </c>
      <c r="AU403" s="473" t="str">
        <f t="shared" si="123"/>
        <v/>
      </c>
      <c r="AZ403" s="30" t="s">
        <v>10</v>
      </c>
      <c r="BA403" s="34" t="s">
        <v>477</v>
      </c>
      <c r="BB403" s="499"/>
      <c r="BC403" s="271"/>
      <c r="BD403" s="279">
        <v>1</v>
      </c>
      <c r="BE403" s="271"/>
      <c r="BF403" s="271"/>
      <c r="BG403" s="271"/>
      <c r="BH403" s="271"/>
      <c r="BI403" s="271"/>
      <c r="BJ403" s="271"/>
      <c r="BK403" s="271"/>
      <c r="BL403" s="271"/>
    </row>
    <row r="404" spans="18:64" ht="21" customHeight="1" x14ac:dyDescent="0.25">
      <c r="R404" s="25" t="s">
        <v>6134</v>
      </c>
      <c r="S404" s="451"/>
      <c r="T404" s="497" t="s">
        <v>465</v>
      </c>
      <c r="V404" s="475">
        <v>10</v>
      </c>
      <c r="W404" s="475" t="str">
        <f>IF($AC$404="","",$W$396)</f>
        <v/>
      </c>
      <c r="X404" s="476" t="str">
        <f>IF($AC$404="","",$X$396)</f>
        <v/>
      </c>
      <c r="Y404" s="477" t="str">
        <f>IF($X$404="","",$Y$396)</f>
        <v/>
      </c>
      <c r="Z404" s="477" t="str">
        <f>IF($X$404="","",$Z$396)</f>
        <v/>
      </c>
      <c r="AA404" s="477" t="str">
        <f>IF($AC$404="","",ROW($A$404)-ROW($A$396))</f>
        <v/>
      </c>
      <c r="AB404" s="478"/>
      <c r="AC404" s="34" t="s">
        <v>345</v>
      </c>
      <c r="AD404" s="356"/>
      <c r="AE404" s="479"/>
      <c r="AF404" s="475"/>
      <c r="AG404" s="480" t="str">
        <f t="shared" si="112"/>
        <v/>
      </c>
      <c r="AH404" s="481" t="str">
        <f t="shared" si="113"/>
        <v/>
      </c>
      <c r="AI404" s="477" t="str">
        <f>IF($AC$404="","",IFERROR(INDEX($AZ$74:$AZ$119,MATCH($AH$404,$AY$74:$AY$119,0)),"AUTRE"))</f>
        <v/>
      </c>
      <c r="AJ404" s="482" t="str">
        <f>IF($AC$404="","",IFERROR(INDEX($BA$74:$BA$119,MATCH($AH$404,$AY$74:$AY$119,0)),1))</f>
        <v/>
      </c>
      <c r="AK404" s="482" t="str">
        <f t="shared" si="114"/>
        <v/>
      </c>
      <c r="AL404" s="477" t="str">
        <f>IF($AC$404="","",IFERROR(INDEX($BB$74:$BB$119,MATCH($AH$404,$AY$74:$AY$119,0)),$AH$404))</f>
        <v/>
      </c>
      <c r="AM404" s="483" t="str">
        <f t="shared" si="115"/>
        <v/>
      </c>
      <c r="AN404" s="484" t="str">
        <f t="shared" si="116"/>
        <v/>
      </c>
      <c r="AO404" s="473" t="str">
        <f t="shared" si="117"/>
        <v/>
      </c>
      <c r="AP404" s="473" t="str">
        <f t="shared" si="118"/>
        <v/>
      </c>
      <c r="AQ404" s="473" t="str">
        <f t="shared" si="119"/>
        <v/>
      </c>
      <c r="AR404" s="473" t="str">
        <f t="shared" si="120"/>
        <v/>
      </c>
      <c r="AS404" s="473" t="str">
        <f t="shared" si="121"/>
        <v/>
      </c>
      <c r="AT404" s="473" t="str">
        <f t="shared" si="122"/>
        <v/>
      </c>
      <c r="AU404" s="473" t="str">
        <f t="shared" si="123"/>
        <v/>
      </c>
      <c r="AZ404" s="30" t="s">
        <v>11</v>
      </c>
      <c r="BB404" s="499"/>
      <c r="BC404" s="271"/>
      <c r="BD404" s="279">
        <v>1</v>
      </c>
      <c r="BE404" s="271"/>
      <c r="BF404" s="271"/>
      <c r="BG404" s="271"/>
      <c r="BH404" s="271"/>
      <c r="BI404" s="271"/>
      <c r="BJ404" s="271"/>
      <c r="BK404" s="271"/>
      <c r="BL404" s="271"/>
    </row>
    <row r="405" spans="18:64" ht="21" customHeight="1" x14ac:dyDescent="0.25">
      <c r="R405" s="34" t="s">
        <v>481</v>
      </c>
      <c r="S405" s="451"/>
      <c r="T405" s="497" t="s">
        <v>466</v>
      </c>
      <c r="V405" s="475">
        <v>10</v>
      </c>
      <c r="W405" s="475" t="str">
        <f>IF($AC$405="","",$W$396)</f>
        <v>N° 20</v>
      </c>
      <c r="X405" s="476" t="str">
        <f>IF($AC$405="","",$X$396)</f>
        <v>ARLEQUIN DE LÉGUMES EN TERRINE</v>
      </c>
      <c r="Y405" s="477">
        <f>IF($X$405="","",$Y$396)</f>
        <v>37</v>
      </c>
      <c r="Z405" s="477">
        <f>IF($X$405="","",$Z$396)</f>
        <v>100</v>
      </c>
      <c r="AA405" s="477">
        <f>IF($AC$405="","",ROW($A$405)-ROW($A$396))</f>
        <v>9</v>
      </c>
      <c r="AB405" s="478"/>
      <c r="AC405" s="34" t="s">
        <v>373</v>
      </c>
      <c r="AD405" s="356"/>
      <c r="AE405" s="479">
        <v>1.5</v>
      </c>
      <c r="AF405" s="29" t="s">
        <v>9</v>
      </c>
      <c r="AG405" s="480">
        <f t="shared" si="112"/>
        <v>1.5</v>
      </c>
      <c r="AH405" s="481" t="str">
        <f t="shared" si="113"/>
        <v>L</v>
      </c>
      <c r="AI405" s="477" t="str">
        <f>IF($AC$405="","",IFERROR(INDEX($AZ$74:$AZ$119,MATCH($AH$405,$AY$74:$AY$119,0)),"AUTRE"))</f>
        <v>VOLUME</v>
      </c>
      <c r="AJ405" s="482">
        <f>IF($AC$405="","",IFERROR(INDEX($BA$74:$BA$119,MATCH($AH$405,$AY$74:$AY$119,0)),1))</f>
        <v>1</v>
      </c>
      <c r="AK405" s="482">
        <f t="shared" si="114"/>
        <v>1.5</v>
      </c>
      <c r="AL405" s="477" t="str">
        <f>IF($AC$405="","",IFERROR(INDEX($BB$74:$BB$119,MATCH($AH$405,$AY$74:$AY$119,0)),$AH$405))</f>
        <v>L</v>
      </c>
      <c r="AM405" s="483" t="str">
        <f t="shared" si="115"/>
        <v>OK</v>
      </c>
      <c r="AN405" s="484">
        <f t="shared" si="116"/>
        <v>1.5</v>
      </c>
      <c r="AO405" s="473" t="str">
        <f t="shared" si="117"/>
        <v/>
      </c>
      <c r="AP405" s="473" t="str">
        <f t="shared" si="118"/>
        <v/>
      </c>
      <c r="AQ405" s="473" t="str">
        <f t="shared" si="119"/>
        <v/>
      </c>
      <c r="AR405" s="473" t="str">
        <f t="shared" si="120"/>
        <v/>
      </c>
      <c r="AS405" s="473" t="str">
        <f t="shared" si="121"/>
        <v/>
      </c>
      <c r="AT405" s="473" t="str">
        <f t="shared" si="122"/>
        <v/>
      </c>
      <c r="AU405" s="473" t="str">
        <f t="shared" si="123"/>
        <v/>
      </c>
      <c r="AZ405" s="30" t="s">
        <v>12</v>
      </c>
      <c r="BA405" s="25" t="s">
        <v>6134</v>
      </c>
      <c r="BB405" s="499"/>
      <c r="BC405" s="271"/>
      <c r="BD405" s="279">
        <v>1</v>
      </c>
      <c r="BE405" s="271"/>
      <c r="BF405" s="271"/>
      <c r="BG405" s="271"/>
      <c r="BH405" s="271"/>
      <c r="BI405" s="271"/>
      <c r="BJ405" s="271"/>
      <c r="BK405" s="271"/>
      <c r="BL405" s="271"/>
    </row>
    <row r="406" spans="18:64" ht="21" customHeight="1" x14ac:dyDescent="0.25">
      <c r="R406" s="34" t="s">
        <v>475</v>
      </c>
      <c r="S406" s="451"/>
      <c r="T406" s="440" t="s">
        <v>8110</v>
      </c>
      <c r="V406" s="475">
        <v>10</v>
      </c>
      <c r="W406" s="475" t="str">
        <f>IF($AC$406="","",$W$396)</f>
        <v>N° 20</v>
      </c>
      <c r="X406" s="476" t="str">
        <f>IF($AC$406="","",$X$396)</f>
        <v>ARLEQUIN DE LÉGUMES EN TERRINE</v>
      </c>
      <c r="Y406" s="477">
        <f>IF($X$406="","",$Y$396)</f>
        <v>37</v>
      </c>
      <c r="Z406" s="477">
        <f>IF($X$406="","",$Z$396)</f>
        <v>100</v>
      </c>
      <c r="AA406" s="477">
        <f>IF($AC$406="","",ROW($A$406)-ROW($A$396))</f>
        <v>10</v>
      </c>
      <c r="AB406" s="478"/>
      <c r="AC406" s="34" t="s">
        <v>168</v>
      </c>
      <c r="AD406" s="356"/>
      <c r="AE406" s="479">
        <v>2</v>
      </c>
      <c r="AF406" s="466" t="s">
        <v>7</v>
      </c>
      <c r="AG406" s="480">
        <f t="shared" si="112"/>
        <v>2</v>
      </c>
      <c r="AH406" s="481" t="str">
        <f t="shared" si="113"/>
        <v>KG</v>
      </c>
      <c r="AI406" s="477" t="str">
        <f>IF($AC$406="","",IFERROR(INDEX($AZ$74:$AZ$119,MATCH($AH$406,$AY$74:$AY$119,0)),"AUTRE"))</f>
        <v>MASSE</v>
      </c>
      <c r="AJ406" s="482">
        <f>IF($AC$406="","",IFERROR(INDEX($BA$74:$BA$119,MATCH($AH$406,$AY$74:$AY$119,0)),1))</f>
        <v>1</v>
      </c>
      <c r="AK406" s="482">
        <f t="shared" si="114"/>
        <v>2</v>
      </c>
      <c r="AL406" s="477" t="str">
        <f>IF($AC$406="","",IFERROR(INDEX($BB$74:$BB$119,MATCH($AH$406,$AY$74:$AY$119,0)),$AH$406))</f>
        <v>kg</v>
      </c>
      <c r="AM406" s="483" t="str">
        <f t="shared" si="115"/>
        <v>OK</v>
      </c>
      <c r="AN406" s="484">
        <f t="shared" si="116"/>
        <v>2</v>
      </c>
      <c r="AO406" s="473" t="str">
        <f t="shared" si="117"/>
        <v/>
      </c>
      <c r="AP406" s="473" t="str">
        <f t="shared" si="118"/>
        <v/>
      </c>
      <c r="AQ406" s="473" t="str">
        <f t="shared" si="119"/>
        <v/>
      </c>
      <c r="AR406" s="473" t="str">
        <f t="shared" si="120"/>
        <v/>
      </c>
      <c r="AS406" s="473" t="str">
        <f t="shared" si="121"/>
        <v/>
      </c>
      <c r="AT406" s="473" t="str">
        <f t="shared" si="122"/>
        <v/>
      </c>
      <c r="AU406" s="473" t="str">
        <f t="shared" si="123"/>
        <v/>
      </c>
      <c r="AZ406" s="31" t="s">
        <v>16</v>
      </c>
      <c r="BA406" s="34" t="s">
        <v>481</v>
      </c>
      <c r="BB406" s="499"/>
      <c r="BC406" s="271"/>
      <c r="BD406" s="279">
        <v>1</v>
      </c>
      <c r="BE406" s="271"/>
      <c r="BF406" s="271"/>
      <c r="BG406" s="271"/>
      <c r="BH406" s="271"/>
      <c r="BI406" s="271"/>
      <c r="BJ406" s="271"/>
      <c r="BK406" s="271"/>
      <c r="BL406" s="271"/>
    </row>
    <row r="407" spans="18:64" ht="21" customHeight="1" x14ac:dyDescent="0.25">
      <c r="R407" s="34" t="s">
        <v>457</v>
      </c>
      <c r="S407" s="451"/>
      <c r="T407" s="452" t="s">
        <v>8113</v>
      </c>
      <c r="V407" s="475">
        <v>10</v>
      </c>
      <c r="W407" s="475" t="str">
        <f>IF($AC$407="","",$W$396)</f>
        <v>N° 20</v>
      </c>
      <c r="X407" s="476" t="str">
        <f>IF($AC$407="","",$X$396)</f>
        <v>ARLEQUIN DE LÉGUMES EN TERRINE</v>
      </c>
      <c r="Y407" s="477">
        <f>IF($X$407="","",$Y$396)</f>
        <v>37</v>
      </c>
      <c r="Z407" s="477">
        <f>IF($X$407="","",$Z$396)</f>
        <v>100</v>
      </c>
      <c r="AA407" s="477">
        <f>IF($AC$407="","",ROW($A$407)-ROW($A$396))</f>
        <v>11</v>
      </c>
      <c r="AB407" s="478"/>
      <c r="AC407" s="34" t="s">
        <v>378</v>
      </c>
      <c r="AD407" s="356"/>
      <c r="AE407" s="479">
        <v>0.5</v>
      </c>
      <c r="AF407" s="29" t="s">
        <v>9</v>
      </c>
      <c r="AG407" s="480">
        <f t="shared" si="112"/>
        <v>0.5</v>
      </c>
      <c r="AH407" s="481" t="str">
        <f t="shared" si="113"/>
        <v>L</v>
      </c>
      <c r="AI407" s="477" t="str">
        <f>IF($AC$407="","",IFERROR(INDEX($AZ$74:$AZ$119,MATCH($AH$407,$AY$74:$AY$119,0)),"AUTRE"))</f>
        <v>VOLUME</v>
      </c>
      <c r="AJ407" s="482">
        <f>IF($AC$407="","",IFERROR(INDEX($BA$74:$BA$119,MATCH($AH$407,$AY$74:$AY$119,0)),1))</f>
        <v>1</v>
      </c>
      <c r="AK407" s="482">
        <f t="shared" si="114"/>
        <v>0.5</v>
      </c>
      <c r="AL407" s="477" t="str">
        <f>IF($AC$407="","",IFERROR(INDEX($BB$74:$BB$119,MATCH($AH$407,$AY$74:$AY$119,0)),$AH$407))</f>
        <v>L</v>
      </c>
      <c r="AM407" s="483" t="str">
        <f t="shared" si="115"/>
        <v>OK</v>
      </c>
      <c r="AN407" s="484">
        <f t="shared" si="116"/>
        <v>0.5</v>
      </c>
      <c r="AO407" s="473" t="str">
        <f t="shared" si="117"/>
        <v/>
      </c>
      <c r="AP407" s="473" t="str">
        <f t="shared" si="118"/>
        <v/>
      </c>
      <c r="AQ407" s="473" t="str">
        <f t="shared" si="119"/>
        <v/>
      </c>
      <c r="AR407" s="473" t="str">
        <f t="shared" si="120"/>
        <v/>
      </c>
      <c r="AS407" s="473" t="str">
        <f t="shared" si="121"/>
        <v/>
      </c>
      <c r="AT407" s="473" t="str">
        <f t="shared" si="122"/>
        <v/>
      </c>
      <c r="AU407" s="473" t="str">
        <f t="shared" si="123"/>
        <v/>
      </c>
      <c r="AZ407" s="31" t="s">
        <v>17</v>
      </c>
      <c r="BA407" s="34" t="s">
        <v>475</v>
      </c>
      <c r="BB407" s="499"/>
      <c r="BC407" s="271"/>
      <c r="BD407" s="279">
        <v>1</v>
      </c>
      <c r="BE407" s="271"/>
      <c r="BF407" s="271"/>
      <c r="BG407" s="271"/>
      <c r="BH407" s="271"/>
      <c r="BI407" s="271"/>
      <c r="BJ407" s="271"/>
      <c r="BK407" s="271"/>
      <c r="BL407" s="271"/>
    </row>
    <row r="408" spans="18:64" ht="21" customHeight="1" x14ac:dyDescent="0.25">
      <c r="R408" s="34" t="s">
        <v>482</v>
      </c>
      <c r="S408" s="451"/>
      <c r="T408" s="14" t="s">
        <v>7</v>
      </c>
      <c r="V408" s="475">
        <v>10</v>
      </c>
      <c r="W408" s="475" t="str">
        <f>IF($AC$408="","",$W$396)</f>
        <v>N° 20</v>
      </c>
      <c r="X408" s="476" t="str">
        <f>IF($AC$408="","",$X$396)</f>
        <v>ARLEQUIN DE LÉGUMES EN TERRINE</v>
      </c>
      <c r="Y408" s="477">
        <f>IF($X$408="","",$Y$396)</f>
        <v>37</v>
      </c>
      <c r="Z408" s="477">
        <f>IF($X$408="","",$Z$396)</f>
        <v>100</v>
      </c>
      <c r="AA408" s="477">
        <f>IF($AC$408="","",ROW($A$408)-ROW($A$396))</f>
        <v>12</v>
      </c>
      <c r="AB408" s="478"/>
      <c r="AC408" s="34" t="s">
        <v>42</v>
      </c>
      <c r="AD408" s="356"/>
      <c r="AE408" s="479">
        <v>5</v>
      </c>
      <c r="AF408" s="30" t="s">
        <v>11</v>
      </c>
      <c r="AG408" s="480">
        <f t="shared" si="112"/>
        <v>5</v>
      </c>
      <c r="AH408" s="481" t="str">
        <f t="shared" si="113"/>
        <v>CL</v>
      </c>
      <c r="AI408" s="477" t="str">
        <f>IF($AC$408="","",IFERROR(INDEX($AZ$74:$AZ$119,MATCH($AH$408,$AY$74:$AY$119,0)),"AUTRE"))</f>
        <v>VOLUME</v>
      </c>
      <c r="AJ408" s="482">
        <f>IF($AC$408="","",IFERROR(INDEX($BA$74:$BA$119,MATCH($AH$408,$AY$74:$AY$119,0)),1))</f>
        <v>0.01</v>
      </c>
      <c r="AK408" s="482">
        <f t="shared" si="114"/>
        <v>0.05</v>
      </c>
      <c r="AL408" s="477" t="str">
        <f>IF($AC$408="","",IFERROR(INDEX($BB$74:$BB$119,MATCH($AH$408,$AY$74:$AY$119,0)),$AH$408))</f>
        <v>L</v>
      </c>
      <c r="AM408" s="483" t="str">
        <f t="shared" si="115"/>
        <v>OK</v>
      </c>
      <c r="AN408" s="484">
        <f t="shared" si="116"/>
        <v>5</v>
      </c>
      <c r="AO408" s="473" t="str">
        <f t="shared" si="117"/>
        <v/>
      </c>
      <c r="AP408" s="473" t="str">
        <f t="shared" si="118"/>
        <v/>
      </c>
      <c r="AQ408" s="473" t="str">
        <f t="shared" si="119"/>
        <v/>
      </c>
      <c r="AR408" s="473" t="str">
        <f t="shared" si="120"/>
        <v/>
      </c>
      <c r="AS408" s="473" t="str">
        <f t="shared" si="121"/>
        <v/>
      </c>
      <c r="AT408" s="473" t="str">
        <f t="shared" si="122"/>
        <v/>
      </c>
      <c r="AU408" s="473" t="str">
        <f t="shared" si="123"/>
        <v/>
      </c>
      <c r="AZ408" s="31" t="s">
        <v>18</v>
      </c>
      <c r="BA408" s="34" t="s">
        <v>457</v>
      </c>
      <c r="BB408" s="499"/>
      <c r="BC408" s="271"/>
      <c r="BD408" s="279">
        <v>1</v>
      </c>
      <c r="BE408" s="271"/>
      <c r="BF408" s="271"/>
      <c r="BG408" s="271"/>
      <c r="BH408" s="271"/>
      <c r="BI408" s="271"/>
      <c r="BJ408" s="271"/>
      <c r="BK408" s="271"/>
      <c r="BL408" s="271"/>
    </row>
    <row r="409" spans="18:64" ht="21" customHeight="1" x14ac:dyDescent="0.25">
      <c r="R409" s="34" t="s">
        <v>496</v>
      </c>
      <c r="S409" s="451"/>
      <c r="T409" s="27" t="s">
        <v>8</v>
      </c>
      <c r="V409" s="475">
        <v>10</v>
      </c>
      <c r="W409" s="475" t="str">
        <f>IF($AC$409="","",$W$396)</f>
        <v>N° 20</v>
      </c>
      <c r="X409" s="476" t="str">
        <f>IF($AC$409="","",$X$396)</f>
        <v>ARLEQUIN DE LÉGUMES EN TERRINE</v>
      </c>
      <c r="Y409" s="477">
        <f>IF($X$409="","",$Y$396)</f>
        <v>37</v>
      </c>
      <c r="Z409" s="477">
        <f>IF($X$409="","",$Z$396)</f>
        <v>100</v>
      </c>
      <c r="AA409" s="477">
        <f>IF($AC$409="","",ROW($A$409)-ROW($A$396))</f>
        <v>13</v>
      </c>
      <c r="AB409" s="478"/>
      <c r="AC409" s="34" t="s">
        <v>43</v>
      </c>
      <c r="AD409" s="356"/>
      <c r="AE409" s="479">
        <v>15</v>
      </c>
      <c r="AF409" s="27" t="s">
        <v>8</v>
      </c>
      <c r="AG409" s="480">
        <f t="shared" si="112"/>
        <v>15</v>
      </c>
      <c r="AH409" s="481" t="str">
        <f t="shared" si="113"/>
        <v>G</v>
      </c>
      <c r="AI409" s="477" t="str">
        <f>IF($AC$409="","",IFERROR(INDEX($AZ$74:$AZ$119,MATCH($AH$409,$AY$74:$AY$119,0)),"AUTRE"))</f>
        <v>MASSE</v>
      </c>
      <c r="AJ409" s="482">
        <f>IF($AC$409="","",IFERROR(INDEX($BA$74:$BA$119,MATCH($AH$409,$AY$74:$AY$119,0)),1))</f>
        <v>1E-3</v>
      </c>
      <c r="AK409" s="482">
        <f t="shared" si="114"/>
        <v>1.4999999999999999E-2</v>
      </c>
      <c r="AL409" s="477" t="str">
        <f>IF($AC$409="","",IFERROR(INDEX($BB$74:$BB$119,MATCH($AH$409,$AY$74:$AY$119,0)),$AH$409))</f>
        <v>kg</v>
      </c>
      <c r="AM409" s="483" t="str">
        <f t="shared" si="115"/>
        <v>OK</v>
      </c>
      <c r="AN409" s="484">
        <f t="shared" si="116"/>
        <v>15</v>
      </c>
      <c r="AO409" s="473" t="str">
        <f t="shared" si="117"/>
        <v/>
      </c>
      <c r="AP409" s="473" t="str">
        <f t="shared" si="118"/>
        <v/>
      </c>
      <c r="AQ409" s="473" t="str">
        <f t="shared" si="119"/>
        <v/>
      </c>
      <c r="AR409" s="473" t="str">
        <f t="shared" si="120"/>
        <v/>
      </c>
      <c r="AS409" s="473" t="str">
        <f t="shared" si="121"/>
        <v/>
      </c>
      <c r="AT409" s="473" t="str">
        <f t="shared" si="122"/>
        <v/>
      </c>
      <c r="AU409" s="473" t="str">
        <f t="shared" si="123"/>
        <v/>
      </c>
      <c r="AZ409" s="31" t="s">
        <v>19</v>
      </c>
      <c r="BA409" s="34" t="s">
        <v>482</v>
      </c>
      <c r="BB409" s="499"/>
      <c r="BC409" s="271"/>
      <c r="BD409" s="279">
        <v>1</v>
      </c>
      <c r="BE409" s="271"/>
      <c r="BF409" s="271"/>
      <c r="BG409" s="271"/>
      <c r="BH409" s="271"/>
      <c r="BI409" s="271"/>
      <c r="BJ409" s="271"/>
      <c r="BK409" s="271"/>
      <c r="BL409" s="271"/>
    </row>
    <row r="410" spans="18:64" ht="21" customHeight="1" x14ac:dyDescent="0.25">
      <c r="R410" s="34" t="s">
        <v>483</v>
      </c>
      <c r="S410" s="451"/>
      <c r="T410" s="28" t="s">
        <v>13</v>
      </c>
      <c r="V410" s="475">
        <v>10</v>
      </c>
      <c r="W410" s="475" t="str">
        <f>IF($AC$410="","",$W$396)</f>
        <v>N° 20</v>
      </c>
      <c r="X410" s="476" t="str">
        <f>IF($AC$410="","",$X$396)</f>
        <v>ARLEQUIN DE LÉGUMES EN TERRINE</v>
      </c>
      <c r="Y410" s="477">
        <f>IF($X$410="","",$Y$396)</f>
        <v>37</v>
      </c>
      <c r="Z410" s="477">
        <f>IF($X$410="","",$Z$396)</f>
        <v>100</v>
      </c>
      <c r="AA410" s="477">
        <f>IF($AC$410="","",ROW($A$410)-ROW($A$396))</f>
        <v>14</v>
      </c>
      <c r="AB410" s="478"/>
      <c r="AC410" s="34" t="s">
        <v>44</v>
      </c>
      <c r="AD410" s="356"/>
      <c r="AE410" s="479">
        <v>6</v>
      </c>
      <c r="AF410" s="27" t="s">
        <v>8</v>
      </c>
      <c r="AG410" s="480">
        <f t="shared" si="112"/>
        <v>6</v>
      </c>
      <c r="AH410" s="481" t="str">
        <f t="shared" si="113"/>
        <v>G</v>
      </c>
      <c r="AI410" s="477" t="str">
        <f>IF($AC$410="","",IFERROR(INDEX($AZ$74:$AZ$119,MATCH($AH$410,$AY$74:$AY$119,0)),"AUTRE"))</f>
        <v>MASSE</v>
      </c>
      <c r="AJ410" s="482">
        <f>IF($AC$410="","",IFERROR(INDEX($BA$74:$BA$119,MATCH($AH$410,$AY$74:$AY$119,0)),1))</f>
        <v>1E-3</v>
      </c>
      <c r="AK410" s="482">
        <f t="shared" si="114"/>
        <v>6.0000000000000001E-3</v>
      </c>
      <c r="AL410" s="477" t="str">
        <f>IF($AC$410="","",IFERROR(INDEX($BB$74:$BB$119,MATCH($AH$410,$AY$74:$AY$119,0)),$AH$410))</f>
        <v>kg</v>
      </c>
      <c r="AM410" s="483" t="str">
        <f t="shared" si="115"/>
        <v>OK</v>
      </c>
      <c r="AN410" s="484">
        <f t="shared" si="116"/>
        <v>6</v>
      </c>
      <c r="AO410" s="473" t="str">
        <f t="shared" si="117"/>
        <v/>
      </c>
      <c r="AP410" s="473" t="str">
        <f t="shared" si="118"/>
        <v/>
      </c>
      <c r="AQ410" s="473" t="str">
        <f t="shared" si="119"/>
        <v/>
      </c>
      <c r="AR410" s="473" t="str">
        <f t="shared" si="120"/>
        <v/>
      </c>
      <c r="AS410" s="473" t="str">
        <f t="shared" si="121"/>
        <v/>
      </c>
      <c r="AT410" s="473" t="str">
        <f t="shared" si="122"/>
        <v/>
      </c>
      <c r="AU410" s="473" t="str">
        <f t="shared" si="123"/>
        <v/>
      </c>
      <c r="AZ410" s="31" t="s">
        <v>211</v>
      </c>
      <c r="BA410" s="34" t="s">
        <v>496</v>
      </c>
      <c r="BB410" s="499"/>
      <c r="BC410" s="271"/>
      <c r="BD410" s="279">
        <v>1</v>
      </c>
      <c r="BE410" s="271"/>
      <c r="BF410" s="271"/>
      <c r="BG410" s="271"/>
      <c r="BH410" s="271"/>
      <c r="BI410" s="271"/>
      <c r="BJ410" s="271"/>
      <c r="BK410" s="271"/>
      <c r="BL410" s="271"/>
    </row>
    <row r="411" spans="18:64" ht="21" customHeight="1" x14ac:dyDescent="0.25">
      <c r="R411" s="34" t="s">
        <v>493</v>
      </c>
      <c r="S411" s="451"/>
      <c r="T411" s="28" t="s">
        <v>14</v>
      </c>
      <c r="V411" s="475">
        <v>10</v>
      </c>
      <c r="W411" s="475" t="str">
        <f>IF($AC$411="","",$W$396)</f>
        <v/>
      </c>
      <c r="X411" s="476" t="str">
        <f>IF($AC$411="","",$X$396)</f>
        <v/>
      </c>
      <c r="Y411" s="477" t="str">
        <f>IF($X$411="","",$Y$396)</f>
        <v/>
      </c>
      <c r="Z411" s="477" t="str">
        <f>IF($X$411="","",$Z$396)</f>
        <v/>
      </c>
      <c r="AA411" s="477" t="str">
        <f>IF($AC$411="","",ROW($A$411)-ROW($A$396))</f>
        <v/>
      </c>
      <c r="AB411" s="478"/>
      <c r="AC411" s="34" t="s">
        <v>345</v>
      </c>
      <c r="AD411" s="356"/>
      <c r="AE411" s="479"/>
      <c r="AF411" s="475"/>
      <c r="AG411" s="480" t="str">
        <f t="shared" si="112"/>
        <v/>
      </c>
      <c r="AH411" s="481" t="str">
        <f t="shared" si="113"/>
        <v/>
      </c>
      <c r="AI411" s="477" t="str">
        <f>IF($AC$411="","",IFERROR(INDEX($AZ$74:$AZ$119,MATCH($AH$411,$AY$74:$AY$119,0)),"AUTRE"))</f>
        <v/>
      </c>
      <c r="AJ411" s="482" t="str">
        <f>IF($AC$411="","",IFERROR(INDEX($BA$74:$BA$119,MATCH($AH$411,$AY$74:$AY$119,0)),1))</f>
        <v/>
      </c>
      <c r="AK411" s="482" t="str">
        <f t="shared" si="114"/>
        <v/>
      </c>
      <c r="AL411" s="477" t="str">
        <f>IF($AC$411="","",IFERROR(INDEX($BB$74:$BB$119,MATCH($AH$411,$AY$74:$AY$119,0)),$AH$411))</f>
        <v/>
      </c>
      <c r="AM411" s="483" t="str">
        <f t="shared" si="115"/>
        <v/>
      </c>
      <c r="AN411" s="484" t="str">
        <f t="shared" si="116"/>
        <v/>
      </c>
      <c r="AO411" s="473" t="str">
        <f t="shared" si="117"/>
        <v/>
      </c>
      <c r="AP411" s="473" t="str">
        <f t="shared" si="118"/>
        <v/>
      </c>
      <c r="AQ411" s="473" t="str">
        <f t="shared" si="119"/>
        <v/>
      </c>
      <c r="AR411" s="473" t="str">
        <f t="shared" si="120"/>
        <v/>
      </c>
      <c r="AS411" s="473" t="str">
        <f t="shared" si="121"/>
        <v/>
      </c>
      <c r="AT411" s="473" t="str">
        <f t="shared" si="122"/>
        <v/>
      </c>
      <c r="AU411" s="473" t="str">
        <f t="shared" si="123"/>
        <v/>
      </c>
      <c r="AZ411" s="31" t="s">
        <v>20</v>
      </c>
      <c r="BA411" s="34" t="s">
        <v>483</v>
      </c>
      <c r="BB411" s="499"/>
      <c r="BC411" s="271"/>
      <c r="BD411" s="279">
        <v>1</v>
      </c>
      <c r="BE411" s="271"/>
      <c r="BF411" s="271"/>
      <c r="BG411" s="271"/>
      <c r="BH411" s="271"/>
      <c r="BI411" s="271"/>
      <c r="BJ411" s="271"/>
      <c r="BK411" s="271"/>
      <c r="BL411" s="271"/>
    </row>
    <row r="412" spans="18:64" ht="21" customHeight="1" x14ac:dyDescent="0.25">
      <c r="R412" s="34" t="s">
        <v>494</v>
      </c>
      <c r="S412" s="451"/>
      <c r="T412" s="28" t="s">
        <v>15</v>
      </c>
      <c r="V412" s="475">
        <v>10</v>
      </c>
      <c r="W412" s="475" t="str">
        <f>IF($AC$412="","",$W$396)</f>
        <v/>
      </c>
      <c r="X412" s="476" t="str">
        <f>IF($AC$412="","",$X$396)</f>
        <v/>
      </c>
      <c r="Y412" s="477" t="str">
        <f>IF($X$412="","",$Y$396)</f>
        <v/>
      </c>
      <c r="Z412" s="477" t="str">
        <f>IF($X$412="","",$Z$396)</f>
        <v/>
      </c>
      <c r="AA412" s="477" t="str">
        <f>IF($AC$412="","",ROW($A$412)-ROW($A$396))</f>
        <v/>
      </c>
      <c r="AB412" s="478"/>
      <c r="AC412" s="34"/>
      <c r="AD412" s="356"/>
      <c r="AE412" s="479"/>
      <c r="AF412" s="475"/>
      <c r="AG412" s="480" t="str">
        <f t="shared" si="112"/>
        <v/>
      </c>
      <c r="AH412" s="481" t="str">
        <f t="shared" si="113"/>
        <v/>
      </c>
      <c r="AI412" s="477" t="str">
        <f>IF($AC$412="","",IFERROR(INDEX($AZ$74:$AZ$119,MATCH($AH$412,$AY$74:$AY$119,0)),"AUTRE"))</f>
        <v/>
      </c>
      <c r="AJ412" s="482" t="str">
        <f>IF($AC$412="","",IFERROR(INDEX($BA$74:$BA$119,MATCH($AH$412,$AY$74:$AY$119,0)),1))</f>
        <v/>
      </c>
      <c r="AK412" s="482" t="str">
        <f t="shared" si="114"/>
        <v/>
      </c>
      <c r="AL412" s="477" t="str">
        <f>IF($AC$412="","",IFERROR(INDEX($BB$74:$BB$119,MATCH($AH$412,$AY$74:$AY$119,0)),$AH$412))</f>
        <v/>
      </c>
      <c r="AM412" s="483" t="str">
        <f t="shared" si="115"/>
        <v/>
      </c>
      <c r="AN412" s="484" t="str">
        <f t="shared" si="116"/>
        <v/>
      </c>
      <c r="AO412" s="473" t="str">
        <f t="shared" si="117"/>
        <v/>
      </c>
      <c r="AP412" s="473" t="str">
        <f t="shared" si="118"/>
        <v/>
      </c>
      <c r="AQ412" s="473" t="str">
        <f t="shared" si="119"/>
        <v/>
      </c>
      <c r="AR412" s="473" t="str">
        <f t="shared" si="120"/>
        <v/>
      </c>
      <c r="AS412" s="473" t="str">
        <f t="shared" si="121"/>
        <v/>
      </c>
      <c r="AT412" s="473" t="str">
        <f t="shared" si="122"/>
        <v/>
      </c>
      <c r="AU412" s="473" t="str">
        <f t="shared" si="123"/>
        <v/>
      </c>
      <c r="AZ412" s="31" t="s">
        <v>304</v>
      </c>
      <c r="BA412" s="34" t="s">
        <v>493</v>
      </c>
      <c r="BB412" s="499"/>
      <c r="BC412" s="271"/>
      <c r="BD412" s="279">
        <v>1</v>
      </c>
      <c r="BE412" s="271"/>
      <c r="BF412" s="271"/>
      <c r="BG412" s="271"/>
      <c r="BH412" s="271"/>
      <c r="BI412" s="271"/>
      <c r="BJ412" s="271"/>
      <c r="BK412" s="271"/>
      <c r="BL412" s="271"/>
    </row>
    <row r="413" spans="18:64" ht="21" customHeight="1" x14ac:dyDescent="0.25">
      <c r="S413" s="451"/>
      <c r="T413" s="28" t="s">
        <v>21</v>
      </c>
      <c r="V413" s="475">
        <v>10</v>
      </c>
      <c r="W413" s="475" t="str">
        <f>IF($AC$413="","",$W$396)</f>
        <v/>
      </c>
      <c r="X413" s="476" t="str">
        <f>IF($AC$413="","",$X$396)</f>
        <v/>
      </c>
      <c r="Y413" s="477" t="str">
        <f>IF($X$413="","",$Y$396)</f>
        <v/>
      </c>
      <c r="Z413" s="477" t="str">
        <f>IF($X$413="","",$Z$396)</f>
        <v/>
      </c>
      <c r="AA413" s="477" t="str">
        <f>IF($AC$413="","",ROW($A$413)-ROW($A$396))</f>
        <v/>
      </c>
      <c r="AB413" s="478"/>
      <c r="AC413" s="34"/>
      <c r="AD413" s="356"/>
      <c r="AE413" s="479"/>
      <c r="AF413" s="475"/>
      <c r="AG413" s="480" t="str">
        <f t="shared" si="112"/>
        <v/>
      </c>
      <c r="AH413" s="481" t="str">
        <f t="shared" si="113"/>
        <v/>
      </c>
      <c r="AI413" s="477" t="str">
        <f>IF($AC$413="","",IFERROR(INDEX($AZ$74:$AZ$119,MATCH($AH$413,$AY$74:$AY$119,0)),"AUTRE"))</f>
        <v/>
      </c>
      <c r="AJ413" s="482" t="str">
        <f>IF($AC$413="","",IFERROR(INDEX($BA$74:$BA$119,MATCH($AH$413,$AY$74:$AY$119,0)),1))</f>
        <v/>
      </c>
      <c r="AK413" s="482" t="str">
        <f t="shared" si="114"/>
        <v/>
      </c>
      <c r="AL413" s="477" t="str">
        <f>IF($AC$413="","",IFERROR(INDEX($BB$74:$BB$119,MATCH($AH$413,$AY$74:$AY$119,0)),$AH$413))</f>
        <v/>
      </c>
      <c r="AM413" s="483" t="str">
        <f t="shared" si="115"/>
        <v/>
      </c>
      <c r="AN413" s="484" t="str">
        <f t="shared" si="116"/>
        <v/>
      </c>
      <c r="AO413" s="473" t="str">
        <f t="shared" si="117"/>
        <v/>
      </c>
      <c r="AP413" s="473" t="str">
        <f t="shared" si="118"/>
        <v/>
      </c>
      <c r="AQ413" s="473" t="str">
        <f t="shared" si="119"/>
        <v/>
      </c>
      <c r="AR413" s="473" t="str">
        <f t="shared" si="120"/>
        <v/>
      </c>
      <c r="AS413" s="473" t="str">
        <f t="shared" si="121"/>
        <v/>
      </c>
      <c r="AT413" s="473" t="str">
        <f t="shared" si="122"/>
        <v/>
      </c>
      <c r="AU413" s="473" t="str">
        <f t="shared" si="123"/>
        <v/>
      </c>
      <c r="AZ413" s="31" t="s">
        <v>352</v>
      </c>
      <c r="BA413" s="34" t="s">
        <v>494</v>
      </c>
      <c r="BB413" s="499"/>
      <c r="BC413" s="271"/>
      <c r="BD413" s="279">
        <v>1</v>
      </c>
      <c r="BE413" s="271"/>
      <c r="BF413" s="271"/>
      <c r="BG413" s="271"/>
      <c r="BH413" s="271"/>
      <c r="BI413" s="271"/>
      <c r="BJ413" s="271"/>
      <c r="BK413" s="271"/>
      <c r="BL413" s="271"/>
    </row>
    <row r="414" spans="18:64" ht="21" customHeight="1" x14ac:dyDescent="0.25">
      <c r="R414" s="25" t="s">
        <v>6115</v>
      </c>
      <c r="S414" s="451"/>
      <c r="T414" s="28" t="s">
        <v>22</v>
      </c>
      <c r="V414" s="475">
        <v>10</v>
      </c>
      <c r="W414" s="475" t="str">
        <f>IF($AC$414="","",$W$396)</f>
        <v/>
      </c>
      <c r="X414" s="476" t="str">
        <f>IF($AC$414="","",$X$396)</f>
        <v/>
      </c>
      <c r="Y414" s="477" t="str">
        <f>IF($X$414="","",$Y$396)</f>
        <v/>
      </c>
      <c r="Z414" s="477" t="str">
        <f>IF($X$414="","",$Z$396)</f>
        <v/>
      </c>
      <c r="AA414" s="477" t="str">
        <f>IF($AC$414="","",ROW($A$414)-ROW($A$396))</f>
        <v/>
      </c>
      <c r="AB414" s="478"/>
      <c r="AC414" s="34"/>
      <c r="AD414" s="356"/>
      <c r="AE414" s="479"/>
      <c r="AF414" s="475"/>
      <c r="AG414" s="480" t="str">
        <f t="shared" si="112"/>
        <v/>
      </c>
      <c r="AH414" s="481" t="str">
        <f t="shared" si="113"/>
        <v/>
      </c>
      <c r="AI414" s="477" t="str">
        <f>IF($AC$414="","",IFERROR(INDEX($AZ$74:$AZ$119,MATCH($AH$414,$AY$74:$AY$119,0)),"AUTRE"))</f>
        <v/>
      </c>
      <c r="AJ414" s="482" t="str">
        <f>IF($AC$414="","",IFERROR(INDEX($BA$74:$BA$119,MATCH($AH$414,$AY$74:$AY$119,0)),1))</f>
        <v/>
      </c>
      <c r="AK414" s="482" t="str">
        <f t="shared" si="114"/>
        <v/>
      </c>
      <c r="AL414" s="477" t="str">
        <f>IF($AC$414="","",IFERROR(INDEX($BB$74:$BB$119,MATCH($AH$414,$AY$74:$AY$119,0)),$AH$414))</f>
        <v/>
      </c>
      <c r="AM414" s="483" t="str">
        <f t="shared" si="115"/>
        <v/>
      </c>
      <c r="AN414" s="484" t="str">
        <f t="shared" si="116"/>
        <v/>
      </c>
      <c r="AO414" s="473" t="str">
        <f t="shared" si="117"/>
        <v/>
      </c>
      <c r="AP414" s="473" t="str">
        <f t="shared" si="118"/>
        <v/>
      </c>
      <c r="AQ414" s="473" t="str">
        <f t="shared" si="119"/>
        <v/>
      </c>
      <c r="AR414" s="473" t="str">
        <f t="shared" si="120"/>
        <v/>
      </c>
      <c r="AS414" s="473" t="str">
        <f t="shared" si="121"/>
        <v/>
      </c>
      <c r="AT414" s="473" t="str">
        <f t="shared" si="122"/>
        <v/>
      </c>
      <c r="AU414" s="473" t="str">
        <f t="shared" si="123"/>
        <v/>
      </c>
      <c r="AZ414" s="31" t="s">
        <v>27</v>
      </c>
      <c r="BB414" s="499"/>
      <c r="BC414" s="271"/>
      <c r="BD414" s="279">
        <v>1</v>
      </c>
      <c r="BE414" s="271"/>
      <c r="BF414" s="271"/>
      <c r="BG414" s="271"/>
      <c r="BH414" s="271"/>
      <c r="BI414" s="271"/>
      <c r="BJ414" s="271"/>
      <c r="BK414" s="271"/>
      <c r="BL414" s="271"/>
    </row>
    <row r="415" spans="18:64" ht="21" customHeight="1" x14ac:dyDescent="0.25">
      <c r="R415" s="34" t="s">
        <v>471</v>
      </c>
      <c r="S415" s="451"/>
      <c r="T415" s="28" t="s">
        <v>23</v>
      </c>
      <c r="V415" s="475">
        <v>10</v>
      </c>
      <c r="W415" s="475" t="str">
        <f>IF($AC$415="","",$W$396)</f>
        <v/>
      </c>
      <c r="X415" s="476" t="str">
        <f>IF($AC$415="","",$X$396)</f>
        <v/>
      </c>
      <c r="Y415" s="477" t="str">
        <f>IF($X$415="","",$Y$396)</f>
        <v/>
      </c>
      <c r="Z415" s="477" t="str">
        <f>IF($X$415="","",$Z$396)</f>
        <v/>
      </c>
      <c r="AA415" s="477" t="str">
        <f>IF($AC$415="","",ROW($A$415)-ROW($A$396))</f>
        <v/>
      </c>
      <c r="AB415" s="478"/>
      <c r="AC415" s="34"/>
      <c r="AD415" s="356"/>
      <c r="AE415" s="479"/>
      <c r="AF415" s="475"/>
      <c r="AG415" s="480" t="str">
        <f t="shared" si="112"/>
        <v/>
      </c>
      <c r="AH415" s="481" t="str">
        <f t="shared" si="113"/>
        <v/>
      </c>
      <c r="AI415" s="477" t="str">
        <f>IF($AC$415="","",IFERROR(INDEX($AZ$74:$AZ$119,MATCH($AH$415,$AY$74:$AY$119,0)),"AUTRE"))</f>
        <v/>
      </c>
      <c r="AJ415" s="482" t="str">
        <f>IF($AC$415="","",IFERROR(INDEX($BA$74:$BA$119,MATCH($AH$415,$AY$74:$AY$119,0)),1))</f>
        <v/>
      </c>
      <c r="AK415" s="482" t="str">
        <f t="shared" si="114"/>
        <v/>
      </c>
      <c r="AL415" s="477" t="str">
        <f>IF($AC$415="","",IFERROR(INDEX($BB$74:$BB$119,MATCH($AH$415,$AY$74:$AY$119,0)),$AH$415))</f>
        <v/>
      </c>
      <c r="AM415" s="483" t="str">
        <f t="shared" si="115"/>
        <v/>
      </c>
      <c r="AN415" s="484" t="str">
        <f t="shared" si="116"/>
        <v/>
      </c>
      <c r="AO415" s="473" t="str">
        <f t="shared" si="117"/>
        <v/>
      </c>
      <c r="AP415" s="473" t="str">
        <f t="shared" si="118"/>
        <v/>
      </c>
      <c r="AQ415" s="473" t="str">
        <f t="shared" si="119"/>
        <v/>
      </c>
      <c r="AR415" s="473" t="str">
        <f t="shared" si="120"/>
        <v/>
      </c>
      <c r="AS415" s="473" t="str">
        <f t="shared" si="121"/>
        <v/>
      </c>
      <c r="AT415" s="473" t="str">
        <f t="shared" si="122"/>
        <v/>
      </c>
      <c r="AU415" s="473" t="str">
        <f t="shared" si="123"/>
        <v/>
      </c>
      <c r="AZ415" s="31" t="s">
        <v>28</v>
      </c>
      <c r="BA415" s="25" t="s">
        <v>6115</v>
      </c>
      <c r="BB415" s="499"/>
      <c r="BC415" s="271"/>
      <c r="BD415" s="279">
        <v>1</v>
      </c>
      <c r="BE415" s="271"/>
      <c r="BF415" s="271"/>
      <c r="BG415" s="271"/>
      <c r="BH415" s="271"/>
      <c r="BI415" s="271"/>
      <c r="BJ415" s="271"/>
      <c r="BK415" s="271"/>
      <c r="BL415" s="271"/>
    </row>
    <row r="416" spans="18:64" ht="21" customHeight="1" x14ac:dyDescent="0.25">
      <c r="R416" s="34" t="s">
        <v>472</v>
      </c>
      <c r="S416" s="451"/>
      <c r="T416" s="28" t="s">
        <v>24</v>
      </c>
      <c r="V416" s="475">
        <v>10</v>
      </c>
      <c r="W416" s="475" t="str">
        <f>IF($AC$416="","",$W$396)</f>
        <v/>
      </c>
      <c r="X416" s="476" t="str">
        <f>IF($AC$416="","",$X$396)</f>
        <v/>
      </c>
      <c r="Y416" s="477" t="str">
        <f>IF($X$416="","",$Y$396)</f>
        <v/>
      </c>
      <c r="Z416" s="477" t="str">
        <f>IF($X$416="","",$Z$396)</f>
        <v/>
      </c>
      <c r="AA416" s="477" t="str">
        <f>IF($AC$416="","",ROW($A$416)-ROW($A$396))</f>
        <v/>
      </c>
      <c r="AB416" s="478"/>
      <c r="AC416" s="34"/>
      <c r="AD416" s="356"/>
      <c r="AE416" s="479"/>
      <c r="AF416" s="475"/>
      <c r="AG416" s="480" t="str">
        <f t="shared" si="112"/>
        <v/>
      </c>
      <c r="AH416" s="481" t="str">
        <f t="shared" si="113"/>
        <v/>
      </c>
      <c r="AI416" s="477" t="str">
        <f>IF($AC$416="","",IFERROR(INDEX($AZ$74:$AZ$119,MATCH($AH$416,$AY$74:$AY$119,0)),"AUTRE"))</f>
        <v/>
      </c>
      <c r="AJ416" s="482" t="str">
        <f>IF($AC$416="","",IFERROR(INDEX($BA$74:$BA$119,MATCH($AH$416,$AY$74:$AY$119,0)),1))</f>
        <v/>
      </c>
      <c r="AK416" s="482" t="str">
        <f t="shared" si="114"/>
        <v/>
      </c>
      <c r="AL416" s="477" t="str">
        <f>IF($AC$416="","",IFERROR(INDEX($BB$74:$BB$119,MATCH($AH$416,$AY$74:$AY$119,0)),$AH$416))</f>
        <v/>
      </c>
      <c r="AM416" s="483" t="str">
        <f t="shared" si="115"/>
        <v/>
      </c>
      <c r="AN416" s="484" t="str">
        <f t="shared" si="116"/>
        <v/>
      </c>
      <c r="AO416" s="473" t="str">
        <f t="shared" si="117"/>
        <v/>
      </c>
      <c r="AP416" s="473" t="str">
        <f t="shared" si="118"/>
        <v/>
      </c>
      <c r="AQ416" s="473" t="str">
        <f t="shared" si="119"/>
        <v/>
      </c>
      <c r="AR416" s="473" t="str">
        <f t="shared" si="120"/>
        <v/>
      </c>
      <c r="AS416" s="473" t="str">
        <f t="shared" si="121"/>
        <v/>
      </c>
      <c r="AT416" s="473" t="str">
        <f t="shared" si="122"/>
        <v/>
      </c>
      <c r="AU416" s="473" t="str">
        <f t="shared" si="123"/>
        <v/>
      </c>
      <c r="AZ416" s="31" t="s">
        <v>29</v>
      </c>
      <c r="BA416" s="34" t="s">
        <v>471</v>
      </c>
      <c r="BB416" s="499"/>
      <c r="BC416" s="271"/>
      <c r="BD416" s="279">
        <v>1</v>
      </c>
      <c r="BE416" s="271"/>
      <c r="BF416" s="271"/>
      <c r="BG416" s="271"/>
      <c r="BH416" s="271"/>
      <c r="BI416" s="271"/>
      <c r="BJ416" s="271"/>
      <c r="BK416" s="271"/>
      <c r="BL416" s="271"/>
    </row>
    <row r="417" spans="1:64" ht="21" customHeight="1" x14ac:dyDescent="0.25">
      <c r="R417" s="34" t="s">
        <v>6112</v>
      </c>
      <c r="S417" s="451"/>
      <c r="T417" s="29" t="s">
        <v>9</v>
      </c>
      <c r="V417" s="475">
        <v>10</v>
      </c>
      <c r="W417" s="475" t="str">
        <f>IF($AC$417="","",$W$396)</f>
        <v/>
      </c>
      <c r="X417" s="476" t="str">
        <f>IF($AC$417="","",$X$396)</f>
        <v/>
      </c>
      <c r="Y417" s="477" t="str">
        <f>IF($X$417="","",$Y$396)</f>
        <v/>
      </c>
      <c r="Z417" s="477" t="str">
        <f>IF($X$417="","",$Z$396)</f>
        <v/>
      </c>
      <c r="AA417" s="477" t="str">
        <f>IF($AC$417="","",ROW($A$417)-ROW($A$396))</f>
        <v/>
      </c>
      <c r="AB417" s="478"/>
      <c r="AC417" s="34"/>
      <c r="AD417" s="356"/>
      <c r="AE417" s="479"/>
      <c r="AF417" s="475"/>
      <c r="AG417" s="480" t="str">
        <f t="shared" si="112"/>
        <v/>
      </c>
      <c r="AH417" s="481" t="str">
        <f t="shared" si="113"/>
        <v/>
      </c>
      <c r="AI417" s="477" t="str">
        <f>IF($AC$417="","",IFERROR(INDEX($AZ$74:$AZ$119,MATCH($AH$417,$AY$74:$AY$119,0)),"AUTRE"))</f>
        <v/>
      </c>
      <c r="AJ417" s="482" t="str">
        <f>IF($AC$417="","",IFERROR(INDEX($BA$74:$BA$119,MATCH($AH$417,$AY$74:$AY$119,0)),1))</f>
        <v/>
      </c>
      <c r="AK417" s="482" t="str">
        <f t="shared" si="114"/>
        <v/>
      </c>
      <c r="AL417" s="477" t="str">
        <f>IF($AC$417="","",IFERROR(INDEX($BB$74:$BB$119,MATCH($AH$417,$AY$74:$AY$119,0)),$AH$417))</f>
        <v/>
      </c>
      <c r="AM417" s="483" t="str">
        <f t="shared" si="115"/>
        <v/>
      </c>
      <c r="AN417" s="484" t="str">
        <f t="shared" si="116"/>
        <v/>
      </c>
      <c r="AO417" s="473" t="str">
        <f t="shared" si="117"/>
        <v/>
      </c>
      <c r="AP417" s="473" t="str">
        <f t="shared" si="118"/>
        <v/>
      </c>
      <c r="AQ417" s="473" t="str">
        <f t="shared" si="119"/>
        <v/>
      </c>
      <c r="AR417" s="473" t="str">
        <f t="shared" si="120"/>
        <v/>
      </c>
      <c r="AS417" s="473" t="str">
        <f t="shared" si="121"/>
        <v/>
      </c>
      <c r="AT417" s="473" t="str">
        <f t="shared" si="122"/>
        <v/>
      </c>
      <c r="AU417" s="473" t="str">
        <f t="shared" si="123"/>
        <v/>
      </c>
      <c r="AZ417" s="31" t="s">
        <v>30</v>
      </c>
      <c r="BA417" s="34" t="s">
        <v>472</v>
      </c>
      <c r="BB417" s="499"/>
      <c r="BC417" s="271"/>
      <c r="BD417" s="279">
        <v>1</v>
      </c>
      <c r="BE417" s="271"/>
      <c r="BF417" s="271"/>
      <c r="BG417" s="271"/>
      <c r="BH417" s="271"/>
      <c r="BI417" s="271"/>
      <c r="BJ417" s="271"/>
      <c r="BK417" s="271"/>
      <c r="BL417" s="271"/>
    </row>
    <row r="418" spans="1:64" ht="21" customHeight="1" x14ac:dyDescent="0.25">
      <c r="R418" s="25" t="s">
        <v>6116</v>
      </c>
      <c r="S418" s="451"/>
      <c r="T418" s="30" t="s">
        <v>10</v>
      </c>
      <c r="V418" s="475">
        <v>10</v>
      </c>
      <c r="W418" s="475" t="str">
        <f>IF($AC$418="","",$W$396)</f>
        <v/>
      </c>
      <c r="X418" s="476" t="str">
        <f>IF($AC$418="","",$X$396)</f>
        <v/>
      </c>
      <c r="Y418" s="477" t="str">
        <f>IF($X$418="","",$Y$396)</f>
        <v/>
      </c>
      <c r="Z418" s="477" t="str">
        <f>IF($X$418="","",$Z$396)</f>
        <v/>
      </c>
      <c r="AA418" s="477" t="str">
        <f>IF($AC$418="","",ROW($A$418)-ROW($A$396))</f>
        <v/>
      </c>
      <c r="AB418" s="478"/>
      <c r="AC418" s="34"/>
      <c r="AD418" s="356"/>
      <c r="AE418" s="479"/>
      <c r="AF418" s="475"/>
      <c r="AG418" s="480" t="str">
        <f t="shared" si="112"/>
        <v/>
      </c>
      <c r="AH418" s="481" t="str">
        <f t="shared" si="113"/>
        <v/>
      </c>
      <c r="AI418" s="477" t="str">
        <f>IF($AC$418="","",IFERROR(INDEX($AZ$74:$AZ$119,MATCH($AH$418,$AY$74:$AY$119,0)),"AUTRE"))</f>
        <v/>
      </c>
      <c r="AJ418" s="482" t="str">
        <f>IF($AC$418="","",IFERROR(INDEX($BA$74:$BA$119,MATCH($AH$418,$AY$74:$AY$119,0)),1))</f>
        <v/>
      </c>
      <c r="AK418" s="482" t="str">
        <f t="shared" si="114"/>
        <v/>
      </c>
      <c r="AL418" s="477" t="str">
        <f>IF($AC$418="","",IFERROR(INDEX($BB$74:$BB$119,MATCH($AH$418,$AY$74:$AY$119,0)),$AH$418))</f>
        <v/>
      </c>
      <c r="AM418" s="483" t="str">
        <f t="shared" si="115"/>
        <v/>
      </c>
      <c r="AN418" s="484" t="str">
        <f t="shared" si="116"/>
        <v/>
      </c>
      <c r="AO418" s="473" t="str">
        <f t="shared" si="117"/>
        <v/>
      </c>
      <c r="AP418" s="473" t="str">
        <f t="shared" si="118"/>
        <v/>
      </c>
      <c r="AQ418" s="473" t="str">
        <f t="shared" si="119"/>
        <v/>
      </c>
      <c r="AR418" s="473" t="str">
        <f t="shared" si="120"/>
        <v/>
      </c>
      <c r="AS418" s="473" t="str">
        <f t="shared" si="121"/>
        <v/>
      </c>
      <c r="AT418" s="473" t="str">
        <f t="shared" si="122"/>
        <v/>
      </c>
      <c r="AU418" s="473" t="str">
        <f t="shared" si="123"/>
        <v/>
      </c>
      <c r="AZ418" s="32" t="s">
        <v>33</v>
      </c>
      <c r="BA418" s="34" t="s">
        <v>6112</v>
      </c>
      <c r="BB418" s="499"/>
      <c r="BC418" s="271"/>
      <c r="BD418" s="279">
        <v>1</v>
      </c>
      <c r="BE418" s="271"/>
      <c r="BF418" s="271"/>
      <c r="BG418" s="271"/>
      <c r="BH418" s="271"/>
      <c r="BI418" s="271"/>
      <c r="BJ418" s="271"/>
      <c r="BK418" s="271"/>
      <c r="BL418" s="271"/>
    </row>
    <row r="419" spans="1:64" ht="21" customHeight="1" x14ac:dyDescent="0.25">
      <c r="R419" s="34" t="s">
        <v>6117</v>
      </c>
      <c r="S419" s="451"/>
      <c r="T419" s="30" t="s">
        <v>11</v>
      </c>
      <c r="V419" s="475">
        <v>10</v>
      </c>
      <c r="W419" s="475" t="str">
        <f>IF($AC$419="","",$W$396)</f>
        <v/>
      </c>
      <c r="X419" s="476" t="str">
        <f>IF($AC$419="","",$X$396)</f>
        <v/>
      </c>
      <c r="Y419" s="477" t="str">
        <f>IF($X$419="","",$Y$396)</f>
        <v/>
      </c>
      <c r="Z419" s="477" t="str">
        <f>IF($X$419="","",$Z$396)</f>
        <v/>
      </c>
      <c r="AA419" s="477" t="str">
        <f>IF($AC$419="","",ROW($A$419)-ROW($A$396))</f>
        <v/>
      </c>
      <c r="AB419" s="478"/>
      <c r="AC419" s="34"/>
      <c r="AD419" s="356"/>
      <c r="AE419" s="479"/>
      <c r="AF419" s="475"/>
      <c r="AG419" s="480" t="str">
        <f t="shared" si="112"/>
        <v/>
      </c>
      <c r="AH419" s="481" t="str">
        <f t="shared" si="113"/>
        <v/>
      </c>
      <c r="AI419" s="477" t="str">
        <f>IF($AC$419="","",IFERROR(INDEX($AZ$74:$AZ$119,MATCH($AH$419,$AY$74:$AY$119,0)),"AUTRE"))</f>
        <v/>
      </c>
      <c r="AJ419" s="482" t="str">
        <f>IF($AC$419="","",IFERROR(INDEX($BA$74:$BA$119,MATCH($AH$419,$AY$74:$AY$119,0)),1))</f>
        <v/>
      </c>
      <c r="AK419" s="482" t="str">
        <f t="shared" si="114"/>
        <v/>
      </c>
      <c r="AL419" s="477" t="str">
        <f>IF($AC$419="","",IFERROR(INDEX($BB$74:$BB$119,MATCH($AH$419,$AY$74:$AY$119,0)),$AH$419))</f>
        <v/>
      </c>
      <c r="AM419" s="483" t="str">
        <f t="shared" si="115"/>
        <v/>
      </c>
      <c r="AN419" s="484" t="str">
        <f t="shared" si="116"/>
        <v/>
      </c>
      <c r="AO419" s="473" t="str">
        <f t="shared" si="117"/>
        <v/>
      </c>
      <c r="AP419" s="473" t="str">
        <f t="shared" si="118"/>
        <v/>
      </c>
      <c r="AQ419" s="473" t="str">
        <f t="shared" si="119"/>
        <v/>
      </c>
      <c r="AR419" s="473" t="str">
        <f t="shared" si="120"/>
        <v/>
      </c>
      <c r="AS419" s="473" t="str">
        <f t="shared" si="121"/>
        <v/>
      </c>
      <c r="AT419" s="473" t="str">
        <f t="shared" si="122"/>
        <v/>
      </c>
      <c r="AU419" s="473" t="str">
        <f t="shared" si="123"/>
        <v/>
      </c>
      <c r="AZ419" s="32" t="s">
        <v>8125</v>
      </c>
      <c r="BA419" s="25" t="s">
        <v>6116</v>
      </c>
      <c r="BB419" s="499"/>
      <c r="BC419" s="271"/>
      <c r="BD419" s="279">
        <v>1</v>
      </c>
      <c r="BE419" s="271"/>
      <c r="BF419" s="271"/>
      <c r="BG419" s="271"/>
      <c r="BH419" s="271"/>
      <c r="BI419" s="271"/>
      <c r="BJ419" s="271"/>
      <c r="BK419" s="271"/>
      <c r="BL419" s="271"/>
    </row>
    <row r="420" spans="1:64" ht="21" customHeight="1" x14ac:dyDescent="0.25">
      <c r="R420" s="34" t="s">
        <v>469</v>
      </c>
      <c r="S420" s="451"/>
      <c r="T420" s="30" t="s">
        <v>12</v>
      </c>
      <c r="V420" s="475">
        <v>10</v>
      </c>
      <c r="W420" s="475" t="str">
        <f>IF($AC$420="","",$W$396)</f>
        <v/>
      </c>
      <c r="X420" s="476" t="str">
        <f>IF($AC$420="","",$X$396)</f>
        <v/>
      </c>
      <c r="Y420" s="477" t="str">
        <f>IF($X$420="","",$Y$396)</f>
        <v/>
      </c>
      <c r="Z420" s="477" t="str">
        <f>IF($X$420="","",$Z$396)</f>
        <v/>
      </c>
      <c r="AA420" s="477" t="str">
        <f>IF($AC$420="","",ROW($A$420)-ROW($A$396))</f>
        <v/>
      </c>
      <c r="AB420" s="478"/>
      <c r="AC420" s="34"/>
      <c r="AD420" s="356"/>
      <c r="AE420" s="479"/>
      <c r="AF420" s="475"/>
      <c r="AG420" s="480" t="str">
        <f t="shared" si="112"/>
        <v/>
      </c>
      <c r="AH420" s="481" t="str">
        <f t="shared" si="113"/>
        <v/>
      </c>
      <c r="AI420" s="477" t="str">
        <f>IF($AC$420="","",IFERROR(INDEX($AZ$74:$AZ$119,MATCH($AH$420,$AY$74:$AY$119,0)),"AUTRE"))</f>
        <v/>
      </c>
      <c r="AJ420" s="482" t="str">
        <f>IF($AC$420="","",IFERROR(INDEX($BA$74:$BA$119,MATCH($AH$420,$AY$74:$AY$119,0)),1))</f>
        <v/>
      </c>
      <c r="AK420" s="482" t="str">
        <f t="shared" si="114"/>
        <v/>
      </c>
      <c r="AL420" s="477" t="str">
        <f>IF($AC$420="","",IFERROR(INDEX($BB$74:$BB$119,MATCH($AH$420,$AY$74:$AY$119,0)),$AH$420))</f>
        <v/>
      </c>
      <c r="AM420" s="483" t="str">
        <f t="shared" si="115"/>
        <v/>
      </c>
      <c r="AN420" s="484" t="str">
        <f t="shared" si="116"/>
        <v/>
      </c>
      <c r="AO420" s="473" t="str">
        <f t="shared" si="117"/>
        <v/>
      </c>
      <c r="AP420" s="473" t="str">
        <f t="shared" si="118"/>
        <v/>
      </c>
      <c r="AQ420" s="473" t="str">
        <f t="shared" si="119"/>
        <v/>
      </c>
      <c r="AR420" s="473" t="str">
        <f t="shared" si="120"/>
        <v/>
      </c>
      <c r="AS420" s="473" t="str">
        <f t="shared" si="121"/>
        <v/>
      </c>
      <c r="AT420" s="473" t="str">
        <f t="shared" si="122"/>
        <v/>
      </c>
      <c r="AU420" s="473" t="str">
        <f t="shared" si="123"/>
        <v/>
      </c>
      <c r="AZ420" s="32" t="s">
        <v>8127</v>
      </c>
      <c r="BA420" s="34" t="s">
        <v>6117</v>
      </c>
      <c r="BB420" s="499"/>
      <c r="BC420" s="271"/>
      <c r="BD420" s="279">
        <v>1</v>
      </c>
      <c r="BE420" s="271"/>
      <c r="BF420" s="271"/>
      <c r="BG420" s="271"/>
      <c r="BH420" s="271"/>
      <c r="BI420" s="271"/>
      <c r="BJ420" s="271"/>
      <c r="BK420" s="271"/>
      <c r="BL420" s="271"/>
    </row>
    <row r="421" spans="1:64" ht="21" customHeight="1" x14ac:dyDescent="0.25">
      <c r="R421" s="34" t="s">
        <v>6118</v>
      </c>
      <c r="S421" s="451"/>
      <c r="T421" s="31" t="s">
        <v>16</v>
      </c>
      <c r="V421" s="475">
        <v>10</v>
      </c>
      <c r="W421" s="475" t="str">
        <f>IF($AC$421="","",$W$396)</f>
        <v/>
      </c>
      <c r="X421" s="476" t="str">
        <f>IF($AC$421="","",$X$396)</f>
        <v/>
      </c>
      <c r="Y421" s="477" t="str">
        <f>IF($X$421="","",$Y$396)</f>
        <v/>
      </c>
      <c r="Z421" s="477" t="str">
        <f>IF($X$421="","",$Z$396)</f>
        <v/>
      </c>
      <c r="AA421" s="477" t="str">
        <f>IF($AC$421="","",ROW($A$421)-ROW($A$396))</f>
        <v/>
      </c>
      <c r="AB421" s="478"/>
      <c r="AC421" s="34"/>
      <c r="AD421" s="356"/>
      <c r="AE421" s="479"/>
      <c r="AF421" s="475"/>
      <c r="AG421" s="480" t="str">
        <f t="shared" si="112"/>
        <v/>
      </c>
      <c r="AH421" s="481" t="str">
        <f t="shared" si="113"/>
        <v/>
      </c>
      <c r="AI421" s="477" t="str">
        <f>IF($AC$421="","",IFERROR(INDEX($AZ$74:$AZ$119,MATCH($AH$421,$AY$74:$AY$119,0)),"AUTRE"))</f>
        <v/>
      </c>
      <c r="AJ421" s="482" t="str">
        <f>IF($AC$421="","",IFERROR(INDEX($BA$74:$BA$119,MATCH($AH$421,$AY$74:$AY$119,0)),1))</f>
        <v/>
      </c>
      <c r="AK421" s="482" t="str">
        <f t="shared" si="114"/>
        <v/>
      </c>
      <c r="AL421" s="477" t="str">
        <f>IF($AC$421="","",IFERROR(INDEX($BB$74:$BB$119,MATCH($AH$421,$AY$74:$AY$119,0)),$AH$421))</f>
        <v/>
      </c>
      <c r="AM421" s="483" t="str">
        <f t="shared" si="115"/>
        <v/>
      </c>
      <c r="AN421" s="484" t="str">
        <f t="shared" si="116"/>
        <v/>
      </c>
      <c r="AO421" s="473" t="str">
        <f t="shared" si="117"/>
        <v/>
      </c>
      <c r="AP421" s="473" t="str">
        <f t="shared" si="118"/>
        <v/>
      </c>
      <c r="AQ421" s="473" t="str">
        <f t="shared" si="119"/>
        <v/>
      </c>
      <c r="AR421" s="473" t="str">
        <f t="shared" si="120"/>
        <v/>
      </c>
      <c r="AS421" s="473" t="str">
        <f t="shared" si="121"/>
        <v/>
      </c>
      <c r="AT421" s="473" t="str">
        <f t="shared" si="122"/>
        <v/>
      </c>
      <c r="AU421" s="473" t="str">
        <f t="shared" si="123"/>
        <v/>
      </c>
      <c r="AZ421" s="32" t="s">
        <v>320</v>
      </c>
      <c r="BA421" s="34" t="s">
        <v>469</v>
      </c>
      <c r="BB421" s="499"/>
      <c r="BC421" s="271"/>
      <c r="BD421" s="279">
        <v>1</v>
      </c>
      <c r="BE421" s="271"/>
      <c r="BF421" s="271"/>
      <c r="BG421" s="271"/>
      <c r="BH421" s="271"/>
      <c r="BI421" s="271"/>
      <c r="BJ421" s="271"/>
      <c r="BK421" s="271"/>
      <c r="BL421" s="271"/>
    </row>
    <row r="422" spans="1:64" ht="21" customHeight="1" x14ac:dyDescent="0.25">
      <c r="R422" s="34" t="s">
        <v>492</v>
      </c>
      <c r="S422" s="451"/>
      <c r="T422" s="31" t="s">
        <v>17</v>
      </c>
      <c r="V422" s="475">
        <v>10</v>
      </c>
      <c r="W422" s="475" t="str">
        <f>IF($AC$422="","",$W$396)</f>
        <v/>
      </c>
      <c r="X422" s="476" t="str">
        <f>IF($AC$422="","",$X$396)</f>
        <v/>
      </c>
      <c r="Y422" s="477" t="str">
        <f>IF($X$422="","",$Y$396)</f>
        <v/>
      </c>
      <c r="Z422" s="477" t="str">
        <f>IF($X$422="","",$Z$396)</f>
        <v/>
      </c>
      <c r="AA422" s="477" t="str">
        <f>IF($AC$422="","",ROW($A$422)-ROW($A$396))</f>
        <v/>
      </c>
      <c r="AB422" s="478"/>
      <c r="AC422" s="34"/>
      <c r="AD422" s="356"/>
      <c r="AE422" s="479"/>
      <c r="AF422" s="475"/>
      <c r="AG422" s="480" t="str">
        <f t="shared" si="112"/>
        <v/>
      </c>
      <c r="AH422" s="481" t="str">
        <f t="shared" si="113"/>
        <v/>
      </c>
      <c r="AI422" s="477" t="str">
        <f>IF($AC$422="","",IFERROR(INDEX($AZ$74:$AZ$119,MATCH($AH$422,$AY$74:$AY$119,0)),"AUTRE"))</f>
        <v/>
      </c>
      <c r="AJ422" s="482" t="str">
        <f>IF($AC$422="","",IFERROR(INDEX($BA$74:$BA$119,MATCH($AH$422,$AY$74:$AY$119,0)),1))</f>
        <v/>
      </c>
      <c r="AK422" s="482" t="str">
        <f t="shared" si="114"/>
        <v/>
      </c>
      <c r="AL422" s="477" t="str">
        <f>IF($AC$422="","",IFERROR(INDEX($BB$74:$BB$119,MATCH($AH$422,$AY$74:$AY$119,0)),$AH$422))</f>
        <v/>
      </c>
      <c r="AM422" s="483" t="str">
        <f t="shared" si="115"/>
        <v/>
      </c>
      <c r="AN422" s="484" t="str">
        <f t="shared" si="116"/>
        <v/>
      </c>
      <c r="AO422" s="473" t="str">
        <f t="shared" si="117"/>
        <v/>
      </c>
      <c r="AP422" s="473" t="str">
        <f t="shared" si="118"/>
        <v/>
      </c>
      <c r="AQ422" s="473" t="str">
        <f t="shared" si="119"/>
        <v/>
      </c>
      <c r="AR422" s="473" t="str">
        <f t="shared" si="120"/>
        <v/>
      </c>
      <c r="AS422" s="473" t="str">
        <f t="shared" si="121"/>
        <v/>
      </c>
      <c r="AT422" s="473" t="str">
        <f t="shared" si="122"/>
        <v/>
      </c>
      <c r="AU422" s="473" t="str">
        <f t="shared" si="123"/>
        <v/>
      </c>
      <c r="AZ422" s="32" t="s">
        <v>318</v>
      </c>
      <c r="BA422" s="34" t="s">
        <v>6118</v>
      </c>
      <c r="BB422" s="499"/>
      <c r="BC422" s="271"/>
      <c r="BD422" s="279">
        <v>1</v>
      </c>
      <c r="BE422" s="271"/>
      <c r="BF422" s="271"/>
      <c r="BG422" s="271"/>
      <c r="BH422" s="271"/>
      <c r="BI422" s="271"/>
      <c r="BJ422" s="271"/>
      <c r="BK422" s="271"/>
      <c r="BL422" s="271"/>
    </row>
    <row r="423" spans="1:64" ht="21" customHeight="1" x14ac:dyDescent="0.25">
      <c r="R423" s="34" t="s">
        <v>458</v>
      </c>
      <c r="S423" s="451"/>
      <c r="T423" s="31" t="s">
        <v>18</v>
      </c>
      <c r="V423" s="475">
        <v>10</v>
      </c>
      <c r="W423" s="475" t="str">
        <f>IF($AC$423="","",$W$396)</f>
        <v/>
      </c>
      <c r="X423" s="476" t="str">
        <f>IF($AC$423="","",$X$396)</f>
        <v/>
      </c>
      <c r="Y423" s="477" t="str">
        <f>IF($X$423="","",$Y$396)</f>
        <v/>
      </c>
      <c r="Z423" s="477" t="str">
        <f>IF($X$423="","",$Z$396)</f>
        <v/>
      </c>
      <c r="AA423" s="477" t="str">
        <f>IF($AC$423="","",ROW($A$423)-ROW($A$396))</f>
        <v/>
      </c>
      <c r="AB423" s="478"/>
      <c r="AC423" s="34"/>
      <c r="AD423" s="356"/>
      <c r="AE423" s="479"/>
      <c r="AF423" s="475"/>
      <c r="AG423" s="480" t="str">
        <f t="shared" si="112"/>
        <v/>
      </c>
      <c r="AH423" s="481" t="str">
        <f t="shared" si="113"/>
        <v/>
      </c>
      <c r="AI423" s="477" t="str">
        <f>IF($AC$423="","",IFERROR(INDEX($AZ$74:$AZ$119,MATCH($AH$423,$AY$74:$AY$119,0)),"AUTRE"))</f>
        <v/>
      </c>
      <c r="AJ423" s="482" t="str">
        <f>IF($AC$423="","",IFERROR(INDEX($BA$74:$BA$119,MATCH($AH$423,$AY$74:$AY$119,0)),1))</f>
        <v/>
      </c>
      <c r="AK423" s="482" t="str">
        <f t="shared" si="114"/>
        <v/>
      </c>
      <c r="AL423" s="477" t="str">
        <f>IF($AC$423="","",IFERROR(INDEX($BB$74:$BB$119,MATCH($AH$423,$AY$74:$AY$119,0)),$AH$423))</f>
        <v/>
      </c>
      <c r="AM423" s="483" t="str">
        <f t="shared" si="115"/>
        <v/>
      </c>
      <c r="AN423" s="484" t="str">
        <f t="shared" si="116"/>
        <v/>
      </c>
      <c r="AO423" s="473" t="str">
        <f t="shared" si="117"/>
        <v/>
      </c>
      <c r="AP423" s="473" t="str">
        <f t="shared" si="118"/>
        <v/>
      </c>
      <c r="AQ423" s="473" t="str">
        <f t="shared" si="119"/>
        <v/>
      </c>
      <c r="AR423" s="473" t="str">
        <f t="shared" si="120"/>
        <v/>
      </c>
      <c r="AS423" s="473" t="str">
        <f t="shared" si="121"/>
        <v/>
      </c>
      <c r="AT423" s="473" t="str">
        <f t="shared" si="122"/>
        <v/>
      </c>
      <c r="AU423" s="473" t="str">
        <f t="shared" si="123"/>
        <v/>
      </c>
      <c r="AZ423" s="32" t="s">
        <v>316</v>
      </c>
      <c r="BA423" s="34" t="s">
        <v>492</v>
      </c>
      <c r="BB423" s="499"/>
      <c r="BC423" s="271"/>
      <c r="BD423" s="279">
        <v>1</v>
      </c>
      <c r="BE423" s="271"/>
      <c r="BF423" s="271"/>
      <c r="BG423" s="271"/>
      <c r="BH423" s="271"/>
      <c r="BI423" s="271"/>
      <c r="BJ423" s="271"/>
      <c r="BK423" s="271"/>
      <c r="BL423" s="271"/>
    </row>
    <row r="424" spans="1:64" ht="21" customHeight="1" x14ac:dyDescent="0.25">
      <c r="R424" s="490"/>
      <c r="S424" s="451"/>
      <c r="T424" s="31" t="s">
        <v>19</v>
      </c>
      <c r="V424" s="475">
        <v>10</v>
      </c>
      <c r="W424" s="475" t="str">
        <f>IF($AC$424="","",$W$396)</f>
        <v/>
      </c>
      <c r="X424" s="476" t="str">
        <f>IF($AC$424="","",$X$396)</f>
        <v/>
      </c>
      <c r="Y424" s="477" t="str">
        <f>IF($X$424="","",$Y$396)</f>
        <v/>
      </c>
      <c r="Z424" s="477" t="str">
        <f>IF($X$424="","",$Z$396)</f>
        <v/>
      </c>
      <c r="AA424" s="477" t="str">
        <f>IF($AC$424="","",ROW($A$424)-ROW($A$396))</f>
        <v/>
      </c>
      <c r="AB424" s="478"/>
      <c r="AC424" s="34"/>
      <c r="AD424" s="356"/>
      <c r="AE424" s="479"/>
      <c r="AF424" s="475"/>
      <c r="AG424" s="480" t="str">
        <f t="shared" si="112"/>
        <v/>
      </c>
      <c r="AH424" s="481" t="str">
        <f t="shared" si="113"/>
        <v/>
      </c>
      <c r="AI424" s="477" t="str">
        <f>IF($AC$424="","",IFERROR(INDEX($AZ$74:$AZ$119,MATCH($AH$424,$AY$74:$AY$119,0)),"AUTRE"))</f>
        <v/>
      </c>
      <c r="AJ424" s="482" t="str">
        <f>IF($AC$424="","",IFERROR(INDEX($BA$74:$BA$119,MATCH($AH$424,$AY$74:$AY$119,0)),1))</f>
        <v/>
      </c>
      <c r="AK424" s="482" t="str">
        <f t="shared" si="114"/>
        <v/>
      </c>
      <c r="AL424" s="477" t="str">
        <f>IF($AC$424="","",IFERROR(INDEX($BB$74:$BB$119,MATCH($AH$424,$AY$74:$AY$119,0)),$AH$424))</f>
        <v/>
      </c>
      <c r="AM424" s="483" t="str">
        <f t="shared" si="115"/>
        <v/>
      </c>
      <c r="AN424" s="484" t="str">
        <f t="shared" si="116"/>
        <v/>
      </c>
      <c r="AO424" s="473" t="str">
        <f t="shared" si="117"/>
        <v/>
      </c>
      <c r="AP424" s="473" t="str">
        <f t="shared" si="118"/>
        <v/>
      </c>
      <c r="AQ424" s="473" t="str">
        <f t="shared" si="119"/>
        <v/>
      </c>
      <c r="AR424" s="473" t="str">
        <f t="shared" si="120"/>
        <v/>
      </c>
      <c r="AS424" s="473" t="str">
        <f t="shared" si="121"/>
        <v/>
      </c>
      <c r="AT424" s="473" t="str">
        <f t="shared" si="122"/>
        <v/>
      </c>
      <c r="AU424" s="473" t="str">
        <f t="shared" si="123"/>
        <v/>
      </c>
      <c r="AY424" s="271"/>
      <c r="AZ424" s="32" t="s">
        <v>313</v>
      </c>
      <c r="BA424" s="34" t="s">
        <v>458</v>
      </c>
      <c r="BB424" s="499"/>
      <c r="BC424" s="271"/>
      <c r="BD424" s="279">
        <v>1</v>
      </c>
      <c r="BE424" s="271"/>
      <c r="BF424" s="271"/>
      <c r="BG424" s="271"/>
      <c r="BH424" s="271"/>
      <c r="BI424" s="271"/>
      <c r="BJ424" s="271"/>
      <c r="BK424" s="271"/>
      <c r="BL424" s="271"/>
    </row>
    <row r="425" spans="1:64" ht="21" customHeight="1" x14ac:dyDescent="0.25">
      <c r="R425" s="25" t="s">
        <v>6119</v>
      </c>
      <c r="S425" s="451"/>
      <c r="T425" s="31" t="s">
        <v>211</v>
      </c>
      <c r="V425" s="475">
        <v>10</v>
      </c>
      <c r="W425" s="475" t="str">
        <f>IF($AC$425="","",$W$396)</f>
        <v/>
      </c>
      <c r="X425" s="476" t="str">
        <f>IF($AC$425="","",$X$396)</f>
        <v/>
      </c>
      <c r="Y425" s="477" t="str">
        <f>IF($X$425="","",$Y$396)</f>
        <v/>
      </c>
      <c r="Z425" s="477" t="str">
        <f>IF($X$425="","",$Z$396)</f>
        <v/>
      </c>
      <c r="AA425" s="477" t="str">
        <f>IF($AC$425="","",ROW($A$425)-ROW($A$396))</f>
        <v/>
      </c>
      <c r="AB425" s="478"/>
      <c r="AC425" s="34"/>
      <c r="AD425" s="356"/>
      <c r="AE425" s="479"/>
      <c r="AF425" s="475"/>
      <c r="AG425" s="480" t="str">
        <f t="shared" si="112"/>
        <v/>
      </c>
      <c r="AH425" s="481" t="str">
        <f t="shared" si="113"/>
        <v/>
      </c>
      <c r="AI425" s="477" t="str">
        <f>IF($AC$425="","",IFERROR(INDEX($AZ$74:$AZ$119,MATCH($AH$425,$AY$74:$AY$119,0)),"AUTRE"))</f>
        <v/>
      </c>
      <c r="AJ425" s="482" t="str">
        <f>IF($AC$425="","",IFERROR(INDEX($BA$74:$BA$119,MATCH($AH$425,$AY$74:$AY$119,0)),1))</f>
        <v/>
      </c>
      <c r="AK425" s="482" t="str">
        <f t="shared" si="114"/>
        <v/>
      </c>
      <c r="AL425" s="477" t="str">
        <f>IF($AC$425="","",IFERROR(INDEX($BB$74:$BB$119,MATCH($AH$425,$AY$74:$AY$119,0)),$AH$425))</f>
        <v/>
      </c>
      <c r="AM425" s="483" t="str">
        <f t="shared" si="115"/>
        <v/>
      </c>
      <c r="AN425" s="484" t="str">
        <f t="shared" si="116"/>
        <v/>
      </c>
      <c r="AO425" s="473" t="str">
        <f t="shared" si="117"/>
        <v/>
      </c>
      <c r="AP425" s="473" t="str">
        <f t="shared" si="118"/>
        <v/>
      </c>
      <c r="AQ425" s="473" t="str">
        <f t="shared" si="119"/>
        <v/>
      </c>
      <c r="AR425" s="473" t="str">
        <f t="shared" si="120"/>
        <v/>
      </c>
      <c r="AS425" s="473" t="str">
        <f t="shared" si="121"/>
        <v/>
      </c>
      <c r="AT425" s="473" t="str">
        <f t="shared" si="122"/>
        <v/>
      </c>
      <c r="AU425" s="473" t="str">
        <f t="shared" si="123"/>
        <v/>
      </c>
      <c r="AY425" s="497" t="s">
        <v>8145</v>
      </c>
      <c r="AZ425" s="32" t="s">
        <v>307</v>
      </c>
      <c r="BA425" s="490"/>
      <c r="BB425" s="499"/>
      <c r="BC425" s="271"/>
      <c r="BD425" s="279">
        <v>1</v>
      </c>
      <c r="BE425" s="271"/>
      <c r="BF425" s="271"/>
      <c r="BG425" s="271"/>
      <c r="BH425" s="271"/>
      <c r="BI425" s="271"/>
      <c r="BJ425" s="271"/>
      <c r="BK425" s="271"/>
      <c r="BL425" s="271"/>
    </row>
    <row r="426" spans="1:64" ht="21" customHeight="1" x14ac:dyDescent="0.25">
      <c r="R426" s="34" t="s">
        <v>6120</v>
      </c>
      <c r="S426" s="451"/>
      <c r="T426" s="31" t="s">
        <v>20</v>
      </c>
      <c r="V426" s="475">
        <v>10</v>
      </c>
      <c r="W426" s="475" t="str">
        <f>IF($AC$426="","",$W$396)</f>
        <v/>
      </c>
      <c r="X426" s="476" t="str">
        <f>IF($AC$426="","",$X$396)</f>
        <v/>
      </c>
      <c r="Y426" s="477" t="str">
        <f>IF($X$426="","",$Y$396)</f>
        <v/>
      </c>
      <c r="Z426" s="477" t="str">
        <f>IF($X$426="","",$Z$396)</f>
        <v/>
      </c>
      <c r="AA426" s="477" t="str">
        <f>IF($AC$426="","",ROW($A$426)-ROW($A$396))</f>
        <v/>
      </c>
      <c r="AB426" s="478"/>
      <c r="AC426" s="34"/>
      <c r="AD426" s="356"/>
      <c r="AE426" s="479"/>
      <c r="AF426" s="475"/>
      <c r="AG426" s="480" t="str">
        <f t="shared" si="112"/>
        <v/>
      </c>
      <c r="AH426" s="481" t="str">
        <f t="shared" si="113"/>
        <v/>
      </c>
      <c r="AI426" s="477" t="str">
        <f>IF($AC$426="","",IFERROR(INDEX($AZ$74:$AZ$119,MATCH($AH$426,$AY$74:$AY$119,0)),"AUTRE"))</f>
        <v/>
      </c>
      <c r="AJ426" s="482" t="str">
        <f>IF($AC$426="","",IFERROR(INDEX($BA$74:$BA$119,MATCH($AH$426,$AY$74:$AY$119,0)),1))</f>
        <v/>
      </c>
      <c r="AK426" s="482" t="str">
        <f t="shared" si="114"/>
        <v/>
      </c>
      <c r="AL426" s="477" t="str">
        <f>IF($AC$426="","",IFERROR(INDEX($BB$74:$BB$119,MATCH($AH$426,$AY$74:$AY$119,0)),$AH$426))</f>
        <v/>
      </c>
      <c r="AM426" s="483" t="str">
        <f t="shared" si="115"/>
        <v/>
      </c>
      <c r="AN426" s="484" t="str">
        <f t="shared" si="116"/>
        <v/>
      </c>
      <c r="AO426" s="473" t="str">
        <f t="shared" si="117"/>
        <v/>
      </c>
      <c r="AP426" s="473" t="str">
        <f t="shared" si="118"/>
        <v/>
      </c>
      <c r="AQ426" s="473" t="str">
        <f t="shared" si="119"/>
        <v/>
      </c>
      <c r="AR426" s="473" t="str">
        <f t="shared" si="120"/>
        <v/>
      </c>
      <c r="AS426" s="473" t="str">
        <f t="shared" si="121"/>
        <v/>
      </c>
      <c r="AT426" s="473" t="str">
        <f t="shared" si="122"/>
        <v/>
      </c>
      <c r="AU426" s="473" t="str">
        <f t="shared" si="123"/>
        <v/>
      </c>
      <c r="AY426" s="497" t="s">
        <v>462</v>
      </c>
      <c r="AZ426" s="32" t="s">
        <v>322</v>
      </c>
      <c r="BA426" s="25" t="s">
        <v>6119</v>
      </c>
      <c r="BB426" s="499"/>
      <c r="BC426" s="271"/>
      <c r="BD426" s="279">
        <v>1</v>
      </c>
      <c r="BE426" s="271"/>
      <c r="BF426" s="271"/>
      <c r="BG426" s="271"/>
      <c r="BH426" s="271"/>
      <c r="BI426" s="271"/>
      <c r="BJ426" s="271"/>
      <c r="BK426" s="271"/>
      <c r="BL426" s="271"/>
    </row>
    <row r="427" spans="1:64" ht="21" customHeight="1" x14ac:dyDescent="0.25">
      <c r="R427" s="34" t="s">
        <v>6121</v>
      </c>
      <c r="S427" s="451"/>
      <c r="T427" s="31" t="s">
        <v>304</v>
      </c>
      <c r="V427" s="475">
        <v>10</v>
      </c>
      <c r="W427" s="475" t="str">
        <f>IF($AC$427="","",$W$396)</f>
        <v/>
      </c>
      <c r="X427" s="476" t="str">
        <f>IF($AC$427="","",$X$396)</f>
        <v/>
      </c>
      <c r="Y427" s="477" t="str">
        <f>IF($X$427="","",$Y$396)</f>
        <v/>
      </c>
      <c r="Z427" s="477" t="str">
        <f>IF($X$427="","",$Z$396)</f>
        <v/>
      </c>
      <c r="AA427" s="477" t="str">
        <f>IF($AC$427="","",ROW($A$427)-ROW($A$396))</f>
        <v/>
      </c>
      <c r="AB427" s="478"/>
      <c r="AC427" s="34"/>
      <c r="AD427" s="356"/>
      <c r="AE427" s="479"/>
      <c r="AF427" s="475"/>
      <c r="AG427" s="480" t="str">
        <f t="shared" si="112"/>
        <v/>
      </c>
      <c r="AH427" s="481" t="str">
        <f t="shared" si="113"/>
        <v/>
      </c>
      <c r="AI427" s="477" t="str">
        <f>IF($AC$427="","",IFERROR(INDEX($AZ$74:$AZ$119,MATCH($AH$427,$AY$74:$AY$119,0)),"AUTRE"))</f>
        <v/>
      </c>
      <c r="AJ427" s="482" t="str">
        <f>IF($AC$427="","",IFERROR(INDEX($BA$74:$BA$119,MATCH($AH$427,$AY$74:$AY$119,0)),1))</f>
        <v/>
      </c>
      <c r="AK427" s="482" t="str">
        <f t="shared" si="114"/>
        <v/>
      </c>
      <c r="AL427" s="477" t="str">
        <f>IF($AC$427="","",IFERROR(INDEX($BB$74:$BB$119,MATCH($AH$427,$AY$74:$AY$119,0)),$AH$427))</f>
        <v/>
      </c>
      <c r="AM427" s="483" t="str">
        <f t="shared" si="115"/>
        <v/>
      </c>
      <c r="AN427" s="484" t="str">
        <f t="shared" si="116"/>
        <v/>
      </c>
      <c r="AO427" s="473" t="str">
        <f t="shared" si="117"/>
        <v/>
      </c>
      <c r="AP427" s="473" t="str">
        <f t="shared" si="118"/>
        <v/>
      </c>
      <c r="AQ427" s="473" t="str">
        <f t="shared" si="119"/>
        <v/>
      </c>
      <c r="AR427" s="473" t="str">
        <f t="shared" si="120"/>
        <v/>
      </c>
      <c r="AS427" s="473" t="str">
        <f t="shared" si="121"/>
        <v/>
      </c>
      <c r="AT427" s="473" t="str">
        <f t="shared" si="122"/>
        <v/>
      </c>
      <c r="AU427" s="473" t="str">
        <f t="shared" si="123"/>
        <v/>
      </c>
      <c r="AY427" s="497" t="s">
        <v>463</v>
      </c>
      <c r="AZ427" s="32" t="s">
        <v>305</v>
      </c>
      <c r="BA427" s="34" t="s">
        <v>6120</v>
      </c>
      <c r="BB427" s="499"/>
      <c r="BC427" s="271"/>
      <c r="BD427" s="279">
        <v>1</v>
      </c>
      <c r="BE427" s="271"/>
      <c r="BF427" s="271"/>
      <c r="BG427" s="271"/>
      <c r="BH427" s="271"/>
      <c r="BI427" s="271"/>
      <c r="BJ427" s="271"/>
      <c r="BK427" s="271"/>
      <c r="BL427" s="271"/>
    </row>
    <row r="428" spans="1:64" ht="21" customHeight="1" x14ac:dyDescent="0.25">
      <c r="R428" s="34" t="s">
        <v>6122</v>
      </c>
      <c r="S428" s="451"/>
      <c r="T428" s="31" t="s">
        <v>352</v>
      </c>
      <c r="V428" s="475">
        <v>10</v>
      </c>
      <c r="W428" s="475" t="str">
        <f>IF($AC$428="","",$W$396)</f>
        <v/>
      </c>
      <c r="X428" s="476" t="str">
        <f>IF($AC$428="","",$X$396)</f>
        <v/>
      </c>
      <c r="Y428" s="477" t="str">
        <f>IF($X$428="","",$Y$396)</f>
        <v/>
      </c>
      <c r="Z428" s="477" t="str">
        <f>IF($X$428="","",$Z$396)</f>
        <v/>
      </c>
      <c r="AA428" s="477" t="str">
        <f>IF($AC$428="","",ROW($A$428)-ROW($A$396))</f>
        <v/>
      </c>
      <c r="AB428" s="478"/>
      <c r="AC428" s="34"/>
      <c r="AD428" s="356"/>
      <c r="AE428" s="479"/>
      <c r="AF428" s="475"/>
      <c r="AG428" s="480" t="str">
        <f t="shared" si="112"/>
        <v/>
      </c>
      <c r="AH428" s="481" t="str">
        <f t="shared" si="113"/>
        <v/>
      </c>
      <c r="AI428" s="477" t="str">
        <f>IF($AC$428="","",IFERROR(INDEX($AZ$74:$AZ$119,MATCH($AH$428,$AY$74:$AY$119,0)),"AUTRE"))</f>
        <v/>
      </c>
      <c r="AJ428" s="482" t="str">
        <f>IF($AC$428="","",IFERROR(INDEX($BA$74:$BA$119,MATCH($AH$428,$AY$74:$AY$119,0)),1))</f>
        <v/>
      </c>
      <c r="AK428" s="482" t="str">
        <f t="shared" si="114"/>
        <v/>
      </c>
      <c r="AL428" s="477" t="str">
        <f>IF($AC$428="","",IFERROR(INDEX($BB$74:$BB$119,MATCH($AH$428,$AY$74:$AY$119,0)),$AH$428))</f>
        <v/>
      </c>
      <c r="AM428" s="483" t="str">
        <f t="shared" si="115"/>
        <v/>
      </c>
      <c r="AN428" s="484" t="str">
        <f t="shared" si="116"/>
        <v/>
      </c>
      <c r="AO428" s="473" t="str">
        <f t="shared" si="117"/>
        <v/>
      </c>
      <c r="AP428" s="473" t="str">
        <f t="shared" si="118"/>
        <v/>
      </c>
      <c r="AQ428" s="473" t="str">
        <f t="shared" si="119"/>
        <v/>
      </c>
      <c r="AR428" s="473" t="str">
        <f t="shared" si="120"/>
        <v/>
      </c>
      <c r="AS428" s="473" t="str">
        <f t="shared" si="121"/>
        <v/>
      </c>
      <c r="AT428" s="473" t="str">
        <f t="shared" si="122"/>
        <v/>
      </c>
      <c r="AU428" s="473" t="str">
        <f t="shared" si="123"/>
        <v/>
      </c>
      <c r="AY428" s="497" t="s">
        <v>8147</v>
      </c>
      <c r="AZ428" s="32" t="s">
        <v>8129</v>
      </c>
      <c r="BA428" s="34" t="s">
        <v>6121</v>
      </c>
      <c r="BB428" s="499"/>
      <c r="BC428" s="271"/>
      <c r="BD428" s="279">
        <v>1</v>
      </c>
      <c r="BE428" s="271"/>
      <c r="BF428" s="271"/>
      <c r="BG428" s="271"/>
      <c r="BH428" s="271"/>
      <c r="BI428" s="271"/>
      <c r="BJ428" s="271"/>
      <c r="BK428" s="271"/>
      <c r="BL428" s="271"/>
    </row>
    <row r="429" spans="1:64" ht="21" customHeight="1" x14ac:dyDescent="0.25">
      <c r="R429" s="34" t="s">
        <v>6123</v>
      </c>
      <c r="S429" s="451"/>
      <c r="T429" s="31" t="s">
        <v>25</v>
      </c>
      <c r="V429" s="475">
        <v>10</v>
      </c>
      <c r="W429" s="475" t="str">
        <f>IF($AC$429="","",$W$396)</f>
        <v>N° 20</v>
      </c>
      <c r="X429" s="476" t="str">
        <f>IF($AC$429="","",$X$396)</f>
        <v>ARLEQUIN DE LÉGUMES EN TERRINE</v>
      </c>
      <c r="Y429" s="477">
        <f>IF($X$429="","",$Y$396)</f>
        <v>37</v>
      </c>
      <c r="Z429" s="477">
        <f>IF($X$429="","",$Z$396)</f>
        <v>100</v>
      </c>
      <c r="AA429" s="477">
        <f>IF($AC$429="","",ROW($A$429)-ROW($A$396))</f>
        <v>33</v>
      </c>
      <c r="AB429" s="478"/>
      <c r="AC429" s="34" t="s">
        <v>8186</v>
      </c>
      <c r="AD429" s="356"/>
      <c r="AE429" s="479">
        <v>3</v>
      </c>
      <c r="AF429" s="497" t="s">
        <v>462</v>
      </c>
      <c r="AG429" s="480">
        <f t="shared" si="112"/>
        <v>3</v>
      </c>
      <c r="AH429" s="481" t="str">
        <f t="shared" si="113"/>
        <v>BAC(S)</v>
      </c>
      <c r="AI429" s="477" t="str">
        <f>IF($AC$429="","",IFERROR(INDEX($AZ$74:$AZ$119,MATCH($AH$429,$AY$74:$AY$119,0)),"AUTRE"))</f>
        <v>AUTRE</v>
      </c>
      <c r="AJ429" s="482">
        <f>IF($AC$429="","",IFERROR(INDEX($BA$74:$BA$119,MATCH($AH$429,$AY$74:$AY$119,0)),1))</f>
        <v>1</v>
      </c>
      <c r="AK429" s="482">
        <f t="shared" si="114"/>
        <v>3</v>
      </c>
      <c r="AL429" s="477" t="str">
        <f>IF($AC$429="","",IFERROR(INDEX($BB$74:$BB$119,MATCH($AH$429,$AY$74:$AY$119,0)),$AH$429))</f>
        <v>bac(s)</v>
      </c>
      <c r="AM429" s="483" t="str">
        <f t="shared" si="115"/>
        <v>OK</v>
      </c>
      <c r="AN429" s="484">
        <f t="shared" si="116"/>
        <v>3</v>
      </c>
      <c r="AO429" s="473" t="str">
        <f t="shared" si="117"/>
        <v/>
      </c>
      <c r="AP429" s="473" t="str">
        <f t="shared" si="118"/>
        <v/>
      </c>
      <c r="AQ429" s="473" t="str">
        <f t="shared" si="119"/>
        <v/>
      </c>
      <c r="AR429" s="473" t="str">
        <f t="shared" si="120"/>
        <v/>
      </c>
      <c r="AS429" s="473" t="str">
        <f t="shared" si="121"/>
        <v/>
      </c>
      <c r="AT429" s="473" t="str">
        <f t="shared" si="122"/>
        <v/>
      </c>
      <c r="AU429" s="473" t="str">
        <f t="shared" si="123"/>
        <v/>
      </c>
      <c r="AY429" s="497" t="s">
        <v>465</v>
      </c>
      <c r="AZ429" s="32" t="s">
        <v>8131</v>
      </c>
      <c r="BA429" s="34" t="s">
        <v>6122</v>
      </c>
      <c r="BB429" s="499"/>
      <c r="BC429" s="271"/>
      <c r="BD429" s="279">
        <v>1</v>
      </c>
      <c r="BE429" s="271"/>
      <c r="BF429" s="271"/>
      <c r="BG429" s="271"/>
      <c r="BH429" s="271"/>
      <c r="BI429" s="271"/>
      <c r="BJ429" s="271"/>
      <c r="BK429" s="271"/>
      <c r="BL429" s="271"/>
    </row>
    <row r="430" spans="1:64" ht="21" customHeight="1" x14ac:dyDescent="0.25">
      <c r="R430" s="34" t="s">
        <v>6124</v>
      </c>
      <c r="S430" s="451"/>
      <c r="T430" s="31" t="s">
        <v>26</v>
      </c>
      <c r="V430" s="475">
        <v>10</v>
      </c>
      <c r="W430" s="475" t="str">
        <f>IF($AC$430="","",$W$396)</f>
        <v>N° 20</v>
      </c>
      <c r="X430" s="476" t="str">
        <f>IF($AC$430="","",$X$396)</f>
        <v>ARLEQUIN DE LÉGUMES EN TERRINE</v>
      </c>
      <c r="Y430" s="477">
        <f>IF($X$430="","",$Y$396)</f>
        <v>37</v>
      </c>
      <c r="Z430" s="477">
        <f>IF($X$430="","",$Z$396)</f>
        <v>100</v>
      </c>
      <c r="AA430" s="477">
        <f>IF($AC$430="","",ROW($A$430)-ROW($A$396))</f>
        <v>34</v>
      </c>
      <c r="AB430" s="478"/>
      <c r="AC430" s="34" t="s">
        <v>8187</v>
      </c>
      <c r="AD430" s="356"/>
      <c r="AE430" s="479">
        <v>1</v>
      </c>
      <c r="AF430" s="497" t="s">
        <v>462</v>
      </c>
      <c r="AG430" s="491">
        <f t="shared" si="112"/>
        <v>1</v>
      </c>
      <c r="AH430" s="481" t="str">
        <f t="shared" si="113"/>
        <v>BAC(S)</v>
      </c>
      <c r="AI430" s="477" t="str">
        <f>IF($AC$430="","",IFERROR(INDEX($AZ$74:$AZ$119,MATCH($AH$430,$AY$74:$AY$119,0)),"AUTRE"))</f>
        <v>AUTRE</v>
      </c>
      <c r="AJ430" s="482">
        <f>IF($AC$430="","",IFERROR(INDEX($BA$74:$BA$119,MATCH($AH$430,$AY$74:$AY$119,0)),1))</f>
        <v>1</v>
      </c>
      <c r="AK430" s="482">
        <f t="shared" si="114"/>
        <v>1</v>
      </c>
      <c r="AL430" s="477" t="str">
        <f>IF($AC$430="","",IFERROR(INDEX($BB$74:$BB$119,MATCH($AH$430,$AY$74:$AY$119,0)),$AH$430))</f>
        <v>bac(s)</v>
      </c>
      <c r="AM430" s="483" t="str">
        <f t="shared" si="115"/>
        <v>OK</v>
      </c>
      <c r="AN430" s="484">
        <f t="shared" si="116"/>
        <v>1</v>
      </c>
      <c r="AO430" s="473" t="str">
        <f t="shared" si="117"/>
        <v/>
      </c>
      <c r="AP430" s="473" t="str">
        <f t="shared" si="118"/>
        <v/>
      </c>
      <c r="AQ430" s="473" t="str">
        <f t="shared" si="119"/>
        <v/>
      </c>
      <c r="AR430" s="473" t="str">
        <f t="shared" si="120"/>
        <v/>
      </c>
      <c r="AS430" s="473" t="str">
        <f t="shared" si="121"/>
        <v/>
      </c>
      <c r="AT430" s="473" t="str">
        <f t="shared" si="122"/>
        <v/>
      </c>
      <c r="AU430" s="473" t="str">
        <f t="shared" si="123"/>
        <v/>
      </c>
      <c r="AY430" s="497" t="s">
        <v>466</v>
      </c>
      <c r="AZ430" s="32" t="s">
        <v>309</v>
      </c>
      <c r="BA430" s="34" t="s">
        <v>6123</v>
      </c>
      <c r="BB430" s="503" t="s">
        <v>8166</v>
      </c>
      <c r="BC430" s="271"/>
      <c r="BD430" s="279">
        <v>1</v>
      </c>
      <c r="BE430" s="271"/>
      <c r="BF430" s="271"/>
      <c r="BG430" s="271"/>
      <c r="BH430" s="271"/>
      <c r="BI430" s="271"/>
      <c r="BJ430" s="271"/>
      <c r="BK430" s="271"/>
      <c r="BL430" s="271"/>
    </row>
    <row r="431" spans="1:64" ht="21" customHeight="1" x14ac:dyDescent="0.25">
      <c r="R431" s="34" t="s">
        <v>6125</v>
      </c>
      <c r="S431" s="451"/>
      <c r="T431" s="31" t="s">
        <v>27</v>
      </c>
      <c r="V431" s="271"/>
      <c r="W431" s="271"/>
      <c r="X431" s="271"/>
      <c r="Y431" s="271"/>
      <c r="Z431" s="271"/>
      <c r="AA431" s="271"/>
      <c r="AB431" s="271"/>
      <c r="AC431" s="271"/>
      <c r="AD431" s="271"/>
      <c r="AE431" s="271"/>
      <c r="AF431" s="271"/>
      <c r="AG431" s="271"/>
      <c r="AH431" s="271"/>
      <c r="AI431" s="271"/>
      <c r="AJ431" s="271"/>
      <c r="AK431" s="271"/>
      <c r="AL431" s="271"/>
      <c r="AM431" s="271"/>
      <c r="AN431" s="271"/>
      <c r="AO431" s="271"/>
      <c r="AP431" s="271"/>
      <c r="AY431" s="271"/>
      <c r="AZ431" s="32" t="s">
        <v>311</v>
      </c>
      <c r="BA431" s="34" t="s">
        <v>6124</v>
      </c>
      <c r="BB431" s="271"/>
      <c r="BC431" s="271"/>
      <c r="BD431" s="504" t="s">
        <v>5889</v>
      </c>
      <c r="BE431" s="271"/>
      <c r="BF431" s="271"/>
      <c r="BG431" s="271"/>
      <c r="BH431" s="271"/>
      <c r="BI431" s="271"/>
      <c r="BJ431" s="271"/>
      <c r="BK431" s="271"/>
      <c r="BL431" s="271"/>
    </row>
    <row r="432" spans="1:64" ht="21" customHeight="1" x14ac:dyDescent="0.25">
      <c r="A432" s="279">
        <v>1</v>
      </c>
      <c r="B432" s="279">
        <v>1</v>
      </c>
      <c r="C432" s="279">
        <v>1</v>
      </c>
      <c r="D432" s="279">
        <v>1</v>
      </c>
      <c r="E432" s="279">
        <v>1</v>
      </c>
      <c r="F432" s="279">
        <v>1</v>
      </c>
      <c r="G432" s="279">
        <v>1</v>
      </c>
      <c r="H432" s="279">
        <v>1</v>
      </c>
      <c r="I432" s="279">
        <v>1</v>
      </c>
      <c r="J432" s="279">
        <v>1</v>
      </c>
      <c r="K432" s="279">
        <v>1</v>
      </c>
      <c r="L432" s="279">
        <v>1</v>
      </c>
      <c r="M432" s="279">
        <v>1</v>
      </c>
      <c r="N432" s="279">
        <v>1</v>
      </c>
      <c r="O432" s="279">
        <v>1</v>
      </c>
      <c r="P432" s="279">
        <v>1</v>
      </c>
      <c r="Q432" s="279">
        <v>1</v>
      </c>
      <c r="R432" s="279">
        <v>1</v>
      </c>
      <c r="S432" s="279">
        <v>1</v>
      </c>
      <c r="T432" s="279">
        <v>1</v>
      </c>
      <c r="U432" s="279">
        <v>1</v>
      </c>
      <c r="V432" s="279">
        <v>1</v>
      </c>
      <c r="W432" s="279">
        <v>1</v>
      </c>
      <c r="X432" s="279">
        <v>1</v>
      </c>
      <c r="Y432" s="279">
        <v>1</v>
      </c>
      <c r="Z432" s="279">
        <v>1</v>
      </c>
      <c r="AA432" s="279">
        <v>1</v>
      </c>
      <c r="AB432" s="279">
        <v>1</v>
      </c>
      <c r="AC432" s="279">
        <v>1</v>
      </c>
      <c r="AD432" s="279">
        <v>1</v>
      </c>
      <c r="AE432" s="279">
        <v>1</v>
      </c>
      <c r="AF432" s="279">
        <v>1</v>
      </c>
      <c r="AG432" s="279">
        <v>1</v>
      </c>
      <c r="AH432" s="279">
        <v>1</v>
      </c>
      <c r="AI432" s="279">
        <v>1</v>
      </c>
      <c r="AJ432" s="279">
        <v>1</v>
      </c>
      <c r="AK432" s="279"/>
      <c r="AL432" s="279">
        <v>1</v>
      </c>
      <c r="AM432" s="279">
        <v>1</v>
      </c>
      <c r="AN432" s="279">
        <v>1</v>
      </c>
      <c r="AO432" s="279">
        <v>1</v>
      </c>
      <c r="AP432" s="279">
        <v>1</v>
      </c>
      <c r="AQ432" s="279">
        <v>1</v>
      </c>
      <c r="AR432" s="279">
        <v>1</v>
      </c>
      <c r="AS432" s="279">
        <v>1</v>
      </c>
      <c r="AT432" s="279">
        <v>1</v>
      </c>
      <c r="AU432" s="279">
        <v>1</v>
      </c>
      <c r="AV432" s="279">
        <v>1</v>
      </c>
      <c r="AW432" s="279"/>
      <c r="AX432" s="279"/>
      <c r="AY432" s="279">
        <v>1</v>
      </c>
      <c r="AZ432" s="279">
        <v>1</v>
      </c>
      <c r="BA432" s="279">
        <v>1</v>
      </c>
      <c r="BB432" s="279">
        <v>1</v>
      </c>
      <c r="BC432" s="279">
        <v>1</v>
      </c>
      <c r="BD432" s="505" t="str">
        <f>ADDRESS(ROW(),COLUMN(),4)</f>
        <v>BD432</v>
      </c>
      <c r="BE432" s="271"/>
      <c r="BF432" s="271"/>
      <c r="BG432" s="271"/>
      <c r="BH432" s="271"/>
      <c r="BI432" s="271"/>
      <c r="BJ432" s="271"/>
      <c r="BK432" s="271"/>
      <c r="BL432" s="271"/>
    </row>
    <row r="433" spans="18:64" ht="21" customHeight="1" x14ac:dyDescent="0.25">
      <c r="S433" s="451"/>
      <c r="V433" s="271"/>
      <c r="W433" s="271"/>
      <c r="X433" s="271"/>
      <c r="Y433" s="271"/>
      <c r="Z433" s="271"/>
      <c r="AA433" s="271"/>
      <c r="AB433" s="271"/>
      <c r="AC433" s="271"/>
      <c r="AD433" s="271"/>
      <c r="AE433" s="271"/>
      <c r="AF433" s="271"/>
      <c r="AG433" s="271"/>
      <c r="AH433" s="271"/>
      <c r="AI433" s="271"/>
      <c r="AJ433" s="271"/>
      <c r="AK433" s="271"/>
      <c r="AL433" s="271"/>
      <c r="AM433" s="271"/>
      <c r="AN433" s="271"/>
      <c r="AO433" s="271"/>
      <c r="AP433" s="271"/>
      <c r="AY433" s="271"/>
      <c r="AZ433" s="271"/>
      <c r="BA433" s="271"/>
      <c r="BB433" s="271"/>
      <c r="BC433" s="271"/>
      <c r="BE433" s="271"/>
      <c r="BF433" s="271"/>
      <c r="BG433" s="271"/>
      <c r="BH433" s="271"/>
      <c r="BI433" s="271"/>
      <c r="BJ433" s="271"/>
      <c r="BK433" s="271"/>
      <c r="BL433" s="271"/>
    </row>
    <row r="434" spans="18:64" ht="21" customHeight="1" x14ac:dyDescent="0.25">
      <c r="S434" s="451"/>
      <c r="V434" s="271"/>
      <c r="W434" s="271"/>
      <c r="X434" s="271"/>
      <c r="Y434" s="271"/>
      <c r="Z434" s="271"/>
      <c r="AA434" s="271"/>
      <c r="AB434" s="271"/>
      <c r="AC434" s="271"/>
      <c r="AD434" s="271"/>
      <c r="AE434" s="271"/>
      <c r="AF434" s="271"/>
      <c r="AG434" s="271"/>
      <c r="AH434" s="271"/>
      <c r="AI434" s="271"/>
      <c r="AJ434" s="271"/>
      <c r="AK434" s="271"/>
      <c r="AL434" s="271"/>
      <c r="AM434" s="271"/>
      <c r="AN434" s="271"/>
      <c r="AO434" s="271"/>
      <c r="AP434" s="271"/>
      <c r="AY434" s="271"/>
      <c r="AZ434" s="271"/>
      <c r="BA434" s="271"/>
      <c r="BB434" s="271"/>
      <c r="BC434" s="271"/>
      <c r="BE434" s="271"/>
      <c r="BF434" s="271"/>
      <c r="BG434" s="271"/>
      <c r="BH434" s="271"/>
      <c r="BI434" s="271"/>
      <c r="BJ434" s="271"/>
      <c r="BK434" s="271"/>
      <c r="BL434" s="271"/>
    </row>
    <row r="435" spans="18:64" ht="21" customHeight="1" x14ac:dyDescent="0.25">
      <c r="S435" s="451"/>
    </row>
    <row r="436" spans="18:64" ht="21" customHeight="1" x14ac:dyDescent="0.25">
      <c r="S436" s="451"/>
    </row>
    <row r="437" spans="18:64" ht="21" customHeight="1" x14ac:dyDescent="0.25">
      <c r="S437" s="451"/>
    </row>
    <row r="438" spans="18:64" ht="21" customHeight="1" x14ac:dyDescent="0.25">
      <c r="S438" s="451"/>
    </row>
    <row r="439" spans="18:64" ht="21" customHeight="1" x14ac:dyDescent="0.25">
      <c r="S439" s="451"/>
    </row>
    <row r="440" spans="18:64" ht="21" customHeight="1" x14ac:dyDescent="0.25">
      <c r="R440" s="451"/>
      <c r="S440" s="451"/>
    </row>
    <row r="441" spans="18:64" ht="21" customHeight="1" x14ac:dyDescent="0.25">
      <c r="R441" s="451"/>
      <c r="S441" s="451"/>
    </row>
    <row r="442" spans="18:64" ht="21" customHeight="1" x14ac:dyDescent="0.25">
      <c r="R442" s="451"/>
      <c r="S442" s="451"/>
    </row>
    <row r="443" spans="18:64" ht="21" customHeight="1" x14ac:dyDescent="0.25"/>
    <row r="444" spans="18:64" ht="21" customHeight="1" x14ac:dyDescent="0.25"/>
    <row r="445" spans="18:64" ht="21" customHeight="1" x14ac:dyDescent="0.25"/>
    <row r="446" spans="18:64" ht="21" customHeight="1" x14ac:dyDescent="0.25"/>
    <row r="447" spans="18:64" ht="21" customHeight="1" x14ac:dyDescent="0.25"/>
    <row r="448" spans="18:64" ht="21" customHeight="1" x14ac:dyDescent="0.25"/>
    <row r="449" ht="21" customHeight="1" x14ac:dyDescent="0.25"/>
    <row r="450" ht="21" customHeight="1" x14ac:dyDescent="0.25"/>
    <row r="451" ht="21" customHeight="1" x14ac:dyDescent="0.25"/>
    <row r="452" ht="21" customHeight="1" x14ac:dyDescent="0.25"/>
    <row r="453" ht="21" customHeight="1" x14ac:dyDescent="0.25"/>
    <row r="454" ht="21" customHeight="1" x14ac:dyDescent="0.25"/>
  </sheetData>
  <mergeCells count="106">
    <mergeCell ref="A1:I1"/>
    <mergeCell ref="U1:AA1"/>
    <mergeCell ref="A2:I2"/>
    <mergeCell ref="U2:AA4"/>
    <mergeCell ref="AG3:AH3"/>
    <mergeCell ref="A4:I4"/>
    <mergeCell ref="R4:S5"/>
    <mergeCell ref="C5:I5"/>
    <mergeCell ref="AG5:AH5"/>
    <mergeCell ref="A9:I9"/>
    <mergeCell ref="AG9:AH9"/>
    <mergeCell ref="A10:D10"/>
    <mergeCell ref="F10:I10"/>
    <mergeCell ref="U10:AA11"/>
    <mergeCell ref="AG10:AH10"/>
    <mergeCell ref="B11:D11"/>
    <mergeCell ref="B6:I6"/>
    <mergeCell ref="U6:AA6"/>
    <mergeCell ref="AG6:AH6"/>
    <mergeCell ref="B7:C7"/>
    <mergeCell ref="E7:F7"/>
    <mergeCell ref="H7:I7"/>
    <mergeCell ref="U7:AA8"/>
    <mergeCell ref="AG7:AH7"/>
    <mergeCell ref="AG8:AH8"/>
    <mergeCell ref="A19:I19"/>
    <mergeCell ref="E20:F20"/>
    <mergeCell ref="G20:I20"/>
    <mergeCell ref="U20:U21"/>
    <mergeCell ref="V20:V21"/>
    <mergeCell ref="W20:AA21"/>
    <mergeCell ref="U12:AA13"/>
    <mergeCell ref="F13:I14"/>
    <mergeCell ref="A15:I15"/>
    <mergeCell ref="U15:AA15"/>
    <mergeCell ref="B16:I16"/>
    <mergeCell ref="U16:U17"/>
    <mergeCell ref="V16:V17"/>
    <mergeCell ref="W16:AA17"/>
    <mergeCell ref="B17:I17"/>
    <mergeCell ref="K17:Q21"/>
    <mergeCell ref="U22:U23"/>
    <mergeCell ref="V22:V23"/>
    <mergeCell ref="W22:AA23"/>
    <mergeCell ref="U24:U25"/>
    <mergeCell ref="V24:V25"/>
    <mergeCell ref="W24:AA25"/>
    <mergeCell ref="AG17:AH17"/>
    <mergeCell ref="U18:U19"/>
    <mergeCell ref="V18:V19"/>
    <mergeCell ref="W18:AA19"/>
    <mergeCell ref="U30:AA30"/>
    <mergeCell ref="AG30:AH30"/>
    <mergeCell ref="U31:V32"/>
    <mergeCell ref="W31:AA32"/>
    <mergeCell ref="AG31:AH31"/>
    <mergeCell ref="AG32:AH32"/>
    <mergeCell ref="U26:U27"/>
    <mergeCell ref="V26:V27"/>
    <mergeCell ref="W26:AA27"/>
    <mergeCell ref="AG26:AH26"/>
    <mergeCell ref="AG27:AH27"/>
    <mergeCell ref="U28:U29"/>
    <mergeCell ref="W28:AA29"/>
    <mergeCell ref="AG29:AH29"/>
    <mergeCell ref="U37:V38"/>
    <mergeCell ref="W37:AA38"/>
    <mergeCell ref="AG37:AH37"/>
    <mergeCell ref="AG38:AH38"/>
    <mergeCell ref="U39:V40"/>
    <mergeCell ref="W39:AA40"/>
    <mergeCell ref="AG39:AH39"/>
    <mergeCell ref="AG40:AH40"/>
    <mergeCell ref="U33:V34"/>
    <mergeCell ref="W33:AA34"/>
    <mergeCell ref="AG33:AH33"/>
    <mergeCell ref="AG34:AH34"/>
    <mergeCell ref="U35:V36"/>
    <mergeCell ref="W35:AA36"/>
    <mergeCell ref="AG35:AH35"/>
    <mergeCell ref="AG46:AH46"/>
    <mergeCell ref="AN55:BB65"/>
    <mergeCell ref="A58:I58"/>
    <mergeCell ref="A60:I60"/>
    <mergeCell ref="B61:I63"/>
    <mergeCell ref="AN66:BB67"/>
    <mergeCell ref="AB67:AC68"/>
    <mergeCell ref="U41:AA41"/>
    <mergeCell ref="AG41:AH41"/>
    <mergeCell ref="U42:V43"/>
    <mergeCell ref="W42:AA43"/>
    <mergeCell ref="AG43:AH43"/>
    <mergeCell ref="U44:V45"/>
    <mergeCell ref="W44:AA45"/>
    <mergeCell ref="AG44:AH44"/>
    <mergeCell ref="AG45:AH45"/>
    <mergeCell ref="AP287:AU287"/>
    <mergeCell ref="AP323:AU323"/>
    <mergeCell ref="AP359:AU359"/>
    <mergeCell ref="AP395:AU395"/>
    <mergeCell ref="AP71:AU71"/>
    <mergeCell ref="AP107:AU107"/>
    <mergeCell ref="AP143:AU143"/>
    <mergeCell ref="AP179:AU179"/>
    <mergeCell ref="AP215:AU215"/>
    <mergeCell ref="AP251:AU251"/>
  </mergeCells>
  <conditionalFormatting sqref="I22:I56">
    <cfRule type="expression" dxfId="17" priority="1">
      <formula>I22="A CONTROLER"</formula>
    </cfRule>
    <cfRule type="expression" dxfId="16" priority="2">
      <formula>I22="OK"</formula>
    </cfRule>
  </conditionalFormatting>
  <dataValidations count="1">
    <dataValidation type="list" sqref="B5" xr:uid="{5F9E3EEE-480F-4FB0-8A1B-5D3C0C180237}">
      <formula1>"1,2,3,4,5,6,7,8,9,10"</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0C8E7-6C86-4AB5-A7C7-3AD7D7F863D4}">
  <dimension ref="A1:DG454"/>
  <sheetViews>
    <sheetView workbookViewId="0">
      <selection activeCell="Q28" sqref="Q28"/>
    </sheetView>
  </sheetViews>
  <sheetFormatPr baseColWidth="10" defaultColWidth="10.28515625" defaultRowHeight="15.75" x14ac:dyDescent="0.25"/>
  <cols>
    <col min="1" max="1" width="23.7109375" style="151" customWidth="1"/>
    <col min="2" max="2" width="40.28515625" style="151" customWidth="1"/>
    <col min="3" max="3" width="13.140625" style="151" customWidth="1"/>
    <col min="4" max="4" width="16.28515625" style="151" customWidth="1"/>
    <col min="5" max="5" width="15.140625" style="151" customWidth="1"/>
    <col min="6" max="6" width="18.85546875" style="151" customWidth="1"/>
    <col min="7" max="7" width="15.42578125" style="151" customWidth="1"/>
    <col min="8" max="8" width="13.140625" style="151" customWidth="1"/>
    <col min="9" max="9" width="19.7109375" style="151" customWidth="1"/>
    <col min="10" max="12" width="10.28515625" style="151"/>
    <col min="13" max="13" width="31.140625" style="151" customWidth="1"/>
    <col min="14" max="14" width="14.85546875" style="151" customWidth="1"/>
    <col min="15" max="15" width="10.28515625" style="151"/>
    <col min="16" max="17" width="14.85546875" style="151" customWidth="1"/>
    <col min="18" max="18" width="41.7109375" style="151" customWidth="1"/>
    <col min="19" max="19" width="10.5703125" style="151" customWidth="1"/>
    <col min="20" max="20" width="18.85546875" style="151" customWidth="1"/>
    <col min="21" max="21" width="7.42578125" style="151" customWidth="1"/>
    <col min="22" max="22" width="16.85546875" style="151" customWidth="1"/>
    <col min="23" max="23" width="17.7109375" style="151" customWidth="1"/>
    <col min="24" max="24" width="55.7109375" style="151" customWidth="1"/>
    <col min="25" max="25" width="12" style="151" customWidth="1"/>
    <col min="26" max="26" width="10.85546875" style="151" customWidth="1"/>
    <col min="27" max="27" width="11.42578125" style="151" customWidth="1"/>
    <col min="28" max="28" width="23.7109375" style="151" customWidth="1"/>
    <col min="29" max="29" width="46.5703125" style="151" customWidth="1"/>
    <col min="30" max="30" width="25.7109375" style="151" customWidth="1"/>
    <col min="31" max="31" width="18.5703125" style="151" customWidth="1"/>
    <col min="32" max="34" width="18.28515625" style="151" customWidth="1"/>
    <col min="35" max="35" width="16.85546875" style="151" customWidth="1"/>
    <col min="36" max="38" width="16" style="151" customWidth="1"/>
    <col min="39" max="39" width="32.28515625" style="151" customWidth="1"/>
    <col min="40" max="40" width="16" style="151" customWidth="1"/>
    <col min="41" max="41" width="24.5703125" style="151" customWidth="1"/>
    <col min="42" max="42" width="20.5703125" style="151" customWidth="1"/>
    <col min="43" max="50" width="10.28515625" style="151"/>
    <col min="51" max="51" width="20.28515625" style="151" customWidth="1"/>
    <col min="52" max="52" width="16" style="151" customWidth="1"/>
    <col min="53" max="53" width="35.42578125" style="151" customWidth="1"/>
    <col min="54" max="54" width="17.140625" style="151" customWidth="1"/>
    <col min="55" max="55" width="13.7109375" style="151" customWidth="1"/>
    <col min="56" max="56" width="10.28515625" style="92"/>
    <col min="57" max="57" width="11.42578125" style="151" customWidth="1"/>
    <col min="58" max="58" width="14.85546875" style="151" customWidth="1"/>
    <col min="59" max="59" width="3.42578125" style="151" customWidth="1"/>
    <col min="60" max="60" width="11.42578125" style="151" customWidth="1"/>
    <col min="61" max="61" width="13.7109375" style="151" customWidth="1"/>
    <col min="62" max="62" width="11.42578125" style="151" customWidth="1"/>
    <col min="63" max="64" width="14.85546875" style="151" customWidth="1"/>
    <col min="65" max="16384" width="10.28515625" style="151"/>
  </cols>
  <sheetData>
    <row r="1" spans="1:111" ht="48" customHeight="1" x14ac:dyDescent="0.25">
      <c r="A1" s="702" t="str">
        <f>"RECETTES DE COLLECTIVITÉ &gt; HORS D'ŒUVRES FROIDS"&amp;" - "&amp;B6</f>
        <v>RECETTES DE COLLECTIVITÉ &gt; HORS D'ŒUVRES FROIDS - CRÈME DE PARMESAN MOUSSE DE TOMATE TAPENADE</v>
      </c>
      <c r="B1" s="703"/>
      <c r="C1" s="703"/>
      <c r="D1" s="703"/>
      <c r="E1" s="703"/>
      <c r="F1" s="703"/>
      <c r="G1" s="703"/>
      <c r="H1" s="703"/>
      <c r="I1" s="704"/>
      <c r="J1" s="271"/>
      <c r="K1" s="272" t="s">
        <v>7897</v>
      </c>
      <c r="L1" s="273"/>
      <c r="M1" s="273"/>
      <c r="N1" s="273"/>
      <c r="O1" s="273"/>
      <c r="P1" s="274"/>
      <c r="Q1" s="274"/>
      <c r="R1" s="274"/>
      <c r="S1" s="274"/>
      <c r="T1" s="274"/>
      <c r="U1" s="538" t="s">
        <v>7898</v>
      </c>
      <c r="V1" s="539"/>
      <c r="W1" s="539"/>
      <c r="X1" s="539"/>
      <c r="Y1" s="539"/>
      <c r="Z1" s="539"/>
      <c r="AA1" s="540"/>
      <c r="AC1" s="275"/>
      <c r="AD1" s="276" t="s">
        <v>7899</v>
      </c>
      <c r="AE1" s="277"/>
      <c r="AF1" s="277"/>
      <c r="AG1" s="277"/>
      <c r="AH1" s="277"/>
      <c r="AI1" s="277"/>
      <c r="AJ1" s="277"/>
      <c r="AK1" s="277"/>
      <c r="AL1" s="277"/>
      <c r="AM1" s="277"/>
      <c r="AN1" s="277"/>
      <c r="AO1" s="277"/>
      <c r="AP1" s="277"/>
      <c r="AQ1" s="277"/>
      <c r="AS1" s="278" t="s">
        <v>0</v>
      </c>
      <c r="BB1" s="271"/>
      <c r="BC1" s="271"/>
      <c r="BD1" s="279">
        <v>1</v>
      </c>
      <c r="BE1" s="271"/>
      <c r="BF1" s="271"/>
      <c r="BG1" s="271"/>
      <c r="BH1" s="271"/>
      <c r="BI1" s="271"/>
      <c r="BJ1" s="271"/>
      <c r="BK1" s="271"/>
      <c r="BL1" s="271"/>
    </row>
    <row r="2" spans="1:111" ht="21.95" customHeight="1" x14ac:dyDescent="0.25">
      <c r="A2" s="705" t="s">
        <v>7900</v>
      </c>
      <c r="B2" s="706"/>
      <c r="C2" s="706"/>
      <c r="D2" s="706"/>
      <c r="E2" s="706"/>
      <c r="F2" s="706"/>
      <c r="G2" s="706"/>
      <c r="H2" s="706"/>
      <c r="I2" s="707"/>
      <c r="J2" s="271"/>
      <c r="K2" s="280"/>
      <c r="L2" s="280"/>
      <c r="M2" s="280"/>
      <c r="N2" s="281" t="s">
        <v>8218</v>
      </c>
      <c r="O2" s="280"/>
      <c r="P2" s="274"/>
      <c r="Q2" s="274"/>
      <c r="R2" s="274"/>
      <c r="S2" s="274"/>
      <c r="T2" s="274"/>
      <c r="U2" s="541" t="s">
        <v>7901</v>
      </c>
      <c r="V2" s="542"/>
      <c r="W2" s="542"/>
      <c r="X2" s="542"/>
      <c r="Y2" s="542"/>
      <c r="Z2" s="542"/>
      <c r="AA2" s="543"/>
      <c r="AC2" s="275"/>
      <c r="AD2" s="282" t="s">
        <v>7902</v>
      </c>
      <c r="AE2" s="283"/>
      <c r="AF2" s="283"/>
      <c r="AG2" s="283"/>
      <c r="AH2" s="283"/>
      <c r="AI2" s="283"/>
      <c r="AJ2" s="283"/>
      <c r="AK2" s="283"/>
      <c r="AL2" s="283"/>
      <c r="AM2" s="283"/>
      <c r="AN2" s="283"/>
      <c r="AO2" s="283"/>
      <c r="AP2" s="283"/>
      <c r="AQ2" s="283"/>
      <c r="BC2" s="271"/>
      <c r="BD2" s="279">
        <v>1</v>
      </c>
      <c r="BE2" s="271"/>
      <c r="BF2" s="271"/>
      <c r="BG2" s="271"/>
      <c r="BH2" s="271"/>
      <c r="BI2" s="271"/>
      <c r="BJ2" s="271"/>
      <c r="BK2" s="271"/>
      <c r="BL2" s="271"/>
    </row>
    <row r="3" spans="1:111" ht="21.95" customHeight="1" thickBot="1" x14ac:dyDescent="0.3">
      <c r="A3" s="152" t="s">
        <v>7903</v>
      </c>
      <c r="B3" s="284"/>
      <c r="C3" s="284"/>
      <c r="D3" s="284"/>
      <c r="E3" s="284"/>
      <c r="F3" s="284"/>
      <c r="G3" s="284"/>
      <c r="H3" s="284"/>
      <c r="I3" s="284"/>
      <c r="J3" s="271"/>
      <c r="K3" s="285" t="s">
        <v>344</v>
      </c>
      <c r="R3" s="274"/>
      <c r="S3" s="274"/>
      <c r="T3" s="274"/>
      <c r="U3" s="544"/>
      <c r="V3" s="545"/>
      <c r="W3" s="545"/>
      <c r="X3" s="545"/>
      <c r="Y3" s="545"/>
      <c r="Z3" s="545"/>
      <c r="AA3" s="546"/>
      <c r="AC3" s="275"/>
      <c r="AD3" s="286" t="s">
        <v>5975</v>
      </c>
      <c r="AE3" s="287" t="s">
        <v>7904</v>
      </c>
      <c r="AF3" s="287" t="s">
        <v>7905</v>
      </c>
      <c r="AG3" s="550" t="s">
        <v>7906</v>
      </c>
      <c r="AH3" s="550"/>
      <c r="AI3" s="288" t="s">
        <v>7907</v>
      </c>
      <c r="AJ3" s="289"/>
      <c r="AK3" s="289"/>
      <c r="AL3" s="289"/>
      <c r="AM3" s="290"/>
      <c r="AN3" s="290"/>
      <c r="AO3" s="290"/>
      <c r="AP3" s="290"/>
      <c r="AQ3" s="290"/>
      <c r="BC3" s="271"/>
      <c r="BD3" s="279">
        <v>1</v>
      </c>
      <c r="BE3" s="271"/>
      <c r="BF3" s="271"/>
      <c r="BG3" s="271"/>
      <c r="BH3" s="271"/>
      <c r="BI3" s="271"/>
      <c r="BJ3" s="271"/>
      <c r="BK3" s="271"/>
      <c r="BL3" s="271"/>
    </row>
    <row r="4" spans="1:111" ht="21.95" customHeight="1" x14ac:dyDescent="0.25">
      <c r="A4" s="708" t="s">
        <v>328</v>
      </c>
      <c r="B4" s="709"/>
      <c r="C4" s="709"/>
      <c r="D4" s="709"/>
      <c r="E4" s="709"/>
      <c r="F4" s="709"/>
      <c r="G4" s="709"/>
      <c r="H4" s="709"/>
      <c r="I4" s="710"/>
      <c r="J4" s="271"/>
      <c r="K4" s="291" t="s">
        <v>7908</v>
      </c>
      <c r="L4" s="292"/>
      <c r="M4" s="292"/>
      <c r="N4" s="292"/>
      <c r="O4" s="292"/>
      <c r="P4" s="292"/>
      <c r="Q4" s="292"/>
      <c r="R4" s="711" t="s">
        <v>5849</v>
      </c>
      <c r="S4" s="711"/>
      <c r="T4" s="293" t="str">
        <f>$BD$432</f>
        <v>BD432</v>
      </c>
      <c r="U4" s="547"/>
      <c r="V4" s="548"/>
      <c r="W4" s="548"/>
      <c r="X4" s="548"/>
      <c r="Y4" s="548"/>
      <c r="Z4" s="548"/>
      <c r="AA4" s="549"/>
      <c r="AC4" s="275"/>
      <c r="AD4" s="294" t="s">
        <v>7909</v>
      </c>
      <c r="AE4" s="295"/>
      <c r="AF4" s="296"/>
      <c r="AG4" s="295"/>
      <c r="AH4" s="295"/>
      <c r="AI4" s="295"/>
      <c r="AJ4" s="295"/>
      <c r="AK4" s="295"/>
      <c r="AL4" s="295"/>
      <c r="AM4" s="295"/>
      <c r="AN4" s="295"/>
      <c r="AO4" s="295"/>
      <c r="AP4" s="295"/>
      <c r="AQ4" s="295"/>
      <c r="BC4" s="271"/>
      <c r="BD4" s="279">
        <v>1</v>
      </c>
      <c r="BE4" s="271"/>
      <c r="BF4" s="271"/>
      <c r="BG4" s="271"/>
    </row>
    <row r="5" spans="1:111" ht="21.95" customHeight="1" x14ac:dyDescent="0.25">
      <c r="A5" s="297" t="s">
        <v>8170</v>
      </c>
      <c r="B5" s="153">
        <v>3</v>
      </c>
      <c r="C5" s="712" t="s">
        <v>7911</v>
      </c>
      <c r="D5" s="712"/>
      <c r="E5" s="712"/>
      <c r="F5" s="712"/>
      <c r="G5" s="712"/>
      <c r="H5" s="712"/>
      <c r="I5" s="713"/>
      <c r="J5" s="271"/>
      <c r="K5" s="298" t="s">
        <v>324</v>
      </c>
      <c r="L5" s="298" t="s">
        <v>7912</v>
      </c>
      <c r="M5" s="298" t="s">
        <v>326</v>
      </c>
      <c r="N5" s="298" t="s">
        <v>7913</v>
      </c>
      <c r="O5" s="298" t="s">
        <v>7914</v>
      </c>
      <c r="P5" s="298" t="s">
        <v>333</v>
      </c>
      <c r="Q5" s="298" t="s">
        <v>327</v>
      </c>
      <c r="R5" s="711"/>
      <c r="S5" s="711"/>
      <c r="U5" s="299"/>
      <c r="V5" s="271"/>
      <c r="W5" s="271"/>
      <c r="X5" s="271"/>
      <c r="Y5" s="271"/>
      <c r="Z5" s="271"/>
      <c r="AA5" s="300"/>
      <c r="AC5" s="275"/>
      <c r="AD5" s="301" t="s">
        <v>7858</v>
      </c>
      <c r="AE5" s="302" t="s">
        <v>7910</v>
      </c>
      <c r="AF5" s="303" t="s">
        <v>7915</v>
      </c>
      <c r="AG5" s="551" t="s">
        <v>281</v>
      </c>
      <c r="AH5" s="551"/>
      <c r="AI5" s="304" t="s">
        <v>7916</v>
      </c>
      <c r="AJ5" s="304"/>
      <c r="AK5" s="304"/>
      <c r="AL5" s="304"/>
      <c r="AM5" s="304"/>
      <c r="AN5" s="304"/>
      <c r="AO5" s="304"/>
      <c r="AP5" s="304"/>
      <c r="AQ5" s="304"/>
      <c r="BC5" s="271"/>
      <c r="BD5" s="279">
        <v>1</v>
      </c>
      <c r="BE5" s="271"/>
      <c r="BF5" s="271"/>
      <c r="BG5" s="271"/>
    </row>
    <row r="6" spans="1:111" ht="21.95" customHeight="1" x14ac:dyDescent="0.25">
      <c r="A6" s="305" t="s">
        <v>329</v>
      </c>
      <c r="B6" s="698" t="str" cm="1">
        <f t="array" ref="B6">IFERROR(INDEX($M$6:$M$15,$B$5),"")</f>
        <v>CRÈME DE PARMESAN MOUSSE DE TOMATE TAPENADE</v>
      </c>
      <c r="C6" s="698"/>
      <c r="D6" s="698"/>
      <c r="E6" s="698"/>
      <c r="F6" s="698"/>
      <c r="G6" s="698"/>
      <c r="H6" s="698"/>
      <c r="I6" s="699"/>
      <c r="J6" s="271"/>
      <c r="K6" s="154">
        <f>$V$72</f>
        <v>1</v>
      </c>
      <c r="L6" s="306" t="str">
        <f>$W$72</f>
        <v>N° 21</v>
      </c>
      <c r="M6" s="307" t="str">
        <f>$X$72</f>
        <v>MELON NAGE CRÉMEUSE AU BASILIC</v>
      </c>
      <c r="N6" s="308">
        <f>IF(AK72="","",AK72)</f>
        <v>8</v>
      </c>
      <c r="O6" s="308" t="str">
        <f>IF(AL72="","",AL72)</f>
        <v>kg</v>
      </c>
      <c r="P6" s="309">
        <f>$Z$72</f>
        <v>100</v>
      </c>
      <c r="Q6" s="310">
        <f>$Y$72</f>
        <v>38</v>
      </c>
      <c r="U6" s="558" t="s">
        <v>7917</v>
      </c>
      <c r="V6" s="559"/>
      <c r="W6" s="559"/>
      <c r="X6" s="559"/>
      <c r="Y6" s="559"/>
      <c r="Z6" s="559"/>
      <c r="AA6" s="560"/>
      <c r="AC6" s="275"/>
      <c r="AD6" s="301" t="s">
        <v>7858</v>
      </c>
      <c r="AE6" s="302" t="s">
        <v>7912</v>
      </c>
      <c r="AF6" s="303" t="s">
        <v>7918</v>
      </c>
      <c r="AG6" s="561" t="s">
        <v>7919</v>
      </c>
      <c r="AH6" s="561"/>
      <c r="AI6" s="311" t="s">
        <v>7920</v>
      </c>
      <c r="AJ6" s="311"/>
      <c r="AK6" s="311"/>
      <c r="AL6" s="311"/>
      <c r="AM6" s="311"/>
      <c r="AN6" s="311"/>
      <c r="AO6" s="311"/>
      <c r="AP6" s="311"/>
      <c r="AQ6" s="311"/>
      <c r="BC6" s="271"/>
      <c r="BD6" s="279">
        <v>1</v>
      </c>
      <c r="BE6" s="271"/>
      <c r="BF6" s="271"/>
      <c r="BG6" s="271"/>
    </row>
    <row r="7" spans="1:111" ht="15.75" customHeight="1" x14ac:dyDescent="0.25">
      <c r="A7" s="312" t="s">
        <v>325</v>
      </c>
      <c r="B7" s="700" t="str" cm="1">
        <f t="array" ref="B7">IFERROR(INDEX($L$6:$L$15,$B$5),"")</f>
        <v>N° 23</v>
      </c>
      <c r="C7" s="700"/>
      <c r="D7" s="313" t="s">
        <v>330</v>
      </c>
      <c r="E7" s="700" t="s">
        <v>3</v>
      </c>
      <c r="F7" s="700"/>
      <c r="G7" s="313" t="s">
        <v>327</v>
      </c>
      <c r="H7" s="700" cm="1">
        <f t="array" ref="H7">IFERROR(INDEX($Y$72:$Y$430,1+($B$5-1)*36),"")</f>
        <v>40</v>
      </c>
      <c r="I7" s="701"/>
      <c r="J7" s="271"/>
      <c r="K7" s="155">
        <f>$V$108</f>
        <v>2</v>
      </c>
      <c r="L7" s="306" t="str">
        <f>$W$108</f>
        <v>N° 22</v>
      </c>
      <c r="M7" s="307" t="str">
        <f>$X$108</f>
        <v>POIVRONS DOUX A L'HUILE D'OLIVE</v>
      </c>
      <c r="N7" s="308">
        <f>IF(AK108="","",AK108)</f>
        <v>25</v>
      </c>
      <c r="O7" s="308" t="str">
        <f>IF(AL108="","",AL108)</f>
        <v>unité(s)</v>
      </c>
      <c r="P7" s="309">
        <f>$Z$108</f>
        <v>100</v>
      </c>
      <c r="Q7" s="310">
        <f>$Y$108</f>
        <v>39</v>
      </c>
      <c r="U7" s="562" t="s">
        <v>7921</v>
      </c>
      <c r="V7" s="563"/>
      <c r="W7" s="563"/>
      <c r="X7" s="563"/>
      <c r="Y7" s="563"/>
      <c r="Z7" s="563"/>
      <c r="AA7" s="564"/>
      <c r="AC7" s="275"/>
      <c r="AD7" s="301" t="s">
        <v>7858</v>
      </c>
      <c r="AE7" s="302" t="s">
        <v>326</v>
      </c>
      <c r="AF7" s="303" t="s">
        <v>7922</v>
      </c>
      <c r="AG7" s="565" t="s">
        <v>7923</v>
      </c>
      <c r="AH7" s="565"/>
      <c r="AI7" s="311" t="s">
        <v>7924</v>
      </c>
      <c r="AJ7" s="311"/>
      <c r="AK7" s="311"/>
      <c r="AL7" s="311"/>
      <c r="AM7" s="311"/>
      <c r="AN7" s="311"/>
      <c r="AO7" s="311"/>
      <c r="AP7" s="311"/>
      <c r="AQ7" s="311"/>
      <c r="BC7" s="271"/>
      <c r="BD7" s="279">
        <v>1</v>
      </c>
      <c r="BE7" s="271"/>
      <c r="BF7" s="271"/>
      <c r="BG7" s="271"/>
    </row>
    <row r="8" spans="1:111" ht="23.1" customHeight="1" x14ac:dyDescent="0.25">
      <c r="A8" s="284"/>
      <c r="B8" s="284"/>
      <c r="C8" s="284"/>
      <c r="D8" s="284"/>
      <c r="E8" s="284"/>
      <c r="F8" s="284"/>
      <c r="G8" s="284"/>
      <c r="H8" s="284"/>
      <c r="I8" s="284"/>
      <c r="J8" s="271" t="s">
        <v>7925</v>
      </c>
      <c r="K8" s="155">
        <f>$V$144</f>
        <v>3</v>
      </c>
      <c r="L8" s="306" t="str">
        <f>$W$144</f>
        <v>N° 23</v>
      </c>
      <c r="M8" s="307" t="str">
        <f>$X$144</f>
        <v>CRÈME DE PARMESAN MOUSSE DE TOMATE TAPENADE</v>
      </c>
      <c r="N8" s="308">
        <f>IF(AK144="","",AK144)</f>
        <v>0.72499999999999998</v>
      </c>
      <c r="O8" s="308" t="str">
        <f>IF(AL144="","",AL144)</f>
        <v>kg</v>
      </c>
      <c r="P8" s="309">
        <f>$Z$144</f>
        <v>100</v>
      </c>
      <c r="Q8" s="310">
        <f>$Y$144</f>
        <v>40</v>
      </c>
      <c r="U8" s="553"/>
      <c r="V8" s="554"/>
      <c r="W8" s="554"/>
      <c r="X8" s="554"/>
      <c r="Y8" s="554"/>
      <c r="Z8" s="554"/>
      <c r="AA8" s="555"/>
      <c r="AC8" s="275"/>
      <c r="AD8" s="301" t="s">
        <v>7858</v>
      </c>
      <c r="AE8" s="302" t="s">
        <v>327</v>
      </c>
      <c r="AF8" s="303" t="s">
        <v>7926</v>
      </c>
      <c r="AG8" s="566" t="s">
        <v>7927</v>
      </c>
      <c r="AH8" s="566"/>
      <c r="AI8" s="311" t="s">
        <v>7928</v>
      </c>
      <c r="AJ8" s="311"/>
      <c r="AK8" s="311"/>
      <c r="AL8" s="311"/>
      <c r="AM8" s="311"/>
      <c r="AN8" s="311"/>
      <c r="AO8" s="311"/>
      <c r="AP8" s="311"/>
      <c r="AQ8" s="311"/>
      <c r="BC8" s="271"/>
      <c r="BD8" s="279">
        <v>1</v>
      </c>
      <c r="BE8" s="271"/>
      <c r="BF8" s="271"/>
      <c r="BG8" s="271"/>
    </row>
    <row r="9" spans="1:111" ht="23.1" customHeight="1" x14ac:dyDescent="0.25">
      <c r="A9" s="664" t="s">
        <v>331</v>
      </c>
      <c r="B9" s="665"/>
      <c r="C9" s="665"/>
      <c r="D9" s="665"/>
      <c r="E9" s="665"/>
      <c r="F9" s="665"/>
      <c r="G9" s="665"/>
      <c r="H9" s="665"/>
      <c r="I9" s="666"/>
      <c r="J9" s="271"/>
      <c r="K9" s="155">
        <f>$V$180</f>
        <v>4</v>
      </c>
      <c r="L9" s="306" t="str">
        <f>$W$180</f>
        <v>N° 24</v>
      </c>
      <c r="M9" s="307" t="str">
        <f>$X$180</f>
        <v>CRÈME D'AVOCAT GALETTE POLENTA</v>
      </c>
      <c r="N9" s="308">
        <f>IF(AK180="","",AK180)</f>
        <v>50</v>
      </c>
      <c r="O9" s="308" t="str">
        <f>IF(AL180="","",AL180)</f>
        <v>pièce(s)</v>
      </c>
      <c r="P9" s="309">
        <f>$Z$180</f>
        <v>100</v>
      </c>
      <c r="Q9" s="310">
        <f>$Y$180</f>
        <v>41</v>
      </c>
      <c r="U9" s="314" t="s">
        <v>7929</v>
      </c>
      <c r="V9" s="315"/>
      <c r="W9" s="315"/>
      <c r="X9" s="315"/>
      <c r="Y9" s="315"/>
      <c r="Z9" s="315"/>
      <c r="AA9" s="316"/>
      <c r="AC9" s="275"/>
      <c r="AD9" s="301" t="s">
        <v>7858</v>
      </c>
      <c r="AE9" s="317" t="s">
        <v>7930</v>
      </c>
      <c r="AF9" s="303" t="s">
        <v>7931</v>
      </c>
      <c r="AG9" s="552" t="s">
        <v>239</v>
      </c>
      <c r="AH9" s="551"/>
      <c r="AI9" s="304" t="s">
        <v>7932</v>
      </c>
      <c r="AJ9" s="304"/>
      <c r="AK9" s="304"/>
      <c r="AL9" s="304"/>
      <c r="AM9" s="304"/>
      <c r="AN9" s="304"/>
      <c r="AO9" s="304"/>
      <c r="AP9" s="304"/>
      <c r="AQ9" s="304"/>
      <c r="BC9" s="271"/>
      <c r="BD9" s="279">
        <v>1</v>
      </c>
      <c r="BE9" s="271"/>
      <c r="BF9" s="271"/>
      <c r="BG9" s="271"/>
      <c r="CL9" s="151">
        <v>1</v>
      </c>
      <c r="CM9" s="151">
        <v>2</v>
      </c>
      <c r="CN9" s="151">
        <v>3</v>
      </c>
      <c r="CO9" s="151">
        <v>4</v>
      </c>
      <c r="CP9" s="151">
        <v>5</v>
      </c>
      <c r="CQ9" s="151">
        <v>6</v>
      </c>
      <c r="CR9" s="151">
        <v>7</v>
      </c>
      <c r="CS9" s="151">
        <v>8</v>
      </c>
      <c r="CT9" s="151">
        <v>9</v>
      </c>
      <c r="CU9" s="151">
        <v>10</v>
      </c>
      <c r="CV9" s="151">
        <v>11</v>
      </c>
      <c r="CW9" s="151">
        <v>12</v>
      </c>
      <c r="CX9" s="151">
        <v>13</v>
      </c>
      <c r="CY9" s="151">
        <v>14</v>
      </c>
      <c r="CZ9" s="151">
        <v>15</v>
      </c>
      <c r="DA9" s="151">
        <v>16</v>
      </c>
      <c r="DB9" s="151">
        <v>17</v>
      </c>
      <c r="DC9" s="151">
        <v>18</v>
      </c>
      <c r="DD9" s="151">
        <v>19</v>
      </c>
      <c r="DE9" s="151">
        <v>20</v>
      </c>
      <c r="DF9" s="151">
        <v>21</v>
      </c>
      <c r="DG9" s="151">
        <v>22</v>
      </c>
    </row>
    <row r="10" spans="1:111" ht="23.1" customHeight="1" thickBot="1" x14ac:dyDescent="0.3">
      <c r="A10" s="690" t="s">
        <v>7933</v>
      </c>
      <c r="B10" s="691"/>
      <c r="C10" s="691"/>
      <c r="D10" s="692"/>
      <c r="E10" s="318"/>
      <c r="F10" s="693" t="s">
        <v>7934</v>
      </c>
      <c r="G10" s="694"/>
      <c r="H10" s="694"/>
      <c r="I10" s="695"/>
      <c r="J10" s="271"/>
      <c r="K10" s="155">
        <f>$V$216</f>
        <v>5</v>
      </c>
      <c r="L10" s="306" t="str">
        <f>$W$216</f>
        <v>N° 00 ?</v>
      </c>
      <c r="M10" s="307" t="str">
        <f>$X$216</f>
        <v>Saisissez votre recette X216</v>
      </c>
      <c r="N10" s="308" t="str">
        <f>IF(AK216="","",AK216)</f>
        <v/>
      </c>
      <c r="O10" s="308" t="str">
        <f>IF(AL216="","",AL216)</f>
        <v/>
      </c>
      <c r="P10" s="309">
        <f>$Z$216</f>
        <v>100</v>
      </c>
      <c r="Q10" s="310">
        <f>$Y$216</f>
        <v>0</v>
      </c>
      <c r="U10" s="553" t="s">
        <v>7935</v>
      </c>
      <c r="V10" s="554"/>
      <c r="W10" s="554"/>
      <c r="X10" s="554"/>
      <c r="Y10" s="554"/>
      <c r="Z10" s="554"/>
      <c r="AA10" s="555"/>
      <c r="AC10" s="275"/>
      <c r="AD10" s="319" t="s">
        <v>7936</v>
      </c>
      <c r="AE10" s="320" t="s">
        <v>7937</v>
      </c>
      <c r="AF10" s="321" t="s">
        <v>7938</v>
      </c>
      <c r="AG10" s="556" t="s">
        <v>7939</v>
      </c>
      <c r="AH10" s="557"/>
      <c r="AI10" s="311" t="s">
        <v>7940</v>
      </c>
      <c r="AJ10" s="311"/>
      <c r="AK10" s="311"/>
      <c r="AL10" s="311"/>
      <c r="AM10" s="311"/>
      <c r="AN10" s="311"/>
      <c r="AO10" s="311"/>
      <c r="AP10" s="311"/>
      <c r="AQ10" s="311"/>
      <c r="BC10" s="271"/>
      <c r="BD10" s="279">
        <v>1</v>
      </c>
      <c r="BE10" s="271"/>
      <c r="BF10" s="271"/>
      <c r="BG10" s="271"/>
    </row>
    <row r="11" spans="1:111" ht="23.1" customHeight="1" x14ac:dyDescent="0.25">
      <c r="A11" s="323" t="s">
        <v>332</v>
      </c>
      <c r="B11" s="696" t="str" cm="1">
        <f t="array" ref="B11">IFERROR(INDEX($AC$72:$AC$430,1+($B$5-1)*36),"")</f>
        <v>Parmesan râpé *</v>
      </c>
      <c r="C11" s="696"/>
      <c r="D11" s="697"/>
      <c r="E11" s="318"/>
      <c r="F11" s="324" t="s">
        <v>333</v>
      </c>
      <c r="G11" s="325" cm="1">
        <f t="array" ref="G11">IFERROR(INDEX($Z$72:$Z$430,1+($B$5-1)*36),"")</f>
        <v>100</v>
      </c>
      <c r="H11" s="326" t="s">
        <v>7941</v>
      </c>
      <c r="I11" s="327"/>
      <c r="J11" s="271"/>
      <c r="K11" s="155">
        <f>$V$252</f>
        <v>6</v>
      </c>
      <c r="L11" s="306" t="str">
        <f>$W$252</f>
        <v>N° 00 ?</v>
      </c>
      <c r="M11" s="307" t="str">
        <f>$X$252</f>
        <v>Saisissez votre recette X252</v>
      </c>
      <c r="N11" s="308" t="str">
        <f>IF(AK252="","",AK252)</f>
        <v/>
      </c>
      <c r="O11" s="308" t="str">
        <f>IF(AL252="","",AL252)</f>
        <v/>
      </c>
      <c r="P11" s="309">
        <f>$Z$252</f>
        <v>100</v>
      </c>
      <c r="Q11" s="310">
        <f>$Y$252</f>
        <v>0</v>
      </c>
      <c r="U11" s="553"/>
      <c r="V11" s="554"/>
      <c r="W11" s="554"/>
      <c r="X11" s="554"/>
      <c r="Y11" s="554"/>
      <c r="Z11" s="554"/>
      <c r="AA11" s="555"/>
      <c r="AC11" s="275"/>
      <c r="AD11" s="328" t="s">
        <v>7942</v>
      </c>
      <c r="AE11" s="329"/>
      <c r="AF11" s="330"/>
      <c r="AG11" s="329"/>
      <c r="AH11" s="329"/>
      <c r="AI11" s="329"/>
      <c r="AJ11" s="329"/>
      <c r="AK11" s="329"/>
      <c r="AL11" s="329"/>
      <c r="AM11" s="329"/>
      <c r="AN11" s="329"/>
      <c r="AO11" s="329"/>
      <c r="AP11" s="329"/>
      <c r="AQ11" s="329"/>
      <c r="BC11" s="271"/>
      <c r="BD11" s="279">
        <v>1</v>
      </c>
      <c r="BE11" s="271"/>
      <c r="BF11" s="271"/>
      <c r="BG11" s="271"/>
    </row>
    <row r="12" spans="1:111" ht="23.1" customHeight="1" x14ac:dyDescent="0.25">
      <c r="A12" s="305" t="s">
        <v>334</v>
      </c>
      <c r="B12" s="331" cm="1">
        <f t="array" ref="B12">IFERROR(INDEX($N$6:$N$15,$B$5),"")</f>
        <v>0.72499999999999998</v>
      </c>
      <c r="C12" s="332" t="str" cm="1">
        <f t="array" ref="C12">IFERROR(INDEX($O$6:$O$15,$B$5),"")</f>
        <v>kg</v>
      </c>
      <c r="D12" s="333"/>
      <c r="E12" s="506" t="s">
        <v>8169</v>
      </c>
      <c r="F12" s="334" t="s">
        <v>335</v>
      </c>
      <c r="G12" s="335">
        <v>200</v>
      </c>
      <c r="H12" s="336" t="s">
        <v>7941</v>
      </c>
      <c r="I12" s="337"/>
      <c r="J12" s="271"/>
      <c r="K12" s="155">
        <f>$V$288</f>
        <v>7</v>
      </c>
      <c r="L12" s="306" t="str">
        <f>$W$288</f>
        <v>N° 00 ?</v>
      </c>
      <c r="M12" s="307" t="str">
        <f>$X$288</f>
        <v>Saisissez votre recette X288</v>
      </c>
      <c r="N12" s="308" t="str">
        <f>IF(AK288="","",AK288)</f>
        <v/>
      </c>
      <c r="O12" s="308" t="str">
        <f>IF(AL288="","",AL288)</f>
        <v/>
      </c>
      <c r="P12" s="309">
        <f>$Z$288</f>
        <v>100</v>
      </c>
      <c r="Q12" s="310">
        <f>$Y$288</f>
        <v>0</v>
      </c>
      <c r="U12" s="553" t="s">
        <v>7943</v>
      </c>
      <c r="V12" s="554"/>
      <c r="W12" s="554"/>
      <c r="X12" s="554"/>
      <c r="Y12" s="554"/>
      <c r="Z12" s="554"/>
      <c r="AA12" s="555"/>
      <c r="AC12" s="275"/>
      <c r="AD12" s="301" t="s">
        <v>7944</v>
      </c>
      <c r="AE12" s="311" t="s">
        <v>7945</v>
      </c>
      <c r="AF12" s="303" t="s">
        <v>7946</v>
      </c>
      <c r="AG12" s="17" t="s">
        <v>7947</v>
      </c>
      <c r="AH12" s="17"/>
      <c r="AI12" s="311" t="s">
        <v>7948</v>
      </c>
      <c r="AJ12" s="311"/>
      <c r="AK12" s="311"/>
      <c r="AL12" s="311"/>
      <c r="AM12" s="311"/>
      <c r="AN12" s="311"/>
      <c r="AO12" s="311"/>
      <c r="AP12" s="311"/>
      <c r="AQ12" s="311"/>
      <c r="BC12" s="271"/>
      <c r="BD12" s="279">
        <v>1</v>
      </c>
      <c r="BE12" s="271"/>
      <c r="BF12" s="271"/>
      <c r="BG12" s="271"/>
    </row>
    <row r="13" spans="1:111" ht="23.1" customHeight="1" x14ac:dyDescent="0.25">
      <c r="A13" s="338" t="s">
        <v>336</v>
      </c>
      <c r="B13" s="339">
        <v>2</v>
      </c>
      <c r="C13" s="340" t="s">
        <v>7949</v>
      </c>
      <c r="D13" s="341"/>
      <c r="E13" s="318"/>
      <c r="F13" s="676" t="s">
        <v>7950</v>
      </c>
      <c r="G13" s="676"/>
      <c r="H13" s="676"/>
      <c r="I13" s="676"/>
      <c r="J13" s="271"/>
      <c r="K13" s="155">
        <f>$V$324</f>
        <v>8</v>
      </c>
      <c r="L13" s="306" t="str">
        <f>$W$324</f>
        <v>N°00 ?</v>
      </c>
      <c r="M13" s="307" t="str">
        <f>$X$324</f>
        <v>Saisissez votre recette X324</v>
      </c>
      <c r="N13" s="308" t="str">
        <f>IF(AK324="","",AK324)</f>
        <v/>
      </c>
      <c r="O13" s="308" t="str">
        <f>IF(AL324="","",AL324)</f>
        <v/>
      </c>
      <c r="P13" s="309">
        <f>$Z$324</f>
        <v>100</v>
      </c>
      <c r="Q13" s="310">
        <f>$Y$324</f>
        <v>0</v>
      </c>
      <c r="U13" s="567"/>
      <c r="V13" s="568"/>
      <c r="W13" s="568"/>
      <c r="X13" s="568"/>
      <c r="Y13" s="568"/>
      <c r="Z13" s="568"/>
      <c r="AA13" s="569"/>
      <c r="AC13" s="275"/>
      <c r="AD13" s="301" t="s">
        <v>7828</v>
      </c>
      <c r="AE13" s="322" t="s">
        <v>338</v>
      </c>
      <c r="AF13" s="303" t="s">
        <v>7951</v>
      </c>
      <c r="AG13" s="34" t="s">
        <v>7952</v>
      </c>
      <c r="AH13" s="34"/>
      <c r="AI13" s="311" t="s">
        <v>7953</v>
      </c>
      <c r="AJ13" s="311"/>
      <c r="AK13" s="311"/>
      <c r="AL13" s="311"/>
      <c r="AM13" s="311"/>
      <c r="AN13" s="311"/>
      <c r="AO13" s="311"/>
      <c r="AP13" s="311"/>
      <c r="AQ13" s="311"/>
      <c r="BC13" s="271"/>
      <c r="BD13" s="279">
        <v>1</v>
      </c>
      <c r="BE13" s="271"/>
      <c r="BF13" s="271"/>
      <c r="BG13" s="271"/>
    </row>
    <row r="14" spans="1:111" ht="23.1" customHeight="1" x14ac:dyDescent="0.25">
      <c r="A14" s="284"/>
      <c r="B14" s="507" t="s">
        <v>8167</v>
      </c>
      <c r="C14" s="507" t="s">
        <v>8168</v>
      </c>
      <c r="D14" s="284"/>
      <c r="E14" s="318"/>
      <c r="F14" s="677"/>
      <c r="G14" s="677"/>
      <c r="H14" s="677"/>
      <c r="I14" s="677"/>
      <c r="J14" s="271"/>
      <c r="K14" s="155">
        <f>$V$360</f>
        <v>9</v>
      </c>
      <c r="L14" s="306" t="str">
        <f>$W$360</f>
        <v>N°00 ?</v>
      </c>
      <c r="M14" s="307" t="str">
        <f>$X$360</f>
        <v>Saisissez votre recette X360</v>
      </c>
      <c r="N14" s="308" t="str">
        <f>IF(AK360="","",AK360)</f>
        <v/>
      </c>
      <c r="O14" s="308" t="str">
        <f>IF(AL360="","",AL360)</f>
        <v/>
      </c>
      <c r="P14" s="309">
        <f>$Z$360</f>
        <v>100</v>
      </c>
      <c r="Q14" s="310">
        <f>$Y$360</f>
        <v>0</v>
      </c>
      <c r="U14" s="299"/>
      <c r="V14" s="271"/>
      <c r="W14" s="271"/>
      <c r="X14" s="271"/>
      <c r="Y14" s="271"/>
      <c r="Z14" s="271"/>
      <c r="AA14" s="300"/>
      <c r="AC14" s="275"/>
      <c r="AD14" s="301" t="s">
        <v>7828</v>
      </c>
      <c r="AE14" s="322" t="s">
        <v>338</v>
      </c>
      <c r="AF14" s="303" t="s">
        <v>7951</v>
      </c>
      <c r="AG14" s="34" t="s">
        <v>7954</v>
      </c>
      <c r="AH14" s="34"/>
      <c r="AI14" s="311" t="s">
        <v>7955</v>
      </c>
      <c r="AJ14" s="311"/>
      <c r="AK14" s="311"/>
      <c r="AL14" s="311"/>
      <c r="AM14" s="311"/>
      <c r="AN14" s="311"/>
      <c r="AO14" s="311"/>
      <c r="AP14" s="311"/>
      <c r="AQ14" s="311"/>
      <c r="BC14" s="271"/>
      <c r="BD14" s="279">
        <v>1</v>
      </c>
      <c r="BE14" s="271"/>
      <c r="BF14" s="271"/>
      <c r="BG14" s="271"/>
    </row>
    <row r="15" spans="1:111" ht="23.1" customHeight="1" x14ac:dyDescent="0.25">
      <c r="A15" s="664" t="s">
        <v>7956</v>
      </c>
      <c r="B15" s="665"/>
      <c r="C15" s="665"/>
      <c r="D15" s="665"/>
      <c r="E15" s="665"/>
      <c r="F15" s="665"/>
      <c r="G15" s="665"/>
      <c r="H15" s="665"/>
      <c r="I15" s="666"/>
      <c r="J15" s="271"/>
      <c r="K15" s="157">
        <f>$V$396</f>
        <v>10</v>
      </c>
      <c r="L15" s="342" t="str">
        <f>$W$396</f>
        <v>N°00 ?</v>
      </c>
      <c r="M15" s="343" t="str">
        <f>$X$396</f>
        <v>Saisissez votre recette X396</v>
      </c>
      <c r="N15" s="344" t="str">
        <f>IF(AK396="","",AK396)</f>
        <v/>
      </c>
      <c r="O15" s="344" t="str">
        <f>IF(AL396="","",AL396)</f>
        <v/>
      </c>
      <c r="P15" s="345">
        <f>$Z$396</f>
        <v>100</v>
      </c>
      <c r="Q15" s="346">
        <f>$Y$396</f>
        <v>0</v>
      </c>
      <c r="U15" s="558" t="s">
        <v>7899</v>
      </c>
      <c r="V15" s="559"/>
      <c r="W15" s="559"/>
      <c r="X15" s="559"/>
      <c r="Y15" s="559"/>
      <c r="Z15" s="559"/>
      <c r="AA15" s="560"/>
      <c r="AC15" s="275"/>
      <c r="AD15" s="301" t="s">
        <v>7828</v>
      </c>
      <c r="AE15" s="322" t="s">
        <v>338</v>
      </c>
      <c r="AF15" s="303" t="s">
        <v>7951</v>
      </c>
      <c r="AG15" s="34" t="s">
        <v>139</v>
      </c>
      <c r="AH15" s="34"/>
      <c r="AI15" s="311" t="s">
        <v>7957</v>
      </c>
      <c r="AJ15" s="311"/>
      <c r="AK15" s="311"/>
      <c r="AL15" s="311"/>
      <c r="AM15" s="311"/>
      <c r="AN15" s="311"/>
      <c r="AO15" s="311"/>
      <c r="AP15" s="311"/>
      <c r="AQ15" s="311"/>
      <c r="BC15" s="271"/>
      <c r="BD15" s="279">
        <v>1</v>
      </c>
      <c r="BE15" s="271"/>
      <c r="BF15" s="271"/>
      <c r="BG15" s="271"/>
    </row>
    <row r="16" spans="1:111" ht="23.1" customHeight="1" x14ac:dyDescent="0.25">
      <c r="A16" s="347" t="s">
        <v>7958</v>
      </c>
      <c r="B16" s="678" t="str">
        <f>IF(AND($B$13&lt;&gt;"",$G$12&lt;&gt;""),"DEUX CALCULS ACTIFS — A ET B",IF($B$13&lt;&gt;"","MODE A ACTIF — ÉLÉMENT PRINCIPAL",IF($G$12&lt;&gt;"","MODE B ACTIF — COUVERTS","AUCUN CALCUL ACTIF")))</f>
        <v>DEUX CALCULS ACTIFS — A ET B</v>
      </c>
      <c r="C16" s="678"/>
      <c r="D16" s="678"/>
      <c r="E16" s="678"/>
      <c r="F16" s="678"/>
      <c r="G16" s="678"/>
      <c r="H16" s="678"/>
      <c r="I16" s="678"/>
      <c r="J16" s="271"/>
      <c r="K16" s="271"/>
      <c r="L16" s="271"/>
      <c r="M16" s="271"/>
      <c r="N16" s="271"/>
      <c r="O16" s="271"/>
      <c r="P16" s="271"/>
      <c r="Q16" s="271"/>
      <c r="U16" s="570" t="s">
        <v>281</v>
      </c>
      <c r="V16" s="572" t="s">
        <v>7959</v>
      </c>
      <c r="W16" s="574" t="s">
        <v>7911</v>
      </c>
      <c r="X16" s="574"/>
      <c r="Y16" s="574"/>
      <c r="Z16" s="574"/>
      <c r="AA16" s="575"/>
      <c r="AC16" s="275"/>
      <c r="AD16" s="301" t="s">
        <v>7828</v>
      </c>
      <c r="AE16" s="322" t="s">
        <v>7960</v>
      </c>
      <c r="AF16" s="303" t="s">
        <v>7951</v>
      </c>
      <c r="AG16" s="34" t="s">
        <v>7961</v>
      </c>
      <c r="AH16" s="34"/>
      <c r="AI16" s="311" t="s">
        <v>7962</v>
      </c>
      <c r="AJ16" s="311"/>
      <c r="AK16" s="311"/>
      <c r="AL16" s="311"/>
      <c r="AM16" s="311"/>
      <c r="AN16" s="311"/>
      <c r="AO16" s="311"/>
      <c r="AP16" s="311"/>
      <c r="AQ16" s="311"/>
      <c r="BC16" s="271"/>
      <c r="BD16" s="279">
        <v>1</v>
      </c>
      <c r="BE16" s="271"/>
      <c r="BF16" s="271"/>
      <c r="BG16" s="271"/>
    </row>
    <row r="17" spans="1:59" ht="23.1" customHeight="1" thickBot="1" x14ac:dyDescent="0.3">
      <c r="A17" s="348" t="s">
        <v>6113</v>
      </c>
      <c r="B17" s="679" t="str">
        <f>IF(AND(COUNTIF(B22:B57,"*~**")=0,COUNTIF(B22:B57,"*~?*")=0),"",IF(COUNTIF(B22:B57,"*~**")&gt;0,COUNTIF(B22:B57,"*~**")&amp;" allergène"&amp;IF(COUNTIF(B22:B57,"*~**")&gt;1,"s","")&amp;" repéré"&amp;IF(COUNTIF(B22:B57,"*~**")&gt;1,"s","")&amp;" par *","")&amp;IF(AND(COUNTIF(B22:B57,"*~**")&gt;0,COUNTIF(B22:B57,"*~?*")&gt;0)," | ","")&amp;IF(COUNTIF(B22:B57,"*~?*")&gt;0,COUNTIF(B22:B57,"*~?*")&amp;" produit"&amp;IF(COUNTIF(B22:B57,"*~?*")&gt;1,"s","")&amp;" à vérifier par ?",""))</f>
        <v>5 allergènes repérés par * | 2 produits à vérifier par ?</v>
      </c>
      <c r="C17" s="679"/>
      <c r="D17" s="679"/>
      <c r="E17" s="679"/>
      <c r="F17" s="679"/>
      <c r="G17" s="679"/>
      <c r="H17" s="679"/>
      <c r="I17" s="680"/>
      <c r="J17" s="271"/>
      <c r="K17" s="681" t="s">
        <v>7963</v>
      </c>
      <c r="L17" s="682"/>
      <c r="M17" s="682"/>
      <c r="N17" s="682"/>
      <c r="O17" s="682"/>
      <c r="P17" s="682"/>
      <c r="Q17" s="683"/>
      <c r="U17" s="571"/>
      <c r="V17" s="573"/>
      <c r="W17" s="576"/>
      <c r="X17" s="576"/>
      <c r="Y17" s="576"/>
      <c r="Z17" s="576"/>
      <c r="AA17" s="577"/>
      <c r="AC17" s="275"/>
      <c r="AD17" s="301" t="s">
        <v>7964</v>
      </c>
      <c r="AE17" s="322" t="s">
        <v>7965</v>
      </c>
      <c r="AF17" s="303" t="s">
        <v>7966</v>
      </c>
      <c r="AG17" s="578" t="s">
        <v>7967</v>
      </c>
      <c r="AH17" s="578"/>
      <c r="AI17" s="311" t="s">
        <v>7968</v>
      </c>
      <c r="AJ17" s="311"/>
      <c r="AK17" s="311"/>
      <c r="AL17" s="311"/>
      <c r="AM17" s="311"/>
      <c r="AN17" s="311"/>
      <c r="AO17" s="311"/>
      <c r="AP17" s="311"/>
      <c r="AQ17" s="311"/>
      <c r="BC17" s="271"/>
      <c r="BD17" s="279">
        <v>1</v>
      </c>
      <c r="BE17" s="271"/>
      <c r="BF17" s="271"/>
      <c r="BG17" s="271"/>
    </row>
    <row r="18" spans="1:59" ht="18.75" x14ac:dyDescent="0.25">
      <c r="A18" s="349"/>
      <c r="B18" s="350" t="s">
        <v>6114</v>
      </c>
      <c r="C18" s="351"/>
      <c r="D18" s="351"/>
      <c r="E18" s="351"/>
      <c r="F18" s="351"/>
      <c r="G18" s="351"/>
      <c r="H18" s="351"/>
      <c r="I18" s="351"/>
      <c r="J18" s="271"/>
      <c r="K18" s="684"/>
      <c r="L18" s="685"/>
      <c r="M18" s="685"/>
      <c r="N18" s="685"/>
      <c r="O18" s="685"/>
      <c r="P18" s="685"/>
      <c r="Q18" s="686"/>
      <c r="U18" s="579" t="s">
        <v>6154</v>
      </c>
      <c r="V18" s="581" t="s">
        <v>7969</v>
      </c>
      <c r="W18" s="583" t="s">
        <v>7970</v>
      </c>
      <c r="X18" s="583"/>
      <c r="Y18" s="583"/>
      <c r="Z18" s="583"/>
      <c r="AA18" s="584"/>
      <c r="AC18" s="275"/>
      <c r="AD18" s="352" t="s">
        <v>7971</v>
      </c>
      <c r="AE18" s="353"/>
      <c r="AF18" s="354"/>
      <c r="AG18" s="353"/>
      <c r="AH18" s="353"/>
      <c r="AI18" s="353"/>
      <c r="AJ18" s="353"/>
      <c r="AK18" s="353"/>
      <c r="AL18" s="353"/>
      <c r="AM18" s="353"/>
      <c r="AN18" s="353"/>
      <c r="AO18" s="353"/>
      <c r="AP18" s="353"/>
      <c r="AQ18" s="353"/>
      <c r="BC18" s="271"/>
      <c r="BD18" s="279">
        <v>1</v>
      </c>
      <c r="BE18" s="271"/>
      <c r="BF18" s="271"/>
      <c r="BG18" s="271"/>
    </row>
    <row r="19" spans="1:59" ht="23.1" customHeight="1" x14ac:dyDescent="0.25">
      <c r="A19" s="664" t="s">
        <v>7972</v>
      </c>
      <c r="B19" s="665"/>
      <c r="C19" s="665"/>
      <c r="D19" s="665"/>
      <c r="E19" s="665"/>
      <c r="F19" s="665"/>
      <c r="G19" s="665"/>
      <c r="H19" s="665"/>
      <c r="I19" s="666"/>
      <c r="J19" s="271"/>
      <c r="K19" s="684"/>
      <c r="L19" s="685"/>
      <c r="M19" s="685"/>
      <c r="N19" s="685"/>
      <c r="O19" s="685"/>
      <c r="P19" s="685"/>
      <c r="Q19" s="686"/>
      <c r="U19" s="580"/>
      <c r="V19" s="582"/>
      <c r="W19" s="585"/>
      <c r="X19" s="585"/>
      <c r="Y19" s="585"/>
      <c r="Z19" s="585"/>
      <c r="AA19" s="586"/>
      <c r="AC19" s="275"/>
      <c r="AD19" s="301" t="s">
        <v>7973</v>
      </c>
      <c r="AE19" s="355" t="s">
        <v>7974</v>
      </c>
      <c r="AF19" s="303" t="s">
        <v>7975</v>
      </c>
      <c r="AG19" s="356" t="s">
        <v>7976</v>
      </c>
      <c r="AH19" s="357"/>
      <c r="AI19" s="358" t="s">
        <v>7977</v>
      </c>
      <c r="AJ19" s="358"/>
      <c r="AK19" s="358"/>
      <c r="AL19" s="358"/>
      <c r="AM19" s="358"/>
      <c r="AN19" s="358"/>
      <c r="AO19" s="358"/>
      <c r="AP19" s="358"/>
      <c r="AQ19" s="358"/>
      <c r="BC19" s="271"/>
      <c r="BD19" s="279">
        <v>1</v>
      </c>
      <c r="BE19" s="271"/>
      <c r="BF19" s="271"/>
      <c r="BG19" s="271"/>
    </row>
    <row r="20" spans="1:59" ht="21.95" customHeight="1" x14ac:dyDescent="0.25">
      <c r="A20" s="359"/>
      <c r="B20" s="359"/>
      <c r="C20" s="360" cm="1">
        <f t="array" ref="C20">IFERROR(INDEX($P$6:$P$15,$B$5),"")</f>
        <v>100</v>
      </c>
      <c r="D20" s="361" t="s">
        <v>7941</v>
      </c>
      <c r="E20" s="673" t="str">
        <f>IF($B$13="","MODE A NON RENSEIGNÉ","MODE A — "&amp;$B$13&amp;" "&amp;$C$13)</f>
        <v>MODE A — 2 Kg</v>
      </c>
      <c r="F20" s="673"/>
      <c r="G20" s="674" t="str">
        <f>IF($G$12="","MODE B NON RENSEIGNÉ","MODE B — "&amp;$G$12&amp;" COUVERTS")</f>
        <v>MODE B — 200 COUVERTS</v>
      </c>
      <c r="H20" s="674"/>
      <c r="I20" s="675"/>
      <c r="J20" s="271"/>
      <c r="K20" s="684"/>
      <c r="L20" s="685"/>
      <c r="M20" s="685"/>
      <c r="N20" s="685"/>
      <c r="O20" s="685"/>
      <c r="P20" s="685"/>
      <c r="Q20" s="686"/>
      <c r="U20" s="587" t="s">
        <v>6146</v>
      </c>
      <c r="V20" s="589" t="s">
        <v>7978</v>
      </c>
      <c r="W20" s="591" t="s">
        <v>7979</v>
      </c>
      <c r="X20" s="591"/>
      <c r="Y20" s="591"/>
      <c r="Z20" s="591"/>
      <c r="AA20" s="592"/>
      <c r="AC20" s="275"/>
      <c r="AD20" s="301" t="s">
        <v>7973</v>
      </c>
      <c r="AE20" s="355" t="s">
        <v>7974</v>
      </c>
      <c r="AF20" s="303" t="s">
        <v>7975</v>
      </c>
      <c r="AG20" s="356" t="s">
        <v>7980</v>
      </c>
      <c r="AH20" s="357"/>
      <c r="AI20" s="362" t="s">
        <v>7981</v>
      </c>
      <c r="AJ20" s="362"/>
      <c r="AK20" s="362"/>
      <c r="AL20" s="362"/>
      <c r="AM20" s="362"/>
      <c r="AN20" s="362"/>
      <c r="AO20" s="362"/>
      <c r="AP20" s="362"/>
      <c r="AQ20" s="362"/>
      <c r="BC20" s="271"/>
      <c r="BD20" s="279">
        <v>1</v>
      </c>
      <c r="BE20" s="271"/>
      <c r="BF20" s="271"/>
      <c r="BG20" s="271"/>
    </row>
    <row r="21" spans="1:59" ht="21.95" customHeight="1" x14ac:dyDescent="0.25">
      <c r="A21" s="363" t="s">
        <v>337</v>
      </c>
      <c r="B21" s="364" t="s">
        <v>338</v>
      </c>
      <c r="C21" s="364" t="s">
        <v>339</v>
      </c>
      <c r="D21" s="364" t="s">
        <v>340</v>
      </c>
      <c r="E21" s="365" t="s">
        <v>7982</v>
      </c>
      <c r="F21" s="366" t="s">
        <v>341</v>
      </c>
      <c r="G21" s="367" t="s">
        <v>7983</v>
      </c>
      <c r="H21" s="368" t="s">
        <v>342</v>
      </c>
      <c r="I21" s="369" t="s">
        <v>343</v>
      </c>
      <c r="J21" s="271"/>
      <c r="K21" s="687"/>
      <c r="L21" s="688"/>
      <c r="M21" s="688"/>
      <c r="N21" s="688"/>
      <c r="O21" s="688"/>
      <c r="P21" s="688"/>
      <c r="Q21" s="689"/>
      <c r="U21" s="588"/>
      <c r="V21" s="590"/>
      <c r="W21" s="593"/>
      <c r="X21" s="593"/>
      <c r="Y21" s="593"/>
      <c r="Z21" s="593"/>
      <c r="AA21" s="594"/>
      <c r="AC21" s="275"/>
      <c r="AD21" s="370" t="s">
        <v>7984</v>
      </c>
      <c r="AE21" s="371" t="s">
        <v>7974</v>
      </c>
      <c r="AF21" s="372" t="s">
        <v>7975</v>
      </c>
      <c r="AG21" s="356" t="s">
        <v>7985</v>
      </c>
      <c r="AH21" s="357"/>
      <c r="AI21" s="373" t="s">
        <v>7986</v>
      </c>
      <c r="AJ21" s="373"/>
      <c r="AK21" s="373"/>
      <c r="AL21" s="373"/>
      <c r="AM21" s="373"/>
      <c r="AN21" s="373"/>
      <c r="AO21" s="373"/>
      <c r="AP21" s="373"/>
      <c r="AQ21" s="373"/>
      <c r="BC21" s="271"/>
      <c r="BD21" s="279">
        <v>1</v>
      </c>
      <c r="BE21" s="271"/>
      <c r="BF21" s="271"/>
      <c r="BG21" s="271"/>
    </row>
    <row r="22" spans="1:59" ht="21.95" customHeight="1" thickBot="1" x14ac:dyDescent="0.3">
      <c r="A22" s="374">
        <f>IF($B22="","",0)</f>
        <v>0</v>
      </c>
      <c r="B22" s="375" t="str" cm="1">
        <f t="array" ref="B22">IFERROR(IF(INDEX($AC$72:$AC$430,$K22)="","",INDEX($AC$72:$AC$430,$K22)),"")</f>
        <v>Parmesan râpé *</v>
      </c>
      <c r="C22" s="376" cm="1">
        <f t="array" ref="C22">IF($B22="","",INDEX($AG$72:$AG$430,$K22))</f>
        <v>725</v>
      </c>
      <c r="D22" s="377" t="str" cm="1">
        <f t="array" ref="D22">IF($B22="","",INDEX($AH$72:$AH$430,$K22))</f>
        <v>G</v>
      </c>
      <c r="E22" s="378">
        <f t="shared" ref="E22:E56" si="0">IF($B22="","",IF(UPPER(TRIM($D22))="QT. SUFFISANTE","",IF($N22="","",IF($L22="MASSE",IF($N22&gt;=1,ROUND($N22,2),ROUND($N22*1000,0)),IF($L22="VOLUME",IF($N22&gt;=1,ROUND($N22,2),ROUND($N22*100,0)),ROUND($N22,0))))))</f>
        <v>2</v>
      </c>
      <c r="F22" s="379" t="str" cm="1">
        <f t="array" ref="F22">IF($B22="","",IF(UPPER(TRIM($D22))="QT. SUFFISANTE","Qt. suffisante",IF($N22="","",IF($L22="MASSE",IF($N22&gt;=1,"Kg","g"),IF($L22="VOLUME",IF($N22&gt;=1,"L","cl"),INDEX($AL$72:$AL$430,$K22))))))</f>
        <v>Kg</v>
      </c>
      <c r="G22" s="380">
        <f t="shared" ref="G22:G56" si="1">IF($B22="","",IF(UPPER(TRIM($D22))="QT. SUFFISANTE","",IF($O22="","",IF($L22="MASSE",IF($O22&gt;=1,ROUND($O22,2),ROUND($O22*1000,0)),IF($L22="VOLUME",IF($O22&gt;=1,ROUND($O22,2),ROUND($O22*100,0)),ROUND($O22,0))))))</f>
        <v>1.45</v>
      </c>
      <c r="H22" s="381" t="str" cm="1">
        <f t="array" ref="H22">IF($B22="","",IF(UPPER(TRIM($D22))="QT. SUFFISANTE","Qt. suffisante",IF($O22="","",IF($L22="MASSE",IF($O22&gt;=1,"Kg","g"),IF($L22="VOLUME",IF($O22&gt;=1,"L","cl"),INDEX($AL$72:$AL$430,$K22))))))</f>
        <v>Kg</v>
      </c>
      <c r="I22" s="382" t="str" cm="1">
        <f t="array" ref="I22">IF($B22="","",INDEX($AM$72:$AM$430,$K22))</f>
        <v>OK</v>
      </c>
      <c r="J22" s="271"/>
      <c r="K22" s="383">
        <f>1+($B$5-1)*36+0</f>
        <v>73</v>
      </c>
      <c r="L22" s="383" t="str" cm="1">
        <f t="array" ref="L22">IF($B22="","",INDEX($AI$72:$AI$430,$K22))</f>
        <v>MASSE</v>
      </c>
      <c r="M22" s="383" cm="1">
        <f t="array" ref="M22">IF($B22="","",INDEX($AJ$72:$AJ$430,$K22))</f>
        <v>1E-3</v>
      </c>
      <c r="N22" s="384" cm="1">
        <f t="array" ref="N22">IF(OR($B22="",$B$13="",$B$12="",$B$12=0),"",IF($L$22="AUTRE",IFERROR(INDEX($AK$72:$AK$430,$K22)*($B$13/$B$12),""),IF(OR($C$12="",$C$13=""),"",IFERROR(INDEX($AK$72:$AK$430,$K22)*(($B$13*VLOOKUP($C$13,$AY$74:$BA$119,3,FALSE))/($B$12*VLOOKUP($C$12,$AY$74:$BA$119,3,FALSE))),""))))</f>
        <v>2</v>
      </c>
      <c r="O22" s="384" cm="1">
        <f t="array" ref="O22">IF(OR($B22="",$G$12="",$G$11="",$G$11=0),"",IFERROR(INDEX($AK$72:$AK$430,$K22)*($G$12/$G$11),""))</f>
        <v>1.45</v>
      </c>
      <c r="U22" s="602" t="s">
        <v>6174</v>
      </c>
      <c r="V22" s="604" t="s">
        <v>7987</v>
      </c>
      <c r="W22" s="606" t="s">
        <v>7988</v>
      </c>
      <c r="X22" s="606"/>
      <c r="Y22" s="606"/>
      <c r="Z22" s="606"/>
      <c r="AA22" s="607"/>
      <c r="AC22" s="275"/>
      <c r="AD22" s="370" t="s">
        <v>7984</v>
      </c>
      <c r="AE22" s="385" t="s">
        <v>7974</v>
      </c>
      <c r="AF22" s="372" t="s">
        <v>7975</v>
      </c>
      <c r="AG22" s="356" t="s">
        <v>7989</v>
      </c>
      <c r="AH22" s="357"/>
      <c r="AI22" s="373" t="s">
        <v>7990</v>
      </c>
      <c r="AJ22" s="373"/>
      <c r="AK22" s="373"/>
      <c r="AL22" s="373"/>
      <c r="AM22" s="373"/>
      <c r="AN22" s="373"/>
      <c r="AO22" s="373"/>
      <c r="AP22" s="373"/>
      <c r="AQ22" s="373"/>
      <c r="BC22" s="271"/>
      <c r="BD22" s="279">
        <v>1</v>
      </c>
      <c r="BE22" s="271"/>
      <c r="BF22" s="271"/>
      <c r="BG22" s="271"/>
    </row>
    <row r="23" spans="1:59" ht="21.95" customHeight="1" x14ac:dyDescent="0.25">
      <c r="A23" s="374">
        <f>IF($B23="","",1)</f>
        <v>1</v>
      </c>
      <c r="B23" s="375" t="str" cm="1">
        <f t="array" ref="B23">IFERROR(IF(INDEX($AC$72:$AC$430,$K23)="","",INDEX($AC$72:$AC$430,$K23)),"")</f>
        <v>Crème liquide *</v>
      </c>
      <c r="C23" s="376" cm="1">
        <f t="array" ref="C23">IF($B23="","",INDEX($AG$72:$AG$430,$K23))</f>
        <v>3.5</v>
      </c>
      <c r="D23" s="377" t="str" cm="1">
        <f t="array" ref="D23">IF($B23="","",INDEX($AH$72:$AH$430,$K23))</f>
        <v>L</v>
      </c>
      <c r="E23" s="378">
        <f t="shared" si="0"/>
        <v>9.66</v>
      </c>
      <c r="F23" s="379" t="str" cm="1">
        <f t="array" ref="F23">IF($B23="","",IF(UPPER(TRIM($D23))="QT. SUFFISANTE","Qt. suffisante",IF($N23="","",IF($L23="MASSE",IF($N23&gt;=1,"Kg","g"),IF($L23="VOLUME",IF($N23&gt;=1,"L","cl"),INDEX($AL$72:$AL$430,$K23))))))</f>
        <v>L</v>
      </c>
      <c r="G23" s="380">
        <f t="shared" si="1"/>
        <v>7</v>
      </c>
      <c r="H23" s="381" t="str" cm="1">
        <f t="array" ref="H23">IF($B23="","",IF(UPPER(TRIM($D23))="QT. SUFFISANTE","Qt. suffisante",IF($O23="","",IF($L23="MASSE",IF($O23&gt;=1,"Kg","g"),IF($L23="VOLUME",IF($O23&gt;=1,"L","cl"),INDEX($AL$72:$AL$430,$K23))))))</f>
        <v>L</v>
      </c>
      <c r="I23" s="382" t="str" cm="1">
        <f t="array" ref="I23">IF($B23="","",INDEX($AM$72:$AM$430,$K23))</f>
        <v>OK</v>
      </c>
      <c r="J23" s="271"/>
      <c r="K23" s="383">
        <f>1+($B$5-1)*36+1</f>
        <v>74</v>
      </c>
      <c r="L23" s="383" t="str" cm="1">
        <f t="array" ref="L23">IF($B23="","",INDEX($AI$72:$AI$430,$K23))</f>
        <v>VOLUME</v>
      </c>
      <c r="M23" s="383" cm="1">
        <f t="array" ref="M23">IF($B23="","",INDEX($AJ$72:$AJ$430,$K23))</f>
        <v>1</v>
      </c>
      <c r="N23" s="384" cm="1">
        <f t="array" ref="N23">IF(OR($B23="",$B$13="",$B$12="",$B$12=0),"",IF($L$22="AUTRE",IFERROR(INDEX($AK$72:$AK$430,$K23)*($B$13/$B$12),""),IF(OR($C$12="",$C$13=""),"",IFERROR(INDEX($AK$72:$AK$430,$K23)*(($B$13*VLOOKUP($C$13,$AY$74:$BA$119,3,FALSE))/($B$12*VLOOKUP($C$12,$AY$74:$BA$119,3,FALSE))),""))))</f>
        <v>9.6551724137931032</v>
      </c>
      <c r="O23" s="384" cm="1">
        <f t="array" ref="O23">IF(OR($B23="",$G$12="",$G$11="",$G$11=0),"",IFERROR(INDEX($AK$72:$AK$430,$K23)*($G$12/$G$11),""))</f>
        <v>7</v>
      </c>
      <c r="U23" s="603"/>
      <c r="V23" s="605"/>
      <c r="W23" s="608"/>
      <c r="X23" s="608"/>
      <c r="Y23" s="608"/>
      <c r="Z23" s="608"/>
      <c r="AA23" s="609"/>
      <c r="AC23" s="275"/>
      <c r="AD23" s="386" t="s">
        <v>7991</v>
      </c>
      <c r="AE23" s="387"/>
      <c r="AF23" s="388"/>
      <c r="AG23" s="387"/>
      <c r="AH23" s="387"/>
      <c r="AI23" s="387"/>
      <c r="AJ23" s="387"/>
      <c r="AK23" s="387"/>
      <c r="AL23" s="387"/>
      <c r="AM23" s="387"/>
      <c r="AN23" s="387"/>
      <c r="AO23" s="387"/>
      <c r="AP23" s="387"/>
      <c r="AQ23" s="387"/>
      <c r="BB23" s="271"/>
      <c r="BC23" s="271"/>
      <c r="BD23" s="279">
        <v>1</v>
      </c>
      <c r="BE23" s="271"/>
      <c r="BF23" s="271"/>
      <c r="BG23" s="271"/>
    </row>
    <row r="24" spans="1:59" ht="21.95" customHeight="1" x14ac:dyDescent="0.25">
      <c r="A24" s="374">
        <f>IF($B24="","",2)</f>
        <v>2</v>
      </c>
      <c r="B24" s="375" t="str" cm="1">
        <f t="array" ref="B24">IFERROR(IF(INDEX($AC$72:$AC$430,$K24)="","",INDEX($AC$72:$AC$430,$K24)),"")</f>
        <v>Emmenthal râpé *</v>
      </c>
      <c r="C24" s="376" cm="1">
        <f t="array" ref="C24">IF($B24="","",INDEX($AG$72:$AG$430,$K24))</f>
        <v>725</v>
      </c>
      <c r="D24" s="377" t="str" cm="1">
        <f t="array" ref="D24">IF($B24="","",INDEX($AH$72:$AH$430,$K24))</f>
        <v>G</v>
      </c>
      <c r="E24" s="378">
        <f t="shared" si="0"/>
        <v>2</v>
      </c>
      <c r="F24" s="379" t="str" cm="1">
        <f t="array" ref="F24">IF($B24="","",IF(UPPER(TRIM($D24))="QT. SUFFISANTE","Qt. suffisante",IF($N24="","",IF($L24="MASSE",IF($N24&gt;=1,"Kg","g"),IF($L24="VOLUME",IF($N24&gt;=1,"L","cl"),INDEX($AL$72:$AL$430,$K24))))))</f>
        <v>Kg</v>
      </c>
      <c r="G24" s="380">
        <f t="shared" si="1"/>
        <v>1.45</v>
      </c>
      <c r="H24" s="381" t="str" cm="1">
        <f t="array" ref="H24">IF($B24="","",IF(UPPER(TRIM($D24))="QT. SUFFISANTE","Qt. suffisante",IF($O24="","",IF($L24="MASSE",IF($O24&gt;=1,"Kg","g"),IF($L24="VOLUME",IF($O24&gt;=1,"L","cl"),INDEX($AL$72:$AL$430,$K24))))))</f>
        <v>Kg</v>
      </c>
      <c r="I24" s="382" t="str" cm="1">
        <f t="array" ref="I24">IF($B24="","",INDEX($AM$72:$AM$430,$K24))</f>
        <v>OK</v>
      </c>
      <c r="J24" s="271"/>
      <c r="K24" s="383">
        <f>1+($B$5-1)*36+2</f>
        <v>75</v>
      </c>
      <c r="L24" s="383" t="str" cm="1">
        <f t="array" ref="L24">IF($B24="","",INDEX($AI$72:$AI$430,$K24))</f>
        <v>MASSE</v>
      </c>
      <c r="M24" s="383" cm="1">
        <f t="array" ref="M24">IF($B24="","",INDEX($AJ$72:$AJ$430,$K24))</f>
        <v>1E-3</v>
      </c>
      <c r="N24" s="384" cm="1">
        <f t="array" ref="N24">IF(OR($B24="",$B$13="",$B$12="",$B$12=0),"",IF($L$22="AUTRE",IFERROR(INDEX($AK$72:$AK$430,$K24)*($B$13/$B$12),""),IF(OR($C$12="",$C$13=""),"",IFERROR(INDEX($AK$72:$AK$430,$K24)*(($B$13*VLOOKUP($C$13,$AY$74:$BA$119,3,FALSE))/($B$12*VLOOKUP($C$12,$AY$74:$BA$119,3,FALSE))),""))))</f>
        <v>2</v>
      </c>
      <c r="O24" s="384" cm="1">
        <f t="array" ref="O24">IF(OR($B24="",$G$12="",$G$11="",$G$11=0),"",IFERROR(INDEX($AK$72:$AK$430,$K24)*($G$12/$G$11),""))</f>
        <v>1.45</v>
      </c>
      <c r="U24" s="610" t="s">
        <v>136</v>
      </c>
      <c r="V24" s="612" t="s">
        <v>7992</v>
      </c>
      <c r="W24" s="614" t="s">
        <v>7993</v>
      </c>
      <c r="X24" s="614"/>
      <c r="Y24" s="614"/>
      <c r="Z24" s="614"/>
      <c r="AA24" s="615"/>
      <c r="AC24" s="275"/>
      <c r="AD24" s="301" t="s">
        <v>7994</v>
      </c>
      <c r="AE24" s="322" t="s">
        <v>339</v>
      </c>
      <c r="AF24" s="303" t="s">
        <v>7995</v>
      </c>
      <c r="AG24" s="389" t="s">
        <v>136</v>
      </c>
      <c r="AH24" s="14"/>
      <c r="AI24" s="304" t="s">
        <v>7996</v>
      </c>
      <c r="AJ24" s="304"/>
      <c r="AK24" s="304"/>
      <c r="AL24" s="304"/>
      <c r="AM24" s="304"/>
      <c r="AN24" s="304"/>
      <c r="AO24" s="304"/>
      <c r="AP24" s="304"/>
      <c r="AQ24" s="304"/>
      <c r="BB24" s="271"/>
      <c r="BC24" s="271"/>
      <c r="BD24" s="279">
        <v>1</v>
      </c>
      <c r="BE24" s="271"/>
      <c r="BF24" s="271"/>
      <c r="BG24" s="271"/>
    </row>
    <row r="25" spans="1:59" ht="21.95" customHeight="1" x14ac:dyDescent="0.25">
      <c r="A25" s="374">
        <f>IF($B25="","",3)</f>
        <v>3</v>
      </c>
      <c r="B25" s="375" t="str" cm="1">
        <f t="array" ref="B25">IFERROR(IF(INDEX($AC$72:$AC$430,$K25)="","",INDEX($AC$72:$AC$430,$K25)),"")</f>
        <v>Sel / Poivre</v>
      </c>
      <c r="C25" s="376" t="str" cm="1">
        <f t="array" ref="C25">IF($B25="","",INDEX($AG$72:$AG$430,$K25))</f>
        <v>QT. SUFFISANTE</v>
      </c>
      <c r="D25" s="377" t="str" cm="1">
        <f t="array" ref="D25">IF($B25="","",INDEX($AH$72:$AH$430,$K25))</f>
        <v/>
      </c>
      <c r="E25" s="378" t="str">
        <f t="shared" si="0"/>
        <v/>
      </c>
      <c r="F25" s="379" t="str" cm="1">
        <f t="array" ref="F25">IF($B25="","",IF(UPPER(TRIM($D25))="QT. SUFFISANTE","Qt. suffisante",IF($N25="","",IF($L25="MASSE",IF($N25&gt;=1,"Kg","g"),IF($L25="VOLUME",IF($N25&gt;=1,"L","cl"),INDEX($AL$72:$AL$430,$K25))))))</f>
        <v/>
      </c>
      <c r="G25" s="380" t="str">
        <f t="shared" si="1"/>
        <v/>
      </c>
      <c r="H25" s="381" t="str" cm="1">
        <f t="array" ref="H25">IF($B25="","",IF(UPPER(TRIM($D25))="QT. SUFFISANTE","Qt. suffisante",IF($O25="","",IF($L25="MASSE",IF($O25&gt;=1,"Kg","g"),IF($L25="VOLUME",IF($O25&gt;=1,"L","cl"),INDEX($AL$72:$AL$430,$K25))))))</f>
        <v/>
      </c>
      <c r="I25" s="382" t="str" cm="1">
        <f t="array" ref="I25">IF($B25="","",INDEX($AM$72:$AM$430,$K25))</f>
        <v>QUANTITÉ À CONTRÔLER</v>
      </c>
      <c r="J25" s="271"/>
      <c r="K25" s="383">
        <f>1+($B$5-1)*36+3</f>
        <v>76</v>
      </c>
      <c r="L25" s="383" t="str" cm="1">
        <f t="array" ref="L25">IF($B25="","",INDEX($AI$72:$AI$430,$K25))</f>
        <v>AUTRE</v>
      </c>
      <c r="M25" s="383" cm="1">
        <f t="array" ref="M25">IF($B25="","",INDEX($AJ$72:$AJ$430,$K25))</f>
        <v>1</v>
      </c>
      <c r="N25" s="384" t="str" cm="1">
        <f t="array" ref="N25">IF(OR($B25="",$B$13="",$B$12="",$B$12=0),"",IF($L$22="AUTRE",IFERROR(INDEX($AK$72:$AK$430,$K25)*($B$13/$B$12),""),IF(OR($C$12="",$C$13=""),"",IFERROR(INDEX($AK$72:$AK$430,$K25)*(($B$13*VLOOKUP($C$13,$AY$74:$BA$119,3,FALSE))/($B$12*VLOOKUP($C$12,$AY$74:$BA$119,3,FALSE))),""))))</f>
        <v/>
      </c>
      <c r="O25" s="384" t="str" cm="1">
        <f t="array" ref="O25">IF(OR($B25="",$G$12="",$G$11="",$G$11=0),"",IFERROR(INDEX($AK$72:$AK$430,$K25)*($G$12/$G$11),""))</f>
        <v/>
      </c>
      <c r="U25" s="611"/>
      <c r="V25" s="613"/>
      <c r="W25" s="616"/>
      <c r="X25" s="616"/>
      <c r="Y25" s="616"/>
      <c r="Z25" s="616"/>
      <c r="AA25" s="617"/>
      <c r="AC25" s="275"/>
      <c r="AD25" s="301" t="s">
        <v>7994</v>
      </c>
      <c r="AE25" s="322" t="s">
        <v>7997</v>
      </c>
      <c r="AF25" s="303" t="s">
        <v>7998</v>
      </c>
      <c r="AG25" s="390"/>
      <c r="AH25" s="391" t="s">
        <v>7999</v>
      </c>
      <c r="AI25" s="311" t="s">
        <v>8000</v>
      </c>
      <c r="AJ25" s="311"/>
      <c r="AK25" s="311"/>
      <c r="AL25" s="311"/>
      <c r="AM25" s="311"/>
      <c r="AN25" s="311"/>
      <c r="AO25" s="311"/>
      <c r="AP25" s="311"/>
      <c r="AQ25" s="311"/>
      <c r="BB25" s="271"/>
      <c r="BC25" s="271"/>
      <c r="BD25" s="279">
        <v>1</v>
      </c>
      <c r="BE25" s="271"/>
      <c r="BF25" s="271"/>
      <c r="BG25" s="271"/>
    </row>
    <row r="26" spans="1:59" ht="21.95" customHeight="1" x14ac:dyDescent="0.25">
      <c r="A26" s="374" t="str">
        <f>IF($B26="","",4)</f>
        <v/>
      </c>
      <c r="B26" s="375" t="str" cm="1">
        <f t="array" ref="B26">IFERROR(IF(INDEX($AC$72:$AC$430,$K26)="","",INDEX($AC$72:$AC$430,$K26)),"")</f>
        <v/>
      </c>
      <c r="C26" s="376" t="str" cm="1">
        <f t="array" ref="C26">IF($B26="","",INDEX($AG$72:$AG$430,$K26))</f>
        <v/>
      </c>
      <c r="D26" s="377" t="str" cm="1">
        <f t="array" ref="D26">IF($B26="","",INDEX($AH$72:$AH$430,$K26))</f>
        <v/>
      </c>
      <c r="E26" s="378" t="str">
        <f t="shared" si="0"/>
        <v/>
      </c>
      <c r="F26" s="379" t="str" cm="1">
        <f t="array" ref="F26">IF($B26="","",IF(UPPER(TRIM($D26))="QT. SUFFISANTE","Qt. suffisante",IF($N26="","",IF($L26="MASSE",IF($N26&gt;=1,"Kg","g"),IF($L26="VOLUME",IF($N26&gt;=1,"L","cl"),INDEX($AL$72:$AL$430,$K26))))))</f>
        <v/>
      </c>
      <c r="G26" s="380" t="str">
        <f t="shared" si="1"/>
        <v/>
      </c>
      <c r="H26" s="381" t="str" cm="1">
        <f t="array" ref="H26">IF($B26="","",IF(UPPER(TRIM($D26))="QT. SUFFISANTE","Qt. suffisante",IF($O26="","",IF($L26="MASSE",IF($O26&gt;=1,"Kg","g"),IF($L26="VOLUME",IF($O26&gt;=1,"L","cl"),INDEX($AL$72:$AL$430,$K26))))))</f>
        <v/>
      </c>
      <c r="I26" s="382" t="str" cm="1">
        <f t="array" ref="I26">IF($B26="","",INDEX($AM$72:$AM$430,$K26))</f>
        <v/>
      </c>
      <c r="J26" s="271"/>
      <c r="K26" s="383">
        <f>1+($B$5-1)*36+4</f>
        <v>77</v>
      </c>
      <c r="L26" s="383" t="str" cm="1">
        <f t="array" ref="L26">IF($B26="","",INDEX($AI$72:$AI$430,$K26))</f>
        <v/>
      </c>
      <c r="M26" s="383" t="str" cm="1">
        <f t="array" ref="M26">IF($B26="","",INDEX($AJ$72:$AJ$430,$K26))</f>
        <v/>
      </c>
      <c r="N26" s="384" t="str" cm="1">
        <f t="array" ref="N26">IF(OR($B26="",$B$13="",$B$12="",$B$12=0),"",IF($L$22="AUTRE",IFERROR(INDEX($AK$72:$AK$430,$K26)*($B$13/$B$12),""),IF(OR($C$12="",$C$13=""),"",IFERROR(INDEX($AK$72:$AK$430,$K26)*(($B$13*VLOOKUP($C$13,$AY$74:$BA$119,3,FALSE))/($B$12*VLOOKUP($C$12,$AY$74:$BA$119,3,FALSE))),""))))</f>
        <v/>
      </c>
      <c r="O26" s="384" t="str" cm="1">
        <f t="array" ref="O26">IF(OR($B26="",$G$12="",$G$11="",$G$11=0),"",IFERROR(INDEX($AK$72:$AK$430,$K26)*($G$12/$G$11),""))</f>
        <v/>
      </c>
      <c r="U26" s="618" t="s">
        <v>8001</v>
      </c>
      <c r="V26" s="619" t="s">
        <v>8002</v>
      </c>
      <c r="W26" s="620" t="s">
        <v>8003</v>
      </c>
      <c r="X26" s="620"/>
      <c r="Y26" s="620"/>
      <c r="Z26" s="620"/>
      <c r="AA26" s="621"/>
      <c r="AC26" s="275"/>
      <c r="AD26" s="301" t="s">
        <v>8004</v>
      </c>
      <c r="AE26" s="322" t="s">
        <v>8005</v>
      </c>
      <c r="AF26" s="303" t="s">
        <v>8006</v>
      </c>
      <c r="AG26" s="624" t="s">
        <v>8007</v>
      </c>
      <c r="AH26" s="624"/>
      <c r="AI26" s="311" t="s">
        <v>8008</v>
      </c>
      <c r="AJ26" s="311"/>
      <c r="AK26" s="311"/>
      <c r="AL26" s="311"/>
      <c r="AM26" s="311"/>
      <c r="AN26" s="311"/>
      <c r="AO26" s="311"/>
      <c r="AP26" s="311"/>
      <c r="AQ26" s="311"/>
      <c r="BB26" s="271"/>
      <c r="BC26" s="271"/>
      <c r="BD26" s="279">
        <v>1</v>
      </c>
      <c r="BE26" s="271"/>
      <c r="BF26" s="271"/>
      <c r="BG26" s="271"/>
    </row>
    <row r="27" spans="1:59" ht="21.95" customHeight="1" thickBot="1" x14ac:dyDescent="0.3">
      <c r="A27" s="374">
        <f>IF($B27="","",5)</f>
        <v>5</v>
      </c>
      <c r="B27" s="375" t="str" cm="1">
        <f t="array" ref="B27">IFERROR(IF(INDEX($AC$72:$AC$430,$K27)="","",INDEX($AC$72:$AC$430,$K27)),"")</f>
        <v>Tomates</v>
      </c>
      <c r="C27" s="376" cm="1">
        <f t="array" ref="C27">IF($B27="","",INDEX($AG$72:$AG$430,$K27))</f>
        <v>10</v>
      </c>
      <c r="D27" s="377" t="str" cm="1">
        <f t="array" ref="D27">IF($B27="","",INDEX($AH$72:$AH$430,$K27))</f>
        <v>KG</v>
      </c>
      <c r="E27" s="378">
        <f t="shared" si="0"/>
        <v>27.59</v>
      </c>
      <c r="F27" s="379" t="str" cm="1">
        <f t="array" ref="F27">IF($B27="","",IF(UPPER(TRIM($D27))="QT. SUFFISANTE","Qt. suffisante",IF($N27="","",IF($L27="MASSE",IF($N27&gt;=1,"Kg","g"),IF($L27="VOLUME",IF($N27&gt;=1,"L","cl"),INDEX($AL$72:$AL$430,$K27))))))</f>
        <v>Kg</v>
      </c>
      <c r="G27" s="380">
        <f t="shared" si="1"/>
        <v>20</v>
      </c>
      <c r="H27" s="381" t="str" cm="1">
        <f t="array" ref="H27">IF($B27="","",IF(UPPER(TRIM($D27))="QT. SUFFISANTE","Qt. suffisante",IF($O27="","",IF($L27="MASSE",IF($O27&gt;=1,"Kg","g"),IF($L27="VOLUME",IF($O27&gt;=1,"L","cl"),INDEX($AL$72:$AL$430,$K27))))))</f>
        <v>Kg</v>
      </c>
      <c r="I27" s="382" t="str" cm="1">
        <f t="array" ref="I27">IF($B27="","",INDEX($AM$72:$AM$430,$K27))</f>
        <v>OK</v>
      </c>
      <c r="J27" s="271"/>
      <c r="K27" s="383">
        <f>1+($B$5-1)*36+5</f>
        <v>78</v>
      </c>
      <c r="L27" s="383" t="str" cm="1">
        <f t="array" ref="L27">IF($B27="","",INDEX($AI$72:$AI$430,$K27))</f>
        <v>MASSE</v>
      </c>
      <c r="M27" s="383" cm="1">
        <f t="array" ref="M27">IF($B27="","",INDEX($AJ$72:$AJ$430,$K27))</f>
        <v>1</v>
      </c>
      <c r="N27" s="384" cm="1">
        <f t="array" ref="N27">IF(OR($B27="",$B$13="",$B$12="",$B$12=0),"",IF($L$22="AUTRE",IFERROR(INDEX($AK$72:$AK$430,$K27)*($B$13/$B$12),""),IF(OR($C$12="",$C$13=""),"",IFERROR(INDEX($AK$72:$AK$430,$K27)*(($B$13*VLOOKUP($C$13,$AY$74:$BA$119,3,FALSE))/($B$12*VLOOKUP($C$12,$AY$74:$BA$119,3,FALSE))),""))))</f>
        <v>27.586206896551726</v>
      </c>
      <c r="O27" s="384" cm="1">
        <f t="array" ref="O27">IF(OR($B27="",$G$12="",$G$11="",$G$11=0),"",IFERROR(INDEX($AK$72:$AK$430,$K27)*($G$12/$G$11),""))</f>
        <v>20</v>
      </c>
      <c r="U27" s="588"/>
      <c r="V27" s="590"/>
      <c r="W27" s="622"/>
      <c r="X27" s="622"/>
      <c r="Y27" s="622"/>
      <c r="Z27" s="622"/>
      <c r="AA27" s="623"/>
      <c r="AC27" s="275"/>
      <c r="AD27" s="301" t="s">
        <v>8009</v>
      </c>
      <c r="AE27" s="355" t="s">
        <v>8010</v>
      </c>
      <c r="AF27" s="303" t="s">
        <v>8011</v>
      </c>
      <c r="AG27" s="625" t="s">
        <v>8012</v>
      </c>
      <c r="AH27" s="625"/>
      <c r="AI27" s="304" t="s">
        <v>8013</v>
      </c>
      <c r="AJ27" s="304"/>
      <c r="AK27" s="304"/>
      <c r="AL27" s="304"/>
      <c r="AM27" s="304"/>
      <c r="AN27" s="304"/>
      <c r="AO27" s="304"/>
      <c r="AP27" s="304"/>
      <c r="AQ27" s="304"/>
      <c r="BB27" s="271"/>
      <c r="BC27" s="271"/>
      <c r="BD27" s="279">
        <v>1</v>
      </c>
      <c r="BE27" s="271"/>
      <c r="BF27" s="271"/>
      <c r="BG27" s="271"/>
    </row>
    <row r="28" spans="1:59" ht="21.95" customHeight="1" x14ac:dyDescent="0.25">
      <c r="A28" s="374">
        <f>IF($B28="","",6)</f>
        <v>6</v>
      </c>
      <c r="B28" s="375" t="str" cm="1">
        <f t="array" ref="B28">IFERROR(IF(INDEX($AC$72:$AC$430,$K28)="","",INDEX($AC$72:$AC$430,$K28)),"")</f>
        <v>OU Coulis de tomate</v>
      </c>
      <c r="C28" s="376" cm="1">
        <f t="array" ref="C28">IF($B28="","",INDEX($AG$72:$AG$430,$K28))</f>
        <v>8</v>
      </c>
      <c r="D28" s="377" t="str" cm="1">
        <f t="array" ref="D28">IF($B28="","",INDEX($AH$72:$AH$430,$K28))</f>
        <v>L</v>
      </c>
      <c r="E28" s="378">
        <f t="shared" si="0"/>
        <v>22.07</v>
      </c>
      <c r="F28" s="379" t="str" cm="1">
        <f t="array" ref="F28">IF($B28="","",IF(UPPER(TRIM($D28))="QT. SUFFISANTE","Qt. suffisante",IF($N28="","",IF($L28="MASSE",IF($N28&gt;=1,"Kg","g"),IF($L28="VOLUME",IF($N28&gt;=1,"L","cl"),INDEX($AL$72:$AL$430,$K28))))))</f>
        <v>L</v>
      </c>
      <c r="G28" s="380">
        <f t="shared" si="1"/>
        <v>16</v>
      </c>
      <c r="H28" s="381" t="str" cm="1">
        <f t="array" ref="H28">IF($B28="","",IF(UPPER(TRIM($D28))="QT. SUFFISANTE","Qt. suffisante",IF($O28="","",IF($L28="MASSE",IF($O28&gt;=1,"Kg","g"),IF($L28="VOLUME",IF($O28&gt;=1,"L","cl"),INDEX($AL$72:$AL$430,$K28))))))</f>
        <v>L</v>
      </c>
      <c r="I28" s="382" t="str" cm="1">
        <f t="array" ref="I28">IF($B28="","",INDEX($AM$72:$AM$430,$K28))</f>
        <v>OK</v>
      </c>
      <c r="J28" s="271"/>
      <c r="K28" s="383">
        <f>1+($B$5-1)*36+6</f>
        <v>79</v>
      </c>
      <c r="L28" s="383" t="str" cm="1">
        <f t="array" ref="L28">IF($B28="","",INDEX($AI$72:$AI$430,$K28))</f>
        <v>VOLUME</v>
      </c>
      <c r="M28" s="383" cm="1">
        <f t="array" ref="M28">IF($B28="","",INDEX($AJ$72:$AJ$430,$K28))</f>
        <v>1</v>
      </c>
      <c r="N28" s="384" cm="1">
        <f t="array" ref="N28">IF(OR($B28="",$B$13="",$B$12="",$B$12=0),"",IF($L$22="AUTRE",IFERROR(INDEX($AK$72:$AK$430,$K28)*($B$13/$B$12),""),IF(OR($C$12="",$C$13=""),"",IFERROR(INDEX($AK$72:$AK$430,$K28)*(($B$13*VLOOKUP($C$13,$AY$74:$BA$119,3,FALSE))/($B$12*VLOOKUP($C$12,$AY$74:$BA$119,3,FALSE))),""))))</f>
        <v>22.068965517241381</v>
      </c>
      <c r="O28" s="384" cm="1">
        <f t="array" ref="O28">IF(OR($B28="",$G$12="",$G$11="",$G$11=0),"",IFERROR(INDEX($AK$72:$AK$430,$K28)*($G$12/$G$11),""))</f>
        <v>16</v>
      </c>
      <c r="U28" s="595" t="s">
        <v>8014</v>
      </c>
      <c r="V28" s="392" t="s">
        <v>4</v>
      </c>
      <c r="W28" s="597" t="s">
        <v>8015</v>
      </c>
      <c r="X28" s="597"/>
      <c r="Y28" s="597"/>
      <c r="Z28" s="597"/>
      <c r="AA28" s="598"/>
      <c r="AC28" s="275"/>
      <c r="AD28" s="328" t="s">
        <v>8016</v>
      </c>
      <c r="AE28" s="329"/>
      <c r="AF28" s="330"/>
      <c r="AG28" s="329"/>
      <c r="AH28" s="329"/>
      <c r="AI28" s="329"/>
      <c r="AJ28" s="329"/>
      <c r="AK28" s="329"/>
      <c r="AL28" s="329"/>
      <c r="AM28" s="329"/>
      <c r="AN28" s="329"/>
      <c r="AO28" s="329"/>
      <c r="AP28" s="329"/>
      <c r="AQ28" s="329"/>
      <c r="BB28" s="271"/>
      <c r="BC28" s="271"/>
      <c r="BD28" s="279">
        <v>1</v>
      </c>
      <c r="BE28" s="271"/>
      <c r="BF28" s="271"/>
      <c r="BG28" s="271"/>
    </row>
    <row r="29" spans="1:59" ht="21.95" customHeight="1" x14ac:dyDescent="0.25">
      <c r="A29" s="374">
        <f>IF($B29="","",7)</f>
        <v>7</v>
      </c>
      <c r="B29" s="375" t="str" cm="1">
        <f t="array" ref="B29">IFERROR(IF(INDEX($AC$72:$AC$430,$K29)="","",INDEX($AC$72:$AC$430,$K29)),"")</f>
        <v>Concombres</v>
      </c>
      <c r="C29" s="376" cm="1">
        <f t="array" ref="C29">IF($B29="","",INDEX($AG$72:$AG$430,$K29))</f>
        <v>2</v>
      </c>
      <c r="D29" s="377" t="str" cm="1">
        <f t="array" ref="D29">IF($B29="","",INDEX($AH$72:$AH$430,$K29))</f>
        <v>KG</v>
      </c>
      <c r="E29" s="378">
        <f t="shared" si="0"/>
        <v>5.52</v>
      </c>
      <c r="F29" s="379" t="str" cm="1">
        <f t="array" ref="F29">IF($B29="","",IF(UPPER(TRIM($D29))="QT. SUFFISANTE","Qt. suffisante",IF($N29="","",IF($L29="MASSE",IF($N29&gt;=1,"Kg","g"),IF($L29="VOLUME",IF($N29&gt;=1,"L","cl"),INDEX($AL$72:$AL$430,$K29))))))</f>
        <v>Kg</v>
      </c>
      <c r="G29" s="380">
        <f t="shared" si="1"/>
        <v>4</v>
      </c>
      <c r="H29" s="381" t="str" cm="1">
        <f t="array" ref="H29">IF($B29="","",IF(UPPER(TRIM($D29))="QT. SUFFISANTE","Qt. suffisante",IF($O29="","",IF($L29="MASSE",IF($O29&gt;=1,"Kg","g"),IF($L29="VOLUME",IF($O29&gt;=1,"L","cl"),INDEX($AL$72:$AL$430,$K29))))))</f>
        <v>Kg</v>
      </c>
      <c r="I29" s="382" t="str" cm="1">
        <f t="array" ref="I29">IF($B29="","",INDEX($AM$72:$AM$430,$K29))</f>
        <v>OK</v>
      </c>
      <c r="J29" s="271"/>
      <c r="K29" s="383">
        <f>1+($B$5-1)*36+7</f>
        <v>80</v>
      </c>
      <c r="L29" s="383" t="str" cm="1">
        <f t="array" ref="L29">IF($B29="","",INDEX($AI$72:$AI$430,$K29))</f>
        <v>MASSE</v>
      </c>
      <c r="M29" s="383" cm="1">
        <f t="array" ref="M29">IF($B29="","",INDEX($AJ$72:$AJ$430,$K29))</f>
        <v>1</v>
      </c>
      <c r="N29" s="384" cm="1">
        <f t="array" ref="N29">IF(OR($B29="",$B$13="",$B$12="",$B$12=0),"",IF($L$22="AUTRE",IFERROR(INDEX($AK$72:$AK$430,$K29)*($B$13/$B$12),""),IF(OR($C$12="",$C$13=""),"",IFERROR(INDEX($AK$72:$AK$430,$K29)*(($B$13*VLOOKUP($C$13,$AY$74:$BA$119,3,FALSE))/($B$12*VLOOKUP($C$12,$AY$74:$BA$119,3,FALSE))),""))))</f>
        <v>5.5172413793103452</v>
      </c>
      <c r="O29" s="384" cm="1">
        <f t="array" ref="O29">IF(OR($B29="",$G$12="",$G$11="",$G$11=0),"",IFERROR(INDEX($AK$72:$AK$430,$K29)*($G$12/$G$11),""))</f>
        <v>4</v>
      </c>
      <c r="U29" s="596"/>
      <c r="V29" s="393"/>
      <c r="W29" s="599"/>
      <c r="X29" s="599"/>
      <c r="Y29" s="599"/>
      <c r="Z29" s="599"/>
      <c r="AA29" s="600"/>
      <c r="AC29" s="275"/>
      <c r="AD29" s="319" t="s">
        <v>8017</v>
      </c>
      <c r="AE29" s="394" t="s">
        <v>8018</v>
      </c>
      <c r="AF29" s="395" t="s">
        <v>8019</v>
      </c>
      <c r="AG29" s="601" t="s">
        <v>8020</v>
      </c>
      <c r="AH29" s="601"/>
      <c r="AI29" s="304" t="s">
        <v>8021</v>
      </c>
      <c r="AJ29" s="304"/>
      <c r="AK29" s="304"/>
      <c r="AL29" s="304"/>
      <c r="AM29" s="304"/>
      <c r="AN29" s="304"/>
      <c r="AO29" s="304"/>
      <c r="AP29" s="304"/>
      <c r="AQ29" s="304"/>
      <c r="BB29" s="271"/>
      <c r="BC29" s="271"/>
      <c r="BD29" s="279">
        <v>1</v>
      </c>
      <c r="BE29" s="271"/>
      <c r="BF29" s="271"/>
      <c r="BG29" s="271"/>
    </row>
    <row r="30" spans="1:59" ht="21.95" customHeight="1" x14ac:dyDescent="0.25">
      <c r="A30" s="374">
        <f>IF($B30="","",8)</f>
        <v>8</v>
      </c>
      <c r="B30" s="375" t="str" cm="1">
        <f t="array" ref="B30">IFERROR(IF(INDEX($AC$72:$AC$430,$K30)="","",INDEX($AC$72:$AC$430,$K30)),"")</f>
        <v>Poivrons rouges</v>
      </c>
      <c r="C30" s="376" cm="1">
        <f t="array" ref="C30">IF($B30="","",INDEX($AG$72:$AG$430,$K30))</f>
        <v>1.5</v>
      </c>
      <c r="D30" s="377" t="str" cm="1">
        <f t="array" ref="D30">IF($B30="","",INDEX($AH$72:$AH$430,$K30))</f>
        <v>KG</v>
      </c>
      <c r="E30" s="378">
        <f t="shared" si="0"/>
        <v>4.1399999999999997</v>
      </c>
      <c r="F30" s="379" t="str" cm="1">
        <f t="array" ref="F30">IF($B30="","",IF(UPPER(TRIM($D30))="QT. SUFFISANTE","Qt. suffisante",IF($N30="","",IF($L30="MASSE",IF($N30&gt;=1,"Kg","g"),IF($L30="VOLUME",IF($N30&gt;=1,"L","cl"),INDEX($AL$72:$AL$430,$K30))))))</f>
        <v>Kg</v>
      </c>
      <c r="G30" s="380">
        <f t="shared" si="1"/>
        <v>3</v>
      </c>
      <c r="H30" s="381" t="str" cm="1">
        <f t="array" ref="H30">IF($B30="","",IF(UPPER(TRIM($D30))="QT. SUFFISANTE","Qt. suffisante",IF($O30="","",IF($L30="MASSE",IF($O30&gt;=1,"Kg","g"),IF($L30="VOLUME",IF($O30&gt;=1,"L","cl"),INDEX($AL$72:$AL$430,$K30))))))</f>
        <v>Kg</v>
      </c>
      <c r="I30" s="382" t="str" cm="1">
        <f t="array" ref="I30">IF($B30="","",INDEX($AM$72:$AM$430,$K30))</f>
        <v>OK</v>
      </c>
      <c r="J30" s="271"/>
      <c r="K30" s="383">
        <f>1+($B$5-1)*36+8</f>
        <v>81</v>
      </c>
      <c r="L30" s="383" t="str" cm="1">
        <f t="array" ref="L30">IF($B30="","",INDEX($AI$72:$AI$430,$K30))</f>
        <v>MASSE</v>
      </c>
      <c r="M30" s="383" cm="1">
        <f t="array" ref="M30">IF($B30="","",INDEX($AJ$72:$AJ$430,$K30))</f>
        <v>1</v>
      </c>
      <c r="N30" s="384" cm="1">
        <f t="array" ref="N30">IF(OR($B30="",$B$13="",$B$12="",$B$12=0),"",IF($L$22="AUTRE",IFERROR(INDEX($AK$72:$AK$430,$K30)*($B$13/$B$12),""),IF(OR($C$12="",$C$13=""),"",IFERROR(INDEX($AK$72:$AK$430,$K30)*(($B$13*VLOOKUP($C$13,$AY$74:$BA$119,3,FALSE))/($B$12*VLOOKUP($C$12,$AY$74:$BA$119,3,FALSE))),""))))</f>
        <v>4.1379310344827589</v>
      </c>
      <c r="O30" s="384" cm="1">
        <f t="array" ref="O30">IF(OR($B30="",$G$12="",$G$11="",$G$11=0),"",IFERROR(INDEX($AK$72:$AK$430,$K30)*($G$12/$G$11),""))</f>
        <v>3</v>
      </c>
      <c r="U30" s="626" t="s">
        <v>8022</v>
      </c>
      <c r="V30" s="627"/>
      <c r="W30" s="627"/>
      <c r="X30" s="627"/>
      <c r="Y30" s="627"/>
      <c r="Z30" s="627"/>
      <c r="AA30" s="628"/>
      <c r="AC30" s="275"/>
      <c r="AD30" s="319" t="s">
        <v>8017</v>
      </c>
      <c r="AE30" s="320" t="s">
        <v>8023</v>
      </c>
      <c r="AF30" s="395" t="s">
        <v>8024</v>
      </c>
      <c r="AG30" s="629" t="s">
        <v>7</v>
      </c>
      <c r="AH30" s="629"/>
      <c r="AI30" s="304" t="s">
        <v>8025</v>
      </c>
      <c r="AJ30" s="304"/>
      <c r="AK30" s="304"/>
      <c r="AL30" s="304"/>
      <c r="AM30" s="304"/>
      <c r="AN30" s="304"/>
      <c r="AO30" s="304"/>
      <c r="AP30" s="304"/>
      <c r="AQ30" s="304"/>
      <c r="BB30" s="271"/>
      <c r="BC30" s="271"/>
      <c r="BD30" s="279">
        <v>1</v>
      </c>
      <c r="BE30" s="271"/>
      <c r="BF30" s="271"/>
      <c r="BG30" s="271"/>
    </row>
    <row r="31" spans="1:59" ht="21.95" customHeight="1" x14ac:dyDescent="0.25">
      <c r="A31" s="374">
        <f>IF($B31="","",9)</f>
        <v>9</v>
      </c>
      <c r="B31" s="375" t="str" cm="1">
        <f t="array" ref="B31">IFERROR(IF(INDEX($AC$72:$AC$430,$K31)="","",INDEX($AC$72:$AC$430,$K31)),"")</f>
        <v>Oignons</v>
      </c>
      <c r="C31" s="376" cm="1">
        <f t="array" ref="C31">IF($B31="","",INDEX($AG$72:$AG$430,$K31))</f>
        <v>500</v>
      </c>
      <c r="D31" s="377" t="str" cm="1">
        <f t="array" ref="D31">IF($B31="","",INDEX($AH$72:$AH$430,$K31))</f>
        <v>G</v>
      </c>
      <c r="E31" s="378">
        <f t="shared" si="0"/>
        <v>1.38</v>
      </c>
      <c r="F31" s="379" t="str" cm="1">
        <f t="array" ref="F31">IF($B31="","",IF(UPPER(TRIM($D31))="QT. SUFFISANTE","Qt. suffisante",IF($N31="","",IF($L31="MASSE",IF($N31&gt;=1,"Kg","g"),IF($L31="VOLUME",IF($N31&gt;=1,"L","cl"),INDEX($AL$72:$AL$430,$K31))))))</f>
        <v>Kg</v>
      </c>
      <c r="G31" s="380">
        <f t="shared" si="1"/>
        <v>1</v>
      </c>
      <c r="H31" s="381" t="str" cm="1">
        <f t="array" ref="H31">IF($B31="","",IF(UPPER(TRIM($D31))="QT. SUFFISANTE","Qt. suffisante",IF($O31="","",IF($L31="MASSE",IF($O31&gt;=1,"Kg","g"),IF($L31="VOLUME",IF($O31&gt;=1,"L","cl"),INDEX($AL$72:$AL$430,$K31))))))</f>
        <v>Kg</v>
      </c>
      <c r="I31" s="382" t="str" cm="1">
        <f t="array" ref="I31">IF($B31="","",INDEX($AM$72:$AM$430,$K31))</f>
        <v>OK</v>
      </c>
      <c r="J31" s="271"/>
      <c r="K31" s="383">
        <f>1+($B$5-1)*36+9</f>
        <v>82</v>
      </c>
      <c r="L31" s="383" t="str" cm="1">
        <f t="array" ref="L31">IF($B31="","",INDEX($AI$72:$AI$430,$K31))</f>
        <v>MASSE</v>
      </c>
      <c r="M31" s="383" cm="1">
        <f t="array" ref="M31">IF($B31="","",INDEX($AJ$72:$AJ$430,$K31))</f>
        <v>1E-3</v>
      </c>
      <c r="N31" s="384" cm="1">
        <f t="array" ref="N31">IF(OR($B31="",$B$13="",$B$12="",$B$12=0),"",IF($L$22="AUTRE",IFERROR(INDEX($AK$72:$AK$430,$K31)*($B$13/$B$12),""),IF(OR($C$12="",$C$13=""),"",IFERROR(INDEX($AK$72:$AK$430,$K31)*(($B$13*VLOOKUP($C$13,$AY$74:$BA$119,3,FALSE))/($B$12*VLOOKUP($C$12,$AY$74:$BA$119,3,FALSE))),""))))</f>
        <v>1.3793103448275863</v>
      </c>
      <c r="O31" s="384" cm="1">
        <f t="array" ref="O31">IF(OR($B31="",$G$12="",$G$11="",$G$11=0),"",IFERROR(INDEX($AK$72:$AK$430,$K31)*($G$12/$G$11),""))</f>
        <v>1</v>
      </c>
      <c r="U31" s="630" t="s">
        <v>8026</v>
      </c>
      <c r="V31" s="631"/>
      <c r="W31" s="632" t="s">
        <v>8027</v>
      </c>
      <c r="X31" s="632"/>
      <c r="Y31" s="632"/>
      <c r="Z31" s="632"/>
      <c r="AA31" s="633"/>
      <c r="AC31" s="275"/>
      <c r="AD31" s="319" t="s">
        <v>8017</v>
      </c>
      <c r="AE31" s="320" t="s">
        <v>330</v>
      </c>
      <c r="AF31" s="395" t="s">
        <v>8028</v>
      </c>
      <c r="AG31" s="634" t="s">
        <v>8029</v>
      </c>
      <c r="AH31" s="634"/>
      <c r="AI31" s="304" t="s">
        <v>8030</v>
      </c>
      <c r="AJ31" s="304"/>
      <c r="AK31" s="304"/>
      <c r="AL31" s="304"/>
      <c r="AM31" s="304"/>
      <c r="AN31" s="304"/>
      <c r="AO31" s="304"/>
      <c r="AP31" s="304"/>
      <c r="AQ31" s="304"/>
      <c r="BB31" s="271"/>
      <c r="BC31" s="271"/>
      <c r="BD31" s="279">
        <v>1</v>
      </c>
      <c r="BE31" s="271"/>
      <c r="BF31" s="271"/>
      <c r="BG31" s="271"/>
    </row>
    <row r="32" spans="1:59" ht="21.95" customHeight="1" x14ac:dyDescent="0.25">
      <c r="A32" s="374">
        <f>IF($B32="","",10)</f>
        <v>10</v>
      </c>
      <c r="B32" s="375" t="str" cm="1">
        <f t="array" ref="B32">IFERROR(IF(INDEX($AC$72:$AC$430,$K32)="","",INDEX($AC$72:$AC$430,$K32)),"")</f>
        <v>Ail haché surgelé</v>
      </c>
      <c r="C32" s="376" cm="1">
        <f t="array" ref="C32">IF($B32="","",INDEX($AG$72:$AG$430,$K32))</f>
        <v>100</v>
      </c>
      <c r="D32" s="377" t="str" cm="1">
        <f t="array" ref="D32">IF($B32="","",INDEX($AH$72:$AH$430,$K32))</f>
        <v>G</v>
      </c>
      <c r="E32" s="378">
        <f t="shared" si="0"/>
        <v>276</v>
      </c>
      <c r="F32" s="379" t="str" cm="1">
        <f t="array" ref="F32">IF($B32="","",IF(UPPER(TRIM($D32))="QT. SUFFISANTE","Qt. suffisante",IF($N32="","",IF($L32="MASSE",IF($N32&gt;=1,"Kg","g"),IF($L32="VOLUME",IF($N32&gt;=1,"L","cl"),INDEX($AL$72:$AL$430,$K32))))))</f>
        <v>g</v>
      </c>
      <c r="G32" s="380">
        <f t="shared" si="1"/>
        <v>200</v>
      </c>
      <c r="H32" s="381" t="str" cm="1">
        <f t="array" ref="H32">IF($B32="","",IF(UPPER(TRIM($D32))="QT. SUFFISANTE","Qt. suffisante",IF($O32="","",IF($L32="MASSE",IF($O32&gt;=1,"Kg","g"),IF($L32="VOLUME",IF($O32&gt;=1,"L","cl"),INDEX($AL$72:$AL$430,$K32))))))</f>
        <v>g</v>
      </c>
      <c r="I32" s="382" t="str" cm="1">
        <f t="array" ref="I32">IF($B32="","",INDEX($AM$72:$AM$430,$K32))</f>
        <v>OK</v>
      </c>
      <c r="J32" s="271"/>
      <c r="K32" s="383">
        <f>1+($B$5-1)*36+10</f>
        <v>83</v>
      </c>
      <c r="L32" s="383" t="str" cm="1">
        <f t="array" ref="L32">IF($B32="","",INDEX($AI$72:$AI$430,$K32))</f>
        <v>MASSE</v>
      </c>
      <c r="M32" s="383" cm="1">
        <f t="array" ref="M32">IF($B32="","",INDEX($AJ$72:$AJ$430,$K32))</f>
        <v>1E-3</v>
      </c>
      <c r="N32" s="384" cm="1">
        <f t="array" ref="N32">IF(OR($B32="",$B$13="",$B$12="",$B$12=0),"",IF($L$22="AUTRE",IFERROR(INDEX($AK$72:$AK$430,$K32)*($B$13/$B$12),""),IF(OR($C$12="",$C$13=""),"",IFERROR(INDEX($AK$72:$AK$430,$K32)*(($B$13*VLOOKUP($C$13,$AY$74:$BA$119,3,FALSE))/($B$12*VLOOKUP($C$12,$AY$74:$BA$119,3,FALSE))),""))))</f>
        <v>0.27586206896551729</v>
      </c>
      <c r="O32" s="384" cm="1">
        <f t="array" ref="O32">IF(OR($B32="",$G$12="",$G$11="",$G$11=0),"",IFERROR(INDEX($AK$72:$AK$430,$K32)*($G$12/$G$11),""))</f>
        <v>0.2</v>
      </c>
      <c r="U32" s="630"/>
      <c r="V32" s="631"/>
      <c r="W32" s="632"/>
      <c r="X32" s="632"/>
      <c r="Y32" s="632"/>
      <c r="Z32" s="632"/>
      <c r="AA32" s="633"/>
      <c r="AC32" s="275"/>
      <c r="AD32" s="319" t="s">
        <v>8017</v>
      </c>
      <c r="AE32" s="320" t="s">
        <v>8031</v>
      </c>
      <c r="AF32" s="395" t="s">
        <v>8032</v>
      </c>
      <c r="AG32" s="634" t="s">
        <v>8033</v>
      </c>
      <c r="AH32" s="634"/>
      <c r="AI32" s="311" t="s">
        <v>8034</v>
      </c>
      <c r="AJ32" s="311"/>
      <c r="AK32" s="311"/>
      <c r="AL32" s="311"/>
      <c r="AM32" s="311"/>
      <c r="AN32" s="311"/>
      <c r="AO32" s="311"/>
      <c r="AP32" s="311"/>
      <c r="AQ32" s="311"/>
      <c r="BB32" s="271"/>
      <c r="BC32" s="271"/>
      <c r="BD32" s="279">
        <v>1</v>
      </c>
      <c r="BE32" s="271"/>
      <c r="BF32" s="271"/>
      <c r="BG32" s="271"/>
    </row>
    <row r="33" spans="1:59" ht="21.95" customHeight="1" x14ac:dyDescent="0.25">
      <c r="A33" s="374">
        <f>IF($B33="","",11)</f>
        <v>11</v>
      </c>
      <c r="B33" s="375" t="str" cm="1">
        <f t="array" ref="B33">IFERROR(IF(INDEX($AC$72:$AC$430,$K33)="","",INDEX($AC$72:$AC$430,$K33)),"")</f>
        <v>Branches de céleri *</v>
      </c>
      <c r="C33" s="376" cm="1">
        <f t="array" ref="C33">IF($B33="","",INDEX($AG$72:$AG$430,$K33))</f>
        <v>2</v>
      </c>
      <c r="D33" s="377" t="str" cm="1">
        <f t="array" ref="D33">IF($B33="","",INDEX($AH$72:$AH$430,$K33))</f>
        <v>UNITÉ(S)</v>
      </c>
      <c r="E33" s="378">
        <f t="shared" si="0"/>
        <v>6</v>
      </c>
      <c r="F33" s="379" t="str" cm="1">
        <f t="array" ref="F33">IF($B33="","",IF(UPPER(TRIM($D33))="QT. SUFFISANTE","Qt. suffisante",IF($N33="","",IF($L33="MASSE",IF($N33&gt;=1,"Kg","g"),IF($L33="VOLUME",IF($N33&gt;=1,"L","cl"),INDEX($AL$72:$AL$430,$K33))))))</f>
        <v>unité(s)</v>
      </c>
      <c r="G33" s="380">
        <f t="shared" si="1"/>
        <v>4</v>
      </c>
      <c r="H33" s="381" t="str" cm="1">
        <f t="array" ref="H33">IF($B33="","",IF(UPPER(TRIM($D33))="QT. SUFFISANTE","Qt. suffisante",IF($O33="","",IF($L33="MASSE",IF($O33&gt;=1,"Kg","g"),IF($L33="VOLUME",IF($O33&gt;=1,"L","cl"),INDEX($AL$72:$AL$430,$K33))))))</f>
        <v>unité(s)</v>
      </c>
      <c r="I33" s="382" t="str" cm="1">
        <f t="array" ref="I33">IF($B33="","",INDEX($AM$72:$AM$430,$K33))</f>
        <v>OK</v>
      </c>
      <c r="J33" s="271"/>
      <c r="K33" s="383">
        <f>1+($B$5-1)*36+11</f>
        <v>84</v>
      </c>
      <c r="L33" s="383" t="str" cm="1">
        <f t="array" ref="L33">IF($B33="","",INDEX($AI$72:$AI$430,$K33))</f>
        <v>AUTRE</v>
      </c>
      <c r="M33" s="383" cm="1">
        <f t="array" ref="M33">IF($B33="","",INDEX($AJ$72:$AJ$430,$K33))</f>
        <v>1</v>
      </c>
      <c r="N33" s="384" cm="1">
        <f t="array" ref="N33">IF(OR($B33="",$B$13="",$B$12="",$B$12=0),"",IF($L$22="AUTRE",IFERROR(INDEX($AK$72:$AK$430,$K33)*($B$13/$B$12),""),IF(OR($C$12="",$C$13=""),"",IFERROR(INDEX($AK$72:$AK$430,$K33)*(($B$13*VLOOKUP($C$13,$AY$74:$BA$119,3,FALSE))/($B$12*VLOOKUP($C$12,$AY$74:$BA$119,3,FALSE))),""))))</f>
        <v>5.5172413793103452</v>
      </c>
      <c r="O33" s="384" cm="1">
        <f t="array" ref="O33">IF(OR($B33="",$G$12="",$G$11="",$G$11=0),"",IFERROR(INDEX($AK$72:$AK$430,$K33)*($G$12/$G$11),""))</f>
        <v>4</v>
      </c>
      <c r="U33" s="635" t="s">
        <v>8035</v>
      </c>
      <c r="V33" s="636"/>
      <c r="W33" s="637" t="s">
        <v>8036</v>
      </c>
      <c r="X33" s="637"/>
      <c r="Y33" s="637"/>
      <c r="Z33" s="637"/>
      <c r="AA33" s="638"/>
      <c r="AC33" s="275"/>
      <c r="AD33" s="319" t="s">
        <v>8017</v>
      </c>
      <c r="AE33" s="394" t="s">
        <v>8037</v>
      </c>
      <c r="AF33" s="395" t="s">
        <v>8038</v>
      </c>
      <c r="AG33" s="634" t="s">
        <v>8039</v>
      </c>
      <c r="AH33" s="634"/>
      <c r="AI33" s="311" t="s">
        <v>8040</v>
      </c>
      <c r="AJ33" s="311"/>
      <c r="AK33" s="311"/>
      <c r="AL33" s="311"/>
      <c r="AM33" s="311"/>
      <c r="AN33" s="311"/>
      <c r="AO33" s="311"/>
      <c r="AP33" s="311"/>
      <c r="AQ33" s="311"/>
      <c r="BB33" s="271"/>
      <c r="BC33" s="271"/>
      <c r="BD33" s="279">
        <v>1</v>
      </c>
      <c r="BE33" s="271"/>
      <c r="BF33" s="271"/>
      <c r="BG33" s="271"/>
    </row>
    <row r="34" spans="1:59" ht="21.95" customHeight="1" x14ac:dyDescent="0.25">
      <c r="A34" s="374">
        <f>IF($B34="","",12)</f>
        <v>12</v>
      </c>
      <c r="B34" s="375" t="str" cm="1">
        <f t="array" ref="B34">IFERROR(IF(INDEX($AC$72:$AC$430,$K34)="","",INDEX($AC$72:$AC$430,$K34)),"")</f>
        <v>Huile d’olive</v>
      </c>
      <c r="C34" s="376" cm="1">
        <f t="array" ref="C34">IF($B34="","",INDEX($AG$72:$AG$430,$K34))</f>
        <v>20</v>
      </c>
      <c r="D34" s="377" t="str" cm="1">
        <f t="array" ref="D34">IF($B34="","",INDEX($AH$72:$AH$430,$K34))</f>
        <v>CL</v>
      </c>
      <c r="E34" s="378">
        <f t="shared" si="0"/>
        <v>55</v>
      </c>
      <c r="F34" s="379" t="str" cm="1">
        <f t="array" ref="F34">IF($B34="","",IF(UPPER(TRIM($D34))="QT. SUFFISANTE","Qt. suffisante",IF($N34="","",IF($L34="MASSE",IF($N34&gt;=1,"Kg","g"),IF($L34="VOLUME",IF($N34&gt;=1,"L","cl"),INDEX($AL$72:$AL$430,$K34))))))</f>
        <v>cl</v>
      </c>
      <c r="G34" s="380">
        <f t="shared" si="1"/>
        <v>40</v>
      </c>
      <c r="H34" s="381" t="str" cm="1">
        <f t="array" ref="H34">IF($B34="","",IF(UPPER(TRIM($D34))="QT. SUFFISANTE","Qt. suffisante",IF($O34="","",IF($L34="MASSE",IF($O34&gt;=1,"Kg","g"),IF($L34="VOLUME",IF($O34&gt;=1,"L","cl"),INDEX($AL$72:$AL$430,$K34))))))</f>
        <v>cl</v>
      </c>
      <c r="I34" s="382" t="str" cm="1">
        <f t="array" ref="I34">IF($B34="","",INDEX($AM$72:$AM$430,$K34))</f>
        <v>OK</v>
      </c>
      <c r="J34" s="271"/>
      <c r="K34" s="383">
        <f>1+($B$5-1)*36+12</f>
        <v>85</v>
      </c>
      <c r="L34" s="383" t="str" cm="1">
        <f t="array" ref="L34">IF($B34="","",INDEX($AI$72:$AI$430,$K34))</f>
        <v>VOLUME</v>
      </c>
      <c r="M34" s="383" cm="1">
        <f t="array" ref="M34">IF($B34="","",INDEX($AJ$72:$AJ$430,$K34))</f>
        <v>0.01</v>
      </c>
      <c r="N34" s="384" cm="1">
        <f t="array" ref="N34">IF(OR($B34="",$B$13="",$B$12="",$B$12=0),"",IF($L$22="AUTRE",IFERROR(INDEX($AK$72:$AK$430,$K34)*($B$13/$B$12),""),IF(OR($C$12="",$C$13=""),"",IFERROR(INDEX($AK$72:$AK$430,$K34)*(($B$13*VLOOKUP($C$13,$AY$74:$BA$119,3,FALSE))/($B$12*VLOOKUP($C$12,$AY$74:$BA$119,3,FALSE))),""))))</f>
        <v>0.55172413793103459</v>
      </c>
      <c r="O34" s="384" cm="1">
        <f t="array" ref="O34">IF(OR($B34="",$G$12="",$G$11="",$G$11=0),"",IFERROR(INDEX($AK$72:$AK$430,$K34)*($G$12/$G$11),""))</f>
        <v>0.4</v>
      </c>
      <c r="U34" s="635"/>
      <c r="V34" s="636"/>
      <c r="W34" s="637"/>
      <c r="X34" s="637"/>
      <c r="Y34" s="637"/>
      <c r="Z34" s="637"/>
      <c r="AA34" s="638"/>
      <c r="AC34" s="275"/>
      <c r="AD34" s="319" t="s">
        <v>8017</v>
      </c>
      <c r="AE34" s="320" t="s">
        <v>8041</v>
      </c>
      <c r="AF34" s="395" t="s">
        <v>8042</v>
      </c>
      <c r="AG34" s="634" t="s">
        <v>8043</v>
      </c>
      <c r="AH34" s="634"/>
      <c r="AI34" s="311" t="s">
        <v>8044</v>
      </c>
      <c r="AJ34" s="311"/>
      <c r="AK34" s="311"/>
      <c r="AL34" s="311"/>
      <c r="AM34" s="311"/>
      <c r="AN34" s="311"/>
      <c r="AO34" s="311"/>
      <c r="AP34" s="311"/>
      <c r="AQ34" s="311"/>
      <c r="BB34" s="271"/>
      <c r="BC34" s="271"/>
      <c r="BD34" s="279">
        <v>1</v>
      </c>
      <c r="BE34" s="271"/>
      <c r="BF34" s="271"/>
      <c r="BG34" s="271"/>
    </row>
    <row r="35" spans="1:59" ht="21.95" customHeight="1" thickBot="1" x14ac:dyDescent="0.3">
      <c r="A35" s="374">
        <f>IF($B35="","",13)</f>
        <v>13</v>
      </c>
      <c r="B35" s="375" t="str" cm="1">
        <f t="array" ref="B35">IFERROR(IF(INDEX($AC$72:$AC$430,$K35)="","",INDEX($AC$72:$AC$430,$K35)),"")</f>
        <v>Vinaigre de Xérès ?</v>
      </c>
      <c r="C35" s="376" cm="1">
        <f t="array" ref="C35">IF($B35="","",INDEX($AG$72:$AG$430,$K35))</f>
        <v>31</v>
      </c>
      <c r="D35" s="377" t="str" cm="1">
        <f t="array" ref="D35">IF($B35="","",INDEX($AH$72:$AH$430,$K35))</f>
        <v>CL</v>
      </c>
      <c r="E35" s="378">
        <f t="shared" si="0"/>
        <v>86</v>
      </c>
      <c r="F35" s="379" t="str" cm="1">
        <f t="array" ref="F35">IF($B35="","",IF(UPPER(TRIM($D35))="QT. SUFFISANTE","Qt. suffisante",IF($N35="","",IF($L35="MASSE",IF($N35&gt;=1,"Kg","g"),IF($L35="VOLUME",IF($N35&gt;=1,"L","cl"),INDEX($AL$72:$AL$430,$K35))))))</f>
        <v>cl</v>
      </c>
      <c r="G35" s="380">
        <f t="shared" si="1"/>
        <v>62</v>
      </c>
      <c r="H35" s="381" t="str" cm="1">
        <f t="array" ref="H35">IF($B35="","",IF(UPPER(TRIM($D35))="QT. SUFFISANTE","Qt. suffisante",IF($O35="","",IF($L35="MASSE",IF($O35&gt;=1,"Kg","g"),IF($L35="VOLUME",IF($O35&gt;=1,"L","cl"),INDEX($AL$72:$AL$430,$K35))))))</f>
        <v>cl</v>
      </c>
      <c r="I35" s="382" t="str" cm="1">
        <f t="array" ref="I35">IF($B35="","",INDEX($AM$72:$AM$430,$K35))</f>
        <v>OK</v>
      </c>
      <c r="J35" s="271"/>
      <c r="K35" s="383">
        <f>1+($B$5-1)*36+13</f>
        <v>86</v>
      </c>
      <c r="L35" s="383" t="str" cm="1">
        <f t="array" ref="L35">IF($B35="","",INDEX($AI$72:$AI$430,$K35))</f>
        <v>VOLUME</v>
      </c>
      <c r="M35" s="383" cm="1">
        <f t="array" ref="M35">IF($B35="","",INDEX($AJ$72:$AJ$430,$K35))</f>
        <v>0.01</v>
      </c>
      <c r="N35" s="384" cm="1">
        <f t="array" ref="N35">IF(OR($B35="",$B$13="",$B$12="",$B$12=0),"",IF($L$22="AUTRE",IFERROR(INDEX($AK$72:$AK$430,$K35)*($B$13/$B$12),""),IF(OR($C$12="",$C$13=""),"",IFERROR(INDEX($AK$72:$AK$430,$K35)*(($B$13*VLOOKUP($C$13,$AY$74:$BA$119,3,FALSE))/($B$12*VLOOKUP($C$12,$AY$74:$BA$119,3,FALSE))),""))))</f>
        <v>0.85517241379310349</v>
      </c>
      <c r="O35" s="384" cm="1">
        <f t="array" ref="O35">IF(OR($B35="",$G$12="",$G$11="",$G$11=0),"",IFERROR(INDEX($AK$72:$AK$430,$K35)*($G$12/$G$11),""))</f>
        <v>0.62</v>
      </c>
      <c r="U35" s="635" t="s">
        <v>8045</v>
      </c>
      <c r="V35" s="636"/>
      <c r="W35" s="637" t="s">
        <v>8046</v>
      </c>
      <c r="X35" s="637"/>
      <c r="Y35" s="637"/>
      <c r="Z35" s="637"/>
      <c r="AA35" s="638"/>
      <c r="AC35" s="275"/>
      <c r="AD35" s="301" t="s">
        <v>343</v>
      </c>
      <c r="AE35" s="322" t="s">
        <v>343</v>
      </c>
      <c r="AF35" s="396" t="s">
        <v>8047</v>
      </c>
      <c r="AG35" s="639" t="s">
        <v>8048</v>
      </c>
      <c r="AH35" s="639"/>
      <c r="AI35" s="311" t="s">
        <v>8049</v>
      </c>
      <c r="AJ35" s="311"/>
      <c r="AK35" s="311"/>
      <c r="AL35" s="311"/>
      <c r="AM35" s="311"/>
      <c r="AN35" s="311"/>
      <c r="AO35" s="311"/>
      <c r="AP35" s="311"/>
      <c r="AQ35" s="311"/>
      <c r="BB35" s="271"/>
      <c r="BC35" s="271"/>
      <c r="BD35" s="279">
        <v>1</v>
      </c>
      <c r="BE35" s="271"/>
      <c r="BF35" s="271"/>
      <c r="BG35" s="271"/>
    </row>
    <row r="36" spans="1:59" ht="20.100000000000001" customHeight="1" x14ac:dyDescent="0.25">
      <c r="A36" s="374">
        <f>IF($B36="","",14)</f>
        <v>14</v>
      </c>
      <c r="B36" s="375" t="str" cm="1">
        <f t="array" ref="B36">IFERROR(IF(INDEX($AC$72:$AC$430,$K36)="","",INDEX($AC$72:$AC$430,$K36)),"")</f>
        <v>Sel fin</v>
      </c>
      <c r="C36" s="376" t="str" cm="1">
        <f t="array" ref="C36">IF($B36="","",INDEX($AG$72:$AG$430,$K36))</f>
        <v>QT. SUFFISANTE</v>
      </c>
      <c r="D36" s="377" t="str" cm="1">
        <f t="array" ref="D36">IF($B36="","",INDEX($AH$72:$AH$430,$K36))</f>
        <v/>
      </c>
      <c r="E36" s="378" t="str">
        <f t="shared" si="0"/>
        <v/>
      </c>
      <c r="F36" s="379" t="str" cm="1">
        <f t="array" ref="F36">IF($B36="","",IF(UPPER(TRIM($D36))="QT. SUFFISANTE","Qt. suffisante",IF($N36="","",IF($L36="MASSE",IF($N36&gt;=1,"Kg","g"),IF($L36="VOLUME",IF($N36&gt;=1,"L","cl"),INDEX($AL$72:$AL$430,$K36))))))</f>
        <v/>
      </c>
      <c r="G36" s="380" t="str">
        <f t="shared" si="1"/>
        <v/>
      </c>
      <c r="H36" s="381" t="str" cm="1">
        <f t="array" ref="H36">IF($B36="","",IF(UPPER(TRIM($D36))="QT. SUFFISANTE","Qt. suffisante",IF($O36="","",IF($L36="MASSE",IF($O36&gt;=1,"Kg","g"),IF($L36="VOLUME",IF($O36&gt;=1,"L","cl"),INDEX($AL$72:$AL$430,$K36))))))</f>
        <v/>
      </c>
      <c r="I36" s="382" t="str" cm="1">
        <f t="array" ref="I36">IF($B36="","",INDEX($AM$72:$AM$430,$K36))</f>
        <v>QUANTITÉ À CONTRÔLER</v>
      </c>
      <c r="J36" s="271"/>
      <c r="K36" s="383">
        <f>1+($B$5-1)*36+14</f>
        <v>87</v>
      </c>
      <c r="L36" s="383" t="str" cm="1">
        <f t="array" ref="L36">IF($B36="","",INDEX($AI$72:$AI$430,$K36))</f>
        <v>AUTRE</v>
      </c>
      <c r="M36" s="383" cm="1">
        <f t="array" ref="M36">IF($B36="","",INDEX($AJ$72:$AJ$430,$K36))</f>
        <v>1</v>
      </c>
      <c r="N36" s="384" t="str" cm="1">
        <f t="array" ref="N36">IF(OR($B36="",$B$13="",$B$12="",$B$12=0),"",IF($L$22="AUTRE",IFERROR(INDEX($AK$72:$AK$430,$K36)*($B$13/$B$12),""),IF(OR($C$12="",$C$13=""),"",IFERROR(INDEX($AK$72:$AK$430,$K36)*(($B$13*VLOOKUP($C$13,$AY$74:$BA$119,3,FALSE))/($B$12*VLOOKUP($C$12,$AY$74:$BA$119,3,FALSE))),""))))</f>
        <v/>
      </c>
      <c r="O36" s="384" t="str" cm="1">
        <f t="array" ref="O36">IF(OR($B36="",$G$12="",$G$11="",$G$11=0),"",IFERROR(INDEX($AK$72:$AK$430,$K36)*($G$12/$G$11),""))</f>
        <v/>
      </c>
      <c r="U36" s="635"/>
      <c r="V36" s="636"/>
      <c r="W36" s="637"/>
      <c r="X36" s="637"/>
      <c r="Y36" s="637"/>
      <c r="Z36" s="637"/>
      <c r="AA36" s="638"/>
      <c r="AC36" s="275"/>
      <c r="AD36" s="352" t="s">
        <v>8050</v>
      </c>
      <c r="AE36" s="353"/>
      <c r="AF36" s="354"/>
      <c r="AG36" s="353"/>
      <c r="AH36" s="353"/>
      <c r="AI36" s="353"/>
      <c r="AJ36" s="353"/>
      <c r="AK36" s="353"/>
      <c r="AL36" s="353"/>
      <c r="AM36" s="353"/>
      <c r="AN36" s="353"/>
      <c r="AO36" s="353"/>
      <c r="AP36" s="353"/>
      <c r="AQ36" s="353"/>
      <c r="BB36" s="271"/>
      <c r="BC36" s="271"/>
      <c r="BD36" s="279">
        <v>1</v>
      </c>
      <c r="BE36" s="271"/>
      <c r="BF36" s="271"/>
      <c r="BG36" s="271"/>
    </row>
    <row r="37" spans="1:59" ht="23.1" customHeight="1" x14ac:dyDescent="0.25">
      <c r="A37" s="374">
        <f>IF($B37="","",15)</f>
        <v>15</v>
      </c>
      <c r="B37" s="375" t="str" cm="1">
        <f t="array" ref="B37">IFERROR(IF(INDEX($AC$72:$AC$430,$K37)="","",INDEX($AC$72:$AC$430,$K37)),"")</f>
        <v>Poivre</v>
      </c>
      <c r="C37" s="376" t="str" cm="1">
        <f t="array" ref="C37">IF($B37="","",INDEX($AG$72:$AG$430,$K37))</f>
        <v>QT. SUFFISANTE</v>
      </c>
      <c r="D37" s="377" t="str" cm="1">
        <f t="array" ref="D37">IF($B37="","",INDEX($AH$72:$AH$430,$K37))</f>
        <v/>
      </c>
      <c r="E37" s="378" t="str">
        <f t="shared" si="0"/>
        <v/>
      </c>
      <c r="F37" s="379" t="str" cm="1">
        <f t="array" ref="F37">IF($B37="","",IF(UPPER(TRIM($D37))="QT. SUFFISANTE","Qt. suffisante",IF($N37="","",IF($L37="MASSE",IF($N37&gt;=1,"Kg","g"),IF($L37="VOLUME",IF($N37&gt;=1,"L","cl"),INDEX($AL$72:$AL$430,$K37))))))</f>
        <v/>
      </c>
      <c r="G37" s="380" t="str">
        <f t="shared" si="1"/>
        <v/>
      </c>
      <c r="H37" s="381" t="str" cm="1">
        <f t="array" ref="H37">IF($B37="","",IF(UPPER(TRIM($D37))="QT. SUFFISANTE","Qt. suffisante",IF($O37="","",IF($L37="MASSE",IF($O37&gt;=1,"Kg","g"),IF($L37="VOLUME",IF($O37&gt;=1,"L","cl"),INDEX($AL$72:$AL$430,$K37))))))</f>
        <v/>
      </c>
      <c r="I37" s="382" t="str" cm="1">
        <f t="array" ref="I37">IF($B37="","",INDEX($AM$72:$AM$430,$K37))</f>
        <v>QUANTITÉ À CONTRÔLER</v>
      </c>
      <c r="J37" s="271"/>
      <c r="K37" s="383">
        <f>1+($B$5-1)*36+15</f>
        <v>88</v>
      </c>
      <c r="L37" s="383" t="str" cm="1">
        <f t="array" ref="L37">IF($B37="","",INDEX($AI$72:$AI$430,$K37))</f>
        <v>AUTRE</v>
      </c>
      <c r="M37" s="383" cm="1">
        <f t="array" ref="M37">IF($B37="","",INDEX($AJ$72:$AJ$430,$K37))</f>
        <v>1</v>
      </c>
      <c r="N37" s="384" t="str" cm="1">
        <f t="array" ref="N37">IF(OR($B37="",$B$13="",$B$12="",$B$12=0),"",IF($L$22="AUTRE",IFERROR(INDEX($AK$72:$AK$430,$K37)*($B$13/$B$12),""),IF(OR($C$12="",$C$13=""),"",IFERROR(INDEX($AK$72:$AK$430,$K37)*(($B$13*VLOOKUP($C$13,$AY$74:$BA$119,3,FALSE))/($B$12*VLOOKUP($C$12,$AY$74:$BA$119,3,FALSE))),""))))</f>
        <v/>
      </c>
      <c r="O37" s="384" t="str" cm="1">
        <f t="array" ref="O37">IF(OR($B37="",$G$12="",$G$11="",$G$11=0),"",IFERROR(INDEX($AK$72:$AK$430,$K37)*($G$12/$G$11),""))</f>
        <v/>
      </c>
      <c r="U37" s="635" t="s">
        <v>8051</v>
      </c>
      <c r="V37" s="636"/>
      <c r="W37" s="637" t="s">
        <v>8052</v>
      </c>
      <c r="X37" s="637"/>
      <c r="Y37" s="637"/>
      <c r="Z37" s="637"/>
      <c r="AA37" s="638"/>
      <c r="AC37" s="275"/>
      <c r="AD37" s="398" t="s">
        <v>343</v>
      </c>
      <c r="AE37" s="397" t="s">
        <v>8048</v>
      </c>
      <c r="AF37" s="396" t="s">
        <v>8047</v>
      </c>
      <c r="AG37" s="639" t="s">
        <v>8048</v>
      </c>
      <c r="AH37" s="639"/>
      <c r="AI37" s="399" t="s">
        <v>8053</v>
      </c>
      <c r="AJ37" s="399"/>
      <c r="AK37" s="399"/>
      <c r="AL37" s="399"/>
      <c r="AM37" s="399"/>
      <c r="AN37" s="399"/>
      <c r="AO37" s="399"/>
      <c r="AP37" s="399"/>
      <c r="AQ37" s="399"/>
      <c r="BB37" s="271"/>
      <c r="BC37" s="271"/>
      <c r="BD37" s="279">
        <v>1</v>
      </c>
      <c r="BE37" s="271"/>
      <c r="BF37" s="271"/>
      <c r="BG37" s="271"/>
    </row>
    <row r="38" spans="1:59" ht="20.100000000000001" customHeight="1" x14ac:dyDescent="0.25">
      <c r="A38" s="374" t="str">
        <f>IF($B38="","",16)</f>
        <v/>
      </c>
      <c r="B38" s="375" t="str" cm="1">
        <f t="array" ref="B38">IFERROR(IF(INDEX($AC$72:$AC$430,$K38)="","",INDEX($AC$72:$AC$430,$K38)),"")</f>
        <v/>
      </c>
      <c r="C38" s="376" t="str" cm="1">
        <f t="array" ref="C38">IF($B38="","",INDEX($AG$72:$AG$430,$K38))</f>
        <v/>
      </c>
      <c r="D38" s="377" t="str" cm="1">
        <f t="array" ref="D38">IF($B38="","",INDEX($AH$72:$AH$430,$K38))</f>
        <v/>
      </c>
      <c r="E38" s="378" t="str">
        <f t="shared" si="0"/>
        <v/>
      </c>
      <c r="F38" s="379" t="str" cm="1">
        <f t="array" ref="F38">IF($B38="","",IF(UPPER(TRIM($D38))="QT. SUFFISANTE","Qt. suffisante",IF($N38="","",IF($L38="MASSE",IF($N38&gt;=1,"Kg","g"),IF($L38="VOLUME",IF($N38&gt;=1,"L","cl"),INDEX($AL$72:$AL$430,$K38))))))</f>
        <v/>
      </c>
      <c r="G38" s="380" t="str">
        <f t="shared" si="1"/>
        <v/>
      </c>
      <c r="H38" s="381" t="str" cm="1">
        <f t="array" ref="H38">IF($B38="","",IF(UPPER(TRIM($D38))="QT. SUFFISANTE","Qt. suffisante",IF($O38="","",IF($L38="MASSE",IF($O38&gt;=1,"Kg","g"),IF($L38="VOLUME",IF($O38&gt;=1,"L","cl"),INDEX($AL$72:$AL$430,$K38))))))</f>
        <v/>
      </c>
      <c r="I38" s="382" t="str" cm="1">
        <f t="array" ref="I38">IF($B38="","",INDEX($AM$72:$AM$430,$K38))</f>
        <v/>
      </c>
      <c r="J38" s="271"/>
      <c r="K38" s="383">
        <f>1+($B$5-1)*36+16</f>
        <v>89</v>
      </c>
      <c r="L38" s="383" t="str" cm="1">
        <f t="array" ref="L38">IF($B38="","",INDEX($AI$72:$AI$430,$K38))</f>
        <v/>
      </c>
      <c r="M38" s="383" t="str" cm="1">
        <f t="array" ref="M38">IF($B38="","",INDEX($AJ$72:$AJ$430,$K38))</f>
        <v/>
      </c>
      <c r="N38" s="384" t="str" cm="1">
        <f t="array" ref="N38">IF(OR($B38="",$B$13="",$B$12="",$B$12=0),"",IF($L$22="AUTRE",IFERROR(INDEX($AK$72:$AK$430,$K38)*($B$13/$B$12),""),IF(OR($C$12="",$C$13=""),"",IFERROR(INDEX($AK$72:$AK$430,$K38)*(($B$13*VLOOKUP($C$13,$AY$74:$BA$119,3,FALSE))/($B$12*VLOOKUP($C$12,$AY$74:$BA$119,3,FALSE))),""))))</f>
        <v/>
      </c>
      <c r="O38" s="384" t="str" cm="1">
        <f t="array" ref="O38">IF(OR($B38="",$G$12="",$G$11="",$G$11=0),"",IFERROR(INDEX($AK$72:$AK$430,$K38)*($G$12/$G$11),""))</f>
        <v/>
      </c>
      <c r="U38" s="635"/>
      <c r="V38" s="636"/>
      <c r="W38" s="637"/>
      <c r="X38" s="637"/>
      <c r="Y38" s="637"/>
      <c r="Z38" s="637"/>
      <c r="AA38" s="638"/>
      <c r="AC38" s="275"/>
      <c r="AD38" s="400" t="s">
        <v>343</v>
      </c>
      <c r="AE38" s="401" t="s">
        <v>8054</v>
      </c>
      <c r="AF38" s="396" t="s">
        <v>8047</v>
      </c>
      <c r="AG38" s="644" t="s">
        <v>8054</v>
      </c>
      <c r="AH38" s="644"/>
      <c r="AI38" s="402" t="s">
        <v>8055</v>
      </c>
      <c r="AJ38" s="403"/>
      <c r="AK38" s="403"/>
      <c r="AL38" s="403"/>
      <c r="AM38" s="403"/>
      <c r="AN38" s="403"/>
      <c r="AO38" s="403"/>
      <c r="AP38" s="403"/>
      <c r="AQ38" s="403"/>
      <c r="BB38" s="271"/>
      <c r="BC38" s="271"/>
      <c r="BD38" s="279">
        <v>1</v>
      </c>
      <c r="BE38" s="271"/>
      <c r="BF38" s="271"/>
      <c r="BG38" s="271"/>
    </row>
    <row r="39" spans="1:59" ht="20.100000000000001" customHeight="1" x14ac:dyDescent="0.25">
      <c r="A39" s="374">
        <f>IF($B39="","",17)</f>
        <v>17</v>
      </c>
      <c r="B39" s="375" t="str" cm="1">
        <f t="array" ref="B39">IFERROR(IF(INDEX($AC$72:$AC$430,$K39)="","",INDEX($AC$72:$AC$430,$K39)),"")</f>
        <v>Pains baguette *</v>
      </c>
      <c r="C39" s="376" cm="1">
        <f t="array" ref="C39">IF($B39="","",INDEX($AG$72:$AG$430,$K39))</f>
        <v>5</v>
      </c>
      <c r="D39" s="377" t="str" cm="1">
        <f t="array" ref="D39">IF($B39="","",INDEX($AH$72:$AH$430,$K39))</f>
        <v>UNITÉ(S)</v>
      </c>
      <c r="E39" s="378">
        <f t="shared" si="0"/>
        <v>14</v>
      </c>
      <c r="F39" s="379" t="str" cm="1">
        <f t="array" ref="F39">IF($B39="","",IF(UPPER(TRIM($D39))="QT. SUFFISANTE","Qt. suffisante",IF($N39="","",IF($L39="MASSE",IF($N39&gt;=1,"Kg","g"),IF($L39="VOLUME",IF($N39&gt;=1,"L","cl"),INDEX($AL$72:$AL$430,$K39))))))</f>
        <v>unité(s)</v>
      </c>
      <c r="G39" s="380">
        <f t="shared" si="1"/>
        <v>10</v>
      </c>
      <c r="H39" s="381" t="str" cm="1">
        <f t="array" ref="H39">IF($B39="","",IF(UPPER(TRIM($D39))="QT. SUFFISANTE","Qt. suffisante",IF($O39="","",IF($L39="MASSE",IF($O39&gt;=1,"Kg","g"),IF($L39="VOLUME",IF($O39&gt;=1,"L","cl"),INDEX($AL$72:$AL$430,$K39))))))</f>
        <v>unité(s)</v>
      </c>
      <c r="I39" s="382" t="str" cm="1">
        <f t="array" ref="I39">IF($B39="","",INDEX($AM$72:$AM$430,$K39))</f>
        <v>OK</v>
      </c>
      <c r="J39" s="271"/>
      <c r="K39" s="383">
        <f>1+($B$5-1)*36+17</f>
        <v>90</v>
      </c>
      <c r="L39" s="383" t="str" cm="1">
        <f t="array" ref="L39">IF($B39="","",INDEX($AI$72:$AI$430,$K39))</f>
        <v>AUTRE</v>
      </c>
      <c r="M39" s="383" cm="1">
        <f t="array" ref="M39">IF($B39="","",INDEX($AJ$72:$AJ$430,$K39))</f>
        <v>1</v>
      </c>
      <c r="N39" s="384" cm="1">
        <f t="array" ref="N39">IF(OR($B39="",$B$13="",$B$12="",$B$12=0),"",IF($L$22="AUTRE",IFERROR(INDEX($AK$72:$AK$430,$K39)*($B$13/$B$12),""),IF(OR($C$12="",$C$13=""),"",IFERROR(INDEX($AK$72:$AK$430,$K39)*(($B$13*VLOOKUP($C$13,$AY$74:$BA$119,3,FALSE))/($B$12*VLOOKUP($C$12,$AY$74:$BA$119,3,FALSE))),""))))</f>
        <v>13.793103448275863</v>
      </c>
      <c r="O39" s="384" cm="1">
        <f t="array" ref="O39">IF(OR($B39="",$G$12="",$G$11="",$G$11=0),"",IFERROR(INDEX($AK$72:$AK$430,$K39)*($G$12/$G$11),""))</f>
        <v>10</v>
      </c>
      <c r="U39" s="635" t="s">
        <v>8056</v>
      </c>
      <c r="V39" s="636"/>
      <c r="W39" s="637" t="s">
        <v>8057</v>
      </c>
      <c r="X39" s="637"/>
      <c r="Y39" s="637"/>
      <c r="Z39" s="637"/>
      <c r="AA39" s="638"/>
      <c r="AC39" s="275"/>
      <c r="AD39" s="370" t="s">
        <v>343</v>
      </c>
      <c r="AE39" s="404" t="s">
        <v>8058</v>
      </c>
      <c r="AF39" s="396" t="s">
        <v>8047</v>
      </c>
      <c r="AG39" s="645" t="s">
        <v>8058</v>
      </c>
      <c r="AH39" s="645"/>
      <c r="AI39" s="405" t="s">
        <v>8059</v>
      </c>
      <c r="AJ39" s="406"/>
      <c r="AK39" s="406"/>
      <c r="AL39" s="406"/>
      <c r="AM39" s="406"/>
      <c r="AN39" s="406"/>
      <c r="AO39" s="406"/>
      <c r="AP39" s="406"/>
      <c r="AQ39" s="406"/>
      <c r="BB39" s="271"/>
      <c r="BC39" s="271"/>
      <c r="BD39" s="279">
        <v>1</v>
      </c>
      <c r="BE39" s="271"/>
      <c r="BF39" s="271"/>
      <c r="BG39" s="271"/>
    </row>
    <row r="40" spans="1:59" ht="20.100000000000001" customHeight="1" x14ac:dyDescent="0.25">
      <c r="A40" s="374">
        <f>IF($B40="","",18)</f>
        <v>18</v>
      </c>
      <c r="B40" s="375" t="str" cm="1">
        <f t="array" ref="B40">IFERROR(IF(INDEX($AC$72:$AC$430,$K40)="","",INDEX($AC$72:$AC$430,$K40)),"")</f>
        <v>Tapenade ?</v>
      </c>
      <c r="C40" s="376" t="str" cm="1">
        <f t="array" ref="C40">IF($B40="","",INDEX($AG$72:$AG$430,$K40))</f>
        <v>QT. SUFFISANTE</v>
      </c>
      <c r="D40" s="377" t="str" cm="1">
        <f t="array" ref="D40">IF($B40="","",INDEX($AH$72:$AH$430,$K40))</f>
        <v/>
      </c>
      <c r="E40" s="378" t="str">
        <f t="shared" si="0"/>
        <v/>
      </c>
      <c r="F40" s="379" t="str" cm="1">
        <f t="array" ref="F40">IF($B40="","",IF(UPPER(TRIM($D40))="QT. SUFFISANTE","Qt. suffisante",IF($N40="","",IF($L40="MASSE",IF($N40&gt;=1,"Kg","g"),IF($L40="VOLUME",IF($N40&gt;=1,"L","cl"),INDEX($AL$72:$AL$430,$K40))))))</f>
        <v/>
      </c>
      <c r="G40" s="380" t="str">
        <f t="shared" si="1"/>
        <v/>
      </c>
      <c r="H40" s="381" t="str" cm="1">
        <f t="array" ref="H40">IF($B40="","",IF(UPPER(TRIM($D40))="QT. SUFFISANTE","Qt. suffisante",IF($O40="","",IF($L40="MASSE",IF($O40&gt;=1,"Kg","g"),IF($L40="VOLUME",IF($O40&gt;=1,"L","cl"),INDEX($AL$72:$AL$430,$K40))))))</f>
        <v/>
      </c>
      <c r="I40" s="382" t="str" cm="1">
        <f t="array" ref="I40">IF($B40="","",INDEX($AM$72:$AM$430,$K40))</f>
        <v>QUANTITÉ À CONTRÔLER</v>
      </c>
      <c r="J40" s="271"/>
      <c r="K40" s="383">
        <f>1+($B$5-1)*36+18</f>
        <v>91</v>
      </c>
      <c r="L40" s="383" t="str" cm="1">
        <f t="array" ref="L40">IF($B40="","",INDEX($AI$72:$AI$430,$K40))</f>
        <v>AUTRE</v>
      </c>
      <c r="M40" s="383" cm="1">
        <f t="array" ref="M40">IF($B40="","",INDEX($AJ$72:$AJ$430,$K40))</f>
        <v>1</v>
      </c>
      <c r="N40" s="384" t="str" cm="1">
        <f t="array" ref="N40">IF(OR($B40="",$B$13="",$B$12="",$B$12=0),"",IF($L$22="AUTRE",IFERROR(INDEX($AK$72:$AK$430,$K40)*($B$13/$B$12),""),IF(OR($C$12="",$C$13=""),"",IFERROR(INDEX($AK$72:$AK$430,$K40)*(($B$13*VLOOKUP($C$13,$AY$74:$BA$119,3,FALSE))/($B$12*VLOOKUP($C$12,$AY$74:$BA$119,3,FALSE))),""))))</f>
        <v/>
      </c>
      <c r="O40" s="384" t="str" cm="1">
        <f t="array" ref="O40">IF(OR($B40="",$G$12="",$G$11="",$G$11=0),"",IFERROR(INDEX($AK$72:$AK$430,$K40)*($G$12/$G$11),""))</f>
        <v/>
      </c>
      <c r="U40" s="635"/>
      <c r="V40" s="636"/>
      <c r="W40" s="637"/>
      <c r="X40" s="637"/>
      <c r="Y40" s="637"/>
      <c r="Z40" s="637"/>
      <c r="AA40" s="638"/>
      <c r="AC40" s="275"/>
      <c r="AD40" s="370" t="s">
        <v>343</v>
      </c>
      <c r="AE40" s="407" t="s">
        <v>8060</v>
      </c>
      <c r="AF40" s="396" t="s">
        <v>8047</v>
      </c>
      <c r="AG40" s="646" t="s">
        <v>8060</v>
      </c>
      <c r="AH40" s="646"/>
      <c r="AI40" s="406" t="s">
        <v>8061</v>
      </c>
      <c r="AJ40" s="406"/>
      <c r="AK40" s="406"/>
      <c r="AL40" s="406"/>
      <c r="AM40" s="406"/>
      <c r="AN40" s="406"/>
      <c r="AO40" s="406"/>
      <c r="AP40" s="406"/>
      <c r="AQ40" s="406"/>
      <c r="BB40" s="271"/>
      <c r="BC40" s="271"/>
      <c r="BD40" s="279">
        <v>1</v>
      </c>
      <c r="BE40" s="271"/>
      <c r="BF40" s="271"/>
      <c r="BG40" s="271"/>
    </row>
    <row r="41" spans="1:59" ht="20.100000000000001" customHeight="1" thickBot="1" x14ac:dyDescent="0.3">
      <c r="A41" s="374">
        <f>IF($B41="","",19)</f>
        <v>19</v>
      </c>
      <c r="B41" s="375" t="str" cm="1">
        <f t="array" ref="B41">IFERROR(IF(INDEX($AC$72:$AC$430,$K41)="","",INDEX($AC$72:$AC$430,$K41)),"")</f>
        <v>Cerfeuil</v>
      </c>
      <c r="C41" s="376" t="str" cm="1">
        <f t="array" ref="C41">IF($B41="","",INDEX($AG$72:$AG$430,$K41))</f>
        <v>QT. SUFFISANTE</v>
      </c>
      <c r="D41" s="377" t="str" cm="1">
        <f t="array" ref="D41">IF($B41="","",INDEX($AH$72:$AH$430,$K41))</f>
        <v/>
      </c>
      <c r="E41" s="378" t="str">
        <f t="shared" si="0"/>
        <v/>
      </c>
      <c r="F41" s="379" t="str" cm="1">
        <f t="array" ref="F41">IF($B41="","",IF(UPPER(TRIM($D41))="QT. SUFFISANTE","Qt. suffisante",IF($N41="","",IF($L41="MASSE",IF($N41&gt;=1,"Kg","g"),IF($L41="VOLUME",IF($N41&gt;=1,"L","cl"),INDEX($AL$72:$AL$430,$K41))))))</f>
        <v/>
      </c>
      <c r="G41" s="380" t="str">
        <f t="shared" si="1"/>
        <v/>
      </c>
      <c r="H41" s="381" t="str" cm="1">
        <f t="array" ref="H41">IF($B41="","",IF(UPPER(TRIM($D41))="QT. SUFFISANTE","Qt. suffisante",IF($O41="","",IF($L41="MASSE",IF($O41&gt;=1,"Kg","g"),IF($L41="VOLUME",IF($O41&gt;=1,"L","cl"),INDEX($AL$72:$AL$430,$K41))))))</f>
        <v/>
      </c>
      <c r="I41" s="382" t="str" cm="1">
        <f t="array" ref="I41">IF($B41="","",INDEX($AM$72:$AM$430,$K41))</f>
        <v>QUANTITÉ À CONTRÔLER</v>
      </c>
      <c r="J41" s="271"/>
      <c r="K41" s="383">
        <f>1+($B$5-1)*36+19</f>
        <v>92</v>
      </c>
      <c r="L41" s="383" t="str" cm="1">
        <f t="array" ref="L41">IF($B41="","",INDEX($AI$72:$AI$430,$K41))</f>
        <v>AUTRE</v>
      </c>
      <c r="M41" s="383" cm="1">
        <f t="array" ref="M41">IF($B41="","",INDEX($AJ$72:$AJ$430,$K41))</f>
        <v>1</v>
      </c>
      <c r="N41" s="384" t="str" cm="1">
        <f t="array" ref="N41">IF(OR($B41="",$B$13="",$B$12="",$B$12=0),"",IF($L$22="AUTRE",IFERROR(INDEX($AK$72:$AK$430,$K41)*($B$13/$B$12),""),IF(OR($C$12="",$C$13=""),"",IFERROR(INDEX($AK$72:$AK$430,$K41)*(($B$13*VLOOKUP($C$13,$AY$74:$BA$119,3,FALSE))/($B$12*VLOOKUP($C$12,$AY$74:$BA$119,3,FALSE))),""))))</f>
        <v/>
      </c>
      <c r="O41" s="384" t="str" cm="1">
        <f t="array" ref="O41">IF(OR($B41="",$G$12="",$G$11="",$G$11=0),"",IFERROR(INDEX($AK$72:$AK$430,$K41)*($G$12/$G$11),""))</f>
        <v/>
      </c>
      <c r="U41" s="647" t="s">
        <v>8062</v>
      </c>
      <c r="V41" s="648"/>
      <c r="W41" s="648"/>
      <c r="X41" s="648"/>
      <c r="Y41" s="648"/>
      <c r="Z41" s="648"/>
      <c r="AA41" s="649"/>
      <c r="AD41" s="408" t="s">
        <v>8063</v>
      </c>
      <c r="AE41" s="409" t="s">
        <v>8064</v>
      </c>
      <c r="AF41" s="410" t="s">
        <v>8065</v>
      </c>
      <c r="AG41" s="650" t="s">
        <v>8066</v>
      </c>
      <c r="AH41" s="650"/>
      <c r="AI41" s="411" t="s">
        <v>8067</v>
      </c>
      <c r="AJ41" s="411"/>
      <c r="AK41" s="411"/>
      <c r="AL41" s="411"/>
      <c r="AM41" s="411"/>
      <c r="AN41" s="411"/>
      <c r="AO41" s="411"/>
      <c r="AP41" s="411"/>
      <c r="AQ41" s="411"/>
      <c r="BB41" s="271"/>
      <c r="BC41" s="271"/>
      <c r="BD41" s="279">
        <v>1</v>
      </c>
      <c r="BE41" s="271"/>
      <c r="BF41" s="271"/>
      <c r="BG41" s="271"/>
    </row>
    <row r="42" spans="1:59" ht="20.100000000000001" customHeight="1" x14ac:dyDescent="0.25">
      <c r="A42" s="374" t="str">
        <f>IF($B42="","",20)</f>
        <v/>
      </c>
      <c r="B42" s="375" t="str" cm="1">
        <f t="array" ref="B42">IFERROR(IF(INDEX($AC$72:$AC$430,$K42)="","",INDEX($AC$72:$AC$430,$K42)),"")</f>
        <v/>
      </c>
      <c r="C42" s="376" t="str" cm="1">
        <f t="array" ref="C42">IF($B42="","",INDEX($AG$72:$AG$430,$K42))</f>
        <v/>
      </c>
      <c r="D42" s="377" t="str" cm="1">
        <f t="array" ref="D42">IF($B42="","",INDEX($AH$72:$AH$430,$K42))</f>
        <v/>
      </c>
      <c r="E42" s="378" t="str">
        <f t="shared" si="0"/>
        <v/>
      </c>
      <c r="F42" s="379" t="str" cm="1">
        <f t="array" ref="F42">IF($B42="","",IF(UPPER(TRIM($D42))="QT. SUFFISANTE","Qt. suffisante",IF($N42="","",IF($L42="MASSE",IF($N42&gt;=1,"Kg","g"),IF($L42="VOLUME",IF($N42&gt;=1,"L","cl"),INDEX($AL$72:$AL$430,$K42))))))</f>
        <v/>
      </c>
      <c r="G42" s="380" t="str">
        <f t="shared" si="1"/>
        <v/>
      </c>
      <c r="H42" s="381" t="str" cm="1">
        <f t="array" ref="H42">IF($B42="","",IF(UPPER(TRIM($D42))="QT. SUFFISANTE","Qt. suffisante",IF($O42="","",IF($L42="MASSE",IF($O42&gt;=1,"Kg","g"),IF($L42="VOLUME",IF($O42&gt;=1,"L","cl"),INDEX($AL$72:$AL$430,$K42))))))</f>
        <v/>
      </c>
      <c r="I42" s="382" t="str" cm="1">
        <f t="array" ref="I42">IF($B42="","",INDEX($AM$72:$AM$430,$K42))</f>
        <v/>
      </c>
      <c r="J42" s="271"/>
      <c r="K42" s="383">
        <f>1+($B$5-1)*36+20</f>
        <v>93</v>
      </c>
      <c r="L42" s="383" t="str" cm="1">
        <f t="array" ref="L42">IF($B42="","",INDEX($AI$72:$AI$430,$K42))</f>
        <v/>
      </c>
      <c r="M42" s="383" t="str" cm="1">
        <f t="array" ref="M42">IF($B42="","",INDEX($AJ$72:$AJ$430,$K42))</f>
        <v/>
      </c>
      <c r="N42" s="384" t="str" cm="1">
        <f t="array" ref="N42">IF(OR($B42="",$B$13="",$B$12="",$B$12=0),"",IF($L$22="AUTRE",IFERROR(INDEX($AK$72:$AK$430,$K42)*($B$13/$B$12),""),IF(OR($C$12="",$C$13=""),"",IFERROR(INDEX($AK$72:$AK$430,$K42)*(($B$13*VLOOKUP($C$13,$AY$74:$BA$119,3,FALSE))/($B$12*VLOOKUP($C$12,$AY$74:$BA$119,3,FALSE))),""))))</f>
        <v/>
      </c>
      <c r="O42" s="384" t="str" cm="1">
        <f t="array" ref="O42">IF(OR($B42="",$G$12="",$G$11="",$G$11=0),"",IFERROR(INDEX($AK$72:$AK$430,$K42)*($G$12/$G$11),""))</f>
        <v/>
      </c>
      <c r="U42" s="651" t="s">
        <v>8068</v>
      </c>
      <c r="V42" s="652"/>
      <c r="W42" s="653" t="s">
        <v>8069</v>
      </c>
      <c r="X42" s="653"/>
      <c r="Y42" s="653"/>
      <c r="Z42" s="653"/>
      <c r="AA42" s="654"/>
      <c r="AD42" s="294" t="s">
        <v>8070</v>
      </c>
      <c r="AE42" s="295"/>
      <c r="AF42" s="296"/>
      <c r="AG42" s="295"/>
      <c r="AH42" s="295"/>
      <c r="AI42" s="295"/>
      <c r="AJ42" s="295"/>
      <c r="AK42" s="295"/>
      <c r="AL42" s="295"/>
      <c r="AM42" s="295"/>
      <c r="AN42" s="295"/>
      <c r="AO42" s="295"/>
      <c r="AP42" s="295"/>
      <c r="AQ42" s="295"/>
      <c r="BB42" s="271"/>
      <c r="BC42" s="271"/>
      <c r="BD42" s="279">
        <v>1</v>
      </c>
      <c r="BE42" s="271"/>
      <c r="BF42" s="271"/>
      <c r="BG42" s="271"/>
    </row>
    <row r="43" spans="1:59" ht="20.100000000000001" customHeight="1" x14ac:dyDescent="0.25">
      <c r="A43" s="374" t="str">
        <f>IF($B43="","",21)</f>
        <v/>
      </c>
      <c r="B43" s="375" t="str" cm="1">
        <f t="array" ref="B43">IFERROR(IF(INDEX($AC$72:$AC$430,$K43)="","",INDEX($AC$72:$AC$430,$K43)),"")</f>
        <v/>
      </c>
      <c r="C43" s="376" t="str" cm="1">
        <f t="array" ref="C43">IF($B43="","",INDEX($AG$72:$AG$430,$K43))</f>
        <v/>
      </c>
      <c r="D43" s="377" t="str" cm="1">
        <f t="array" ref="D43">IF($B43="","",INDEX($AH$72:$AH$430,$K43))</f>
        <v/>
      </c>
      <c r="E43" s="378" t="str">
        <f t="shared" si="0"/>
        <v/>
      </c>
      <c r="F43" s="379" t="str" cm="1">
        <f t="array" ref="F43">IF($B43="","",IF(UPPER(TRIM($D43))="QT. SUFFISANTE","Qt. suffisante",IF($N43="","",IF($L43="MASSE",IF($N43&gt;=1,"Kg","g"),IF($L43="VOLUME",IF($N43&gt;=1,"L","cl"),INDEX($AL$72:$AL$430,$K43))))))</f>
        <v/>
      </c>
      <c r="G43" s="380" t="str">
        <f t="shared" si="1"/>
        <v/>
      </c>
      <c r="H43" s="381" t="str" cm="1">
        <f t="array" ref="H43">IF($B43="","",IF(UPPER(TRIM($D43))="QT. SUFFISANTE","Qt. suffisante",IF($O43="","",IF($L43="MASSE",IF($O43&gt;=1,"Kg","g"),IF($L43="VOLUME",IF($O43&gt;=1,"L","cl"),INDEX($AL$72:$AL$430,$K43))))))</f>
        <v/>
      </c>
      <c r="I43" s="382" t="str" cm="1">
        <f t="array" ref="I43">IF($B43="","",INDEX($AM$72:$AM$430,$K43))</f>
        <v/>
      </c>
      <c r="J43" s="271"/>
      <c r="K43" s="383">
        <f>1+($B$5-1)*36+21</f>
        <v>94</v>
      </c>
      <c r="L43" s="383" t="str" cm="1">
        <f t="array" ref="L43">IF($B43="","",INDEX($AI$72:$AI$430,$K43))</f>
        <v/>
      </c>
      <c r="M43" s="383" t="str" cm="1">
        <f t="array" ref="M43">IF($B43="","",INDEX($AJ$72:$AJ$430,$K43))</f>
        <v/>
      </c>
      <c r="N43" s="384" t="str" cm="1">
        <f t="array" ref="N43">IF(OR($B43="",$B$13="",$B$12="",$B$12=0),"",IF($L$22="AUTRE",IFERROR(INDEX($AK$72:$AK$430,$K43)*($B$13/$B$12),""),IF(OR($C$12="",$C$13=""),"",IFERROR(INDEX($AK$72:$AK$430,$K43)*(($B$13*VLOOKUP($C$13,$AY$74:$BA$119,3,FALSE))/($B$12*VLOOKUP($C$12,$AY$74:$BA$119,3,FALSE))),""))))</f>
        <v/>
      </c>
      <c r="O43" s="384" t="str" cm="1">
        <f t="array" ref="O43">IF(OR($B43="",$G$12="",$G$11="",$G$11=0),"",IFERROR(INDEX($AK$72:$AK$430,$K43)*($G$12/$G$11),""))</f>
        <v/>
      </c>
      <c r="U43" s="651"/>
      <c r="V43" s="652"/>
      <c r="W43" s="653"/>
      <c r="X43" s="653"/>
      <c r="Y43" s="653"/>
      <c r="Z43" s="653"/>
      <c r="AA43" s="654"/>
      <c r="AD43" s="301" t="s">
        <v>8071</v>
      </c>
      <c r="AE43" s="322" t="s">
        <v>8072</v>
      </c>
      <c r="AF43" s="303"/>
      <c r="AG43" s="557" t="s">
        <v>8073</v>
      </c>
      <c r="AH43" s="557"/>
      <c r="AI43" s="311" t="s">
        <v>8074</v>
      </c>
      <c r="AJ43" s="311"/>
      <c r="AK43" s="311"/>
      <c r="AL43" s="311"/>
      <c r="AM43" s="311"/>
      <c r="AN43" s="311"/>
      <c r="AO43" s="311"/>
      <c r="AP43" s="311"/>
      <c r="AQ43" s="311"/>
      <c r="BB43" s="271"/>
      <c r="BC43" s="271"/>
      <c r="BD43" s="279">
        <v>1</v>
      </c>
      <c r="BE43" s="271"/>
      <c r="BF43" s="271"/>
      <c r="BG43" s="271"/>
    </row>
    <row r="44" spans="1:59" ht="20.100000000000001" customHeight="1" x14ac:dyDescent="0.25">
      <c r="A44" s="374" t="str">
        <f>IF($B44="","",22)</f>
        <v/>
      </c>
      <c r="B44" s="375" t="str" cm="1">
        <f t="array" ref="B44">IFERROR(IF(INDEX($AC$72:$AC$430,$K44)="","",INDEX($AC$72:$AC$430,$K44)),"")</f>
        <v/>
      </c>
      <c r="C44" s="376" t="str" cm="1">
        <f t="array" ref="C44">IF($B44="","",INDEX($AG$72:$AG$430,$K44))</f>
        <v/>
      </c>
      <c r="D44" s="377" t="str" cm="1">
        <f t="array" ref="D44">IF($B44="","",INDEX($AH$72:$AH$430,$K44))</f>
        <v/>
      </c>
      <c r="E44" s="378" t="str">
        <f t="shared" si="0"/>
        <v/>
      </c>
      <c r="F44" s="379" t="str" cm="1">
        <f t="array" ref="F44">IF($B44="","",IF(UPPER(TRIM($D44))="QT. SUFFISANTE","Qt. suffisante",IF($N44="","",IF($L44="MASSE",IF($N44&gt;=1,"Kg","g"),IF($L44="VOLUME",IF($N44&gt;=1,"L","cl"),INDEX($AL$72:$AL$430,$K44))))))</f>
        <v/>
      </c>
      <c r="G44" s="380" t="str">
        <f t="shared" si="1"/>
        <v/>
      </c>
      <c r="H44" s="381" t="str" cm="1">
        <f t="array" ref="H44">IF($B44="","",IF(UPPER(TRIM($D44))="QT. SUFFISANTE","Qt. suffisante",IF($O44="","",IF($L44="MASSE",IF($O44&gt;=1,"Kg","g"),IF($L44="VOLUME",IF($O44&gt;=1,"L","cl"),INDEX($AL$72:$AL$430,$K44))))))</f>
        <v/>
      </c>
      <c r="I44" s="382" t="str" cm="1">
        <f t="array" ref="I44">IF($B44="","",INDEX($AM$72:$AM$430,$K44))</f>
        <v/>
      </c>
      <c r="J44" s="271"/>
      <c r="K44" s="383">
        <f>1+($B$5-1)*36+22</f>
        <v>95</v>
      </c>
      <c r="L44" s="383" t="str" cm="1">
        <f t="array" ref="L44">IF($B44="","",INDEX($AI$72:$AI$430,$K44))</f>
        <v/>
      </c>
      <c r="M44" s="383" t="str" cm="1">
        <f t="array" ref="M44">IF($B44="","",INDEX($AJ$72:$AJ$430,$K44))</f>
        <v/>
      </c>
      <c r="N44" s="384" t="str" cm="1">
        <f t="array" ref="N44">IF(OR($B44="",$B$13="",$B$12="",$B$12=0),"",IF($L$22="AUTRE",IFERROR(INDEX($AK$72:$AK$430,$K44)*($B$13/$B$12),""),IF(OR($C$12="",$C$13=""),"",IFERROR(INDEX($AK$72:$AK$430,$K44)*(($B$13*VLOOKUP($C$13,$AY$74:$BA$119,3,FALSE))/($B$12*VLOOKUP($C$12,$AY$74:$BA$119,3,FALSE))),""))))</f>
        <v/>
      </c>
      <c r="O44" s="384" t="str" cm="1">
        <f t="array" ref="O44">IF(OR($B44="",$G$12="",$G$11="",$G$11=0),"",IFERROR(INDEX($AK$72:$AK$430,$K44)*($G$12/$G$11),""))</f>
        <v/>
      </c>
      <c r="U44" s="640" t="s">
        <v>343</v>
      </c>
      <c r="V44" s="641"/>
      <c r="W44" s="642" t="s">
        <v>8075</v>
      </c>
      <c r="X44" s="642"/>
      <c r="Y44" s="642"/>
      <c r="Z44" s="642"/>
      <c r="AA44" s="643"/>
      <c r="AD44" s="301" t="s">
        <v>8071</v>
      </c>
      <c r="AE44" s="322" t="s">
        <v>8076</v>
      </c>
      <c r="AF44" s="303"/>
      <c r="AG44" s="557" t="s">
        <v>8077</v>
      </c>
      <c r="AH44" s="557"/>
      <c r="AI44" s="311" t="s">
        <v>8078</v>
      </c>
      <c r="AJ44" s="311"/>
      <c r="AK44" s="311"/>
      <c r="AL44" s="311"/>
      <c r="AM44" s="311"/>
      <c r="AN44" s="311"/>
      <c r="AO44" s="311"/>
      <c r="AP44" s="311"/>
      <c r="AQ44" s="311"/>
      <c r="BB44" s="271"/>
      <c r="BC44" s="271"/>
      <c r="BD44" s="279">
        <v>1</v>
      </c>
      <c r="BE44" s="271"/>
      <c r="BF44" s="271"/>
      <c r="BG44" s="271"/>
    </row>
    <row r="45" spans="1:59" ht="20.100000000000001" customHeight="1" x14ac:dyDescent="0.25">
      <c r="A45" s="374" t="str">
        <f>IF($B45="","",23)</f>
        <v/>
      </c>
      <c r="B45" s="375" t="str" cm="1">
        <f t="array" ref="B45">IFERROR(IF(INDEX($AC$72:$AC$430,$K45)="","",INDEX($AC$72:$AC$430,$K45)),"")</f>
        <v/>
      </c>
      <c r="C45" s="376" t="str" cm="1">
        <f t="array" ref="C45">IF($B45="","",INDEX($AG$72:$AG$430,$K45))</f>
        <v/>
      </c>
      <c r="D45" s="377" t="str" cm="1">
        <f t="array" ref="D45">IF($B45="","",INDEX($AH$72:$AH$430,$K45))</f>
        <v/>
      </c>
      <c r="E45" s="378" t="str">
        <f t="shared" si="0"/>
        <v/>
      </c>
      <c r="F45" s="379" t="str" cm="1">
        <f t="array" ref="F45">IF($B45="","",IF(UPPER(TRIM($D45))="QT. SUFFISANTE","Qt. suffisante",IF($N45="","",IF($L45="MASSE",IF($N45&gt;=1,"Kg","g"),IF($L45="VOLUME",IF($N45&gt;=1,"L","cl"),INDEX($AL$72:$AL$430,$K45))))))</f>
        <v/>
      </c>
      <c r="G45" s="380" t="str">
        <f t="shared" si="1"/>
        <v/>
      </c>
      <c r="H45" s="381" t="str" cm="1">
        <f t="array" ref="H45">IF($B45="","",IF(UPPER(TRIM($D45))="QT. SUFFISANTE","Qt. suffisante",IF($O45="","",IF($L45="MASSE",IF($O45&gt;=1,"Kg","g"),IF($L45="VOLUME",IF($O45&gt;=1,"L","cl"),INDEX($AL$72:$AL$430,$K45))))))</f>
        <v/>
      </c>
      <c r="I45" s="382" t="str" cm="1">
        <f t="array" ref="I45">IF($B45="","",INDEX($AM$72:$AM$430,$K45))</f>
        <v/>
      </c>
      <c r="J45" s="271"/>
      <c r="K45" s="383">
        <f>1+($B$5-1)*36+23</f>
        <v>96</v>
      </c>
      <c r="L45" s="383" t="str" cm="1">
        <f t="array" ref="L45">IF($B45="","",INDEX($AI$72:$AI$430,$K45))</f>
        <v/>
      </c>
      <c r="M45" s="383" t="str" cm="1">
        <f t="array" ref="M45">IF($B45="","",INDEX($AJ$72:$AJ$430,$K45))</f>
        <v/>
      </c>
      <c r="N45" s="384" t="str" cm="1">
        <f t="array" ref="N45">IF(OR($B45="",$B$13="",$B$12="",$B$12=0),"",IF($L$22="AUTRE",IFERROR(INDEX($AK$72:$AK$430,$K45)*($B$13/$B$12),""),IF(OR($C$12="",$C$13=""),"",IFERROR(INDEX($AK$72:$AK$430,$K45)*(($B$13*VLOOKUP($C$13,$AY$74:$BA$119,3,FALSE))/($B$12*VLOOKUP($C$12,$AY$74:$BA$119,3,FALSE))),""))))</f>
        <v/>
      </c>
      <c r="O45" s="384" t="str" cm="1">
        <f t="array" ref="O45">IF(OR($B45="",$G$12="",$G$11="",$G$11=0),"",IFERROR(INDEX($AK$72:$AK$430,$K45)*($G$12/$G$11),""))</f>
        <v/>
      </c>
      <c r="U45" s="640"/>
      <c r="V45" s="641"/>
      <c r="W45" s="642"/>
      <c r="X45" s="642"/>
      <c r="Y45" s="642"/>
      <c r="Z45" s="642"/>
      <c r="AA45" s="643"/>
      <c r="AD45" s="301" t="s">
        <v>8071</v>
      </c>
      <c r="AE45" s="322" t="s">
        <v>8079</v>
      </c>
      <c r="AF45" s="303"/>
      <c r="AG45" s="557" t="s">
        <v>8080</v>
      </c>
      <c r="AH45" s="557"/>
      <c r="AI45" s="311" t="s">
        <v>8081</v>
      </c>
      <c r="AJ45" s="311"/>
      <c r="AK45" s="311"/>
      <c r="AL45" s="311"/>
      <c r="AM45" s="311"/>
      <c r="AN45" s="311"/>
      <c r="AO45" s="311"/>
      <c r="AP45" s="311"/>
      <c r="AQ45" s="311"/>
      <c r="BB45" s="271"/>
      <c r="BC45" s="271"/>
      <c r="BD45" s="279">
        <v>1</v>
      </c>
      <c r="BE45" s="271"/>
      <c r="BF45" s="271"/>
      <c r="BG45" s="271"/>
    </row>
    <row r="46" spans="1:59" ht="20.100000000000001" customHeight="1" x14ac:dyDescent="0.25">
      <c r="A46" s="374" t="str">
        <f>IF($B46="","",24)</f>
        <v/>
      </c>
      <c r="B46" s="375" t="str" cm="1">
        <f t="array" ref="B46">IFERROR(IF(INDEX($AC$72:$AC$430,$K46)="","",INDEX($AC$72:$AC$430,$K46)),"")</f>
        <v/>
      </c>
      <c r="C46" s="376" t="str" cm="1">
        <f t="array" ref="C46">IF($B46="","",INDEX($AG$72:$AG$430,$K46))</f>
        <v/>
      </c>
      <c r="D46" s="377" t="str" cm="1">
        <f t="array" ref="D46">IF($B46="","",INDEX($AH$72:$AH$430,$K46))</f>
        <v/>
      </c>
      <c r="E46" s="378" t="str">
        <f t="shared" si="0"/>
        <v/>
      </c>
      <c r="F46" s="379" t="str" cm="1">
        <f t="array" ref="F46">IF($B46="","",IF(UPPER(TRIM($D46))="QT. SUFFISANTE","Qt. suffisante",IF($N46="","",IF($L46="MASSE",IF($N46&gt;=1,"Kg","g"),IF($L46="VOLUME",IF($N46&gt;=1,"L","cl"),INDEX($AL$72:$AL$430,$K46))))))</f>
        <v/>
      </c>
      <c r="G46" s="380" t="str">
        <f t="shared" si="1"/>
        <v/>
      </c>
      <c r="H46" s="381" t="str" cm="1">
        <f t="array" ref="H46">IF($B46="","",IF(UPPER(TRIM($D46))="QT. SUFFISANTE","Qt. suffisante",IF($O46="","",IF($L46="MASSE",IF($O46&gt;=1,"Kg","g"),IF($L46="VOLUME",IF($O46&gt;=1,"L","cl"),INDEX($AL$72:$AL$430,$K46))))))</f>
        <v/>
      </c>
      <c r="I46" s="382" t="str" cm="1">
        <f t="array" ref="I46">IF($B46="","",INDEX($AM$72:$AM$430,$K46))</f>
        <v/>
      </c>
      <c r="J46" s="271"/>
      <c r="K46" s="383">
        <f>1+($B$5-1)*36+24</f>
        <v>97</v>
      </c>
      <c r="L46" s="383" t="str" cm="1">
        <f t="array" ref="L46">IF($B46="","",INDEX($AI$72:$AI$430,$K46))</f>
        <v/>
      </c>
      <c r="M46" s="383" t="str" cm="1">
        <f t="array" ref="M46">IF($B46="","",INDEX($AJ$72:$AJ$430,$K46))</f>
        <v/>
      </c>
      <c r="N46" s="384" t="str" cm="1">
        <f t="array" ref="N46">IF(OR($B46="",$B$13="",$B$12="",$B$12=0),"",IF($L$22="AUTRE",IFERROR(INDEX($AK$72:$AK$430,$K46)*($B$13/$B$12),""),IF(OR($C$12="",$C$13=""),"",IFERROR(INDEX($AK$72:$AK$430,$K46)*(($B$13*VLOOKUP($C$13,$AY$74:$BA$119,3,FALSE))/($B$12*VLOOKUP($C$12,$AY$74:$BA$119,3,FALSE))),""))))</f>
        <v/>
      </c>
      <c r="O46" s="384" t="str" cm="1">
        <f t="array" ref="O46">IF(OR($B46="",$G$12="",$G$11="",$G$11=0),"",IFERROR(INDEX($AK$72:$AK$430,$K46)*($G$12/$G$11),""))</f>
        <v/>
      </c>
      <c r="U46" s="156"/>
      <c r="V46" s="156"/>
      <c r="W46" s="156"/>
      <c r="X46" s="156"/>
      <c r="Y46" s="156"/>
      <c r="Z46" s="156"/>
      <c r="AA46" s="156"/>
      <c r="AD46" s="412" t="s">
        <v>8082</v>
      </c>
      <c r="AE46" s="413" t="s">
        <v>8035</v>
      </c>
      <c r="AF46" s="414"/>
      <c r="AG46" s="658" t="s">
        <v>33</v>
      </c>
      <c r="AH46" s="658"/>
      <c r="AI46" s="415" t="s">
        <v>8083</v>
      </c>
      <c r="AJ46" s="415"/>
      <c r="AK46" s="415"/>
      <c r="AL46" s="415"/>
      <c r="AM46" s="415"/>
      <c r="AN46" s="415"/>
      <c r="AO46" s="415"/>
      <c r="AP46" s="415"/>
      <c r="AQ46" s="415"/>
      <c r="AY46" s="416" t="s">
        <v>8084</v>
      </c>
      <c r="AZ46" s="220"/>
      <c r="BA46" s="220"/>
      <c r="BB46" s="220"/>
      <c r="BC46" s="271"/>
      <c r="BD46" s="279">
        <v>1</v>
      </c>
      <c r="BE46" s="271"/>
      <c r="BF46" s="271"/>
      <c r="BG46" s="271"/>
    </row>
    <row r="47" spans="1:59" ht="20.100000000000001" customHeight="1" x14ac:dyDescent="0.25">
      <c r="A47" s="374" t="str">
        <f>IF($B47="","",25)</f>
        <v/>
      </c>
      <c r="B47" s="375" t="str" cm="1">
        <f t="array" ref="B47">IFERROR(IF(INDEX($AC$72:$AC$430,$K47)="","",INDEX($AC$72:$AC$430,$K47)),"")</f>
        <v/>
      </c>
      <c r="C47" s="376" t="str" cm="1">
        <f t="array" ref="C47">IF($B47="","",INDEX($AG$72:$AG$430,$K47))</f>
        <v/>
      </c>
      <c r="D47" s="377" t="str" cm="1">
        <f t="array" ref="D47">IF($B47="","",INDEX($AH$72:$AH$430,$K47))</f>
        <v/>
      </c>
      <c r="E47" s="378" t="str">
        <f t="shared" si="0"/>
        <v/>
      </c>
      <c r="F47" s="379" t="str" cm="1">
        <f t="array" ref="F47">IF($B47="","",IF(UPPER(TRIM($D47))="QT. SUFFISANTE","Qt. suffisante",IF($N47="","",IF($L47="MASSE",IF($N47&gt;=1,"Kg","g"),IF($L47="VOLUME",IF($N47&gt;=1,"L","cl"),INDEX($AL$72:$AL$430,$K47))))))</f>
        <v/>
      </c>
      <c r="G47" s="380" t="str">
        <f t="shared" si="1"/>
        <v/>
      </c>
      <c r="H47" s="381" t="str" cm="1">
        <f t="array" ref="H47">IF($B47="","",IF(UPPER(TRIM($D47))="QT. SUFFISANTE","Qt. suffisante",IF($O47="","",IF($L47="MASSE",IF($O47&gt;=1,"Kg","g"),IF($L47="VOLUME",IF($O47&gt;=1,"L","cl"),INDEX($AL$72:$AL$430,$K47))))))</f>
        <v/>
      </c>
      <c r="I47" s="382" t="str" cm="1">
        <f t="array" ref="I47">IF($B47="","",INDEX($AM$72:$AM$430,$K47))</f>
        <v/>
      </c>
      <c r="J47" s="271"/>
      <c r="K47" s="383">
        <f>1+($B$5-1)*36+25</f>
        <v>98</v>
      </c>
      <c r="L47" s="383" t="str" cm="1">
        <f t="array" ref="L47">IF($B47="","",INDEX($AI$72:$AI$430,$K47))</f>
        <v/>
      </c>
      <c r="M47" s="383" t="str" cm="1">
        <f t="array" ref="M47">IF($B47="","",INDEX($AJ$72:$AJ$430,$K47))</f>
        <v/>
      </c>
      <c r="N47" s="384" t="str" cm="1">
        <f t="array" ref="N47">IF(OR($B47="",$B$13="",$B$12="",$B$12=0),"",IF($L$22="AUTRE",IFERROR(INDEX($AK$72:$AK$430,$K47)*($B$13/$B$12),""),IF(OR($C$12="",$C$13=""),"",IFERROR(INDEX($AK$72:$AK$430,$K47)*(($B$13*VLOOKUP($C$13,$AY$74:$BA$119,3,FALSE))/($B$12*VLOOKUP($C$12,$AY$74:$BA$119,3,FALSE))),""))))</f>
        <v/>
      </c>
      <c r="O47" s="384" t="str" cm="1">
        <f t="array" ref="O47">IF(OR($B47="",$G$12="",$G$11="",$G$11=0),"",IFERROR(INDEX($AK$72:$AK$430,$K47)*($G$12/$G$11),""))</f>
        <v/>
      </c>
      <c r="U47" s="156"/>
      <c r="V47" s="156"/>
      <c r="W47" s="156"/>
      <c r="X47" s="156"/>
      <c r="Y47" s="156"/>
      <c r="Z47" s="156"/>
      <c r="AA47" s="156"/>
      <c r="AY47" s="28" t="s">
        <v>21</v>
      </c>
      <c r="AZ47" s="417" t="s">
        <v>35</v>
      </c>
      <c r="BA47" s="418">
        <v>2.835E-2</v>
      </c>
      <c r="BB47" s="419" t="s">
        <v>36</v>
      </c>
      <c r="BC47" s="271"/>
      <c r="BD47" s="279">
        <v>1</v>
      </c>
      <c r="BE47" s="271"/>
      <c r="BF47" s="271"/>
      <c r="BG47" s="271"/>
    </row>
    <row r="48" spans="1:59" ht="20.100000000000001" customHeight="1" x14ac:dyDescent="0.25">
      <c r="A48" s="374" t="str">
        <f>IF($B48="","",26)</f>
        <v/>
      </c>
      <c r="B48" s="375" t="str" cm="1">
        <f t="array" ref="B48">IFERROR(IF(INDEX($AC$72:$AC$430,$K48)="","",INDEX($AC$72:$AC$430,$K48)),"")</f>
        <v/>
      </c>
      <c r="C48" s="376" t="str" cm="1">
        <f t="array" ref="C48">IF($B48="","",INDEX($AG$72:$AG$430,$K48))</f>
        <v/>
      </c>
      <c r="D48" s="377" t="str" cm="1">
        <f t="array" ref="D48">IF($B48="","",INDEX($AH$72:$AH$430,$K48))</f>
        <v/>
      </c>
      <c r="E48" s="378" t="str">
        <f t="shared" si="0"/>
        <v/>
      </c>
      <c r="F48" s="379" t="str" cm="1">
        <f t="array" ref="F48">IF($B48="","",IF(UPPER(TRIM($D48))="QT. SUFFISANTE","Qt. suffisante",IF($N48="","",IF($L48="MASSE",IF($N48&gt;=1,"Kg","g"),IF($L48="VOLUME",IF($N48&gt;=1,"L","cl"),INDEX($AL$72:$AL$430,$K48))))))</f>
        <v/>
      </c>
      <c r="G48" s="380" t="str">
        <f t="shared" si="1"/>
        <v/>
      </c>
      <c r="H48" s="381" t="str" cm="1">
        <f t="array" ref="H48">IF($B48="","",IF(UPPER(TRIM($D48))="QT. SUFFISANTE","Qt. suffisante",IF($O48="","",IF($L48="MASSE",IF($O48&gt;=1,"Kg","g"),IF($L48="VOLUME",IF($O48&gt;=1,"L","cl"),INDEX($AL$72:$AL$430,$K48))))))</f>
        <v/>
      </c>
      <c r="I48" s="382" t="str" cm="1">
        <f t="array" ref="I48">IF($B48="","",INDEX($AM$72:$AM$430,$K48))</f>
        <v/>
      </c>
      <c r="J48" s="271"/>
      <c r="K48" s="383">
        <f>1+($B$5-1)*36+26</f>
        <v>99</v>
      </c>
      <c r="L48" s="383" t="str" cm="1">
        <f t="array" ref="L48">IF($B48="","",INDEX($AI$72:$AI$430,$K48))</f>
        <v/>
      </c>
      <c r="M48" s="383" t="str" cm="1">
        <f t="array" ref="M48">IF($B48="","",INDEX($AJ$72:$AJ$430,$K48))</f>
        <v/>
      </c>
      <c r="N48" s="384" t="str" cm="1">
        <f t="array" ref="N48">IF(OR($B48="",$B$13="",$B$12="",$B$12=0),"",IF($L$22="AUTRE",IFERROR(INDEX($AK$72:$AK$430,$K48)*($B$13/$B$12),""),IF(OR($C$12="",$C$13=""),"",IFERROR(INDEX($AK$72:$AK$430,$K48)*(($B$13*VLOOKUP($C$13,$AY$74:$BA$119,3,FALSE))/($B$12*VLOOKUP($C$12,$AY$74:$BA$119,3,FALSE))),""))))</f>
        <v/>
      </c>
      <c r="O48" s="384" t="str" cm="1">
        <f t="array" ref="O48">IF(OR($B48="",$G$12="",$G$11="",$G$11=0),"",IFERROR(INDEX($AK$72:$AK$430,$K48)*($G$12/$G$11),""))</f>
        <v/>
      </c>
      <c r="U48" s="156"/>
      <c r="V48" s="156"/>
      <c r="W48" s="156"/>
      <c r="X48" s="156"/>
      <c r="Y48" s="156"/>
      <c r="Z48" s="156"/>
      <c r="AA48" s="156"/>
      <c r="AD48" s="10" t="s">
        <v>8171</v>
      </c>
      <c r="AY48" s="28" t="s">
        <v>22</v>
      </c>
      <c r="AZ48" s="417" t="s">
        <v>35</v>
      </c>
      <c r="BA48" s="418">
        <v>0.13</v>
      </c>
      <c r="BB48" s="419" t="s">
        <v>36</v>
      </c>
      <c r="BC48" s="271"/>
      <c r="BD48" s="279">
        <v>1</v>
      </c>
      <c r="BE48" s="271"/>
      <c r="BF48" s="271"/>
      <c r="BG48" s="271"/>
    </row>
    <row r="49" spans="1:64" ht="20.100000000000001" customHeight="1" x14ac:dyDescent="0.25">
      <c r="A49" s="374" t="str">
        <f>IF($B49="","",27)</f>
        <v/>
      </c>
      <c r="B49" s="375" t="str" cm="1">
        <f t="array" ref="B49">IFERROR(IF(INDEX($AC$72:$AC$430,$K49)="","",INDEX($AC$72:$AC$430,$K49)),"")</f>
        <v/>
      </c>
      <c r="C49" s="376" t="str" cm="1">
        <f t="array" ref="C49">IF($B49="","",INDEX($AG$72:$AG$430,$K49))</f>
        <v/>
      </c>
      <c r="D49" s="377" t="str" cm="1">
        <f t="array" ref="D49">IF($B49="","",INDEX($AH$72:$AH$430,$K49))</f>
        <v/>
      </c>
      <c r="E49" s="378" t="str">
        <f t="shared" si="0"/>
        <v/>
      </c>
      <c r="F49" s="379" t="str" cm="1">
        <f t="array" ref="F49">IF($B49="","",IF(UPPER(TRIM($D49))="QT. SUFFISANTE","Qt. suffisante",IF($N49="","",IF($L49="MASSE",IF($N49&gt;=1,"Kg","g"),IF($L49="VOLUME",IF($N49&gt;=1,"L","cl"),INDEX($AL$72:$AL$430,$K49))))))</f>
        <v/>
      </c>
      <c r="G49" s="380" t="str">
        <f t="shared" si="1"/>
        <v/>
      </c>
      <c r="H49" s="381" t="str" cm="1">
        <f t="array" ref="H49">IF($B49="","",IF(UPPER(TRIM($D49))="QT. SUFFISANTE","Qt. suffisante",IF($O49="","",IF($L49="MASSE",IF($O49&gt;=1,"Kg","g"),IF($L49="VOLUME",IF($O49&gt;=1,"L","cl"),INDEX($AL$72:$AL$430,$K49))))))</f>
        <v/>
      </c>
      <c r="I49" s="382" t="str" cm="1">
        <f t="array" ref="I49">IF($B49="","",INDEX($AM$72:$AM$430,$K49))</f>
        <v/>
      </c>
      <c r="J49" s="271"/>
      <c r="K49" s="383">
        <f>1+($B$5-1)*36+27</f>
        <v>100</v>
      </c>
      <c r="L49" s="383" t="str" cm="1">
        <f t="array" ref="L49">IF($B49="","",INDEX($AI$72:$AI$430,$K49))</f>
        <v/>
      </c>
      <c r="M49" s="383" t="str" cm="1">
        <f t="array" ref="M49">IF($B49="","",INDEX($AJ$72:$AJ$430,$K49))</f>
        <v/>
      </c>
      <c r="N49" s="384" t="str" cm="1">
        <f t="array" ref="N49">IF(OR($B49="",$B$13="",$B$12="",$B$12=0),"",IF($L$22="AUTRE",IFERROR(INDEX($AK$72:$AK$430,$K49)*($B$13/$B$12),""),IF(OR($C$12="",$C$13=""),"",IFERROR(INDEX($AK$72:$AK$430,$K49)*(($B$13*VLOOKUP($C$13,$AY$74:$BA$119,3,FALSE))/($B$12*VLOOKUP($C$12,$AY$74:$BA$119,3,FALSE))),""))))</f>
        <v/>
      </c>
      <c r="O49" s="384" t="str" cm="1">
        <f t="array" ref="O49">IF(OR($B49="",$G$12="",$G$11="",$G$11=0),"",IFERROR(INDEX($AK$72:$AK$430,$K49)*($G$12/$G$11),""))</f>
        <v/>
      </c>
      <c r="U49" s="156"/>
      <c r="V49" s="156"/>
      <c r="W49" s="156"/>
      <c r="X49" s="156"/>
      <c r="Y49" s="156"/>
      <c r="Z49" s="156"/>
      <c r="AA49" s="156"/>
      <c r="AD49" s="2" t="s">
        <v>1</v>
      </c>
      <c r="AY49" s="28" t="s">
        <v>23</v>
      </c>
      <c r="AZ49" s="417" t="s">
        <v>35</v>
      </c>
      <c r="BA49" s="418">
        <v>0.2</v>
      </c>
      <c r="BB49" s="419" t="s">
        <v>36</v>
      </c>
      <c r="BC49" s="271"/>
      <c r="BD49" s="279">
        <v>1</v>
      </c>
      <c r="BE49" s="271"/>
      <c r="BF49" s="271"/>
      <c r="BG49" s="271"/>
    </row>
    <row r="50" spans="1:64" ht="20.100000000000001" customHeight="1" x14ac:dyDescent="0.25">
      <c r="A50" s="374" t="str">
        <f>IF($B50="","",28)</f>
        <v/>
      </c>
      <c r="B50" s="375" t="str" cm="1">
        <f t="array" ref="B50">IFERROR(IF(INDEX($AC$72:$AC$430,$K50)="","",INDEX($AC$72:$AC$430,$K50)),"")</f>
        <v/>
      </c>
      <c r="C50" s="376" t="str" cm="1">
        <f t="array" ref="C50">IF($B50="","",INDEX($AG$72:$AG$430,$K50))</f>
        <v/>
      </c>
      <c r="D50" s="377" t="str" cm="1">
        <f t="array" ref="D50">IF($B50="","",INDEX($AH$72:$AH$430,$K50))</f>
        <v/>
      </c>
      <c r="E50" s="378" t="str">
        <f t="shared" si="0"/>
        <v/>
      </c>
      <c r="F50" s="379" t="str" cm="1">
        <f t="array" ref="F50">IF($B50="","",IF(UPPER(TRIM($D50))="QT. SUFFISANTE","Qt. suffisante",IF($N50="","",IF($L50="MASSE",IF($N50&gt;=1,"Kg","g"),IF($L50="VOLUME",IF($N50&gt;=1,"L","cl"),INDEX($AL$72:$AL$430,$K50))))))</f>
        <v/>
      </c>
      <c r="G50" s="380" t="str">
        <f t="shared" si="1"/>
        <v/>
      </c>
      <c r="H50" s="381" t="str" cm="1">
        <f t="array" ref="H50">IF($B50="","",IF(UPPER(TRIM($D50))="QT. SUFFISANTE","Qt. suffisante",IF($O50="","",IF($L50="MASSE",IF($O50&gt;=1,"Kg","g"),IF($L50="VOLUME",IF($O50&gt;=1,"L","cl"),INDEX($AL$72:$AL$430,$K50))))))</f>
        <v/>
      </c>
      <c r="I50" s="382" t="str" cm="1">
        <f t="array" ref="I50">IF($B50="","",INDEX($AM$72:$AM$430,$K50))</f>
        <v/>
      </c>
      <c r="J50" s="271"/>
      <c r="K50" s="383">
        <f>1+($B$5-1)*36+28</f>
        <v>101</v>
      </c>
      <c r="L50" s="383" t="str" cm="1">
        <f t="array" ref="L50">IF($B50="","",INDEX($AI$72:$AI$430,$K50))</f>
        <v/>
      </c>
      <c r="M50" s="383" t="str" cm="1">
        <f t="array" ref="M50">IF($B50="","",INDEX($AJ$72:$AJ$430,$K50))</f>
        <v/>
      </c>
      <c r="N50" s="384" t="str" cm="1">
        <f t="array" ref="N50">IF(OR($B50="",$B$13="",$B$12="",$B$12=0),"",IF($L$22="AUTRE",IFERROR(INDEX($AK$72:$AK$430,$K50)*($B$13/$B$12),""),IF(OR($C$12="",$C$13=""),"",IFERROR(INDEX($AK$72:$AK$430,$K50)*(($B$13*VLOOKUP($C$13,$AY$74:$BA$119,3,FALSE))/($B$12*VLOOKUP($C$12,$AY$74:$BA$119,3,FALSE))),""))))</f>
        <v/>
      </c>
      <c r="O50" s="384" t="str" cm="1">
        <f t="array" ref="O50">IF(OR($B50="",$G$12="",$G$11="",$G$11=0),"",IFERROR(INDEX($AK$72:$AK$430,$K50)*($G$12/$G$11),""))</f>
        <v/>
      </c>
      <c r="U50" s="156"/>
      <c r="V50" s="156"/>
      <c r="W50" s="156"/>
      <c r="X50" s="156"/>
      <c r="Y50" s="156"/>
      <c r="Z50" s="156"/>
      <c r="AA50" s="156"/>
      <c r="AD50" s="2" t="s">
        <v>8219</v>
      </c>
      <c r="AY50" s="28" t="s">
        <v>24</v>
      </c>
      <c r="AZ50" s="417" t="s">
        <v>35</v>
      </c>
      <c r="BA50" s="418">
        <v>0.23</v>
      </c>
      <c r="BB50" s="419" t="s">
        <v>36</v>
      </c>
      <c r="BC50" s="271"/>
      <c r="BD50" s="279">
        <v>1</v>
      </c>
      <c r="BE50" s="271"/>
      <c r="BF50" s="271"/>
      <c r="BG50" s="271"/>
    </row>
    <row r="51" spans="1:64" ht="23.1" customHeight="1" x14ac:dyDescent="0.25">
      <c r="A51" s="374" t="str">
        <f>IF($B51="","",29)</f>
        <v/>
      </c>
      <c r="B51" s="375" t="str" cm="1">
        <f t="array" ref="B51">IFERROR(IF(INDEX($AC$72:$AC$430,$K51)="","",INDEX($AC$72:$AC$430,$K51)),"")</f>
        <v/>
      </c>
      <c r="C51" s="376" t="str" cm="1">
        <f t="array" ref="C51">IF($B51="","",INDEX($AG$72:$AG$430,$K51))</f>
        <v/>
      </c>
      <c r="D51" s="377" t="str" cm="1">
        <f t="array" ref="D51">IF($B51="","",INDEX($AH$72:$AH$430,$K51))</f>
        <v/>
      </c>
      <c r="E51" s="378" t="str">
        <f t="shared" si="0"/>
        <v/>
      </c>
      <c r="F51" s="379" t="str" cm="1">
        <f t="array" ref="F51">IF($B51="","",IF(UPPER(TRIM($D51))="QT. SUFFISANTE","Qt. suffisante",IF($N51="","",IF($L51="MASSE",IF($N51&gt;=1,"Kg","g"),IF($L51="VOLUME",IF($N51&gt;=1,"L","cl"),INDEX($AL$72:$AL$430,$K51))))))</f>
        <v/>
      </c>
      <c r="G51" s="380" t="str">
        <f t="shared" si="1"/>
        <v/>
      </c>
      <c r="H51" s="381" t="str" cm="1">
        <f t="array" ref="H51">IF($B51="","",IF(UPPER(TRIM($D51))="QT. SUFFISANTE","Qt. suffisante",IF($O51="","",IF($L51="MASSE",IF($O51&gt;=1,"Kg","g"),IF($L51="VOLUME",IF($O51&gt;=1,"L","cl"),INDEX($AL$72:$AL$430,$K51))))))</f>
        <v/>
      </c>
      <c r="I51" s="382" t="str" cm="1">
        <f t="array" ref="I51">IF($B51="","",INDEX($AM$72:$AM$430,$K51))</f>
        <v/>
      </c>
      <c r="J51" s="271"/>
      <c r="K51" s="383">
        <f>1+($B$5-1)*36+29</f>
        <v>102</v>
      </c>
      <c r="L51" s="383" t="str" cm="1">
        <f t="array" ref="L51">IF($B51="","",INDEX($AI$72:$AI$430,$K51))</f>
        <v/>
      </c>
      <c r="M51" s="383" t="str" cm="1">
        <f t="array" ref="M51">IF($B51="","",INDEX($AJ$72:$AJ$430,$K51))</f>
        <v/>
      </c>
      <c r="N51" s="384" t="str" cm="1">
        <f t="array" ref="N51">IF(OR($B51="",$B$13="",$B$12="",$B$12=0),"",IF($L$22="AUTRE",IFERROR(INDEX($AK$72:$AK$430,$K51)*($B$13/$B$12),""),IF(OR($C$12="",$C$13=""),"",IFERROR(INDEX($AK$72:$AK$430,$K51)*(($B$13*VLOOKUP($C$13,$AY$74:$BA$119,3,FALSE))/($B$12*VLOOKUP($C$12,$AY$74:$BA$119,3,FALSE))),""))))</f>
        <v/>
      </c>
      <c r="O51" s="384" t="str" cm="1">
        <f t="array" ref="O51">IF(OR($B51="",$G$12="",$G$11="",$G$11=0),"",IFERROR(INDEX($AK$72:$AK$430,$K51)*($G$12/$G$11),""))</f>
        <v/>
      </c>
      <c r="U51" s="156"/>
      <c r="V51" s="156"/>
      <c r="W51" s="156"/>
      <c r="X51" s="156"/>
      <c r="Y51" s="156"/>
      <c r="Z51" s="156"/>
      <c r="AA51" s="156"/>
      <c r="AY51" s="31" t="s">
        <v>25</v>
      </c>
      <c r="AZ51" s="417" t="s">
        <v>37</v>
      </c>
      <c r="BA51" s="418">
        <v>0.22500000000000001</v>
      </c>
      <c r="BB51" s="419" t="s">
        <v>9</v>
      </c>
      <c r="BC51" s="271"/>
      <c r="BD51" s="279">
        <v>1</v>
      </c>
      <c r="BE51" s="271"/>
      <c r="BF51" s="271"/>
      <c r="BG51" s="271"/>
    </row>
    <row r="52" spans="1:64" ht="21" customHeight="1" x14ac:dyDescent="0.25">
      <c r="A52" s="374" t="str">
        <f>IF($B52="","",30)</f>
        <v/>
      </c>
      <c r="B52" s="375" t="str" cm="1">
        <f t="array" ref="B52">IFERROR(IF(INDEX($AC$72:$AC$430,$K52)="","",INDEX($AC$72:$AC$430,$K52)),"")</f>
        <v/>
      </c>
      <c r="C52" s="376" t="str" cm="1">
        <f t="array" ref="C52">IF($B52="","",INDEX($AG$72:$AG$430,$K52))</f>
        <v/>
      </c>
      <c r="D52" s="377" t="str" cm="1">
        <f t="array" ref="D52">IF($B52="","",INDEX($AH$72:$AH$430,$K52))</f>
        <v/>
      </c>
      <c r="E52" s="378" t="str">
        <f t="shared" si="0"/>
        <v/>
      </c>
      <c r="F52" s="379" t="str" cm="1">
        <f t="array" ref="F52">IF($B52="","",IF(UPPER(TRIM($D52))="QT. SUFFISANTE","Qt. suffisante",IF($N52="","",IF($L52="MASSE",IF($N52&gt;=1,"Kg","g"),IF($L52="VOLUME",IF($N52&gt;=1,"L","cl"),INDEX($AL$72:$AL$430,$K52))))))</f>
        <v/>
      </c>
      <c r="G52" s="380" t="str">
        <f t="shared" si="1"/>
        <v/>
      </c>
      <c r="H52" s="381" t="str" cm="1">
        <f t="array" ref="H52">IF($B52="","",IF(UPPER(TRIM($D52))="QT. SUFFISANTE","Qt. suffisante",IF($O52="","",IF($L52="MASSE",IF($O52&gt;=1,"Kg","g"),IF($L52="VOLUME",IF($O52&gt;=1,"L","cl"),INDEX($AL$72:$AL$430,$K52))))))</f>
        <v/>
      </c>
      <c r="I52" s="382" t="str" cm="1">
        <f t="array" ref="I52">IF($B52="","",INDEX($AM$72:$AM$430,$K52))</f>
        <v/>
      </c>
      <c r="J52" s="271"/>
      <c r="K52" s="383">
        <f>1+($B$5-1)*36+30</f>
        <v>103</v>
      </c>
      <c r="L52" s="383" t="str" cm="1">
        <f t="array" ref="L52">IF($B52="","",INDEX($AI$72:$AI$430,$K52))</f>
        <v/>
      </c>
      <c r="M52" s="383" t="str" cm="1">
        <f t="array" ref="M52">IF($B52="","",INDEX($AJ$72:$AJ$430,$K52))</f>
        <v/>
      </c>
      <c r="N52" s="384" t="str" cm="1">
        <f t="array" ref="N52">IF(OR($B52="",$B$13="",$B$12="",$B$12=0),"",IF($L$22="AUTRE",IFERROR(INDEX($AK$72:$AK$430,$K52)*($B$13/$B$12),""),IF(OR($C$12="",$C$13=""),"",IFERROR(INDEX($AK$72:$AK$430,$K52)*(($B$13*VLOOKUP($C$13,$AY$74:$BA$119,3,FALSE))/($B$12*VLOOKUP($C$12,$AY$74:$BA$119,3,FALSE))),""))))</f>
        <v/>
      </c>
      <c r="O52" s="384" t="str" cm="1">
        <f t="array" ref="O52">IF(OR($B52="",$G$12="",$G$11="",$G$11=0),"",IFERROR(INDEX($AK$72:$AK$430,$K52)*($G$12/$G$11),""))</f>
        <v/>
      </c>
      <c r="U52" s="156"/>
      <c r="V52" s="156"/>
      <c r="W52" s="156"/>
      <c r="X52" s="156"/>
      <c r="Y52" s="156"/>
      <c r="Z52" s="156"/>
      <c r="AA52" s="156"/>
      <c r="AY52" s="31" t="s">
        <v>26</v>
      </c>
      <c r="AZ52" s="417" t="s">
        <v>37</v>
      </c>
      <c r="BA52" s="418">
        <v>0.35</v>
      </c>
      <c r="BB52" s="419" t="s">
        <v>9</v>
      </c>
      <c r="BC52" s="271"/>
      <c r="BD52" s="279">
        <v>1</v>
      </c>
      <c r="BE52" s="271"/>
      <c r="BF52" s="271"/>
      <c r="BG52" s="271"/>
    </row>
    <row r="53" spans="1:64" ht="21" customHeight="1" x14ac:dyDescent="0.25">
      <c r="A53" s="374" t="str">
        <f>IF($B53="","",31)</f>
        <v/>
      </c>
      <c r="B53" s="375" t="str" cm="1">
        <f t="array" ref="B53">IFERROR(IF(INDEX($AC$72:$AC$430,$K53)="","",INDEX($AC$72:$AC$430,$K53)),"")</f>
        <v/>
      </c>
      <c r="C53" s="376" t="str" cm="1">
        <f t="array" ref="C53">IF($B53="","",INDEX($AG$72:$AG$430,$K53))</f>
        <v/>
      </c>
      <c r="D53" s="377" t="str" cm="1">
        <f t="array" ref="D53">IF($B53="","",INDEX($AH$72:$AH$430,$K53))</f>
        <v/>
      </c>
      <c r="E53" s="378" t="str">
        <f t="shared" si="0"/>
        <v/>
      </c>
      <c r="F53" s="379" t="str" cm="1">
        <f t="array" ref="F53">IF($B53="","",IF(UPPER(TRIM($D53))="QT. SUFFISANTE","Qt. suffisante",IF($N53="","",IF($L53="MASSE",IF($N53&gt;=1,"Kg","g"),IF($L53="VOLUME",IF($N53&gt;=1,"L","cl"),INDEX($AL$72:$AL$430,$K53))))))</f>
        <v/>
      </c>
      <c r="G53" s="380" t="str">
        <f t="shared" si="1"/>
        <v/>
      </c>
      <c r="H53" s="381" t="str" cm="1">
        <f t="array" ref="H53">IF($B53="","",IF(UPPER(TRIM($D53))="QT. SUFFISANTE","Qt. suffisante",IF($O53="","",IF($L53="MASSE",IF($O53&gt;=1,"Kg","g"),IF($L53="VOLUME",IF($O53&gt;=1,"L","cl"),INDEX($AL$72:$AL$430,$K53))))))</f>
        <v/>
      </c>
      <c r="I53" s="382" t="str" cm="1">
        <f t="array" ref="I53">IF($B53="","",INDEX($AM$72:$AM$430,$K53))</f>
        <v/>
      </c>
      <c r="J53" s="271"/>
      <c r="K53" s="383">
        <f>1+($B$5-1)*36+31</f>
        <v>104</v>
      </c>
      <c r="L53" s="383" t="str" cm="1">
        <f t="array" ref="L53">IF($B53="","",INDEX($AI$72:$AI$430,$K53))</f>
        <v/>
      </c>
      <c r="M53" s="383" t="str" cm="1">
        <f t="array" ref="M53">IF($B53="","",INDEX($AJ$72:$AJ$430,$K53))</f>
        <v/>
      </c>
      <c r="N53" s="384" t="str" cm="1">
        <f t="array" ref="N53">IF(OR($B53="",$B$13="",$B$12="",$B$12=0),"",IF($L$22="AUTRE",IFERROR(INDEX($AK$72:$AK$430,$K53)*($B$13/$B$12),""),IF(OR($C$12="",$C$13=""),"",IFERROR(INDEX($AK$72:$AK$430,$K53)*(($B$13*VLOOKUP($C$13,$AY$74:$BA$119,3,FALSE))/($B$12*VLOOKUP($C$12,$AY$74:$BA$119,3,FALSE))),""))))</f>
        <v/>
      </c>
      <c r="O53" s="384" t="str" cm="1">
        <f t="array" ref="O53">IF(OR($B53="",$G$12="",$G$11="",$G$11=0),"",IFERROR(INDEX($AK$72:$AK$430,$K53)*($G$12/$G$11),""))</f>
        <v/>
      </c>
      <c r="U53" s="420" t="s">
        <v>7905</v>
      </c>
      <c r="V53" s="421"/>
      <c r="W53" s="421" t="s">
        <v>8085</v>
      </c>
      <c r="X53" s="421"/>
      <c r="Y53" s="421"/>
      <c r="Z53" s="421"/>
      <c r="AA53" s="421"/>
      <c r="AY53" s="31" t="s">
        <v>31</v>
      </c>
      <c r="AZ53" s="417" t="s">
        <v>37</v>
      </c>
      <c r="BA53" s="418">
        <v>0.22500000000000001</v>
      </c>
      <c r="BB53" s="419" t="s">
        <v>9</v>
      </c>
      <c r="BC53" s="271"/>
      <c r="BD53" s="279">
        <v>1</v>
      </c>
      <c r="BE53" s="271"/>
      <c r="BF53" s="271"/>
      <c r="BG53" s="271"/>
    </row>
    <row r="54" spans="1:64" ht="21" customHeight="1" x14ac:dyDescent="0.25">
      <c r="A54" s="374" t="str">
        <f>IF($B54="","",32)</f>
        <v/>
      </c>
      <c r="B54" s="375" t="str" cm="1">
        <f t="array" ref="B54">IFERROR(IF(INDEX($AC$72:$AC$430,$K54)="","",INDEX($AC$72:$AC$430,$K54)),"")</f>
        <v/>
      </c>
      <c r="C54" s="376" t="str" cm="1">
        <f t="array" ref="C54">IF($B54="","",INDEX($AG$72:$AG$430,$K54))</f>
        <v/>
      </c>
      <c r="D54" s="377" t="str" cm="1">
        <f t="array" ref="D54">IF($B54="","",INDEX($AH$72:$AH$430,$K54))</f>
        <v/>
      </c>
      <c r="E54" s="378" t="str">
        <f t="shared" si="0"/>
        <v/>
      </c>
      <c r="F54" s="379" t="str" cm="1">
        <f t="array" ref="F54">IF($B54="","",IF(UPPER(TRIM($D54))="QT. SUFFISANTE","Qt. suffisante",IF($N54="","",IF($L54="MASSE",IF($N54&gt;=1,"Kg","g"),IF($L54="VOLUME",IF($N54&gt;=1,"L","cl"),INDEX($AL$72:$AL$430,$K54))))))</f>
        <v/>
      </c>
      <c r="G54" s="380" t="str">
        <f t="shared" si="1"/>
        <v/>
      </c>
      <c r="H54" s="381" t="str" cm="1">
        <f t="array" ref="H54">IF($B54="","",IF(UPPER(TRIM($D54))="QT. SUFFISANTE","Qt. suffisante",IF($O54="","",IF($L54="MASSE",IF($O54&gt;=1,"Kg","g"),IF($L54="VOLUME",IF($O54&gt;=1,"L","cl"),INDEX($AL$72:$AL$430,$K54))))))</f>
        <v/>
      </c>
      <c r="I54" s="382" t="str" cm="1">
        <f t="array" ref="I54">IF($B54="","",INDEX($AM$72:$AM$430,$K54))</f>
        <v/>
      </c>
      <c r="J54" s="271"/>
      <c r="K54" s="383">
        <f>1+($B$5-1)*36+32</f>
        <v>105</v>
      </c>
      <c r="L54" s="383" t="str" cm="1">
        <f t="array" ref="L54">IF($B54="","",INDEX($AI$72:$AI$430,$K54))</f>
        <v/>
      </c>
      <c r="M54" s="383" t="str" cm="1">
        <f t="array" ref="M54">IF($B54="","",INDEX($AJ$72:$AJ$430,$K54))</f>
        <v/>
      </c>
      <c r="N54" s="384" t="str" cm="1">
        <f t="array" ref="N54">IF(OR($B54="",$B$13="",$B$12="",$B$12=0),"",IF($L$22="AUTRE",IFERROR(INDEX($AK$72:$AK$430,$K54)*($B$13/$B$12),""),IF(OR($C$12="",$C$13=""),"",IFERROR(INDEX($AK$72:$AK$430,$K54)*(($B$13*VLOOKUP($C$13,$AY$74:$BA$119,3,FALSE))/($B$12*VLOOKUP($C$12,$AY$74:$BA$119,3,FALSE))),""))))</f>
        <v/>
      </c>
      <c r="O54" s="384" t="str" cm="1">
        <f t="array" ref="O54">IF(OR($B54="",$G$12="",$G$11="",$G$11=0),"",IFERROR(INDEX($AK$72:$AK$430,$K54)*($G$12/$G$11),""))</f>
        <v/>
      </c>
      <c r="U54" s="422" t="s">
        <v>7915</v>
      </c>
      <c r="V54" s="423" t="s">
        <v>8086</v>
      </c>
      <c r="W54" s="156"/>
      <c r="X54" s="156"/>
      <c r="Y54" s="156"/>
      <c r="Z54" s="156"/>
      <c r="AA54" s="156"/>
      <c r="AN54" s="424" t="s">
        <v>8087</v>
      </c>
      <c r="BD54" s="279">
        <v>1</v>
      </c>
    </row>
    <row r="55" spans="1:64" ht="21" customHeight="1" x14ac:dyDescent="0.25">
      <c r="A55" s="374">
        <f>IF($B55="","",33)</f>
        <v>33</v>
      </c>
      <c r="B55" s="375" t="str" cm="1">
        <f t="array" ref="B55">IFERROR(IF(INDEX($AC$72:$AC$430,$K55)="","",INDEX($AC$72:$AC$430,$K55)),"")</f>
        <v>bac(s) GN 1/1 H 200 en polycarbonate</v>
      </c>
      <c r="C55" s="376" cm="1">
        <f t="array" ref="C55">IF($B55="","",INDEX($AG$72:$AG$430,$K55))</f>
        <v>1</v>
      </c>
      <c r="D55" s="377" t="str" cm="1">
        <f t="array" ref="D55">IF($B55="","",INDEX($AH$72:$AH$430,$K55))</f>
        <v>BAC(S)</v>
      </c>
      <c r="E55" s="378">
        <f t="shared" si="0"/>
        <v>3</v>
      </c>
      <c r="F55" s="379" t="str" cm="1">
        <f t="array" ref="F55">IF($B55="","",IF(UPPER(TRIM($D55))="QT. SUFFISANTE","Qt. suffisante",IF($N55="","",IF($L55="MASSE",IF($N55&gt;=1,"Kg","g"),IF($L55="VOLUME",IF($N55&gt;=1,"L","cl"),INDEX($AL$72:$AL$430,$K55))))))</f>
        <v>bac(s)</v>
      </c>
      <c r="G55" s="380">
        <f t="shared" si="1"/>
        <v>2</v>
      </c>
      <c r="H55" s="381" t="str" cm="1">
        <f t="array" ref="H55">IF($B55="","",IF(UPPER(TRIM($D55))="QT. SUFFISANTE","Qt. suffisante",IF($O55="","",IF($L55="MASSE",IF($O55&gt;=1,"Kg","g"),IF($L55="VOLUME",IF($O55&gt;=1,"L","cl"),INDEX($AL$72:$AL$430,$K55))))))</f>
        <v>bac(s)</v>
      </c>
      <c r="I55" s="382" t="str" cm="1">
        <f t="array" ref="I55">IF($B55="","",INDEX($AM$72:$AM$430,$K55))</f>
        <v>OK</v>
      </c>
      <c r="J55" s="271"/>
      <c r="K55" s="383">
        <f>1+($B$5-1)*36+33</f>
        <v>106</v>
      </c>
      <c r="L55" s="383" t="str" cm="1">
        <f t="array" ref="L55">IF($B55="","",INDEX($AI$72:$AI$430,$K55))</f>
        <v>AUTRE</v>
      </c>
      <c r="M55" s="383" cm="1">
        <f t="array" ref="M55">IF($B55="","",INDEX($AJ$72:$AJ$430,$K55))</f>
        <v>1</v>
      </c>
      <c r="N55" s="384" cm="1">
        <f t="array" ref="N55">IF(OR($B55="",$B$13="",$B$12="",$B$12=0),"",IF($L$22="AUTRE",IFERROR(INDEX($AK$72:$AK$430,$K55)*($B$13/$B$12),""),IF(OR($C$12="",$C$13=""),"",IFERROR(INDEX($AK$72:$AK$430,$K55)*(($B$13*VLOOKUP($C$13,$AY$74:$BA$119,3,FALSE))/($B$12*VLOOKUP($C$12,$AY$74:$BA$119,3,FALSE))),""))))</f>
        <v>2.7586206896551726</v>
      </c>
      <c r="O55" s="384" cm="1">
        <f t="array" ref="O55">IF(OR($B55="",$G$12="",$G$11="",$G$11=0),"",IFERROR(INDEX($AK$72:$AK$430,$K55)*($G$12/$G$11),""))</f>
        <v>2</v>
      </c>
      <c r="U55" s="422" t="s">
        <v>7918</v>
      </c>
      <c r="V55" s="423" t="s">
        <v>8088</v>
      </c>
      <c r="W55" s="156"/>
      <c r="X55" s="156"/>
      <c r="Y55" s="156"/>
      <c r="Z55" s="156"/>
      <c r="AA55" s="156"/>
      <c r="AN55" s="659" t="s">
        <v>8089</v>
      </c>
      <c r="AO55" s="659"/>
      <c r="AP55" s="659"/>
      <c r="AQ55" s="659"/>
      <c r="AR55" s="659"/>
      <c r="AS55" s="659"/>
      <c r="AT55" s="659"/>
      <c r="AU55" s="659"/>
      <c r="AV55" s="659"/>
      <c r="AW55" s="659"/>
      <c r="AX55" s="659"/>
      <c r="AY55" s="659"/>
      <c r="AZ55" s="659"/>
      <c r="BA55" s="659"/>
      <c r="BB55" s="659"/>
      <c r="BD55" s="279">
        <v>1</v>
      </c>
    </row>
    <row r="56" spans="1:64" ht="21" customHeight="1" x14ac:dyDescent="0.25">
      <c r="A56" s="374">
        <f>IF($B56="","",34)</f>
        <v>34</v>
      </c>
      <c r="B56" s="375" t="str" cm="1">
        <f t="array" ref="B56">IFERROR(IF(INDEX($AC$72:$AC$430,$K56)="","",INDEX($AC$72:$AC$430,$K56)),"")</f>
        <v>grille(s) de cuisson GN 1/1</v>
      </c>
      <c r="C56" s="376" cm="1">
        <f t="array" ref="C56">IF($B56="","",INDEX($AG$72:$AG$430,$K56))</f>
        <v>6</v>
      </c>
      <c r="D56" s="377" t="str" cm="1">
        <f t="array" ref="D56">IF($B56="","",INDEX($AH$72:$AH$430,$K56))</f>
        <v>GRILLE(S)</v>
      </c>
      <c r="E56" s="378">
        <f t="shared" si="0"/>
        <v>17</v>
      </c>
      <c r="F56" s="379" t="str" cm="1">
        <f t="array" ref="F56">IF($B56="","",IF(UPPER(TRIM($D56))="QT. SUFFISANTE","Qt. suffisante",IF($N56="","",IF($L56="MASSE",IF($N56&gt;=1,"Kg","g"),IF($L56="VOLUME",IF($N56&gt;=1,"L","cl"),INDEX($AL$72:$AL$430,$K56))))))</f>
        <v>grille(s)</v>
      </c>
      <c r="G56" s="380">
        <f t="shared" si="1"/>
        <v>12</v>
      </c>
      <c r="H56" s="381" t="str" cm="1">
        <f t="array" ref="H56">IF($B56="","",IF(UPPER(TRIM($D56))="QT. SUFFISANTE","Qt. suffisante",IF($O56="","",IF($L56="MASSE",IF($O56&gt;=1,"Kg","g"),IF($L56="VOLUME",IF($O56&gt;=1,"L","cl"),INDEX($AL$72:$AL$430,$K56))))))</f>
        <v>grille(s)</v>
      </c>
      <c r="I56" s="382" t="str" cm="1">
        <f t="array" ref="I56">IF($B56="","",INDEX($AM$72:$AM$430,$K56))</f>
        <v>OK</v>
      </c>
      <c r="J56" s="271"/>
      <c r="K56" s="383">
        <f>1+($B$5-1)*36+34</f>
        <v>107</v>
      </c>
      <c r="L56" s="383" t="str" cm="1">
        <f t="array" ref="L56">IF($B56="","",INDEX($AI$72:$AI$430,$K56))</f>
        <v>AUTRE</v>
      </c>
      <c r="M56" s="383" cm="1">
        <f t="array" ref="M56">IF($B56="","",INDEX($AJ$72:$AJ$430,$K56))</f>
        <v>1</v>
      </c>
      <c r="N56" s="384" cm="1">
        <f t="array" ref="N56">IF(OR($B56="",$B$13="",$B$12="",$B$12=0),"",IF($L$22="AUTRE",IFERROR(INDEX($AK$72:$AK$430,$K56)*($B$13/$B$12),""),IF(OR($C$12="",$C$13=""),"",IFERROR(INDEX($AK$72:$AK$430,$K56)*(($B$13*VLOOKUP($C$13,$AY$74:$BA$119,3,FALSE))/($B$12*VLOOKUP($C$12,$AY$74:$BA$119,3,FALSE))),""))))</f>
        <v>16.551724137931036</v>
      </c>
      <c r="O56" s="384" cm="1">
        <f t="array" ref="O56">IF(OR($B56="",$G$12="",$G$11="",$G$11=0),"",IFERROR(INDEX($AK$72:$AK$430,$K56)*($G$12/$G$11),""))</f>
        <v>12</v>
      </c>
      <c r="U56" s="422" t="s">
        <v>7922</v>
      </c>
      <c r="V56" s="423" t="s">
        <v>8090</v>
      </c>
      <c r="W56" s="156"/>
      <c r="X56" s="156"/>
      <c r="Y56" s="156"/>
      <c r="Z56" s="156"/>
      <c r="AA56" s="156"/>
      <c r="AN56" s="659"/>
      <c r="AO56" s="659"/>
      <c r="AP56" s="659"/>
      <c r="AQ56" s="659"/>
      <c r="AR56" s="659"/>
      <c r="AS56" s="659"/>
      <c r="AT56" s="659"/>
      <c r="AU56" s="659"/>
      <c r="AV56" s="659"/>
      <c r="AW56" s="659"/>
      <c r="AX56" s="659"/>
      <c r="AY56" s="659"/>
      <c r="AZ56" s="659"/>
      <c r="BA56" s="659"/>
      <c r="BB56" s="659"/>
      <c r="BD56" s="279">
        <v>1</v>
      </c>
    </row>
    <row r="57" spans="1:64" ht="21" customHeight="1" x14ac:dyDescent="0.25">
      <c r="A57" s="284"/>
      <c r="B57" s="425"/>
      <c r="C57" s="426"/>
      <c r="D57" s="426"/>
      <c r="E57" s="427"/>
      <c r="F57" s="427"/>
      <c r="G57" s="427"/>
      <c r="H57" s="427"/>
      <c r="I57" s="284"/>
      <c r="J57" s="271"/>
      <c r="U57" s="422" t="s">
        <v>7926</v>
      </c>
      <c r="V57" s="423" t="s">
        <v>8091</v>
      </c>
      <c r="W57" s="156"/>
      <c r="X57" s="156"/>
      <c r="Y57" s="156"/>
      <c r="Z57" s="156"/>
      <c r="AA57" s="156"/>
      <c r="AN57" s="659"/>
      <c r="AO57" s="659"/>
      <c r="AP57" s="659"/>
      <c r="AQ57" s="659"/>
      <c r="AR57" s="659"/>
      <c r="AS57" s="659"/>
      <c r="AT57" s="659"/>
      <c r="AU57" s="659"/>
      <c r="AV57" s="659"/>
      <c r="AW57" s="659"/>
      <c r="AX57" s="659"/>
      <c r="AY57" s="659"/>
      <c r="AZ57" s="659"/>
      <c r="BA57" s="659"/>
      <c r="BB57" s="659"/>
      <c r="BD57" s="279">
        <v>1</v>
      </c>
      <c r="BI57" s="271"/>
      <c r="BJ57" s="271"/>
      <c r="BK57" s="271"/>
      <c r="BL57" s="271"/>
    </row>
    <row r="58" spans="1:64" ht="21" customHeight="1" x14ac:dyDescent="0.25">
      <c r="A58" s="661" t="s">
        <v>8092</v>
      </c>
      <c r="B58" s="662"/>
      <c r="C58" s="662"/>
      <c r="D58" s="662"/>
      <c r="E58" s="662"/>
      <c r="F58" s="662"/>
      <c r="G58" s="662"/>
      <c r="H58" s="662"/>
      <c r="I58" s="663"/>
      <c r="J58" s="271"/>
      <c r="U58" s="422" t="s">
        <v>7931</v>
      </c>
      <c r="V58" s="423" t="s">
        <v>8093</v>
      </c>
      <c r="W58" s="156"/>
      <c r="X58" s="156"/>
      <c r="Y58" s="156"/>
      <c r="Z58" s="156"/>
      <c r="AA58" s="156"/>
      <c r="AN58" s="659"/>
      <c r="AO58" s="659"/>
      <c r="AP58" s="659"/>
      <c r="AQ58" s="659"/>
      <c r="AR58" s="659"/>
      <c r="AS58" s="659"/>
      <c r="AT58" s="659"/>
      <c r="AU58" s="659"/>
      <c r="AV58" s="659"/>
      <c r="AW58" s="659"/>
      <c r="AX58" s="659"/>
      <c r="AY58" s="659"/>
      <c r="AZ58" s="659"/>
      <c r="BA58" s="659"/>
      <c r="BB58" s="659"/>
      <c r="BD58" s="279">
        <v>1</v>
      </c>
      <c r="BI58" s="271"/>
      <c r="BJ58" s="271"/>
      <c r="BK58" s="271"/>
      <c r="BL58" s="271"/>
    </row>
    <row r="59" spans="1:64" ht="21" customHeight="1" x14ac:dyDescent="0.25">
      <c r="A59" s="284"/>
      <c r="B59" s="284"/>
      <c r="C59" s="284"/>
      <c r="D59" s="284"/>
      <c r="E59" s="284"/>
      <c r="F59" s="284"/>
      <c r="G59" s="284"/>
      <c r="H59" s="284"/>
      <c r="I59" s="284"/>
      <c r="J59" s="271"/>
      <c r="U59" s="422" t="s">
        <v>7938</v>
      </c>
      <c r="V59" s="423" t="s">
        <v>8094</v>
      </c>
      <c r="W59" s="156"/>
      <c r="X59" s="156"/>
      <c r="Y59" s="156"/>
      <c r="Z59" s="156"/>
      <c r="AA59" s="156"/>
      <c r="AN59" s="659"/>
      <c r="AO59" s="659"/>
      <c r="AP59" s="659"/>
      <c r="AQ59" s="659"/>
      <c r="AR59" s="659"/>
      <c r="AS59" s="659"/>
      <c r="AT59" s="659"/>
      <c r="AU59" s="659"/>
      <c r="AV59" s="659"/>
      <c r="AW59" s="659"/>
      <c r="AX59" s="659"/>
      <c r="AY59" s="659"/>
      <c r="AZ59" s="659"/>
      <c r="BA59" s="659"/>
      <c r="BB59" s="659"/>
      <c r="BD59" s="279">
        <v>1</v>
      </c>
      <c r="BI59" s="271"/>
      <c r="BJ59" s="271"/>
      <c r="BK59" s="271"/>
      <c r="BL59" s="271"/>
    </row>
    <row r="60" spans="1:64" ht="21" customHeight="1" x14ac:dyDescent="0.25">
      <c r="A60" s="664" t="s">
        <v>8095</v>
      </c>
      <c r="B60" s="665"/>
      <c r="C60" s="665"/>
      <c r="D60" s="665"/>
      <c r="E60" s="665"/>
      <c r="F60" s="665"/>
      <c r="G60" s="665"/>
      <c r="H60" s="665"/>
      <c r="I60" s="666"/>
      <c r="J60" s="271"/>
      <c r="U60" s="422" t="s">
        <v>7946</v>
      </c>
      <c r="V60" s="423" t="s">
        <v>8096</v>
      </c>
      <c r="W60" s="156"/>
      <c r="X60" s="156"/>
      <c r="Y60" s="156"/>
      <c r="Z60" s="156"/>
      <c r="AA60" s="156"/>
      <c r="AN60" s="659"/>
      <c r="AO60" s="659"/>
      <c r="AP60" s="659"/>
      <c r="AQ60" s="659"/>
      <c r="AR60" s="659"/>
      <c r="AS60" s="659"/>
      <c r="AT60" s="659"/>
      <c r="AU60" s="659"/>
      <c r="AV60" s="659"/>
      <c r="AW60" s="659"/>
      <c r="AX60" s="659"/>
      <c r="AY60" s="659"/>
      <c r="AZ60" s="659"/>
      <c r="BA60" s="659"/>
      <c r="BB60" s="659"/>
      <c r="BD60" s="279">
        <v>1</v>
      </c>
      <c r="BI60" s="271"/>
      <c r="BJ60" s="271"/>
      <c r="BK60" s="271"/>
      <c r="BL60" s="271"/>
    </row>
    <row r="61" spans="1:64" ht="21" customHeight="1" x14ac:dyDescent="0.25">
      <c r="A61" s="428"/>
      <c r="B61" s="667" t="s">
        <v>8097</v>
      </c>
      <c r="C61" s="667"/>
      <c r="D61" s="667"/>
      <c r="E61" s="667"/>
      <c r="F61" s="667"/>
      <c r="G61" s="667"/>
      <c r="H61" s="667"/>
      <c r="I61" s="668"/>
      <c r="J61" s="271"/>
      <c r="U61" s="422" t="s">
        <v>7951</v>
      </c>
      <c r="V61" s="423" t="s">
        <v>8098</v>
      </c>
      <c r="W61" s="156"/>
      <c r="X61" s="156"/>
      <c r="Y61" s="156"/>
      <c r="Z61" s="156"/>
      <c r="AA61" s="156"/>
      <c r="AN61" s="659"/>
      <c r="AO61" s="659"/>
      <c r="AP61" s="659"/>
      <c r="AQ61" s="659"/>
      <c r="AR61" s="659"/>
      <c r="AS61" s="659"/>
      <c r="AT61" s="659"/>
      <c r="AU61" s="659"/>
      <c r="AV61" s="659"/>
      <c r="AW61" s="659"/>
      <c r="AX61" s="659"/>
      <c r="AY61" s="659"/>
      <c r="AZ61" s="659"/>
      <c r="BA61" s="659"/>
      <c r="BB61" s="659"/>
      <c r="BD61" s="279">
        <v>1</v>
      </c>
      <c r="BI61" s="271"/>
      <c r="BJ61" s="271"/>
      <c r="BK61" s="271"/>
      <c r="BL61" s="271"/>
    </row>
    <row r="62" spans="1:64" ht="21" customHeight="1" x14ac:dyDescent="0.25">
      <c r="A62" s="429"/>
      <c r="B62" s="669"/>
      <c r="C62" s="669"/>
      <c r="D62" s="669"/>
      <c r="E62" s="669"/>
      <c r="F62" s="669"/>
      <c r="G62" s="669"/>
      <c r="H62" s="669"/>
      <c r="I62" s="670"/>
      <c r="J62" s="271"/>
      <c r="U62" s="422" t="s">
        <v>7975</v>
      </c>
      <c r="V62" s="430" t="s">
        <v>8099</v>
      </c>
      <c r="W62" s="156"/>
      <c r="X62" s="156"/>
      <c r="Y62" s="156"/>
      <c r="Z62" s="156"/>
      <c r="AA62" s="156"/>
      <c r="AN62" s="659"/>
      <c r="AO62" s="659"/>
      <c r="AP62" s="659"/>
      <c r="AQ62" s="659"/>
      <c r="AR62" s="659"/>
      <c r="AS62" s="659"/>
      <c r="AT62" s="659"/>
      <c r="AU62" s="659"/>
      <c r="AV62" s="659"/>
      <c r="AW62" s="659"/>
      <c r="AX62" s="659"/>
      <c r="AY62" s="659"/>
      <c r="AZ62" s="659"/>
      <c r="BA62" s="659"/>
      <c r="BB62" s="659"/>
      <c r="BD62" s="279">
        <v>1</v>
      </c>
      <c r="BI62" s="271"/>
      <c r="BJ62" s="271"/>
      <c r="BK62" s="271"/>
      <c r="BL62" s="271"/>
    </row>
    <row r="63" spans="1:64" ht="21" customHeight="1" x14ac:dyDescent="0.25">
      <c r="A63" s="431"/>
      <c r="B63" s="671"/>
      <c r="C63" s="671"/>
      <c r="D63" s="671"/>
      <c r="E63" s="671"/>
      <c r="F63" s="671"/>
      <c r="G63" s="671"/>
      <c r="H63" s="671"/>
      <c r="I63" s="672"/>
      <c r="J63" s="271"/>
      <c r="U63" s="422" t="s">
        <v>7995</v>
      </c>
      <c r="V63" s="423" t="s">
        <v>8100</v>
      </c>
      <c r="W63" s="156"/>
      <c r="X63" s="156"/>
      <c r="Y63" s="156"/>
      <c r="Z63" s="156"/>
      <c r="AA63" s="156"/>
      <c r="AN63" s="659"/>
      <c r="AO63" s="659"/>
      <c r="AP63" s="659"/>
      <c r="AQ63" s="659"/>
      <c r="AR63" s="659"/>
      <c r="AS63" s="659"/>
      <c r="AT63" s="659"/>
      <c r="AU63" s="659"/>
      <c r="AV63" s="659"/>
      <c r="AW63" s="659"/>
      <c r="AX63" s="659"/>
      <c r="AY63" s="659"/>
      <c r="AZ63" s="659"/>
      <c r="BA63" s="659"/>
      <c r="BB63" s="659"/>
      <c r="BC63" s="271"/>
      <c r="BD63" s="279">
        <v>1</v>
      </c>
      <c r="BE63" s="271"/>
      <c r="BF63" s="271"/>
      <c r="BG63" s="271"/>
      <c r="BH63" s="271"/>
      <c r="BI63" s="271"/>
      <c r="BJ63" s="271"/>
      <c r="BK63" s="271"/>
      <c r="BL63" s="271"/>
    </row>
    <row r="64" spans="1:64" ht="15.75" customHeight="1" x14ac:dyDescent="0.25">
      <c r="A64" s="432" t="s">
        <v>2</v>
      </c>
      <c r="B64" s="433" t="str" cm="1">
        <f t="array" aca="1" ref="B64" ca="1">CELL("nomfichier")</f>
        <v>D:\Données\1.UPRT\0-UPRT.fait\1-UPRT.FR-SITE-WEB\ff-fiches-fabrications\ff.fiches.fabrication.2023\ffr-restaurant-2026\[02-06-recettes-entrees-cuisine-collective-fiches-techniques.xlsx]H.O.FROIDS.11.à.20</v>
      </c>
      <c r="C64" s="271"/>
      <c r="D64" s="271"/>
      <c r="E64" s="271"/>
      <c r="F64" s="271"/>
      <c r="G64" s="271"/>
      <c r="H64" s="271"/>
      <c r="I64" s="271"/>
      <c r="J64" s="271"/>
      <c r="K64" s="271"/>
      <c r="L64" s="271"/>
      <c r="M64" s="271"/>
      <c r="N64" s="271"/>
      <c r="O64" s="271"/>
      <c r="P64" s="271"/>
      <c r="Q64" s="271"/>
      <c r="R64" s="271"/>
      <c r="S64" s="271"/>
      <c r="U64" s="422" t="s">
        <v>7998</v>
      </c>
      <c r="V64" s="423" t="s">
        <v>8101</v>
      </c>
      <c r="W64" s="156"/>
      <c r="X64" s="156"/>
      <c r="Y64" s="156"/>
      <c r="Z64" s="156"/>
      <c r="AA64" s="156"/>
      <c r="AB64" s="220"/>
      <c r="AC64" s="220"/>
      <c r="AD64" s="220"/>
      <c r="AE64" s="220"/>
      <c r="AF64" s="220"/>
      <c r="AG64" s="220"/>
      <c r="AH64" s="220"/>
      <c r="AI64" s="220"/>
      <c r="AJ64" s="220"/>
      <c r="AK64" s="220"/>
      <c r="AL64" s="220"/>
      <c r="AN64" s="659"/>
      <c r="AO64" s="659"/>
      <c r="AP64" s="659"/>
      <c r="AQ64" s="659"/>
      <c r="AR64" s="659"/>
      <c r="AS64" s="659"/>
      <c r="AT64" s="659"/>
      <c r="AU64" s="659"/>
      <c r="AV64" s="659"/>
      <c r="AW64" s="659"/>
      <c r="AX64" s="659"/>
      <c r="AY64" s="659"/>
      <c r="AZ64" s="659"/>
      <c r="BA64" s="659"/>
      <c r="BB64" s="659"/>
      <c r="BC64" s="271"/>
      <c r="BD64" s="279">
        <v>1</v>
      </c>
      <c r="BE64" s="271"/>
      <c r="BF64" s="271"/>
      <c r="BG64" s="271"/>
      <c r="BH64" s="271"/>
      <c r="BI64" s="271"/>
      <c r="BJ64" s="271"/>
      <c r="BK64" s="271"/>
      <c r="BL64" s="271"/>
    </row>
    <row r="65" spans="1:111" x14ac:dyDescent="0.25">
      <c r="A65" s="271"/>
      <c r="B65" s="271"/>
      <c r="C65" s="271"/>
      <c r="D65" s="271"/>
      <c r="E65" s="271"/>
      <c r="F65" s="271"/>
      <c r="G65" s="271"/>
      <c r="H65" s="271"/>
      <c r="I65" s="271"/>
      <c r="J65" s="271"/>
      <c r="K65" s="271"/>
      <c r="L65" s="271"/>
      <c r="M65" s="271"/>
      <c r="N65" s="271"/>
      <c r="O65" s="271"/>
      <c r="P65" s="271"/>
      <c r="Q65" s="271"/>
      <c r="R65" s="271"/>
      <c r="S65" s="271"/>
      <c r="T65" s="271"/>
      <c r="U65" s="422" t="s">
        <v>8102</v>
      </c>
      <c r="V65" s="434" t="s">
        <v>8103</v>
      </c>
      <c r="W65" s="156"/>
      <c r="X65" s="156"/>
      <c r="Y65" s="156"/>
      <c r="Z65" s="156"/>
      <c r="AA65" s="156"/>
      <c r="AB65" s="220"/>
      <c r="AC65" s="220"/>
      <c r="AD65" s="220"/>
      <c r="AE65" s="220"/>
      <c r="AF65" s="220"/>
      <c r="AG65" s="220"/>
      <c r="AH65" s="220"/>
      <c r="AI65" s="220"/>
      <c r="AJ65" s="220"/>
      <c r="AK65" s="271"/>
      <c r="AL65" s="271"/>
      <c r="AN65" s="659"/>
      <c r="AO65" s="659"/>
      <c r="AP65" s="659"/>
      <c r="AQ65" s="659"/>
      <c r="AR65" s="659"/>
      <c r="AS65" s="659"/>
      <c r="AT65" s="659"/>
      <c r="AU65" s="659"/>
      <c r="AV65" s="659"/>
      <c r="AW65" s="659"/>
      <c r="AX65" s="659"/>
      <c r="AY65" s="659"/>
      <c r="AZ65" s="659"/>
      <c r="BA65" s="659"/>
      <c r="BB65" s="659"/>
      <c r="BC65" s="271"/>
      <c r="BD65" s="279">
        <v>1</v>
      </c>
      <c r="BE65" s="271"/>
      <c r="BF65" s="271"/>
      <c r="BG65" s="271"/>
      <c r="BH65" s="271"/>
      <c r="BI65" s="271"/>
      <c r="BJ65" s="271"/>
      <c r="BK65" s="271"/>
      <c r="BL65" s="271"/>
      <c r="BM65" s="271"/>
      <c r="BN65" s="271"/>
      <c r="BO65" s="271"/>
      <c r="BP65" s="271"/>
      <c r="BQ65" s="271"/>
      <c r="BR65" s="271"/>
      <c r="BS65" s="271"/>
      <c r="BT65" s="271"/>
      <c r="BU65" s="271"/>
      <c r="BV65" s="271"/>
      <c r="BW65" s="271"/>
      <c r="BX65" s="271"/>
      <c r="BY65" s="271"/>
      <c r="BZ65" s="271"/>
      <c r="CA65" s="271"/>
      <c r="CB65" s="271"/>
      <c r="CC65" s="271"/>
      <c r="CD65" s="271"/>
      <c r="CE65" s="271"/>
      <c r="CF65" s="271"/>
      <c r="CG65" s="271"/>
      <c r="CH65" s="271"/>
      <c r="CI65" s="271"/>
      <c r="CJ65" s="271"/>
      <c r="CK65" s="271"/>
      <c r="CL65" s="271"/>
      <c r="CM65" s="271"/>
      <c r="CN65" s="271"/>
      <c r="CO65" s="271"/>
      <c r="CP65" s="271"/>
      <c r="CQ65" s="271"/>
      <c r="CR65" s="271"/>
      <c r="CS65" s="271"/>
      <c r="CT65" s="271"/>
      <c r="CU65" s="271"/>
      <c r="CV65" s="271"/>
      <c r="CW65" s="271"/>
      <c r="CX65" s="271"/>
      <c r="CY65" s="271"/>
      <c r="CZ65" s="271"/>
      <c r="DA65" s="271"/>
      <c r="DB65" s="271"/>
      <c r="DC65" s="271"/>
      <c r="DD65" s="271"/>
      <c r="DE65" s="271"/>
      <c r="DF65" s="271"/>
      <c r="DG65" s="271"/>
    </row>
    <row r="66" spans="1:111" ht="15.75" customHeight="1" x14ac:dyDescent="0.25">
      <c r="U66" s="422" t="s">
        <v>8047</v>
      </c>
      <c r="V66" s="434" t="s">
        <v>8104</v>
      </c>
      <c r="W66" s="435"/>
      <c r="X66" s="435"/>
      <c r="Y66" s="435"/>
      <c r="Z66" s="435"/>
      <c r="AA66" s="435"/>
      <c r="AB66" s="271"/>
      <c r="AC66" s="271"/>
      <c r="AD66" s="220"/>
      <c r="AE66" s="220"/>
      <c r="AF66" s="220"/>
      <c r="AG66" s="220"/>
      <c r="AH66" s="220"/>
      <c r="AI66" s="220"/>
      <c r="AJ66" s="220"/>
      <c r="AK66" s="271"/>
      <c r="AL66" s="271"/>
      <c r="AM66" s="271"/>
      <c r="AN66" s="660" t="s">
        <v>8105</v>
      </c>
      <c r="AO66" s="660"/>
      <c r="AP66" s="660"/>
      <c r="AQ66" s="660"/>
      <c r="AR66" s="660"/>
      <c r="AS66" s="660"/>
      <c r="AT66" s="660"/>
      <c r="AU66" s="660"/>
      <c r="AV66" s="660"/>
      <c r="AW66" s="660"/>
      <c r="AX66" s="660"/>
      <c r="AY66" s="660"/>
      <c r="AZ66" s="660"/>
      <c r="BA66" s="660"/>
      <c r="BB66" s="660"/>
      <c r="BC66" s="271"/>
      <c r="BD66" s="279">
        <v>1</v>
      </c>
      <c r="BE66" s="271"/>
      <c r="BF66" s="271"/>
      <c r="BG66" s="271"/>
      <c r="BH66" s="271"/>
      <c r="BI66" s="271"/>
      <c r="BJ66" s="271"/>
      <c r="BK66" s="271"/>
      <c r="BL66" s="271"/>
    </row>
    <row r="67" spans="1:111" ht="15.75" customHeight="1" x14ac:dyDescent="0.25">
      <c r="U67" s="156"/>
      <c r="V67" s="435"/>
      <c r="W67" s="435"/>
      <c r="X67" s="435"/>
      <c r="Y67" s="435"/>
      <c r="Z67" s="435"/>
      <c r="AA67" s="435"/>
      <c r="AB67" s="655" t="str">
        <f>IF(AND(COUNTIF(AC72:AC430,"*~**")=0,COUNTIF(AC72:AC430,"*~?*")=0),"",IF(COUNTIF(AC72:AC430,"*~**")&gt;0,COUNTIF(AC72:AC430,"*~**")&amp;" allergène"&amp;IF(COUNTIF(AC72:AC430,"*~**")&gt;1,"s","")&amp;" repéré"&amp;IF(COUNTIF(AC72:AC430,"*~**")&gt;1,"s","")&amp;" par *","")&amp;IF(AND(COUNTIF(AC72:AC430,"*~**")&gt;0,COUNTIF(AC72:AC430,"*~?*")&gt;0)," | ","")&amp;IF(COUNTIF(AC72:AC430,"*~?*")&gt;0,COUNTIF(AC72:AC430,"*~?*")&amp;" produit"&amp;IF(COUNTIF(AC72:AC430,"*~?*")&gt;1,"s","")&amp;" à vérifier par ?",""))</f>
        <v>10 allergènes repérés par * | 2 produits à vérifier par ?</v>
      </c>
      <c r="AC67" s="655"/>
      <c r="AD67" s="436" t="s">
        <v>8106</v>
      </c>
      <c r="AE67" s="436"/>
      <c r="AF67" s="436"/>
      <c r="AG67" s="271"/>
      <c r="AH67" s="271"/>
      <c r="AI67" s="271"/>
      <c r="AJ67" s="271"/>
      <c r="AK67" s="271"/>
      <c r="AL67" s="271"/>
      <c r="AM67" s="271"/>
      <c r="AN67" s="660"/>
      <c r="AO67" s="660"/>
      <c r="AP67" s="660"/>
      <c r="AQ67" s="660"/>
      <c r="AR67" s="660"/>
      <c r="AS67" s="660"/>
      <c r="AT67" s="660"/>
      <c r="AU67" s="660"/>
      <c r="AV67" s="660"/>
      <c r="AW67" s="660"/>
      <c r="AX67" s="660"/>
      <c r="AY67" s="660"/>
      <c r="AZ67" s="660"/>
      <c r="BA67" s="660"/>
      <c r="BB67" s="660"/>
      <c r="BC67" s="271"/>
      <c r="BD67" s="279"/>
      <c r="BE67" s="271"/>
      <c r="BF67" s="271"/>
      <c r="BG67" s="271"/>
      <c r="BH67" s="271"/>
      <c r="BI67" s="271"/>
      <c r="BJ67" s="271"/>
      <c r="BK67" s="271"/>
      <c r="BL67" s="271"/>
    </row>
    <row r="68" spans="1:111" ht="15.75" customHeight="1" x14ac:dyDescent="0.25">
      <c r="R68" s="437" t="s">
        <v>8107</v>
      </c>
      <c r="U68" s="156"/>
      <c r="V68" s="435"/>
      <c r="W68" s="435"/>
      <c r="X68" s="435"/>
      <c r="Y68" s="435"/>
      <c r="Z68" s="435"/>
      <c r="AA68" s="435"/>
      <c r="AB68" s="655"/>
      <c r="AC68" s="655"/>
      <c r="AD68" s="436" t="s">
        <v>8108</v>
      </c>
      <c r="AE68" s="436"/>
      <c r="AF68" s="436"/>
      <c r="AG68" s="271"/>
      <c r="AH68" s="271"/>
      <c r="AI68" s="271"/>
      <c r="AJ68" s="271"/>
      <c r="AK68" s="271"/>
      <c r="AL68" s="271"/>
      <c r="AM68" s="271"/>
      <c r="AN68" s="438" t="s">
        <v>8109</v>
      </c>
      <c r="AO68" s="438"/>
      <c r="AP68" s="271"/>
      <c r="BC68" s="271"/>
      <c r="BD68" s="279">
        <v>1</v>
      </c>
      <c r="BE68" s="271"/>
      <c r="BF68" s="271"/>
      <c r="BG68" s="271"/>
      <c r="BH68" s="271"/>
      <c r="BI68" s="271"/>
      <c r="BJ68" s="271"/>
      <c r="BK68" s="271"/>
      <c r="BL68" s="271"/>
    </row>
    <row r="69" spans="1:111" x14ac:dyDescent="0.25">
      <c r="R69" s="422" t="str">
        <f>SUBSTITUTE(ADDRESS(1,COLUMN(),4),"1","")</f>
        <v>R</v>
      </c>
      <c r="T69" s="422" t="str">
        <f>SUBSTITUTE(ADDRESS(1,COLUMN(),4),"1","")</f>
        <v>T</v>
      </c>
      <c r="V69" s="422" t="str">
        <f t="shared" ref="V69:AF69" si="2">SUBSTITUTE(ADDRESS(1,COLUMN(),4),"1","")</f>
        <v>V</v>
      </c>
      <c r="W69" s="422" t="str">
        <f t="shared" si="2"/>
        <v>W</v>
      </c>
      <c r="X69" s="422" t="str">
        <f t="shared" si="2"/>
        <v>X</v>
      </c>
      <c r="Y69" s="422" t="str">
        <f t="shared" si="2"/>
        <v>Y</v>
      </c>
      <c r="Z69" s="422" t="str">
        <f t="shared" si="2"/>
        <v>Z</v>
      </c>
      <c r="AA69" s="422" t="str">
        <f t="shared" si="2"/>
        <v>AA</v>
      </c>
      <c r="AB69" s="422" t="str">
        <f t="shared" si="2"/>
        <v>AB</v>
      </c>
      <c r="AC69" s="422" t="str">
        <f t="shared" si="2"/>
        <v>AC</v>
      </c>
      <c r="AD69" s="422" t="str">
        <f t="shared" si="2"/>
        <v>AD</v>
      </c>
      <c r="AE69" s="422" t="str">
        <f t="shared" si="2"/>
        <v>AE</v>
      </c>
      <c r="AF69" s="422" t="str">
        <f t="shared" si="2"/>
        <v>AF</v>
      </c>
      <c r="AG69" s="395"/>
      <c r="AH69" s="395"/>
      <c r="AI69" s="395"/>
      <c r="AJ69" s="395"/>
      <c r="AK69" s="395"/>
      <c r="AL69" s="395"/>
      <c r="AM69" s="439" t="str">
        <f>SUBSTITUTE(ADDRESS(1,COLUMN(),4),"1","")</f>
        <v>AM</v>
      </c>
      <c r="AN69" s="395" t="str">
        <f>SUBSTITUTE(ADDRESS(1,COLUMN(),4),"1","")</f>
        <v>AN</v>
      </c>
      <c r="AO69" s="395" t="str">
        <f>SUBSTITUTE(ADDRESS(1,COLUMN(),4),"1","")</f>
        <v>AO</v>
      </c>
      <c r="AP69" s="395" t="str">
        <f t="shared" ref="AP69:AU69" si="3">SUBSTITUTE(ADDRESS(1,COLUMN(),4),"1","")</f>
        <v>AP</v>
      </c>
      <c r="AQ69" s="395" t="str">
        <f t="shared" si="3"/>
        <v>AQ</v>
      </c>
      <c r="AR69" s="395" t="str">
        <f t="shared" si="3"/>
        <v>AR</v>
      </c>
      <c r="AS69" s="395" t="str">
        <f t="shared" si="3"/>
        <v>AS</v>
      </c>
      <c r="AT69" s="395" t="str">
        <f t="shared" si="3"/>
        <v>AT</v>
      </c>
      <c r="AU69" s="395" t="str">
        <f t="shared" si="3"/>
        <v>AU</v>
      </c>
      <c r="BC69" s="271"/>
      <c r="BD69" s="279">
        <v>1</v>
      </c>
      <c r="BE69" s="271"/>
      <c r="BF69" s="271"/>
      <c r="BG69" s="271"/>
      <c r="BH69" s="271"/>
      <c r="BI69" s="271"/>
      <c r="BJ69" s="271"/>
      <c r="BK69" s="271"/>
      <c r="BL69" s="271"/>
    </row>
    <row r="70" spans="1:111" ht="35.25" customHeight="1" x14ac:dyDescent="0.25">
      <c r="R70" s="440" t="s">
        <v>484</v>
      </c>
      <c r="T70" s="440" t="s">
        <v>8110</v>
      </c>
      <c r="V70" s="441" t="s">
        <v>8111</v>
      </c>
      <c r="W70" s="442"/>
      <c r="X70" s="442"/>
      <c r="Y70" s="442"/>
      <c r="Z70" s="442"/>
      <c r="AA70" s="442"/>
      <c r="AB70" s="442"/>
      <c r="AC70" s="442"/>
      <c r="AD70" s="443"/>
      <c r="AE70" s="442"/>
      <c r="AF70" s="442"/>
      <c r="AG70" s="444" t="s">
        <v>8112</v>
      </c>
      <c r="AH70" s="445"/>
      <c r="AI70" s="445"/>
      <c r="AJ70" s="445"/>
      <c r="AK70" s="445"/>
      <c r="AL70" s="445"/>
      <c r="AM70" s="446"/>
      <c r="AN70" s="444" t="s">
        <v>8112</v>
      </c>
      <c r="AO70" s="447"/>
      <c r="AP70" s="447"/>
      <c r="AQ70" s="447"/>
      <c r="AR70" s="447"/>
      <c r="AS70" s="447"/>
      <c r="AT70" s="447"/>
      <c r="AU70" s="447"/>
      <c r="AY70" s="448" t="str">
        <f>ADDRESS(ROW(),COLUMN(),4)</f>
        <v>AY70</v>
      </c>
      <c r="AZ70" s="449"/>
      <c r="BA70" s="449"/>
      <c r="BB70" s="450"/>
      <c r="BD70" s="279">
        <v>1</v>
      </c>
      <c r="BG70" s="271"/>
      <c r="BH70" s="271"/>
      <c r="BI70" s="271"/>
      <c r="BJ70" s="271"/>
      <c r="BK70" s="271"/>
      <c r="BL70" s="271"/>
    </row>
    <row r="71" spans="1:111" ht="34.5" customHeight="1" x14ac:dyDescent="0.25">
      <c r="R71" s="25" t="s">
        <v>6115</v>
      </c>
      <c r="S71" s="451"/>
      <c r="T71" s="452" t="s">
        <v>8113</v>
      </c>
      <c r="V71" s="453" t="s">
        <v>324</v>
      </c>
      <c r="W71" s="453" t="s">
        <v>7912</v>
      </c>
      <c r="X71" s="453" t="s">
        <v>326</v>
      </c>
      <c r="Y71" s="453" t="s">
        <v>327</v>
      </c>
      <c r="Z71" s="454" t="s">
        <v>7930</v>
      </c>
      <c r="AA71" s="453" t="s">
        <v>7937</v>
      </c>
      <c r="AB71" s="455" t="s">
        <v>39</v>
      </c>
      <c r="AC71" s="455" t="s">
        <v>171</v>
      </c>
      <c r="AD71" s="455" t="s">
        <v>8114</v>
      </c>
      <c r="AE71" s="455" t="s">
        <v>339</v>
      </c>
      <c r="AF71" s="455" t="s">
        <v>7997</v>
      </c>
      <c r="AG71" s="456" t="s">
        <v>8018</v>
      </c>
      <c r="AH71" s="456" t="s">
        <v>8023</v>
      </c>
      <c r="AI71" s="456" t="s">
        <v>330</v>
      </c>
      <c r="AJ71" s="456" t="s">
        <v>8031</v>
      </c>
      <c r="AK71" s="453" t="s">
        <v>8037</v>
      </c>
      <c r="AL71" s="453" t="s">
        <v>8041</v>
      </c>
      <c r="AM71" s="456" t="s">
        <v>343</v>
      </c>
      <c r="AN71" s="457" t="s">
        <v>8115</v>
      </c>
      <c r="AO71" s="457" t="s">
        <v>8116</v>
      </c>
      <c r="AP71" s="656" t="s">
        <v>8117</v>
      </c>
      <c r="AQ71" s="656"/>
      <c r="AR71" s="656"/>
      <c r="AS71" s="656"/>
      <c r="AT71" s="656"/>
      <c r="AU71" s="657"/>
      <c r="AY71" s="448" t="s">
        <v>8118</v>
      </c>
      <c r="AZ71" s="448" t="s">
        <v>8119</v>
      </c>
      <c r="BA71" s="448"/>
      <c r="BB71" s="458"/>
      <c r="BD71" s="279">
        <v>1</v>
      </c>
      <c r="BG71" s="271"/>
      <c r="BH71" s="271"/>
      <c r="BI71" s="271"/>
      <c r="BJ71" s="271"/>
      <c r="BK71" s="271"/>
      <c r="BL71" s="271"/>
    </row>
    <row r="72" spans="1:111" ht="30" customHeight="1" x14ac:dyDescent="0.25">
      <c r="R72" s="34" t="s">
        <v>471</v>
      </c>
      <c r="S72" s="451"/>
      <c r="T72" s="14" t="s">
        <v>7</v>
      </c>
      <c r="V72" s="459">
        <v>1</v>
      </c>
      <c r="W72" s="460" t="s">
        <v>170</v>
      </c>
      <c r="X72" s="461" t="s">
        <v>169</v>
      </c>
      <c r="Y72" s="462">
        <v>38</v>
      </c>
      <c r="Z72" s="463">
        <v>100</v>
      </c>
      <c r="AA72" s="464">
        <f>IF($AC$396="","",ROW($A$396)-ROW($A$396))</f>
        <v>0</v>
      </c>
      <c r="AB72" s="461"/>
      <c r="AC72" s="465" t="s">
        <v>302</v>
      </c>
      <c r="AD72" s="390"/>
      <c r="AE72" s="390">
        <v>8</v>
      </c>
      <c r="AF72" s="3" t="s">
        <v>7</v>
      </c>
      <c r="AG72" s="467">
        <f t="shared" ref="AG72:AG106" si="4">IF($AC72="","",IF(LEN($AN72&amp;"")=0,"",$AN72))</f>
        <v>8</v>
      </c>
      <c r="AH72" s="468" t="str">
        <f t="shared" ref="AH72:AH106" si="5">IF($AC72="","",IF($AF72&lt;&gt;"",UPPER(TRIM(SUBSTITUTE(SUBSTITUTE($AF72&amp;"",CHAR(160)," ")," "," "))),$AP72))</f>
        <v>KG</v>
      </c>
      <c r="AI72" s="469" t="str">
        <f>IF($AC$72="","",IFERROR(INDEX($AZ$74:$AZ$119,MATCH($AH$72,$AY$74:$AY$119,0)),"AUTRE"))</f>
        <v>MASSE</v>
      </c>
      <c r="AJ72" s="470">
        <f>IF($AC$72="","",IFERROR(INDEX($BA$74:$BA$119,MATCH($AH$72,$AY$74:$AY$119,0)),1))</f>
        <v>1</v>
      </c>
      <c r="AK72" s="470">
        <f t="shared" ref="AK72:AK106" si="6">IF(OR(AG72="",AJ72=""),"",AG72*AJ72)</f>
        <v>8</v>
      </c>
      <c r="AL72" s="469" t="str">
        <f>IF($AC$72="","",IFERROR(INDEX($BB$74:$BB$119,MATCH($AH$72,$AY$74:$AY$119,0)),$AH$72))</f>
        <v>kg</v>
      </c>
      <c r="AM72" s="471" t="str">
        <f t="shared" ref="AM72:AM106" si="7">IF($AC72="","",IF($AH72="QT. SUFFISANTE","OK",IF($AG72="","TEXTE",IF(NOT(ISNUMBER($AG72)),"QUANTITÉ À CONTRÔLER",IF(COUNTIF($AY$74:$AY$119,$AH72)=0,"UNITÉ À CONTRÔLER","OK")))))</f>
        <v>OK</v>
      </c>
      <c r="AN72" s="472">
        <f>IF($AE72&lt;&gt;"",$AE72,IF($AD72="","",IF(ISNUMBER($AD72),$AD72,IF($AO72="QT",0,IF($AO72="","",IFERROR(IF(ISNUMBER(SEARCH("/",$AO72)),VALUE(TRIM(LEFT($AO72,SEARCH("/",$AO72)-1)))/VALUE(TRIM(MID($AO72,SEARCH("/",$AO72)+1,99))),VALUE(SUBSTITUTE($AO72,".",","))),""))))))</f>
        <v>8</v>
      </c>
      <c r="AO72" s="473" t="str">
        <f t="shared" ref="AO72:AO106" si="8">IF($AD72="","",IF(ISNUMBER($AD72),$AD72,IF(OR(LEFT($AQ72,3)="QT.",LEFT($AQ72,4)="QUAN"),"QT",IF($AR72=999,$AQ72,TRIM(LEFT($AQ72,$AR72-1))))))</f>
        <v/>
      </c>
      <c r="AP72" s="473" t="str">
        <f t="shared" ref="AP72:AP106" si="9">IF($AD72="","",IF(ISNUMBER($AD72),"",IF(OR(LEFT($AQ72,3)="QT.",LEFT($AQ72,4)="QUAN"),"QT. SUFFISANTE",IF($AO72="","",TRIM(MID($AQ72,LEN($AO72&amp;"")+1,999))))))</f>
        <v/>
      </c>
      <c r="AQ72" s="474" t="str">
        <f t="shared" ref="AQ72:AQ106" si="10">IF($AD72="","",UPPER(TRIM(SUBSTITUTE(SUBSTITUTE($AD72&amp;"",CHAR(160)," ")," "," "))))</f>
        <v/>
      </c>
      <c r="AR72" s="474" t="str">
        <f t="shared" ref="AR72:AR106" si="11">IF($AQ72="","",MIN($AS72,$AT72,$AU72))</f>
        <v/>
      </c>
      <c r="AS72" s="474" t="str">
        <f t="shared" ref="AS72:AS106" si="12">IF($AQ72="","",MIN(IFERROR(SEARCH("A",$AQ72),999),IFERROR(SEARCH("B",$AQ72),999),IFERROR(SEARCH("C",$AQ72),999),IFERROR(SEARCH("D",$AQ72),999),IFERROR(SEARCH("E",$AQ72),999),IFERROR(SEARCH("F",$AQ72),999),IFERROR(SEARCH("G",$AQ72),999),IFERROR(SEARCH("H",$AQ72),999),IFERROR(SEARCH("I",$AQ72),999)))</f>
        <v/>
      </c>
      <c r="AT72" s="474" t="str">
        <f t="shared" ref="AT72:AT106" si="13">IF($AQ72="","",MIN(IFERROR(SEARCH("J",$AQ72),999),IFERROR(SEARCH("K",$AQ72),999),IFERROR(SEARCH("L",$AQ72),999),IFERROR(SEARCH("M",$AQ72),999),IFERROR(SEARCH("N",$AQ72),999),IFERROR(SEARCH("O",$AQ72),999),IFERROR(SEARCH("P",$AQ72),999),IFERROR(SEARCH("Q",$AQ72),999),IFERROR(SEARCH("R",$AQ72),999)))</f>
        <v/>
      </c>
      <c r="AU72" s="474" t="str">
        <f t="shared" ref="AU72:AU106" si="14">IF($AQ72="","",MIN(IFERROR(SEARCH("S",$AQ72),999),IFERROR(SEARCH("T",$AQ72),999),IFERROR(SEARCH("U",$AQ72),999),IFERROR(SEARCH("V",$AQ72),999),IFERROR(SEARCH("W",$AQ72),999),IFERROR(SEARCH("X",$AQ72),999),IFERROR(SEARCH("Y",$AQ72),999),IFERROR(SEARCH("Z",$AQ72),999)))</f>
        <v/>
      </c>
      <c r="AY72" s="418"/>
      <c r="AZ72" s="418"/>
      <c r="BA72" s="418"/>
      <c r="BB72" s="419"/>
      <c r="BD72" s="279">
        <v>1</v>
      </c>
      <c r="BG72" s="271"/>
      <c r="BH72" s="271"/>
      <c r="BI72" s="271"/>
      <c r="BJ72" s="271"/>
      <c r="BK72" s="271"/>
      <c r="BL72" s="271"/>
    </row>
    <row r="73" spans="1:111" ht="21" customHeight="1" x14ac:dyDescent="0.25">
      <c r="R73" s="34" t="s">
        <v>472</v>
      </c>
      <c r="S73" s="451"/>
      <c r="T73" s="27" t="s">
        <v>8</v>
      </c>
      <c r="V73" s="475">
        <f>$V$72</f>
        <v>1</v>
      </c>
      <c r="W73" s="475" t="str">
        <f>IF($AC$73="","",$W$72)</f>
        <v>N° 21</v>
      </c>
      <c r="X73" s="476" t="str">
        <f>IF($AC$73="","",$X$72)</f>
        <v>MELON NAGE CRÉMEUSE AU BASILIC</v>
      </c>
      <c r="Y73" s="477">
        <f>IF($X$73="","",$Y$72)</f>
        <v>38</v>
      </c>
      <c r="Z73" s="477">
        <f>IF($X$73="","",$Z$72)</f>
        <v>100</v>
      </c>
      <c r="AA73" s="477">
        <f>IF($AC$73="","",ROW($A$73)-ROW($A$72))</f>
        <v>1</v>
      </c>
      <c r="AB73" s="478"/>
      <c r="AC73" s="34" t="s">
        <v>301</v>
      </c>
      <c r="AD73" s="356"/>
      <c r="AE73" s="479">
        <v>4.5</v>
      </c>
      <c r="AF73" s="3" t="s">
        <v>7</v>
      </c>
      <c r="AG73" s="480">
        <f t="shared" si="4"/>
        <v>4.5</v>
      </c>
      <c r="AH73" s="481" t="str">
        <f t="shared" si="5"/>
        <v>KG</v>
      </c>
      <c r="AI73" s="477" t="str">
        <f>IF($AC$73="","",IFERROR(INDEX($AZ$74:$AZ$119,MATCH($AH$73,$AY$74:$AY$119,0)),"AUTRE"))</f>
        <v>MASSE</v>
      </c>
      <c r="AJ73" s="482">
        <f>IF($AC$73="","",IFERROR(INDEX($BA$74:$BA$119,MATCH($AH$73,$AY$74:$AY$119,0)),1))</f>
        <v>1</v>
      </c>
      <c r="AK73" s="482">
        <f t="shared" si="6"/>
        <v>4.5</v>
      </c>
      <c r="AL73" s="477" t="str">
        <f>IF($AC$73="","",IFERROR(INDEX($BB$74:$BB$119,MATCH($AH$73,$AY$74:$AY$119,0)),$AH$73))</f>
        <v>kg</v>
      </c>
      <c r="AM73" s="483" t="str">
        <f t="shared" si="7"/>
        <v>OK</v>
      </c>
      <c r="AN73" s="484">
        <f t="shared" ref="AN73:AN106" si="15">IF($AE73&lt;&gt;"",$AE73,IF($AD73="","",IF(ISNUMBER($AD73),$AD73,IF($AO73="QT",0,IF($AO73="","",IFERROR(IF(ISNUMBER(SEARCH("/",$AO73)),VALUE(TRIM(LEFT($AO73,SEARCH("/",$AO73)-1)))/VALUE(TRIM(MID($AO73,SEARCH("/",$AO73)+1,99))),VALUE(SUBSTITUTE($AO73,".",","))),""))))))</f>
        <v>4.5</v>
      </c>
      <c r="AO73" s="473" t="str">
        <f t="shared" si="8"/>
        <v/>
      </c>
      <c r="AP73" s="473" t="str">
        <f t="shared" si="9"/>
        <v/>
      </c>
      <c r="AQ73" s="473" t="str">
        <f t="shared" si="10"/>
        <v/>
      </c>
      <c r="AR73" s="473" t="str">
        <f t="shared" si="11"/>
        <v/>
      </c>
      <c r="AS73" s="473" t="str">
        <f t="shared" si="12"/>
        <v/>
      </c>
      <c r="AT73" s="473" t="str">
        <f t="shared" si="13"/>
        <v/>
      </c>
      <c r="AU73" s="473" t="str">
        <f t="shared" si="14"/>
        <v/>
      </c>
      <c r="AY73" s="440" t="s">
        <v>8110</v>
      </c>
      <c r="AZ73" s="485" t="s">
        <v>34</v>
      </c>
      <c r="BA73" s="485" t="s">
        <v>8123</v>
      </c>
      <c r="BB73" s="486" t="s">
        <v>8124</v>
      </c>
      <c r="BD73" s="279">
        <v>1</v>
      </c>
      <c r="BG73" s="271"/>
      <c r="BH73" s="271"/>
      <c r="BI73" s="271"/>
      <c r="BJ73" s="271"/>
      <c r="BK73" s="271"/>
      <c r="BL73" s="271"/>
    </row>
    <row r="74" spans="1:111" ht="21" customHeight="1" x14ac:dyDescent="0.25">
      <c r="R74" s="34" t="s">
        <v>6112</v>
      </c>
      <c r="S74" s="451"/>
      <c r="T74" s="28" t="s">
        <v>13</v>
      </c>
      <c r="V74" s="475">
        <v>1</v>
      </c>
      <c r="W74" s="475" t="str">
        <f>IF($AC$74="","",$W$72)</f>
        <v>N° 21</v>
      </c>
      <c r="X74" s="476" t="str">
        <f>IF($AC$74="","",$X$72)</f>
        <v>MELON NAGE CRÉMEUSE AU BASILIC</v>
      </c>
      <c r="Y74" s="477">
        <f>IF($X$74="","",$Y$72)</f>
        <v>38</v>
      </c>
      <c r="Z74" s="477">
        <f>IF($X$74="","",$Z$72)</f>
        <v>100</v>
      </c>
      <c r="AA74" s="477">
        <f>IF($AC$74="","",ROW($A$74)-ROW($A$72))</f>
        <v>2</v>
      </c>
      <c r="AB74" s="487"/>
      <c r="AC74" s="34" t="s">
        <v>373</v>
      </c>
      <c r="AD74" s="356"/>
      <c r="AE74" s="479">
        <v>6</v>
      </c>
      <c r="AF74" s="9" t="s">
        <v>309</v>
      </c>
      <c r="AG74" s="480">
        <f t="shared" si="4"/>
        <v>6</v>
      </c>
      <c r="AH74" s="481" t="str">
        <f t="shared" si="5"/>
        <v>PIÈCE(S)</v>
      </c>
      <c r="AI74" s="477" t="str">
        <f>IF($AC$74="","",IFERROR(INDEX($AZ$74:$AZ$119,MATCH($AH$74,$AY$74:$AY$119,0)),"AUTRE"))</f>
        <v>AUTRE</v>
      </c>
      <c r="AJ74" s="482">
        <f>IF($AC$74="","",IFERROR(INDEX($BA$74:$BA$119,MATCH($AH$74,$AY$74:$AY$119,0)),1))</f>
        <v>1</v>
      </c>
      <c r="AK74" s="482">
        <f t="shared" si="6"/>
        <v>6</v>
      </c>
      <c r="AL74" s="477" t="str">
        <f>IF($AC$74="","",IFERROR(INDEX($BB$74:$BB$119,MATCH($AH$74,$AY$74:$AY$119,0)),$AH$74))</f>
        <v>pièce(s)</v>
      </c>
      <c r="AM74" s="483" t="str">
        <f t="shared" si="7"/>
        <v>OK</v>
      </c>
      <c r="AN74" s="484">
        <f t="shared" si="15"/>
        <v>6</v>
      </c>
      <c r="AO74" s="473" t="str">
        <f t="shared" si="8"/>
        <v/>
      </c>
      <c r="AP74" s="473" t="str">
        <f t="shared" si="9"/>
        <v/>
      </c>
      <c r="AQ74" s="473" t="str">
        <f t="shared" si="10"/>
        <v/>
      </c>
      <c r="AR74" s="473" t="str">
        <f t="shared" si="11"/>
        <v/>
      </c>
      <c r="AS74" s="473" t="str">
        <f t="shared" si="12"/>
        <v/>
      </c>
      <c r="AT74" s="473" t="str">
        <f t="shared" si="13"/>
        <v/>
      </c>
      <c r="AU74" s="473" t="str">
        <f t="shared" si="14"/>
        <v/>
      </c>
      <c r="AY74" s="14" t="s">
        <v>7</v>
      </c>
      <c r="AZ74" s="488" t="s">
        <v>35</v>
      </c>
      <c r="BA74" s="418">
        <v>1</v>
      </c>
      <c r="BB74" s="419" t="s">
        <v>36</v>
      </c>
      <c r="BD74" s="279">
        <v>1</v>
      </c>
      <c r="BG74" s="271"/>
      <c r="BH74" s="271"/>
      <c r="BI74" s="271"/>
      <c r="BJ74" s="271"/>
      <c r="BK74" s="271"/>
      <c r="BL74" s="271"/>
    </row>
    <row r="75" spans="1:111" ht="21" customHeight="1" x14ac:dyDescent="0.25">
      <c r="R75" s="25" t="s">
        <v>6116</v>
      </c>
      <c r="S75" s="451"/>
      <c r="T75" s="28" t="s">
        <v>14</v>
      </c>
      <c r="V75" s="475">
        <v>1</v>
      </c>
      <c r="W75" s="475" t="str">
        <f>IF($AC$75="","",$W$72)</f>
        <v>N° 21</v>
      </c>
      <c r="X75" s="476" t="str">
        <f>IF($AC$75="","",$X$72)</f>
        <v>MELON NAGE CRÉMEUSE AU BASILIC</v>
      </c>
      <c r="Y75" s="477">
        <f>IF($X$75="","",$Y$72)</f>
        <v>38</v>
      </c>
      <c r="Z75" s="477">
        <f>IF($X$75="","",$Z$72)</f>
        <v>100</v>
      </c>
      <c r="AA75" s="477">
        <f>IF($AC$75="","",ROW($A$75)-ROW($A$72))</f>
        <v>3</v>
      </c>
      <c r="AB75" s="478"/>
      <c r="AC75" s="34" t="s">
        <v>360</v>
      </c>
      <c r="AD75" s="356"/>
      <c r="AE75" s="479">
        <v>1</v>
      </c>
      <c r="AF75" s="3" t="s">
        <v>7</v>
      </c>
      <c r="AG75" s="480">
        <f t="shared" si="4"/>
        <v>1</v>
      </c>
      <c r="AH75" s="481" t="str">
        <f t="shared" si="5"/>
        <v>KG</v>
      </c>
      <c r="AI75" s="477" t="str">
        <f>IF($AC$75="","",IFERROR(INDEX($AZ$74:$AZ$119,MATCH($AH$75,$AY$74:$AY$119,0)),"AUTRE"))</f>
        <v>MASSE</v>
      </c>
      <c r="AJ75" s="482">
        <f>IF($AC$75="","",IFERROR(INDEX($BA$74:$BA$119,MATCH($AH$75,$AY$74:$AY$119,0)),1))</f>
        <v>1</v>
      </c>
      <c r="AK75" s="482">
        <f t="shared" si="6"/>
        <v>1</v>
      </c>
      <c r="AL75" s="477" t="str">
        <f>IF($AC$75="","",IFERROR(INDEX($BB$74:$BB$119,MATCH($AH$75,$AY$74:$AY$119,0)),$AH$75))</f>
        <v>kg</v>
      </c>
      <c r="AM75" s="483" t="str">
        <f t="shared" si="7"/>
        <v>OK</v>
      </c>
      <c r="AN75" s="484">
        <f t="shared" si="15"/>
        <v>1</v>
      </c>
      <c r="AO75" s="473" t="str">
        <f t="shared" si="8"/>
        <v/>
      </c>
      <c r="AP75" s="473" t="str">
        <f t="shared" si="9"/>
        <v/>
      </c>
      <c r="AQ75" s="473" t="str">
        <f t="shared" si="10"/>
        <v/>
      </c>
      <c r="AR75" s="473" t="str">
        <f t="shared" si="11"/>
        <v/>
      </c>
      <c r="AS75" s="473" t="str">
        <f t="shared" si="12"/>
        <v/>
      </c>
      <c r="AT75" s="473" t="str">
        <f t="shared" si="13"/>
        <v/>
      </c>
      <c r="AU75" s="473" t="str">
        <f t="shared" si="14"/>
        <v/>
      </c>
      <c r="AY75" s="27" t="s">
        <v>8</v>
      </c>
      <c r="AZ75" s="488" t="s">
        <v>35</v>
      </c>
      <c r="BA75" s="489">
        <v>1E-3</v>
      </c>
      <c r="BB75" s="419" t="s">
        <v>36</v>
      </c>
      <c r="BD75" s="279">
        <v>1</v>
      </c>
      <c r="BG75" s="271"/>
      <c r="BH75" s="271"/>
      <c r="BI75" s="271"/>
      <c r="BJ75" s="271"/>
      <c r="BK75" s="271"/>
      <c r="BL75" s="271"/>
    </row>
    <row r="76" spans="1:111" ht="21" customHeight="1" x14ac:dyDescent="0.25">
      <c r="R76" s="34" t="s">
        <v>6117</v>
      </c>
      <c r="S76" s="451"/>
      <c r="T76" s="28" t="s">
        <v>15</v>
      </c>
      <c r="V76" s="475">
        <v>1</v>
      </c>
      <c r="W76" s="475" t="str">
        <f>IF($AC$76="","",$W$72)</f>
        <v>N° 21</v>
      </c>
      <c r="X76" s="476" t="str">
        <f>IF($AC$76="","",$X$72)</f>
        <v>MELON NAGE CRÉMEUSE AU BASILIC</v>
      </c>
      <c r="Y76" s="477">
        <f>IF($X$76="","",$Y$72)</f>
        <v>38</v>
      </c>
      <c r="Z76" s="477">
        <f>IF($X$76="","",$Z$72)</f>
        <v>100</v>
      </c>
      <c r="AA76" s="477">
        <f>IF($AC$76="","",ROW($A$76)-ROW($A$72))</f>
        <v>4</v>
      </c>
      <c r="AB76" s="478"/>
      <c r="AC76" s="34" t="s">
        <v>172</v>
      </c>
      <c r="AD76" s="356"/>
      <c r="AE76" s="479">
        <v>1</v>
      </c>
      <c r="AF76" s="8" t="s">
        <v>17</v>
      </c>
      <c r="AG76" s="480">
        <f t="shared" si="4"/>
        <v>1</v>
      </c>
      <c r="AH76" s="481" t="str">
        <f t="shared" si="5"/>
        <v>QUART/L</v>
      </c>
      <c r="AI76" s="477" t="str">
        <f>IF($AC$76="","",IFERROR(INDEX($AZ$74:$AZ$119,MATCH($AH$76,$AY$74:$AY$119,0)),"AUTRE"))</f>
        <v>VOLUME</v>
      </c>
      <c r="AJ76" s="482">
        <f>IF($AC$76="","",IFERROR(INDEX($BA$74:$BA$119,MATCH($AH$76,$AY$74:$AY$119,0)),1))</f>
        <v>0.25</v>
      </c>
      <c r="AK76" s="482">
        <f t="shared" si="6"/>
        <v>0.25</v>
      </c>
      <c r="AL76" s="477" t="str">
        <f>IF($AC$76="","",IFERROR(INDEX($BB$74:$BB$119,MATCH($AH$76,$AY$74:$AY$119,0)),$AH$76))</f>
        <v>L</v>
      </c>
      <c r="AM76" s="483" t="str">
        <f t="shared" si="7"/>
        <v>OK</v>
      </c>
      <c r="AN76" s="484">
        <f t="shared" si="15"/>
        <v>1</v>
      </c>
      <c r="AO76" s="473" t="str">
        <f t="shared" si="8"/>
        <v/>
      </c>
      <c r="AP76" s="473" t="str">
        <f t="shared" si="9"/>
        <v/>
      </c>
      <c r="AQ76" s="473" t="str">
        <f t="shared" si="10"/>
        <v/>
      </c>
      <c r="AR76" s="473" t="str">
        <f t="shared" si="11"/>
        <v/>
      </c>
      <c r="AS76" s="473" t="str">
        <f t="shared" si="12"/>
        <v/>
      </c>
      <c r="AT76" s="473" t="str">
        <f t="shared" si="13"/>
        <v/>
      </c>
      <c r="AU76" s="473" t="str">
        <f t="shared" si="14"/>
        <v/>
      </c>
      <c r="AY76" s="28" t="s">
        <v>13</v>
      </c>
      <c r="AZ76" s="488" t="s">
        <v>35</v>
      </c>
      <c r="BA76" s="489">
        <v>0.25</v>
      </c>
      <c r="BB76" s="419" t="s">
        <v>36</v>
      </c>
      <c r="BD76" s="279">
        <v>1</v>
      </c>
      <c r="BG76" s="271"/>
      <c r="BH76" s="271"/>
      <c r="BI76" s="271"/>
      <c r="BJ76" s="271"/>
      <c r="BK76" s="271"/>
      <c r="BL76" s="271"/>
    </row>
    <row r="77" spans="1:111" ht="21" customHeight="1" x14ac:dyDescent="0.25">
      <c r="R77" s="34" t="s">
        <v>469</v>
      </c>
      <c r="S77" s="451"/>
      <c r="T77" s="28" t="s">
        <v>21</v>
      </c>
      <c r="V77" s="475">
        <v>1</v>
      </c>
      <c r="W77" s="475" t="str">
        <f>IF($AC$77="","",$W$72)</f>
        <v>N° 21</v>
      </c>
      <c r="X77" s="476" t="str">
        <f>IF($AC$77="","",$X$72)</f>
        <v>MELON NAGE CRÉMEUSE AU BASILIC</v>
      </c>
      <c r="Y77" s="477">
        <f>IF($X$77="","",$Y$72)</f>
        <v>38</v>
      </c>
      <c r="Z77" s="477">
        <f>IF($X$77="","",$Z$72)</f>
        <v>100</v>
      </c>
      <c r="AA77" s="477">
        <f>IF($AC$77="","",ROW($A$77)-ROW($A$72))</f>
        <v>5</v>
      </c>
      <c r="AB77" s="478"/>
      <c r="AC77" s="34" t="s">
        <v>173</v>
      </c>
      <c r="AD77" s="356"/>
      <c r="AE77" s="479">
        <v>600</v>
      </c>
      <c r="AF77" s="5" t="s">
        <v>8</v>
      </c>
      <c r="AG77" s="480">
        <f t="shared" si="4"/>
        <v>600</v>
      </c>
      <c r="AH77" s="481" t="str">
        <f t="shared" si="5"/>
        <v>G</v>
      </c>
      <c r="AI77" s="477" t="str">
        <f>IF($AC$77="","",IFERROR(INDEX($AZ$74:$AZ$119,MATCH($AH$77,$AY$74:$AY$119,0)),"AUTRE"))</f>
        <v>MASSE</v>
      </c>
      <c r="AJ77" s="482">
        <f>IF($AC$77="","",IFERROR(INDEX($BA$74:$BA$119,MATCH($AH$77,$AY$74:$AY$119,0)),1))</f>
        <v>1E-3</v>
      </c>
      <c r="AK77" s="482">
        <f t="shared" si="6"/>
        <v>0.6</v>
      </c>
      <c r="AL77" s="477" t="str">
        <f>IF($AC$77="","",IFERROR(INDEX($BB$74:$BB$119,MATCH($AH$77,$AY$74:$AY$119,0)),$AH$77))</f>
        <v>kg</v>
      </c>
      <c r="AM77" s="483" t="str">
        <f t="shared" si="7"/>
        <v>OK</v>
      </c>
      <c r="AN77" s="484">
        <f t="shared" si="15"/>
        <v>600</v>
      </c>
      <c r="AO77" s="473" t="str">
        <f t="shared" si="8"/>
        <v/>
      </c>
      <c r="AP77" s="473" t="str">
        <f t="shared" si="9"/>
        <v/>
      </c>
      <c r="AQ77" s="473" t="str">
        <f t="shared" si="10"/>
        <v/>
      </c>
      <c r="AR77" s="473" t="str">
        <f t="shared" si="11"/>
        <v/>
      </c>
      <c r="AS77" s="473" t="str">
        <f t="shared" si="12"/>
        <v/>
      </c>
      <c r="AT77" s="473" t="str">
        <f t="shared" si="13"/>
        <v/>
      </c>
      <c r="AU77" s="473" t="str">
        <f t="shared" si="14"/>
        <v/>
      </c>
      <c r="AY77" s="28" t="s">
        <v>14</v>
      </c>
      <c r="AZ77" s="488" t="s">
        <v>35</v>
      </c>
      <c r="BA77" s="489">
        <v>0.33333333300000001</v>
      </c>
      <c r="BB77" s="419" t="s">
        <v>36</v>
      </c>
      <c r="BD77" s="279">
        <v>1</v>
      </c>
      <c r="BG77" s="271"/>
      <c r="BH77" s="271"/>
      <c r="BI77" s="271"/>
      <c r="BJ77" s="271"/>
      <c r="BK77" s="271"/>
      <c r="BL77" s="271"/>
    </row>
    <row r="78" spans="1:111" ht="21" customHeight="1" x14ac:dyDescent="0.25">
      <c r="R78" s="34" t="s">
        <v>6118</v>
      </c>
      <c r="S78" s="451"/>
      <c r="T78" s="28" t="s">
        <v>22</v>
      </c>
      <c r="V78" s="475">
        <v>1</v>
      </c>
      <c r="W78" s="475" t="str">
        <f>IF($AC$78="","",$W$72)</f>
        <v/>
      </c>
      <c r="X78" s="476" t="str">
        <f>IF($AC$78="","",$X$72)</f>
        <v/>
      </c>
      <c r="Y78" s="477" t="str">
        <f>IF($X$78="","",$Y$72)</f>
        <v/>
      </c>
      <c r="Z78" s="477" t="str">
        <f>IF($X$78="","",$Z$72)</f>
        <v/>
      </c>
      <c r="AA78" s="477" t="str">
        <f>IF($AC$78="","",ROW($A$78)-ROW($A$72))</f>
        <v/>
      </c>
      <c r="AB78" s="478"/>
      <c r="AC78" s="34"/>
      <c r="AD78" s="356"/>
      <c r="AE78" s="479">
        <v>2</v>
      </c>
      <c r="AF78" s="9" t="s">
        <v>315</v>
      </c>
      <c r="AG78" s="480" t="str">
        <f t="shared" si="4"/>
        <v/>
      </c>
      <c r="AH78" s="481" t="str">
        <f t="shared" si="5"/>
        <v/>
      </c>
      <c r="AI78" s="477" t="str">
        <f>IF($AC$78="","",IFERROR(INDEX($AZ$74:$AZ$119,MATCH($AH$78,$AY$74:$AY$119,0)),"AUTRE"))</f>
        <v/>
      </c>
      <c r="AJ78" s="482" t="str">
        <f>IF($AC$78="","",IFERROR(INDEX($BA$74:$BA$119,MATCH($AH$78,$AY$74:$AY$119,0)),1))</f>
        <v/>
      </c>
      <c r="AK78" s="482" t="str">
        <f t="shared" si="6"/>
        <v/>
      </c>
      <c r="AL78" s="477" t="str">
        <f>IF($AC$78="","",IFERROR(INDEX($BB$74:$BB$119,MATCH($AH$78,$AY$74:$AY$119,0)),$AH$78))</f>
        <v/>
      </c>
      <c r="AM78" s="483" t="str">
        <f t="shared" si="7"/>
        <v/>
      </c>
      <c r="AN78" s="484">
        <f t="shared" si="15"/>
        <v>2</v>
      </c>
      <c r="AO78" s="473" t="str">
        <f t="shared" si="8"/>
        <v/>
      </c>
      <c r="AP78" s="473" t="str">
        <f t="shared" si="9"/>
        <v/>
      </c>
      <c r="AQ78" s="473" t="str">
        <f t="shared" si="10"/>
        <v/>
      </c>
      <c r="AR78" s="473" t="str">
        <f t="shared" si="11"/>
        <v/>
      </c>
      <c r="AS78" s="473" t="str">
        <f t="shared" si="12"/>
        <v/>
      </c>
      <c r="AT78" s="473" t="str">
        <f t="shared" si="13"/>
        <v/>
      </c>
      <c r="AU78" s="473" t="str">
        <f t="shared" si="14"/>
        <v/>
      </c>
      <c r="AY78" s="28" t="s">
        <v>15</v>
      </c>
      <c r="AZ78" s="488" t="s">
        <v>35</v>
      </c>
      <c r="BA78" s="489">
        <v>0.5</v>
      </c>
      <c r="BB78" s="419" t="s">
        <v>36</v>
      </c>
      <c r="BD78" s="279">
        <v>1</v>
      </c>
      <c r="BG78" s="271"/>
      <c r="BH78" s="271"/>
      <c r="BI78" s="271"/>
      <c r="BJ78" s="271"/>
      <c r="BK78" s="271"/>
      <c r="BL78" s="271"/>
    </row>
    <row r="79" spans="1:111" ht="21" customHeight="1" x14ac:dyDescent="0.25">
      <c r="R79" s="34" t="s">
        <v>492</v>
      </c>
      <c r="S79" s="451"/>
      <c r="T79" s="28" t="s">
        <v>23</v>
      </c>
      <c r="V79" s="475">
        <v>1</v>
      </c>
      <c r="W79" s="475" t="str">
        <f>IF($AC$79="","",$W$72)</f>
        <v/>
      </c>
      <c r="X79" s="476" t="str">
        <f>IF($AC$79="","",$X$72)</f>
        <v/>
      </c>
      <c r="Y79" s="477" t="str">
        <f>IF($X$79="","",$Y$72)</f>
        <v/>
      </c>
      <c r="Z79" s="477" t="str">
        <f>IF($X$79="","",$Z$72)</f>
        <v/>
      </c>
      <c r="AA79" s="477" t="str">
        <f>IF($AC$79="","",ROW($A$79)-ROW($A$72))</f>
        <v/>
      </c>
      <c r="AB79" s="478"/>
      <c r="AC79" s="34"/>
      <c r="AD79" s="356"/>
      <c r="AE79" s="479"/>
      <c r="AF79" s="19"/>
      <c r="AG79" s="480" t="str">
        <f t="shared" si="4"/>
        <v/>
      </c>
      <c r="AH79" s="481" t="str">
        <f t="shared" si="5"/>
        <v/>
      </c>
      <c r="AI79" s="477" t="str">
        <f>IF($AC$79="","",IFERROR(INDEX($AZ$74:$AZ$119,MATCH($AH$79,$AY$74:$AY$119,0)),"AUTRE"))</f>
        <v/>
      </c>
      <c r="AJ79" s="482" t="str">
        <f>IF($AC$79="","",IFERROR(INDEX($BA$74:$BA$119,MATCH($AH$79,$AY$74:$AY$119,0)),1))</f>
        <v/>
      </c>
      <c r="AK79" s="482" t="str">
        <f t="shared" si="6"/>
        <v/>
      </c>
      <c r="AL79" s="477" t="str">
        <f>IF($AC$79="","",IFERROR(INDEX($BB$74:$BB$119,MATCH($AH$79,$AY$74:$AY$119,0)),$AH$79))</f>
        <v/>
      </c>
      <c r="AM79" s="483" t="str">
        <f t="shared" si="7"/>
        <v/>
      </c>
      <c r="AN79" s="484" t="str">
        <f t="shared" si="15"/>
        <v/>
      </c>
      <c r="AO79" s="473" t="str">
        <f t="shared" si="8"/>
        <v/>
      </c>
      <c r="AP79" s="473" t="str">
        <f t="shared" si="9"/>
        <v/>
      </c>
      <c r="AQ79" s="473" t="str">
        <f t="shared" si="10"/>
        <v/>
      </c>
      <c r="AR79" s="473" t="str">
        <f t="shared" si="11"/>
        <v/>
      </c>
      <c r="AS79" s="473" t="str">
        <f t="shared" si="12"/>
        <v/>
      </c>
      <c r="AT79" s="473" t="str">
        <f t="shared" si="13"/>
        <v/>
      </c>
      <c r="AU79" s="473" t="str">
        <f t="shared" si="14"/>
        <v/>
      </c>
      <c r="AY79" s="29" t="s">
        <v>9</v>
      </c>
      <c r="AZ79" s="488" t="s">
        <v>37</v>
      </c>
      <c r="BA79" s="489">
        <v>1</v>
      </c>
      <c r="BB79" s="419" t="s">
        <v>9</v>
      </c>
      <c r="BD79" s="279">
        <v>1</v>
      </c>
      <c r="BG79" s="271"/>
      <c r="BH79" s="271"/>
      <c r="BI79" s="271"/>
      <c r="BJ79" s="271"/>
      <c r="BK79" s="271"/>
      <c r="BL79" s="271"/>
    </row>
    <row r="80" spans="1:111" ht="21" customHeight="1" x14ac:dyDescent="0.25">
      <c r="R80" s="34" t="s">
        <v>458</v>
      </c>
      <c r="S80" s="451"/>
      <c r="T80" s="28" t="s">
        <v>24</v>
      </c>
      <c r="V80" s="475">
        <v>1</v>
      </c>
      <c r="W80" s="475" t="str">
        <f>IF($AC$80="","",$W$72)</f>
        <v/>
      </c>
      <c r="X80" s="476" t="str">
        <f>IF($AC$80="","",$X$72)</f>
        <v/>
      </c>
      <c r="Y80" s="477" t="str">
        <f>IF($X$80="","",$Y$72)</f>
        <v/>
      </c>
      <c r="Z80" s="477" t="str">
        <f>IF($X$80="","",$Z$72)</f>
        <v/>
      </c>
      <c r="AA80" s="477" t="str">
        <f>IF($AC$80="","",ROW($A$80)-ROW($A$72))</f>
        <v/>
      </c>
      <c r="AB80" s="478"/>
      <c r="AC80" s="34"/>
      <c r="AD80" s="356"/>
      <c r="AE80" s="479"/>
      <c r="AF80" s="19"/>
      <c r="AG80" s="480" t="str">
        <f t="shared" si="4"/>
        <v/>
      </c>
      <c r="AH80" s="481" t="str">
        <f t="shared" si="5"/>
        <v/>
      </c>
      <c r="AI80" s="477" t="str">
        <f>IF($AC$80="","",IFERROR(INDEX($AZ$74:$AZ$119,MATCH($AH$80,$AY$74:$AY$119,0)),"AUTRE"))</f>
        <v/>
      </c>
      <c r="AJ80" s="482" t="str">
        <f>IF($AC$80="","",IFERROR(INDEX($BA$74:$BA$119,MATCH($AH$80,$AY$74:$AY$119,0)),1))</f>
        <v/>
      </c>
      <c r="AK80" s="482" t="str">
        <f t="shared" si="6"/>
        <v/>
      </c>
      <c r="AL80" s="477" t="str">
        <f>IF($AC$80="","",IFERROR(INDEX($BB$74:$BB$119,MATCH($AH$80,$AY$74:$AY$119,0)),$AH$80))</f>
        <v/>
      </c>
      <c r="AM80" s="483" t="str">
        <f t="shared" si="7"/>
        <v/>
      </c>
      <c r="AN80" s="484" t="str">
        <f t="shared" si="15"/>
        <v/>
      </c>
      <c r="AO80" s="473" t="str">
        <f t="shared" si="8"/>
        <v/>
      </c>
      <c r="AP80" s="473" t="str">
        <f t="shared" si="9"/>
        <v/>
      </c>
      <c r="AQ80" s="473" t="str">
        <f t="shared" si="10"/>
        <v/>
      </c>
      <c r="AR80" s="473" t="str">
        <f t="shared" si="11"/>
        <v/>
      </c>
      <c r="AS80" s="473" t="str">
        <f t="shared" si="12"/>
        <v/>
      </c>
      <c r="AT80" s="473" t="str">
        <f t="shared" si="13"/>
        <v/>
      </c>
      <c r="AU80" s="473" t="str">
        <f t="shared" si="14"/>
        <v/>
      </c>
      <c r="AY80" s="30" t="s">
        <v>10</v>
      </c>
      <c r="AZ80" s="488" t="s">
        <v>37</v>
      </c>
      <c r="BA80" s="489">
        <v>0.1</v>
      </c>
      <c r="BB80" s="419" t="s">
        <v>9</v>
      </c>
      <c r="BD80" s="279">
        <v>1</v>
      </c>
      <c r="BG80" s="271"/>
      <c r="BH80" s="271"/>
      <c r="BI80" s="271"/>
      <c r="BJ80" s="271"/>
      <c r="BK80" s="271"/>
      <c r="BL80" s="271"/>
    </row>
    <row r="81" spans="18:64" ht="21" customHeight="1" x14ac:dyDescent="0.25">
      <c r="R81" s="490"/>
      <c r="S81" s="451"/>
      <c r="T81" s="29" t="s">
        <v>9</v>
      </c>
      <c r="V81" s="475">
        <v>1</v>
      </c>
      <c r="W81" s="475" t="str">
        <f>IF($AC$81="","",$W$72)</f>
        <v/>
      </c>
      <c r="X81" s="476" t="str">
        <f>IF($AC$81="","",$X$72)</f>
        <v/>
      </c>
      <c r="Y81" s="477" t="str">
        <f>IF($X$81="","",$Y$72)</f>
        <v/>
      </c>
      <c r="Z81" s="477" t="str">
        <f>IF($X$81="","",$Z$72)</f>
        <v/>
      </c>
      <c r="AA81" s="477" t="str">
        <f>IF($AC$81="","",ROW($A$81)-ROW($A$72))</f>
        <v/>
      </c>
      <c r="AB81" s="478"/>
      <c r="AC81" s="34"/>
      <c r="AD81" s="356"/>
      <c r="AE81" s="479"/>
      <c r="AF81" s="19"/>
      <c r="AG81" s="480" t="str">
        <f t="shared" si="4"/>
        <v/>
      </c>
      <c r="AH81" s="481" t="str">
        <f t="shared" si="5"/>
        <v/>
      </c>
      <c r="AI81" s="477" t="str">
        <f>IF($AC$81="","",IFERROR(INDEX($AZ$74:$AZ$119,MATCH($AH$81,$AY$74:$AY$119,0)),"AUTRE"))</f>
        <v/>
      </c>
      <c r="AJ81" s="482" t="str">
        <f>IF($AC$81="","",IFERROR(INDEX($BA$74:$BA$119,MATCH($AH$81,$AY$74:$AY$119,0)),1))</f>
        <v/>
      </c>
      <c r="AK81" s="482" t="str">
        <f t="shared" si="6"/>
        <v/>
      </c>
      <c r="AL81" s="477" t="str">
        <f>IF($AC$81="","",IFERROR(INDEX($BB$74:$BB$119,MATCH($AH$81,$AY$74:$AY$119,0)),$AH$81))</f>
        <v/>
      </c>
      <c r="AM81" s="483" t="str">
        <f t="shared" si="7"/>
        <v/>
      </c>
      <c r="AN81" s="484" t="str">
        <f t="shared" si="15"/>
        <v/>
      </c>
      <c r="AO81" s="473" t="str">
        <f t="shared" si="8"/>
        <v/>
      </c>
      <c r="AP81" s="473" t="str">
        <f t="shared" si="9"/>
        <v/>
      </c>
      <c r="AQ81" s="473" t="str">
        <f t="shared" si="10"/>
        <v/>
      </c>
      <c r="AR81" s="473" t="str">
        <f t="shared" si="11"/>
        <v/>
      </c>
      <c r="AS81" s="473" t="str">
        <f t="shared" si="12"/>
        <v/>
      </c>
      <c r="AT81" s="473" t="str">
        <f t="shared" si="13"/>
        <v/>
      </c>
      <c r="AU81" s="473" t="str">
        <f t="shared" si="14"/>
        <v/>
      </c>
      <c r="AY81" s="30" t="s">
        <v>11</v>
      </c>
      <c r="AZ81" s="488" t="s">
        <v>37</v>
      </c>
      <c r="BA81" s="489">
        <v>0.01</v>
      </c>
      <c r="BB81" s="419" t="s">
        <v>9</v>
      </c>
      <c r="BD81" s="279">
        <v>1</v>
      </c>
      <c r="BG81" s="271"/>
      <c r="BH81" s="271"/>
      <c r="BI81" s="271"/>
      <c r="BJ81" s="271"/>
      <c r="BK81" s="271"/>
      <c r="BL81" s="271"/>
    </row>
    <row r="82" spans="18:64" ht="21" customHeight="1" x14ac:dyDescent="0.25">
      <c r="R82" s="25" t="s">
        <v>6119</v>
      </c>
      <c r="S82" s="451"/>
      <c r="T82" s="30" t="s">
        <v>10</v>
      </c>
      <c r="V82" s="475">
        <v>1</v>
      </c>
      <c r="W82" s="475" t="str">
        <f>IF($AC$82="","",$W$72)</f>
        <v/>
      </c>
      <c r="X82" s="476" t="str">
        <f>IF($AC$82="","",$X$72)</f>
        <v/>
      </c>
      <c r="Y82" s="477" t="str">
        <f>IF($X$82="","",$Y$72)</f>
        <v/>
      </c>
      <c r="Z82" s="477" t="str">
        <f>IF($X$82="","",$Z$72)</f>
        <v/>
      </c>
      <c r="AA82" s="477" t="str">
        <f>IF($AC$82="","",ROW($A$82)-ROW($A$72))</f>
        <v/>
      </c>
      <c r="AB82" s="478"/>
      <c r="AC82" s="34"/>
      <c r="AD82" s="356"/>
      <c r="AE82" s="479"/>
      <c r="AF82" s="19"/>
      <c r="AG82" s="480" t="str">
        <f t="shared" si="4"/>
        <v/>
      </c>
      <c r="AH82" s="481" t="str">
        <f t="shared" si="5"/>
        <v/>
      </c>
      <c r="AI82" s="477" t="str">
        <f>IF($AC$82="","",IFERROR(INDEX($AZ$74:$AZ$119,MATCH($AH$82,$AY$74:$AY$119,0)),"AUTRE"))</f>
        <v/>
      </c>
      <c r="AJ82" s="482" t="str">
        <f>IF($AC$82="","",IFERROR(INDEX($BA$74:$BA$119,MATCH($AH$82,$AY$74:$AY$119,0)),1))</f>
        <v/>
      </c>
      <c r="AK82" s="482" t="str">
        <f t="shared" si="6"/>
        <v/>
      </c>
      <c r="AL82" s="477" t="str">
        <f>IF($AC$82="","",IFERROR(INDEX($BB$74:$BB$119,MATCH($AH$82,$AY$74:$AY$119,0)),$AH$82))</f>
        <v/>
      </c>
      <c r="AM82" s="483" t="str">
        <f t="shared" si="7"/>
        <v/>
      </c>
      <c r="AN82" s="484" t="str">
        <f t="shared" si="15"/>
        <v/>
      </c>
      <c r="AO82" s="473" t="str">
        <f t="shared" si="8"/>
        <v/>
      </c>
      <c r="AP82" s="473" t="str">
        <f t="shared" si="9"/>
        <v/>
      </c>
      <c r="AQ82" s="473" t="str">
        <f t="shared" si="10"/>
        <v/>
      </c>
      <c r="AR82" s="473" t="str">
        <f t="shared" si="11"/>
        <v/>
      </c>
      <c r="AS82" s="473" t="str">
        <f t="shared" si="12"/>
        <v/>
      </c>
      <c r="AT82" s="473" t="str">
        <f t="shared" si="13"/>
        <v/>
      </c>
      <c r="AU82" s="473" t="str">
        <f t="shared" si="14"/>
        <v/>
      </c>
      <c r="AY82" s="30" t="s">
        <v>12</v>
      </c>
      <c r="AZ82" s="488" t="s">
        <v>37</v>
      </c>
      <c r="BA82" s="489">
        <v>1E-3</v>
      </c>
      <c r="BB82" s="419" t="s">
        <v>9</v>
      </c>
      <c r="BD82" s="279">
        <v>1</v>
      </c>
      <c r="BG82" s="271"/>
      <c r="BH82" s="271"/>
      <c r="BI82" s="271"/>
      <c r="BJ82" s="271"/>
      <c r="BK82" s="271"/>
      <c r="BL82" s="271"/>
    </row>
    <row r="83" spans="18:64" ht="21" customHeight="1" x14ac:dyDescent="0.25">
      <c r="R83" s="34" t="s">
        <v>6120</v>
      </c>
      <c r="S83" s="451"/>
      <c r="T83" s="30" t="s">
        <v>11</v>
      </c>
      <c r="V83" s="475">
        <v>1</v>
      </c>
      <c r="W83" s="475" t="str">
        <f>IF($AC$83="","",$W$72)</f>
        <v/>
      </c>
      <c r="X83" s="476" t="str">
        <f>IF($AC$83="","",$X$72)</f>
        <v/>
      </c>
      <c r="Y83" s="477" t="str">
        <f>IF($X$83="","",$Y$72)</f>
        <v/>
      </c>
      <c r="Z83" s="477" t="str">
        <f>IF($X$83="","",$Z$72)</f>
        <v/>
      </c>
      <c r="AA83" s="477" t="str">
        <f>IF($AC$83="","",ROW($A$83)-ROW($A$72))</f>
        <v/>
      </c>
      <c r="AB83" s="478"/>
      <c r="AC83" s="34"/>
      <c r="AD83" s="356"/>
      <c r="AE83" s="479"/>
      <c r="AF83" s="19"/>
      <c r="AG83" s="480" t="str">
        <f t="shared" si="4"/>
        <v/>
      </c>
      <c r="AH83" s="481" t="str">
        <f t="shared" si="5"/>
        <v/>
      </c>
      <c r="AI83" s="477" t="str">
        <f>IF($AC$83="","",IFERROR(INDEX($AZ$74:$AZ$119,MATCH($AH$83,$AY$74:$AY$119,0)),"AUTRE"))</f>
        <v/>
      </c>
      <c r="AJ83" s="482" t="str">
        <f>IF($AC$83="","",IFERROR(INDEX($BA$74:$BA$119,MATCH($AH$83,$AY$74:$AY$119,0)),1))</f>
        <v/>
      </c>
      <c r="AK83" s="482" t="str">
        <f t="shared" si="6"/>
        <v/>
      </c>
      <c r="AL83" s="477" t="str">
        <f>IF($AC$83="","",IFERROR(INDEX($BB$74:$BB$119,MATCH($AH$83,$AY$74:$AY$119,0)),$AH$83))</f>
        <v/>
      </c>
      <c r="AM83" s="483" t="str">
        <f t="shared" si="7"/>
        <v/>
      </c>
      <c r="AN83" s="484" t="str">
        <f t="shared" si="15"/>
        <v/>
      </c>
      <c r="AO83" s="473" t="str">
        <f t="shared" si="8"/>
        <v/>
      </c>
      <c r="AP83" s="473" t="str">
        <f t="shared" si="9"/>
        <v/>
      </c>
      <c r="AQ83" s="473" t="str">
        <f t="shared" si="10"/>
        <v/>
      </c>
      <c r="AR83" s="473" t="str">
        <f t="shared" si="11"/>
        <v/>
      </c>
      <c r="AS83" s="473" t="str">
        <f t="shared" si="12"/>
        <v/>
      </c>
      <c r="AT83" s="473" t="str">
        <f t="shared" si="13"/>
        <v/>
      </c>
      <c r="AU83" s="473" t="str">
        <f t="shared" si="14"/>
        <v/>
      </c>
      <c r="AY83" s="31" t="s">
        <v>16</v>
      </c>
      <c r="AZ83" s="488" t="s">
        <v>37</v>
      </c>
      <c r="BA83" s="489">
        <v>0.5</v>
      </c>
      <c r="BB83" s="419" t="s">
        <v>9</v>
      </c>
      <c r="BD83" s="279">
        <v>1</v>
      </c>
      <c r="BG83" s="271"/>
      <c r="BH83" s="271"/>
      <c r="BI83" s="271"/>
      <c r="BJ83" s="271"/>
      <c r="BK83" s="271"/>
      <c r="BL83" s="271"/>
    </row>
    <row r="84" spans="18:64" ht="21" customHeight="1" x14ac:dyDescent="0.25">
      <c r="R84" s="34" t="s">
        <v>6121</v>
      </c>
      <c r="S84" s="451"/>
      <c r="T84" s="30" t="s">
        <v>12</v>
      </c>
      <c r="V84" s="475">
        <v>1</v>
      </c>
      <c r="W84" s="475" t="str">
        <f>IF($AC$84="","",$W$72)</f>
        <v/>
      </c>
      <c r="X84" s="476" t="str">
        <f>IF($AC$84="","",$X$72)</f>
        <v/>
      </c>
      <c r="Y84" s="477" t="str">
        <f>IF($X$84="","",$Y$72)</f>
        <v/>
      </c>
      <c r="Z84" s="477" t="str">
        <f>IF($X$84="","",$Z$72)</f>
        <v/>
      </c>
      <c r="AA84" s="477" t="str">
        <f>IF($AC$84="","",ROW($A$84)-ROW($A$72))</f>
        <v/>
      </c>
      <c r="AB84" s="478"/>
      <c r="AC84" s="34"/>
      <c r="AD84" s="356"/>
      <c r="AE84" s="479"/>
      <c r="AF84" s="19"/>
      <c r="AG84" s="480" t="str">
        <f t="shared" si="4"/>
        <v/>
      </c>
      <c r="AH84" s="481" t="str">
        <f t="shared" si="5"/>
        <v/>
      </c>
      <c r="AI84" s="477" t="str">
        <f>IF($AC$84="","",IFERROR(INDEX($AZ$74:$AZ$119,MATCH($AH$84,$AY$74:$AY$119,0)),"AUTRE"))</f>
        <v/>
      </c>
      <c r="AJ84" s="482" t="str">
        <f>IF($AC$84="","",IFERROR(INDEX($BA$74:$BA$119,MATCH($AH$84,$AY$74:$AY$119,0)),1))</f>
        <v/>
      </c>
      <c r="AK84" s="482" t="str">
        <f t="shared" si="6"/>
        <v/>
      </c>
      <c r="AL84" s="477" t="str">
        <f>IF($AC$84="","",IFERROR(INDEX($BB$74:$BB$119,MATCH($AH$84,$AY$74:$AY$119,0)),$AH$84))</f>
        <v/>
      </c>
      <c r="AM84" s="483" t="str">
        <f t="shared" si="7"/>
        <v/>
      </c>
      <c r="AN84" s="484" t="str">
        <f t="shared" si="15"/>
        <v/>
      </c>
      <c r="AO84" s="473" t="str">
        <f t="shared" si="8"/>
        <v/>
      </c>
      <c r="AP84" s="473" t="str">
        <f t="shared" si="9"/>
        <v/>
      </c>
      <c r="AQ84" s="473" t="str">
        <f t="shared" si="10"/>
        <v/>
      </c>
      <c r="AR84" s="473" t="str">
        <f t="shared" si="11"/>
        <v/>
      </c>
      <c r="AS84" s="473" t="str">
        <f t="shared" si="12"/>
        <v/>
      </c>
      <c r="AT84" s="473" t="str">
        <f t="shared" si="13"/>
        <v/>
      </c>
      <c r="AU84" s="473" t="str">
        <f t="shared" si="14"/>
        <v/>
      </c>
      <c r="AY84" s="31" t="s">
        <v>17</v>
      </c>
      <c r="AZ84" s="488" t="s">
        <v>37</v>
      </c>
      <c r="BA84" s="489">
        <v>0.25</v>
      </c>
      <c r="BB84" s="419" t="s">
        <v>9</v>
      </c>
      <c r="BD84" s="279">
        <v>1</v>
      </c>
      <c r="BG84" s="271"/>
      <c r="BH84" s="271"/>
      <c r="BI84" s="271"/>
      <c r="BJ84" s="271"/>
      <c r="BK84" s="271"/>
      <c r="BL84" s="271"/>
    </row>
    <row r="85" spans="18:64" ht="21" customHeight="1" x14ac:dyDescent="0.25">
      <c r="R85" s="34" t="s">
        <v>6122</v>
      </c>
      <c r="S85" s="451"/>
      <c r="T85" s="31" t="s">
        <v>16</v>
      </c>
      <c r="V85" s="475">
        <v>1</v>
      </c>
      <c r="W85" s="475" t="str">
        <f>IF($AC$85="","",$W$72)</f>
        <v/>
      </c>
      <c r="X85" s="476" t="str">
        <f>IF($AC$85="","",$X$72)</f>
        <v/>
      </c>
      <c r="Y85" s="477" t="str">
        <f>IF($X$85="","",$Y$72)</f>
        <v/>
      </c>
      <c r="Z85" s="477" t="str">
        <f>IF($X$85="","",$Z$72)</f>
        <v/>
      </c>
      <c r="AA85" s="477" t="str">
        <f>IF($AC$85="","",ROW($A$85)-ROW($A$72))</f>
        <v/>
      </c>
      <c r="AB85" s="478"/>
      <c r="AC85" s="34"/>
      <c r="AD85" s="356"/>
      <c r="AE85" s="479"/>
      <c r="AF85" s="19"/>
      <c r="AG85" s="480" t="str">
        <f t="shared" si="4"/>
        <v/>
      </c>
      <c r="AH85" s="481" t="str">
        <f t="shared" si="5"/>
        <v/>
      </c>
      <c r="AI85" s="477" t="str">
        <f>IF($AC$85="","",IFERROR(INDEX($AZ$74:$AZ$119,MATCH($AH$85,$AY$74:$AY$119,0)),"AUTRE"))</f>
        <v/>
      </c>
      <c r="AJ85" s="482" t="str">
        <f>IF($AC$85="","",IFERROR(INDEX($BA$74:$BA$119,MATCH($AH$85,$AY$74:$AY$119,0)),1))</f>
        <v/>
      </c>
      <c r="AK85" s="482" t="str">
        <f t="shared" si="6"/>
        <v/>
      </c>
      <c r="AL85" s="477" t="str">
        <f>IF($AC$85="","",IFERROR(INDEX($BB$74:$BB$119,MATCH($AH$85,$AY$74:$AY$119,0)),$AH$85))</f>
        <v/>
      </c>
      <c r="AM85" s="483" t="str">
        <f t="shared" si="7"/>
        <v/>
      </c>
      <c r="AN85" s="484" t="str">
        <f t="shared" si="15"/>
        <v/>
      </c>
      <c r="AO85" s="473" t="str">
        <f t="shared" si="8"/>
        <v/>
      </c>
      <c r="AP85" s="473" t="str">
        <f t="shared" si="9"/>
        <v/>
      </c>
      <c r="AQ85" s="473" t="str">
        <f t="shared" si="10"/>
        <v/>
      </c>
      <c r="AR85" s="473" t="str">
        <f t="shared" si="11"/>
        <v/>
      </c>
      <c r="AS85" s="473" t="str">
        <f t="shared" si="12"/>
        <v/>
      </c>
      <c r="AT85" s="473" t="str">
        <f t="shared" si="13"/>
        <v/>
      </c>
      <c r="AU85" s="473" t="str">
        <f t="shared" si="14"/>
        <v/>
      </c>
      <c r="AY85" s="31" t="s">
        <v>18</v>
      </c>
      <c r="AZ85" s="488" t="s">
        <v>37</v>
      </c>
      <c r="BA85" s="489">
        <v>0.75</v>
      </c>
      <c r="BB85" s="419" t="s">
        <v>9</v>
      </c>
      <c r="BD85" s="279">
        <v>1</v>
      </c>
      <c r="BG85" s="271"/>
      <c r="BH85" s="271"/>
      <c r="BI85" s="271"/>
      <c r="BJ85" s="271"/>
      <c r="BK85" s="271"/>
      <c r="BL85" s="271"/>
    </row>
    <row r="86" spans="18:64" ht="21" customHeight="1" x14ac:dyDescent="0.25">
      <c r="R86" s="34" t="s">
        <v>6123</v>
      </c>
      <c r="S86" s="451"/>
      <c r="T86" s="31" t="s">
        <v>17</v>
      </c>
      <c r="V86" s="475">
        <v>1</v>
      </c>
      <c r="W86" s="475" t="str">
        <f>IF($AC$86="","",$W$72)</f>
        <v/>
      </c>
      <c r="X86" s="476" t="str">
        <f>IF($AC$86="","",$X$72)</f>
        <v/>
      </c>
      <c r="Y86" s="477" t="str">
        <f>IF($X$86="","",$Y$72)</f>
        <v/>
      </c>
      <c r="Z86" s="477" t="str">
        <f>IF($X$86="","",$Z$72)</f>
        <v/>
      </c>
      <c r="AA86" s="477" t="str">
        <f>IF($AC$86="","",ROW($A$86)-ROW($A$72))</f>
        <v/>
      </c>
      <c r="AB86" s="478"/>
      <c r="AC86" s="34"/>
      <c r="AD86" s="356"/>
      <c r="AE86" s="479"/>
      <c r="AF86" s="19"/>
      <c r="AG86" s="480" t="str">
        <f t="shared" si="4"/>
        <v/>
      </c>
      <c r="AH86" s="481" t="str">
        <f t="shared" si="5"/>
        <v/>
      </c>
      <c r="AI86" s="477" t="str">
        <f>IF($AC$86="","",IFERROR(INDEX($AZ$74:$AZ$119,MATCH($AH$86,$AY$74:$AY$119,0)),"AUTRE"))</f>
        <v/>
      </c>
      <c r="AJ86" s="482" t="str">
        <f>IF($AC$86="","",IFERROR(INDEX($BA$74:$BA$119,MATCH($AH$86,$AY$74:$AY$119,0)),1))</f>
        <v/>
      </c>
      <c r="AK86" s="482" t="str">
        <f t="shared" si="6"/>
        <v/>
      </c>
      <c r="AL86" s="477" t="str">
        <f>IF($AC$86="","",IFERROR(INDEX($BB$74:$BB$119,MATCH($AH$86,$AY$74:$AY$119,0)),$AH$86))</f>
        <v/>
      </c>
      <c r="AM86" s="483" t="str">
        <f t="shared" si="7"/>
        <v/>
      </c>
      <c r="AN86" s="484" t="str">
        <f t="shared" si="15"/>
        <v/>
      </c>
      <c r="AO86" s="473" t="str">
        <f t="shared" si="8"/>
        <v/>
      </c>
      <c r="AP86" s="473" t="str">
        <f t="shared" si="9"/>
        <v/>
      </c>
      <c r="AQ86" s="473" t="str">
        <f t="shared" si="10"/>
        <v/>
      </c>
      <c r="AR86" s="473" t="str">
        <f t="shared" si="11"/>
        <v/>
      </c>
      <c r="AS86" s="473" t="str">
        <f t="shared" si="12"/>
        <v/>
      </c>
      <c r="AT86" s="473" t="str">
        <f t="shared" si="13"/>
        <v/>
      </c>
      <c r="AU86" s="473" t="str">
        <f t="shared" si="14"/>
        <v/>
      </c>
      <c r="AY86" s="31" t="s">
        <v>19</v>
      </c>
      <c r="AZ86" s="488" t="s">
        <v>37</v>
      </c>
      <c r="BA86" s="489">
        <v>0.33333333300000001</v>
      </c>
      <c r="BB86" s="419" t="s">
        <v>9</v>
      </c>
      <c r="BD86" s="279">
        <v>1</v>
      </c>
      <c r="BG86" s="271"/>
      <c r="BH86" s="271"/>
      <c r="BI86" s="271"/>
      <c r="BJ86" s="271"/>
      <c r="BK86" s="271"/>
      <c r="BL86" s="271"/>
    </row>
    <row r="87" spans="18:64" ht="21" customHeight="1" x14ac:dyDescent="0.25">
      <c r="R87" s="34" t="s">
        <v>6124</v>
      </c>
      <c r="S87" s="451"/>
      <c r="T87" s="31" t="s">
        <v>18</v>
      </c>
      <c r="V87" s="475">
        <v>1</v>
      </c>
      <c r="W87" s="475" t="str">
        <f>IF($AC$87="","",$W$72)</f>
        <v/>
      </c>
      <c r="X87" s="476" t="str">
        <f>IF($AC$87="","",$X$72)</f>
        <v/>
      </c>
      <c r="Y87" s="477" t="str">
        <f>IF($X$87="","",$Y$72)</f>
        <v/>
      </c>
      <c r="Z87" s="477" t="str">
        <f>IF($X$87="","",$Z$72)</f>
        <v/>
      </c>
      <c r="AA87" s="477" t="str">
        <f>IF($AC$87="","",ROW($A$87)-ROW($A$72))</f>
        <v/>
      </c>
      <c r="AB87" s="478"/>
      <c r="AC87" s="34"/>
      <c r="AD87" s="356"/>
      <c r="AE87" s="479"/>
      <c r="AF87" s="19"/>
      <c r="AG87" s="480" t="str">
        <f t="shared" si="4"/>
        <v/>
      </c>
      <c r="AH87" s="481" t="str">
        <f t="shared" si="5"/>
        <v/>
      </c>
      <c r="AI87" s="477" t="str">
        <f>IF($AC$87="","",IFERROR(INDEX($AZ$74:$AZ$119,MATCH($AH$87,$AY$74:$AY$119,0)),"AUTRE"))</f>
        <v/>
      </c>
      <c r="AJ87" s="482" t="str">
        <f>IF($AC$87="","",IFERROR(INDEX($BA$74:$BA$119,MATCH($AH$87,$AY$74:$AY$119,0)),1))</f>
        <v/>
      </c>
      <c r="AK87" s="482" t="str">
        <f t="shared" si="6"/>
        <v/>
      </c>
      <c r="AL87" s="477" t="str">
        <f>IF($AC$87="","",IFERROR(INDEX($BB$74:$BB$119,MATCH($AH$87,$AY$74:$AY$119,0)),$AH$87))</f>
        <v/>
      </c>
      <c r="AM87" s="483" t="str">
        <f t="shared" si="7"/>
        <v/>
      </c>
      <c r="AN87" s="484" t="str">
        <f t="shared" si="15"/>
        <v/>
      </c>
      <c r="AO87" s="473" t="str">
        <f t="shared" si="8"/>
        <v/>
      </c>
      <c r="AP87" s="473" t="str">
        <f t="shared" si="9"/>
        <v/>
      </c>
      <c r="AQ87" s="473" t="str">
        <f t="shared" si="10"/>
        <v/>
      </c>
      <c r="AR87" s="473" t="str">
        <f t="shared" si="11"/>
        <v/>
      </c>
      <c r="AS87" s="473" t="str">
        <f t="shared" si="12"/>
        <v/>
      </c>
      <c r="AT87" s="473" t="str">
        <f t="shared" si="13"/>
        <v/>
      </c>
      <c r="AU87" s="473" t="str">
        <f t="shared" si="14"/>
        <v/>
      </c>
      <c r="AY87" s="31" t="s">
        <v>211</v>
      </c>
      <c r="AZ87" s="488" t="s">
        <v>37</v>
      </c>
      <c r="BA87" s="489">
        <v>0.66666666699999999</v>
      </c>
      <c r="BB87" s="419" t="s">
        <v>9</v>
      </c>
      <c r="BD87" s="279">
        <v>1</v>
      </c>
      <c r="BG87" s="271"/>
      <c r="BH87" s="271"/>
      <c r="BI87" s="271"/>
      <c r="BJ87" s="271"/>
      <c r="BK87" s="271"/>
      <c r="BL87" s="271"/>
    </row>
    <row r="88" spans="18:64" ht="21" customHeight="1" x14ac:dyDescent="0.25">
      <c r="R88" s="34" t="s">
        <v>6125</v>
      </c>
      <c r="S88" s="451"/>
      <c r="T88" s="31" t="s">
        <v>19</v>
      </c>
      <c r="V88" s="475">
        <v>1</v>
      </c>
      <c r="W88" s="475" t="str">
        <f>IF($AC$88="","",$W$72)</f>
        <v/>
      </c>
      <c r="X88" s="476" t="str">
        <f>IF($AC$88="","",$X$72)</f>
        <v/>
      </c>
      <c r="Y88" s="477" t="str">
        <f>IF($X$88="","",$Y$72)</f>
        <v/>
      </c>
      <c r="Z88" s="477" t="str">
        <f>IF($X$88="","",$Z$72)</f>
        <v/>
      </c>
      <c r="AA88" s="477" t="str">
        <f>IF($AC$88="","",ROW($A$88)-ROW($A$72))</f>
        <v/>
      </c>
      <c r="AB88" s="478"/>
      <c r="AC88" s="34"/>
      <c r="AD88" s="356"/>
      <c r="AE88" s="479"/>
      <c r="AF88" s="19"/>
      <c r="AG88" s="480" t="str">
        <f t="shared" si="4"/>
        <v/>
      </c>
      <c r="AH88" s="481" t="str">
        <f t="shared" si="5"/>
        <v/>
      </c>
      <c r="AI88" s="477" t="str">
        <f>IF($AC$88="","",IFERROR(INDEX($AZ$74:$AZ$119,MATCH($AH$88,$AY$74:$AY$119,0)),"AUTRE"))</f>
        <v/>
      </c>
      <c r="AJ88" s="482" t="str">
        <f>IF($AC$88="","",IFERROR(INDEX($BA$74:$BA$119,MATCH($AH$88,$AY$74:$AY$119,0)),1))</f>
        <v/>
      </c>
      <c r="AK88" s="482" t="str">
        <f t="shared" si="6"/>
        <v/>
      </c>
      <c r="AL88" s="477" t="str">
        <f>IF($AC$88="","",IFERROR(INDEX($BB$74:$BB$119,MATCH($AH$88,$AY$74:$AY$119,0)),$AH$88))</f>
        <v/>
      </c>
      <c r="AM88" s="483" t="str">
        <f t="shared" si="7"/>
        <v/>
      </c>
      <c r="AN88" s="484" t="str">
        <f t="shared" si="15"/>
        <v/>
      </c>
      <c r="AO88" s="473" t="str">
        <f t="shared" si="8"/>
        <v/>
      </c>
      <c r="AP88" s="473" t="str">
        <f t="shared" si="9"/>
        <v/>
      </c>
      <c r="AQ88" s="473" t="str">
        <f t="shared" si="10"/>
        <v/>
      </c>
      <c r="AR88" s="473" t="str">
        <f t="shared" si="11"/>
        <v/>
      </c>
      <c r="AS88" s="473" t="str">
        <f t="shared" si="12"/>
        <v/>
      </c>
      <c r="AT88" s="473" t="str">
        <f t="shared" si="13"/>
        <v/>
      </c>
      <c r="AU88" s="473" t="str">
        <f t="shared" si="14"/>
        <v/>
      </c>
      <c r="AY88" s="31" t="s">
        <v>20</v>
      </c>
      <c r="AZ88" s="488" t="s">
        <v>37</v>
      </c>
      <c r="BA88" s="489">
        <v>0.2</v>
      </c>
      <c r="BB88" s="419" t="s">
        <v>9</v>
      </c>
      <c r="BD88" s="279">
        <v>1</v>
      </c>
      <c r="BG88" s="271"/>
      <c r="BH88" s="271"/>
      <c r="BI88" s="271"/>
      <c r="BJ88" s="271"/>
      <c r="BK88" s="271"/>
      <c r="BL88" s="271"/>
    </row>
    <row r="89" spans="18:64" ht="21" customHeight="1" x14ac:dyDescent="0.25">
      <c r="R89" s="34" t="s">
        <v>6126</v>
      </c>
      <c r="S89" s="451"/>
      <c r="T89" s="31" t="s">
        <v>211</v>
      </c>
      <c r="V89" s="475">
        <v>1</v>
      </c>
      <c r="W89" s="475" t="str">
        <f>IF($AC$89="","",$W$72)</f>
        <v/>
      </c>
      <c r="X89" s="476" t="str">
        <f>IF($AC$89="","",$X$72)</f>
        <v/>
      </c>
      <c r="Y89" s="477" t="str">
        <f>IF($X$89="","",$Y$72)</f>
        <v/>
      </c>
      <c r="Z89" s="477" t="str">
        <f>IF($X$89="","",$Z$72)</f>
        <v/>
      </c>
      <c r="AA89" s="477" t="str">
        <f>IF($AC$89="","",ROW($A$89)-ROW($A$72))</f>
        <v/>
      </c>
      <c r="AB89" s="478"/>
      <c r="AC89" s="34"/>
      <c r="AD89" s="356"/>
      <c r="AE89" s="479"/>
      <c r="AF89" s="19"/>
      <c r="AG89" s="480" t="str">
        <f t="shared" si="4"/>
        <v/>
      </c>
      <c r="AH89" s="481" t="str">
        <f t="shared" si="5"/>
        <v/>
      </c>
      <c r="AI89" s="477" t="str">
        <f>IF($AC$89="","",IFERROR(INDEX($AZ$74:$AZ$119,MATCH($AH$89,$AY$74:$AY$119,0)),"AUTRE"))</f>
        <v/>
      </c>
      <c r="AJ89" s="482" t="str">
        <f>IF($AC$89="","",IFERROR(INDEX($BA$74:$BA$119,MATCH($AH$89,$AY$74:$AY$119,0)),1))</f>
        <v/>
      </c>
      <c r="AK89" s="482" t="str">
        <f t="shared" si="6"/>
        <v/>
      </c>
      <c r="AL89" s="477" t="str">
        <f>IF($AC$89="","",IFERROR(INDEX($BB$74:$BB$119,MATCH($AH$89,$AY$74:$AY$119,0)),$AH$89))</f>
        <v/>
      </c>
      <c r="AM89" s="483" t="str">
        <f t="shared" si="7"/>
        <v/>
      </c>
      <c r="AN89" s="484" t="str">
        <f t="shared" si="15"/>
        <v/>
      </c>
      <c r="AO89" s="473" t="str">
        <f t="shared" si="8"/>
        <v/>
      </c>
      <c r="AP89" s="473" t="str">
        <f t="shared" si="9"/>
        <v/>
      </c>
      <c r="AQ89" s="473" t="str">
        <f t="shared" si="10"/>
        <v/>
      </c>
      <c r="AR89" s="473" t="str">
        <f t="shared" si="11"/>
        <v/>
      </c>
      <c r="AS89" s="473" t="str">
        <f t="shared" si="12"/>
        <v/>
      </c>
      <c r="AT89" s="473" t="str">
        <f t="shared" si="13"/>
        <v/>
      </c>
      <c r="AU89" s="473" t="str">
        <f t="shared" si="14"/>
        <v/>
      </c>
      <c r="AY89" s="31" t="s">
        <v>304</v>
      </c>
      <c r="AZ89" s="488" t="s">
        <v>37</v>
      </c>
      <c r="BA89" s="489">
        <v>0.125</v>
      </c>
      <c r="BB89" s="419" t="s">
        <v>9</v>
      </c>
      <c r="BC89" s="271"/>
      <c r="BD89" s="279">
        <v>1</v>
      </c>
      <c r="BG89" s="271"/>
      <c r="BH89" s="271"/>
      <c r="BI89" s="271"/>
      <c r="BJ89" s="271"/>
      <c r="BK89" s="271"/>
      <c r="BL89" s="271"/>
    </row>
    <row r="90" spans="18:64" ht="21" customHeight="1" x14ac:dyDescent="0.25">
      <c r="R90" s="34" t="s">
        <v>6127</v>
      </c>
      <c r="S90" s="451"/>
      <c r="T90" s="31" t="s">
        <v>20</v>
      </c>
      <c r="V90" s="475">
        <v>1</v>
      </c>
      <c r="W90" s="475" t="str">
        <f>IF($AC$90="","",$W$72)</f>
        <v/>
      </c>
      <c r="X90" s="476" t="str">
        <f>IF($AC$90="","",$X$72)</f>
        <v/>
      </c>
      <c r="Y90" s="477" t="str">
        <f>IF($X$90="","",$Y$72)</f>
        <v/>
      </c>
      <c r="Z90" s="477" t="str">
        <f>IF($X$90="","",$Z$72)</f>
        <v/>
      </c>
      <c r="AA90" s="477" t="str">
        <f>IF($AC$90="","",ROW($A$90)-ROW($A$72))</f>
        <v/>
      </c>
      <c r="AB90" s="478"/>
      <c r="AC90" s="34"/>
      <c r="AD90" s="356"/>
      <c r="AE90" s="479"/>
      <c r="AF90" s="19"/>
      <c r="AG90" s="480" t="str">
        <f t="shared" si="4"/>
        <v/>
      </c>
      <c r="AH90" s="481" t="str">
        <f t="shared" si="5"/>
        <v/>
      </c>
      <c r="AI90" s="477" t="str">
        <f>IF($AC$90="","",IFERROR(INDEX($AZ$74:$AZ$119,MATCH($AH$90,$AY$74:$AY$119,0)),"AUTRE"))</f>
        <v/>
      </c>
      <c r="AJ90" s="482" t="str">
        <f>IF($AC$90="","",IFERROR(INDEX($BA$74:$BA$119,MATCH($AH$90,$AY$74:$AY$119,0)),1))</f>
        <v/>
      </c>
      <c r="AK90" s="482" t="str">
        <f t="shared" si="6"/>
        <v/>
      </c>
      <c r="AL90" s="477" t="str">
        <f>IF($AC$90="","",IFERROR(INDEX($BB$74:$BB$119,MATCH($AH$90,$AY$74:$AY$119,0)),$AH$90))</f>
        <v/>
      </c>
      <c r="AM90" s="483" t="str">
        <f t="shared" si="7"/>
        <v/>
      </c>
      <c r="AN90" s="484" t="str">
        <f t="shared" si="15"/>
        <v/>
      </c>
      <c r="AO90" s="473" t="str">
        <f t="shared" si="8"/>
        <v/>
      </c>
      <c r="AP90" s="473" t="str">
        <f t="shared" si="9"/>
        <v/>
      </c>
      <c r="AQ90" s="473" t="str">
        <f t="shared" si="10"/>
        <v/>
      </c>
      <c r="AR90" s="473" t="str">
        <f t="shared" si="11"/>
        <v/>
      </c>
      <c r="AS90" s="473" t="str">
        <f t="shared" si="12"/>
        <v/>
      </c>
      <c r="AT90" s="473" t="str">
        <f t="shared" si="13"/>
        <v/>
      </c>
      <c r="AU90" s="473" t="str">
        <f t="shared" si="14"/>
        <v/>
      </c>
      <c r="AY90" s="31" t="s">
        <v>352</v>
      </c>
      <c r="AZ90" s="488" t="s">
        <v>37</v>
      </c>
      <c r="BA90" s="489">
        <v>0.125</v>
      </c>
      <c r="BB90" s="419" t="s">
        <v>9</v>
      </c>
      <c r="BC90" s="271"/>
      <c r="BD90" s="279">
        <v>1</v>
      </c>
      <c r="BG90" s="271"/>
      <c r="BH90" s="271"/>
      <c r="BI90" s="271"/>
      <c r="BJ90" s="271"/>
      <c r="BK90" s="271"/>
      <c r="BL90" s="271"/>
    </row>
    <row r="91" spans="18:64" ht="21" customHeight="1" x14ac:dyDescent="0.25">
      <c r="R91" s="25" t="s">
        <v>6128</v>
      </c>
      <c r="S91" s="451"/>
      <c r="T91" s="31" t="s">
        <v>304</v>
      </c>
      <c r="V91" s="475">
        <v>1</v>
      </c>
      <c r="W91" s="475" t="str">
        <f>IF($AC$91="","",$W$72)</f>
        <v/>
      </c>
      <c r="X91" s="476" t="str">
        <f>IF($AC$91="","",$X$72)</f>
        <v/>
      </c>
      <c r="Y91" s="477" t="str">
        <f>IF($X$91="","",$Y$72)</f>
        <v/>
      </c>
      <c r="Z91" s="477" t="str">
        <f>IF($X$91="","",$Z$72)</f>
        <v/>
      </c>
      <c r="AA91" s="477" t="str">
        <f>IF($AC$91="","",ROW($A$91)-ROW($A$72))</f>
        <v/>
      </c>
      <c r="AB91" s="478"/>
      <c r="AC91" s="34"/>
      <c r="AD91" s="356"/>
      <c r="AE91" s="479"/>
      <c r="AF91" s="19"/>
      <c r="AG91" s="480" t="str">
        <f t="shared" si="4"/>
        <v/>
      </c>
      <c r="AH91" s="481" t="str">
        <f t="shared" si="5"/>
        <v/>
      </c>
      <c r="AI91" s="477" t="str">
        <f>IF($AC$91="","",IFERROR(INDEX($AZ$74:$AZ$119,MATCH($AH$91,$AY$74:$AY$119,0)),"AUTRE"))</f>
        <v/>
      </c>
      <c r="AJ91" s="482" t="str">
        <f>IF($AC$91="","",IFERROR(INDEX($BA$74:$BA$119,MATCH($AH$91,$AY$74:$AY$119,0)),1))</f>
        <v/>
      </c>
      <c r="AK91" s="482" t="str">
        <f t="shared" si="6"/>
        <v/>
      </c>
      <c r="AL91" s="477" t="str">
        <f>IF($AC$91="","",IFERROR(INDEX($BB$74:$BB$119,MATCH($AH$91,$AY$74:$AY$119,0)),$AH$91))</f>
        <v/>
      </c>
      <c r="AM91" s="483" t="str">
        <f t="shared" si="7"/>
        <v/>
      </c>
      <c r="AN91" s="484" t="str">
        <f t="shared" si="15"/>
        <v/>
      </c>
      <c r="AO91" s="473" t="str">
        <f t="shared" si="8"/>
        <v/>
      </c>
      <c r="AP91" s="473" t="str">
        <f t="shared" si="9"/>
        <v/>
      </c>
      <c r="AQ91" s="473" t="str">
        <f t="shared" si="10"/>
        <v/>
      </c>
      <c r="AR91" s="473" t="str">
        <f t="shared" si="11"/>
        <v/>
      </c>
      <c r="AS91" s="473" t="str">
        <f t="shared" si="12"/>
        <v/>
      </c>
      <c r="AT91" s="473" t="str">
        <f t="shared" si="13"/>
        <v/>
      </c>
      <c r="AU91" s="473" t="str">
        <f t="shared" si="14"/>
        <v/>
      </c>
      <c r="AY91" s="31" t="s">
        <v>27</v>
      </c>
      <c r="AZ91" s="488" t="s">
        <v>37</v>
      </c>
      <c r="BA91" s="489">
        <v>5.0000000000000001E-3</v>
      </c>
      <c r="BB91" s="419" t="s">
        <v>9</v>
      </c>
      <c r="BC91" s="271"/>
      <c r="BD91" s="279">
        <v>1</v>
      </c>
      <c r="BG91" s="271"/>
      <c r="BH91" s="271"/>
      <c r="BI91" s="271"/>
      <c r="BJ91" s="271"/>
      <c r="BK91" s="271"/>
      <c r="BL91" s="271"/>
    </row>
    <row r="92" spans="18:64" ht="21" customHeight="1" x14ac:dyDescent="0.25">
      <c r="R92" s="34" t="s">
        <v>474</v>
      </c>
      <c r="S92" s="451"/>
      <c r="T92" s="31" t="s">
        <v>352</v>
      </c>
      <c r="V92" s="475">
        <v>1</v>
      </c>
      <c r="W92" s="475" t="str">
        <f>IF($AC$92="","",$W$72)</f>
        <v/>
      </c>
      <c r="X92" s="476" t="str">
        <f>IF($AC$92="","",$X$72)</f>
        <v/>
      </c>
      <c r="Y92" s="477" t="str">
        <f>IF($X$92="","",$Y$72)</f>
        <v/>
      </c>
      <c r="Z92" s="477" t="str">
        <f>IF($X$92="","",$Z$72)</f>
        <v/>
      </c>
      <c r="AA92" s="477" t="str">
        <f>IF($AC$92="","",ROW($A$92)-ROW($A$72))</f>
        <v/>
      </c>
      <c r="AB92" s="478"/>
      <c r="AC92" s="34"/>
      <c r="AD92" s="356"/>
      <c r="AE92" s="479"/>
      <c r="AF92" s="19"/>
      <c r="AG92" s="480" t="str">
        <f t="shared" si="4"/>
        <v/>
      </c>
      <c r="AH92" s="481" t="str">
        <f t="shared" si="5"/>
        <v/>
      </c>
      <c r="AI92" s="477" t="str">
        <f>IF($AC$92="","",IFERROR(INDEX($AZ$74:$AZ$119,MATCH($AH$92,$AY$74:$AY$119,0)),"AUTRE"))</f>
        <v/>
      </c>
      <c r="AJ92" s="482" t="str">
        <f>IF($AC$92="","",IFERROR(INDEX($BA$74:$BA$119,MATCH($AH$92,$AY$74:$AY$119,0)),1))</f>
        <v/>
      </c>
      <c r="AK92" s="482" t="str">
        <f t="shared" si="6"/>
        <v/>
      </c>
      <c r="AL92" s="477" t="str">
        <f>IF($AC$92="","",IFERROR(INDEX($BB$74:$BB$119,MATCH($AH$92,$AY$74:$AY$119,0)),$AH$92))</f>
        <v/>
      </c>
      <c r="AM92" s="483" t="str">
        <f t="shared" si="7"/>
        <v/>
      </c>
      <c r="AN92" s="484" t="str">
        <f t="shared" si="15"/>
        <v/>
      </c>
      <c r="AO92" s="473" t="str">
        <f t="shared" si="8"/>
        <v/>
      </c>
      <c r="AP92" s="473" t="str">
        <f t="shared" si="9"/>
        <v/>
      </c>
      <c r="AQ92" s="473" t="str">
        <f t="shared" si="10"/>
        <v/>
      </c>
      <c r="AR92" s="473" t="str">
        <f t="shared" si="11"/>
        <v/>
      </c>
      <c r="AS92" s="473" t="str">
        <f t="shared" si="12"/>
        <v/>
      </c>
      <c r="AT92" s="473" t="str">
        <f t="shared" si="13"/>
        <v/>
      </c>
      <c r="AU92" s="473" t="str">
        <f t="shared" si="14"/>
        <v/>
      </c>
      <c r="AY92" s="31" t="s">
        <v>28</v>
      </c>
      <c r="AZ92" s="488" t="s">
        <v>37</v>
      </c>
      <c r="BA92" s="489">
        <v>5.0000000000000001E-3</v>
      </c>
      <c r="BB92" s="419" t="s">
        <v>9</v>
      </c>
      <c r="BC92" s="271"/>
      <c r="BD92" s="279">
        <v>1</v>
      </c>
      <c r="BG92" s="271"/>
      <c r="BH92" s="271"/>
      <c r="BI92" s="271"/>
      <c r="BJ92" s="271"/>
      <c r="BK92" s="271"/>
      <c r="BL92" s="271"/>
    </row>
    <row r="93" spans="18:64" ht="21" customHeight="1" x14ac:dyDescent="0.25">
      <c r="R93" s="34" t="s">
        <v>490</v>
      </c>
      <c r="S93" s="451"/>
      <c r="T93" s="31" t="s">
        <v>25</v>
      </c>
      <c r="V93" s="475">
        <v>1</v>
      </c>
      <c r="W93" s="475" t="str">
        <f>IF($AC$93="","",$W$72)</f>
        <v/>
      </c>
      <c r="X93" s="476" t="str">
        <f>IF($AC$93="","",$X$72)</f>
        <v/>
      </c>
      <c r="Y93" s="477" t="str">
        <f>IF($X$93="","",$Y$72)</f>
        <v/>
      </c>
      <c r="Z93" s="477" t="str">
        <f>IF($X$93="","",$Z$72)</f>
        <v/>
      </c>
      <c r="AA93" s="477" t="str">
        <f>IF($AC$93="","",ROW($A$93)-ROW($A$72))</f>
        <v/>
      </c>
      <c r="AB93" s="478"/>
      <c r="AC93" s="34"/>
      <c r="AD93" s="356"/>
      <c r="AE93" s="479"/>
      <c r="AF93" s="19"/>
      <c r="AG93" s="480" t="str">
        <f t="shared" si="4"/>
        <v/>
      </c>
      <c r="AH93" s="481" t="str">
        <f t="shared" si="5"/>
        <v/>
      </c>
      <c r="AI93" s="477" t="str">
        <f>IF($AC$93="","",IFERROR(INDEX($AZ$74:$AZ$119,MATCH($AH$93,$AY$74:$AY$119,0)),"AUTRE"))</f>
        <v/>
      </c>
      <c r="AJ93" s="482" t="str">
        <f>IF($AC$93="","",IFERROR(INDEX($BA$74:$BA$119,MATCH($AH$93,$AY$74:$AY$119,0)),1))</f>
        <v/>
      </c>
      <c r="AK93" s="482" t="str">
        <f t="shared" si="6"/>
        <v/>
      </c>
      <c r="AL93" s="477" t="str">
        <f>IF($AC$93="","",IFERROR(INDEX($BB$74:$BB$119,MATCH($AH$93,$AY$74:$AY$119,0)),$AH$93))</f>
        <v/>
      </c>
      <c r="AM93" s="483" t="str">
        <f t="shared" si="7"/>
        <v/>
      </c>
      <c r="AN93" s="484" t="str">
        <f t="shared" si="15"/>
        <v/>
      </c>
      <c r="AO93" s="473" t="str">
        <f t="shared" si="8"/>
        <v/>
      </c>
      <c r="AP93" s="473" t="str">
        <f t="shared" si="9"/>
        <v/>
      </c>
      <c r="AQ93" s="473" t="str">
        <f t="shared" si="10"/>
        <v/>
      </c>
      <c r="AR93" s="473" t="str">
        <f t="shared" si="11"/>
        <v/>
      </c>
      <c r="AS93" s="473" t="str">
        <f t="shared" si="12"/>
        <v/>
      </c>
      <c r="AT93" s="473" t="str">
        <f t="shared" si="13"/>
        <v/>
      </c>
      <c r="AU93" s="473" t="str">
        <f t="shared" si="14"/>
        <v/>
      </c>
      <c r="AY93" s="31" t="s">
        <v>29</v>
      </c>
      <c r="AZ93" s="488" t="s">
        <v>37</v>
      </c>
      <c r="BA93" s="489">
        <v>1.4999999999999999E-2</v>
      </c>
      <c r="BB93" s="419" t="s">
        <v>9</v>
      </c>
      <c r="BC93" s="271"/>
      <c r="BD93" s="279">
        <v>1</v>
      </c>
      <c r="BG93" s="271"/>
      <c r="BH93" s="271"/>
      <c r="BI93" s="271"/>
      <c r="BJ93" s="271"/>
      <c r="BK93" s="271"/>
      <c r="BL93" s="271"/>
    </row>
    <row r="94" spans="18:64" ht="21" customHeight="1" x14ac:dyDescent="0.25">
      <c r="R94" s="34" t="s">
        <v>6129</v>
      </c>
      <c r="S94" s="451"/>
      <c r="T94" s="31" t="s">
        <v>26</v>
      </c>
      <c r="V94" s="475">
        <v>1</v>
      </c>
      <c r="W94" s="475" t="str">
        <f>IF($AC$94="","",$W$72)</f>
        <v/>
      </c>
      <c r="X94" s="476" t="str">
        <f>IF($AC$94="","",$X$72)</f>
        <v/>
      </c>
      <c r="Y94" s="477" t="str">
        <f>IF($X$94="","",$Y$72)</f>
        <v/>
      </c>
      <c r="Z94" s="477" t="str">
        <f>IF($X$94="","",$Z$72)</f>
        <v/>
      </c>
      <c r="AA94" s="477" t="str">
        <f>IF($AC$94="","",ROW($A$94)-ROW($A$72))</f>
        <v/>
      </c>
      <c r="AB94" s="478"/>
      <c r="AC94" s="34"/>
      <c r="AD94" s="356"/>
      <c r="AE94" s="479"/>
      <c r="AF94" s="19"/>
      <c r="AG94" s="480" t="str">
        <f t="shared" si="4"/>
        <v/>
      </c>
      <c r="AH94" s="481" t="str">
        <f t="shared" si="5"/>
        <v/>
      </c>
      <c r="AI94" s="477" t="str">
        <f>IF($AC$94="","",IFERROR(INDEX($AZ$74:$AZ$119,MATCH($AH$94,$AY$74:$AY$119,0)),"AUTRE"))</f>
        <v/>
      </c>
      <c r="AJ94" s="482" t="str">
        <f>IF($AC$94="","",IFERROR(INDEX($BA$74:$BA$119,MATCH($AH$94,$AY$74:$AY$119,0)),1))</f>
        <v/>
      </c>
      <c r="AK94" s="482" t="str">
        <f t="shared" si="6"/>
        <v/>
      </c>
      <c r="AL94" s="477" t="str">
        <f>IF($AC$94="","",IFERROR(INDEX($BB$74:$BB$119,MATCH($AH$94,$AY$74:$AY$119,0)),$AH$94))</f>
        <v/>
      </c>
      <c r="AM94" s="483" t="str">
        <f t="shared" si="7"/>
        <v/>
      </c>
      <c r="AN94" s="484" t="str">
        <f t="shared" si="15"/>
        <v/>
      </c>
      <c r="AO94" s="473" t="str">
        <f t="shared" si="8"/>
        <v/>
      </c>
      <c r="AP94" s="473" t="str">
        <f t="shared" si="9"/>
        <v/>
      </c>
      <c r="AQ94" s="473" t="str">
        <f t="shared" si="10"/>
        <v/>
      </c>
      <c r="AR94" s="473" t="str">
        <f t="shared" si="11"/>
        <v/>
      </c>
      <c r="AS94" s="473" t="str">
        <f t="shared" si="12"/>
        <v/>
      </c>
      <c r="AT94" s="473" t="str">
        <f t="shared" si="13"/>
        <v/>
      </c>
      <c r="AU94" s="473" t="str">
        <f t="shared" si="14"/>
        <v/>
      </c>
      <c r="AY94" s="31" t="s">
        <v>30</v>
      </c>
      <c r="AZ94" s="488" t="s">
        <v>37</v>
      </c>
      <c r="BA94" s="489">
        <v>0.1</v>
      </c>
      <c r="BB94" s="419" t="s">
        <v>9</v>
      </c>
      <c r="BC94" s="271"/>
      <c r="BD94" s="279">
        <v>1</v>
      </c>
      <c r="BG94" s="271"/>
      <c r="BH94" s="271"/>
      <c r="BI94" s="271"/>
      <c r="BJ94" s="271"/>
      <c r="BK94" s="271"/>
      <c r="BL94" s="271"/>
    </row>
    <row r="95" spans="18:64" ht="21" customHeight="1" x14ac:dyDescent="0.25">
      <c r="R95" s="34" t="s">
        <v>478</v>
      </c>
      <c r="S95" s="451"/>
      <c r="T95" s="31" t="s">
        <v>27</v>
      </c>
      <c r="V95" s="475">
        <v>1</v>
      </c>
      <c r="W95" s="475" t="str">
        <f>IF($AC$95="","",$W$72)</f>
        <v/>
      </c>
      <c r="X95" s="476" t="str">
        <f>IF($AC$95="","",$X$72)</f>
        <v/>
      </c>
      <c r="Y95" s="477" t="str">
        <f>IF($X$95="","",$Y$72)</f>
        <v/>
      </c>
      <c r="Z95" s="477" t="str">
        <f>IF($X$95="","",$Z$72)</f>
        <v/>
      </c>
      <c r="AA95" s="477" t="str">
        <f>IF($AC$95="","",ROW($A$95)-ROW($A$72))</f>
        <v/>
      </c>
      <c r="AB95" s="478"/>
      <c r="AC95" s="34"/>
      <c r="AD95" s="356"/>
      <c r="AE95" s="479"/>
      <c r="AF95" s="19"/>
      <c r="AG95" s="480" t="str">
        <f t="shared" si="4"/>
        <v/>
      </c>
      <c r="AH95" s="481" t="str">
        <f t="shared" si="5"/>
        <v/>
      </c>
      <c r="AI95" s="477" t="str">
        <f>IF($AC$95="","",IFERROR(INDEX($AZ$74:$AZ$119,MATCH($AH$95,$AY$74:$AY$119,0)),"AUTRE"))</f>
        <v/>
      </c>
      <c r="AJ95" s="482" t="str">
        <f>IF($AC$95="","",IFERROR(INDEX($BA$74:$BA$119,MATCH($AH$95,$AY$74:$AY$119,0)),1))</f>
        <v/>
      </c>
      <c r="AK95" s="482" t="str">
        <f t="shared" si="6"/>
        <v/>
      </c>
      <c r="AL95" s="477" t="str">
        <f>IF($AC$95="","",IFERROR(INDEX($BB$74:$BB$119,MATCH($AH$95,$AY$74:$AY$119,0)),$AH$95))</f>
        <v/>
      </c>
      <c r="AM95" s="483" t="str">
        <f t="shared" si="7"/>
        <v/>
      </c>
      <c r="AN95" s="484" t="str">
        <f t="shared" si="15"/>
        <v/>
      </c>
      <c r="AO95" s="473" t="str">
        <f t="shared" si="8"/>
        <v/>
      </c>
      <c r="AP95" s="473" t="str">
        <f t="shared" si="9"/>
        <v/>
      </c>
      <c r="AQ95" s="473" t="str">
        <f t="shared" si="10"/>
        <v/>
      </c>
      <c r="AR95" s="473" t="str">
        <f t="shared" si="11"/>
        <v/>
      </c>
      <c r="AS95" s="473" t="str">
        <f t="shared" si="12"/>
        <v/>
      </c>
      <c r="AT95" s="473" t="str">
        <f t="shared" si="13"/>
        <v/>
      </c>
      <c r="AU95" s="473" t="str">
        <f t="shared" si="14"/>
        <v/>
      </c>
      <c r="AY95" s="32" t="s">
        <v>33</v>
      </c>
      <c r="AZ95" s="488" t="s">
        <v>38</v>
      </c>
      <c r="BA95" s="489">
        <v>1</v>
      </c>
      <c r="BB95" s="419" t="s">
        <v>8035</v>
      </c>
      <c r="BC95" s="271"/>
      <c r="BD95" s="279">
        <v>1</v>
      </c>
      <c r="BG95" s="271"/>
      <c r="BH95" s="271"/>
      <c r="BI95" s="271"/>
      <c r="BJ95" s="271"/>
      <c r="BK95" s="271"/>
      <c r="BL95" s="271"/>
    </row>
    <row r="96" spans="18:64" ht="21" customHeight="1" x14ac:dyDescent="0.25">
      <c r="R96" s="34" t="s">
        <v>6130</v>
      </c>
      <c r="S96" s="451"/>
      <c r="T96" s="31" t="s">
        <v>28</v>
      </c>
      <c r="V96" s="475">
        <v>1</v>
      </c>
      <c r="W96" s="475" t="str">
        <f>IF($AC$96="","",$W$72)</f>
        <v/>
      </c>
      <c r="X96" s="476" t="str">
        <f>IF($AC$96="","",$X$72)</f>
        <v/>
      </c>
      <c r="Y96" s="477" t="str">
        <f>IF($X$96="","",$Y$72)</f>
        <v/>
      </c>
      <c r="Z96" s="477" t="str">
        <f>IF($X$96="","",$Z$72)</f>
        <v/>
      </c>
      <c r="AA96" s="477" t="str">
        <f>IF($AC$96="","",ROW($A$96)-ROW($A$72))</f>
        <v/>
      </c>
      <c r="AB96" s="478"/>
      <c r="AC96" s="34"/>
      <c r="AD96" s="356"/>
      <c r="AE96" s="479"/>
      <c r="AF96" s="19"/>
      <c r="AG96" s="480" t="str">
        <f t="shared" si="4"/>
        <v/>
      </c>
      <c r="AH96" s="481" t="str">
        <f t="shared" si="5"/>
        <v/>
      </c>
      <c r="AI96" s="477" t="str">
        <f>IF($AC$96="","",IFERROR(INDEX($AZ$74:$AZ$119,MATCH($AH$96,$AY$74:$AY$119,0)),"AUTRE"))</f>
        <v/>
      </c>
      <c r="AJ96" s="482" t="str">
        <f>IF($AC$96="","",IFERROR(INDEX($BA$74:$BA$119,MATCH($AH$96,$AY$74:$AY$119,0)),1))</f>
        <v/>
      </c>
      <c r="AK96" s="482" t="str">
        <f t="shared" si="6"/>
        <v/>
      </c>
      <c r="AL96" s="477" t="str">
        <f>IF($AC$96="","",IFERROR(INDEX($BB$74:$BB$119,MATCH($AH$96,$AY$74:$AY$119,0)),$AH$96))</f>
        <v/>
      </c>
      <c r="AM96" s="483" t="str">
        <f t="shared" si="7"/>
        <v/>
      </c>
      <c r="AN96" s="484" t="str">
        <f t="shared" si="15"/>
        <v/>
      </c>
      <c r="AO96" s="473" t="str">
        <f t="shared" si="8"/>
        <v/>
      </c>
      <c r="AP96" s="473" t="str">
        <f t="shared" si="9"/>
        <v/>
      </c>
      <c r="AQ96" s="473" t="str">
        <f t="shared" si="10"/>
        <v/>
      </c>
      <c r="AR96" s="473" t="str">
        <f t="shared" si="11"/>
        <v/>
      </c>
      <c r="AS96" s="473" t="str">
        <f t="shared" si="12"/>
        <v/>
      </c>
      <c r="AT96" s="473" t="str">
        <f t="shared" si="13"/>
        <v/>
      </c>
      <c r="AU96" s="473" t="str">
        <f t="shared" si="14"/>
        <v/>
      </c>
      <c r="AY96" s="32" t="s">
        <v>8125</v>
      </c>
      <c r="AZ96" s="488" t="s">
        <v>38</v>
      </c>
      <c r="BA96" s="489">
        <v>1</v>
      </c>
      <c r="BB96" s="419" t="s">
        <v>8126</v>
      </c>
      <c r="BC96" s="271"/>
      <c r="BD96" s="279">
        <v>1</v>
      </c>
      <c r="BG96" s="271"/>
      <c r="BH96" s="271"/>
      <c r="BI96" s="271"/>
      <c r="BJ96" s="271"/>
      <c r="BK96" s="271"/>
      <c r="BL96" s="271"/>
    </row>
    <row r="97" spans="18:64" ht="21" customHeight="1" x14ac:dyDescent="0.25">
      <c r="R97" s="34" t="s">
        <v>486</v>
      </c>
      <c r="S97" s="451"/>
      <c r="T97" s="31" t="s">
        <v>29</v>
      </c>
      <c r="V97" s="475">
        <v>1</v>
      </c>
      <c r="W97" s="475" t="str">
        <f>IF($AC$97="","",$W$72)</f>
        <v/>
      </c>
      <c r="X97" s="476" t="str">
        <f>IF($AC$97="","",$X$72)</f>
        <v/>
      </c>
      <c r="Y97" s="477" t="str">
        <f>IF($X$97="","",$Y$72)</f>
        <v/>
      </c>
      <c r="Z97" s="477" t="str">
        <f>IF($X$97="","",$Z$72)</f>
        <v/>
      </c>
      <c r="AA97" s="477" t="str">
        <f>IF($AC$97="","",ROW($A$97)-ROW($A$72))</f>
        <v/>
      </c>
      <c r="AB97" s="478"/>
      <c r="AC97" s="34"/>
      <c r="AD97" s="356"/>
      <c r="AE97" s="479"/>
      <c r="AF97" s="19"/>
      <c r="AG97" s="480" t="str">
        <f t="shared" si="4"/>
        <v/>
      </c>
      <c r="AH97" s="481" t="str">
        <f t="shared" si="5"/>
        <v/>
      </c>
      <c r="AI97" s="477" t="str">
        <f>IF($AC$97="","",IFERROR(INDEX($AZ$74:$AZ$119,MATCH($AH$97,$AY$74:$AY$119,0)),"AUTRE"))</f>
        <v/>
      </c>
      <c r="AJ97" s="482" t="str">
        <f>IF($AC$97="","",IFERROR(INDEX($BA$74:$BA$119,MATCH($AH$97,$AY$74:$AY$119,0)),1))</f>
        <v/>
      </c>
      <c r="AK97" s="482" t="str">
        <f t="shared" si="6"/>
        <v/>
      </c>
      <c r="AL97" s="477" t="str">
        <f>IF($AC$97="","",IFERROR(INDEX($BB$74:$BB$119,MATCH($AH$97,$AY$74:$AY$119,0)),$AH$97))</f>
        <v/>
      </c>
      <c r="AM97" s="483" t="str">
        <f t="shared" si="7"/>
        <v/>
      </c>
      <c r="AN97" s="484" t="str">
        <f t="shared" si="15"/>
        <v/>
      </c>
      <c r="AO97" s="473" t="str">
        <f t="shared" si="8"/>
        <v/>
      </c>
      <c r="AP97" s="473" t="str">
        <f t="shared" si="9"/>
        <v/>
      </c>
      <c r="AQ97" s="473" t="str">
        <f t="shared" si="10"/>
        <v/>
      </c>
      <c r="AR97" s="473" t="str">
        <f t="shared" si="11"/>
        <v/>
      </c>
      <c r="AS97" s="473" t="str">
        <f t="shared" si="12"/>
        <v/>
      </c>
      <c r="AT97" s="473" t="str">
        <f t="shared" si="13"/>
        <v/>
      </c>
      <c r="AU97" s="473" t="str">
        <f t="shared" si="14"/>
        <v/>
      </c>
      <c r="AY97" s="32" t="s">
        <v>8127</v>
      </c>
      <c r="AZ97" s="488" t="s">
        <v>38</v>
      </c>
      <c r="BA97" s="489">
        <v>1</v>
      </c>
      <c r="BB97" s="419" t="s">
        <v>8128</v>
      </c>
      <c r="BC97" s="271"/>
      <c r="BD97" s="279">
        <v>1</v>
      </c>
      <c r="BG97" s="271"/>
      <c r="BH97" s="271"/>
      <c r="BI97" s="271"/>
      <c r="BJ97" s="271"/>
      <c r="BK97" s="271"/>
      <c r="BL97" s="271"/>
    </row>
    <row r="98" spans="18:64" ht="21" customHeight="1" x14ac:dyDescent="0.25">
      <c r="R98" s="34" t="s">
        <v>479</v>
      </c>
      <c r="S98" s="451"/>
      <c r="T98" s="31" t="s">
        <v>30</v>
      </c>
      <c r="V98" s="475">
        <v>1</v>
      </c>
      <c r="W98" s="475" t="str">
        <f>IF($AC$98="","",$W$72)</f>
        <v/>
      </c>
      <c r="X98" s="476" t="str">
        <f>IF($AC$98="","",$X$72)</f>
        <v/>
      </c>
      <c r="Y98" s="477" t="str">
        <f>IF($X$98="","",$Y$72)</f>
        <v/>
      </c>
      <c r="Z98" s="477" t="str">
        <f>IF($X$98="","",$Z$72)</f>
        <v/>
      </c>
      <c r="AA98" s="477" t="str">
        <f>IF($AC$98="","",ROW($A$98)-ROW($A$72))</f>
        <v/>
      </c>
      <c r="AB98" s="478"/>
      <c r="AC98" s="34"/>
      <c r="AD98" s="356"/>
      <c r="AE98" s="479"/>
      <c r="AF98" s="19"/>
      <c r="AG98" s="480" t="str">
        <f t="shared" si="4"/>
        <v/>
      </c>
      <c r="AH98" s="481" t="str">
        <f t="shared" si="5"/>
        <v/>
      </c>
      <c r="AI98" s="477" t="str">
        <f>IF($AC$98="","",IFERROR(INDEX($AZ$74:$AZ$119,MATCH($AH$98,$AY$74:$AY$119,0)),"AUTRE"))</f>
        <v/>
      </c>
      <c r="AJ98" s="482" t="str">
        <f>IF($AC$98="","",IFERROR(INDEX($BA$74:$BA$119,MATCH($AH$98,$AY$74:$AY$119,0)),1))</f>
        <v/>
      </c>
      <c r="AK98" s="482" t="str">
        <f t="shared" si="6"/>
        <v/>
      </c>
      <c r="AL98" s="477" t="str">
        <f>IF($AC$98="","",IFERROR(INDEX($BB$74:$BB$119,MATCH($AH$98,$AY$74:$AY$119,0)),$AH$98))</f>
        <v/>
      </c>
      <c r="AM98" s="483" t="str">
        <f t="shared" si="7"/>
        <v/>
      </c>
      <c r="AN98" s="484" t="str">
        <f t="shared" si="15"/>
        <v/>
      </c>
      <c r="AO98" s="473" t="str">
        <f t="shared" si="8"/>
        <v/>
      </c>
      <c r="AP98" s="473" t="str">
        <f t="shared" si="9"/>
        <v/>
      </c>
      <c r="AQ98" s="473" t="str">
        <f t="shared" si="10"/>
        <v/>
      </c>
      <c r="AR98" s="473" t="str">
        <f t="shared" si="11"/>
        <v/>
      </c>
      <c r="AS98" s="473" t="str">
        <f t="shared" si="12"/>
        <v/>
      </c>
      <c r="AT98" s="473" t="str">
        <f t="shared" si="13"/>
        <v/>
      </c>
      <c r="AU98" s="473" t="str">
        <f t="shared" si="14"/>
        <v/>
      </c>
      <c r="AY98" s="32" t="s">
        <v>320</v>
      </c>
      <c r="AZ98" s="488" t="s">
        <v>38</v>
      </c>
      <c r="BA98" s="489">
        <v>1</v>
      </c>
      <c r="BB98" s="419" t="s">
        <v>321</v>
      </c>
      <c r="BC98" s="271"/>
      <c r="BD98" s="279">
        <v>1</v>
      </c>
      <c r="BG98" s="271"/>
      <c r="BH98" s="271"/>
      <c r="BI98" s="271"/>
      <c r="BJ98" s="271"/>
      <c r="BK98" s="271"/>
      <c r="BL98" s="271"/>
    </row>
    <row r="99" spans="18:64" ht="21" customHeight="1" x14ac:dyDescent="0.25">
      <c r="R99" s="34" t="s">
        <v>6131</v>
      </c>
      <c r="S99" s="451"/>
      <c r="T99" s="31" t="s">
        <v>31</v>
      </c>
      <c r="V99" s="475">
        <v>1</v>
      </c>
      <c r="W99" s="475" t="str">
        <f>IF($AC$99="","",$W$72)</f>
        <v/>
      </c>
      <c r="X99" s="476" t="str">
        <f>IF($AC$99="","",$X$72)</f>
        <v/>
      </c>
      <c r="Y99" s="477" t="str">
        <f>IF($X$99="","",$Y$72)</f>
        <v/>
      </c>
      <c r="Z99" s="477" t="str">
        <f>IF($X$99="","",$Z$72)</f>
        <v/>
      </c>
      <c r="AA99" s="477" t="str">
        <f>IF($AC$99="","",ROW($A$99)-ROW($A$72))</f>
        <v/>
      </c>
      <c r="AB99" s="478"/>
      <c r="AC99" s="34"/>
      <c r="AD99" s="356"/>
      <c r="AE99" s="479"/>
      <c r="AF99" s="19"/>
      <c r="AG99" s="480" t="str">
        <f t="shared" si="4"/>
        <v/>
      </c>
      <c r="AH99" s="481" t="str">
        <f t="shared" si="5"/>
        <v/>
      </c>
      <c r="AI99" s="477" t="str">
        <f>IF($AC$99="","",IFERROR(INDEX($AZ$74:$AZ$119,MATCH($AH$99,$AY$74:$AY$119,0)),"AUTRE"))</f>
        <v/>
      </c>
      <c r="AJ99" s="482" t="str">
        <f>IF($AC$99="","",IFERROR(INDEX($BA$74:$BA$119,MATCH($AH$99,$AY$74:$AY$119,0)),1))</f>
        <v/>
      </c>
      <c r="AK99" s="482" t="str">
        <f t="shared" si="6"/>
        <v/>
      </c>
      <c r="AL99" s="477" t="str">
        <f>IF($AC$99="","",IFERROR(INDEX($BB$74:$BB$119,MATCH($AH$99,$AY$74:$AY$119,0)),$AH$99))</f>
        <v/>
      </c>
      <c r="AM99" s="483" t="str">
        <f t="shared" si="7"/>
        <v/>
      </c>
      <c r="AN99" s="484" t="str">
        <f t="shared" si="15"/>
        <v/>
      </c>
      <c r="AO99" s="473" t="str">
        <f t="shared" si="8"/>
        <v/>
      </c>
      <c r="AP99" s="473" t="str">
        <f t="shared" si="9"/>
        <v/>
      </c>
      <c r="AQ99" s="473" t="str">
        <f t="shared" si="10"/>
        <v/>
      </c>
      <c r="AR99" s="473" t="str">
        <f t="shared" si="11"/>
        <v/>
      </c>
      <c r="AS99" s="473" t="str">
        <f t="shared" si="12"/>
        <v/>
      </c>
      <c r="AT99" s="473" t="str">
        <f t="shared" si="13"/>
        <v/>
      </c>
      <c r="AU99" s="473" t="str">
        <f t="shared" si="14"/>
        <v/>
      </c>
      <c r="AY99" s="32" t="s">
        <v>318</v>
      </c>
      <c r="AZ99" s="488" t="s">
        <v>38</v>
      </c>
      <c r="BA99" s="489">
        <v>1</v>
      </c>
      <c r="BB99" s="419" t="s">
        <v>319</v>
      </c>
      <c r="BC99" s="271"/>
      <c r="BD99" s="279">
        <v>1</v>
      </c>
      <c r="BG99" s="271"/>
      <c r="BH99" s="271"/>
      <c r="BI99" s="271"/>
      <c r="BJ99" s="271"/>
      <c r="BK99" s="271"/>
      <c r="BL99" s="271"/>
    </row>
    <row r="100" spans="18:64" ht="21" customHeight="1" x14ac:dyDescent="0.25">
      <c r="R100" s="34" t="s">
        <v>485</v>
      </c>
      <c r="S100" s="451"/>
      <c r="T100" s="32" t="s">
        <v>33</v>
      </c>
      <c r="V100" s="475">
        <v>1</v>
      </c>
      <c r="W100" s="475" t="str">
        <f>IF($AC$100="","",$W$72)</f>
        <v/>
      </c>
      <c r="X100" s="476" t="str">
        <f>IF($AC$100="","",$X$72)</f>
        <v/>
      </c>
      <c r="Y100" s="477" t="str">
        <f>IF($X$100="","",$Y$72)</f>
        <v/>
      </c>
      <c r="Z100" s="477" t="str">
        <f>IF($X$100="","",$Z$72)</f>
        <v/>
      </c>
      <c r="AA100" s="477" t="str">
        <f>IF($AC$100="","",ROW($A$100)-ROW($A$72))</f>
        <v/>
      </c>
      <c r="AB100" s="478"/>
      <c r="AC100" s="34"/>
      <c r="AD100" s="356"/>
      <c r="AE100" s="479"/>
      <c r="AF100" s="19"/>
      <c r="AG100" s="480" t="str">
        <f t="shared" si="4"/>
        <v/>
      </c>
      <c r="AH100" s="481" t="str">
        <f t="shared" si="5"/>
        <v/>
      </c>
      <c r="AI100" s="477" t="str">
        <f>IF($AC$100="","",IFERROR(INDEX($AZ$74:$AZ$119,MATCH($AH$100,$AY$74:$AY$119,0)),"AUTRE"))</f>
        <v/>
      </c>
      <c r="AJ100" s="482" t="str">
        <f>IF($AC$100="","",IFERROR(INDEX($BA$74:$BA$119,MATCH($AH$100,$AY$74:$AY$119,0)),1))</f>
        <v/>
      </c>
      <c r="AK100" s="482" t="str">
        <f t="shared" si="6"/>
        <v/>
      </c>
      <c r="AL100" s="477" t="str">
        <f>IF($AC$100="","",IFERROR(INDEX($BB$74:$BB$119,MATCH($AH$100,$AY$74:$AY$119,0)),$AH$100))</f>
        <v/>
      </c>
      <c r="AM100" s="483" t="str">
        <f t="shared" si="7"/>
        <v/>
      </c>
      <c r="AN100" s="484" t="str">
        <f t="shared" si="15"/>
        <v/>
      </c>
      <c r="AO100" s="473" t="str">
        <f t="shared" si="8"/>
        <v/>
      </c>
      <c r="AP100" s="473" t="str">
        <f t="shared" si="9"/>
        <v/>
      </c>
      <c r="AQ100" s="473" t="str">
        <f t="shared" si="10"/>
        <v/>
      </c>
      <c r="AR100" s="473" t="str">
        <f t="shared" si="11"/>
        <v/>
      </c>
      <c r="AS100" s="473" t="str">
        <f t="shared" si="12"/>
        <v/>
      </c>
      <c r="AT100" s="473" t="str">
        <f t="shared" si="13"/>
        <v/>
      </c>
      <c r="AU100" s="473" t="str">
        <f t="shared" si="14"/>
        <v/>
      </c>
      <c r="AY100" s="32" t="s">
        <v>316</v>
      </c>
      <c r="AZ100" s="488" t="s">
        <v>38</v>
      </c>
      <c r="BA100" s="489">
        <v>1</v>
      </c>
      <c r="BB100" s="419" t="s">
        <v>317</v>
      </c>
      <c r="BC100" s="271"/>
      <c r="BD100" s="279">
        <v>1</v>
      </c>
      <c r="BG100" s="271"/>
      <c r="BH100" s="271"/>
      <c r="BI100" s="271"/>
      <c r="BJ100" s="271"/>
      <c r="BK100" s="271"/>
      <c r="BL100" s="271"/>
    </row>
    <row r="101" spans="18:64" ht="21" customHeight="1" x14ac:dyDescent="0.25">
      <c r="R101" s="34" t="s">
        <v>6132</v>
      </c>
      <c r="S101" s="451"/>
      <c r="T101" s="32" t="s">
        <v>8125</v>
      </c>
      <c r="V101" s="475">
        <v>1</v>
      </c>
      <c r="W101" s="475" t="str">
        <f>IF($AC$101="","",$W$72)</f>
        <v/>
      </c>
      <c r="X101" s="476" t="str">
        <f>IF($AC$101="","",$X$72)</f>
        <v/>
      </c>
      <c r="Y101" s="477" t="str">
        <f>IF($X$101="","",$Y$72)</f>
        <v/>
      </c>
      <c r="Z101" s="477" t="str">
        <f>IF($X$101="","",$Z$72)</f>
        <v/>
      </c>
      <c r="AA101" s="477" t="str">
        <f>IF($AC$101="","",ROW($A$101)-ROW($A$72))</f>
        <v/>
      </c>
      <c r="AB101" s="478"/>
      <c r="AC101" s="34"/>
      <c r="AD101" s="356"/>
      <c r="AE101" s="479"/>
      <c r="AF101" s="19"/>
      <c r="AG101" s="480" t="str">
        <f t="shared" si="4"/>
        <v/>
      </c>
      <c r="AH101" s="481" t="str">
        <f t="shared" si="5"/>
        <v/>
      </c>
      <c r="AI101" s="477" t="str">
        <f>IF($AC$101="","",IFERROR(INDEX($AZ$74:$AZ$119,MATCH($AH$101,$AY$74:$AY$119,0)),"AUTRE"))</f>
        <v/>
      </c>
      <c r="AJ101" s="482" t="str">
        <f>IF($AC$101="","",IFERROR(INDEX($BA$74:$BA$119,MATCH($AH$101,$AY$74:$AY$119,0)),1))</f>
        <v/>
      </c>
      <c r="AK101" s="482" t="str">
        <f t="shared" si="6"/>
        <v/>
      </c>
      <c r="AL101" s="477" t="str">
        <f>IF($AC$101="","",IFERROR(INDEX($BB$74:$BB$119,MATCH($AH$101,$AY$74:$AY$119,0)),$AH$101))</f>
        <v/>
      </c>
      <c r="AM101" s="483" t="str">
        <f t="shared" si="7"/>
        <v/>
      </c>
      <c r="AN101" s="484" t="str">
        <f t="shared" si="15"/>
        <v/>
      </c>
      <c r="AO101" s="473" t="str">
        <f t="shared" si="8"/>
        <v/>
      </c>
      <c r="AP101" s="473" t="str">
        <f t="shared" si="9"/>
        <v/>
      </c>
      <c r="AQ101" s="473" t="str">
        <f t="shared" si="10"/>
        <v/>
      </c>
      <c r="AR101" s="473" t="str">
        <f t="shared" si="11"/>
        <v/>
      </c>
      <c r="AS101" s="473" t="str">
        <f t="shared" si="12"/>
        <v/>
      </c>
      <c r="AT101" s="473" t="str">
        <f t="shared" si="13"/>
        <v/>
      </c>
      <c r="AU101" s="473" t="str">
        <f t="shared" si="14"/>
        <v/>
      </c>
      <c r="AY101" s="32" t="s">
        <v>313</v>
      </c>
      <c r="AZ101" s="488" t="s">
        <v>38</v>
      </c>
      <c r="BA101" s="489">
        <v>1</v>
      </c>
      <c r="BB101" s="419" t="s">
        <v>314</v>
      </c>
      <c r="BC101" s="271"/>
      <c r="BD101" s="279">
        <v>1</v>
      </c>
      <c r="BG101" s="271"/>
      <c r="BH101" s="271"/>
      <c r="BI101" s="271"/>
      <c r="BJ101" s="271"/>
      <c r="BK101" s="271"/>
      <c r="BL101" s="271"/>
    </row>
    <row r="102" spans="18:64" ht="21" customHeight="1" x14ac:dyDescent="0.25">
      <c r="R102" s="25" t="s">
        <v>6133</v>
      </c>
      <c r="S102" s="451"/>
      <c r="T102" s="32" t="s">
        <v>8127</v>
      </c>
      <c r="V102" s="475">
        <v>1</v>
      </c>
      <c r="W102" s="475" t="str">
        <f>IF($AC$102="","",$W$72)</f>
        <v>N° 21</v>
      </c>
      <c r="X102" s="476" t="str">
        <f>IF($AC$102="","",$X$72)</f>
        <v>MELON NAGE CRÉMEUSE AU BASILIC</v>
      </c>
      <c r="Y102" s="477">
        <f>IF($X$102="","",$Y$72)</f>
        <v>38</v>
      </c>
      <c r="Z102" s="477">
        <f>IF($X$102="","",$Z$72)</f>
        <v>100</v>
      </c>
      <c r="AA102" s="477">
        <f>IF($AC$102="","",ROW($A$102)-ROW($A$72))</f>
        <v>30</v>
      </c>
      <c r="AB102" s="478"/>
      <c r="AC102" s="34" t="s">
        <v>472</v>
      </c>
      <c r="AD102" s="356"/>
      <c r="AE102" s="479"/>
      <c r="AF102" s="19"/>
      <c r="AG102" s="480" t="str">
        <f t="shared" si="4"/>
        <v/>
      </c>
      <c r="AH102" s="481" t="str">
        <f t="shared" si="5"/>
        <v/>
      </c>
      <c r="AI102" s="477" t="str">
        <f>IF($AC$102="","",IFERROR(INDEX($AZ$74:$AZ$119,MATCH($AH$102,$AY$74:$AY$119,0)),"AUTRE"))</f>
        <v>AUTRE</v>
      </c>
      <c r="AJ102" s="482">
        <f>IF($AC$102="","",IFERROR(INDEX($BA$74:$BA$119,MATCH($AH$102,$AY$74:$AY$119,0)),1))</f>
        <v>1</v>
      </c>
      <c r="AK102" s="482" t="str">
        <f t="shared" si="6"/>
        <v/>
      </c>
      <c r="AL102" s="477" t="str">
        <f>IF($AC$102="","",IFERROR(INDEX($BB$74:$BB$119,MATCH($AH$102,$AY$74:$AY$119,0)),$AH$102))</f>
        <v/>
      </c>
      <c r="AM102" s="483" t="str">
        <f t="shared" si="7"/>
        <v>TEXTE</v>
      </c>
      <c r="AN102" s="484" t="str">
        <f t="shared" si="15"/>
        <v/>
      </c>
      <c r="AO102" s="473" t="str">
        <f t="shared" si="8"/>
        <v/>
      </c>
      <c r="AP102" s="473" t="str">
        <f t="shared" si="9"/>
        <v/>
      </c>
      <c r="AQ102" s="473" t="str">
        <f t="shared" si="10"/>
        <v/>
      </c>
      <c r="AR102" s="473" t="str">
        <f t="shared" si="11"/>
        <v/>
      </c>
      <c r="AS102" s="473" t="str">
        <f t="shared" si="12"/>
        <v/>
      </c>
      <c r="AT102" s="473" t="str">
        <f t="shared" si="13"/>
        <v/>
      </c>
      <c r="AU102" s="473" t="str">
        <f t="shared" si="14"/>
        <v/>
      </c>
      <c r="AY102" s="32" t="s">
        <v>307</v>
      </c>
      <c r="AZ102" s="488" t="s">
        <v>38</v>
      </c>
      <c r="BA102" s="489">
        <v>1</v>
      </c>
      <c r="BB102" s="419" t="s">
        <v>308</v>
      </c>
      <c r="BC102" s="271"/>
      <c r="BD102" s="279">
        <v>1</v>
      </c>
      <c r="BG102" s="271"/>
      <c r="BH102" s="271"/>
      <c r="BI102" s="271"/>
      <c r="BJ102" s="271"/>
      <c r="BK102" s="271"/>
      <c r="BL102" s="271"/>
    </row>
    <row r="103" spans="18:64" ht="21" customHeight="1" x14ac:dyDescent="0.25">
      <c r="R103" s="34" t="s">
        <v>476</v>
      </c>
      <c r="S103" s="451"/>
      <c r="T103" s="32" t="s">
        <v>320</v>
      </c>
      <c r="V103" s="475">
        <v>1</v>
      </c>
      <c r="W103" s="475" t="str">
        <f>IF($AC$103="","",$W$72)</f>
        <v>N° 21</v>
      </c>
      <c r="X103" s="476" t="str">
        <f>IF($AC$103="","",$X$72)</f>
        <v>MELON NAGE CRÉMEUSE AU BASILIC</v>
      </c>
      <c r="Y103" s="477">
        <f>IF($X$103="","",$Y$72)</f>
        <v>38</v>
      </c>
      <c r="Z103" s="477">
        <f>IF($X$103="","",$Z$72)</f>
        <v>100</v>
      </c>
      <c r="AA103" s="477">
        <f>IF($AC$103="","",ROW($A$103)-ROW($A$72))</f>
        <v>31</v>
      </c>
      <c r="AB103" s="478"/>
      <c r="AC103" s="34" t="s">
        <v>487</v>
      </c>
      <c r="AD103" s="356"/>
      <c r="AE103" s="479">
        <v>1</v>
      </c>
      <c r="AF103" s="33" t="s">
        <v>462</v>
      </c>
      <c r="AG103" s="480">
        <f t="shared" si="4"/>
        <v>1</v>
      </c>
      <c r="AH103" s="481" t="str">
        <f t="shared" si="5"/>
        <v>BAC(S)</v>
      </c>
      <c r="AI103" s="477" t="str">
        <f>IF($AC$103="","",IFERROR(INDEX($AZ$74:$AZ$119,MATCH($AH$103,$AY$74:$AY$119,0)),"AUTRE"))</f>
        <v>AUTRE</v>
      </c>
      <c r="AJ103" s="482">
        <f>IF($AC$103="","",IFERROR(INDEX($BA$74:$BA$119,MATCH($AH$103,$AY$74:$AY$119,0)),1))</f>
        <v>1</v>
      </c>
      <c r="AK103" s="482">
        <f t="shared" si="6"/>
        <v>1</v>
      </c>
      <c r="AL103" s="477" t="str">
        <f>IF($AC$103="","",IFERROR(INDEX($BB$74:$BB$119,MATCH($AH$103,$AY$74:$AY$119,0)),$AH$103))</f>
        <v>bac(s)</v>
      </c>
      <c r="AM103" s="483" t="str">
        <f t="shared" si="7"/>
        <v>OK</v>
      </c>
      <c r="AN103" s="484">
        <f t="shared" si="15"/>
        <v>1</v>
      </c>
      <c r="AO103" s="473" t="str">
        <f t="shared" si="8"/>
        <v/>
      </c>
      <c r="AP103" s="473" t="str">
        <f t="shared" si="9"/>
        <v/>
      </c>
      <c r="AQ103" s="473" t="str">
        <f t="shared" si="10"/>
        <v/>
      </c>
      <c r="AR103" s="473" t="str">
        <f t="shared" si="11"/>
        <v/>
      </c>
      <c r="AS103" s="473" t="str">
        <f t="shared" si="12"/>
        <v/>
      </c>
      <c r="AT103" s="473" t="str">
        <f t="shared" si="13"/>
        <v/>
      </c>
      <c r="AU103" s="473" t="str">
        <f t="shared" si="14"/>
        <v/>
      </c>
      <c r="AY103" s="32" t="s">
        <v>322</v>
      </c>
      <c r="AZ103" s="488" t="s">
        <v>38</v>
      </c>
      <c r="BA103" s="489">
        <v>1</v>
      </c>
      <c r="BB103" s="419" t="s">
        <v>323</v>
      </c>
      <c r="BC103" s="271"/>
      <c r="BD103" s="279">
        <v>1</v>
      </c>
      <c r="BG103" s="271"/>
      <c r="BH103" s="271"/>
      <c r="BI103" s="271"/>
      <c r="BJ103" s="271"/>
      <c r="BK103" s="271"/>
      <c r="BL103" s="271"/>
    </row>
    <row r="104" spans="18:64" ht="21" customHeight="1" x14ac:dyDescent="0.25">
      <c r="R104" s="34" t="s">
        <v>468</v>
      </c>
      <c r="S104" s="451"/>
      <c r="T104" s="32" t="s">
        <v>318</v>
      </c>
      <c r="V104" s="475">
        <v>1</v>
      </c>
      <c r="W104" s="475" t="str">
        <f>IF($AC$104="","",$W$72)</f>
        <v>N° 21</v>
      </c>
      <c r="X104" s="476" t="str">
        <f>IF($AC$104="","",$X$72)</f>
        <v>MELON NAGE CRÉMEUSE AU BASILIC</v>
      </c>
      <c r="Y104" s="477">
        <f>IF($X$104="","",$Y$72)</f>
        <v>38</v>
      </c>
      <c r="Z104" s="477">
        <f>IF($X$104="","",$Z$72)</f>
        <v>100</v>
      </c>
      <c r="AA104" s="477">
        <f>IF($AC$104="","",ROW($A$104)-ROW($A$72))</f>
        <v>32</v>
      </c>
      <c r="AB104" s="478"/>
      <c r="AC104" s="34" t="s">
        <v>488</v>
      </c>
      <c r="AD104" s="356"/>
      <c r="AE104" s="479">
        <v>1</v>
      </c>
      <c r="AF104" s="33" t="s">
        <v>465</v>
      </c>
      <c r="AG104" s="480">
        <f t="shared" si="4"/>
        <v>1</v>
      </c>
      <c r="AH104" s="481" t="str">
        <f t="shared" si="5"/>
        <v>GRILLE(S)</v>
      </c>
      <c r="AI104" s="477" t="str">
        <f>IF($AC$104="","",IFERROR(INDEX($AZ$74:$AZ$119,MATCH($AH$104,$AY$74:$AY$119,0)),"AUTRE"))</f>
        <v>AUTRE</v>
      </c>
      <c r="AJ104" s="482">
        <f>IF($AC$104="","",IFERROR(INDEX($BA$74:$BA$119,MATCH($AH$104,$AY$74:$AY$119,0)),1))</f>
        <v>1</v>
      </c>
      <c r="AK104" s="482">
        <f t="shared" si="6"/>
        <v>1</v>
      </c>
      <c r="AL104" s="477" t="str">
        <f>IF($AC$104="","",IFERROR(INDEX($BB$74:$BB$119,MATCH($AH$104,$AY$74:$AY$119,0)),$AH$104))</f>
        <v>grille(s)</v>
      </c>
      <c r="AM104" s="483" t="str">
        <f t="shared" si="7"/>
        <v>OK</v>
      </c>
      <c r="AN104" s="484">
        <f t="shared" si="15"/>
        <v>1</v>
      </c>
      <c r="AO104" s="473" t="str">
        <f t="shared" si="8"/>
        <v/>
      </c>
      <c r="AP104" s="473" t="str">
        <f t="shared" si="9"/>
        <v/>
      </c>
      <c r="AQ104" s="473" t="str">
        <f t="shared" si="10"/>
        <v/>
      </c>
      <c r="AR104" s="473" t="str">
        <f t="shared" si="11"/>
        <v/>
      </c>
      <c r="AS104" s="473" t="str">
        <f t="shared" si="12"/>
        <v/>
      </c>
      <c r="AT104" s="473" t="str">
        <f t="shared" si="13"/>
        <v/>
      </c>
      <c r="AU104" s="473" t="str">
        <f t="shared" si="14"/>
        <v/>
      </c>
      <c r="AY104" s="32" t="s">
        <v>305</v>
      </c>
      <c r="AZ104" s="488" t="s">
        <v>38</v>
      </c>
      <c r="BA104" s="489">
        <v>1</v>
      </c>
      <c r="BB104" s="419" t="s">
        <v>306</v>
      </c>
      <c r="BC104" s="271"/>
      <c r="BD104" s="279">
        <v>1</v>
      </c>
      <c r="BG104" s="271"/>
      <c r="BH104" s="271"/>
      <c r="BI104" s="271"/>
      <c r="BJ104" s="271"/>
      <c r="BK104" s="271"/>
      <c r="BL104" s="271"/>
    </row>
    <row r="105" spans="18:64" ht="21" customHeight="1" x14ac:dyDescent="0.25">
      <c r="R105" s="34" t="s">
        <v>473</v>
      </c>
      <c r="S105" s="451"/>
      <c r="T105" s="32" t="s">
        <v>316</v>
      </c>
      <c r="V105" s="475">
        <v>1</v>
      </c>
      <c r="W105" s="475" t="str">
        <f>IF($AC$105="","",$W$72)</f>
        <v>N° 21</v>
      </c>
      <c r="X105" s="476" t="str">
        <f>IF($AC$105="","",$X$72)</f>
        <v>MELON NAGE CRÉMEUSE AU BASILIC</v>
      </c>
      <c r="Y105" s="477">
        <f>IF($X$105="","",$Y$72)</f>
        <v>38</v>
      </c>
      <c r="Z105" s="477">
        <f>IF($X$105="","",$Z$72)</f>
        <v>100</v>
      </c>
      <c r="AA105" s="477">
        <f>IF($AC$105="","",ROW($A$105)-ROW($A$72))</f>
        <v>33</v>
      </c>
      <c r="AB105" s="478"/>
      <c r="AC105" s="34" t="s">
        <v>489</v>
      </c>
      <c r="AD105" s="356"/>
      <c r="AE105" s="479">
        <v>1</v>
      </c>
      <c r="AF105" s="33" t="s">
        <v>463</v>
      </c>
      <c r="AG105" s="480">
        <f t="shared" si="4"/>
        <v>1</v>
      </c>
      <c r="AH105" s="481" t="str">
        <f t="shared" si="5"/>
        <v>COUVERCLE(S)</v>
      </c>
      <c r="AI105" s="477" t="str">
        <f>IF($AC$105="","",IFERROR(INDEX($AZ$74:$AZ$119,MATCH($AH$105,$AY$74:$AY$119,0)),"AUTRE"))</f>
        <v>AUTRE</v>
      </c>
      <c r="AJ105" s="482">
        <f>IF($AC$105="","",IFERROR(INDEX($BA$74:$BA$119,MATCH($AH$105,$AY$74:$AY$119,0)),1))</f>
        <v>1</v>
      </c>
      <c r="AK105" s="482">
        <f t="shared" si="6"/>
        <v>1</v>
      </c>
      <c r="AL105" s="477" t="str">
        <f>IF($AC$105="","",IFERROR(INDEX($BB$74:$BB$119,MATCH($AH$105,$AY$74:$AY$119,0)),$AH$105))</f>
        <v>couvercle(s)</v>
      </c>
      <c r="AM105" s="483" t="str">
        <f t="shared" si="7"/>
        <v>OK</v>
      </c>
      <c r="AN105" s="484">
        <f t="shared" si="15"/>
        <v>1</v>
      </c>
      <c r="AO105" s="473" t="str">
        <f t="shared" si="8"/>
        <v/>
      </c>
      <c r="AP105" s="473" t="str">
        <f t="shared" si="9"/>
        <v/>
      </c>
      <c r="AQ105" s="473" t="str">
        <f t="shared" si="10"/>
        <v/>
      </c>
      <c r="AR105" s="473" t="str">
        <f t="shared" si="11"/>
        <v/>
      </c>
      <c r="AS105" s="473" t="str">
        <f t="shared" si="12"/>
        <v/>
      </c>
      <c r="AT105" s="473" t="str">
        <f t="shared" si="13"/>
        <v/>
      </c>
      <c r="AU105" s="473" t="str">
        <f t="shared" si="14"/>
        <v/>
      </c>
      <c r="AY105" s="32" t="s">
        <v>8129</v>
      </c>
      <c r="AZ105" s="488" t="s">
        <v>38</v>
      </c>
      <c r="BA105" s="489">
        <v>1</v>
      </c>
      <c r="BB105" s="419" t="s">
        <v>8130</v>
      </c>
      <c r="BC105" s="271"/>
      <c r="BD105" s="279">
        <v>1</v>
      </c>
      <c r="BG105" s="271"/>
      <c r="BH105" s="271"/>
      <c r="BI105" s="271"/>
      <c r="BJ105" s="271"/>
      <c r="BK105" s="271"/>
      <c r="BL105" s="271"/>
    </row>
    <row r="106" spans="18:64" ht="21" customHeight="1" x14ac:dyDescent="0.25">
      <c r="R106" s="34" t="s">
        <v>497</v>
      </c>
      <c r="S106" s="451"/>
      <c r="T106" s="32" t="s">
        <v>313</v>
      </c>
      <c r="V106" s="475">
        <v>1</v>
      </c>
      <c r="W106" s="475" t="str">
        <f>IF($AC$106="","",$W$72)</f>
        <v/>
      </c>
      <c r="X106" s="476" t="str">
        <f>IF($AC$106="","",$X$72)</f>
        <v/>
      </c>
      <c r="Y106" s="477" t="str">
        <f>IF($X$106="","",$Y$72)</f>
        <v/>
      </c>
      <c r="Z106" s="477" t="str">
        <f>IF($X$106="","",$Z$72)</f>
        <v/>
      </c>
      <c r="AA106" s="477" t="str">
        <f>IF($AC$106="","",ROW($A$106)-ROW($A$72))</f>
        <v/>
      </c>
      <c r="AB106" s="478"/>
      <c r="AC106" s="34"/>
      <c r="AD106" s="356"/>
      <c r="AE106" s="479">
        <v>6</v>
      </c>
      <c r="AF106" s="33" t="s">
        <v>462</v>
      </c>
      <c r="AG106" s="491" t="str">
        <f t="shared" si="4"/>
        <v/>
      </c>
      <c r="AH106" s="481" t="str">
        <f t="shared" si="5"/>
        <v/>
      </c>
      <c r="AI106" s="477" t="str">
        <f>IF($AC$106="","",IFERROR(INDEX($AZ$74:$AZ$119,MATCH($AH$106,$AY$74:$AY$119,0)),"AUTRE"))</f>
        <v/>
      </c>
      <c r="AJ106" s="482" t="str">
        <f>IF($AC$106="","",IFERROR(INDEX($BA$74:$BA$119,MATCH($AH$106,$AY$74:$AY$119,0)),1))</f>
        <v/>
      </c>
      <c r="AK106" s="482" t="str">
        <f t="shared" si="6"/>
        <v/>
      </c>
      <c r="AL106" s="477" t="str">
        <f>IF($AC$106="","",IFERROR(INDEX($BB$74:$BB$119,MATCH($AH$106,$AY$74:$AY$119,0)),$AH$106))</f>
        <v/>
      </c>
      <c r="AM106" s="483" t="str">
        <f t="shared" si="7"/>
        <v/>
      </c>
      <c r="AN106" s="484">
        <f t="shared" si="15"/>
        <v>6</v>
      </c>
      <c r="AO106" s="473" t="str">
        <f t="shared" si="8"/>
        <v/>
      </c>
      <c r="AP106" s="473" t="str">
        <f t="shared" si="9"/>
        <v/>
      </c>
      <c r="AQ106" s="473" t="str">
        <f t="shared" si="10"/>
        <v/>
      </c>
      <c r="AR106" s="473" t="str">
        <f t="shared" si="11"/>
        <v/>
      </c>
      <c r="AS106" s="473" t="str">
        <f t="shared" si="12"/>
        <v/>
      </c>
      <c r="AT106" s="473" t="str">
        <f t="shared" si="13"/>
        <v/>
      </c>
      <c r="AU106" s="473" t="str">
        <f t="shared" si="14"/>
        <v/>
      </c>
      <c r="AY106" s="32" t="s">
        <v>8131</v>
      </c>
      <c r="AZ106" s="488" t="s">
        <v>38</v>
      </c>
      <c r="BA106" s="489">
        <v>1</v>
      </c>
      <c r="BB106" s="419" t="s">
        <v>8132</v>
      </c>
      <c r="BC106" s="271"/>
      <c r="BD106" s="279">
        <v>1</v>
      </c>
      <c r="BE106" s="271"/>
      <c r="BF106" s="271"/>
      <c r="BG106" s="271"/>
      <c r="BH106" s="271"/>
      <c r="BI106" s="271"/>
      <c r="BJ106" s="271"/>
      <c r="BK106" s="271"/>
      <c r="BL106" s="271"/>
    </row>
    <row r="107" spans="18:64" ht="30" customHeight="1" x14ac:dyDescent="0.25">
      <c r="R107" s="34" t="s">
        <v>470</v>
      </c>
      <c r="S107" s="451"/>
      <c r="T107" s="32" t="s">
        <v>307</v>
      </c>
      <c r="V107" s="453" t="s">
        <v>324</v>
      </c>
      <c r="W107" s="453" t="s">
        <v>7912</v>
      </c>
      <c r="X107" s="453" t="s">
        <v>326</v>
      </c>
      <c r="Y107" s="453" t="s">
        <v>327</v>
      </c>
      <c r="Z107" s="454" t="s">
        <v>7930</v>
      </c>
      <c r="AA107" s="453" t="s">
        <v>7937</v>
      </c>
      <c r="AB107" s="455" t="s">
        <v>39</v>
      </c>
      <c r="AC107" s="455" t="s">
        <v>338</v>
      </c>
      <c r="AD107" s="455" t="s">
        <v>8114</v>
      </c>
      <c r="AE107" s="455" t="s">
        <v>339</v>
      </c>
      <c r="AF107" s="455" t="s">
        <v>7997</v>
      </c>
      <c r="AG107" s="453" t="s">
        <v>8018</v>
      </c>
      <c r="AH107" s="453" t="s">
        <v>8023</v>
      </c>
      <c r="AI107" s="453" t="s">
        <v>330</v>
      </c>
      <c r="AJ107" s="453" t="s">
        <v>8031</v>
      </c>
      <c r="AK107" s="453" t="s">
        <v>8037</v>
      </c>
      <c r="AL107" s="453" t="s">
        <v>8041</v>
      </c>
      <c r="AM107" s="453" t="s">
        <v>343</v>
      </c>
      <c r="AN107" s="457" t="s">
        <v>8115</v>
      </c>
      <c r="AO107" s="457" t="s">
        <v>8116</v>
      </c>
      <c r="AP107" s="656" t="s">
        <v>8117</v>
      </c>
      <c r="AQ107" s="656"/>
      <c r="AR107" s="656"/>
      <c r="AS107" s="656"/>
      <c r="AT107" s="656"/>
      <c r="AU107" s="657"/>
      <c r="AY107" s="32" t="s">
        <v>309</v>
      </c>
      <c r="AZ107" s="488" t="s">
        <v>38</v>
      </c>
      <c r="BA107" s="489">
        <v>1</v>
      </c>
      <c r="BB107" s="419" t="s">
        <v>310</v>
      </c>
      <c r="BC107" s="271"/>
      <c r="BD107" s="279">
        <v>1</v>
      </c>
      <c r="BE107" s="271"/>
      <c r="BF107" s="271"/>
      <c r="BG107" s="271"/>
      <c r="BH107" s="271"/>
      <c r="BI107" s="271"/>
      <c r="BJ107" s="271"/>
      <c r="BK107" s="271"/>
      <c r="BL107" s="271"/>
    </row>
    <row r="108" spans="18:64" ht="30" customHeight="1" x14ac:dyDescent="0.25">
      <c r="R108" s="34" t="s">
        <v>477</v>
      </c>
      <c r="S108" s="451"/>
      <c r="T108" s="32" t="s">
        <v>322</v>
      </c>
      <c r="V108" s="459">
        <v>2</v>
      </c>
      <c r="W108" s="12" t="s">
        <v>175</v>
      </c>
      <c r="X108" s="492" t="s">
        <v>174</v>
      </c>
      <c r="Y108" s="15">
        <v>39</v>
      </c>
      <c r="Z108" s="463">
        <v>100</v>
      </c>
      <c r="AA108" s="464">
        <v>0</v>
      </c>
      <c r="AB108" s="493"/>
      <c r="AC108" s="494" t="s">
        <v>176</v>
      </c>
      <c r="AD108" s="495"/>
      <c r="AE108" s="13" t="s">
        <v>177</v>
      </c>
      <c r="AF108" s="23" t="s">
        <v>311</v>
      </c>
      <c r="AG108" s="467" t="str">
        <f t="shared" ref="AG108:AG142" si="16">IF($AC108="","",IF(LEN($AN108&amp;"")=0,"",$AN108))</f>
        <v>25</v>
      </c>
      <c r="AH108" s="468" t="str">
        <f t="shared" ref="AH108:AH142" si="17">IF($AC108="","",IF($AF108&lt;&gt;"",UPPER(TRIM(SUBSTITUTE(SUBSTITUTE($AF108&amp;"",CHAR(160)," ")," "," "))),$AP108))</f>
        <v>UNITÉ(S)</v>
      </c>
      <c r="AI108" s="469" t="str">
        <f>IF($AC$108="","",IFERROR(INDEX($AZ$74:$AZ$119,MATCH($AH$108,$AY$74:$AY$119,0)),"AUTRE"))</f>
        <v>AUTRE</v>
      </c>
      <c r="AJ108" s="470">
        <f>IF($AC$108="","",IFERROR(INDEX($BA$74:$BA$119,MATCH($AH$108,$AY$74:$AY$119,0)),1))</f>
        <v>1</v>
      </c>
      <c r="AK108" s="470">
        <f t="shared" ref="AK108:AK142" si="18">IF(OR(AG108="",AJ108=""),"",AG108*AJ108)</f>
        <v>25</v>
      </c>
      <c r="AL108" s="469" t="str">
        <f>IF($AC$108="","",IFERROR(INDEX($BB$74:$BB$119,MATCH($AH$108,$AY$74:$AY$119,0)),$AH$108))</f>
        <v>unité(s)</v>
      </c>
      <c r="AM108" s="471" t="str">
        <f t="shared" ref="AM108:AM142" si="19">IF($AC108="","",IF($AH108="QT. SUFFISANTE","OK",IF($AG108="","TEXTE",IF(NOT(ISNUMBER($AG108)),"QUANTITÉ À CONTRÔLER",IF(COUNTIF($AY$74:$AY$119,$AH108)=0,"UNITÉ À CONTRÔLER","OK")))))</f>
        <v>QUANTITÉ À CONTRÔLER</v>
      </c>
      <c r="AN108" s="474" t="str">
        <f t="shared" ref="AN108:AN142" si="20">IF($AE108&lt;&gt;"",$AE108,IF($AD108="","",IF(ISNUMBER($AD108),$AD108,IF($AO108="QT",0,IF($AO108="","",IFERROR(IF(ISNUMBER(SEARCH("/",$AO108)),VALUE(TRIM(LEFT($AO108,SEARCH("/",$AO108)-1)))/VALUE(TRIM(MID($AO108,SEARCH("/",$AO108)+1,99))),VALUE(SUBSTITUTE($AO108,".",","))),""))))))</f>
        <v>25</v>
      </c>
      <c r="AO108" s="473" t="str">
        <f t="shared" ref="AO108:AO142" si="21">IF($AD108="","",IF(ISNUMBER($AD108),$AD108,IF(OR(LEFT($AQ108,3)="QT.",LEFT($AQ108,4)="QUAN"),"QT",IF($AR108=999,$AQ108,TRIM(LEFT($AQ108,$AR108-1))))))</f>
        <v/>
      </c>
      <c r="AP108" s="473" t="str">
        <f t="shared" ref="AP108:AP142" si="22">IF($AD108="","",IF(ISNUMBER($AD108),"",IF(OR(LEFT($AQ108,3)="QT.",LEFT($AQ108,4)="QUAN"),"QT. SUFFISANTE",IF($AO108="","",TRIM(MID($AQ108,LEN($AO108&amp;"")+1,999))))))</f>
        <v/>
      </c>
      <c r="AQ108" s="473" t="str">
        <f t="shared" ref="AQ108:AQ142" si="23">IF($AD108="","",UPPER(TRIM(SUBSTITUTE(SUBSTITUTE($AD108&amp;"",CHAR(160)," ")," "," "))))</f>
        <v/>
      </c>
      <c r="AR108" s="473" t="str">
        <f t="shared" ref="AR108:AR142" si="24">IF($AQ108="","",MIN($AS108,$AT108,$AU108))</f>
        <v/>
      </c>
      <c r="AS108" s="473" t="str">
        <f t="shared" ref="AS108:AS142" si="25">IF($AQ108="","",MIN(IFERROR(SEARCH("A",$AQ108),999),IFERROR(SEARCH("B",$AQ108),999),IFERROR(SEARCH("C",$AQ108),999),IFERROR(SEARCH("D",$AQ108),999),IFERROR(SEARCH("E",$AQ108),999),IFERROR(SEARCH("F",$AQ108),999),IFERROR(SEARCH("G",$AQ108),999),IFERROR(SEARCH("H",$AQ108),999),IFERROR(SEARCH("I",$AQ108),999)))</f>
        <v/>
      </c>
      <c r="AT108" s="473" t="str">
        <f t="shared" ref="AT108:AT142" si="26">IF($AQ108="","",MIN(IFERROR(SEARCH("J",$AQ108),999),IFERROR(SEARCH("K",$AQ108),999),IFERROR(SEARCH("L",$AQ108),999),IFERROR(SEARCH("M",$AQ108),999),IFERROR(SEARCH("N",$AQ108),999),IFERROR(SEARCH("O",$AQ108),999),IFERROR(SEARCH("P",$AQ108),999),IFERROR(SEARCH("Q",$AQ108),999),IFERROR(SEARCH("R",$AQ108),999)))</f>
        <v/>
      </c>
      <c r="AU108" s="473" t="str">
        <f t="shared" ref="AU108:AU142" si="27">IF($AQ108="","",MIN(IFERROR(SEARCH("S",$AQ108),999),IFERROR(SEARCH("T",$AQ108),999),IFERROR(SEARCH("U",$AQ108),999),IFERROR(SEARCH("V",$AQ108),999),IFERROR(SEARCH("W",$AQ108),999),IFERROR(SEARCH("X",$AQ108),999),IFERROR(SEARCH("Y",$AQ108),999),IFERROR(SEARCH("Z",$AQ108),999)))</f>
        <v/>
      </c>
      <c r="AY108" s="32" t="s">
        <v>311</v>
      </c>
      <c r="AZ108" s="488" t="s">
        <v>38</v>
      </c>
      <c r="BA108" s="489">
        <v>1</v>
      </c>
      <c r="BB108" s="419" t="s">
        <v>312</v>
      </c>
      <c r="BC108" s="271"/>
      <c r="BD108" s="279">
        <v>1</v>
      </c>
      <c r="BE108" s="271"/>
      <c r="BF108" s="271"/>
      <c r="BG108" s="271"/>
      <c r="BH108" s="271"/>
      <c r="BI108" s="271"/>
      <c r="BJ108" s="271"/>
      <c r="BK108" s="271"/>
      <c r="BL108" s="271"/>
    </row>
    <row r="109" spans="18:64" ht="21" customHeight="1" x14ac:dyDescent="0.25">
      <c r="S109" s="451"/>
      <c r="T109" s="32" t="s">
        <v>305</v>
      </c>
      <c r="V109" s="475">
        <f>$V$108</f>
        <v>2</v>
      </c>
      <c r="W109" s="475" t="str">
        <f>IF($AC$109="","",$W$108)</f>
        <v>N° 22</v>
      </c>
      <c r="X109" s="476" t="str">
        <f>IF($AC$109="","",$X$108)</f>
        <v>POIVRONS DOUX A L'HUILE D'OLIVE</v>
      </c>
      <c r="Y109" s="477">
        <f>IF($X$109="","",$Y$108)</f>
        <v>39</v>
      </c>
      <c r="Z109" s="477">
        <f>IF($X$109="","",$Z$108)</f>
        <v>100</v>
      </c>
      <c r="AA109" s="477">
        <f>IF($AC$109="","",ROW($A$109)-ROW($A$108))</f>
        <v>1</v>
      </c>
      <c r="AB109" s="478"/>
      <c r="AC109" s="34" t="s">
        <v>178</v>
      </c>
      <c r="AD109" s="356"/>
      <c r="AE109" s="18">
        <v>25</v>
      </c>
      <c r="AF109" s="23" t="s">
        <v>311</v>
      </c>
      <c r="AG109" s="480">
        <f t="shared" si="16"/>
        <v>25</v>
      </c>
      <c r="AH109" s="481" t="str">
        <f t="shared" si="17"/>
        <v>UNITÉ(S)</v>
      </c>
      <c r="AI109" s="477" t="str">
        <f>IF($AC$109="","",IFERROR(INDEX($AZ$74:$AZ$119,MATCH($AH$109,$AY$74:$AY$119,0)),"AUTRE"))</f>
        <v>AUTRE</v>
      </c>
      <c r="AJ109" s="482">
        <f>IF($AC$109="","",IFERROR(INDEX($BA$74:$BA$119,MATCH($AH$109,$AY$74:$AY$119,0)),1))</f>
        <v>1</v>
      </c>
      <c r="AK109" s="482">
        <f t="shared" si="18"/>
        <v>25</v>
      </c>
      <c r="AL109" s="477" t="str">
        <f>IF($AC$109="","",IFERROR(INDEX($BB$74:$BB$119,MATCH($AH$109,$AY$74:$AY$119,0)),$AH$109))</f>
        <v>unité(s)</v>
      </c>
      <c r="AM109" s="483" t="str">
        <f t="shared" si="19"/>
        <v>OK</v>
      </c>
      <c r="AN109" s="484">
        <f t="shared" si="20"/>
        <v>25</v>
      </c>
      <c r="AO109" s="473" t="str">
        <f t="shared" si="21"/>
        <v/>
      </c>
      <c r="AP109" s="473" t="str">
        <f t="shared" si="22"/>
        <v/>
      </c>
      <c r="AQ109" s="473" t="str">
        <f t="shared" si="23"/>
        <v/>
      </c>
      <c r="AR109" s="473" t="str">
        <f t="shared" si="24"/>
        <v/>
      </c>
      <c r="AS109" s="473" t="str">
        <f t="shared" si="25"/>
        <v/>
      </c>
      <c r="AT109" s="473" t="str">
        <f t="shared" si="26"/>
        <v/>
      </c>
      <c r="AU109" s="473" t="str">
        <f t="shared" si="27"/>
        <v/>
      </c>
      <c r="AY109" s="32" t="s">
        <v>8135</v>
      </c>
      <c r="AZ109" s="488" t="s">
        <v>38</v>
      </c>
      <c r="BA109" s="489">
        <v>1</v>
      </c>
      <c r="BB109" s="419" t="s">
        <v>8136</v>
      </c>
      <c r="BC109" s="271"/>
      <c r="BD109" s="279">
        <v>1</v>
      </c>
      <c r="BE109" s="271"/>
      <c r="BF109" s="271"/>
      <c r="BG109" s="271"/>
      <c r="BH109" s="271"/>
      <c r="BI109" s="271"/>
      <c r="BJ109" s="271"/>
      <c r="BK109" s="271"/>
      <c r="BL109" s="271"/>
    </row>
    <row r="110" spans="18:64" ht="21" customHeight="1" x14ac:dyDescent="0.25">
      <c r="R110" s="25" t="s">
        <v>6134</v>
      </c>
      <c r="S110" s="451"/>
      <c r="T110" s="32" t="s">
        <v>309</v>
      </c>
      <c r="V110" s="475">
        <v>2</v>
      </c>
      <c r="W110" s="475" t="str">
        <f>IF($AC$110="","",$W$108)</f>
        <v>N° 22</v>
      </c>
      <c r="X110" s="476" t="str">
        <f>IF($AC$110="","",$X$108)</f>
        <v>POIVRONS DOUX A L'HUILE D'OLIVE</v>
      </c>
      <c r="Y110" s="477">
        <f>IF($X$110="","",$Y$108)</f>
        <v>39</v>
      </c>
      <c r="Z110" s="477">
        <f>IF($X$110="","",$Z$108)</f>
        <v>100</v>
      </c>
      <c r="AA110" s="477">
        <f>IF($AC$110="","",ROW($A$110)-ROW($A$108))</f>
        <v>2</v>
      </c>
      <c r="AB110" s="478"/>
      <c r="AC110" s="34" t="s">
        <v>41</v>
      </c>
      <c r="AD110" s="356"/>
      <c r="AE110" s="18">
        <v>150</v>
      </c>
      <c r="AF110" s="16" t="s">
        <v>8</v>
      </c>
      <c r="AG110" s="480">
        <f t="shared" si="16"/>
        <v>150</v>
      </c>
      <c r="AH110" s="481" t="str">
        <f t="shared" si="17"/>
        <v>G</v>
      </c>
      <c r="AI110" s="477" t="str">
        <f>IF($AC$110="","",IFERROR(INDEX($AZ$74:$AZ$119,MATCH($AH$110,$AY$74:$AY$119,0)),"AUTRE"))</f>
        <v>MASSE</v>
      </c>
      <c r="AJ110" s="482">
        <f>IF($AC$110="","",IFERROR(INDEX($BA$74:$BA$119,MATCH($AH$110,$AY$74:$AY$119,0)),1))</f>
        <v>1E-3</v>
      </c>
      <c r="AK110" s="482">
        <f t="shared" si="18"/>
        <v>0.15</v>
      </c>
      <c r="AL110" s="477" t="str">
        <f>IF($AC$110="","",IFERROR(INDEX($BB$74:$BB$119,MATCH($AH$110,$AY$74:$AY$119,0)),$AH$110))</f>
        <v>kg</v>
      </c>
      <c r="AM110" s="483" t="str">
        <f t="shared" si="19"/>
        <v>OK</v>
      </c>
      <c r="AN110" s="484">
        <f t="shared" si="20"/>
        <v>150</v>
      </c>
      <c r="AO110" s="473" t="str">
        <f t="shared" si="21"/>
        <v/>
      </c>
      <c r="AP110" s="473" t="str">
        <f t="shared" si="22"/>
        <v/>
      </c>
      <c r="AQ110" s="473" t="str">
        <f t="shared" si="23"/>
        <v/>
      </c>
      <c r="AR110" s="473" t="str">
        <f t="shared" si="24"/>
        <v/>
      </c>
      <c r="AS110" s="473" t="str">
        <f t="shared" si="25"/>
        <v/>
      </c>
      <c r="AT110" s="473" t="str">
        <f t="shared" si="26"/>
        <v/>
      </c>
      <c r="AU110" s="473" t="str">
        <f t="shared" si="27"/>
        <v/>
      </c>
      <c r="AY110" s="32" t="s">
        <v>8137</v>
      </c>
      <c r="AZ110" s="488" t="s">
        <v>38</v>
      </c>
      <c r="BA110" s="489">
        <v>1</v>
      </c>
      <c r="BB110" s="419" t="s">
        <v>8138</v>
      </c>
      <c r="BC110" s="271"/>
      <c r="BD110" s="279">
        <v>1</v>
      </c>
      <c r="BE110" s="271"/>
      <c r="BF110" s="271"/>
      <c r="BG110" s="271"/>
      <c r="BH110" s="271"/>
      <c r="BI110" s="271"/>
      <c r="BJ110" s="271"/>
      <c r="BK110" s="271"/>
      <c r="BL110" s="271"/>
    </row>
    <row r="111" spans="18:64" ht="21" customHeight="1" x14ac:dyDescent="0.25">
      <c r="R111" s="34" t="s">
        <v>481</v>
      </c>
      <c r="S111" s="451"/>
      <c r="T111" s="32" t="s">
        <v>311</v>
      </c>
      <c r="V111" s="475">
        <v>2</v>
      </c>
      <c r="W111" s="475" t="str">
        <f>IF($AC$111="","",$W$108)</f>
        <v>N° 22</v>
      </c>
      <c r="X111" s="476" t="str">
        <f>IF($AC$111="","",$X$108)</f>
        <v>POIVRONS DOUX A L'HUILE D'OLIVE</v>
      </c>
      <c r="Y111" s="477">
        <f>IF($X$111="","",$Y$108)</f>
        <v>39</v>
      </c>
      <c r="Z111" s="477">
        <f>IF($X$111="","",$Z$108)</f>
        <v>100</v>
      </c>
      <c r="AA111" s="477">
        <f>IF($AC$111="","",ROW($A$111)-ROW($A$108))</f>
        <v>3</v>
      </c>
      <c r="AB111" s="478"/>
      <c r="AC111" s="34" t="s">
        <v>42</v>
      </c>
      <c r="AD111" s="356"/>
      <c r="AE111" s="18">
        <v>1</v>
      </c>
      <c r="AF111" s="20" t="s">
        <v>9</v>
      </c>
      <c r="AG111" s="480">
        <f t="shared" si="16"/>
        <v>1</v>
      </c>
      <c r="AH111" s="481" t="str">
        <f t="shared" si="17"/>
        <v>L</v>
      </c>
      <c r="AI111" s="477" t="str">
        <f>IF($AC$111="","",IFERROR(INDEX($AZ$74:$AZ$119,MATCH($AH$111,$AY$74:$AY$119,0)),"AUTRE"))</f>
        <v>VOLUME</v>
      </c>
      <c r="AJ111" s="482">
        <f>IF($AC$111="","",IFERROR(INDEX($BA$74:$BA$119,MATCH($AH$111,$AY$74:$AY$119,0)),1))</f>
        <v>1</v>
      </c>
      <c r="AK111" s="482">
        <f t="shared" si="18"/>
        <v>1</v>
      </c>
      <c r="AL111" s="477" t="str">
        <f>IF($AC$111="","",IFERROR(INDEX($BB$74:$BB$119,MATCH($AH$111,$AY$74:$AY$119,0)),$AH$111))</f>
        <v>L</v>
      </c>
      <c r="AM111" s="483" t="str">
        <f t="shared" si="19"/>
        <v>OK</v>
      </c>
      <c r="AN111" s="484">
        <f t="shared" si="20"/>
        <v>1</v>
      </c>
      <c r="AO111" s="473" t="str">
        <f t="shared" si="21"/>
        <v/>
      </c>
      <c r="AP111" s="473" t="str">
        <f t="shared" si="22"/>
        <v/>
      </c>
      <c r="AQ111" s="473" t="str">
        <f t="shared" si="23"/>
        <v/>
      </c>
      <c r="AR111" s="473" t="str">
        <f t="shared" si="24"/>
        <v/>
      </c>
      <c r="AS111" s="473" t="str">
        <f t="shared" si="25"/>
        <v/>
      </c>
      <c r="AT111" s="473" t="str">
        <f t="shared" si="26"/>
        <v/>
      </c>
      <c r="AU111" s="473" t="str">
        <f t="shared" si="27"/>
        <v/>
      </c>
      <c r="AY111" s="32" t="s">
        <v>8139</v>
      </c>
      <c r="AZ111" s="488" t="s">
        <v>38</v>
      </c>
      <c r="BA111" s="489">
        <v>1</v>
      </c>
      <c r="BB111" s="419" t="s">
        <v>8140</v>
      </c>
      <c r="BC111" s="271"/>
      <c r="BD111" s="279">
        <v>1</v>
      </c>
      <c r="BE111" s="271"/>
      <c r="BF111" s="271"/>
      <c r="BG111" s="271"/>
      <c r="BH111" s="271"/>
      <c r="BI111" s="271"/>
      <c r="BJ111" s="271"/>
      <c r="BK111" s="271"/>
      <c r="BL111" s="271"/>
    </row>
    <row r="112" spans="18:64" ht="21" customHeight="1" x14ac:dyDescent="0.25">
      <c r="R112" s="34" t="s">
        <v>475</v>
      </c>
      <c r="S112" s="451"/>
      <c r="T112" s="32" t="s">
        <v>8135</v>
      </c>
      <c r="V112" s="475">
        <v>2</v>
      </c>
      <c r="W112" s="475" t="str">
        <f>IF($AC$112="","",$W$108)</f>
        <v>N° 22</v>
      </c>
      <c r="X112" s="476" t="str">
        <f>IF($AC$112="","",$X$108)</f>
        <v>POIVRONS DOUX A L'HUILE D'OLIVE</v>
      </c>
      <c r="Y112" s="477">
        <f>IF($X$112="","",$Y$108)</f>
        <v>39</v>
      </c>
      <c r="Z112" s="477">
        <f>IF($X$112="","",$Z$108)</f>
        <v>100</v>
      </c>
      <c r="AA112" s="477">
        <f>IF($AC$112="","",ROW($A$112)-ROW($A$108))</f>
        <v>4</v>
      </c>
      <c r="AB112" s="478"/>
      <c r="AC112" s="34" t="s">
        <v>67</v>
      </c>
      <c r="AD112" s="356"/>
      <c r="AE112" s="23" t="s">
        <v>33</v>
      </c>
      <c r="AF112" s="19"/>
      <c r="AG112" s="480" t="str">
        <f t="shared" si="16"/>
        <v>QT. SUFFISANTE</v>
      </c>
      <c r="AH112" s="481" t="str">
        <f t="shared" si="17"/>
        <v/>
      </c>
      <c r="AI112" s="477" t="str">
        <f>IF($AC$112="","",IFERROR(INDEX($AZ$74:$AZ$119,MATCH($AH$112,$AY$74:$AY$119,0)),"AUTRE"))</f>
        <v>AUTRE</v>
      </c>
      <c r="AJ112" s="482">
        <f>IF($AC$112="","",IFERROR(INDEX($BA$74:$BA$119,MATCH($AH$112,$AY$74:$AY$119,0)),1))</f>
        <v>1</v>
      </c>
      <c r="AK112" s="482" t="e">
        <f t="shared" si="18"/>
        <v>#VALUE!</v>
      </c>
      <c r="AL112" s="477" t="str">
        <f>IF($AC$112="","",IFERROR(INDEX($BB$74:$BB$119,MATCH($AH$112,$AY$74:$AY$119,0)),$AH$112))</f>
        <v/>
      </c>
      <c r="AM112" s="483" t="str">
        <f t="shared" si="19"/>
        <v>QUANTITÉ À CONTRÔLER</v>
      </c>
      <c r="AN112" s="484" t="str">
        <f t="shared" si="20"/>
        <v>QT. SUFFISANTE</v>
      </c>
      <c r="AO112" s="473" t="str">
        <f t="shared" si="21"/>
        <v/>
      </c>
      <c r="AP112" s="473" t="str">
        <f t="shared" si="22"/>
        <v/>
      </c>
      <c r="AQ112" s="473" t="str">
        <f t="shared" si="23"/>
        <v/>
      </c>
      <c r="AR112" s="473" t="str">
        <f t="shared" si="24"/>
        <v/>
      </c>
      <c r="AS112" s="473" t="str">
        <f t="shared" si="25"/>
        <v/>
      </c>
      <c r="AT112" s="473" t="str">
        <f t="shared" si="26"/>
        <v/>
      </c>
      <c r="AU112" s="473" t="str">
        <f t="shared" si="27"/>
        <v/>
      </c>
      <c r="AY112" s="32" t="s">
        <v>8141</v>
      </c>
      <c r="AZ112" s="488" t="s">
        <v>38</v>
      </c>
      <c r="BA112" s="489">
        <v>1</v>
      </c>
      <c r="BB112" s="419" t="s">
        <v>8142</v>
      </c>
      <c r="BC112" s="271"/>
      <c r="BD112" s="279">
        <v>1</v>
      </c>
      <c r="BE112" s="271"/>
      <c r="BF112" s="271"/>
      <c r="BG112" s="271"/>
      <c r="BH112" s="271"/>
      <c r="BI112" s="271"/>
      <c r="BJ112" s="271"/>
      <c r="BK112" s="271"/>
      <c r="BL112" s="271"/>
    </row>
    <row r="113" spans="18:64" ht="21" customHeight="1" x14ac:dyDescent="0.25">
      <c r="R113" s="34" t="s">
        <v>457</v>
      </c>
      <c r="S113" s="451"/>
      <c r="T113" s="497" t="s">
        <v>462</v>
      </c>
      <c r="V113" s="475">
        <v>2</v>
      </c>
      <c r="W113" s="475" t="str">
        <f>IF($AC$113="","",$W$108)</f>
        <v>N° 22</v>
      </c>
      <c r="X113" s="476" t="str">
        <f>IF($AC$113="","",$X$108)</f>
        <v>POIVRONS DOUX A L'HUILE D'OLIVE</v>
      </c>
      <c r="Y113" s="477">
        <f>IF($X$113="","",$Y$108)</f>
        <v>39</v>
      </c>
      <c r="Z113" s="477">
        <f>IF($X$113="","",$Z$108)</f>
        <v>100</v>
      </c>
      <c r="AA113" s="477">
        <f>IF($AC$113="","",ROW($A$113)-ROW($A$108))</f>
        <v>5</v>
      </c>
      <c r="AB113" s="478"/>
      <c r="AC113" s="34" t="s">
        <v>44</v>
      </c>
      <c r="AD113" s="356"/>
      <c r="AE113" s="23" t="s">
        <v>33</v>
      </c>
      <c r="AF113" s="19"/>
      <c r="AG113" s="480" t="str">
        <f t="shared" si="16"/>
        <v>QT. SUFFISANTE</v>
      </c>
      <c r="AH113" s="481" t="str">
        <f t="shared" si="17"/>
        <v/>
      </c>
      <c r="AI113" s="477" t="str">
        <f>IF($AC$113="","",IFERROR(INDEX($AZ$74:$AZ$119,MATCH($AH$113,$AY$74:$AY$119,0)),"AUTRE"))</f>
        <v>AUTRE</v>
      </c>
      <c r="AJ113" s="482">
        <f>IF($AC$113="","",IFERROR(INDEX($BA$74:$BA$119,MATCH($AH$113,$AY$74:$AY$119,0)),1))</f>
        <v>1</v>
      </c>
      <c r="AK113" s="482" t="e">
        <f t="shared" si="18"/>
        <v>#VALUE!</v>
      </c>
      <c r="AL113" s="477" t="str">
        <f>IF($AC$113="","",IFERROR(INDEX($BB$74:$BB$119,MATCH($AH$113,$AY$74:$AY$119,0)),$AH$113))</f>
        <v/>
      </c>
      <c r="AM113" s="483" t="str">
        <f t="shared" si="19"/>
        <v>QUANTITÉ À CONTRÔLER</v>
      </c>
      <c r="AN113" s="484" t="str">
        <f t="shared" si="20"/>
        <v>QT. SUFFISANTE</v>
      </c>
      <c r="AO113" s="473" t="str">
        <f t="shared" si="21"/>
        <v/>
      </c>
      <c r="AP113" s="473" t="str">
        <f t="shared" si="22"/>
        <v/>
      </c>
      <c r="AQ113" s="473" t="str">
        <f t="shared" si="23"/>
        <v/>
      </c>
      <c r="AR113" s="473" t="str">
        <f t="shared" si="24"/>
        <v/>
      </c>
      <c r="AS113" s="473" t="str">
        <f t="shared" si="25"/>
        <v/>
      </c>
      <c r="AT113" s="473" t="str">
        <f t="shared" si="26"/>
        <v/>
      </c>
      <c r="AU113" s="473" t="str">
        <f t="shared" si="27"/>
        <v/>
      </c>
      <c r="AY113" s="32" t="s">
        <v>8143</v>
      </c>
      <c r="AZ113" s="488" t="s">
        <v>38</v>
      </c>
      <c r="BA113" s="489">
        <v>1</v>
      </c>
      <c r="BB113" s="419" t="s">
        <v>8144</v>
      </c>
      <c r="BC113" s="271"/>
      <c r="BD113" s="279">
        <v>1</v>
      </c>
      <c r="BE113" s="271"/>
      <c r="BF113" s="271"/>
      <c r="BG113" s="271"/>
      <c r="BH113" s="271"/>
      <c r="BI113" s="271"/>
      <c r="BJ113" s="271"/>
      <c r="BK113" s="271"/>
      <c r="BL113" s="271"/>
    </row>
    <row r="114" spans="18:64" ht="21" customHeight="1" x14ac:dyDescent="0.25">
      <c r="R114" s="34" t="s">
        <v>482</v>
      </c>
      <c r="S114" s="451"/>
      <c r="T114" s="497" t="s">
        <v>463</v>
      </c>
      <c r="V114" s="475">
        <v>2</v>
      </c>
      <c r="W114" s="475" t="str">
        <f>IF($AC$114="","",$W$108)</f>
        <v>N° 22</v>
      </c>
      <c r="X114" s="476" t="str">
        <f>IF($AC$114="","",$X$108)</f>
        <v>POIVRONS DOUX A L'HUILE D'OLIVE</v>
      </c>
      <c r="Y114" s="477">
        <f>IF($X$114="","",$Y$108)</f>
        <v>39</v>
      </c>
      <c r="Z114" s="477">
        <f>IF($X$114="","",$Z$108)</f>
        <v>100</v>
      </c>
      <c r="AA114" s="477">
        <f>IF($AC$114="","",ROW($A$114)-ROW($A$108))</f>
        <v>6</v>
      </c>
      <c r="AB114" s="478"/>
      <c r="AC114" s="34" t="s">
        <v>419</v>
      </c>
      <c r="AD114" s="356"/>
      <c r="AE114" s="18" t="s">
        <v>179</v>
      </c>
      <c r="AF114" s="23" t="s">
        <v>426</v>
      </c>
      <c r="AG114" s="480" t="str">
        <f t="shared" si="16"/>
        <v>12</v>
      </c>
      <c r="AH114" s="481" t="str">
        <f t="shared" si="17"/>
        <v>BAGUETTES</v>
      </c>
      <c r="AI114" s="477" t="str">
        <f>IF($AC$114="","",IFERROR(INDEX($AZ$74:$AZ$119,MATCH($AH$114,$AY$74:$AY$119,0)),"AUTRE"))</f>
        <v>AUTRE</v>
      </c>
      <c r="AJ114" s="482">
        <f>IF($AC$114="","",IFERROR(INDEX($BA$74:$BA$119,MATCH($AH$114,$AY$74:$AY$119,0)),1))</f>
        <v>1</v>
      </c>
      <c r="AK114" s="482">
        <f t="shared" si="18"/>
        <v>12</v>
      </c>
      <c r="AL114" s="477" t="str">
        <f>IF($AC$114="","",IFERROR(INDEX($BB$74:$BB$119,MATCH($AH$114,$AY$74:$AY$119,0)),$AH$114))</f>
        <v>BAGUETTES</v>
      </c>
      <c r="AM114" s="483" t="str">
        <f t="shared" si="19"/>
        <v>QUANTITÉ À CONTRÔLER</v>
      </c>
      <c r="AN114" s="484" t="str">
        <f t="shared" si="20"/>
        <v>12</v>
      </c>
      <c r="AO114" s="473" t="str">
        <f t="shared" si="21"/>
        <v/>
      </c>
      <c r="AP114" s="473" t="str">
        <f t="shared" si="22"/>
        <v/>
      </c>
      <c r="AQ114" s="473" t="str">
        <f t="shared" si="23"/>
        <v/>
      </c>
      <c r="AR114" s="473" t="str">
        <f t="shared" si="24"/>
        <v/>
      </c>
      <c r="AS114" s="473" t="str">
        <f t="shared" si="25"/>
        <v/>
      </c>
      <c r="AT114" s="473" t="str">
        <f t="shared" si="26"/>
        <v/>
      </c>
      <c r="AU114" s="473" t="str">
        <f t="shared" si="27"/>
        <v/>
      </c>
      <c r="AY114" s="497" t="s">
        <v>8145</v>
      </c>
      <c r="AZ114" s="488" t="s">
        <v>38</v>
      </c>
      <c r="BA114" s="489">
        <v>1</v>
      </c>
      <c r="BB114" s="419" t="s">
        <v>8146</v>
      </c>
      <c r="BC114" s="271"/>
      <c r="BD114" s="279">
        <v>1</v>
      </c>
      <c r="BE114" s="271"/>
      <c r="BF114" s="271"/>
      <c r="BG114" s="271"/>
      <c r="BH114" s="271"/>
      <c r="BI114" s="271"/>
      <c r="BJ114" s="271"/>
      <c r="BK114" s="271"/>
      <c r="BL114" s="271"/>
    </row>
    <row r="115" spans="18:64" ht="21" customHeight="1" x14ac:dyDescent="0.25">
      <c r="R115" s="34" t="s">
        <v>496</v>
      </c>
      <c r="S115" s="451"/>
      <c r="T115" s="497" t="s">
        <v>8147</v>
      </c>
      <c r="V115" s="475">
        <v>2</v>
      </c>
      <c r="W115" s="475" t="str">
        <f>IF($AC$115="","",$W$108)</f>
        <v/>
      </c>
      <c r="X115" s="476" t="str">
        <f>IF($AC$115="","",$X$108)</f>
        <v/>
      </c>
      <c r="Y115" s="477" t="str">
        <f>IF($X$115="","",$Y$108)</f>
        <v/>
      </c>
      <c r="Z115" s="477" t="str">
        <f>IF($X$115="","",$Z$108)</f>
        <v/>
      </c>
      <c r="AA115" s="477" t="str">
        <f>IF($AC$115="","",ROW($A$115)-ROW($A$108))</f>
        <v/>
      </c>
      <c r="AB115" s="478"/>
      <c r="AC115" s="34"/>
      <c r="AD115" s="356"/>
      <c r="AE115" s="18"/>
      <c r="AF115" s="19"/>
      <c r="AG115" s="480" t="str">
        <f t="shared" si="16"/>
        <v/>
      </c>
      <c r="AH115" s="481" t="str">
        <f t="shared" si="17"/>
        <v/>
      </c>
      <c r="AI115" s="477" t="str">
        <f>IF($AC$115="","",IFERROR(INDEX($AZ$74:$AZ$119,MATCH($AH$115,$AY$74:$AY$119,0)),"AUTRE"))</f>
        <v/>
      </c>
      <c r="AJ115" s="482" t="str">
        <f>IF($AC$115="","",IFERROR(INDEX($BA$74:$BA$119,MATCH($AH$115,$AY$74:$AY$119,0)),1))</f>
        <v/>
      </c>
      <c r="AK115" s="482" t="str">
        <f t="shared" si="18"/>
        <v/>
      </c>
      <c r="AL115" s="477" t="str">
        <f>IF($AC$115="","",IFERROR(INDEX($BB$74:$BB$119,MATCH($AH$115,$AY$74:$AY$119,0)),$AH$115))</f>
        <v/>
      </c>
      <c r="AM115" s="483" t="str">
        <f t="shared" si="19"/>
        <v/>
      </c>
      <c r="AN115" s="484" t="str">
        <f t="shared" si="20"/>
        <v/>
      </c>
      <c r="AO115" s="473" t="str">
        <f t="shared" si="21"/>
        <v/>
      </c>
      <c r="AP115" s="473" t="str">
        <f t="shared" si="22"/>
        <v/>
      </c>
      <c r="AQ115" s="473" t="str">
        <f t="shared" si="23"/>
        <v/>
      </c>
      <c r="AR115" s="473" t="str">
        <f t="shared" si="24"/>
        <v/>
      </c>
      <c r="AS115" s="473" t="str">
        <f t="shared" si="25"/>
        <v/>
      </c>
      <c r="AT115" s="473" t="str">
        <f t="shared" si="26"/>
        <v/>
      </c>
      <c r="AU115" s="473" t="str">
        <f t="shared" si="27"/>
        <v/>
      </c>
      <c r="AY115" s="497" t="s">
        <v>462</v>
      </c>
      <c r="AZ115" s="488" t="s">
        <v>38</v>
      </c>
      <c r="BA115" s="489">
        <v>1</v>
      </c>
      <c r="BB115" s="419" t="s">
        <v>461</v>
      </c>
      <c r="BC115" s="271"/>
      <c r="BD115" s="279">
        <v>1</v>
      </c>
      <c r="BE115" s="271"/>
      <c r="BF115" s="271"/>
      <c r="BG115" s="271"/>
      <c r="BH115" s="271"/>
      <c r="BI115" s="271"/>
      <c r="BJ115" s="271"/>
      <c r="BK115" s="271"/>
      <c r="BL115" s="271"/>
    </row>
    <row r="116" spans="18:64" ht="21" customHeight="1" x14ac:dyDescent="0.25">
      <c r="R116" s="34" t="s">
        <v>483</v>
      </c>
      <c r="S116" s="451"/>
      <c r="T116" s="497" t="s">
        <v>465</v>
      </c>
      <c r="V116" s="475">
        <v>2</v>
      </c>
      <c r="W116" s="475" t="str">
        <f>IF($AC$116="","",$W$108)</f>
        <v/>
      </c>
      <c r="X116" s="476" t="str">
        <f>IF($AC$116="","",$X$108)</f>
        <v/>
      </c>
      <c r="Y116" s="477" t="str">
        <f>IF($X$116="","",$Y$108)</f>
        <v/>
      </c>
      <c r="Z116" s="477" t="str">
        <f>IF($X$116="","",$Z$108)</f>
        <v/>
      </c>
      <c r="AA116" s="477" t="str">
        <f>IF($AC$116="","",ROW($A$116)-ROW($A$108))</f>
        <v/>
      </c>
      <c r="AB116" s="478"/>
      <c r="AC116" s="34"/>
      <c r="AD116" s="356"/>
      <c r="AE116" s="18"/>
      <c r="AF116" s="19"/>
      <c r="AG116" s="480" t="str">
        <f t="shared" si="16"/>
        <v/>
      </c>
      <c r="AH116" s="481" t="str">
        <f t="shared" si="17"/>
        <v/>
      </c>
      <c r="AI116" s="477" t="str">
        <f>IF($AC$116="","",IFERROR(INDEX($AZ$74:$AZ$119,MATCH($AH$116,$AY$74:$AY$119,0)),"AUTRE"))</f>
        <v/>
      </c>
      <c r="AJ116" s="482" t="str">
        <f>IF($AC$116="","",IFERROR(INDEX($BA$74:$BA$119,MATCH($AH$116,$AY$74:$AY$119,0)),1))</f>
        <v/>
      </c>
      <c r="AK116" s="482" t="str">
        <f t="shared" si="18"/>
        <v/>
      </c>
      <c r="AL116" s="477" t="str">
        <f>IF($AC$116="","",IFERROR(INDEX($BB$74:$BB$119,MATCH($AH$116,$AY$74:$AY$119,0)),$AH$116))</f>
        <v/>
      </c>
      <c r="AM116" s="483" t="str">
        <f t="shared" si="19"/>
        <v/>
      </c>
      <c r="AN116" s="484" t="str">
        <f t="shared" si="20"/>
        <v/>
      </c>
      <c r="AO116" s="473" t="str">
        <f t="shared" si="21"/>
        <v/>
      </c>
      <c r="AP116" s="473" t="str">
        <f t="shared" si="22"/>
        <v/>
      </c>
      <c r="AQ116" s="473" t="str">
        <f t="shared" si="23"/>
        <v/>
      </c>
      <c r="AR116" s="473" t="str">
        <f t="shared" si="24"/>
        <v/>
      </c>
      <c r="AS116" s="473" t="str">
        <f t="shared" si="25"/>
        <v/>
      </c>
      <c r="AT116" s="473" t="str">
        <f t="shared" si="26"/>
        <v/>
      </c>
      <c r="AU116" s="473" t="str">
        <f t="shared" si="27"/>
        <v/>
      </c>
      <c r="AY116" s="497" t="s">
        <v>463</v>
      </c>
      <c r="AZ116" s="488" t="s">
        <v>38</v>
      </c>
      <c r="BA116" s="489">
        <v>1</v>
      </c>
      <c r="BB116" s="419" t="s">
        <v>464</v>
      </c>
      <c r="BC116" s="271"/>
      <c r="BD116" s="279">
        <v>1</v>
      </c>
      <c r="BE116" s="271"/>
      <c r="BF116" s="271"/>
      <c r="BG116" s="271"/>
      <c r="BH116" s="271"/>
      <c r="BI116" s="271"/>
      <c r="BJ116" s="271"/>
      <c r="BK116" s="271"/>
      <c r="BL116" s="271"/>
    </row>
    <row r="117" spans="18:64" ht="21" customHeight="1" x14ac:dyDescent="0.25">
      <c r="R117" s="34" t="s">
        <v>493</v>
      </c>
      <c r="S117" s="451"/>
      <c r="T117" s="497" t="s">
        <v>466</v>
      </c>
      <c r="V117" s="475">
        <v>2</v>
      </c>
      <c r="W117" s="475" t="str">
        <f>IF($AC$117="","",$W$108)</f>
        <v/>
      </c>
      <c r="X117" s="476" t="str">
        <f>IF($AC$117="","",$X$108)</f>
        <v/>
      </c>
      <c r="Y117" s="477" t="str">
        <f>IF($X$117="","",$Y$108)</f>
        <v/>
      </c>
      <c r="Z117" s="477" t="str">
        <f>IF($X$117="","",$Z$108)</f>
        <v/>
      </c>
      <c r="AA117" s="477" t="str">
        <f>IF($AC$117="","",ROW($A$117)-ROW($A$108))</f>
        <v/>
      </c>
      <c r="AB117" s="478"/>
      <c r="AC117" s="34"/>
      <c r="AD117" s="356"/>
      <c r="AE117" s="18"/>
      <c r="AF117" s="19"/>
      <c r="AG117" s="480" t="str">
        <f t="shared" si="16"/>
        <v/>
      </c>
      <c r="AH117" s="481" t="str">
        <f t="shared" si="17"/>
        <v/>
      </c>
      <c r="AI117" s="477" t="str">
        <f>IF($AC$117="","",IFERROR(INDEX($AZ$74:$AZ$119,MATCH($AH$117,$AY$74:$AY$119,0)),"AUTRE"))</f>
        <v/>
      </c>
      <c r="AJ117" s="482" t="str">
        <f>IF($AC$117="","",IFERROR(INDEX($BA$74:$BA$119,MATCH($AH$117,$AY$74:$AY$119,0)),1))</f>
        <v/>
      </c>
      <c r="AK117" s="482" t="str">
        <f t="shared" si="18"/>
        <v/>
      </c>
      <c r="AL117" s="477" t="str">
        <f>IF($AC$117="","",IFERROR(INDEX($BB$74:$BB$119,MATCH($AH$117,$AY$74:$AY$119,0)),$AH$117))</f>
        <v/>
      </c>
      <c r="AM117" s="483" t="str">
        <f t="shared" si="19"/>
        <v/>
      </c>
      <c r="AN117" s="484" t="str">
        <f t="shared" si="20"/>
        <v/>
      </c>
      <c r="AO117" s="473" t="str">
        <f t="shared" si="21"/>
        <v/>
      </c>
      <c r="AP117" s="473" t="str">
        <f t="shared" si="22"/>
        <v/>
      </c>
      <c r="AQ117" s="473" t="str">
        <f t="shared" si="23"/>
        <v/>
      </c>
      <c r="AR117" s="473" t="str">
        <f t="shared" si="24"/>
        <v/>
      </c>
      <c r="AS117" s="473" t="str">
        <f t="shared" si="25"/>
        <v/>
      </c>
      <c r="AT117" s="473" t="str">
        <f t="shared" si="26"/>
        <v/>
      </c>
      <c r="AU117" s="473" t="str">
        <f t="shared" si="27"/>
        <v/>
      </c>
      <c r="AY117" s="497" t="s">
        <v>8147</v>
      </c>
      <c r="AZ117" s="488" t="s">
        <v>38</v>
      </c>
      <c r="BA117" s="489">
        <v>1</v>
      </c>
      <c r="BB117" s="419" t="s">
        <v>8148</v>
      </c>
      <c r="BC117" s="271"/>
      <c r="BD117" s="279">
        <v>1</v>
      </c>
      <c r="BE117" s="271"/>
      <c r="BF117" s="271"/>
      <c r="BG117" s="271"/>
      <c r="BH117" s="271"/>
      <c r="BI117" s="271"/>
      <c r="BJ117" s="271"/>
      <c r="BK117" s="271"/>
      <c r="BL117" s="271"/>
    </row>
    <row r="118" spans="18:64" ht="21" customHeight="1" x14ac:dyDescent="0.25">
      <c r="R118" s="34" t="s">
        <v>494</v>
      </c>
      <c r="S118" s="451"/>
      <c r="T118" s="440" t="s">
        <v>8110</v>
      </c>
      <c r="V118" s="475">
        <v>2</v>
      </c>
      <c r="W118" s="475" t="str">
        <f>IF($AC$118="","",$W$108)</f>
        <v/>
      </c>
      <c r="X118" s="476" t="str">
        <f>IF($AC$118="","",$X$108)</f>
        <v/>
      </c>
      <c r="Y118" s="477" t="str">
        <f>IF($X$118="","",$Y$108)</f>
        <v/>
      </c>
      <c r="Z118" s="477" t="str">
        <f>IF($X$118="","",$Z$108)</f>
        <v/>
      </c>
      <c r="AA118" s="477" t="str">
        <f>IF($AC$118="","",ROW($A$118)-ROW($A$108))</f>
        <v/>
      </c>
      <c r="AB118" s="478"/>
      <c r="AC118" s="34"/>
      <c r="AD118" s="356"/>
      <c r="AE118" s="18"/>
      <c r="AF118" s="19"/>
      <c r="AG118" s="480" t="str">
        <f t="shared" si="16"/>
        <v/>
      </c>
      <c r="AH118" s="481" t="str">
        <f t="shared" si="17"/>
        <v/>
      </c>
      <c r="AI118" s="477" t="str">
        <f>IF($AC$118="","",IFERROR(INDEX($AZ$74:$AZ$119,MATCH($AH$118,$AY$74:$AY$119,0)),"AUTRE"))</f>
        <v/>
      </c>
      <c r="AJ118" s="482" t="str">
        <f>IF($AC$118="","",IFERROR(INDEX($BA$74:$BA$119,MATCH($AH$118,$AY$74:$AY$119,0)),1))</f>
        <v/>
      </c>
      <c r="AK118" s="482" t="str">
        <f t="shared" si="18"/>
        <v/>
      </c>
      <c r="AL118" s="477" t="str">
        <f>IF($AC$118="","",IFERROR(INDEX($BB$74:$BB$119,MATCH($AH$118,$AY$74:$AY$119,0)),$AH$118))</f>
        <v/>
      </c>
      <c r="AM118" s="483" t="str">
        <f t="shared" si="19"/>
        <v/>
      </c>
      <c r="AN118" s="484" t="str">
        <f t="shared" si="20"/>
        <v/>
      </c>
      <c r="AO118" s="473" t="str">
        <f t="shared" si="21"/>
        <v/>
      </c>
      <c r="AP118" s="473" t="str">
        <f t="shared" si="22"/>
        <v/>
      </c>
      <c r="AQ118" s="473" t="str">
        <f t="shared" si="23"/>
        <v/>
      </c>
      <c r="AR118" s="473" t="str">
        <f t="shared" si="24"/>
        <v/>
      </c>
      <c r="AS118" s="473" t="str">
        <f t="shared" si="25"/>
        <v/>
      </c>
      <c r="AT118" s="473" t="str">
        <f t="shared" si="26"/>
        <v/>
      </c>
      <c r="AU118" s="473" t="str">
        <f t="shared" si="27"/>
        <v/>
      </c>
      <c r="AY118" s="497" t="s">
        <v>465</v>
      </c>
      <c r="AZ118" s="488" t="s">
        <v>38</v>
      </c>
      <c r="BA118" s="489">
        <v>1</v>
      </c>
      <c r="BB118" s="419" t="s">
        <v>460</v>
      </c>
      <c r="BC118" s="271"/>
      <c r="BD118" s="279">
        <v>1</v>
      </c>
      <c r="BE118" s="271"/>
      <c r="BF118" s="271"/>
      <c r="BG118" s="271"/>
      <c r="BH118" s="271"/>
      <c r="BI118" s="271"/>
      <c r="BJ118" s="271"/>
      <c r="BK118" s="271"/>
      <c r="BL118" s="271"/>
    </row>
    <row r="119" spans="18:64" ht="21" customHeight="1" x14ac:dyDescent="0.25">
      <c r="S119" s="451"/>
      <c r="T119" s="452" t="s">
        <v>8113</v>
      </c>
      <c r="V119" s="475">
        <v>2</v>
      </c>
      <c r="W119" s="475" t="str">
        <f>IF($AC$119="","",$W$108)</f>
        <v/>
      </c>
      <c r="X119" s="476" t="str">
        <f>IF($AC$119="","",$X$108)</f>
        <v/>
      </c>
      <c r="Y119" s="477" t="str">
        <f>IF($X$119="","",$Y$108)</f>
        <v/>
      </c>
      <c r="Z119" s="477" t="str">
        <f>IF($X$119="","",$Z$108)</f>
        <v/>
      </c>
      <c r="AA119" s="477" t="str">
        <f>IF($AC$119="","",ROW($A$119)-ROW($A$108))</f>
        <v/>
      </c>
      <c r="AB119" s="478"/>
      <c r="AC119" s="34"/>
      <c r="AD119" s="356"/>
      <c r="AE119" s="18"/>
      <c r="AF119" s="19"/>
      <c r="AG119" s="480" t="str">
        <f t="shared" si="16"/>
        <v/>
      </c>
      <c r="AH119" s="481" t="str">
        <f t="shared" si="17"/>
        <v/>
      </c>
      <c r="AI119" s="477" t="str">
        <f>IF($AC$119="","",IFERROR(INDEX($AZ$74:$AZ$119,MATCH($AH$119,$AY$74:$AY$119,0)),"AUTRE"))</f>
        <v/>
      </c>
      <c r="AJ119" s="482" t="str">
        <f>IF($AC$119="","",IFERROR(INDEX($BA$74:$BA$119,MATCH($AH$119,$AY$74:$AY$119,0)),1))</f>
        <v/>
      </c>
      <c r="AK119" s="482" t="str">
        <f t="shared" si="18"/>
        <v/>
      </c>
      <c r="AL119" s="477" t="str">
        <f>IF($AC$119="","",IFERROR(INDEX($BB$74:$BB$119,MATCH($AH$119,$AY$74:$AY$119,0)),$AH$119))</f>
        <v/>
      </c>
      <c r="AM119" s="483" t="str">
        <f t="shared" si="19"/>
        <v/>
      </c>
      <c r="AN119" s="484" t="str">
        <f t="shared" si="20"/>
        <v/>
      </c>
      <c r="AO119" s="473" t="str">
        <f t="shared" si="21"/>
        <v/>
      </c>
      <c r="AP119" s="473" t="str">
        <f t="shared" si="22"/>
        <v/>
      </c>
      <c r="AQ119" s="473" t="str">
        <f t="shared" si="23"/>
        <v/>
      </c>
      <c r="AR119" s="473" t="str">
        <f t="shared" si="24"/>
        <v/>
      </c>
      <c r="AS119" s="473" t="str">
        <f t="shared" si="25"/>
        <v/>
      </c>
      <c r="AT119" s="473" t="str">
        <f t="shared" si="26"/>
        <v/>
      </c>
      <c r="AU119" s="473" t="str">
        <f t="shared" si="27"/>
        <v/>
      </c>
      <c r="AY119" s="497" t="s">
        <v>466</v>
      </c>
      <c r="AZ119" s="488" t="s">
        <v>38</v>
      </c>
      <c r="BA119" s="489">
        <v>1</v>
      </c>
      <c r="BB119" s="419" t="s">
        <v>467</v>
      </c>
      <c r="BC119" s="271"/>
      <c r="BD119" s="279">
        <v>1</v>
      </c>
      <c r="BE119" s="271"/>
      <c r="BF119" s="271"/>
      <c r="BG119" s="271"/>
      <c r="BH119" s="271"/>
      <c r="BI119" s="271"/>
      <c r="BJ119" s="271"/>
      <c r="BK119" s="271"/>
      <c r="BL119" s="271"/>
    </row>
    <row r="120" spans="18:64" ht="21" customHeight="1" x14ac:dyDescent="0.25">
      <c r="R120" s="25" t="s">
        <v>6115</v>
      </c>
      <c r="S120" s="451"/>
      <c r="T120" s="14" t="s">
        <v>7</v>
      </c>
      <c r="V120" s="475">
        <v>2</v>
      </c>
      <c r="W120" s="475" t="str">
        <f>IF($AC$120="","",$W$108)</f>
        <v/>
      </c>
      <c r="X120" s="476" t="str">
        <f>IF($AC$120="","",$X$108)</f>
        <v/>
      </c>
      <c r="Y120" s="477" t="str">
        <f>IF($X$120="","",$Y$108)</f>
        <v/>
      </c>
      <c r="Z120" s="477" t="str">
        <f>IF($X$120="","",$Z$108)</f>
        <v/>
      </c>
      <c r="AA120" s="477" t="str">
        <f>IF($AC$120="","",ROW($A$120)-ROW($A$108))</f>
        <v/>
      </c>
      <c r="AB120" s="478"/>
      <c r="AC120" s="34"/>
      <c r="AD120" s="356"/>
      <c r="AE120" s="18"/>
      <c r="AF120" s="19"/>
      <c r="AG120" s="480" t="str">
        <f t="shared" si="16"/>
        <v/>
      </c>
      <c r="AH120" s="481" t="str">
        <f t="shared" si="17"/>
        <v/>
      </c>
      <c r="AI120" s="477" t="str">
        <f>IF($AC$120="","",IFERROR(INDEX($AZ$74:$AZ$119,MATCH($AH$120,$AY$74:$AY$119,0)),"AUTRE"))</f>
        <v/>
      </c>
      <c r="AJ120" s="482" t="str">
        <f>IF($AC$120="","",IFERROR(INDEX($BA$74:$BA$119,MATCH($AH$120,$AY$74:$AY$119,0)),1))</f>
        <v/>
      </c>
      <c r="AK120" s="482" t="str">
        <f t="shared" si="18"/>
        <v/>
      </c>
      <c r="AL120" s="477" t="str">
        <f>IF($AC$120="","",IFERROR(INDEX($BB$74:$BB$119,MATCH($AH$120,$AY$74:$AY$119,0)),$AH$120))</f>
        <v/>
      </c>
      <c r="AM120" s="483" t="str">
        <f t="shared" si="19"/>
        <v/>
      </c>
      <c r="AN120" s="484" t="str">
        <f t="shared" si="20"/>
        <v/>
      </c>
      <c r="AO120" s="473" t="str">
        <f t="shared" si="21"/>
        <v/>
      </c>
      <c r="AP120" s="473" t="str">
        <f t="shared" si="22"/>
        <v/>
      </c>
      <c r="AQ120" s="473" t="str">
        <f t="shared" si="23"/>
        <v/>
      </c>
      <c r="AR120" s="473" t="str">
        <f t="shared" si="24"/>
        <v/>
      </c>
      <c r="AS120" s="473" t="str">
        <f t="shared" si="25"/>
        <v/>
      </c>
      <c r="AT120" s="473" t="str">
        <f t="shared" si="26"/>
        <v/>
      </c>
      <c r="AU120" s="473" t="str">
        <f t="shared" si="27"/>
        <v/>
      </c>
      <c r="AY120" s="498"/>
      <c r="AZ120" s="498"/>
      <c r="BA120" s="498"/>
      <c r="BB120" s="448" t="str">
        <f>ADDRESS(ROW(),COLUMN(),4)</f>
        <v>BB120</v>
      </c>
      <c r="BC120" s="271"/>
      <c r="BD120" s="279">
        <v>1</v>
      </c>
      <c r="BE120" s="271"/>
      <c r="BF120" s="271"/>
      <c r="BG120" s="271"/>
      <c r="BH120" s="271"/>
      <c r="BI120" s="271"/>
      <c r="BJ120" s="271"/>
      <c r="BK120" s="271"/>
      <c r="BL120" s="271"/>
    </row>
    <row r="121" spans="18:64" ht="21" customHeight="1" x14ac:dyDescent="0.25">
      <c r="R121" s="34" t="s">
        <v>471</v>
      </c>
      <c r="S121" s="451"/>
      <c r="T121" s="27" t="s">
        <v>8</v>
      </c>
      <c r="V121" s="475">
        <v>2</v>
      </c>
      <c r="W121" s="475" t="str">
        <f>IF($AC$121="","",$W$108)</f>
        <v/>
      </c>
      <c r="X121" s="476" t="str">
        <f>IF($AC$121="","",$X$108)</f>
        <v/>
      </c>
      <c r="Y121" s="477" t="str">
        <f>IF($X$121="","",$Y$108)</f>
        <v/>
      </c>
      <c r="Z121" s="477" t="str">
        <f>IF($X$121="","",$Z$108)</f>
        <v/>
      </c>
      <c r="AA121" s="477" t="str">
        <f>IF($AC$121="","",ROW($A$121)-ROW($A$108))</f>
        <v/>
      </c>
      <c r="AB121" s="478"/>
      <c r="AC121" s="34"/>
      <c r="AD121" s="356"/>
      <c r="AE121" s="18"/>
      <c r="AF121" s="19"/>
      <c r="AG121" s="480" t="str">
        <f t="shared" si="16"/>
        <v/>
      </c>
      <c r="AH121" s="481" t="str">
        <f t="shared" si="17"/>
        <v/>
      </c>
      <c r="AI121" s="477" t="str">
        <f>IF($AC$121="","",IFERROR(INDEX($AZ$74:$AZ$119,MATCH($AH$121,$AY$74:$AY$119,0)),"AUTRE"))</f>
        <v/>
      </c>
      <c r="AJ121" s="482" t="str">
        <f>IF($AC$121="","",IFERROR(INDEX($BA$74:$BA$119,MATCH($AH$121,$AY$74:$AY$119,0)),1))</f>
        <v/>
      </c>
      <c r="AK121" s="482" t="str">
        <f t="shared" si="18"/>
        <v/>
      </c>
      <c r="AL121" s="477" t="str">
        <f>IF($AC$121="","",IFERROR(INDEX($BB$74:$BB$119,MATCH($AH$121,$AY$74:$AY$119,0)),$AH$121))</f>
        <v/>
      </c>
      <c r="AM121" s="483" t="str">
        <f t="shared" si="19"/>
        <v/>
      </c>
      <c r="AN121" s="484" t="str">
        <f t="shared" si="20"/>
        <v/>
      </c>
      <c r="AO121" s="473" t="str">
        <f t="shared" si="21"/>
        <v/>
      </c>
      <c r="AP121" s="473" t="str">
        <f t="shared" si="22"/>
        <v/>
      </c>
      <c r="AQ121" s="473" t="str">
        <f t="shared" si="23"/>
        <v/>
      </c>
      <c r="AR121" s="473" t="str">
        <f t="shared" si="24"/>
        <v/>
      </c>
      <c r="AS121" s="473" t="str">
        <f t="shared" si="25"/>
        <v/>
      </c>
      <c r="AT121" s="473" t="str">
        <f t="shared" si="26"/>
        <v/>
      </c>
      <c r="AU121" s="473" t="str">
        <f t="shared" si="27"/>
        <v/>
      </c>
      <c r="AY121" s="271"/>
      <c r="AZ121" s="14" t="s">
        <v>7</v>
      </c>
      <c r="BA121" s="25" t="s">
        <v>6115</v>
      </c>
      <c r="BB121" s="499"/>
      <c r="BC121" s="271"/>
      <c r="BD121" s="279">
        <v>1</v>
      </c>
      <c r="BE121" s="271"/>
      <c r="BF121" s="271"/>
      <c r="BG121" s="271"/>
      <c r="BH121" s="271"/>
      <c r="BI121" s="271"/>
      <c r="BJ121" s="271"/>
      <c r="BK121" s="271"/>
      <c r="BL121" s="271"/>
    </row>
    <row r="122" spans="18:64" ht="21" customHeight="1" x14ac:dyDescent="0.25">
      <c r="R122" s="34" t="s">
        <v>472</v>
      </c>
      <c r="S122" s="451"/>
      <c r="T122" s="28" t="s">
        <v>13</v>
      </c>
      <c r="V122" s="475">
        <v>2</v>
      </c>
      <c r="W122" s="475" t="str">
        <f>IF($AC$122="","",$W$108)</f>
        <v/>
      </c>
      <c r="X122" s="476" t="str">
        <f>IF($AC$122="","",$X$108)</f>
        <v/>
      </c>
      <c r="Y122" s="477" t="str">
        <f>IF($X$122="","",$Y$108)</f>
        <v/>
      </c>
      <c r="Z122" s="477" t="str">
        <f>IF($X$122="","",$Z$108)</f>
        <v/>
      </c>
      <c r="AA122" s="477" t="str">
        <f>IF($AC$122="","",ROW($A$122)-ROW($A$108))</f>
        <v/>
      </c>
      <c r="AB122" s="478"/>
      <c r="AC122" s="34"/>
      <c r="AD122" s="356"/>
      <c r="AE122" s="18"/>
      <c r="AF122" s="19"/>
      <c r="AG122" s="480" t="str">
        <f t="shared" si="16"/>
        <v/>
      </c>
      <c r="AH122" s="481" t="str">
        <f t="shared" si="17"/>
        <v/>
      </c>
      <c r="AI122" s="477" t="str">
        <f>IF($AC$122="","",IFERROR(INDEX($AZ$74:$AZ$119,MATCH($AH$122,$AY$74:$AY$119,0)),"AUTRE"))</f>
        <v/>
      </c>
      <c r="AJ122" s="482" t="str">
        <f>IF($AC$122="","",IFERROR(INDEX($BA$74:$BA$119,MATCH($AH$122,$AY$74:$AY$119,0)),1))</f>
        <v/>
      </c>
      <c r="AK122" s="482" t="str">
        <f t="shared" si="18"/>
        <v/>
      </c>
      <c r="AL122" s="477" t="str">
        <f>IF($AC$122="","",IFERROR(INDEX($BB$74:$BB$119,MATCH($AH$122,$AY$74:$AY$119,0)),$AH$122))</f>
        <v/>
      </c>
      <c r="AM122" s="483" t="str">
        <f t="shared" si="19"/>
        <v/>
      </c>
      <c r="AN122" s="484" t="str">
        <f t="shared" si="20"/>
        <v/>
      </c>
      <c r="AO122" s="473" t="str">
        <f t="shared" si="21"/>
        <v/>
      </c>
      <c r="AP122" s="473" t="str">
        <f t="shared" si="22"/>
        <v/>
      </c>
      <c r="AQ122" s="473" t="str">
        <f t="shared" si="23"/>
        <v/>
      </c>
      <c r="AR122" s="473" t="str">
        <f t="shared" si="24"/>
        <v/>
      </c>
      <c r="AS122" s="473" t="str">
        <f t="shared" si="25"/>
        <v/>
      </c>
      <c r="AT122" s="473" t="str">
        <f t="shared" si="26"/>
        <v/>
      </c>
      <c r="AU122" s="473" t="str">
        <f t="shared" si="27"/>
        <v/>
      </c>
      <c r="AZ122" s="27" t="s">
        <v>8</v>
      </c>
      <c r="BA122" s="34" t="s">
        <v>471</v>
      </c>
      <c r="BB122" s="500"/>
      <c r="BC122" s="271"/>
      <c r="BD122" s="279">
        <v>1</v>
      </c>
      <c r="BE122" s="271"/>
      <c r="BF122" s="271"/>
      <c r="BG122" s="271"/>
      <c r="BH122" s="271"/>
      <c r="BI122" s="271"/>
      <c r="BJ122" s="271"/>
      <c r="BK122" s="271"/>
      <c r="BL122" s="271"/>
    </row>
    <row r="123" spans="18:64" ht="21" customHeight="1" x14ac:dyDescent="0.25">
      <c r="R123" s="34" t="s">
        <v>6112</v>
      </c>
      <c r="S123" s="451"/>
      <c r="T123" s="28" t="s">
        <v>14</v>
      </c>
      <c r="V123" s="475">
        <v>2</v>
      </c>
      <c r="W123" s="475" t="str">
        <f>IF($AC$123="","",$W$108)</f>
        <v/>
      </c>
      <c r="X123" s="476" t="str">
        <f>IF($AC$123="","",$X$108)</f>
        <v/>
      </c>
      <c r="Y123" s="477" t="str">
        <f>IF($X$123="","",$Y$108)</f>
        <v/>
      </c>
      <c r="Z123" s="477" t="str">
        <f>IF($X$123="","",$Z$108)</f>
        <v/>
      </c>
      <c r="AA123" s="477" t="str">
        <f>IF($AC$123="","",ROW($A$123)-ROW($A$108))</f>
        <v/>
      </c>
      <c r="AB123" s="478"/>
      <c r="AC123" s="34"/>
      <c r="AD123" s="356"/>
      <c r="AE123" s="18"/>
      <c r="AF123" s="19"/>
      <c r="AG123" s="480" t="str">
        <f t="shared" si="16"/>
        <v/>
      </c>
      <c r="AH123" s="481" t="str">
        <f t="shared" si="17"/>
        <v/>
      </c>
      <c r="AI123" s="477" t="str">
        <f>IF($AC$123="","",IFERROR(INDEX($AZ$74:$AZ$119,MATCH($AH$123,$AY$74:$AY$119,0)),"AUTRE"))</f>
        <v/>
      </c>
      <c r="AJ123" s="482" t="str">
        <f>IF($AC$123="","",IFERROR(INDEX($BA$74:$BA$119,MATCH($AH$123,$AY$74:$AY$119,0)),1))</f>
        <v/>
      </c>
      <c r="AK123" s="482" t="str">
        <f t="shared" si="18"/>
        <v/>
      </c>
      <c r="AL123" s="477" t="str">
        <f>IF($AC$123="","",IFERROR(INDEX($BB$74:$BB$119,MATCH($AH$123,$AY$74:$AY$119,0)),$AH$123))</f>
        <v/>
      </c>
      <c r="AM123" s="483" t="str">
        <f t="shared" si="19"/>
        <v/>
      </c>
      <c r="AN123" s="484" t="str">
        <f t="shared" si="20"/>
        <v/>
      </c>
      <c r="AO123" s="473" t="str">
        <f t="shared" si="21"/>
        <v/>
      </c>
      <c r="AP123" s="473" t="str">
        <f t="shared" si="22"/>
        <v/>
      </c>
      <c r="AQ123" s="473" t="str">
        <f t="shared" si="23"/>
        <v/>
      </c>
      <c r="AR123" s="473" t="str">
        <f t="shared" si="24"/>
        <v/>
      </c>
      <c r="AS123" s="473" t="str">
        <f t="shared" si="25"/>
        <v/>
      </c>
      <c r="AT123" s="473" t="str">
        <f t="shared" si="26"/>
        <v/>
      </c>
      <c r="AU123" s="473" t="str">
        <f t="shared" si="27"/>
        <v/>
      </c>
      <c r="AZ123" s="28" t="s">
        <v>13</v>
      </c>
      <c r="BA123" s="34" t="s">
        <v>472</v>
      </c>
      <c r="BB123" s="500"/>
      <c r="BC123" s="271"/>
      <c r="BD123" s="279">
        <v>1</v>
      </c>
      <c r="BE123" s="271"/>
      <c r="BF123" s="271"/>
      <c r="BG123" s="271"/>
      <c r="BH123" s="271"/>
      <c r="BI123" s="271"/>
      <c r="BJ123" s="271"/>
      <c r="BK123" s="271"/>
      <c r="BL123" s="271"/>
    </row>
    <row r="124" spans="18:64" ht="21" customHeight="1" x14ac:dyDescent="0.25">
      <c r="R124" s="25" t="s">
        <v>6116</v>
      </c>
      <c r="S124" s="451"/>
      <c r="T124" s="28" t="s">
        <v>15</v>
      </c>
      <c r="V124" s="475">
        <v>2</v>
      </c>
      <c r="W124" s="475" t="str">
        <f>IF($AC$124="","",$W$108)</f>
        <v/>
      </c>
      <c r="X124" s="476" t="str">
        <f>IF($AC$124="","",$X$108)</f>
        <v/>
      </c>
      <c r="Y124" s="477" t="str">
        <f>IF($X$124="","",$Y$108)</f>
        <v/>
      </c>
      <c r="Z124" s="477" t="str">
        <f>IF($X$124="","",$Z$108)</f>
        <v/>
      </c>
      <c r="AA124" s="477" t="str">
        <f>IF($AC$124="","",ROW($A$124)-ROW($A$108))</f>
        <v/>
      </c>
      <c r="AB124" s="478"/>
      <c r="AC124" s="34"/>
      <c r="AD124" s="356"/>
      <c r="AE124" s="18"/>
      <c r="AF124" s="19"/>
      <c r="AG124" s="480" t="str">
        <f t="shared" si="16"/>
        <v/>
      </c>
      <c r="AH124" s="481" t="str">
        <f t="shared" si="17"/>
        <v/>
      </c>
      <c r="AI124" s="477" t="str">
        <f>IF($AC$124="","",IFERROR(INDEX($AZ$74:$AZ$119,MATCH($AH$124,$AY$74:$AY$119,0)),"AUTRE"))</f>
        <v/>
      </c>
      <c r="AJ124" s="482" t="str">
        <f>IF($AC$124="","",IFERROR(INDEX($BA$74:$BA$119,MATCH($AH$124,$AY$74:$AY$119,0)),1))</f>
        <v/>
      </c>
      <c r="AK124" s="482" t="str">
        <f t="shared" si="18"/>
        <v/>
      </c>
      <c r="AL124" s="477" t="str">
        <f>IF($AC$124="","",IFERROR(INDEX($BB$74:$BB$119,MATCH($AH$124,$AY$74:$AY$119,0)),$AH$124))</f>
        <v/>
      </c>
      <c r="AM124" s="483" t="str">
        <f t="shared" si="19"/>
        <v/>
      </c>
      <c r="AN124" s="484" t="str">
        <f t="shared" si="20"/>
        <v/>
      </c>
      <c r="AO124" s="473" t="str">
        <f t="shared" si="21"/>
        <v/>
      </c>
      <c r="AP124" s="473" t="str">
        <f t="shared" si="22"/>
        <v/>
      </c>
      <c r="AQ124" s="473" t="str">
        <f t="shared" si="23"/>
        <v/>
      </c>
      <c r="AR124" s="473" t="str">
        <f t="shared" si="24"/>
        <v/>
      </c>
      <c r="AS124" s="473" t="str">
        <f t="shared" si="25"/>
        <v/>
      </c>
      <c r="AT124" s="473" t="str">
        <f t="shared" si="26"/>
        <v/>
      </c>
      <c r="AU124" s="473" t="str">
        <f t="shared" si="27"/>
        <v/>
      </c>
      <c r="AZ124" s="28" t="s">
        <v>14</v>
      </c>
      <c r="BA124" s="34" t="s">
        <v>6112</v>
      </c>
      <c r="BB124" s="500"/>
      <c r="BC124" s="271"/>
      <c r="BD124" s="279">
        <v>1</v>
      </c>
      <c r="BE124" s="271"/>
      <c r="BF124" s="271"/>
      <c r="BG124" s="271"/>
      <c r="BH124" s="271"/>
      <c r="BI124" s="271"/>
      <c r="BJ124" s="271"/>
      <c r="BK124" s="271"/>
      <c r="BL124" s="271"/>
    </row>
    <row r="125" spans="18:64" ht="21" customHeight="1" x14ac:dyDescent="0.25">
      <c r="R125" s="34" t="s">
        <v>6117</v>
      </c>
      <c r="S125" s="451"/>
      <c r="T125" s="28" t="s">
        <v>21</v>
      </c>
      <c r="V125" s="475">
        <v>2</v>
      </c>
      <c r="W125" s="475" t="str">
        <f>IF($AC$125="","",$W$108)</f>
        <v/>
      </c>
      <c r="X125" s="476" t="str">
        <f>IF($AC$125="","",$X$108)</f>
        <v/>
      </c>
      <c r="Y125" s="477" t="str">
        <f>IF($X$125="","",$Y$108)</f>
        <v/>
      </c>
      <c r="Z125" s="477" t="str">
        <f>IF($X$125="","",$Z$108)</f>
        <v/>
      </c>
      <c r="AA125" s="477" t="str">
        <f>IF($AC$125="","",ROW($A$125)-ROW($A$108))</f>
        <v/>
      </c>
      <c r="AB125" s="478"/>
      <c r="AC125" s="34"/>
      <c r="AD125" s="356"/>
      <c r="AE125" s="18"/>
      <c r="AF125" s="19"/>
      <c r="AG125" s="480" t="str">
        <f t="shared" si="16"/>
        <v/>
      </c>
      <c r="AH125" s="481" t="str">
        <f t="shared" si="17"/>
        <v/>
      </c>
      <c r="AI125" s="477" t="str">
        <f>IF($AC$125="","",IFERROR(INDEX($AZ$74:$AZ$119,MATCH($AH$125,$AY$74:$AY$119,0)),"AUTRE"))</f>
        <v/>
      </c>
      <c r="AJ125" s="482" t="str">
        <f>IF($AC$125="","",IFERROR(INDEX($BA$74:$BA$119,MATCH($AH$125,$AY$74:$AY$119,0)),1))</f>
        <v/>
      </c>
      <c r="AK125" s="482" t="str">
        <f t="shared" si="18"/>
        <v/>
      </c>
      <c r="AL125" s="477" t="str">
        <f>IF($AC$125="","",IFERROR(INDEX($BB$74:$BB$119,MATCH($AH$125,$AY$74:$AY$119,0)),$AH$125))</f>
        <v/>
      </c>
      <c r="AM125" s="483" t="str">
        <f t="shared" si="19"/>
        <v/>
      </c>
      <c r="AN125" s="484" t="str">
        <f t="shared" si="20"/>
        <v/>
      </c>
      <c r="AO125" s="473" t="str">
        <f t="shared" si="21"/>
        <v/>
      </c>
      <c r="AP125" s="473" t="str">
        <f t="shared" si="22"/>
        <v/>
      </c>
      <c r="AQ125" s="473" t="str">
        <f t="shared" si="23"/>
        <v/>
      </c>
      <c r="AR125" s="473" t="str">
        <f t="shared" si="24"/>
        <v/>
      </c>
      <c r="AS125" s="473" t="str">
        <f t="shared" si="25"/>
        <v/>
      </c>
      <c r="AT125" s="473" t="str">
        <f t="shared" si="26"/>
        <v/>
      </c>
      <c r="AU125" s="473" t="str">
        <f t="shared" si="27"/>
        <v/>
      </c>
      <c r="AZ125" s="28" t="s">
        <v>15</v>
      </c>
      <c r="BA125" s="25" t="s">
        <v>6116</v>
      </c>
      <c r="BB125" s="500"/>
      <c r="BC125" s="271"/>
      <c r="BD125" s="279">
        <v>1</v>
      </c>
      <c r="BE125" s="271"/>
      <c r="BF125" s="271"/>
      <c r="BG125" s="271"/>
      <c r="BH125" s="271"/>
      <c r="BI125" s="271"/>
      <c r="BJ125" s="271"/>
      <c r="BK125" s="271"/>
      <c r="BL125" s="271"/>
    </row>
    <row r="126" spans="18:64" ht="21" customHeight="1" x14ac:dyDescent="0.25">
      <c r="R126" s="34" t="s">
        <v>469</v>
      </c>
      <c r="S126" s="451"/>
      <c r="T126" s="28" t="s">
        <v>22</v>
      </c>
      <c r="V126" s="475">
        <v>2</v>
      </c>
      <c r="W126" s="475" t="str">
        <f>IF($AC$126="","",$W$108)</f>
        <v/>
      </c>
      <c r="X126" s="476" t="str">
        <f>IF($AC$126="","",$X$108)</f>
        <v/>
      </c>
      <c r="Y126" s="477" t="str">
        <f>IF($X$126="","",$Y$108)</f>
        <v/>
      </c>
      <c r="Z126" s="477" t="str">
        <f>IF($X$126="","",$Z$108)</f>
        <v/>
      </c>
      <c r="AA126" s="477" t="str">
        <f>IF($AC$126="","",ROW($A$126)-ROW($A$108))</f>
        <v/>
      </c>
      <c r="AB126" s="478"/>
      <c r="AC126" s="34"/>
      <c r="AD126" s="356"/>
      <c r="AE126" s="18"/>
      <c r="AF126" s="19"/>
      <c r="AG126" s="480" t="str">
        <f t="shared" si="16"/>
        <v/>
      </c>
      <c r="AH126" s="481" t="str">
        <f t="shared" si="17"/>
        <v/>
      </c>
      <c r="AI126" s="477" t="str">
        <f>IF($AC$126="","",IFERROR(INDEX($AZ$74:$AZ$119,MATCH($AH$126,$AY$74:$AY$119,0)),"AUTRE"))</f>
        <v/>
      </c>
      <c r="AJ126" s="482" t="str">
        <f>IF($AC$126="","",IFERROR(INDEX($BA$74:$BA$119,MATCH($AH$126,$AY$74:$AY$119,0)),1))</f>
        <v/>
      </c>
      <c r="AK126" s="482" t="str">
        <f t="shared" si="18"/>
        <v/>
      </c>
      <c r="AL126" s="477" t="str">
        <f>IF($AC$126="","",IFERROR(INDEX($BB$74:$BB$119,MATCH($AH$126,$AY$74:$AY$119,0)),$AH$126))</f>
        <v/>
      </c>
      <c r="AM126" s="483" t="str">
        <f t="shared" si="19"/>
        <v/>
      </c>
      <c r="AN126" s="484" t="str">
        <f t="shared" si="20"/>
        <v/>
      </c>
      <c r="AO126" s="473" t="str">
        <f t="shared" si="21"/>
        <v/>
      </c>
      <c r="AP126" s="473" t="str">
        <f t="shared" si="22"/>
        <v/>
      </c>
      <c r="AQ126" s="473" t="str">
        <f t="shared" si="23"/>
        <v/>
      </c>
      <c r="AR126" s="473" t="str">
        <f t="shared" si="24"/>
        <v/>
      </c>
      <c r="AS126" s="473" t="str">
        <f t="shared" si="25"/>
        <v/>
      </c>
      <c r="AT126" s="473" t="str">
        <f t="shared" si="26"/>
        <v/>
      </c>
      <c r="AU126" s="473" t="str">
        <f t="shared" si="27"/>
        <v/>
      </c>
      <c r="AZ126" s="29" t="s">
        <v>9</v>
      </c>
      <c r="BA126" s="34" t="s">
        <v>6117</v>
      </c>
      <c r="BB126" s="500"/>
      <c r="BC126" s="271"/>
      <c r="BD126" s="279">
        <v>1</v>
      </c>
      <c r="BE126" s="271"/>
      <c r="BF126" s="271"/>
      <c r="BG126" s="271"/>
      <c r="BH126" s="271"/>
      <c r="BI126" s="271"/>
      <c r="BJ126" s="271"/>
      <c r="BK126" s="271"/>
      <c r="BL126" s="271"/>
    </row>
    <row r="127" spans="18:64" ht="21" customHeight="1" x14ac:dyDescent="0.25">
      <c r="R127" s="34" t="s">
        <v>6118</v>
      </c>
      <c r="S127" s="451"/>
      <c r="T127" s="28" t="s">
        <v>23</v>
      </c>
      <c r="V127" s="475">
        <v>2</v>
      </c>
      <c r="W127" s="475" t="str">
        <f>IF($AC$127="","",$W$108)</f>
        <v/>
      </c>
      <c r="X127" s="476" t="str">
        <f>IF($AC$127="","",$X$108)</f>
        <v/>
      </c>
      <c r="Y127" s="477" t="str">
        <f>IF($X$127="","",$Y$108)</f>
        <v/>
      </c>
      <c r="Z127" s="477" t="str">
        <f>IF($X$127="","",$Z$108)</f>
        <v/>
      </c>
      <c r="AA127" s="477" t="str">
        <f>IF($AC$127="","",ROW($A$127)-ROW($A$108))</f>
        <v/>
      </c>
      <c r="AB127" s="478"/>
      <c r="AC127" s="34"/>
      <c r="AD127" s="356"/>
      <c r="AE127" s="18"/>
      <c r="AF127" s="19"/>
      <c r="AG127" s="480" t="str">
        <f t="shared" si="16"/>
        <v/>
      </c>
      <c r="AH127" s="481" t="str">
        <f t="shared" si="17"/>
        <v/>
      </c>
      <c r="AI127" s="477" t="str">
        <f>IF($AC$127="","",IFERROR(INDEX($AZ$74:$AZ$119,MATCH($AH$127,$AY$74:$AY$119,0)),"AUTRE"))</f>
        <v/>
      </c>
      <c r="AJ127" s="482" t="str">
        <f>IF($AC$127="","",IFERROR(INDEX($BA$74:$BA$119,MATCH($AH$127,$AY$74:$AY$119,0)),1))</f>
        <v/>
      </c>
      <c r="AK127" s="482" t="str">
        <f t="shared" si="18"/>
        <v/>
      </c>
      <c r="AL127" s="477" t="str">
        <f>IF($AC$127="","",IFERROR(INDEX($BB$74:$BB$119,MATCH($AH$127,$AY$74:$AY$119,0)),$AH$127))</f>
        <v/>
      </c>
      <c r="AM127" s="483" t="str">
        <f t="shared" si="19"/>
        <v/>
      </c>
      <c r="AN127" s="484" t="str">
        <f t="shared" si="20"/>
        <v/>
      </c>
      <c r="AO127" s="473" t="str">
        <f t="shared" si="21"/>
        <v/>
      </c>
      <c r="AP127" s="473" t="str">
        <f t="shared" si="22"/>
        <v/>
      </c>
      <c r="AQ127" s="473" t="str">
        <f t="shared" si="23"/>
        <v/>
      </c>
      <c r="AR127" s="473" t="str">
        <f t="shared" si="24"/>
        <v/>
      </c>
      <c r="AS127" s="473" t="str">
        <f t="shared" si="25"/>
        <v/>
      </c>
      <c r="AT127" s="473" t="str">
        <f t="shared" si="26"/>
        <v/>
      </c>
      <c r="AU127" s="473" t="str">
        <f t="shared" si="27"/>
        <v/>
      </c>
      <c r="AZ127" s="30" t="s">
        <v>10</v>
      </c>
      <c r="BA127" s="34" t="s">
        <v>469</v>
      </c>
      <c r="BB127" s="500"/>
      <c r="BC127" s="271"/>
      <c r="BD127" s="279">
        <v>1</v>
      </c>
      <c r="BE127" s="271"/>
      <c r="BF127" s="271"/>
      <c r="BG127" s="271"/>
      <c r="BH127" s="271"/>
      <c r="BI127" s="271"/>
      <c r="BJ127" s="271"/>
      <c r="BK127" s="271"/>
      <c r="BL127" s="271"/>
    </row>
    <row r="128" spans="18:64" ht="21" customHeight="1" x14ac:dyDescent="0.25">
      <c r="R128" s="34" t="s">
        <v>492</v>
      </c>
      <c r="S128" s="451"/>
      <c r="T128" s="28" t="s">
        <v>24</v>
      </c>
      <c r="V128" s="475">
        <v>2</v>
      </c>
      <c r="W128" s="475" t="str">
        <f>IF($AC$128="","",$W$108)</f>
        <v/>
      </c>
      <c r="X128" s="476" t="str">
        <f>IF($AC$128="","",$X$108)</f>
        <v/>
      </c>
      <c r="Y128" s="477" t="str">
        <f>IF($X$128="","",$Y$108)</f>
        <v/>
      </c>
      <c r="Z128" s="477" t="str">
        <f>IF($X$128="","",$Z$108)</f>
        <v/>
      </c>
      <c r="AA128" s="477" t="str">
        <f>IF($AC$128="","",ROW($A$128)-ROW($A$108))</f>
        <v/>
      </c>
      <c r="AB128" s="478"/>
      <c r="AC128" s="34"/>
      <c r="AD128" s="356"/>
      <c r="AE128" s="18"/>
      <c r="AF128" s="19"/>
      <c r="AG128" s="480" t="str">
        <f t="shared" si="16"/>
        <v/>
      </c>
      <c r="AH128" s="481" t="str">
        <f t="shared" si="17"/>
        <v/>
      </c>
      <c r="AI128" s="477" t="str">
        <f>IF($AC$128="","",IFERROR(INDEX($AZ$74:$AZ$119,MATCH($AH$128,$AY$74:$AY$119,0)),"AUTRE"))</f>
        <v/>
      </c>
      <c r="AJ128" s="482" t="str">
        <f>IF($AC$128="","",IFERROR(INDEX($BA$74:$BA$119,MATCH($AH$128,$AY$74:$AY$119,0)),1))</f>
        <v/>
      </c>
      <c r="AK128" s="482" t="str">
        <f t="shared" si="18"/>
        <v/>
      </c>
      <c r="AL128" s="477" t="str">
        <f>IF($AC$128="","",IFERROR(INDEX($BB$74:$BB$119,MATCH($AH$128,$AY$74:$AY$119,0)),$AH$128))</f>
        <v/>
      </c>
      <c r="AM128" s="483" t="str">
        <f t="shared" si="19"/>
        <v/>
      </c>
      <c r="AN128" s="484" t="str">
        <f t="shared" si="20"/>
        <v/>
      </c>
      <c r="AO128" s="473" t="str">
        <f t="shared" si="21"/>
        <v/>
      </c>
      <c r="AP128" s="473" t="str">
        <f t="shared" si="22"/>
        <v/>
      </c>
      <c r="AQ128" s="473" t="str">
        <f t="shared" si="23"/>
        <v/>
      </c>
      <c r="AR128" s="473" t="str">
        <f t="shared" si="24"/>
        <v/>
      </c>
      <c r="AS128" s="473" t="str">
        <f t="shared" si="25"/>
        <v/>
      </c>
      <c r="AT128" s="473" t="str">
        <f t="shared" si="26"/>
        <v/>
      </c>
      <c r="AU128" s="473" t="str">
        <f t="shared" si="27"/>
        <v/>
      </c>
      <c r="AZ128" s="30" t="s">
        <v>11</v>
      </c>
      <c r="BA128" s="34" t="s">
        <v>6118</v>
      </c>
      <c r="BB128" s="500"/>
      <c r="BC128" s="271"/>
      <c r="BD128" s="279">
        <v>1</v>
      </c>
      <c r="BE128" s="271"/>
      <c r="BF128" s="271"/>
      <c r="BG128" s="271"/>
      <c r="BH128" s="271"/>
      <c r="BI128" s="271"/>
      <c r="BJ128" s="271"/>
      <c r="BK128" s="271"/>
      <c r="BL128" s="271"/>
    </row>
    <row r="129" spans="18:64" ht="21" customHeight="1" x14ac:dyDescent="0.25">
      <c r="R129" s="34" t="s">
        <v>458</v>
      </c>
      <c r="S129" s="451"/>
      <c r="T129" s="29" t="s">
        <v>9</v>
      </c>
      <c r="V129" s="475">
        <v>2</v>
      </c>
      <c r="W129" s="475" t="str">
        <f>IF($AC$129="","",$W$108)</f>
        <v/>
      </c>
      <c r="X129" s="476" t="str">
        <f>IF($AC$129="","",$X$108)</f>
        <v/>
      </c>
      <c r="Y129" s="477" t="str">
        <f>IF($X$129="","",$Y$108)</f>
        <v/>
      </c>
      <c r="Z129" s="477" t="str">
        <f>IF($X$129="","",$Z$108)</f>
        <v/>
      </c>
      <c r="AA129" s="477" t="str">
        <f>IF($AC$129="","",ROW($A$129)-ROW($A$108))</f>
        <v/>
      </c>
      <c r="AB129" s="478"/>
      <c r="AC129" s="34"/>
      <c r="AD129" s="356"/>
      <c r="AE129" s="18"/>
      <c r="AF129" s="19"/>
      <c r="AG129" s="480" t="str">
        <f t="shared" si="16"/>
        <v/>
      </c>
      <c r="AH129" s="481" t="str">
        <f t="shared" si="17"/>
        <v/>
      </c>
      <c r="AI129" s="477" t="str">
        <f>IF($AC$129="","",IFERROR(INDEX($AZ$74:$AZ$119,MATCH($AH$129,$AY$74:$AY$119,0)),"AUTRE"))</f>
        <v/>
      </c>
      <c r="AJ129" s="482" t="str">
        <f>IF($AC$129="","",IFERROR(INDEX($BA$74:$BA$119,MATCH($AH$129,$AY$74:$AY$119,0)),1))</f>
        <v/>
      </c>
      <c r="AK129" s="482" t="str">
        <f t="shared" si="18"/>
        <v/>
      </c>
      <c r="AL129" s="477" t="str">
        <f>IF($AC$129="","",IFERROR(INDEX($BB$74:$BB$119,MATCH($AH$129,$AY$74:$AY$119,0)),$AH$129))</f>
        <v/>
      </c>
      <c r="AM129" s="483" t="str">
        <f t="shared" si="19"/>
        <v/>
      </c>
      <c r="AN129" s="484" t="str">
        <f t="shared" si="20"/>
        <v/>
      </c>
      <c r="AO129" s="473" t="str">
        <f t="shared" si="21"/>
        <v/>
      </c>
      <c r="AP129" s="473" t="str">
        <f t="shared" si="22"/>
        <v/>
      </c>
      <c r="AQ129" s="473" t="str">
        <f t="shared" si="23"/>
        <v/>
      </c>
      <c r="AR129" s="473" t="str">
        <f t="shared" si="24"/>
        <v/>
      </c>
      <c r="AS129" s="473" t="str">
        <f t="shared" si="25"/>
        <v/>
      </c>
      <c r="AT129" s="473" t="str">
        <f t="shared" si="26"/>
        <v/>
      </c>
      <c r="AU129" s="473" t="str">
        <f t="shared" si="27"/>
        <v/>
      </c>
      <c r="AZ129" s="30" t="s">
        <v>12</v>
      </c>
      <c r="BA129" s="34" t="s">
        <v>492</v>
      </c>
      <c r="BB129" s="500"/>
      <c r="BC129" s="271"/>
      <c r="BD129" s="279">
        <v>1</v>
      </c>
      <c r="BE129" s="271"/>
      <c r="BF129" s="271"/>
      <c r="BG129" s="271"/>
      <c r="BH129" s="271"/>
      <c r="BI129" s="271"/>
      <c r="BJ129" s="271"/>
      <c r="BK129" s="271"/>
      <c r="BL129" s="271"/>
    </row>
    <row r="130" spans="18:64" ht="21" customHeight="1" x14ac:dyDescent="0.25">
      <c r="R130" s="490"/>
      <c r="S130" s="451"/>
      <c r="T130" s="30" t="s">
        <v>10</v>
      </c>
      <c r="V130" s="475">
        <v>2</v>
      </c>
      <c r="W130" s="475" t="str">
        <f>IF($AC$130="","",$W$108)</f>
        <v/>
      </c>
      <c r="X130" s="476" t="str">
        <f>IF($AC$130="","",$X$108)</f>
        <v/>
      </c>
      <c r="Y130" s="477" t="str">
        <f>IF($X$130="","",$Y$108)</f>
        <v/>
      </c>
      <c r="Z130" s="477" t="str">
        <f>IF($X$130="","",$Z$108)</f>
        <v/>
      </c>
      <c r="AA130" s="477" t="str">
        <f>IF($AC$130="","",ROW($A$130)-ROW($A$108))</f>
        <v/>
      </c>
      <c r="AB130" s="478"/>
      <c r="AC130" s="34"/>
      <c r="AD130" s="356"/>
      <c r="AE130" s="18"/>
      <c r="AF130" s="19"/>
      <c r="AG130" s="480" t="str">
        <f t="shared" si="16"/>
        <v/>
      </c>
      <c r="AH130" s="481" t="str">
        <f t="shared" si="17"/>
        <v/>
      </c>
      <c r="AI130" s="477" t="str">
        <f>IF($AC$130="","",IFERROR(INDEX($AZ$74:$AZ$119,MATCH($AH$130,$AY$74:$AY$119,0)),"AUTRE"))</f>
        <v/>
      </c>
      <c r="AJ130" s="482" t="str">
        <f>IF($AC$130="","",IFERROR(INDEX($BA$74:$BA$119,MATCH($AH$130,$AY$74:$AY$119,0)),1))</f>
        <v/>
      </c>
      <c r="AK130" s="482" t="str">
        <f t="shared" si="18"/>
        <v/>
      </c>
      <c r="AL130" s="477" t="str">
        <f>IF($AC$130="","",IFERROR(INDEX($BB$74:$BB$119,MATCH($AH$130,$AY$74:$AY$119,0)),$AH$130))</f>
        <v/>
      </c>
      <c r="AM130" s="483" t="str">
        <f t="shared" si="19"/>
        <v/>
      </c>
      <c r="AN130" s="484" t="str">
        <f t="shared" si="20"/>
        <v/>
      </c>
      <c r="AO130" s="473" t="str">
        <f t="shared" si="21"/>
        <v/>
      </c>
      <c r="AP130" s="473" t="str">
        <f t="shared" si="22"/>
        <v/>
      </c>
      <c r="AQ130" s="473" t="str">
        <f t="shared" si="23"/>
        <v/>
      </c>
      <c r="AR130" s="473" t="str">
        <f t="shared" si="24"/>
        <v/>
      </c>
      <c r="AS130" s="473" t="str">
        <f t="shared" si="25"/>
        <v/>
      </c>
      <c r="AT130" s="473" t="str">
        <f t="shared" si="26"/>
        <v/>
      </c>
      <c r="AU130" s="473" t="str">
        <f t="shared" si="27"/>
        <v/>
      </c>
      <c r="AZ130" s="31" t="s">
        <v>16</v>
      </c>
      <c r="BA130" s="34" t="s">
        <v>458</v>
      </c>
      <c r="BB130" s="500"/>
      <c r="BC130" s="271"/>
      <c r="BD130" s="279">
        <v>1</v>
      </c>
      <c r="BE130" s="271"/>
      <c r="BF130" s="271"/>
      <c r="BG130" s="271"/>
      <c r="BH130" s="271"/>
      <c r="BI130" s="271"/>
      <c r="BJ130" s="271"/>
      <c r="BK130" s="271"/>
      <c r="BL130" s="271"/>
    </row>
    <row r="131" spans="18:64" ht="21" customHeight="1" x14ac:dyDescent="0.25">
      <c r="R131" s="25" t="s">
        <v>6119</v>
      </c>
      <c r="S131" s="451"/>
      <c r="T131" s="30" t="s">
        <v>11</v>
      </c>
      <c r="V131" s="475">
        <v>2</v>
      </c>
      <c r="W131" s="475" t="str">
        <f>IF($AC$131="","",$W$108)</f>
        <v/>
      </c>
      <c r="X131" s="476" t="str">
        <f>IF($AC$131="","",$X$108)</f>
        <v/>
      </c>
      <c r="Y131" s="477" t="str">
        <f>IF($X$131="","",$Y$108)</f>
        <v/>
      </c>
      <c r="Z131" s="477" t="str">
        <f>IF($X$131="","",$Z$108)</f>
        <v/>
      </c>
      <c r="AA131" s="477" t="str">
        <f>IF($AC$131="","",ROW($A$131)-ROW($A$108))</f>
        <v/>
      </c>
      <c r="AB131" s="478"/>
      <c r="AC131" s="34"/>
      <c r="AD131" s="356"/>
      <c r="AE131" s="18"/>
      <c r="AF131" s="19"/>
      <c r="AG131" s="480" t="str">
        <f t="shared" si="16"/>
        <v/>
      </c>
      <c r="AH131" s="481" t="str">
        <f t="shared" si="17"/>
        <v/>
      </c>
      <c r="AI131" s="477" t="str">
        <f>IF($AC$131="","",IFERROR(INDEX($AZ$74:$AZ$119,MATCH($AH$131,$AY$74:$AY$119,0)),"AUTRE"))</f>
        <v/>
      </c>
      <c r="AJ131" s="482" t="str">
        <f>IF($AC$131="","",IFERROR(INDEX($BA$74:$BA$119,MATCH($AH$131,$AY$74:$AY$119,0)),1))</f>
        <v/>
      </c>
      <c r="AK131" s="482" t="str">
        <f t="shared" si="18"/>
        <v/>
      </c>
      <c r="AL131" s="477" t="str">
        <f>IF($AC$131="","",IFERROR(INDEX($BB$74:$BB$119,MATCH($AH$131,$AY$74:$AY$119,0)),$AH$131))</f>
        <v/>
      </c>
      <c r="AM131" s="483" t="str">
        <f t="shared" si="19"/>
        <v/>
      </c>
      <c r="AN131" s="484" t="str">
        <f t="shared" si="20"/>
        <v/>
      </c>
      <c r="AO131" s="473" t="str">
        <f t="shared" si="21"/>
        <v/>
      </c>
      <c r="AP131" s="473" t="str">
        <f t="shared" si="22"/>
        <v/>
      </c>
      <c r="AQ131" s="473" t="str">
        <f t="shared" si="23"/>
        <v/>
      </c>
      <c r="AR131" s="473" t="str">
        <f t="shared" si="24"/>
        <v/>
      </c>
      <c r="AS131" s="473" t="str">
        <f t="shared" si="25"/>
        <v/>
      </c>
      <c r="AT131" s="473" t="str">
        <f t="shared" si="26"/>
        <v/>
      </c>
      <c r="AU131" s="473" t="str">
        <f t="shared" si="27"/>
        <v/>
      </c>
      <c r="AZ131" s="31" t="s">
        <v>17</v>
      </c>
      <c r="BA131" s="490"/>
      <c r="BB131" s="500"/>
      <c r="BC131" s="271"/>
      <c r="BD131" s="279">
        <v>1</v>
      </c>
      <c r="BE131" s="271"/>
      <c r="BF131" s="271"/>
      <c r="BG131" s="271"/>
      <c r="BH131" s="271"/>
      <c r="BI131" s="271"/>
      <c r="BJ131" s="271"/>
      <c r="BK131" s="271"/>
      <c r="BL131" s="271"/>
    </row>
    <row r="132" spans="18:64" ht="21" customHeight="1" x14ac:dyDescent="0.25">
      <c r="R132" s="34" t="s">
        <v>6120</v>
      </c>
      <c r="S132" s="451"/>
      <c r="T132" s="30" t="s">
        <v>12</v>
      </c>
      <c r="V132" s="475">
        <v>2</v>
      </c>
      <c r="W132" s="475" t="str">
        <f>IF($AC$132="","",$W$108)</f>
        <v/>
      </c>
      <c r="X132" s="476" t="str">
        <f>IF($AC$132="","",$X$108)</f>
        <v/>
      </c>
      <c r="Y132" s="477" t="str">
        <f>IF($X$132="","",$Y$108)</f>
        <v/>
      </c>
      <c r="Z132" s="477" t="str">
        <f>IF($X$132="","",$Z$108)</f>
        <v/>
      </c>
      <c r="AA132" s="477" t="str">
        <f>IF($AC$132="","",ROW($A$132)-ROW($A$108))</f>
        <v/>
      </c>
      <c r="AB132" s="478"/>
      <c r="AC132" s="34"/>
      <c r="AD132" s="356"/>
      <c r="AE132" s="18"/>
      <c r="AF132" s="19"/>
      <c r="AG132" s="480" t="str">
        <f t="shared" si="16"/>
        <v/>
      </c>
      <c r="AH132" s="481" t="str">
        <f t="shared" si="17"/>
        <v/>
      </c>
      <c r="AI132" s="477" t="str">
        <f>IF($AC$132="","",IFERROR(INDEX($AZ$74:$AZ$119,MATCH($AH$132,$AY$74:$AY$119,0)),"AUTRE"))</f>
        <v/>
      </c>
      <c r="AJ132" s="482" t="str">
        <f>IF($AC$132="","",IFERROR(INDEX($BA$74:$BA$119,MATCH($AH$132,$AY$74:$AY$119,0)),1))</f>
        <v/>
      </c>
      <c r="AK132" s="482" t="str">
        <f t="shared" si="18"/>
        <v/>
      </c>
      <c r="AL132" s="477" t="str">
        <f>IF($AC$132="","",IFERROR(INDEX($BB$74:$BB$119,MATCH($AH$132,$AY$74:$AY$119,0)),$AH$132))</f>
        <v/>
      </c>
      <c r="AM132" s="483" t="str">
        <f t="shared" si="19"/>
        <v/>
      </c>
      <c r="AN132" s="484" t="str">
        <f t="shared" si="20"/>
        <v/>
      </c>
      <c r="AO132" s="473" t="str">
        <f t="shared" si="21"/>
        <v/>
      </c>
      <c r="AP132" s="473" t="str">
        <f t="shared" si="22"/>
        <v/>
      </c>
      <c r="AQ132" s="473" t="str">
        <f t="shared" si="23"/>
        <v/>
      </c>
      <c r="AR132" s="473" t="str">
        <f t="shared" si="24"/>
        <v/>
      </c>
      <c r="AS132" s="473" t="str">
        <f t="shared" si="25"/>
        <v/>
      </c>
      <c r="AT132" s="473" t="str">
        <f t="shared" si="26"/>
        <v/>
      </c>
      <c r="AU132" s="473" t="str">
        <f t="shared" si="27"/>
        <v/>
      </c>
      <c r="AZ132" s="31" t="s">
        <v>18</v>
      </c>
      <c r="BA132" s="25" t="s">
        <v>6119</v>
      </c>
      <c r="BB132" s="500"/>
      <c r="BC132" s="271"/>
      <c r="BD132" s="279">
        <v>1</v>
      </c>
      <c r="BE132" s="271"/>
      <c r="BF132" s="271"/>
      <c r="BG132" s="271"/>
      <c r="BH132" s="271"/>
      <c r="BI132" s="271"/>
      <c r="BJ132" s="271"/>
      <c r="BK132" s="271"/>
      <c r="BL132" s="271"/>
    </row>
    <row r="133" spans="18:64" ht="21" customHeight="1" x14ac:dyDescent="0.25">
      <c r="R133" s="34" t="s">
        <v>6121</v>
      </c>
      <c r="S133" s="451"/>
      <c r="T133" s="31" t="s">
        <v>16</v>
      </c>
      <c r="V133" s="475">
        <v>2</v>
      </c>
      <c r="W133" s="475" t="str">
        <f>IF($AC$133="","",$W$108)</f>
        <v/>
      </c>
      <c r="X133" s="476" t="str">
        <f>IF($AC$133="","",$X$108)</f>
        <v/>
      </c>
      <c r="Y133" s="477" t="str">
        <f>IF($X$133="","",$Y$108)</f>
        <v/>
      </c>
      <c r="Z133" s="477" t="str">
        <f>IF($X$133="","",$Z$108)</f>
        <v/>
      </c>
      <c r="AA133" s="477" t="str">
        <f>IF($AC$133="","",ROW($A$133)-ROW($A$108))</f>
        <v/>
      </c>
      <c r="AB133" s="478"/>
      <c r="AC133" s="34"/>
      <c r="AD133" s="356"/>
      <c r="AE133" s="18"/>
      <c r="AF133" s="19"/>
      <c r="AG133" s="480" t="str">
        <f t="shared" si="16"/>
        <v/>
      </c>
      <c r="AH133" s="481" t="str">
        <f t="shared" si="17"/>
        <v/>
      </c>
      <c r="AI133" s="477" t="str">
        <f>IF($AC$133="","",IFERROR(INDEX($AZ$74:$AZ$119,MATCH($AH$133,$AY$74:$AY$119,0)),"AUTRE"))</f>
        <v/>
      </c>
      <c r="AJ133" s="482" t="str">
        <f>IF($AC$133="","",IFERROR(INDEX($BA$74:$BA$119,MATCH($AH$133,$AY$74:$AY$119,0)),1))</f>
        <v/>
      </c>
      <c r="AK133" s="482" t="str">
        <f t="shared" si="18"/>
        <v/>
      </c>
      <c r="AL133" s="477" t="str">
        <f>IF($AC$133="","",IFERROR(INDEX($BB$74:$BB$119,MATCH($AH$133,$AY$74:$AY$119,0)),$AH$133))</f>
        <v/>
      </c>
      <c r="AM133" s="483" t="str">
        <f t="shared" si="19"/>
        <v/>
      </c>
      <c r="AN133" s="484" t="str">
        <f t="shared" si="20"/>
        <v/>
      </c>
      <c r="AO133" s="473" t="str">
        <f t="shared" si="21"/>
        <v/>
      </c>
      <c r="AP133" s="473" t="str">
        <f t="shared" si="22"/>
        <v/>
      </c>
      <c r="AQ133" s="473" t="str">
        <f t="shared" si="23"/>
        <v/>
      </c>
      <c r="AR133" s="473" t="str">
        <f t="shared" si="24"/>
        <v/>
      </c>
      <c r="AS133" s="473" t="str">
        <f t="shared" si="25"/>
        <v/>
      </c>
      <c r="AT133" s="473" t="str">
        <f t="shared" si="26"/>
        <v/>
      </c>
      <c r="AU133" s="473" t="str">
        <f t="shared" si="27"/>
        <v/>
      </c>
      <c r="AZ133" s="31" t="s">
        <v>19</v>
      </c>
      <c r="BA133" s="34" t="s">
        <v>6120</v>
      </c>
      <c r="BB133" s="500"/>
      <c r="BC133" s="271"/>
      <c r="BD133" s="279">
        <v>1</v>
      </c>
      <c r="BE133" s="271"/>
      <c r="BF133" s="271"/>
      <c r="BG133" s="271"/>
      <c r="BH133" s="271"/>
      <c r="BI133" s="271"/>
      <c r="BJ133" s="271"/>
      <c r="BK133" s="271"/>
      <c r="BL133" s="271"/>
    </row>
    <row r="134" spans="18:64" ht="21" customHeight="1" x14ac:dyDescent="0.25">
      <c r="R134" s="34" t="s">
        <v>6122</v>
      </c>
      <c r="S134" s="451"/>
      <c r="T134" s="31" t="s">
        <v>17</v>
      </c>
      <c r="V134" s="475">
        <v>2</v>
      </c>
      <c r="W134" s="475" t="str">
        <f>IF($AC$134="","",$W$108)</f>
        <v/>
      </c>
      <c r="X134" s="476" t="str">
        <f>IF($AC$134="","",$X$108)</f>
        <v/>
      </c>
      <c r="Y134" s="477" t="str">
        <f>IF($X$134="","",$Y$108)</f>
        <v/>
      </c>
      <c r="Z134" s="477" t="str">
        <f>IF($X$134="","",$Z$108)</f>
        <v/>
      </c>
      <c r="AA134" s="477" t="str">
        <f>IF($AC$134="","",ROW($A$134)-ROW($A$108))</f>
        <v/>
      </c>
      <c r="AB134" s="478"/>
      <c r="AC134" s="34"/>
      <c r="AD134" s="356"/>
      <c r="AE134" s="18"/>
      <c r="AF134" s="19"/>
      <c r="AG134" s="480" t="str">
        <f t="shared" si="16"/>
        <v/>
      </c>
      <c r="AH134" s="481" t="str">
        <f t="shared" si="17"/>
        <v/>
      </c>
      <c r="AI134" s="477" t="str">
        <f>IF($AC$134="","",IFERROR(INDEX($AZ$74:$AZ$119,MATCH($AH$134,$AY$74:$AY$119,0)),"AUTRE"))</f>
        <v/>
      </c>
      <c r="AJ134" s="482" t="str">
        <f>IF($AC$134="","",IFERROR(INDEX($BA$74:$BA$119,MATCH($AH$134,$AY$74:$AY$119,0)),1))</f>
        <v/>
      </c>
      <c r="AK134" s="482" t="str">
        <f t="shared" si="18"/>
        <v/>
      </c>
      <c r="AL134" s="477" t="str">
        <f>IF($AC$134="","",IFERROR(INDEX($BB$74:$BB$119,MATCH($AH$134,$AY$74:$AY$119,0)),$AH$134))</f>
        <v/>
      </c>
      <c r="AM134" s="483" t="str">
        <f t="shared" si="19"/>
        <v/>
      </c>
      <c r="AN134" s="484" t="str">
        <f t="shared" si="20"/>
        <v/>
      </c>
      <c r="AO134" s="473" t="str">
        <f t="shared" si="21"/>
        <v/>
      </c>
      <c r="AP134" s="473" t="str">
        <f t="shared" si="22"/>
        <v/>
      </c>
      <c r="AQ134" s="473" t="str">
        <f t="shared" si="23"/>
        <v/>
      </c>
      <c r="AR134" s="473" t="str">
        <f t="shared" si="24"/>
        <v/>
      </c>
      <c r="AS134" s="473" t="str">
        <f t="shared" si="25"/>
        <v/>
      </c>
      <c r="AT134" s="473" t="str">
        <f t="shared" si="26"/>
        <v/>
      </c>
      <c r="AU134" s="473" t="str">
        <f t="shared" si="27"/>
        <v/>
      </c>
      <c r="AZ134" s="31" t="s">
        <v>211</v>
      </c>
      <c r="BA134" s="34" t="s">
        <v>6121</v>
      </c>
      <c r="BB134" s="500"/>
      <c r="BC134" s="271"/>
      <c r="BD134" s="279">
        <v>1</v>
      </c>
      <c r="BE134" s="271"/>
      <c r="BF134" s="271"/>
      <c r="BG134" s="271"/>
      <c r="BH134" s="271"/>
      <c r="BI134" s="271"/>
      <c r="BJ134" s="271"/>
      <c r="BK134" s="271"/>
      <c r="BL134" s="271"/>
    </row>
    <row r="135" spans="18:64" ht="21" customHeight="1" x14ac:dyDescent="0.25">
      <c r="R135" s="34" t="s">
        <v>6123</v>
      </c>
      <c r="S135" s="451"/>
      <c r="T135" s="31" t="s">
        <v>18</v>
      </c>
      <c r="V135" s="475">
        <v>2</v>
      </c>
      <c r="W135" s="475" t="str">
        <f>IF($AC$135="","",$W$108)</f>
        <v/>
      </c>
      <c r="X135" s="476" t="str">
        <f>IF($AC$135="","",$X$108)</f>
        <v/>
      </c>
      <c r="Y135" s="477" t="str">
        <f>IF($X$135="","",$Y$108)</f>
        <v/>
      </c>
      <c r="Z135" s="477" t="str">
        <f>IF($X$135="","",$Z$108)</f>
        <v/>
      </c>
      <c r="AA135" s="477" t="str">
        <f>IF($AC$135="","",ROW($A$135)-ROW($A$108))</f>
        <v/>
      </c>
      <c r="AB135" s="478"/>
      <c r="AC135" s="34"/>
      <c r="AD135" s="356"/>
      <c r="AE135" s="18"/>
      <c r="AF135" s="19"/>
      <c r="AG135" s="480" t="str">
        <f t="shared" si="16"/>
        <v/>
      </c>
      <c r="AH135" s="481" t="str">
        <f t="shared" si="17"/>
        <v/>
      </c>
      <c r="AI135" s="477" t="str">
        <f>IF($AC$135="","",IFERROR(INDEX($AZ$74:$AZ$119,MATCH($AH$135,$AY$74:$AY$119,0)),"AUTRE"))</f>
        <v/>
      </c>
      <c r="AJ135" s="482" t="str">
        <f>IF($AC$135="","",IFERROR(INDEX($BA$74:$BA$119,MATCH($AH$135,$AY$74:$AY$119,0)),1))</f>
        <v/>
      </c>
      <c r="AK135" s="482" t="str">
        <f t="shared" si="18"/>
        <v/>
      </c>
      <c r="AL135" s="477" t="str">
        <f>IF($AC$135="","",IFERROR(INDEX($BB$74:$BB$119,MATCH($AH$135,$AY$74:$AY$119,0)),$AH$135))</f>
        <v/>
      </c>
      <c r="AM135" s="483" t="str">
        <f t="shared" si="19"/>
        <v/>
      </c>
      <c r="AN135" s="484" t="str">
        <f t="shared" si="20"/>
        <v/>
      </c>
      <c r="AO135" s="473" t="str">
        <f t="shared" si="21"/>
        <v/>
      </c>
      <c r="AP135" s="473" t="str">
        <f t="shared" si="22"/>
        <v/>
      </c>
      <c r="AQ135" s="473" t="str">
        <f t="shared" si="23"/>
        <v/>
      </c>
      <c r="AR135" s="473" t="str">
        <f t="shared" si="24"/>
        <v/>
      </c>
      <c r="AS135" s="473" t="str">
        <f t="shared" si="25"/>
        <v/>
      </c>
      <c r="AT135" s="473" t="str">
        <f t="shared" si="26"/>
        <v/>
      </c>
      <c r="AU135" s="473" t="str">
        <f t="shared" si="27"/>
        <v/>
      </c>
      <c r="AZ135" s="31" t="s">
        <v>20</v>
      </c>
      <c r="BA135" s="34" t="s">
        <v>6122</v>
      </c>
      <c r="BB135" s="500"/>
      <c r="BC135" s="271"/>
      <c r="BD135" s="279">
        <v>1</v>
      </c>
      <c r="BE135" s="271"/>
      <c r="BF135" s="271"/>
      <c r="BG135" s="271"/>
      <c r="BH135" s="271"/>
      <c r="BI135" s="271"/>
      <c r="BJ135" s="271"/>
      <c r="BK135" s="271"/>
      <c r="BL135" s="271"/>
    </row>
    <row r="136" spans="18:64" ht="21" customHeight="1" x14ac:dyDescent="0.25">
      <c r="R136" s="34" t="s">
        <v>6124</v>
      </c>
      <c r="S136" s="451"/>
      <c r="T136" s="31" t="s">
        <v>19</v>
      </c>
      <c r="V136" s="475">
        <v>2</v>
      </c>
      <c r="W136" s="475" t="str">
        <f>IF($AC$136="","",$W$108)</f>
        <v/>
      </c>
      <c r="X136" s="476" t="str">
        <f>IF($AC$136="","",$X$108)</f>
        <v/>
      </c>
      <c r="Y136" s="477" t="str">
        <f>IF($X$136="","",$Y$108)</f>
        <v/>
      </c>
      <c r="Z136" s="477" t="str">
        <f>IF($X$136="","",$Z$108)</f>
        <v/>
      </c>
      <c r="AA136" s="477" t="str">
        <f>IF($AC$136="","",ROW($A$136)-ROW($A$108))</f>
        <v/>
      </c>
      <c r="AB136" s="478"/>
      <c r="AC136" s="34"/>
      <c r="AD136" s="356"/>
      <c r="AE136" s="18"/>
      <c r="AF136" s="19"/>
      <c r="AG136" s="480" t="str">
        <f t="shared" si="16"/>
        <v/>
      </c>
      <c r="AH136" s="481" t="str">
        <f t="shared" si="17"/>
        <v/>
      </c>
      <c r="AI136" s="477" t="str">
        <f>IF($AC$136="","",IFERROR(INDEX($AZ$74:$AZ$119,MATCH($AH$136,$AY$74:$AY$119,0)),"AUTRE"))</f>
        <v/>
      </c>
      <c r="AJ136" s="482" t="str">
        <f>IF($AC$136="","",IFERROR(INDEX($BA$74:$BA$119,MATCH($AH$136,$AY$74:$AY$119,0)),1))</f>
        <v/>
      </c>
      <c r="AK136" s="482" t="str">
        <f t="shared" si="18"/>
        <v/>
      </c>
      <c r="AL136" s="477" t="str">
        <f>IF($AC$136="","",IFERROR(INDEX($BB$74:$BB$119,MATCH($AH$136,$AY$74:$AY$119,0)),$AH$136))</f>
        <v/>
      </c>
      <c r="AM136" s="483" t="str">
        <f t="shared" si="19"/>
        <v/>
      </c>
      <c r="AN136" s="484" t="str">
        <f t="shared" si="20"/>
        <v/>
      </c>
      <c r="AO136" s="473" t="str">
        <f t="shared" si="21"/>
        <v/>
      </c>
      <c r="AP136" s="473" t="str">
        <f t="shared" si="22"/>
        <v/>
      </c>
      <c r="AQ136" s="473" t="str">
        <f t="shared" si="23"/>
        <v/>
      </c>
      <c r="AR136" s="473" t="str">
        <f t="shared" si="24"/>
        <v/>
      </c>
      <c r="AS136" s="473" t="str">
        <f t="shared" si="25"/>
        <v/>
      </c>
      <c r="AT136" s="473" t="str">
        <f t="shared" si="26"/>
        <v/>
      </c>
      <c r="AU136" s="473" t="str">
        <f t="shared" si="27"/>
        <v/>
      </c>
      <c r="AZ136" s="31" t="s">
        <v>304</v>
      </c>
      <c r="BA136" s="34" t="s">
        <v>6123</v>
      </c>
      <c r="BB136" s="500"/>
      <c r="BC136" s="271"/>
      <c r="BD136" s="279">
        <v>1</v>
      </c>
      <c r="BE136" s="271"/>
      <c r="BF136" s="271"/>
      <c r="BG136" s="271"/>
      <c r="BH136" s="271"/>
      <c r="BI136" s="271"/>
      <c r="BJ136" s="271"/>
      <c r="BK136" s="271"/>
      <c r="BL136" s="271"/>
    </row>
    <row r="137" spans="18:64" ht="21" customHeight="1" x14ac:dyDescent="0.25">
      <c r="R137" s="34" t="s">
        <v>6125</v>
      </c>
      <c r="S137" s="451"/>
      <c r="T137" s="31" t="s">
        <v>211</v>
      </c>
      <c r="V137" s="475">
        <v>2</v>
      </c>
      <c r="W137" s="475" t="str">
        <f>IF($AC$137="","",$W$108)</f>
        <v/>
      </c>
      <c r="X137" s="476" t="str">
        <f>IF($AC$137="","",$X$108)</f>
        <v/>
      </c>
      <c r="Y137" s="477" t="str">
        <f>IF($X$137="","",$Y$108)</f>
        <v/>
      </c>
      <c r="Z137" s="477" t="str">
        <f>IF($X$137="","",$Z$108)</f>
        <v/>
      </c>
      <c r="AA137" s="477" t="str">
        <f>IF($AC$137="","",ROW($A$137)-ROW($A$108))</f>
        <v/>
      </c>
      <c r="AB137" s="478"/>
      <c r="AC137" s="34"/>
      <c r="AD137" s="356"/>
      <c r="AE137" s="18"/>
      <c r="AF137" s="19"/>
      <c r="AG137" s="480" t="str">
        <f t="shared" si="16"/>
        <v/>
      </c>
      <c r="AH137" s="481" t="str">
        <f t="shared" si="17"/>
        <v/>
      </c>
      <c r="AI137" s="477" t="str">
        <f>IF($AC$137="","",IFERROR(INDEX($AZ$74:$AZ$119,MATCH($AH$137,$AY$74:$AY$119,0)),"AUTRE"))</f>
        <v/>
      </c>
      <c r="AJ137" s="482" t="str">
        <f>IF($AC$137="","",IFERROR(INDEX($BA$74:$BA$119,MATCH($AH$137,$AY$74:$AY$119,0)),1))</f>
        <v/>
      </c>
      <c r="AK137" s="482" t="str">
        <f t="shared" si="18"/>
        <v/>
      </c>
      <c r="AL137" s="477" t="str">
        <f>IF($AC$137="","",IFERROR(INDEX($BB$74:$BB$119,MATCH($AH$137,$AY$74:$AY$119,0)),$AH$137))</f>
        <v/>
      </c>
      <c r="AM137" s="483" t="str">
        <f t="shared" si="19"/>
        <v/>
      </c>
      <c r="AN137" s="484" t="str">
        <f t="shared" si="20"/>
        <v/>
      </c>
      <c r="AO137" s="473" t="str">
        <f t="shared" si="21"/>
        <v/>
      </c>
      <c r="AP137" s="473" t="str">
        <f t="shared" si="22"/>
        <v/>
      </c>
      <c r="AQ137" s="473" t="str">
        <f t="shared" si="23"/>
        <v/>
      </c>
      <c r="AR137" s="473" t="str">
        <f t="shared" si="24"/>
        <v/>
      </c>
      <c r="AS137" s="473" t="str">
        <f t="shared" si="25"/>
        <v/>
      </c>
      <c r="AT137" s="473" t="str">
        <f t="shared" si="26"/>
        <v/>
      </c>
      <c r="AU137" s="473" t="str">
        <f t="shared" si="27"/>
        <v/>
      </c>
      <c r="AY137" s="497" t="s">
        <v>8145</v>
      </c>
      <c r="AZ137" s="31" t="s">
        <v>352</v>
      </c>
      <c r="BA137" s="34" t="s">
        <v>6124</v>
      </c>
      <c r="BB137" s="500"/>
      <c r="BC137" s="271"/>
      <c r="BD137" s="279">
        <v>1</v>
      </c>
      <c r="BE137" s="271"/>
      <c r="BF137" s="271"/>
      <c r="BG137" s="271"/>
      <c r="BH137" s="271"/>
      <c r="BI137" s="271"/>
      <c r="BJ137" s="271"/>
      <c r="BK137" s="271"/>
      <c r="BL137" s="271"/>
    </row>
    <row r="138" spans="18:64" ht="21" customHeight="1" x14ac:dyDescent="0.25">
      <c r="R138" s="34" t="s">
        <v>6126</v>
      </c>
      <c r="S138" s="451"/>
      <c r="T138" s="31" t="s">
        <v>20</v>
      </c>
      <c r="V138" s="475">
        <v>2</v>
      </c>
      <c r="W138" s="475" t="str">
        <f>IF($AC$138="","",$W$108)</f>
        <v>N° 22</v>
      </c>
      <c r="X138" s="476" t="str">
        <f>IF($AC$138="","",$X$108)</f>
        <v>POIVRONS DOUX A L'HUILE D'OLIVE</v>
      </c>
      <c r="Y138" s="477">
        <f>IF($X$138="","",$Y$108)</f>
        <v>39</v>
      </c>
      <c r="Z138" s="477">
        <f>IF($X$138="","",$Z$108)</f>
        <v>100</v>
      </c>
      <c r="AA138" s="477">
        <f>IF($AC$138="","",ROW($A$138)-ROW($A$108))</f>
        <v>30</v>
      </c>
      <c r="AB138" s="478"/>
      <c r="AC138" s="34" t="s">
        <v>486</v>
      </c>
      <c r="AD138" s="356"/>
      <c r="AE138" s="18">
        <v>2</v>
      </c>
      <c r="AF138" s="33" t="s">
        <v>462</v>
      </c>
      <c r="AG138" s="480">
        <f t="shared" si="16"/>
        <v>2</v>
      </c>
      <c r="AH138" s="481" t="str">
        <f t="shared" si="17"/>
        <v>BAC(S)</v>
      </c>
      <c r="AI138" s="477" t="str">
        <f>IF($AC$138="","",IFERROR(INDEX($AZ$74:$AZ$119,MATCH($AH$138,$AY$74:$AY$119,0)),"AUTRE"))</f>
        <v>AUTRE</v>
      </c>
      <c r="AJ138" s="482">
        <f>IF($AC$138="","",IFERROR(INDEX($BA$74:$BA$119,MATCH($AH$138,$AY$74:$AY$119,0)),1))</f>
        <v>1</v>
      </c>
      <c r="AK138" s="482">
        <f t="shared" si="18"/>
        <v>2</v>
      </c>
      <c r="AL138" s="477" t="str">
        <f>IF($AC$138="","",IFERROR(INDEX($BB$74:$BB$119,MATCH($AH$138,$AY$74:$AY$119,0)),$AH$138))</f>
        <v>bac(s)</v>
      </c>
      <c r="AM138" s="483" t="str">
        <f t="shared" si="19"/>
        <v>OK</v>
      </c>
      <c r="AN138" s="484">
        <f t="shared" si="20"/>
        <v>2</v>
      </c>
      <c r="AO138" s="473" t="str">
        <f t="shared" si="21"/>
        <v/>
      </c>
      <c r="AP138" s="473" t="str">
        <f t="shared" si="22"/>
        <v/>
      </c>
      <c r="AQ138" s="473" t="str">
        <f t="shared" si="23"/>
        <v/>
      </c>
      <c r="AR138" s="473" t="str">
        <f t="shared" si="24"/>
        <v/>
      </c>
      <c r="AS138" s="473" t="str">
        <f t="shared" si="25"/>
        <v/>
      </c>
      <c r="AT138" s="473" t="str">
        <f t="shared" si="26"/>
        <v/>
      </c>
      <c r="AU138" s="473" t="str">
        <f t="shared" si="27"/>
        <v/>
      </c>
      <c r="AY138" s="497" t="s">
        <v>462</v>
      </c>
      <c r="AZ138" s="31" t="s">
        <v>27</v>
      </c>
      <c r="BA138" s="34" t="s">
        <v>6125</v>
      </c>
      <c r="BB138" s="500"/>
      <c r="BC138" s="271"/>
      <c r="BD138" s="279">
        <v>1</v>
      </c>
      <c r="BE138" s="271"/>
      <c r="BF138" s="271"/>
      <c r="BG138" s="271"/>
      <c r="BH138" s="271"/>
      <c r="BI138" s="271"/>
      <c r="BJ138" s="271"/>
      <c r="BK138" s="271"/>
      <c r="BL138" s="271"/>
    </row>
    <row r="139" spans="18:64" ht="21" customHeight="1" x14ac:dyDescent="0.25">
      <c r="R139" s="34" t="s">
        <v>6127</v>
      </c>
      <c r="S139" s="451"/>
      <c r="T139" s="31" t="s">
        <v>304</v>
      </c>
      <c r="V139" s="475">
        <v>2</v>
      </c>
      <c r="W139" s="475" t="str">
        <f>IF($AC$139="","",$W$108)</f>
        <v>N° 22</v>
      </c>
      <c r="X139" s="476" t="str">
        <f>IF($AC$139="","",$X$108)</f>
        <v>POIVRONS DOUX A L'HUILE D'OLIVE</v>
      </c>
      <c r="Y139" s="477">
        <f>IF($X$139="","",$Y$108)</f>
        <v>39</v>
      </c>
      <c r="Z139" s="477">
        <f>IF($X$139="","",$Z$108)</f>
        <v>100</v>
      </c>
      <c r="AA139" s="477">
        <f>IF($AC$139="","",ROW($A$139)-ROW($A$108))</f>
        <v>31</v>
      </c>
      <c r="AB139" s="478"/>
      <c r="AC139" s="34" t="s">
        <v>458</v>
      </c>
      <c r="AD139" s="356"/>
      <c r="AE139" s="18">
        <v>2</v>
      </c>
      <c r="AF139" s="33" t="s">
        <v>462</v>
      </c>
      <c r="AG139" s="480">
        <f t="shared" si="16"/>
        <v>2</v>
      </c>
      <c r="AH139" s="481" t="str">
        <f t="shared" si="17"/>
        <v>BAC(S)</v>
      </c>
      <c r="AI139" s="477" t="str">
        <f>IF($AC$139="","",IFERROR(INDEX($AZ$74:$AZ$119,MATCH($AH$139,$AY$74:$AY$119,0)),"AUTRE"))</f>
        <v>AUTRE</v>
      </c>
      <c r="AJ139" s="482">
        <f>IF($AC$139="","",IFERROR(INDEX($BA$74:$BA$119,MATCH($AH$139,$AY$74:$AY$119,0)),1))</f>
        <v>1</v>
      </c>
      <c r="AK139" s="482">
        <f t="shared" si="18"/>
        <v>2</v>
      </c>
      <c r="AL139" s="477" t="str">
        <f>IF($AC$139="","",IFERROR(INDEX($BB$74:$BB$119,MATCH($AH$139,$AY$74:$AY$119,0)),$AH$139))</f>
        <v>bac(s)</v>
      </c>
      <c r="AM139" s="483" t="str">
        <f t="shared" si="19"/>
        <v>OK</v>
      </c>
      <c r="AN139" s="484">
        <f t="shared" si="20"/>
        <v>2</v>
      </c>
      <c r="AO139" s="473" t="str">
        <f t="shared" si="21"/>
        <v/>
      </c>
      <c r="AP139" s="473" t="str">
        <f t="shared" si="22"/>
        <v/>
      </c>
      <c r="AQ139" s="473" t="str">
        <f t="shared" si="23"/>
        <v/>
      </c>
      <c r="AR139" s="473" t="str">
        <f t="shared" si="24"/>
        <v/>
      </c>
      <c r="AS139" s="473" t="str">
        <f t="shared" si="25"/>
        <v/>
      </c>
      <c r="AT139" s="473" t="str">
        <f t="shared" si="26"/>
        <v/>
      </c>
      <c r="AU139" s="473" t="str">
        <f t="shared" si="27"/>
        <v/>
      </c>
      <c r="AY139" s="497" t="s">
        <v>463</v>
      </c>
      <c r="AZ139" s="31" t="s">
        <v>28</v>
      </c>
      <c r="BA139" s="34" t="s">
        <v>6126</v>
      </c>
      <c r="BB139" s="500"/>
      <c r="BC139" s="271"/>
      <c r="BD139" s="279">
        <v>1</v>
      </c>
      <c r="BE139" s="271"/>
      <c r="BF139" s="271"/>
      <c r="BG139" s="271"/>
      <c r="BH139" s="271"/>
      <c r="BI139" s="271"/>
      <c r="BJ139" s="271"/>
      <c r="BK139" s="271"/>
      <c r="BL139" s="271"/>
    </row>
    <row r="140" spans="18:64" ht="21" customHeight="1" x14ac:dyDescent="0.25">
      <c r="R140" s="25" t="s">
        <v>6128</v>
      </c>
      <c r="S140" s="451"/>
      <c r="T140" s="31" t="s">
        <v>352</v>
      </c>
      <c r="V140" s="475">
        <v>2</v>
      </c>
      <c r="W140" s="475" t="str">
        <f>IF($AC$140="","",$W$108)</f>
        <v>N° 22</v>
      </c>
      <c r="X140" s="476" t="str">
        <f>IF($AC$140="","",$X$108)</f>
        <v>POIVRONS DOUX A L'HUILE D'OLIVE</v>
      </c>
      <c r="Y140" s="477">
        <f>IF($X$140="","",$Y$108)</f>
        <v>39</v>
      </c>
      <c r="Z140" s="477">
        <f>IF($X$140="","",$Z$108)</f>
        <v>100</v>
      </c>
      <c r="AA140" s="477">
        <f>IF($AC$140="","",ROW($A$140)-ROW($A$108))</f>
        <v>32</v>
      </c>
      <c r="AB140" s="478"/>
      <c r="AC140" s="34" t="s">
        <v>491</v>
      </c>
      <c r="AD140" s="356"/>
      <c r="AE140" s="18">
        <v>2</v>
      </c>
      <c r="AF140" s="33" t="s">
        <v>463</v>
      </c>
      <c r="AG140" s="480">
        <f t="shared" si="16"/>
        <v>2</v>
      </c>
      <c r="AH140" s="481" t="str">
        <f t="shared" si="17"/>
        <v>COUVERCLE(S)</v>
      </c>
      <c r="AI140" s="477" t="str">
        <f>IF($AC$140="","",IFERROR(INDEX($AZ$74:$AZ$119,MATCH($AH$140,$AY$74:$AY$119,0)),"AUTRE"))</f>
        <v>AUTRE</v>
      </c>
      <c r="AJ140" s="482">
        <f>IF($AC$140="","",IFERROR(INDEX($BA$74:$BA$119,MATCH($AH$140,$AY$74:$AY$119,0)),1))</f>
        <v>1</v>
      </c>
      <c r="AK140" s="482">
        <f t="shared" si="18"/>
        <v>2</v>
      </c>
      <c r="AL140" s="477" t="str">
        <f>IF($AC$140="","",IFERROR(INDEX($BB$74:$BB$119,MATCH($AH$140,$AY$74:$AY$119,0)),$AH$140))</f>
        <v>couvercle(s)</v>
      </c>
      <c r="AM140" s="483" t="str">
        <f t="shared" si="19"/>
        <v>OK</v>
      </c>
      <c r="AN140" s="484">
        <f t="shared" si="20"/>
        <v>2</v>
      </c>
      <c r="AO140" s="473" t="str">
        <f t="shared" si="21"/>
        <v/>
      </c>
      <c r="AP140" s="473" t="str">
        <f t="shared" si="22"/>
        <v/>
      </c>
      <c r="AQ140" s="473" t="str">
        <f t="shared" si="23"/>
        <v/>
      </c>
      <c r="AR140" s="473" t="str">
        <f t="shared" si="24"/>
        <v/>
      </c>
      <c r="AS140" s="473" t="str">
        <f t="shared" si="25"/>
        <v/>
      </c>
      <c r="AT140" s="473" t="str">
        <f t="shared" si="26"/>
        <v/>
      </c>
      <c r="AU140" s="473" t="str">
        <f t="shared" si="27"/>
        <v/>
      </c>
      <c r="AY140" s="497" t="s">
        <v>8147</v>
      </c>
      <c r="AZ140" s="31" t="s">
        <v>29</v>
      </c>
      <c r="BA140" s="34" t="s">
        <v>6127</v>
      </c>
      <c r="BB140" s="500"/>
      <c r="BC140" s="271"/>
      <c r="BD140" s="279">
        <v>1</v>
      </c>
      <c r="BE140" s="271"/>
      <c r="BF140" s="271"/>
      <c r="BG140" s="271"/>
      <c r="BH140" s="271"/>
      <c r="BI140" s="271"/>
      <c r="BJ140" s="271"/>
      <c r="BK140" s="271"/>
      <c r="BL140" s="271"/>
    </row>
    <row r="141" spans="18:64" ht="21" customHeight="1" x14ac:dyDescent="0.25">
      <c r="R141" s="34" t="s">
        <v>474</v>
      </c>
      <c r="S141" s="451"/>
      <c r="T141" s="31" t="s">
        <v>25</v>
      </c>
      <c r="V141" s="475">
        <v>2</v>
      </c>
      <c r="W141" s="475" t="str">
        <f>IF($AC$141="","",$W$108)</f>
        <v>N° 22</v>
      </c>
      <c r="X141" s="476" t="str">
        <f>IF($AC$141="","",$X$108)</f>
        <v>POIVRONS DOUX A L'HUILE D'OLIVE</v>
      </c>
      <c r="Y141" s="477">
        <f>IF($X$141="","",$Y$108)</f>
        <v>39</v>
      </c>
      <c r="Z141" s="477">
        <f>IF($X$141="","",$Z$108)</f>
        <v>100</v>
      </c>
      <c r="AA141" s="477">
        <f>IF($AC$141="","",ROW($A$141)-ROW($A$108))</f>
        <v>33</v>
      </c>
      <c r="AB141" s="478"/>
      <c r="AC141" s="34" t="s">
        <v>457</v>
      </c>
      <c r="AD141" s="356"/>
      <c r="AE141" s="18">
        <v>8</v>
      </c>
      <c r="AF141" s="33" t="s">
        <v>465</v>
      </c>
      <c r="AG141" s="480">
        <f t="shared" si="16"/>
        <v>8</v>
      </c>
      <c r="AH141" s="481" t="str">
        <f t="shared" si="17"/>
        <v>GRILLE(S)</v>
      </c>
      <c r="AI141" s="477" t="str">
        <f>IF($AC$141="","",IFERROR(INDEX($AZ$74:$AZ$119,MATCH($AH$141,$AY$74:$AY$119,0)),"AUTRE"))</f>
        <v>AUTRE</v>
      </c>
      <c r="AJ141" s="482">
        <f>IF($AC$141="","",IFERROR(INDEX($BA$74:$BA$119,MATCH($AH$141,$AY$74:$AY$119,0)),1))</f>
        <v>1</v>
      </c>
      <c r="AK141" s="482">
        <f t="shared" si="18"/>
        <v>8</v>
      </c>
      <c r="AL141" s="477" t="str">
        <f>IF($AC$141="","",IFERROR(INDEX($BB$74:$BB$119,MATCH($AH$141,$AY$74:$AY$119,0)),$AH$141))</f>
        <v>grille(s)</v>
      </c>
      <c r="AM141" s="483" t="str">
        <f t="shared" si="19"/>
        <v>OK</v>
      </c>
      <c r="AN141" s="484">
        <f t="shared" si="20"/>
        <v>8</v>
      </c>
      <c r="AO141" s="473" t="str">
        <f t="shared" si="21"/>
        <v/>
      </c>
      <c r="AP141" s="473" t="str">
        <f t="shared" si="22"/>
        <v/>
      </c>
      <c r="AQ141" s="473" t="str">
        <f t="shared" si="23"/>
        <v/>
      </c>
      <c r="AR141" s="473" t="str">
        <f t="shared" si="24"/>
        <v/>
      </c>
      <c r="AS141" s="473" t="str">
        <f t="shared" si="25"/>
        <v/>
      </c>
      <c r="AT141" s="473" t="str">
        <f t="shared" si="26"/>
        <v/>
      </c>
      <c r="AU141" s="473" t="str">
        <f t="shared" si="27"/>
        <v/>
      </c>
      <c r="AY141" s="497" t="s">
        <v>465</v>
      </c>
      <c r="AZ141" s="31" t="s">
        <v>30</v>
      </c>
      <c r="BA141" s="25" t="s">
        <v>6128</v>
      </c>
      <c r="BB141" s="500"/>
      <c r="BC141" s="271"/>
      <c r="BD141" s="279">
        <v>1</v>
      </c>
      <c r="BE141" s="271"/>
      <c r="BF141" s="271"/>
      <c r="BG141" s="271"/>
      <c r="BH141" s="271"/>
      <c r="BI141" s="271"/>
      <c r="BJ141" s="271"/>
      <c r="BK141" s="271"/>
      <c r="BL141" s="271"/>
    </row>
    <row r="142" spans="18:64" ht="21" customHeight="1" x14ac:dyDescent="0.25">
      <c r="R142" s="34" t="s">
        <v>490</v>
      </c>
      <c r="S142" s="451"/>
      <c r="T142" s="31" t="s">
        <v>26</v>
      </c>
      <c r="V142" s="475">
        <v>2</v>
      </c>
      <c r="W142" s="475" t="str">
        <f>IF($AC$142="","",$W$108)</f>
        <v/>
      </c>
      <c r="X142" s="476" t="str">
        <f>IF($AC$142="","",$X$108)</f>
        <v/>
      </c>
      <c r="Y142" s="477" t="str">
        <f>IF($X$142="","",$Y$108)</f>
        <v/>
      </c>
      <c r="Z142" s="477" t="str">
        <f>IF($X$142="","",$Z$108)</f>
        <v/>
      </c>
      <c r="AA142" s="477" t="str">
        <f>IF($AC$142="","",ROW($A$142)-ROW($A$108))</f>
        <v/>
      </c>
      <c r="AB142" s="478"/>
      <c r="AC142" s="34"/>
      <c r="AD142" s="356"/>
      <c r="AE142" s="18"/>
      <c r="AF142" s="24"/>
      <c r="AG142" s="491" t="str">
        <f t="shared" si="16"/>
        <v/>
      </c>
      <c r="AH142" s="481" t="str">
        <f t="shared" si="17"/>
        <v/>
      </c>
      <c r="AI142" s="477" t="str">
        <f>IF($AC$142="","",IFERROR(INDEX($AZ$74:$AZ$119,MATCH($AH$142,$AY$74:$AY$119,0)),"AUTRE"))</f>
        <v/>
      </c>
      <c r="AJ142" s="482" t="str">
        <f>IF($AC$142="","",IFERROR(INDEX($BA$74:$BA$119,MATCH($AH$142,$AY$74:$AY$119,0)),1))</f>
        <v/>
      </c>
      <c r="AK142" s="482" t="str">
        <f t="shared" si="18"/>
        <v/>
      </c>
      <c r="AL142" s="477" t="str">
        <f>IF($AC$142="","",IFERROR(INDEX($BB$74:$BB$119,MATCH($AH$142,$AY$74:$AY$119,0)),$AH$142))</f>
        <v/>
      </c>
      <c r="AM142" s="483" t="str">
        <f t="shared" si="19"/>
        <v/>
      </c>
      <c r="AN142" s="484" t="str">
        <f t="shared" si="20"/>
        <v/>
      </c>
      <c r="AO142" s="473" t="str">
        <f t="shared" si="21"/>
        <v/>
      </c>
      <c r="AP142" s="473" t="str">
        <f t="shared" si="22"/>
        <v/>
      </c>
      <c r="AQ142" s="473" t="str">
        <f t="shared" si="23"/>
        <v/>
      </c>
      <c r="AR142" s="473" t="str">
        <f t="shared" si="24"/>
        <v/>
      </c>
      <c r="AS142" s="473" t="str">
        <f t="shared" si="25"/>
        <v/>
      </c>
      <c r="AT142" s="473" t="str">
        <f t="shared" si="26"/>
        <v/>
      </c>
      <c r="AU142" s="473" t="str">
        <f t="shared" si="27"/>
        <v/>
      </c>
      <c r="AY142" s="497" t="s">
        <v>466</v>
      </c>
      <c r="AZ142" s="32" t="s">
        <v>33</v>
      </c>
      <c r="BA142" s="34" t="s">
        <v>474</v>
      </c>
      <c r="BB142" s="500"/>
      <c r="BC142" s="271"/>
      <c r="BD142" s="279">
        <v>1</v>
      </c>
      <c r="BE142" s="271"/>
      <c r="BF142" s="271"/>
      <c r="BG142" s="271"/>
      <c r="BH142" s="271"/>
      <c r="BI142" s="271"/>
      <c r="BJ142" s="271"/>
      <c r="BK142" s="271"/>
      <c r="BL142" s="271"/>
    </row>
    <row r="143" spans="18:64" ht="30" customHeight="1" x14ac:dyDescent="0.25">
      <c r="R143" s="34" t="s">
        <v>6129</v>
      </c>
      <c r="S143" s="451"/>
      <c r="T143" s="31" t="s">
        <v>27</v>
      </c>
      <c r="V143" s="453" t="s">
        <v>324</v>
      </c>
      <c r="W143" s="453" t="s">
        <v>7912</v>
      </c>
      <c r="X143" s="453" t="s">
        <v>326</v>
      </c>
      <c r="Y143" s="453" t="s">
        <v>327</v>
      </c>
      <c r="Z143" s="453" t="s">
        <v>7930</v>
      </c>
      <c r="AA143" s="453" t="s">
        <v>7937</v>
      </c>
      <c r="AB143" s="455" t="s">
        <v>39</v>
      </c>
      <c r="AC143" s="455" t="s">
        <v>338</v>
      </c>
      <c r="AD143" s="455" t="s">
        <v>8114</v>
      </c>
      <c r="AE143" s="455" t="s">
        <v>339</v>
      </c>
      <c r="AF143" s="455" t="s">
        <v>7997</v>
      </c>
      <c r="AG143" s="453" t="s">
        <v>8018</v>
      </c>
      <c r="AH143" s="453" t="s">
        <v>8023</v>
      </c>
      <c r="AI143" s="453" t="s">
        <v>330</v>
      </c>
      <c r="AJ143" s="453" t="s">
        <v>8031</v>
      </c>
      <c r="AK143" s="453" t="s">
        <v>8037</v>
      </c>
      <c r="AL143" s="453" t="s">
        <v>8041</v>
      </c>
      <c r="AM143" s="453" t="s">
        <v>343</v>
      </c>
      <c r="AN143" s="457" t="s">
        <v>8115</v>
      </c>
      <c r="AO143" s="457" t="s">
        <v>8116</v>
      </c>
      <c r="AP143" s="656" t="s">
        <v>8117</v>
      </c>
      <c r="AQ143" s="656"/>
      <c r="AR143" s="656"/>
      <c r="AS143" s="656"/>
      <c r="AT143" s="656"/>
      <c r="AU143" s="657"/>
      <c r="AZ143" s="32" t="s">
        <v>8125</v>
      </c>
      <c r="BA143" s="34" t="s">
        <v>490</v>
      </c>
      <c r="BB143" s="500"/>
      <c r="BC143" s="271"/>
      <c r="BD143" s="279">
        <v>1</v>
      </c>
      <c r="BE143" s="271"/>
      <c r="BF143" s="271"/>
      <c r="BG143" s="271"/>
      <c r="BH143" s="271"/>
      <c r="BI143" s="271"/>
      <c r="BJ143" s="271"/>
      <c r="BK143" s="271"/>
      <c r="BL143" s="271"/>
    </row>
    <row r="144" spans="18:64" ht="30" customHeight="1" x14ac:dyDescent="0.25">
      <c r="R144" s="34" t="s">
        <v>478</v>
      </c>
      <c r="S144" s="451"/>
      <c r="T144" s="31" t="s">
        <v>28</v>
      </c>
      <c r="V144" s="459">
        <v>3</v>
      </c>
      <c r="W144" s="460" t="s">
        <v>182</v>
      </c>
      <c r="X144" s="461" t="s">
        <v>180</v>
      </c>
      <c r="Y144" s="462">
        <v>40</v>
      </c>
      <c r="Z144" s="463">
        <v>100</v>
      </c>
      <c r="AA144" s="464">
        <f>IF($AC$396="","",ROW($A$396)-ROW($A$396))</f>
        <v>0</v>
      </c>
      <c r="AB144" s="461"/>
      <c r="AC144" s="465" t="s">
        <v>420</v>
      </c>
      <c r="AD144" s="390"/>
      <c r="AE144" s="13">
        <v>725</v>
      </c>
      <c r="AF144" s="16" t="s">
        <v>8</v>
      </c>
      <c r="AG144" s="467">
        <f t="shared" ref="AG144:AG178" si="28">IF($AC144="","",IF(LEN($AN144&amp;"")=0,"",$AN144))</f>
        <v>725</v>
      </c>
      <c r="AH144" s="468" t="str">
        <f t="shared" ref="AH144:AH178" si="29">IF($AC144="","",IF($AF144&lt;&gt;"",UPPER(TRIM(SUBSTITUTE(SUBSTITUTE($AF144&amp;"",CHAR(160)," ")," "," "))),$AP144))</f>
        <v>G</v>
      </c>
      <c r="AI144" s="469" t="str">
        <f>IF($AC$144="","",IFERROR(INDEX($AZ$74:$AZ$119,MATCH($AH$144,$AY$74:$AY$119,0)),"AUTRE"))</f>
        <v>MASSE</v>
      </c>
      <c r="AJ144" s="470">
        <f>IF($AC$144="","",IFERROR(INDEX($BA$74:$BA$119,MATCH($AH$144,$AY$74:$AY$119,0)),1))</f>
        <v>1E-3</v>
      </c>
      <c r="AK144" s="470">
        <f t="shared" ref="AK144:AK178" si="30">IF(OR(AG144="",AJ144=""),"",AG144*AJ144)</f>
        <v>0.72499999999999998</v>
      </c>
      <c r="AL144" s="469" t="str">
        <f>IF($AC$144="","",IFERROR(INDEX($BB$74:$BB$119,MATCH($AH$144,$AY$74:$AY$119,0)),$AH$144))</f>
        <v>kg</v>
      </c>
      <c r="AM144" s="471" t="str">
        <f t="shared" ref="AM144:AM178" si="31">IF($AC144="","",IF($AH144="QT. SUFFISANTE","OK",IF($AG144="","TEXTE",IF(NOT(ISNUMBER($AG144)),"QUANTITÉ À CONTRÔLER",IF(COUNTIF($AY$74:$AY$119,$AH144)=0,"UNITÉ À CONTRÔLER","OK")))))</f>
        <v>OK</v>
      </c>
      <c r="AN144" s="474">
        <f t="shared" ref="AN144:AN178" si="32">IF($AE144&lt;&gt;"",$AE144,IF($AD144="","",IF(ISNUMBER($AD144),$AD144,IF($AO144="QT",0,IF($AO144="","",IFERROR(IF(ISNUMBER(SEARCH("/",$AO144)),VALUE(TRIM(LEFT($AO144,SEARCH("/",$AO144)-1)))/VALUE(TRIM(MID($AO144,SEARCH("/",$AO144)+1,99))),VALUE(SUBSTITUTE($AO144,".",","))),""))))))</f>
        <v>725</v>
      </c>
      <c r="AO144" s="473" t="str">
        <f t="shared" ref="AO144:AO178" si="33">IF($AD144="","",IF(ISNUMBER($AD144),$AD144,IF(OR(LEFT($AQ144,3)="QT.",LEFT($AQ144,4)="QUAN"),"QT",IF($AR144=999,$AQ144,TRIM(LEFT($AQ144,$AR144-1))))))</f>
        <v/>
      </c>
      <c r="AP144" s="473" t="str">
        <f t="shared" ref="AP144:AP178" si="34">IF($AD144="","",IF(ISNUMBER($AD144),"",IF(OR(LEFT($AQ144,3)="QT.",LEFT($AQ144,4)="QUAN"),"QT. SUFFISANTE",IF($AO144="","",TRIM(MID($AQ144,LEN($AO144&amp;"")+1,999))))))</f>
        <v/>
      </c>
      <c r="AQ144" s="473" t="str">
        <f t="shared" ref="AQ144:AQ178" si="35">IF($AD144="","",UPPER(TRIM(SUBSTITUTE(SUBSTITUTE($AD144&amp;"",CHAR(160)," ")," "," "))))</f>
        <v/>
      </c>
      <c r="AR144" s="473" t="str">
        <f t="shared" ref="AR144:AR178" si="36">IF($AQ144="","",MIN($AS144,$AT144,$AU144))</f>
        <v/>
      </c>
      <c r="AS144" s="473" t="str">
        <f t="shared" ref="AS144:AS178" si="37">IF($AQ144="","",MIN(IFERROR(SEARCH("A",$AQ144),999),IFERROR(SEARCH("B",$AQ144),999),IFERROR(SEARCH("C",$AQ144),999),IFERROR(SEARCH("D",$AQ144),999),IFERROR(SEARCH("E",$AQ144),999),IFERROR(SEARCH("F",$AQ144),999),IFERROR(SEARCH("G",$AQ144),999),IFERROR(SEARCH("H",$AQ144),999),IFERROR(SEARCH("I",$AQ144),999)))</f>
        <v/>
      </c>
      <c r="AT144" s="473" t="str">
        <f t="shared" ref="AT144:AT178" si="38">IF($AQ144="","",MIN(IFERROR(SEARCH("J",$AQ144),999),IFERROR(SEARCH("K",$AQ144),999),IFERROR(SEARCH("L",$AQ144),999),IFERROR(SEARCH("M",$AQ144),999),IFERROR(SEARCH("N",$AQ144),999),IFERROR(SEARCH("O",$AQ144),999),IFERROR(SEARCH("P",$AQ144),999),IFERROR(SEARCH("Q",$AQ144),999),IFERROR(SEARCH("R",$AQ144),999)))</f>
        <v/>
      </c>
      <c r="AU144" s="473" t="str">
        <f t="shared" ref="AU144:AU178" si="39">IF($AQ144="","",MIN(IFERROR(SEARCH("S",$AQ144),999),IFERROR(SEARCH("T",$AQ144),999),IFERROR(SEARCH("U",$AQ144),999),IFERROR(SEARCH("V",$AQ144),999),IFERROR(SEARCH("W",$AQ144),999),IFERROR(SEARCH("X",$AQ144),999),IFERROR(SEARCH("Y",$AQ144),999),IFERROR(SEARCH("Z",$AQ144),999)))</f>
        <v/>
      </c>
      <c r="AZ144" s="32" t="s">
        <v>8127</v>
      </c>
      <c r="BA144" s="34" t="s">
        <v>6129</v>
      </c>
      <c r="BB144" s="500"/>
      <c r="BC144" s="271"/>
      <c r="BD144" s="279">
        <v>1</v>
      </c>
      <c r="BE144" s="271"/>
      <c r="BF144" s="271"/>
      <c r="BG144" s="271"/>
      <c r="BH144" s="271"/>
      <c r="BI144" s="271"/>
      <c r="BJ144" s="271"/>
      <c r="BK144" s="271"/>
      <c r="BL144" s="271"/>
    </row>
    <row r="145" spans="18:64" ht="21" customHeight="1" x14ac:dyDescent="0.25">
      <c r="R145" s="34" t="s">
        <v>6130</v>
      </c>
      <c r="S145" s="451"/>
      <c r="T145" s="31" t="s">
        <v>29</v>
      </c>
      <c r="V145" s="475">
        <f>$V$144</f>
        <v>3</v>
      </c>
      <c r="W145" s="475" t="str">
        <f>IF($AC$145="","",$W$144)</f>
        <v>N° 23</v>
      </c>
      <c r="X145" s="476" t="str">
        <f>IF($AC$145="","",$X$144)</f>
        <v>CRÈME DE PARMESAN MOUSSE DE TOMATE TAPENADE</v>
      </c>
      <c r="Y145" s="477">
        <f>IF($X$145="","",$Y$144)</f>
        <v>40</v>
      </c>
      <c r="Z145" s="477">
        <f>IF($X$145="","",$Z$144)</f>
        <v>100</v>
      </c>
      <c r="AA145" s="477">
        <f>IF($AC$145="","",ROW($A$145)-ROW($A$144))</f>
        <v>1</v>
      </c>
      <c r="AB145" s="478"/>
      <c r="AC145" s="34" t="s">
        <v>421</v>
      </c>
      <c r="AD145" s="356"/>
      <c r="AE145" s="18">
        <v>3.5</v>
      </c>
      <c r="AF145" s="20" t="s">
        <v>9</v>
      </c>
      <c r="AG145" s="480">
        <f t="shared" si="28"/>
        <v>3.5</v>
      </c>
      <c r="AH145" s="481" t="str">
        <f t="shared" si="29"/>
        <v>L</v>
      </c>
      <c r="AI145" s="477" t="str">
        <f>IF($AC$145="","",IFERROR(INDEX($AZ$74:$AZ$119,MATCH($AH$145,$AY$74:$AY$119,0)),"AUTRE"))</f>
        <v>VOLUME</v>
      </c>
      <c r="AJ145" s="482">
        <f>IF($AC$145="","",IFERROR(INDEX($BA$74:$BA$119,MATCH($AH$145,$AY$74:$AY$119,0)),1))</f>
        <v>1</v>
      </c>
      <c r="AK145" s="482">
        <f t="shared" si="30"/>
        <v>3.5</v>
      </c>
      <c r="AL145" s="477" t="str">
        <f>IF($AC$145="","",IFERROR(INDEX($BB$74:$BB$119,MATCH($AH$145,$AY$74:$AY$119,0)),$AH$145))</f>
        <v>L</v>
      </c>
      <c r="AM145" s="483" t="str">
        <f t="shared" si="31"/>
        <v>OK</v>
      </c>
      <c r="AN145" s="484">
        <f t="shared" si="32"/>
        <v>3.5</v>
      </c>
      <c r="AO145" s="473" t="str">
        <f t="shared" si="33"/>
        <v/>
      </c>
      <c r="AP145" s="473" t="str">
        <f t="shared" si="34"/>
        <v/>
      </c>
      <c r="AQ145" s="473" t="str">
        <f t="shared" si="35"/>
        <v/>
      </c>
      <c r="AR145" s="473" t="str">
        <f t="shared" si="36"/>
        <v/>
      </c>
      <c r="AS145" s="473" t="str">
        <f t="shared" si="37"/>
        <v/>
      </c>
      <c r="AT145" s="473" t="str">
        <f t="shared" si="38"/>
        <v/>
      </c>
      <c r="AU145" s="473" t="str">
        <f t="shared" si="39"/>
        <v/>
      </c>
      <c r="AZ145" s="32" t="s">
        <v>320</v>
      </c>
      <c r="BA145" s="34" t="s">
        <v>478</v>
      </c>
      <c r="BB145" s="500"/>
      <c r="BC145" s="271"/>
      <c r="BD145" s="279">
        <v>1</v>
      </c>
      <c r="BE145" s="271"/>
      <c r="BF145" s="271"/>
      <c r="BG145" s="271"/>
      <c r="BH145" s="271"/>
      <c r="BI145" s="271"/>
      <c r="BJ145" s="271"/>
      <c r="BK145" s="271"/>
      <c r="BL145" s="271"/>
    </row>
    <row r="146" spans="18:64" ht="21" customHeight="1" x14ac:dyDescent="0.25">
      <c r="R146" s="34" t="s">
        <v>486</v>
      </c>
      <c r="S146" s="451"/>
      <c r="T146" s="31" t="s">
        <v>30</v>
      </c>
      <c r="V146" s="475">
        <v>3</v>
      </c>
      <c r="W146" s="475" t="str">
        <f>IF($AC$146="","",$W$144)</f>
        <v>N° 23</v>
      </c>
      <c r="X146" s="476" t="str">
        <f>IF($AC$146="","",$X$144)</f>
        <v>CRÈME DE PARMESAN MOUSSE DE TOMATE TAPENADE</v>
      </c>
      <c r="Y146" s="477">
        <f>IF($X$146="","",$Y$144)</f>
        <v>40</v>
      </c>
      <c r="Z146" s="477">
        <f>IF($X$146="","",$Z$144)</f>
        <v>100</v>
      </c>
      <c r="AA146" s="477">
        <f>IF($AC$146="","",ROW($A$146)-ROW($A$144))</f>
        <v>2</v>
      </c>
      <c r="AB146" s="478"/>
      <c r="AC146" s="34" t="s">
        <v>422</v>
      </c>
      <c r="AD146" s="356"/>
      <c r="AE146" s="18">
        <v>725</v>
      </c>
      <c r="AF146" s="16" t="s">
        <v>8</v>
      </c>
      <c r="AG146" s="480">
        <f t="shared" si="28"/>
        <v>725</v>
      </c>
      <c r="AH146" s="481" t="str">
        <f t="shared" si="29"/>
        <v>G</v>
      </c>
      <c r="AI146" s="477" t="str">
        <f>IF($AC$146="","",IFERROR(INDEX($AZ$74:$AZ$119,MATCH($AH$146,$AY$74:$AY$119,0)),"AUTRE"))</f>
        <v>MASSE</v>
      </c>
      <c r="AJ146" s="482">
        <f>IF($AC$146="","",IFERROR(INDEX($BA$74:$BA$119,MATCH($AH$146,$AY$74:$AY$119,0)),1))</f>
        <v>1E-3</v>
      </c>
      <c r="AK146" s="482">
        <f t="shared" si="30"/>
        <v>0.72499999999999998</v>
      </c>
      <c r="AL146" s="477" t="str">
        <f>IF($AC$146="","",IFERROR(INDEX($BB$74:$BB$119,MATCH($AH$146,$AY$74:$AY$119,0)),$AH$146))</f>
        <v>kg</v>
      </c>
      <c r="AM146" s="483" t="str">
        <f t="shared" si="31"/>
        <v>OK</v>
      </c>
      <c r="AN146" s="484">
        <f t="shared" si="32"/>
        <v>725</v>
      </c>
      <c r="AO146" s="473" t="str">
        <f t="shared" si="33"/>
        <v/>
      </c>
      <c r="AP146" s="473" t="str">
        <f t="shared" si="34"/>
        <v/>
      </c>
      <c r="AQ146" s="473" t="str">
        <f t="shared" si="35"/>
        <v/>
      </c>
      <c r="AR146" s="473" t="str">
        <f t="shared" si="36"/>
        <v/>
      </c>
      <c r="AS146" s="473" t="str">
        <f t="shared" si="37"/>
        <v/>
      </c>
      <c r="AT146" s="473" t="str">
        <f t="shared" si="38"/>
        <v/>
      </c>
      <c r="AU146" s="473" t="str">
        <f t="shared" si="39"/>
        <v/>
      </c>
      <c r="AZ146" s="32" t="s">
        <v>318</v>
      </c>
      <c r="BA146" s="34" t="s">
        <v>6130</v>
      </c>
      <c r="BB146" s="500"/>
      <c r="BC146" s="271"/>
      <c r="BD146" s="279">
        <v>1</v>
      </c>
      <c r="BE146" s="271"/>
      <c r="BF146" s="271"/>
      <c r="BG146" s="271"/>
      <c r="BH146" s="271"/>
      <c r="BI146" s="271"/>
      <c r="BJ146" s="271"/>
      <c r="BK146" s="271"/>
      <c r="BL146" s="271"/>
    </row>
    <row r="147" spans="18:64" ht="21" customHeight="1" x14ac:dyDescent="0.25">
      <c r="R147" s="34" t="s">
        <v>479</v>
      </c>
      <c r="S147" s="451"/>
      <c r="T147" s="31" t="s">
        <v>31</v>
      </c>
      <c r="V147" s="475">
        <v>3</v>
      </c>
      <c r="W147" s="475" t="str">
        <f>IF($AC$147="","",$W$144)</f>
        <v>N° 23</v>
      </c>
      <c r="X147" s="476" t="str">
        <f>IF($AC$147="","",$X$144)</f>
        <v>CRÈME DE PARMESAN MOUSSE DE TOMATE TAPENADE</v>
      </c>
      <c r="Y147" s="477">
        <f>IF($X$147="","",$Y$144)</f>
        <v>40</v>
      </c>
      <c r="Z147" s="477">
        <f>IF($X$147="","",$Z$144)</f>
        <v>100</v>
      </c>
      <c r="AA147" s="477">
        <f>IF($AC$147="","",ROW($A$147)-ROW($A$144))</f>
        <v>3</v>
      </c>
      <c r="AB147" s="478"/>
      <c r="AC147" s="34" t="s">
        <v>60</v>
      </c>
      <c r="AD147" s="356"/>
      <c r="AE147" s="23" t="s">
        <v>33</v>
      </c>
      <c r="AF147" s="19"/>
      <c r="AG147" s="480" t="str">
        <f t="shared" si="28"/>
        <v>QT. SUFFISANTE</v>
      </c>
      <c r="AH147" s="481" t="str">
        <f t="shared" si="29"/>
        <v/>
      </c>
      <c r="AI147" s="477" t="str">
        <f>IF($AC$147="","",IFERROR(INDEX($AZ$74:$AZ$119,MATCH($AH$147,$AY$74:$AY$119,0)),"AUTRE"))</f>
        <v>AUTRE</v>
      </c>
      <c r="AJ147" s="482">
        <f>IF($AC$147="","",IFERROR(INDEX($BA$74:$BA$119,MATCH($AH$147,$AY$74:$AY$119,0)),1))</f>
        <v>1</v>
      </c>
      <c r="AK147" s="482" t="e">
        <f t="shared" si="30"/>
        <v>#VALUE!</v>
      </c>
      <c r="AL147" s="477" t="str">
        <f>IF($AC$147="","",IFERROR(INDEX($BB$74:$BB$119,MATCH($AH$147,$AY$74:$AY$119,0)),$AH$147))</f>
        <v/>
      </c>
      <c r="AM147" s="483" t="str">
        <f t="shared" si="31"/>
        <v>QUANTITÉ À CONTRÔLER</v>
      </c>
      <c r="AN147" s="484" t="str">
        <f t="shared" si="32"/>
        <v>QT. SUFFISANTE</v>
      </c>
      <c r="AO147" s="473" t="str">
        <f t="shared" si="33"/>
        <v/>
      </c>
      <c r="AP147" s="473" t="str">
        <f t="shared" si="34"/>
        <v/>
      </c>
      <c r="AQ147" s="473" t="str">
        <f t="shared" si="35"/>
        <v/>
      </c>
      <c r="AR147" s="473" t="str">
        <f t="shared" si="36"/>
        <v/>
      </c>
      <c r="AS147" s="473" t="str">
        <f t="shared" si="37"/>
        <v/>
      </c>
      <c r="AT147" s="473" t="str">
        <f t="shared" si="38"/>
        <v/>
      </c>
      <c r="AU147" s="473" t="str">
        <f t="shared" si="39"/>
        <v/>
      </c>
      <c r="AZ147" s="32" t="s">
        <v>316</v>
      </c>
      <c r="BA147" s="34" t="s">
        <v>486</v>
      </c>
      <c r="BB147" s="500"/>
      <c r="BC147" s="271"/>
      <c r="BD147" s="279">
        <v>1</v>
      </c>
      <c r="BE147" s="271"/>
      <c r="BF147" s="271"/>
      <c r="BG147" s="271"/>
      <c r="BH147" s="271"/>
      <c r="BI147" s="271"/>
      <c r="BJ147" s="271"/>
      <c r="BK147" s="271"/>
      <c r="BL147" s="271"/>
    </row>
    <row r="148" spans="18:64" ht="21" customHeight="1" x14ac:dyDescent="0.25">
      <c r="R148" s="34" t="s">
        <v>6131</v>
      </c>
      <c r="S148" s="451"/>
      <c r="T148" s="32" t="s">
        <v>33</v>
      </c>
      <c r="V148" s="475">
        <v>3</v>
      </c>
      <c r="W148" s="475" t="str">
        <f>IF($AC$148="","",$W$144)</f>
        <v/>
      </c>
      <c r="X148" s="476" t="str">
        <f>IF($AC$148="","",$X$144)</f>
        <v/>
      </c>
      <c r="Y148" s="477" t="str">
        <f>IF($X$148="","",$Y$144)</f>
        <v/>
      </c>
      <c r="Z148" s="477" t="str">
        <f>IF($X$148="","",$Z$144)</f>
        <v/>
      </c>
      <c r="AA148" s="477" t="str">
        <f>IF($AC$148="","",ROW($A$148)-ROW($A$144))</f>
        <v/>
      </c>
      <c r="AB148" s="478"/>
      <c r="AC148" s="34" t="s">
        <v>345</v>
      </c>
      <c r="AD148" s="356"/>
      <c r="AE148" s="18"/>
      <c r="AF148" s="19"/>
      <c r="AG148" s="480" t="str">
        <f t="shared" si="28"/>
        <v/>
      </c>
      <c r="AH148" s="481" t="str">
        <f t="shared" si="29"/>
        <v/>
      </c>
      <c r="AI148" s="477" t="str">
        <f>IF($AC$148="","",IFERROR(INDEX($AZ$74:$AZ$119,MATCH($AH$148,$AY$74:$AY$119,0)),"AUTRE"))</f>
        <v/>
      </c>
      <c r="AJ148" s="482" t="str">
        <f>IF($AC$148="","",IFERROR(INDEX($BA$74:$BA$119,MATCH($AH$148,$AY$74:$AY$119,0)),1))</f>
        <v/>
      </c>
      <c r="AK148" s="482" t="str">
        <f t="shared" si="30"/>
        <v/>
      </c>
      <c r="AL148" s="477" t="str">
        <f>IF($AC$148="","",IFERROR(INDEX($BB$74:$BB$119,MATCH($AH$148,$AY$74:$AY$119,0)),$AH$148))</f>
        <v/>
      </c>
      <c r="AM148" s="483" t="str">
        <f t="shared" si="31"/>
        <v/>
      </c>
      <c r="AN148" s="484" t="str">
        <f t="shared" si="32"/>
        <v/>
      </c>
      <c r="AO148" s="473" t="str">
        <f t="shared" si="33"/>
        <v/>
      </c>
      <c r="AP148" s="473" t="str">
        <f t="shared" si="34"/>
        <v/>
      </c>
      <c r="AQ148" s="473" t="str">
        <f t="shared" si="35"/>
        <v/>
      </c>
      <c r="AR148" s="473" t="str">
        <f t="shared" si="36"/>
        <v/>
      </c>
      <c r="AS148" s="473" t="str">
        <f t="shared" si="37"/>
        <v/>
      </c>
      <c r="AT148" s="473" t="str">
        <f t="shared" si="38"/>
        <v/>
      </c>
      <c r="AU148" s="473" t="str">
        <f t="shared" si="39"/>
        <v/>
      </c>
      <c r="AZ148" s="32" t="s">
        <v>313</v>
      </c>
      <c r="BA148" s="34" t="s">
        <v>479</v>
      </c>
      <c r="BB148" s="500"/>
      <c r="BC148" s="271"/>
      <c r="BD148" s="279">
        <v>1</v>
      </c>
      <c r="BE148" s="271"/>
      <c r="BF148" s="271"/>
      <c r="BG148" s="271"/>
      <c r="BH148" s="271"/>
      <c r="BI148" s="271"/>
      <c r="BJ148" s="271"/>
      <c r="BK148" s="271"/>
      <c r="BL148" s="271"/>
    </row>
    <row r="149" spans="18:64" ht="21" customHeight="1" x14ac:dyDescent="0.25">
      <c r="R149" s="34" t="s">
        <v>485</v>
      </c>
      <c r="S149" s="451"/>
      <c r="T149" s="32" t="s">
        <v>8125</v>
      </c>
      <c r="V149" s="475">
        <v>3</v>
      </c>
      <c r="W149" s="475" t="str">
        <f>IF($AC$149="","",$W$144)</f>
        <v>N° 23</v>
      </c>
      <c r="X149" s="476" t="str">
        <f>IF($AC$149="","",$X$144)</f>
        <v>CRÈME DE PARMESAN MOUSSE DE TOMATE TAPENADE</v>
      </c>
      <c r="Y149" s="477">
        <f>IF($X$149="","",$Y$144)</f>
        <v>40</v>
      </c>
      <c r="Z149" s="477">
        <f>IF($X$149="","",$Z$144)</f>
        <v>100</v>
      </c>
      <c r="AA149" s="477">
        <f>IF($AC$149="","",ROW($A$149)-ROW($A$144))</f>
        <v>5</v>
      </c>
      <c r="AB149" s="478"/>
      <c r="AC149" s="34" t="s">
        <v>149</v>
      </c>
      <c r="AD149" s="356"/>
      <c r="AE149" s="18">
        <v>10</v>
      </c>
      <c r="AF149" s="11" t="s">
        <v>7</v>
      </c>
      <c r="AG149" s="480">
        <f t="shared" si="28"/>
        <v>10</v>
      </c>
      <c r="AH149" s="481" t="str">
        <f t="shared" si="29"/>
        <v>KG</v>
      </c>
      <c r="AI149" s="477" t="str">
        <f>IF($AC$149="","",IFERROR(INDEX($AZ$74:$AZ$119,MATCH($AH$149,$AY$74:$AY$119,0)),"AUTRE"))</f>
        <v>MASSE</v>
      </c>
      <c r="AJ149" s="482">
        <f>IF($AC$149="","",IFERROR(INDEX($BA$74:$BA$119,MATCH($AH$149,$AY$74:$AY$119,0)),1))</f>
        <v>1</v>
      </c>
      <c r="AK149" s="482">
        <f t="shared" si="30"/>
        <v>10</v>
      </c>
      <c r="AL149" s="477" t="str">
        <f>IF($AC$149="","",IFERROR(INDEX($BB$74:$BB$119,MATCH($AH$149,$AY$74:$AY$119,0)),$AH$149))</f>
        <v>kg</v>
      </c>
      <c r="AM149" s="483" t="str">
        <f t="shared" si="31"/>
        <v>OK</v>
      </c>
      <c r="AN149" s="484">
        <f t="shared" si="32"/>
        <v>10</v>
      </c>
      <c r="AO149" s="473" t="str">
        <f t="shared" si="33"/>
        <v/>
      </c>
      <c r="AP149" s="473" t="str">
        <f t="shared" si="34"/>
        <v/>
      </c>
      <c r="AQ149" s="473" t="str">
        <f t="shared" si="35"/>
        <v/>
      </c>
      <c r="AR149" s="473" t="str">
        <f t="shared" si="36"/>
        <v/>
      </c>
      <c r="AS149" s="473" t="str">
        <f t="shared" si="37"/>
        <v/>
      </c>
      <c r="AT149" s="473" t="str">
        <f t="shared" si="38"/>
        <v/>
      </c>
      <c r="AU149" s="473" t="str">
        <f t="shared" si="39"/>
        <v/>
      </c>
      <c r="AZ149" s="32" t="s">
        <v>307</v>
      </c>
      <c r="BA149" s="34" t="s">
        <v>6131</v>
      </c>
      <c r="BB149" s="500"/>
      <c r="BC149" s="271"/>
      <c r="BD149" s="279">
        <v>1</v>
      </c>
      <c r="BE149" s="271"/>
      <c r="BF149" s="271"/>
      <c r="BG149" s="271"/>
      <c r="BH149" s="271"/>
      <c r="BI149" s="271"/>
      <c r="BJ149" s="271"/>
      <c r="BK149" s="271"/>
      <c r="BL149" s="271"/>
    </row>
    <row r="150" spans="18:64" ht="21" customHeight="1" x14ac:dyDescent="0.25">
      <c r="R150" s="34" t="s">
        <v>6132</v>
      </c>
      <c r="S150" s="451"/>
      <c r="T150" s="32" t="s">
        <v>8127</v>
      </c>
      <c r="V150" s="475">
        <v>3</v>
      </c>
      <c r="W150" s="475" t="str">
        <f>IF($AC$150="","",$W$144)</f>
        <v>N° 23</v>
      </c>
      <c r="X150" s="476" t="str">
        <f>IF($AC$150="","",$X$144)</f>
        <v>CRÈME DE PARMESAN MOUSSE DE TOMATE TAPENADE</v>
      </c>
      <c r="Y150" s="477">
        <f>IF($X$150="","",$Y$144)</f>
        <v>40</v>
      </c>
      <c r="Z150" s="477">
        <f>IF($X$150="","",$Z$144)</f>
        <v>100</v>
      </c>
      <c r="AA150" s="477">
        <f>IF($AC$150="","",ROW($A$150)-ROW($A$144))</f>
        <v>6</v>
      </c>
      <c r="AB150" s="478"/>
      <c r="AC150" s="34" t="s">
        <v>427</v>
      </c>
      <c r="AD150" s="356"/>
      <c r="AE150" s="18">
        <v>8</v>
      </c>
      <c r="AF150" s="20" t="s">
        <v>9</v>
      </c>
      <c r="AG150" s="480">
        <f t="shared" si="28"/>
        <v>8</v>
      </c>
      <c r="AH150" s="481" t="str">
        <f t="shared" si="29"/>
        <v>L</v>
      </c>
      <c r="AI150" s="477" t="str">
        <f>IF($AC$150="","",IFERROR(INDEX($AZ$74:$AZ$119,MATCH($AH$150,$AY$74:$AY$119,0)),"AUTRE"))</f>
        <v>VOLUME</v>
      </c>
      <c r="AJ150" s="482">
        <f>IF($AC$150="","",IFERROR(INDEX($BA$74:$BA$119,MATCH($AH$150,$AY$74:$AY$119,0)),1))</f>
        <v>1</v>
      </c>
      <c r="AK150" s="482">
        <f t="shared" si="30"/>
        <v>8</v>
      </c>
      <c r="AL150" s="477" t="str">
        <f>IF($AC$150="","",IFERROR(INDEX($BB$74:$BB$119,MATCH($AH$150,$AY$74:$AY$119,0)),$AH$150))</f>
        <v>L</v>
      </c>
      <c r="AM150" s="483" t="str">
        <f t="shared" si="31"/>
        <v>OK</v>
      </c>
      <c r="AN150" s="484">
        <f t="shared" si="32"/>
        <v>8</v>
      </c>
      <c r="AO150" s="473" t="str">
        <f t="shared" si="33"/>
        <v/>
      </c>
      <c r="AP150" s="473" t="str">
        <f t="shared" si="34"/>
        <v/>
      </c>
      <c r="AQ150" s="473" t="str">
        <f t="shared" si="35"/>
        <v/>
      </c>
      <c r="AR150" s="473" t="str">
        <f t="shared" si="36"/>
        <v/>
      </c>
      <c r="AS150" s="473" t="str">
        <f t="shared" si="37"/>
        <v/>
      </c>
      <c r="AT150" s="473" t="str">
        <f t="shared" si="38"/>
        <v/>
      </c>
      <c r="AU150" s="473" t="str">
        <f t="shared" si="39"/>
        <v/>
      </c>
      <c r="AZ150" s="32" t="s">
        <v>322</v>
      </c>
      <c r="BA150" s="34" t="s">
        <v>485</v>
      </c>
      <c r="BB150" s="500"/>
      <c r="BC150" s="271"/>
      <c r="BD150" s="279">
        <v>1</v>
      </c>
      <c r="BE150" s="271"/>
      <c r="BF150" s="271"/>
      <c r="BG150" s="271"/>
      <c r="BH150" s="271"/>
      <c r="BI150" s="271"/>
      <c r="BJ150" s="271"/>
      <c r="BK150" s="271"/>
      <c r="BL150" s="271"/>
    </row>
    <row r="151" spans="18:64" ht="21" customHeight="1" x14ac:dyDescent="0.25">
      <c r="R151" s="25" t="s">
        <v>6133</v>
      </c>
      <c r="S151" s="451"/>
      <c r="T151" s="32" t="s">
        <v>320</v>
      </c>
      <c r="V151" s="475">
        <v>3</v>
      </c>
      <c r="W151" s="475" t="str">
        <f>IF($AC$151="","",$W$144)</f>
        <v>N° 23</v>
      </c>
      <c r="X151" s="476" t="str">
        <f>IF($AC$151="","",$X$144)</f>
        <v>CRÈME DE PARMESAN MOUSSE DE TOMATE TAPENADE</v>
      </c>
      <c r="Y151" s="477">
        <f>IF($X$151="","",$Y$144)</f>
        <v>40</v>
      </c>
      <c r="Z151" s="477">
        <f>IF($X$151="","",$Z$144)</f>
        <v>100</v>
      </c>
      <c r="AA151" s="477">
        <f>IF($AC$151="","",ROW($A$151)-ROW($A$144))</f>
        <v>7</v>
      </c>
      <c r="AB151" s="478"/>
      <c r="AC151" s="34" t="s">
        <v>109</v>
      </c>
      <c r="AD151" s="356"/>
      <c r="AE151" s="18">
        <v>2</v>
      </c>
      <c r="AF151" s="11" t="s">
        <v>7</v>
      </c>
      <c r="AG151" s="480">
        <f t="shared" si="28"/>
        <v>2</v>
      </c>
      <c r="AH151" s="481" t="str">
        <f t="shared" si="29"/>
        <v>KG</v>
      </c>
      <c r="AI151" s="477" t="str">
        <f>IF($AC$151="","",IFERROR(INDEX($AZ$74:$AZ$119,MATCH($AH$151,$AY$74:$AY$119,0)),"AUTRE"))</f>
        <v>MASSE</v>
      </c>
      <c r="AJ151" s="482">
        <f>IF($AC$151="","",IFERROR(INDEX($BA$74:$BA$119,MATCH($AH$151,$AY$74:$AY$119,0)),1))</f>
        <v>1</v>
      </c>
      <c r="AK151" s="482">
        <f t="shared" si="30"/>
        <v>2</v>
      </c>
      <c r="AL151" s="477" t="str">
        <f>IF($AC$151="","",IFERROR(INDEX($BB$74:$BB$119,MATCH($AH$151,$AY$74:$AY$119,0)),$AH$151))</f>
        <v>kg</v>
      </c>
      <c r="AM151" s="483" t="str">
        <f t="shared" si="31"/>
        <v>OK</v>
      </c>
      <c r="AN151" s="484">
        <f t="shared" si="32"/>
        <v>2</v>
      </c>
      <c r="AO151" s="473" t="str">
        <f t="shared" si="33"/>
        <v/>
      </c>
      <c r="AP151" s="473" t="str">
        <f t="shared" si="34"/>
        <v/>
      </c>
      <c r="AQ151" s="473" t="str">
        <f t="shared" si="35"/>
        <v/>
      </c>
      <c r="AR151" s="473" t="str">
        <f t="shared" si="36"/>
        <v/>
      </c>
      <c r="AS151" s="473" t="str">
        <f t="shared" si="37"/>
        <v/>
      </c>
      <c r="AT151" s="473" t="str">
        <f t="shared" si="38"/>
        <v/>
      </c>
      <c r="AU151" s="473" t="str">
        <f t="shared" si="39"/>
        <v/>
      </c>
      <c r="AZ151" s="32" t="s">
        <v>305</v>
      </c>
      <c r="BA151" s="34" t="s">
        <v>6132</v>
      </c>
      <c r="BB151" s="500"/>
      <c r="BC151" s="271"/>
      <c r="BD151" s="279">
        <v>1</v>
      </c>
      <c r="BE151" s="271"/>
      <c r="BF151" s="271"/>
      <c r="BG151" s="271"/>
      <c r="BH151" s="271"/>
      <c r="BI151" s="271"/>
      <c r="BJ151" s="271"/>
      <c r="BK151" s="271"/>
      <c r="BL151" s="271"/>
    </row>
    <row r="152" spans="18:64" ht="21" customHeight="1" x14ac:dyDescent="0.25">
      <c r="R152" s="34" t="s">
        <v>476</v>
      </c>
      <c r="S152" s="451"/>
      <c r="T152" s="32" t="s">
        <v>318</v>
      </c>
      <c r="V152" s="475">
        <v>3</v>
      </c>
      <c r="W152" s="475" t="str">
        <f>IF($AC$152="","",$W$144)</f>
        <v>N° 23</v>
      </c>
      <c r="X152" s="476" t="str">
        <f>IF($AC$152="","",$X$144)</f>
        <v>CRÈME DE PARMESAN MOUSSE DE TOMATE TAPENADE</v>
      </c>
      <c r="Y152" s="477">
        <f>IF($X$152="","",$Y$144)</f>
        <v>40</v>
      </c>
      <c r="Z152" s="477">
        <f>IF($X$152="","",$Z$144)</f>
        <v>100</v>
      </c>
      <c r="AA152" s="477">
        <f>IF($AC$152="","",ROW($A$152)-ROW($A$144))</f>
        <v>8</v>
      </c>
      <c r="AB152" s="478"/>
      <c r="AC152" s="34" t="s">
        <v>176</v>
      </c>
      <c r="AD152" s="356"/>
      <c r="AE152" s="18">
        <v>1.5</v>
      </c>
      <c r="AF152" s="11" t="s">
        <v>7</v>
      </c>
      <c r="AG152" s="480">
        <f t="shared" si="28"/>
        <v>1.5</v>
      </c>
      <c r="AH152" s="481" t="str">
        <f t="shared" si="29"/>
        <v>KG</v>
      </c>
      <c r="AI152" s="477" t="str">
        <f>IF($AC$152="","",IFERROR(INDEX($AZ$74:$AZ$119,MATCH($AH$152,$AY$74:$AY$119,0)),"AUTRE"))</f>
        <v>MASSE</v>
      </c>
      <c r="AJ152" s="482">
        <f>IF($AC$152="","",IFERROR(INDEX($BA$74:$BA$119,MATCH($AH$152,$AY$74:$AY$119,0)),1))</f>
        <v>1</v>
      </c>
      <c r="AK152" s="482">
        <f t="shared" si="30"/>
        <v>1.5</v>
      </c>
      <c r="AL152" s="477" t="str">
        <f>IF($AC$152="","",IFERROR(INDEX($BB$74:$BB$119,MATCH($AH$152,$AY$74:$AY$119,0)),$AH$152))</f>
        <v>kg</v>
      </c>
      <c r="AM152" s="483" t="str">
        <f t="shared" si="31"/>
        <v>OK</v>
      </c>
      <c r="AN152" s="484">
        <f t="shared" si="32"/>
        <v>1.5</v>
      </c>
      <c r="AO152" s="473" t="str">
        <f t="shared" si="33"/>
        <v/>
      </c>
      <c r="AP152" s="473" t="str">
        <f t="shared" si="34"/>
        <v/>
      </c>
      <c r="AQ152" s="473" t="str">
        <f t="shared" si="35"/>
        <v/>
      </c>
      <c r="AR152" s="473" t="str">
        <f t="shared" si="36"/>
        <v/>
      </c>
      <c r="AS152" s="473" t="str">
        <f t="shared" si="37"/>
        <v/>
      </c>
      <c r="AT152" s="473" t="str">
        <f t="shared" si="38"/>
        <v/>
      </c>
      <c r="AU152" s="473" t="str">
        <f t="shared" si="39"/>
        <v/>
      </c>
      <c r="AZ152" s="32" t="s">
        <v>8129</v>
      </c>
      <c r="BA152" s="25" t="s">
        <v>6133</v>
      </c>
      <c r="BB152" s="500"/>
      <c r="BC152" s="271"/>
      <c r="BD152" s="279">
        <v>1</v>
      </c>
      <c r="BE152" s="271"/>
      <c r="BF152" s="271"/>
      <c r="BG152" s="271"/>
      <c r="BH152" s="271"/>
      <c r="BI152" s="271"/>
      <c r="BJ152" s="271"/>
      <c r="BK152" s="271"/>
      <c r="BL152" s="271"/>
    </row>
    <row r="153" spans="18:64" ht="21" customHeight="1" x14ac:dyDescent="0.25">
      <c r="R153" s="34" t="s">
        <v>468</v>
      </c>
      <c r="S153" s="451"/>
      <c r="T153" s="32" t="s">
        <v>316</v>
      </c>
      <c r="V153" s="475">
        <v>3</v>
      </c>
      <c r="W153" s="475" t="str">
        <f>IF($AC$153="","",$W$144)</f>
        <v>N° 23</v>
      </c>
      <c r="X153" s="476" t="str">
        <f>IF($AC$153="","",$X$144)</f>
        <v>CRÈME DE PARMESAN MOUSSE DE TOMATE TAPENADE</v>
      </c>
      <c r="Y153" s="477">
        <f>IF($X$153="","",$Y$144)</f>
        <v>40</v>
      </c>
      <c r="Z153" s="477">
        <f>IF($X$153="","",$Z$144)</f>
        <v>100</v>
      </c>
      <c r="AA153" s="477">
        <f>IF($AC$153="","",ROW($A$153)-ROW($A$144))</f>
        <v>9</v>
      </c>
      <c r="AB153" s="478"/>
      <c r="AC153" s="34" t="s">
        <v>123</v>
      </c>
      <c r="AD153" s="356"/>
      <c r="AE153" s="18">
        <v>500</v>
      </c>
      <c r="AF153" s="16" t="s">
        <v>8</v>
      </c>
      <c r="AG153" s="480">
        <f t="shared" si="28"/>
        <v>500</v>
      </c>
      <c r="AH153" s="481" t="str">
        <f t="shared" si="29"/>
        <v>G</v>
      </c>
      <c r="AI153" s="477" t="str">
        <f>IF($AC$153="","",IFERROR(INDEX($AZ$74:$AZ$119,MATCH($AH$153,$AY$74:$AY$119,0)),"AUTRE"))</f>
        <v>MASSE</v>
      </c>
      <c r="AJ153" s="482">
        <f>IF($AC$153="","",IFERROR(INDEX($BA$74:$BA$119,MATCH($AH$153,$AY$74:$AY$119,0)),1))</f>
        <v>1E-3</v>
      </c>
      <c r="AK153" s="482">
        <f t="shared" si="30"/>
        <v>0.5</v>
      </c>
      <c r="AL153" s="477" t="str">
        <f>IF($AC$153="","",IFERROR(INDEX($BB$74:$BB$119,MATCH($AH$153,$AY$74:$AY$119,0)),$AH$153))</f>
        <v>kg</v>
      </c>
      <c r="AM153" s="483" t="str">
        <f t="shared" si="31"/>
        <v>OK</v>
      </c>
      <c r="AN153" s="484">
        <f t="shared" si="32"/>
        <v>500</v>
      </c>
      <c r="AO153" s="473" t="str">
        <f t="shared" si="33"/>
        <v/>
      </c>
      <c r="AP153" s="473" t="str">
        <f t="shared" si="34"/>
        <v/>
      </c>
      <c r="AQ153" s="473" t="str">
        <f t="shared" si="35"/>
        <v/>
      </c>
      <c r="AR153" s="473" t="str">
        <f t="shared" si="36"/>
        <v/>
      </c>
      <c r="AS153" s="473" t="str">
        <f t="shared" si="37"/>
        <v/>
      </c>
      <c r="AT153" s="473" t="str">
        <f t="shared" si="38"/>
        <v/>
      </c>
      <c r="AU153" s="473" t="str">
        <f t="shared" si="39"/>
        <v/>
      </c>
      <c r="AZ153" s="32" t="s">
        <v>8131</v>
      </c>
      <c r="BA153" s="34" t="s">
        <v>476</v>
      </c>
      <c r="BB153" s="500"/>
      <c r="BC153" s="271"/>
      <c r="BD153" s="279">
        <v>1</v>
      </c>
      <c r="BE153" s="271"/>
      <c r="BF153" s="271"/>
      <c r="BG153" s="271"/>
      <c r="BH153" s="271"/>
      <c r="BI153" s="271"/>
      <c r="BJ153" s="271"/>
      <c r="BK153" s="271"/>
      <c r="BL153" s="271"/>
    </row>
    <row r="154" spans="18:64" ht="21" customHeight="1" x14ac:dyDescent="0.25">
      <c r="R154" s="34" t="s">
        <v>473</v>
      </c>
      <c r="S154" s="451"/>
      <c r="T154" s="32" t="s">
        <v>313</v>
      </c>
      <c r="V154" s="475">
        <v>3</v>
      </c>
      <c r="W154" s="475" t="str">
        <f>IF($AC$154="","",$W$144)</f>
        <v>N° 23</v>
      </c>
      <c r="X154" s="476" t="str">
        <f>IF($AC$154="","",$X$144)</f>
        <v>CRÈME DE PARMESAN MOUSSE DE TOMATE TAPENADE</v>
      </c>
      <c r="Y154" s="477">
        <f>IF($X$154="","",$Y$144)</f>
        <v>40</v>
      </c>
      <c r="Z154" s="477">
        <f>IF($X$154="","",$Z$144)</f>
        <v>100</v>
      </c>
      <c r="AA154" s="477">
        <f>IF($AC$154="","",ROW($A$154)-ROW($A$144))</f>
        <v>10</v>
      </c>
      <c r="AB154" s="478"/>
      <c r="AC154" s="34" t="s">
        <v>48</v>
      </c>
      <c r="AD154" s="356"/>
      <c r="AE154" s="18">
        <v>100</v>
      </c>
      <c r="AF154" s="16" t="s">
        <v>8</v>
      </c>
      <c r="AG154" s="480">
        <f t="shared" si="28"/>
        <v>100</v>
      </c>
      <c r="AH154" s="481" t="str">
        <f t="shared" si="29"/>
        <v>G</v>
      </c>
      <c r="AI154" s="477" t="str">
        <f>IF($AC$154="","",IFERROR(INDEX($AZ$74:$AZ$119,MATCH($AH$154,$AY$74:$AY$119,0)),"AUTRE"))</f>
        <v>MASSE</v>
      </c>
      <c r="AJ154" s="482">
        <f>IF($AC$154="","",IFERROR(INDEX($BA$74:$BA$119,MATCH($AH$154,$AY$74:$AY$119,0)),1))</f>
        <v>1E-3</v>
      </c>
      <c r="AK154" s="482">
        <f t="shared" si="30"/>
        <v>0.1</v>
      </c>
      <c r="AL154" s="477" t="str">
        <f>IF($AC$154="","",IFERROR(INDEX($BB$74:$BB$119,MATCH($AH$154,$AY$74:$AY$119,0)),$AH$154))</f>
        <v>kg</v>
      </c>
      <c r="AM154" s="483" t="str">
        <f t="shared" si="31"/>
        <v>OK</v>
      </c>
      <c r="AN154" s="484">
        <f t="shared" si="32"/>
        <v>100</v>
      </c>
      <c r="AO154" s="473" t="str">
        <f t="shared" si="33"/>
        <v/>
      </c>
      <c r="AP154" s="473" t="str">
        <f t="shared" si="34"/>
        <v/>
      </c>
      <c r="AQ154" s="473" t="str">
        <f t="shared" si="35"/>
        <v/>
      </c>
      <c r="AR154" s="473" t="str">
        <f t="shared" si="36"/>
        <v/>
      </c>
      <c r="AS154" s="473" t="str">
        <f t="shared" si="37"/>
        <v/>
      </c>
      <c r="AT154" s="473" t="str">
        <f t="shared" si="38"/>
        <v/>
      </c>
      <c r="AU154" s="473" t="str">
        <f t="shared" si="39"/>
        <v/>
      </c>
      <c r="AZ154" s="32" t="s">
        <v>309</v>
      </c>
      <c r="BA154" s="34" t="s">
        <v>468</v>
      </c>
      <c r="BB154" s="500"/>
      <c r="BC154" s="271"/>
      <c r="BD154" s="279">
        <v>1</v>
      </c>
      <c r="BE154" s="271"/>
      <c r="BF154" s="271"/>
      <c r="BG154" s="271"/>
      <c r="BH154" s="271"/>
      <c r="BI154" s="271"/>
      <c r="BJ154" s="271"/>
      <c r="BK154" s="271"/>
      <c r="BL154" s="271"/>
    </row>
    <row r="155" spans="18:64" ht="21" customHeight="1" x14ac:dyDescent="0.25">
      <c r="R155" s="34" t="s">
        <v>497</v>
      </c>
      <c r="S155" s="451"/>
      <c r="T155" s="32" t="s">
        <v>307</v>
      </c>
      <c r="V155" s="475">
        <v>3</v>
      </c>
      <c r="W155" s="475" t="str">
        <f>IF($AC$155="","",$W$144)</f>
        <v>N° 23</v>
      </c>
      <c r="X155" s="476" t="str">
        <f>IF($AC$155="","",$X$144)</f>
        <v>CRÈME DE PARMESAN MOUSSE DE TOMATE TAPENADE</v>
      </c>
      <c r="Y155" s="477">
        <f>IF($X$155="","",$Y$144)</f>
        <v>40</v>
      </c>
      <c r="Z155" s="477">
        <f>IF($X$155="","",$Z$144)</f>
        <v>100</v>
      </c>
      <c r="AA155" s="477">
        <f>IF($AC$155="","",ROW($A$155)-ROW($A$144))</f>
        <v>11</v>
      </c>
      <c r="AB155" s="478"/>
      <c r="AC155" s="34" t="s">
        <v>423</v>
      </c>
      <c r="AD155" s="356"/>
      <c r="AE155" s="18">
        <v>2</v>
      </c>
      <c r="AF155" s="23" t="s">
        <v>311</v>
      </c>
      <c r="AG155" s="480">
        <f t="shared" si="28"/>
        <v>2</v>
      </c>
      <c r="AH155" s="481" t="str">
        <f t="shared" si="29"/>
        <v>UNITÉ(S)</v>
      </c>
      <c r="AI155" s="477" t="str">
        <f>IF($AC$155="","",IFERROR(INDEX($AZ$74:$AZ$119,MATCH($AH$155,$AY$74:$AY$119,0)),"AUTRE"))</f>
        <v>AUTRE</v>
      </c>
      <c r="AJ155" s="482">
        <f>IF($AC$155="","",IFERROR(INDEX($BA$74:$BA$119,MATCH($AH$155,$AY$74:$AY$119,0)),1))</f>
        <v>1</v>
      </c>
      <c r="AK155" s="482">
        <f t="shared" si="30"/>
        <v>2</v>
      </c>
      <c r="AL155" s="477" t="str">
        <f>IF($AC$155="","",IFERROR(INDEX($BB$74:$BB$119,MATCH($AH$155,$AY$74:$AY$119,0)),$AH$155))</f>
        <v>unité(s)</v>
      </c>
      <c r="AM155" s="483" t="str">
        <f t="shared" si="31"/>
        <v>OK</v>
      </c>
      <c r="AN155" s="484">
        <f t="shared" si="32"/>
        <v>2</v>
      </c>
      <c r="AO155" s="473" t="str">
        <f t="shared" si="33"/>
        <v/>
      </c>
      <c r="AP155" s="473" t="str">
        <f t="shared" si="34"/>
        <v/>
      </c>
      <c r="AQ155" s="473" t="str">
        <f t="shared" si="35"/>
        <v/>
      </c>
      <c r="AR155" s="473" t="str">
        <f t="shared" si="36"/>
        <v/>
      </c>
      <c r="AS155" s="473" t="str">
        <f t="shared" si="37"/>
        <v/>
      </c>
      <c r="AT155" s="473" t="str">
        <f t="shared" si="38"/>
        <v/>
      </c>
      <c r="AU155" s="473" t="str">
        <f t="shared" si="39"/>
        <v/>
      </c>
      <c r="AZ155" s="32" t="s">
        <v>311</v>
      </c>
      <c r="BA155" s="34" t="s">
        <v>473</v>
      </c>
      <c r="BB155" s="500"/>
      <c r="BC155" s="271"/>
      <c r="BD155" s="279">
        <v>1</v>
      </c>
      <c r="BE155" s="271"/>
      <c r="BF155" s="271"/>
      <c r="BG155" s="271"/>
      <c r="BH155" s="271"/>
      <c r="BI155" s="271"/>
      <c r="BJ155" s="271"/>
      <c r="BK155" s="271"/>
      <c r="BL155" s="271"/>
    </row>
    <row r="156" spans="18:64" ht="21" customHeight="1" x14ac:dyDescent="0.25">
      <c r="R156" s="34" t="s">
        <v>470</v>
      </c>
      <c r="S156" s="451"/>
      <c r="T156" s="32" t="s">
        <v>322</v>
      </c>
      <c r="V156" s="475">
        <v>3</v>
      </c>
      <c r="W156" s="475" t="str">
        <f>IF($AC$156="","",$W$144)</f>
        <v>N° 23</v>
      </c>
      <c r="X156" s="476" t="str">
        <f>IF($AC$156="","",$X$144)</f>
        <v>CRÈME DE PARMESAN MOUSSE DE TOMATE TAPENADE</v>
      </c>
      <c r="Y156" s="477">
        <f>IF($X$156="","",$Y$144)</f>
        <v>40</v>
      </c>
      <c r="Z156" s="477">
        <f>IF($X$156="","",$Z$144)</f>
        <v>100</v>
      </c>
      <c r="AA156" s="477">
        <f>IF($AC$156="","",ROW($A$156)-ROW($A$144))</f>
        <v>12</v>
      </c>
      <c r="AB156" s="478"/>
      <c r="AC156" s="34" t="s">
        <v>42</v>
      </c>
      <c r="AD156" s="356"/>
      <c r="AE156" s="18">
        <v>20</v>
      </c>
      <c r="AF156" s="21" t="s">
        <v>11</v>
      </c>
      <c r="AG156" s="480">
        <f t="shared" si="28"/>
        <v>20</v>
      </c>
      <c r="AH156" s="481" t="str">
        <f t="shared" si="29"/>
        <v>CL</v>
      </c>
      <c r="AI156" s="477" t="str">
        <f>IF($AC$156="","",IFERROR(INDEX($AZ$74:$AZ$119,MATCH($AH$156,$AY$74:$AY$119,0)),"AUTRE"))</f>
        <v>VOLUME</v>
      </c>
      <c r="AJ156" s="482">
        <f>IF($AC$156="","",IFERROR(INDEX($BA$74:$BA$119,MATCH($AH$156,$AY$74:$AY$119,0)),1))</f>
        <v>0.01</v>
      </c>
      <c r="AK156" s="482">
        <f t="shared" si="30"/>
        <v>0.2</v>
      </c>
      <c r="AL156" s="477" t="str">
        <f>IF($AC$156="","",IFERROR(INDEX($BB$74:$BB$119,MATCH($AH$156,$AY$74:$AY$119,0)),$AH$156))</f>
        <v>L</v>
      </c>
      <c r="AM156" s="483" t="str">
        <f t="shared" si="31"/>
        <v>OK</v>
      </c>
      <c r="AN156" s="484">
        <f t="shared" si="32"/>
        <v>20</v>
      </c>
      <c r="AO156" s="473" t="str">
        <f t="shared" si="33"/>
        <v/>
      </c>
      <c r="AP156" s="473" t="str">
        <f t="shared" si="34"/>
        <v/>
      </c>
      <c r="AQ156" s="473" t="str">
        <f t="shared" si="35"/>
        <v/>
      </c>
      <c r="AR156" s="473" t="str">
        <f t="shared" si="36"/>
        <v/>
      </c>
      <c r="AS156" s="473" t="str">
        <f t="shared" si="37"/>
        <v/>
      </c>
      <c r="AT156" s="473" t="str">
        <f t="shared" si="38"/>
        <v/>
      </c>
      <c r="AU156" s="473" t="str">
        <f t="shared" si="39"/>
        <v/>
      </c>
      <c r="AZ156" s="32" t="s">
        <v>8135</v>
      </c>
      <c r="BA156" s="34" t="s">
        <v>497</v>
      </c>
      <c r="BB156" s="500"/>
      <c r="BC156" s="271"/>
      <c r="BD156" s="279">
        <v>1</v>
      </c>
      <c r="BE156" s="271"/>
      <c r="BF156" s="271"/>
      <c r="BG156" s="271"/>
      <c r="BH156" s="271"/>
      <c r="BI156" s="271"/>
      <c r="BJ156" s="271"/>
      <c r="BK156" s="271"/>
      <c r="BL156" s="271"/>
    </row>
    <row r="157" spans="18:64" ht="21" customHeight="1" x14ac:dyDescent="0.25">
      <c r="R157" s="34" t="s">
        <v>477</v>
      </c>
      <c r="S157" s="451"/>
      <c r="T157" s="32" t="s">
        <v>305</v>
      </c>
      <c r="V157" s="475">
        <v>3</v>
      </c>
      <c r="W157" s="475" t="str">
        <f>IF($AC$157="","",$W$144)</f>
        <v>N° 23</v>
      </c>
      <c r="X157" s="476" t="str">
        <f>IF($AC$157="","",$X$144)</f>
        <v>CRÈME DE PARMESAN MOUSSE DE TOMATE TAPENADE</v>
      </c>
      <c r="Y157" s="477">
        <f>IF($X$157="","",$Y$144)</f>
        <v>40</v>
      </c>
      <c r="Z157" s="477">
        <f>IF($X$157="","",$Z$144)</f>
        <v>100</v>
      </c>
      <c r="AA157" s="477">
        <f>IF($AC$157="","",ROW($A$157)-ROW($A$144))</f>
        <v>13</v>
      </c>
      <c r="AB157" s="478"/>
      <c r="AC157" s="34" t="s">
        <v>368</v>
      </c>
      <c r="AD157" s="356"/>
      <c r="AE157" s="18">
        <v>31</v>
      </c>
      <c r="AF157" s="21" t="s">
        <v>11</v>
      </c>
      <c r="AG157" s="480">
        <f t="shared" si="28"/>
        <v>31</v>
      </c>
      <c r="AH157" s="481" t="str">
        <f t="shared" si="29"/>
        <v>CL</v>
      </c>
      <c r="AI157" s="477" t="str">
        <f>IF($AC$157="","",IFERROR(INDEX($AZ$74:$AZ$119,MATCH($AH$157,$AY$74:$AY$119,0)),"AUTRE"))</f>
        <v>VOLUME</v>
      </c>
      <c r="AJ157" s="482">
        <f>IF($AC$157="","",IFERROR(INDEX($BA$74:$BA$119,MATCH($AH$157,$AY$74:$AY$119,0)),1))</f>
        <v>0.01</v>
      </c>
      <c r="AK157" s="482">
        <f t="shared" si="30"/>
        <v>0.31</v>
      </c>
      <c r="AL157" s="477" t="str">
        <f>IF($AC$157="","",IFERROR(INDEX($BB$74:$BB$119,MATCH($AH$157,$AY$74:$AY$119,0)),$AH$157))</f>
        <v>L</v>
      </c>
      <c r="AM157" s="483" t="str">
        <f t="shared" si="31"/>
        <v>OK</v>
      </c>
      <c r="AN157" s="484">
        <f t="shared" si="32"/>
        <v>31</v>
      </c>
      <c r="AO157" s="473" t="str">
        <f t="shared" si="33"/>
        <v/>
      </c>
      <c r="AP157" s="473" t="str">
        <f t="shared" si="34"/>
        <v/>
      </c>
      <c r="AQ157" s="473" t="str">
        <f t="shared" si="35"/>
        <v/>
      </c>
      <c r="AR157" s="473" t="str">
        <f t="shared" si="36"/>
        <v/>
      </c>
      <c r="AS157" s="473" t="str">
        <f t="shared" si="37"/>
        <v/>
      </c>
      <c r="AT157" s="473" t="str">
        <f t="shared" si="38"/>
        <v/>
      </c>
      <c r="AU157" s="473" t="str">
        <f t="shared" si="39"/>
        <v/>
      </c>
      <c r="AZ157" s="32" t="s">
        <v>8137</v>
      </c>
      <c r="BA157" s="34" t="s">
        <v>470</v>
      </c>
      <c r="BB157" s="500"/>
      <c r="BC157" s="271"/>
      <c r="BD157" s="279">
        <v>1</v>
      </c>
      <c r="BE157" s="271"/>
      <c r="BF157" s="271"/>
      <c r="BG157" s="271"/>
      <c r="BH157" s="271"/>
      <c r="BI157" s="271"/>
      <c r="BJ157" s="271"/>
      <c r="BK157" s="271"/>
      <c r="BL157" s="271"/>
    </row>
    <row r="158" spans="18:64" ht="21" customHeight="1" x14ac:dyDescent="0.25">
      <c r="S158" s="451"/>
      <c r="T158" s="32" t="s">
        <v>309</v>
      </c>
      <c r="V158" s="475">
        <v>3</v>
      </c>
      <c r="W158" s="475" t="str">
        <f>IF($AC$158="","",$W$144)</f>
        <v>N° 23</v>
      </c>
      <c r="X158" s="476" t="str">
        <f>IF($AC$158="","",$X$144)</f>
        <v>CRÈME DE PARMESAN MOUSSE DE TOMATE TAPENADE</v>
      </c>
      <c r="Y158" s="477">
        <f>IF($X$158="","",$Y$144)</f>
        <v>40</v>
      </c>
      <c r="Z158" s="477">
        <f>IF($X$158="","",$Z$144)</f>
        <v>100</v>
      </c>
      <c r="AA158" s="477">
        <f>IF($AC$158="","",ROW($A$158)-ROW($A$144))</f>
        <v>14</v>
      </c>
      <c r="AB158" s="478"/>
      <c r="AC158" s="34" t="s">
        <v>43</v>
      </c>
      <c r="AD158" s="356"/>
      <c r="AE158" s="23" t="s">
        <v>33</v>
      </c>
      <c r="AF158" s="19"/>
      <c r="AG158" s="480" t="str">
        <f t="shared" si="28"/>
        <v>QT. SUFFISANTE</v>
      </c>
      <c r="AH158" s="481" t="str">
        <f t="shared" si="29"/>
        <v/>
      </c>
      <c r="AI158" s="477" t="str">
        <f>IF($AC$158="","",IFERROR(INDEX($AZ$74:$AZ$119,MATCH($AH$158,$AY$74:$AY$119,0)),"AUTRE"))</f>
        <v>AUTRE</v>
      </c>
      <c r="AJ158" s="482">
        <f>IF($AC$158="","",IFERROR(INDEX($BA$74:$BA$119,MATCH($AH$158,$AY$74:$AY$119,0)),1))</f>
        <v>1</v>
      </c>
      <c r="AK158" s="482" t="e">
        <f t="shared" si="30"/>
        <v>#VALUE!</v>
      </c>
      <c r="AL158" s="477" t="str">
        <f>IF($AC$158="","",IFERROR(INDEX($BB$74:$BB$119,MATCH($AH$158,$AY$74:$AY$119,0)),$AH$158))</f>
        <v/>
      </c>
      <c r="AM158" s="483" t="str">
        <f t="shared" si="31"/>
        <v>QUANTITÉ À CONTRÔLER</v>
      </c>
      <c r="AN158" s="484" t="str">
        <f t="shared" si="32"/>
        <v>QT. SUFFISANTE</v>
      </c>
      <c r="AO158" s="473" t="str">
        <f t="shared" si="33"/>
        <v/>
      </c>
      <c r="AP158" s="473" t="str">
        <f t="shared" si="34"/>
        <v/>
      </c>
      <c r="AQ158" s="473" t="str">
        <f t="shared" si="35"/>
        <v/>
      </c>
      <c r="AR158" s="473" t="str">
        <f t="shared" si="36"/>
        <v/>
      </c>
      <c r="AS158" s="473" t="str">
        <f t="shared" si="37"/>
        <v/>
      </c>
      <c r="AT158" s="473" t="str">
        <f t="shared" si="38"/>
        <v/>
      </c>
      <c r="AU158" s="473" t="str">
        <f t="shared" si="39"/>
        <v/>
      </c>
      <c r="AZ158" s="32" t="s">
        <v>8139</v>
      </c>
      <c r="BA158" s="34" t="s">
        <v>477</v>
      </c>
      <c r="BB158" s="500"/>
      <c r="BC158" s="271"/>
      <c r="BD158" s="279">
        <v>1</v>
      </c>
      <c r="BE158" s="271"/>
      <c r="BF158" s="271"/>
      <c r="BG158" s="271"/>
      <c r="BH158" s="271"/>
      <c r="BI158" s="271"/>
      <c r="BJ158" s="271"/>
      <c r="BK158" s="271"/>
      <c r="BL158" s="271"/>
    </row>
    <row r="159" spans="18:64" ht="21" customHeight="1" x14ac:dyDescent="0.25">
      <c r="R159" s="25" t="s">
        <v>6134</v>
      </c>
      <c r="S159" s="451"/>
      <c r="T159" s="32" t="s">
        <v>311</v>
      </c>
      <c r="V159" s="475">
        <v>3</v>
      </c>
      <c r="W159" s="475" t="str">
        <f>IF($AC$159="","",$W$144)</f>
        <v>N° 23</v>
      </c>
      <c r="X159" s="476" t="str">
        <f>IF($AC$159="","",$X$144)</f>
        <v>CRÈME DE PARMESAN MOUSSE DE TOMATE TAPENADE</v>
      </c>
      <c r="Y159" s="477">
        <f>IF($X$159="","",$Y$144)</f>
        <v>40</v>
      </c>
      <c r="Z159" s="477">
        <f>IF($X$159="","",$Z$144)</f>
        <v>100</v>
      </c>
      <c r="AA159" s="477">
        <f>IF($AC$159="","",ROW($A$159)-ROW($A$144))</f>
        <v>15</v>
      </c>
      <c r="AB159" s="478"/>
      <c r="AC159" s="34" t="s">
        <v>44</v>
      </c>
      <c r="AD159" s="356"/>
      <c r="AE159" s="23" t="s">
        <v>33</v>
      </c>
      <c r="AF159" s="19"/>
      <c r="AG159" s="480" t="str">
        <f t="shared" si="28"/>
        <v>QT. SUFFISANTE</v>
      </c>
      <c r="AH159" s="481" t="str">
        <f t="shared" si="29"/>
        <v/>
      </c>
      <c r="AI159" s="477" t="str">
        <f>IF($AC$159="","",IFERROR(INDEX($AZ$74:$AZ$119,MATCH($AH$159,$AY$74:$AY$119,0)),"AUTRE"))</f>
        <v>AUTRE</v>
      </c>
      <c r="AJ159" s="482">
        <f>IF($AC$159="","",IFERROR(INDEX($BA$74:$BA$119,MATCH($AH$159,$AY$74:$AY$119,0)),1))</f>
        <v>1</v>
      </c>
      <c r="AK159" s="482" t="e">
        <f t="shared" si="30"/>
        <v>#VALUE!</v>
      </c>
      <c r="AL159" s="477" t="str">
        <f>IF($AC$159="","",IFERROR(INDEX($BB$74:$BB$119,MATCH($AH$159,$AY$74:$AY$119,0)),$AH$159))</f>
        <v/>
      </c>
      <c r="AM159" s="483" t="str">
        <f t="shared" si="31"/>
        <v>QUANTITÉ À CONTRÔLER</v>
      </c>
      <c r="AN159" s="484" t="str">
        <f t="shared" si="32"/>
        <v>QT. SUFFISANTE</v>
      </c>
      <c r="AO159" s="473" t="str">
        <f t="shared" si="33"/>
        <v/>
      </c>
      <c r="AP159" s="473" t="str">
        <f t="shared" si="34"/>
        <v/>
      </c>
      <c r="AQ159" s="473" t="str">
        <f t="shared" si="35"/>
        <v/>
      </c>
      <c r="AR159" s="473" t="str">
        <f t="shared" si="36"/>
        <v/>
      </c>
      <c r="AS159" s="473" t="str">
        <f t="shared" si="37"/>
        <v/>
      </c>
      <c r="AT159" s="473" t="str">
        <f t="shared" si="38"/>
        <v/>
      </c>
      <c r="AU159" s="473" t="str">
        <f t="shared" si="39"/>
        <v/>
      </c>
      <c r="AZ159" s="32" t="s">
        <v>8141</v>
      </c>
      <c r="BB159" s="500"/>
      <c r="BC159" s="271"/>
      <c r="BD159" s="279">
        <v>1</v>
      </c>
      <c r="BE159" s="271"/>
      <c r="BF159" s="271"/>
      <c r="BG159" s="271"/>
      <c r="BH159" s="271"/>
      <c r="BI159" s="271"/>
      <c r="BJ159" s="271"/>
      <c r="BK159" s="271"/>
      <c r="BL159" s="271"/>
    </row>
    <row r="160" spans="18:64" ht="21" customHeight="1" x14ac:dyDescent="0.25">
      <c r="R160" s="34" t="s">
        <v>481</v>
      </c>
      <c r="S160" s="451"/>
      <c r="T160" s="32" t="s">
        <v>8135</v>
      </c>
      <c r="V160" s="475">
        <v>3</v>
      </c>
      <c r="W160" s="475" t="str">
        <f>IF($AC$160="","",$W$144)</f>
        <v/>
      </c>
      <c r="X160" s="476" t="str">
        <f>IF($AC$160="","",$X$144)</f>
        <v/>
      </c>
      <c r="Y160" s="477" t="str">
        <f>IF($X$160="","",$Y$144)</f>
        <v/>
      </c>
      <c r="Z160" s="477" t="str">
        <f>IF($X$160="","",$Z$144)</f>
        <v/>
      </c>
      <c r="AA160" s="477" t="str">
        <f>IF($AC$160="","",ROW($A$160)-ROW($A$144))</f>
        <v/>
      </c>
      <c r="AB160" s="478"/>
      <c r="AC160" s="34" t="s">
        <v>345</v>
      </c>
      <c r="AD160" s="356"/>
      <c r="AE160" s="18"/>
      <c r="AF160" s="19"/>
      <c r="AG160" s="480" t="str">
        <f t="shared" si="28"/>
        <v/>
      </c>
      <c r="AH160" s="481" t="str">
        <f t="shared" si="29"/>
        <v/>
      </c>
      <c r="AI160" s="477" t="str">
        <f>IF($AC$160="","",IFERROR(INDEX($AZ$74:$AZ$119,MATCH($AH$160,$AY$74:$AY$119,0)),"AUTRE"))</f>
        <v/>
      </c>
      <c r="AJ160" s="482" t="str">
        <f>IF($AC$160="","",IFERROR(INDEX($BA$74:$BA$119,MATCH($AH$160,$AY$74:$AY$119,0)),1))</f>
        <v/>
      </c>
      <c r="AK160" s="482" t="str">
        <f t="shared" si="30"/>
        <v/>
      </c>
      <c r="AL160" s="477" t="str">
        <f>IF($AC$160="","",IFERROR(INDEX($BB$74:$BB$119,MATCH($AH$160,$AY$74:$AY$119,0)),$AH$160))</f>
        <v/>
      </c>
      <c r="AM160" s="483" t="str">
        <f t="shared" si="31"/>
        <v/>
      </c>
      <c r="AN160" s="484" t="str">
        <f t="shared" si="32"/>
        <v/>
      </c>
      <c r="AO160" s="473" t="str">
        <f t="shared" si="33"/>
        <v/>
      </c>
      <c r="AP160" s="473" t="str">
        <f t="shared" si="34"/>
        <v/>
      </c>
      <c r="AQ160" s="473" t="str">
        <f t="shared" si="35"/>
        <v/>
      </c>
      <c r="AR160" s="473" t="str">
        <f t="shared" si="36"/>
        <v/>
      </c>
      <c r="AS160" s="473" t="str">
        <f t="shared" si="37"/>
        <v/>
      </c>
      <c r="AT160" s="473" t="str">
        <f t="shared" si="38"/>
        <v/>
      </c>
      <c r="AU160" s="473" t="str">
        <f t="shared" si="39"/>
        <v/>
      </c>
      <c r="AZ160" s="32" t="s">
        <v>8143</v>
      </c>
      <c r="BA160" s="25" t="s">
        <v>6134</v>
      </c>
      <c r="BB160" s="500"/>
      <c r="BC160" s="271"/>
      <c r="BD160" s="279">
        <v>1</v>
      </c>
      <c r="BE160" s="271"/>
      <c r="BF160" s="271"/>
      <c r="BG160" s="271"/>
      <c r="BH160" s="271"/>
      <c r="BI160" s="271"/>
      <c r="BJ160" s="271"/>
      <c r="BK160" s="271"/>
      <c r="BL160" s="271"/>
    </row>
    <row r="161" spans="18:64" ht="21" customHeight="1" x14ac:dyDescent="0.25">
      <c r="R161" s="34" t="s">
        <v>475</v>
      </c>
      <c r="S161" s="451"/>
      <c r="T161" s="497" t="s">
        <v>462</v>
      </c>
      <c r="V161" s="475">
        <v>3</v>
      </c>
      <c r="W161" s="475" t="str">
        <f>IF($AC$161="","",$W$144)</f>
        <v>N° 23</v>
      </c>
      <c r="X161" s="476" t="str">
        <f>IF($AC$161="","",$X$144)</f>
        <v>CRÈME DE PARMESAN MOUSSE DE TOMATE TAPENADE</v>
      </c>
      <c r="Y161" s="477">
        <f>IF($X$161="","",$Y$144)</f>
        <v>40</v>
      </c>
      <c r="Z161" s="477">
        <f>IF($X$161="","",$Z$144)</f>
        <v>100</v>
      </c>
      <c r="AA161" s="477">
        <f>IF($AC$161="","",ROW($A$161)-ROW($A$144))</f>
        <v>17</v>
      </c>
      <c r="AB161" s="478"/>
      <c r="AC161" s="34" t="s">
        <v>419</v>
      </c>
      <c r="AD161" s="356"/>
      <c r="AE161" s="18">
        <v>5</v>
      </c>
      <c r="AF161" s="23" t="s">
        <v>311</v>
      </c>
      <c r="AG161" s="480">
        <f t="shared" si="28"/>
        <v>5</v>
      </c>
      <c r="AH161" s="481" t="str">
        <f t="shared" si="29"/>
        <v>UNITÉ(S)</v>
      </c>
      <c r="AI161" s="477" t="str">
        <f>IF($AC$161="","",IFERROR(INDEX($AZ$74:$AZ$119,MATCH($AH$161,$AY$74:$AY$119,0)),"AUTRE"))</f>
        <v>AUTRE</v>
      </c>
      <c r="AJ161" s="482">
        <f>IF($AC$161="","",IFERROR(INDEX($BA$74:$BA$119,MATCH($AH$161,$AY$74:$AY$119,0)),1))</f>
        <v>1</v>
      </c>
      <c r="AK161" s="482">
        <f t="shared" si="30"/>
        <v>5</v>
      </c>
      <c r="AL161" s="477" t="str">
        <f>IF($AC$161="","",IFERROR(INDEX($BB$74:$BB$119,MATCH($AH$161,$AY$74:$AY$119,0)),$AH$161))</f>
        <v>unité(s)</v>
      </c>
      <c r="AM161" s="483" t="str">
        <f t="shared" si="31"/>
        <v>OK</v>
      </c>
      <c r="AN161" s="484">
        <f t="shared" si="32"/>
        <v>5</v>
      </c>
      <c r="AO161" s="473" t="str">
        <f t="shared" si="33"/>
        <v/>
      </c>
      <c r="AP161" s="473" t="str">
        <f t="shared" si="34"/>
        <v/>
      </c>
      <c r="AQ161" s="473" t="str">
        <f t="shared" si="35"/>
        <v/>
      </c>
      <c r="AR161" s="473" t="str">
        <f t="shared" si="36"/>
        <v/>
      </c>
      <c r="AS161" s="473" t="str">
        <f t="shared" si="37"/>
        <v/>
      </c>
      <c r="AT161" s="473" t="str">
        <f t="shared" si="38"/>
        <v/>
      </c>
      <c r="AU161" s="473" t="str">
        <f t="shared" si="39"/>
        <v/>
      </c>
      <c r="AZ161" s="497" t="s">
        <v>8145</v>
      </c>
      <c r="BA161" s="34" t="s">
        <v>481</v>
      </c>
      <c r="BB161" s="500"/>
      <c r="BC161" s="271"/>
      <c r="BD161" s="279">
        <v>1</v>
      </c>
      <c r="BE161" s="271"/>
      <c r="BF161" s="271"/>
      <c r="BG161" s="271"/>
      <c r="BH161" s="271"/>
      <c r="BI161" s="271"/>
      <c r="BJ161" s="271"/>
      <c r="BK161" s="271"/>
      <c r="BL161" s="271"/>
    </row>
    <row r="162" spans="18:64" ht="21" customHeight="1" x14ac:dyDescent="0.25">
      <c r="R162" s="34" t="s">
        <v>457</v>
      </c>
      <c r="S162" s="451"/>
      <c r="T162" s="497" t="s">
        <v>463</v>
      </c>
      <c r="V162" s="475">
        <v>3</v>
      </c>
      <c r="W162" s="475" t="str">
        <f>IF($AC$162="","",$W$144)</f>
        <v>N° 23</v>
      </c>
      <c r="X162" s="476" t="str">
        <f>IF($AC$162="","",$X$144)</f>
        <v>CRÈME DE PARMESAN MOUSSE DE TOMATE TAPENADE</v>
      </c>
      <c r="Y162" s="477">
        <f>IF($X$162="","",$Y$144)</f>
        <v>40</v>
      </c>
      <c r="Z162" s="477">
        <f>IF($X$162="","",$Z$144)</f>
        <v>100</v>
      </c>
      <c r="AA162" s="477">
        <f>IF($AC$162="","",ROW($A$162)-ROW($A$144))</f>
        <v>18</v>
      </c>
      <c r="AB162" s="478"/>
      <c r="AC162" s="34" t="s">
        <v>424</v>
      </c>
      <c r="AD162" s="356"/>
      <c r="AE162" s="23" t="s">
        <v>33</v>
      </c>
      <c r="AF162" s="19"/>
      <c r="AG162" s="480" t="str">
        <f t="shared" si="28"/>
        <v>QT. SUFFISANTE</v>
      </c>
      <c r="AH162" s="481" t="str">
        <f t="shared" si="29"/>
        <v/>
      </c>
      <c r="AI162" s="477" t="str">
        <f>IF($AC$162="","",IFERROR(INDEX($AZ$74:$AZ$119,MATCH($AH$162,$AY$74:$AY$119,0)),"AUTRE"))</f>
        <v>AUTRE</v>
      </c>
      <c r="AJ162" s="482">
        <f>IF($AC$162="","",IFERROR(INDEX($BA$74:$BA$119,MATCH($AH$162,$AY$74:$AY$119,0)),1))</f>
        <v>1</v>
      </c>
      <c r="AK162" s="482" t="e">
        <f t="shared" si="30"/>
        <v>#VALUE!</v>
      </c>
      <c r="AL162" s="477" t="str">
        <f>IF($AC$162="","",IFERROR(INDEX($BB$74:$BB$119,MATCH($AH$162,$AY$74:$AY$119,0)),$AH$162))</f>
        <v/>
      </c>
      <c r="AM162" s="483" t="str">
        <f t="shared" si="31"/>
        <v>QUANTITÉ À CONTRÔLER</v>
      </c>
      <c r="AN162" s="484" t="str">
        <f t="shared" si="32"/>
        <v>QT. SUFFISANTE</v>
      </c>
      <c r="AO162" s="473" t="str">
        <f t="shared" si="33"/>
        <v/>
      </c>
      <c r="AP162" s="473" t="str">
        <f t="shared" si="34"/>
        <v/>
      </c>
      <c r="AQ162" s="473" t="str">
        <f t="shared" si="35"/>
        <v/>
      </c>
      <c r="AR162" s="473" t="str">
        <f t="shared" si="36"/>
        <v/>
      </c>
      <c r="AS162" s="473" t="str">
        <f t="shared" si="37"/>
        <v/>
      </c>
      <c r="AT162" s="473" t="str">
        <f t="shared" si="38"/>
        <v/>
      </c>
      <c r="AU162" s="473" t="str">
        <f t="shared" si="39"/>
        <v/>
      </c>
      <c r="AZ162" s="497" t="s">
        <v>462</v>
      </c>
      <c r="BA162" s="34" t="s">
        <v>475</v>
      </c>
      <c r="BB162" s="500"/>
      <c r="BC162" s="271"/>
      <c r="BD162" s="279">
        <v>1</v>
      </c>
      <c r="BE162" s="271"/>
      <c r="BF162" s="271"/>
      <c r="BG162" s="271"/>
      <c r="BH162" s="271"/>
      <c r="BI162" s="271"/>
      <c r="BJ162" s="271"/>
      <c r="BK162" s="271"/>
      <c r="BL162" s="271"/>
    </row>
    <row r="163" spans="18:64" ht="21" customHeight="1" x14ac:dyDescent="0.25">
      <c r="R163" s="34" t="s">
        <v>482</v>
      </c>
      <c r="S163" s="451"/>
      <c r="T163" s="497" t="s">
        <v>8147</v>
      </c>
      <c r="V163" s="475">
        <v>3</v>
      </c>
      <c r="W163" s="475" t="str">
        <f>IF($AC$163="","",$W$144)</f>
        <v>N° 23</v>
      </c>
      <c r="X163" s="476" t="str">
        <f>IF($AC$163="","",$X$144)</f>
        <v>CRÈME DE PARMESAN MOUSSE DE TOMATE TAPENADE</v>
      </c>
      <c r="Y163" s="477">
        <f>IF($X$163="","",$Y$144)</f>
        <v>40</v>
      </c>
      <c r="Z163" s="477">
        <f>IF($X$163="","",$Z$144)</f>
        <v>100</v>
      </c>
      <c r="AA163" s="477">
        <f>IF($AC$163="","",ROW($A$163)-ROW($A$144))</f>
        <v>19</v>
      </c>
      <c r="AB163" s="478"/>
      <c r="AC163" s="34" t="s">
        <v>181</v>
      </c>
      <c r="AD163" s="356"/>
      <c r="AE163" s="23" t="s">
        <v>33</v>
      </c>
      <c r="AF163" s="19"/>
      <c r="AG163" s="480" t="str">
        <f t="shared" si="28"/>
        <v>QT. SUFFISANTE</v>
      </c>
      <c r="AH163" s="481" t="str">
        <f t="shared" si="29"/>
        <v/>
      </c>
      <c r="AI163" s="477" t="str">
        <f>IF($AC$163="","",IFERROR(INDEX($AZ$74:$AZ$119,MATCH($AH$163,$AY$74:$AY$119,0)),"AUTRE"))</f>
        <v>AUTRE</v>
      </c>
      <c r="AJ163" s="482">
        <f>IF($AC$163="","",IFERROR(INDEX($BA$74:$BA$119,MATCH($AH$163,$AY$74:$AY$119,0)),1))</f>
        <v>1</v>
      </c>
      <c r="AK163" s="482" t="e">
        <f t="shared" si="30"/>
        <v>#VALUE!</v>
      </c>
      <c r="AL163" s="477" t="str">
        <f>IF($AC$163="","",IFERROR(INDEX($BB$74:$BB$119,MATCH($AH$163,$AY$74:$AY$119,0)),$AH$163))</f>
        <v/>
      </c>
      <c r="AM163" s="483" t="str">
        <f t="shared" si="31"/>
        <v>QUANTITÉ À CONTRÔLER</v>
      </c>
      <c r="AN163" s="484" t="str">
        <f t="shared" si="32"/>
        <v>QT. SUFFISANTE</v>
      </c>
      <c r="AO163" s="473" t="str">
        <f t="shared" si="33"/>
        <v/>
      </c>
      <c r="AP163" s="473" t="str">
        <f t="shared" si="34"/>
        <v/>
      </c>
      <c r="AQ163" s="473" t="str">
        <f t="shared" si="35"/>
        <v/>
      </c>
      <c r="AR163" s="473" t="str">
        <f t="shared" si="36"/>
        <v/>
      </c>
      <c r="AS163" s="473" t="str">
        <f t="shared" si="37"/>
        <v/>
      </c>
      <c r="AT163" s="473" t="str">
        <f t="shared" si="38"/>
        <v/>
      </c>
      <c r="AU163" s="473" t="str">
        <f t="shared" si="39"/>
        <v/>
      </c>
      <c r="AZ163" s="497" t="s">
        <v>463</v>
      </c>
      <c r="BA163" s="34" t="s">
        <v>457</v>
      </c>
      <c r="BB163" s="500"/>
      <c r="BC163" s="271"/>
      <c r="BD163" s="279">
        <v>1</v>
      </c>
      <c r="BE163" s="271"/>
      <c r="BF163" s="271"/>
      <c r="BG163" s="271"/>
      <c r="BH163" s="271"/>
      <c r="BI163" s="271"/>
      <c r="BJ163" s="271"/>
      <c r="BK163" s="271"/>
      <c r="BL163" s="271"/>
    </row>
    <row r="164" spans="18:64" ht="21" customHeight="1" x14ac:dyDescent="0.25">
      <c r="R164" s="34" t="s">
        <v>496</v>
      </c>
      <c r="S164" s="451"/>
      <c r="T164" s="497" t="s">
        <v>465</v>
      </c>
      <c r="V164" s="475">
        <v>3</v>
      </c>
      <c r="W164" s="475" t="str">
        <f>IF($AC$164="","",$W$144)</f>
        <v/>
      </c>
      <c r="X164" s="476" t="str">
        <f>IF($AC$164="","",$X$144)</f>
        <v/>
      </c>
      <c r="Y164" s="477" t="str">
        <f>IF($X$164="","",$Y$144)</f>
        <v/>
      </c>
      <c r="Z164" s="477" t="str">
        <f>IF($X$164="","",$Z$144)</f>
        <v/>
      </c>
      <c r="AA164" s="477" t="str">
        <f>IF($AC$164="","",ROW($A$164)-ROW($A$144))</f>
        <v/>
      </c>
      <c r="AB164" s="478"/>
      <c r="AC164" s="34"/>
      <c r="AD164" s="356"/>
      <c r="AE164" s="18"/>
      <c r="AF164" s="19"/>
      <c r="AG164" s="480" t="str">
        <f t="shared" si="28"/>
        <v/>
      </c>
      <c r="AH164" s="481" t="str">
        <f t="shared" si="29"/>
        <v/>
      </c>
      <c r="AI164" s="477" t="str">
        <f>IF($AC$164="","",IFERROR(INDEX($AZ$74:$AZ$119,MATCH($AH$164,$AY$74:$AY$119,0)),"AUTRE"))</f>
        <v/>
      </c>
      <c r="AJ164" s="482" t="str">
        <f>IF($AC$164="","",IFERROR(INDEX($BA$74:$BA$119,MATCH($AH$164,$AY$74:$AY$119,0)),1))</f>
        <v/>
      </c>
      <c r="AK164" s="482" t="str">
        <f t="shared" si="30"/>
        <v/>
      </c>
      <c r="AL164" s="477" t="str">
        <f>IF($AC$164="","",IFERROR(INDEX($BB$74:$BB$119,MATCH($AH$164,$AY$74:$AY$119,0)),$AH$164))</f>
        <v/>
      </c>
      <c r="AM164" s="483" t="str">
        <f t="shared" si="31"/>
        <v/>
      </c>
      <c r="AN164" s="484" t="str">
        <f t="shared" si="32"/>
        <v/>
      </c>
      <c r="AO164" s="473" t="str">
        <f t="shared" si="33"/>
        <v/>
      </c>
      <c r="AP164" s="473" t="str">
        <f t="shared" si="34"/>
        <v/>
      </c>
      <c r="AQ164" s="473" t="str">
        <f t="shared" si="35"/>
        <v/>
      </c>
      <c r="AR164" s="473" t="str">
        <f t="shared" si="36"/>
        <v/>
      </c>
      <c r="AS164" s="473" t="str">
        <f t="shared" si="37"/>
        <v/>
      </c>
      <c r="AT164" s="473" t="str">
        <f t="shared" si="38"/>
        <v/>
      </c>
      <c r="AU164" s="473" t="str">
        <f t="shared" si="39"/>
        <v/>
      </c>
      <c r="AZ164" s="497" t="s">
        <v>8147</v>
      </c>
      <c r="BA164" s="34" t="s">
        <v>482</v>
      </c>
      <c r="BB164" s="500"/>
      <c r="BC164" s="271"/>
      <c r="BD164" s="279">
        <v>1</v>
      </c>
      <c r="BE164" s="271"/>
      <c r="BF164" s="271"/>
      <c r="BG164" s="271"/>
      <c r="BH164" s="271"/>
      <c r="BI164" s="271"/>
      <c r="BJ164" s="271"/>
      <c r="BK164" s="271"/>
      <c r="BL164" s="271"/>
    </row>
    <row r="165" spans="18:64" ht="21" customHeight="1" x14ac:dyDescent="0.25">
      <c r="R165" s="34" t="s">
        <v>483</v>
      </c>
      <c r="S165" s="451"/>
      <c r="T165" s="497" t="s">
        <v>466</v>
      </c>
      <c r="V165" s="475">
        <v>3</v>
      </c>
      <c r="W165" s="475" t="str">
        <f>IF($AC$165="","",$W$144)</f>
        <v/>
      </c>
      <c r="X165" s="476" t="str">
        <f>IF($AC$165="","",$X$144)</f>
        <v/>
      </c>
      <c r="Y165" s="477" t="str">
        <f>IF($X$165="","",$Y$144)</f>
        <v/>
      </c>
      <c r="Z165" s="477" t="str">
        <f>IF($X$165="","",$Z$144)</f>
        <v/>
      </c>
      <c r="AA165" s="477" t="str">
        <f>IF($AC$165="","",ROW($A$165)-ROW($A$144))</f>
        <v/>
      </c>
      <c r="AB165" s="478"/>
      <c r="AC165" s="34"/>
      <c r="AD165" s="356"/>
      <c r="AE165" s="18"/>
      <c r="AF165" s="19"/>
      <c r="AG165" s="480" t="str">
        <f t="shared" si="28"/>
        <v/>
      </c>
      <c r="AH165" s="481" t="str">
        <f t="shared" si="29"/>
        <v/>
      </c>
      <c r="AI165" s="477" t="str">
        <f>IF($AC$165="","",IFERROR(INDEX($AZ$74:$AZ$119,MATCH($AH$165,$AY$74:$AY$119,0)),"AUTRE"))</f>
        <v/>
      </c>
      <c r="AJ165" s="482" t="str">
        <f>IF($AC$165="","",IFERROR(INDEX($BA$74:$BA$119,MATCH($AH$165,$AY$74:$AY$119,0)),1))</f>
        <v/>
      </c>
      <c r="AK165" s="482" t="str">
        <f t="shared" si="30"/>
        <v/>
      </c>
      <c r="AL165" s="477" t="str">
        <f>IF($AC$165="","",IFERROR(INDEX($BB$74:$BB$119,MATCH($AH$165,$AY$74:$AY$119,0)),$AH$165))</f>
        <v/>
      </c>
      <c r="AM165" s="483" t="str">
        <f t="shared" si="31"/>
        <v/>
      </c>
      <c r="AN165" s="484" t="str">
        <f t="shared" si="32"/>
        <v/>
      </c>
      <c r="AO165" s="473" t="str">
        <f t="shared" si="33"/>
        <v/>
      </c>
      <c r="AP165" s="473" t="str">
        <f t="shared" si="34"/>
        <v/>
      </c>
      <c r="AQ165" s="473" t="str">
        <f t="shared" si="35"/>
        <v/>
      </c>
      <c r="AR165" s="473" t="str">
        <f t="shared" si="36"/>
        <v/>
      </c>
      <c r="AS165" s="473" t="str">
        <f t="shared" si="37"/>
        <v/>
      </c>
      <c r="AT165" s="473" t="str">
        <f t="shared" si="38"/>
        <v/>
      </c>
      <c r="AU165" s="473" t="str">
        <f t="shared" si="39"/>
        <v/>
      </c>
      <c r="AZ165" s="497" t="s">
        <v>465</v>
      </c>
      <c r="BA165" s="34" t="s">
        <v>496</v>
      </c>
      <c r="BB165" s="500"/>
      <c r="BC165" s="271"/>
      <c r="BD165" s="279">
        <v>1</v>
      </c>
      <c r="BE165" s="271"/>
      <c r="BF165" s="271"/>
      <c r="BG165" s="271"/>
      <c r="BH165" s="271"/>
      <c r="BI165" s="271"/>
      <c r="BJ165" s="271"/>
      <c r="BK165" s="271"/>
      <c r="BL165" s="271"/>
    </row>
    <row r="166" spans="18:64" ht="21" customHeight="1" x14ac:dyDescent="0.25">
      <c r="R166" s="34" t="s">
        <v>493</v>
      </c>
      <c r="S166" s="451"/>
      <c r="T166" s="440" t="s">
        <v>8110</v>
      </c>
      <c r="V166" s="475">
        <v>3</v>
      </c>
      <c r="W166" s="475" t="str">
        <f>IF($AC$166="","",$W$144)</f>
        <v/>
      </c>
      <c r="X166" s="476" t="str">
        <f>IF($AC$166="","",$X$144)</f>
        <v/>
      </c>
      <c r="Y166" s="477" t="str">
        <f>IF($X$166="","",$Y$144)</f>
        <v/>
      </c>
      <c r="Z166" s="477" t="str">
        <f>IF($X$166="","",$Z$144)</f>
        <v/>
      </c>
      <c r="AA166" s="477" t="str">
        <f>IF($AC$166="","",ROW($A$166)-ROW($A$144))</f>
        <v/>
      </c>
      <c r="AB166" s="478"/>
      <c r="AC166" s="34"/>
      <c r="AD166" s="356"/>
      <c r="AE166" s="18"/>
      <c r="AF166" s="19"/>
      <c r="AG166" s="480" t="str">
        <f t="shared" si="28"/>
        <v/>
      </c>
      <c r="AH166" s="481" t="str">
        <f t="shared" si="29"/>
        <v/>
      </c>
      <c r="AI166" s="477" t="str">
        <f>IF($AC$166="","",IFERROR(INDEX($AZ$74:$AZ$119,MATCH($AH$166,$AY$74:$AY$119,0)),"AUTRE"))</f>
        <v/>
      </c>
      <c r="AJ166" s="482" t="str">
        <f>IF($AC$166="","",IFERROR(INDEX($BA$74:$BA$119,MATCH($AH$166,$AY$74:$AY$119,0)),1))</f>
        <v/>
      </c>
      <c r="AK166" s="482" t="str">
        <f t="shared" si="30"/>
        <v/>
      </c>
      <c r="AL166" s="477" t="str">
        <f>IF($AC$166="","",IFERROR(INDEX($BB$74:$BB$119,MATCH($AH$166,$AY$74:$AY$119,0)),$AH$166))</f>
        <v/>
      </c>
      <c r="AM166" s="483" t="str">
        <f t="shared" si="31"/>
        <v/>
      </c>
      <c r="AN166" s="484" t="str">
        <f t="shared" si="32"/>
        <v/>
      </c>
      <c r="AO166" s="473" t="str">
        <f t="shared" si="33"/>
        <v/>
      </c>
      <c r="AP166" s="473" t="str">
        <f t="shared" si="34"/>
        <v/>
      </c>
      <c r="AQ166" s="473" t="str">
        <f t="shared" si="35"/>
        <v/>
      </c>
      <c r="AR166" s="473" t="str">
        <f t="shared" si="36"/>
        <v/>
      </c>
      <c r="AS166" s="473" t="str">
        <f t="shared" si="37"/>
        <v/>
      </c>
      <c r="AT166" s="473" t="str">
        <f t="shared" si="38"/>
        <v/>
      </c>
      <c r="AU166" s="473" t="str">
        <f t="shared" si="39"/>
        <v/>
      </c>
      <c r="AZ166" s="497" t="s">
        <v>466</v>
      </c>
      <c r="BA166" s="34" t="s">
        <v>483</v>
      </c>
      <c r="BB166" s="500"/>
      <c r="BC166" s="271"/>
      <c r="BD166" s="279">
        <v>1</v>
      </c>
      <c r="BE166" s="271"/>
      <c r="BF166" s="271"/>
      <c r="BG166" s="271"/>
      <c r="BH166" s="271"/>
      <c r="BI166" s="271"/>
      <c r="BJ166" s="271"/>
      <c r="BK166" s="271"/>
      <c r="BL166" s="271"/>
    </row>
    <row r="167" spans="18:64" ht="21" customHeight="1" x14ac:dyDescent="0.25">
      <c r="R167" s="34" t="s">
        <v>494</v>
      </c>
      <c r="S167" s="451"/>
      <c r="T167" s="452" t="s">
        <v>8113</v>
      </c>
      <c r="V167" s="475">
        <v>3</v>
      </c>
      <c r="W167" s="475" t="str">
        <f>IF($AC$167="","",$W$144)</f>
        <v/>
      </c>
      <c r="X167" s="476" t="str">
        <f>IF($AC$167="","",$X$144)</f>
        <v/>
      </c>
      <c r="Y167" s="477" t="str">
        <f>IF($X$167="","",$Y$144)</f>
        <v/>
      </c>
      <c r="Z167" s="477" t="str">
        <f>IF($X$167="","",$Z$144)</f>
        <v/>
      </c>
      <c r="AA167" s="477" t="str">
        <f>IF($AC$167="","",ROW($A$167)-ROW($A$144))</f>
        <v/>
      </c>
      <c r="AB167" s="478"/>
      <c r="AC167" s="34"/>
      <c r="AD167" s="356"/>
      <c r="AE167" s="18"/>
      <c r="AF167" s="19"/>
      <c r="AG167" s="480" t="str">
        <f t="shared" si="28"/>
        <v/>
      </c>
      <c r="AH167" s="481" t="str">
        <f t="shared" si="29"/>
        <v/>
      </c>
      <c r="AI167" s="477" t="str">
        <f>IF($AC$167="","",IFERROR(INDEX($AZ$74:$AZ$119,MATCH($AH$167,$AY$74:$AY$119,0)),"AUTRE"))</f>
        <v/>
      </c>
      <c r="AJ167" s="482" t="str">
        <f>IF($AC$167="","",IFERROR(INDEX($BA$74:$BA$119,MATCH($AH$167,$AY$74:$AY$119,0)),1))</f>
        <v/>
      </c>
      <c r="AK167" s="482" t="str">
        <f t="shared" si="30"/>
        <v/>
      </c>
      <c r="AL167" s="477" t="str">
        <f>IF($AC$167="","",IFERROR(INDEX($BB$74:$BB$119,MATCH($AH$167,$AY$74:$AY$119,0)),$AH$167))</f>
        <v/>
      </c>
      <c r="AM167" s="483" t="str">
        <f t="shared" si="31"/>
        <v/>
      </c>
      <c r="AN167" s="484" t="str">
        <f t="shared" si="32"/>
        <v/>
      </c>
      <c r="AO167" s="473" t="str">
        <f t="shared" si="33"/>
        <v/>
      </c>
      <c r="AP167" s="473" t="str">
        <f t="shared" si="34"/>
        <v/>
      </c>
      <c r="AQ167" s="473" t="str">
        <f t="shared" si="35"/>
        <v/>
      </c>
      <c r="AR167" s="473" t="str">
        <f t="shared" si="36"/>
        <v/>
      </c>
      <c r="AS167" s="473" t="str">
        <f t="shared" si="37"/>
        <v/>
      </c>
      <c r="AT167" s="473" t="str">
        <f t="shared" si="38"/>
        <v/>
      </c>
      <c r="AU167" s="473" t="str">
        <f t="shared" si="39"/>
        <v/>
      </c>
      <c r="AZ167" s="14" t="s">
        <v>7</v>
      </c>
      <c r="BA167" s="34" t="s">
        <v>493</v>
      </c>
      <c r="BB167" s="500"/>
      <c r="BC167" s="271"/>
      <c r="BD167" s="279">
        <v>1</v>
      </c>
      <c r="BE167" s="271"/>
      <c r="BF167" s="271"/>
      <c r="BG167" s="271"/>
      <c r="BH167" s="271"/>
      <c r="BI167" s="271"/>
      <c r="BJ167" s="271"/>
      <c r="BK167" s="271"/>
      <c r="BL167" s="271"/>
    </row>
    <row r="168" spans="18:64" ht="21" customHeight="1" x14ac:dyDescent="0.25">
      <c r="S168" s="451"/>
      <c r="T168" s="14" t="s">
        <v>7</v>
      </c>
      <c r="V168" s="475">
        <v>3</v>
      </c>
      <c r="W168" s="475" t="str">
        <f>IF($AC$168="","",$W$144)</f>
        <v/>
      </c>
      <c r="X168" s="476" t="str">
        <f>IF($AC$168="","",$X$144)</f>
        <v/>
      </c>
      <c r="Y168" s="477" t="str">
        <f>IF($X$168="","",$Y$144)</f>
        <v/>
      </c>
      <c r="Z168" s="477" t="str">
        <f>IF($X$168="","",$Z$144)</f>
        <v/>
      </c>
      <c r="AA168" s="477" t="str">
        <f>IF($AC$168="","",ROW($A$168)-ROW($A$144))</f>
        <v/>
      </c>
      <c r="AB168" s="478"/>
      <c r="AC168" s="34"/>
      <c r="AD168" s="356"/>
      <c r="AE168" s="18"/>
      <c r="AF168" s="19"/>
      <c r="AG168" s="480" t="str">
        <f t="shared" si="28"/>
        <v/>
      </c>
      <c r="AH168" s="481" t="str">
        <f t="shared" si="29"/>
        <v/>
      </c>
      <c r="AI168" s="477" t="str">
        <f>IF($AC$168="","",IFERROR(INDEX($AZ$74:$AZ$119,MATCH($AH$168,$AY$74:$AY$119,0)),"AUTRE"))</f>
        <v/>
      </c>
      <c r="AJ168" s="482" t="str">
        <f>IF($AC$168="","",IFERROR(INDEX($BA$74:$BA$119,MATCH($AH$168,$AY$74:$AY$119,0)),1))</f>
        <v/>
      </c>
      <c r="AK168" s="482" t="str">
        <f t="shared" si="30"/>
        <v/>
      </c>
      <c r="AL168" s="477" t="str">
        <f>IF($AC$168="","",IFERROR(INDEX($BB$74:$BB$119,MATCH($AH$168,$AY$74:$AY$119,0)),$AH$168))</f>
        <v/>
      </c>
      <c r="AM168" s="483" t="str">
        <f t="shared" si="31"/>
        <v/>
      </c>
      <c r="AN168" s="484" t="str">
        <f t="shared" si="32"/>
        <v/>
      </c>
      <c r="AO168" s="473" t="str">
        <f t="shared" si="33"/>
        <v/>
      </c>
      <c r="AP168" s="473" t="str">
        <f t="shared" si="34"/>
        <v/>
      </c>
      <c r="AQ168" s="473" t="str">
        <f t="shared" si="35"/>
        <v/>
      </c>
      <c r="AR168" s="473" t="str">
        <f t="shared" si="36"/>
        <v/>
      </c>
      <c r="AS168" s="473" t="str">
        <f t="shared" si="37"/>
        <v/>
      </c>
      <c r="AT168" s="473" t="str">
        <f t="shared" si="38"/>
        <v/>
      </c>
      <c r="AU168" s="473" t="str">
        <f t="shared" si="39"/>
        <v/>
      </c>
      <c r="AZ168" s="27" t="s">
        <v>8</v>
      </c>
      <c r="BA168" s="34" t="s">
        <v>494</v>
      </c>
      <c r="BB168" s="500"/>
      <c r="BC168" s="271"/>
      <c r="BD168" s="279">
        <v>1</v>
      </c>
      <c r="BE168" s="271"/>
      <c r="BF168" s="271"/>
      <c r="BG168" s="271"/>
      <c r="BH168" s="271"/>
      <c r="BI168" s="271"/>
      <c r="BJ168" s="271"/>
      <c r="BK168" s="271"/>
      <c r="BL168" s="271"/>
    </row>
    <row r="169" spans="18:64" ht="21" customHeight="1" x14ac:dyDescent="0.25">
      <c r="R169" s="25" t="s">
        <v>6115</v>
      </c>
      <c r="S169" s="451"/>
      <c r="T169" s="27" t="s">
        <v>8</v>
      </c>
      <c r="V169" s="475">
        <v>3</v>
      </c>
      <c r="W169" s="475" t="str">
        <f>IF($AC$169="","",$W$144)</f>
        <v/>
      </c>
      <c r="X169" s="476" t="str">
        <f>IF($AC$169="","",$X$144)</f>
        <v/>
      </c>
      <c r="Y169" s="477" t="str">
        <f>IF($X$169="","",$Y$144)</f>
        <v/>
      </c>
      <c r="Z169" s="477" t="str">
        <f>IF($X$169="","",$Z$144)</f>
        <v/>
      </c>
      <c r="AA169" s="477" t="str">
        <f>IF($AC$169="","",ROW($A$169)-ROW($A$144))</f>
        <v/>
      </c>
      <c r="AB169" s="478"/>
      <c r="AC169" s="34"/>
      <c r="AD169" s="356"/>
      <c r="AE169" s="18"/>
      <c r="AF169" s="19"/>
      <c r="AG169" s="480" t="str">
        <f t="shared" si="28"/>
        <v/>
      </c>
      <c r="AH169" s="481" t="str">
        <f t="shared" si="29"/>
        <v/>
      </c>
      <c r="AI169" s="477" t="str">
        <f>IF($AC$169="","",IFERROR(INDEX($AZ$74:$AZ$119,MATCH($AH$169,$AY$74:$AY$119,0)),"AUTRE"))</f>
        <v/>
      </c>
      <c r="AJ169" s="482" t="str">
        <f>IF($AC$169="","",IFERROR(INDEX($BA$74:$BA$119,MATCH($AH$169,$AY$74:$AY$119,0)),1))</f>
        <v/>
      </c>
      <c r="AK169" s="482" t="str">
        <f t="shared" si="30"/>
        <v/>
      </c>
      <c r="AL169" s="477" t="str">
        <f>IF($AC$169="","",IFERROR(INDEX($BB$74:$BB$119,MATCH($AH$169,$AY$74:$AY$119,0)),$AH$169))</f>
        <v/>
      </c>
      <c r="AM169" s="483" t="str">
        <f t="shared" si="31"/>
        <v/>
      </c>
      <c r="AN169" s="484" t="str">
        <f t="shared" si="32"/>
        <v/>
      </c>
      <c r="AO169" s="473" t="str">
        <f t="shared" si="33"/>
        <v/>
      </c>
      <c r="AP169" s="473" t="str">
        <f t="shared" si="34"/>
        <v/>
      </c>
      <c r="AQ169" s="473" t="str">
        <f t="shared" si="35"/>
        <v/>
      </c>
      <c r="AR169" s="473" t="str">
        <f t="shared" si="36"/>
        <v/>
      </c>
      <c r="AS169" s="473" t="str">
        <f t="shared" si="37"/>
        <v/>
      </c>
      <c r="AT169" s="473" t="str">
        <f t="shared" si="38"/>
        <v/>
      </c>
      <c r="AU169" s="473" t="str">
        <f t="shared" si="39"/>
        <v/>
      </c>
      <c r="AZ169" s="28" t="s">
        <v>13</v>
      </c>
      <c r="BB169" s="500"/>
      <c r="BC169" s="271"/>
      <c r="BD169" s="279">
        <v>1</v>
      </c>
      <c r="BE169" s="271"/>
      <c r="BF169" s="271"/>
      <c r="BG169" s="271"/>
      <c r="BH169" s="271"/>
      <c r="BI169" s="271"/>
      <c r="BJ169" s="271"/>
      <c r="BK169" s="271"/>
      <c r="BL169" s="271"/>
    </row>
    <row r="170" spans="18:64" ht="21" customHeight="1" x14ac:dyDescent="0.25">
      <c r="R170" s="34" t="s">
        <v>471</v>
      </c>
      <c r="S170" s="451"/>
      <c r="T170" s="28" t="s">
        <v>13</v>
      </c>
      <c r="V170" s="475">
        <v>3</v>
      </c>
      <c r="W170" s="475" t="str">
        <f>IF($AC$170="","",$W$144)</f>
        <v/>
      </c>
      <c r="X170" s="476" t="str">
        <f>IF($AC$170="","",$X$144)</f>
        <v/>
      </c>
      <c r="Y170" s="477" t="str">
        <f>IF($X$170="","",$Y$144)</f>
        <v/>
      </c>
      <c r="Z170" s="477" t="str">
        <f>IF($X$170="","",$Z$144)</f>
        <v/>
      </c>
      <c r="AA170" s="477" t="str">
        <f>IF($AC$170="","",ROW($A$170)-ROW($A$144))</f>
        <v/>
      </c>
      <c r="AB170" s="478"/>
      <c r="AC170" s="34"/>
      <c r="AD170" s="356"/>
      <c r="AE170" s="18"/>
      <c r="AF170" s="19"/>
      <c r="AG170" s="480" t="str">
        <f t="shared" si="28"/>
        <v/>
      </c>
      <c r="AH170" s="481" t="str">
        <f t="shared" si="29"/>
        <v/>
      </c>
      <c r="AI170" s="477" t="str">
        <f>IF($AC$170="","",IFERROR(INDEX($AZ$74:$AZ$119,MATCH($AH$170,$AY$74:$AY$119,0)),"AUTRE"))</f>
        <v/>
      </c>
      <c r="AJ170" s="482" t="str">
        <f>IF($AC$170="","",IFERROR(INDEX($BA$74:$BA$119,MATCH($AH$170,$AY$74:$AY$119,0)),1))</f>
        <v/>
      </c>
      <c r="AK170" s="482" t="str">
        <f t="shared" si="30"/>
        <v/>
      </c>
      <c r="AL170" s="477" t="str">
        <f>IF($AC$170="","",IFERROR(INDEX($BB$74:$BB$119,MATCH($AH$170,$AY$74:$AY$119,0)),$AH$170))</f>
        <v/>
      </c>
      <c r="AM170" s="483" t="str">
        <f t="shared" si="31"/>
        <v/>
      </c>
      <c r="AN170" s="484" t="str">
        <f t="shared" si="32"/>
        <v/>
      </c>
      <c r="AO170" s="473" t="str">
        <f t="shared" si="33"/>
        <v/>
      </c>
      <c r="AP170" s="473" t="str">
        <f t="shared" si="34"/>
        <v/>
      </c>
      <c r="AQ170" s="473" t="str">
        <f t="shared" si="35"/>
        <v/>
      </c>
      <c r="AR170" s="473" t="str">
        <f t="shared" si="36"/>
        <v/>
      </c>
      <c r="AS170" s="473" t="str">
        <f t="shared" si="37"/>
        <v/>
      </c>
      <c r="AT170" s="473" t="str">
        <f t="shared" si="38"/>
        <v/>
      </c>
      <c r="AU170" s="473" t="str">
        <f t="shared" si="39"/>
        <v/>
      </c>
      <c r="AZ170" s="28" t="s">
        <v>14</v>
      </c>
      <c r="BA170" s="25" t="s">
        <v>6115</v>
      </c>
      <c r="BB170" s="500"/>
      <c r="BC170" s="271"/>
      <c r="BD170" s="279">
        <v>1</v>
      </c>
      <c r="BE170" s="271"/>
      <c r="BF170" s="271"/>
      <c r="BG170" s="271"/>
      <c r="BH170" s="271"/>
      <c r="BI170" s="271"/>
      <c r="BJ170" s="271"/>
      <c r="BK170" s="271"/>
      <c r="BL170" s="271"/>
    </row>
    <row r="171" spans="18:64" ht="21" customHeight="1" x14ac:dyDescent="0.25">
      <c r="R171" s="34" t="s">
        <v>472</v>
      </c>
      <c r="S171" s="451"/>
      <c r="T171" s="28" t="s">
        <v>14</v>
      </c>
      <c r="V171" s="475">
        <v>3</v>
      </c>
      <c r="W171" s="475" t="str">
        <f>IF($AC$171="","",$W$144)</f>
        <v/>
      </c>
      <c r="X171" s="476" t="str">
        <f>IF($AC$171="","",$X$144)</f>
        <v/>
      </c>
      <c r="Y171" s="477" t="str">
        <f>IF($X$171="","",$Y$144)</f>
        <v/>
      </c>
      <c r="Z171" s="477" t="str">
        <f>IF($X$171="","",$Z$144)</f>
        <v/>
      </c>
      <c r="AA171" s="477" t="str">
        <f>IF($AC$171="","",ROW($A$171)-ROW($A$144))</f>
        <v/>
      </c>
      <c r="AB171" s="478"/>
      <c r="AC171" s="34"/>
      <c r="AD171" s="356"/>
      <c r="AE171" s="18"/>
      <c r="AF171" s="19"/>
      <c r="AG171" s="480" t="str">
        <f t="shared" si="28"/>
        <v/>
      </c>
      <c r="AH171" s="481" t="str">
        <f t="shared" si="29"/>
        <v/>
      </c>
      <c r="AI171" s="477" t="str">
        <f>IF($AC$171="","",IFERROR(INDEX($AZ$74:$AZ$119,MATCH($AH$171,$AY$74:$AY$119,0)),"AUTRE"))</f>
        <v/>
      </c>
      <c r="AJ171" s="482" t="str">
        <f>IF($AC$171="","",IFERROR(INDEX($BA$74:$BA$119,MATCH($AH$171,$AY$74:$AY$119,0)),1))</f>
        <v/>
      </c>
      <c r="AK171" s="482" t="str">
        <f t="shared" si="30"/>
        <v/>
      </c>
      <c r="AL171" s="477" t="str">
        <f>IF($AC$171="","",IFERROR(INDEX($BB$74:$BB$119,MATCH($AH$171,$AY$74:$AY$119,0)),$AH$171))</f>
        <v/>
      </c>
      <c r="AM171" s="483" t="str">
        <f t="shared" si="31"/>
        <v/>
      </c>
      <c r="AN171" s="484" t="str">
        <f t="shared" si="32"/>
        <v/>
      </c>
      <c r="AO171" s="473" t="str">
        <f t="shared" si="33"/>
        <v/>
      </c>
      <c r="AP171" s="473" t="str">
        <f t="shared" si="34"/>
        <v/>
      </c>
      <c r="AQ171" s="473" t="str">
        <f t="shared" si="35"/>
        <v/>
      </c>
      <c r="AR171" s="473" t="str">
        <f t="shared" si="36"/>
        <v/>
      </c>
      <c r="AS171" s="473" t="str">
        <f t="shared" si="37"/>
        <v/>
      </c>
      <c r="AT171" s="473" t="str">
        <f t="shared" si="38"/>
        <v/>
      </c>
      <c r="AU171" s="473" t="str">
        <f t="shared" si="39"/>
        <v/>
      </c>
      <c r="AZ171" s="28" t="s">
        <v>15</v>
      </c>
      <c r="BA171" s="34" t="s">
        <v>471</v>
      </c>
      <c r="BB171" s="500"/>
      <c r="BC171" s="271"/>
      <c r="BD171" s="279">
        <v>1</v>
      </c>
      <c r="BE171" s="271"/>
      <c r="BF171" s="271"/>
      <c r="BG171" s="271"/>
      <c r="BH171" s="271"/>
      <c r="BI171" s="271"/>
      <c r="BJ171" s="271"/>
      <c r="BK171" s="271"/>
      <c r="BL171" s="271"/>
    </row>
    <row r="172" spans="18:64" ht="21" customHeight="1" x14ac:dyDescent="0.25">
      <c r="R172" s="34" t="s">
        <v>6112</v>
      </c>
      <c r="S172" s="451"/>
      <c r="T172" s="28" t="s">
        <v>15</v>
      </c>
      <c r="V172" s="475">
        <v>3</v>
      </c>
      <c r="W172" s="475" t="str">
        <f>IF($AC$172="","",$W$144)</f>
        <v/>
      </c>
      <c r="X172" s="476" t="str">
        <f>IF($AC$172="","",$X$144)</f>
        <v/>
      </c>
      <c r="Y172" s="477" t="str">
        <f>IF($X$172="","",$Y$144)</f>
        <v/>
      </c>
      <c r="Z172" s="477" t="str">
        <f>IF($X$172="","",$Z$144)</f>
        <v/>
      </c>
      <c r="AA172" s="477" t="str">
        <f>IF($AC$172="","",ROW($A$172)-ROW($A$144))</f>
        <v/>
      </c>
      <c r="AB172" s="478"/>
      <c r="AC172" s="34"/>
      <c r="AD172" s="356"/>
      <c r="AE172" s="18"/>
      <c r="AF172" s="19"/>
      <c r="AG172" s="480" t="str">
        <f t="shared" si="28"/>
        <v/>
      </c>
      <c r="AH172" s="481" t="str">
        <f t="shared" si="29"/>
        <v/>
      </c>
      <c r="AI172" s="477" t="str">
        <f>IF($AC$172="","",IFERROR(INDEX($AZ$74:$AZ$119,MATCH($AH$172,$AY$74:$AY$119,0)),"AUTRE"))</f>
        <v/>
      </c>
      <c r="AJ172" s="482" t="str">
        <f>IF($AC$172="","",IFERROR(INDEX($BA$74:$BA$119,MATCH($AH$172,$AY$74:$AY$119,0)),1))</f>
        <v/>
      </c>
      <c r="AK172" s="482" t="str">
        <f t="shared" si="30"/>
        <v/>
      </c>
      <c r="AL172" s="477" t="str">
        <f>IF($AC$172="","",IFERROR(INDEX($BB$74:$BB$119,MATCH($AH$172,$AY$74:$AY$119,0)),$AH$172))</f>
        <v/>
      </c>
      <c r="AM172" s="483" t="str">
        <f t="shared" si="31"/>
        <v/>
      </c>
      <c r="AN172" s="484" t="str">
        <f t="shared" si="32"/>
        <v/>
      </c>
      <c r="AO172" s="473" t="str">
        <f t="shared" si="33"/>
        <v/>
      </c>
      <c r="AP172" s="473" t="str">
        <f t="shared" si="34"/>
        <v/>
      </c>
      <c r="AQ172" s="473" t="str">
        <f t="shared" si="35"/>
        <v/>
      </c>
      <c r="AR172" s="473" t="str">
        <f t="shared" si="36"/>
        <v/>
      </c>
      <c r="AS172" s="473" t="str">
        <f t="shared" si="37"/>
        <v/>
      </c>
      <c r="AT172" s="473" t="str">
        <f t="shared" si="38"/>
        <v/>
      </c>
      <c r="AU172" s="473" t="str">
        <f t="shared" si="39"/>
        <v/>
      </c>
      <c r="AY172" s="271"/>
      <c r="AZ172" s="29" t="s">
        <v>9</v>
      </c>
      <c r="BA172" s="34" t="s">
        <v>472</v>
      </c>
      <c r="BB172" s="499"/>
      <c r="BC172" s="271"/>
      <c r="BD172" s="279">
        <v>1</v>
      </c>
      <c r="BE172" s="271"/>
      <c r="BF172" s="271"/>
      <c r="BG172" s="271"/>
      <c r="BH172" s="271"/>
      <c r="BI172" s="271"/>
      <c r="BJ172" s="271"/>
      <c r="BK172" s="271"/>
      <c r="BL172" s="271"/>
    </row>
    <row r="173" spans="18:64" ht="21" customHeight="1" x14ac:dyDescent="0.25">
      <c r="R173" s="25" t="s">
        <v>6116</v>
      </c>
      <c r="S173" s="451"/>
      <c r="T173" s="28" t="s">
        <v>21</v>
      </c>
      <c r="V173" s="475">
        <v>3</v>
      </c>
      <c r="W173" s="475" t="str">
        <f>IF($AC$173="","",$W$144)</f>
        <v/>
      </c>
      <c r="X173" s="476" t="str">
        <f>IF($AC$173="","",$X$144)</f>
        <v/>
      </c>
      <c r="Y173" s="477" t="str">
        <f>IF($X$173="","",$Y$144)</f>
        <v/>
      </c>
      <c r="Z173" s="477" t="str">
        <f>IF($X$173="","",$Z$144)</f>
        <v/>
      </c>
      <c r="AA173" s="477" t="str">
        <f>IF($AC$173="","",ROW($A$173)-ROW($A$144))</f>
        <v/>
      </c>
      <c r="AB173" s="478"/>
      <c r="AC173" s="34"/>
      <c r="AD173" s="356"/>
      <c r="AE173" s="18"/>
      <c r="AF173" s="19"/>
      <c r="AG173" s="480" t="str">
        <f t="shared" si="28"/>
        <v/>
      </c>
      <c r="AH173" s="481" t="str">
        <f t="shared" si="29"/>
        <v/>
      </c>
      <c r="AI173" s="477" t="str">
        <f>IF($AC$173="","",IFERROR(INDEX($AZ$74:$AZ$119,MATCH($AH$173,$AY$74:$AY$119,0)),"AUTRE"))</f>
        <v/>
      </c>
      <c r="AJ173" s="482" t="str">
        <f>IF($AC$173="","",IFERROR(INDEX($BA$74:$BA$119,MATCH($AH$173,$AY$74:$AY$119,0)),1))</f>
        <v/>
      </c>
      <c r="AK173" s="482" t="str">
        <f t="shared" si="30"/>
        <v/>
      </c>
      <c r="AL173" s="477" t="str">
        <f>IF($AC$173="","",IFERROR(INDEX($BB$74:$BB$119,MATCH($AH$173,$AY$74:$AY$119,0)),$AH$173))</f>
        <v/>
      </c>
      <c r="AM173" s="483" t="str">
        <f t="shared" si="31"/>
        <v/>
      </c>
      <c r="AN173" s="484" t="str">
        <f t="shared" si="32"/>
        <v/>
      </c>
      <c r="AO173" s="473" t="str">
        <f t="shared" si="33"/>
        <v/>
      </c>
      <c r="AP173" s="473" t="str">
        <f t="shared" si="34"/>
        <v/>
      </c>
      <c r="AQ173" s="473" t="str">
        <f t="shared" si="35"/>
        <v/>
      </c>
      <c r="AR173" s="473" t="str">
        <f t="shared" si="36"/>
        <v/>
      </c>
      <c r="AS173" s="473" t="str">
        <f t="shared" si="37"/>
        <v/>
      </c>
      <c r="AT173" s="473" t="str">
        <f t="shared" si="38"/>
        <v/>
      </c>
      <c r="AU173" s="473" t="str">
        <f t="shared" si="39"/>
        <v/>
      </c>
      <c r="AY173" s="497" t="s">
        <v>8145</v>
      </c>
      <c r="AZ173" s="30" t="s">
        <v>10</v>
      </c>
      <c r="BA173" s="34" t="s">
        <v>6112</v>
      </c>
      <c r="BB173" s="499"/>
      <c r="BC173" s="271"/>
      <c r="BD173" s="279">
        <v>1</v>
      </c>
      <c r="BE173" s="271"/>
      <c r="BF173" s="271"/>
      <c r="BG173" s="271"/>
      <c r="BH173" s="271"/>
      <c r="BI173" s="271"/>
      <c r="BJ173" s="271"/>
      <c r="BK173" s="271"/>
      <c r="BL173" s="271"/>
    </row>
    <row r="174" spans="18:64" ht="21" customHeight="1" x14ac:dyDescent="0.25">
      <c r="R174" s="34" t="s">
        <v>6117</v>
      </c>
      <c r="S174" s="451"/>
      <c r="T174" s="28" t="s">
        <v>22</v>
      </c>
      <c r="V174" s="475">
        <v>3</v>
      </c>
      <c r="W174" s="475" t="str">
        <f>IF($AC$174="","",$W$144)</f>
        <v/>
      </c>
      <c r="X174" s="476" t="str">
        <f>IF($AC$174="","",$X$144)</f>
        <v/>
      </c>
      <c r="Y174" s="477" t="str">
        <f>IF($X$174="","",$Y$144)</f>
        <v/>
      </c>
      <c r="Z174" s="477" t="str">
        <f>IF($X$174="","",$Z$144)</f>
        <v/>
      </c>
      <c r="AA174" s="477" t="str">
        <f>IF($AC$174="","",ROW($A$174)-ROW($A$144))</f>
        <v/>
      </c>
      <c r="AB174" s="478"/>
      <c r="AC174" s="34"/>
      <c r="AD174" s="356"/>
      <c r="AE174" s="18"/>
      <c r="AF174" s="19"/>
      <c r="AG174" s="480" t="str">
        <f t="shared" si="28"/>
        <v/>
      </c>
      <c r="AH174" s="481" t="str">
        <f t="shared" si="29"/>
        <v/>
      </c>
      <c r="AI174" s="477" t="str">
        <f>IF($AC$174="","",IFERROR(INDEX($AZ$74:$AZ$119,MATCH($AH$174,$AY$74:$AY$119,0)),"AUTRE"))</f>
        <v/>
      </c>
      <c r="AJ174" s="482" t="str">
        <f>IF($AC$174="","",IFERROR(INDEX($BA$74:$BA$119,MATCH($AH$174,$AY$74:$AY$119,0)),1))</f>
        <v/>
      </c>
      <c r="AK174" s="482" t="str">
        <f t="shared" si="30"/>
        <v/>
      </c>
      <c r="AL174" s="477" t="str">
        <f>IF($AC$174="","",IFERROR(INDEX($BB$74:$BB$119,MATCH($AH$174,$AY$74:$AY$119,0)),$AH$174))</f>
        <v/>
      </c>
      <c r="AM174" s="483" t="str">
        <f t="shared" si="31"/>
        <v/>
      </c>
      <c r="AN174" s="484" t="str">
        <f t="shared" si="32"/>
        <v/>
      </c>
      <c r="AO174" s="473" t="str">
        <f t="shared" si="33"/>
        <v/>
      </c>
      <c r="AP174" s="473" t="str">
        <f t="shared" si="34"/>
        <v/>
      </c>
      <c r="AQ174" s="473" t="str">
        <f t="shared" si="35"/>
        <v/>
      </c>
      <c r="AR174" s="473" t="str">
        <f t="shared" si="36"/>
        <v/>
      </c>
      <c r="AS174" s="473" t="str">
        <f t="shared" si="37"/>
        <v/>
      </c>
      <c r="AT174" s="473" t="str">
        <f t="shared" si="38"/>
        <v/>
      </c>
      <c r="AU174" s="473" t="str">
        <f t="shared" si="39"/>
        <v/>
      </c>
      <c r="AY174" s="497" t="s">
        <v>462</v>
      </c>
      <c r="AZ174" s="30" t="s">
        <v>11</v>
      </c>
      <c r="BA174" s="25" t="s">
        <v>6116</v>
      </c>
      <c r="BB174" s="499"/>
      <c r="BC174" s="271"/>
      <c r="BD174" s="279">
        <v>1</v>
      </c>
      <c r="BE174" s="271"/>
      <c r="BF174" s="271"/>
      <c r="BG174" s="271"/>
      <c r="BH174" s="271"/>
      <c r="BI174" s="271"/>
      <c r="BJ174" s="271"/>
      <c r="BK174" s="271"/>
      <c r="BL174" s="271"/>
    </row>
    <row r="175" spans="18:64" ht="21" customHeight="1" x14ac:dyDescent="0.25">
      <c r="R175" s="34" t="s">
        <v>469</v>
      </c>
      <c r="S175" s="451"/>
      <c r="T175" s="28" t="s">
        <v>23</v>
      </c>
      <c r="V175" s="475">
        <v>3</v>
      </c>
      <c r="W175" s="475" t="str">
        <f>IF($AC$175="","",$W$144)</f>
        <v/>
      </c>
      <c r="X175" s="476" t="str">
        <f>IF($AC$175="","",$X$144)</f>
        <v/>
      </c>
      <c r="Y175" s="477" t="str">
        <f>IF($X$175="","",$Y$144)</f>
        <v/>
      </c>
      <c r="Z175" s="477" t="str">
        <f>IF($X$175="","",$Z$144)</f>
        <v/>
      </c>
      <c r="AA175" s="477" t="str">
        <f>IF($AC$175="","",ROW($A$175)-ROW($A$144))</f>
        <v/>
      </c>
      <c r="AB175" s="478"/>
      <c r="AC175" s="34"/>
      <c r="AD175" s="356"/>
      <c r="AE175" s="18"/>
      <c r="AF175" s="19"/>
      <c r="AG175" s="480" t="str">
        <f t="shared" si="28"/>
        <v/>
      </c>
      <c r="AH175" s="481" t="str">
        <f t="shared" si="29"/>
        <v/>
      </c>
      <c r="AI175" s="477" t="str">
        <f>IF($AC$175="","",IFERROR(INDEX($AZ$74:$AZ$119,MATCH($AH$175,$AY$74:$AY$119,0)),"AUTRE"))</f>
        <v/>
      </c>
      <c r="AJ175" s="482" t="str">
        <f>IF($AC$175="","",IFERROR(INDEX($BA$74:$BA$119,MATCH($AH$175,$AY$74:$AY$119,0)),1))</f>
        <v/>
      </c>
      <c r="AK175" s="482" t="str">
        <f t="shared" si="30"/>
        <v/>
      </c>
      <c r="AL175" s="477" t="str">
        <f>IF($AC$175="","",IFERROR(INDEX($BB$74:$BB$119,MATCH($AH$175,$AY$74:$AY$119,0)),$AH$175))</f>
        <v/>
      </c>
      <c r="AM175" s="483" t="str">
        <f t="shared" si="31"/>
        <v/>
      </c>
      <c r="AN175" s="484" t="str">
        <f t="shared" si="32"/>
        <v/>
      </c>
      <c r="AO175" s="473" t="str">
        <f t="shared" si="33"/>
        <v/>
      </c>
      <c r="AP175" s="473" t="str">
        <f t="shared" si="34"/>
        <v/>
      </c>
      <c r="AQ175" s="473" t="str">
        <f t="shared" si="35"/>
        <v/>
      </c>
      <c r="AR175" s="473" t="str">
        <f t="shared" si="36"/>
        <v/>
      </c>
      <c r="AS175" s="473" t="str">
        <f t="shared" si="37"/>
        <v/>
      </c>
      <c r="AT175" s="473" t="str">
        <f t="shared" si="38"/>
        <v/>
      </c>
      <c r="AU175" s="473" t="str">
        <f t="shared" si="39"/>
        <v/>
      </c>
      <c r="AY175" s="497" t="s">
        <v>463</v>
      </c>
      <c r="AZ175" s="30" t="s">
        <v>12</v>
      </c>
      <c r="BA175" s="34" t="s">
        <v>6117</v>
      </c>
      <c r="BB175" s="499"/>
      <c r="BC175" s="271"/>
      <c r="BD175" s="279">
        <v>1</v>
      </c>
      <c r="BE175" s="271"/>
      <c r="BF175" s="271"/>
      <c r="BG175" s="271"/>
      <c r="BH175" s="271"/>
      <c r="BI175" s="271"/>
      <c r="BJ175" s="271"/>
      <c r="BK175" s="271"/>
      <c r="BL175" s="271"/>
    </row>
    <row r="176" spans="18:64" ht="21" customHeight="1" x14ac:dyDescent="0.25">
      <c r="R176" s="34" t="s">
        <v>6118</v>
      </c>
      <c r="S176" s="451"/>
      <c r="T176" s="28" t="s">
        <v>24</v>
      </c>
      <c r="V176" s="475">
        <v>3</v>
      </c>
      <c r="W176" s="475" t="str">
        <f>IF($AC$176="","",$W$144)</f>
        <v/>
      </c>
      <c r="X176" s="476" t="str">
        <f>IF($AC$176="","",$X$144)</f>
        <v/>
      </c>
      <c r="Y176" s="477" t="str">
        <f>IF($X$176="","",$Y$144)</f>
        <v/>
      </c>
      <c r="Z176" s="477" t="str">
        <f>IF($X$176="","",$Z$144)</f>
        <v/>
      </c>
      <c r="AA176" s="477" t="str">
        <f>IF($AC$176="","",ROW($A$176)-ROW($A$144))</f>
        <v/>
      </c>
      <c r="AB176" s="478"/>
      <c r="AC176" s="34"/>
      <c r="AD176" s="356"/>
      <c r="AE176" s="18"/>
      <c r="AF176" s="19"/>
      <c r="AG176" s="480" t="str">
        <f t="shared" si="28"/>
        <v/>
      </c>
      <c r="AH176" s="481" t="str">
        <f t="shared" si="29"/>
        <v/>
      </c>
      <c r="AI176" s="477" t="str">
        <f>IF($AC$176="","",IFERROR(INDEX($AZ$74:$AZ$119,MATCH($AH$176,$AY$74:$AY$119,0)),"AUTRE"))</f>
        <v/>
      </c>
      <c r="AJ176" s="482" t="str">
        <f>IF($AC$176="","",IFERROR(INDEX($BA$74:$BA$119,MATCH($AH$176,$AY$74:$AY$119,0)),1))</f>
        <v/>
      </c>
      <c r="AK176" s="482" t="str">
        <f t="shared" si="30"/>
        <v/>
      </c>
      <c r="AL176" s="477" t="str">
        <f>IF($AC$176="","",IFERROR(INDEX($BB$74:$BB$119,MATCH($AH$176,$AY$74:$AY$119,0)),$AH$176))</f>
        <v/>
      </c>
      <c r="AM176" s="483" t="str">
        <f t="shared" si="31"/>
        <v/>
      </c>
      <c r="AN176" s="484" t="str">
        <f t="shared" si="32"/>
        <v/>
      </c>
      <c r="AO176" s="473" t="str">
        <f t="shared" si="33"/>
        <v/>
      </c>
      <c r="AP176" s="473" t="str">
        <f t="shared" si="34"/>
        <v/>
      </c>
      <c r="AQ176" s="473" t="str">
        <f t="shared" si="35"/>
        <v/>
      </c>
      <c r="AR176" s="473" t="str">
        <f t="shared" si="36"/>
        <v/>
      </c>
      <c r="AS176" s="473" t="str">
        <f t="shared" si="37"/>
        <v/>
      </c>
      <c r="AT176" s="473" t="str">
        <f t="shared" si="38"/>
        <v/>
      </c>
      <c r="AU176" s="473" t="str">
        <f t="shared" si="39"/>
        <v/>
      </c>
      <c r="AY176" s="497" t="s">
        <v>8147</v>
      </c>
      <c r="AZ176" s="31" t="s">
        <v>16</v>
      </c>
      <c r="BA176" s="34" t="s">
        <v>469</v>
      </c>
      <c r="BB176" s="499"/>
      <c r="BC176" s="271"/>
      <c r="BD176" s="279">
        <v>1</v>
      </c>
      <c r="BE176" s="271"/>
      <c r="BF176" s="271"/>
      <c r="BG176" s="271"/>
      <c r="BH176" s="271"/>
      <c r="BI176" s="271"/>
      <c r="BJ176" s="271"/>
      <c r="BK176" s="271"/>
      <c r="BL176" s="271"/>
    </row>
    <row r="177" spans="18:64" ht="21" customHeight="1" x14ac:dyDescent="0.25">
      <c r="R177" s="34" t="s">
        <v>492</v>
      </c>
      <c r="S177" s="451"/>
      <c r="T177" s="29" t="s">
        <v>9</v>
      </c>
      <c r="V177" s="475">
        <v>3</v>
      </c>
      <c r="W177" s="475" t="str">
        <f>IF($AC$177="","",$W$144)</f>
        <v>N° 23</v>
      </c>
      <c r="X177" s="476" t="str">
        <f>IF($AC$177="","",$X$144)</f>
        <v>CRÈME DE PARMESAN MOUSSE DE TOMATE TAPENADE</v>
      </c>
      <c r="Y177" s="477">
        <f>IF($X$177="","",$Y$144)</f>
        <v>40</v>
      </c>
      <c r="Z177" s="477">
        <f>IF($X$177="","",$Z$144)</f>
        <v>100</v>
      </c>
      <c r="AA177" s="477">
        <f>IF($AC$177="","",ROW($A$177)-ROW($A$144))</f>
        <v>33</v>
      </c>
      <c r="AB177" s="478"/>
      <c r="AC177" s="34" t="s">
        <v>492</v>
      </c>
      <c r="AD177" s="356"/>
      <c r="AE177" s="18">
        <v>1</v>
      </c>
      <c r="AF177" s="33" t="s">
        <v>462</v>
      </c>
      <c r="AG177" s="480">
        <f t="shared" si="28"/>
        <v>1</v>
      </c>
      <c r="AH177" s="481" t="str">
        <f t="shared" si="29"/>
        <v>BAC(S)</v>
      </c>
      <c r="AI177" s="477" t="str">
        <f>IF($AC$177="","",IFERROR(INDEX($AZ$74:$AZ$119,MATCH($AH$177,$AY$74:$AY$119,0)),"AUTRE"))</f>
        <v>AUTRE</v>
      </c>
      <c r="AJ177" s="482">
        <f>IF($AC$177="","",IFERROR(INDEX($BA$74:$BA$119,MATCH($AH$177,$AY$74:$AY$119,0)),1))</f>
        <v>1</v>
      </c>
      <c r="AK177" s="482">
        <f t="shared" si="30"/>
        <v>1</v>
      </c>
      <c r="AL177" s="477" t="str">
        <f>IF($AC$177="","",IFERROR(INDEX($BB$74:$BB$119,MATCH($AH$177,$AY$74:$AY$119,0)),$AH$177))</f>
        <v>bac(s)</v>
      </c>
      <c r="AM177" s="483" t="str">
        <f t="shared" si="31"/>
        <v>OK</v>
      </c>
      <c r="AN177" s="484">
        <f t="shared" si="32"/>
        <v>1</v>
      </c>
      <c r="AO177" s="473" t="str">
        <f t="shared" si="33"/>
        <v/>
      </c>
      <c r="AP177" s="473" t="str">
        <f t="shared" si="34"/>
        <v/>
      </c>
      <c r="AQ177" s="473" t="str">
        <f t="shared" si="35"/>
        <v/>
      </c>
      <c r="AR177" s="473" t="str">
        <f t="shared" si="36"/>
        <v/>
      </c>
      <c r="AS177" s="473" t="str">
        <f t="shared" si="37"/>
        <v/>
      </c>
      <c r="AT177" s="473" t="str">
        <f t="shared" si="38"/>
        <v/>
      </c>
      <c r="AU177" s="473" t="str">
        <f t="shared" si="39"/>
        <v/>
      </c>
      <c r="AY177" s="497" t="s">
        <v>465</v>
      </c>
      <c r="AZ177" s="31" t="s">
        <v>17</v>
      </c>
      <c r="BA177" s="34" t="s">
        <v>6118</v>
      </c>
      <c r="BB177" s="499"/>
      <c r="BC177" s="271"/>
      <c r="BD177" s="279">
        <v>1</v>
      </c>
      <c r="BE177" s="271"/>
      <c r="BF177" s="271"/>
      <c r="BG177" s="271"/>
      <c r="BH177" s="271"/>
      <c r="BI177" s="271"/>
      <c r="BJ177" s="271"/>
      <c r="BK177" s="271"/>
      <c r="BL177" s="271"/>
    </row>
    <row r="178" spans="18:64" ht="21" customHeight="1" x14ac:dyDescent="0.25">
      <c r="R178" s="34" t="s">
        <v>458</v>
      </c>
      <c r="S178" s="451"/>
      <c r="T178" s="30" t="s">
        <v>10</v>
      </c>
      <c r="V178" s="475">
        <v>3</v>
      </c>
      <c r="W178" s="475" t="str">
        <f>IF($AC$178="","",$W$144)</f>
        <v>N° 23</v>
      </c>
      <c r="X178" s="476" t="str">
        <f>IF($AC$178="","",$X$144)</f>
        <v>CRÈME DE PARMESAN MOUSSE DE TOMATE TAPENADE</v>
      </c>
      <c r="Y178" s="477">
        <f>IF($X$178="","",$Y$144)</f>
        <v>40</v>
      </c>
      <c r="Z178" s="477">
        <f>IF($X$178="","",$Z$144)</f>
        <v>100</v>
      </c>
      <c r="AA178" s="477">
        <f>IF($AC$178="","",ROW($A$178)-ROW($A$144))</f>
        <v>34</v>
      </c>
      <c r="AB178" s="478"/>
      <c r="AC178" s="34" t="s">
        <v>457</v>
      </c>
      <c r="AD178" s="356"/>
      <c r="AE178" s="18">
        <v>6</v>
      </c>
      <c r="AF178" s="33" t="s">
        <v>465</v>
      </c>
      <c r="AG178" s="491">
        <f t="shared" si="28"/>
        <v>6</v>
      </c>
      <c r="AH178" s="481" t="str">
        <f t="shared" si="29"/>
        <v>GRILLE(S)</v>
      </c>
      <c r="AI178" s="477" t="str">
        <f>IF($AC$178="","",IFERROR(INDEX($AZ$74:$AZ$119,MATCH($AH$178,$AY$74:$AY$119,0)),"AUTRE"))</f>
        <v>AUTRE</v>
      </c>
      <c r="AJ178" s="482">
        <f>IF($AC$178="","",IFERROR(INDEX($BA$74:$BA$119,MATCH($AH$178,$AY$74:$AY$119,0)),1))</f>
        <v>1</v>
      </c>
      <c r="AK178" s="482">
        <f t="shared" si="30"/>
        <v>6</v>
      </c>
      <c r="AL178" s="477" t="str">
        <f>IF($AC$178="","",IFERROR(INDEX($BB$74:$BB$119,MATCH($AH$178,$AY$74:$AY$119,0)),$AH$178))</f>
        <v>grille(s)</v>
      </c>
      <c r="AM178" s="483" t="str">
        <f t="shared" si="31"/>
        <v>OK</v>
      </c>
      <c r="AN178" s="484">
        <f t="shared" si="32"/>
        <v>6</v>
      </c>
      <c r="AO178" s="473" t="str">
        <f t="shared" si="33"/>
        <v/>
      </c>
      <c r="AP178" s="473" t="str">
        <f t="shared" si="34"/>
        <v/>
      </c>
      <c r="AQ178" s="473" t="str">
        <f t="shared" si="35"/>
        <v/>
      </c>
      <c r="AR178" s="473" t="str">
        <f t="shared" si="36"/>
        <v/>
      </c>
      <c r="AS178" s="473" t="str">
        <f t="shared" si="37"/>
        <v/>
      </c>
      <c r="AT178" s="473" t="str">
        <f t="shared" si="38"/>
        <v/>
      </c>
      <c r="AU178" s="473" t="str">
        <f t="shared" si="39"/>
        <v/>
      </c>
      <c r="AY178" s="497" t="s">
        <v>466</v>
      </c>
      <c r="AZ178" s="31" t="s">
        <v>18</v>
      </c>
      <c r="BA178" s="34" t="s">
        <v>492</v>
      </c>
      <c r="BB178" s="499"/>
      <c r="BC178" s="271"/>
      <c r="BD178" s="279">
        <v>1</v>
      </c>
      <c r="BE178" s="271"/>
      <c r="BF178" s="271"/>
      <c r="BG178" s="271"/>
      <c r="BH178" s="271"/>
      <c r="BI178" s="271"/>
      <c r="BJ178" s="271"/>
      <c r="BK178" s="271"/>
      <c r="BL178" s="271"/>
    </row>
    <row r="179" spans="18:64" ht="30" customHeight="1" x14ac:dyDescent="0.25">
      <c r="R179" s="490"/>
      <c r="S179" s="451"/>
      <c r="T179" s="30" t="s">
        <v>11</v>
      </c>
      <c r="V179" s="453" t="s">
        <v>324</v>
      </c>
      <c r="W179" s="453" t="s">
        <v>7912</v>
      </c>
      <c r="X179" s="453" t="s">
        <v>326</v>
      </c>
      <c r="Y179" s="453" t="s">
        <v>327</v>
      </c>
      <c r="Z179" s="454" t="s">
        <v>7930</v>
      </c>
      <c r="AA179" s="453" t="s">
        <v>7937</v>
      </c>
      <c r="AB179" s="455" t="s">
        <v>39</v>
      </c>
      <c r="AC179" s="455" t="s">
        <v>338</v>
      </c>
      <c r="AD179" s="455" t="s">
        <v>8114</v>
      </c>
      <c r="AE179" s="455" t="s">
        <v>339</v>
      </c>
      <c r="AF179" s="455" t="s">
        <v>7997</v>
      </c>
      <c r="AG179" s="453" t="s">
        <v>8018</v>
      </c>
      <c r="AH179" s="453" t="s">
        <v>8023</v>
      </c>
      <c r="AI179" s="453" t="s">
        <v>330</v>
      </c>
      <c r="AJ179" s="453" t="s">
        <v>8031</v>
      </c>
      <c r="AK179" s="453" t="s">
        <v>8037</v>
      </c>
      <c r="AL179" s="453" t="s">
        <v>8041</v>
      </c>
      <c r="AM179" s="453" t="s">
        <v>343</v>
      </c>
      <c r="AN179" s="457" t="s">
        <v>8115</v>
      </c>
      <c r="AO179" s="457" t="s">
        <v>8116</v>
      </c>
      <c r="AP179" s="656" t="s">
        <v>8117</v>
      </c>
      <c r="AQ179" s="656"/>
      <c r="AR179" s="656"/>
      <c r="AS179" s="656"/>
      <c r="AT179" s="656"/>
      <c r="AU179" s="657"/>
      <c r="AZ179" s="31" t="s">
        <v>19</v>
      </c>
      <c r="BA179" s="34" t="s">
        <v>458</v>
      </c>
      <c r="BB179" s="499"/>
      <c r="BC179" s="271"/>
      <c r="BD179" s="279">
        <v>1</v>
      </c>
      <c r="BE179" s="271"/>
      <c r="BF179" s="271"/>
      <c r="BG179" s="271"/>
      <c r="BH179" s="271"/>
      <c r="BI179" s="271"/>
      <c r="BJ179" s="271"/>
      <c r="BK179" s="271"/>
      <c r="BL179" s="271"/>
    </row>
    <row r="180" spans="18:64" ht="30" customHeight="1" x14ac:dyDescent="0.25">
      <c r="R180" s="25" t="s">
        <v>6119</v>
      </c>
      <c r="S180" s="451"/>
      <c r="T180" s="30" t="s">
        <v>12</v>
      </c>
      <c r="V180" s="459">
        <v>4</v>
      </c>
      <c r="W180" s="460" t="s">
        <v>184</v>
      </c>
      <c r="X180" s="461" t="s">
        <v>183</v>
      </c>
      <c r="Y180" s="462">
        <v>41</v>
      </c>
      <c r="Z180" s="463">
        <v>100</v>
      </c>
      <c r="AA180" s="464">
        <f>IF($AC$396="","",ROW($A$396)-ROW($A$396))</f>
        <v>0</v>
      </c>
      <c r="AB180" s="461"/>
      <c r="AC180" s="465" t="s">
        <v>185</v>
      </c>
      <c r="AD180" s="390"/>
      <c r="AE180" s="13">
        <v>50</v>
      </c>
      <c r="AF180" s="23" t="s">
        <v>309</v>
      </c>
      <c r="AG180" s="467">
        <f t="shared" ref="AG180:AG214" si="40">IF($AC180="","",IF(LEN($AN180&amp;"")=0,"",$AN180))</f>
        <v>50</v>
      </c>
      <c r="AH180" s="468" t="str">
        <f t="shared" ref="AH180:AH214" si="41">IF($AC180="","",IF($AF180&lt;&gt;"",UPPER(TRIM(SUBSTITUTE(SUBSTITUTE($AF180&amp;"",CHAR(160)," ")," "," "))),$AP180))</f>
        <v>PIÈCE(S)</v>
      </c>
      <c r="AI180" s="469" t="str">
        <f>IF($AC$180="","",IFERROR(INDEX($AZ$74:$AZ$119,MATCH($AH$180,$AY$74:$AY$119,0)),"AUTRE"))</f>
        <v>AUTRE</v>
      </c>
      <c r="AJ180" s="470">
        <f>IF($AC$180="","",IFERROR(INDEX($BA$74:$BA$119,MATCH($AH$180,$AY$74:$AY$119,0)),1))</f>
        <v>1</v>
      </c>
      <c r="AK180" s="470">
        <f t="shared" ref="AK180:AK214" si="42">IF(OR(AG180="",AJ180=""),"",AG180*AJ180)</f>
        <v>50</v>
      </c>
      <c r="AL180" s="469" t="str">
        <f>IF($AC$180="","",IFERROR(INDEX($BB$74:$BB$119,MATCH($AH$180,$AY$74:$AY$119,0)),$AH$180))</f>
        <v>pièce(s)</v>
      </c>
      <c r="AM180" s="471" t="str">
        <f t="shared" ref="AM180:AM214" si="43">IF($AC180="","",IF($AH180="QT. SUFFISANTE","OK",IF($AG180="","TEXTE",IF(NOT(ISNUMBER($AG180)),"QUANTITÉ À CONTRÔLER",IF(COUNTIF($AY$74:$AY$119,$AH180)=0,"UNITÉ À CONTRÔLER","OK")))))</f>
        <v>OK</v>
      </c>
      <c r="AN180" s="474">
        <f t="shared" ref="AN180:AN214" si="44">IF($AE180&lt;&gt;"",$AE180,IF($AD180="","",IF(ISNUMBER($AD180),$AD180,IF($AO180="QT",0,IF($AO180="","",IFERROR(IF(ISNUMBER(SEARCH("/",$AO180)),VALUE(TRIM(LEFT($AO180,SEARCH("/",$AO180)-1)))/VALUE(TRIM(MID($AO180,SEARCH("/",$AO180)+1,99))),VALUE(SUBSTITUTE($AO180,".",","))),""))))))</f>
        <v>50</v>
      </c>
      <c r="AO180" s="473" t="str">
        <f t="shared" ref="AO180:AO214" si="45">IF($AD180="","",IF(ISNUMBER($AD180),$AD180,IF(OR(LEFT($AQ180,3)="QT.",LEFT($AQ180,4)="QUAN"),"QT",IF($AR180=999,$AQ180,TRIM(LEFT($AQ180,$AR180-1))))))</f>
        <v/>
      </c>
      <c r="AP180" s="473" t="str">
        <f t="shared" ref="AP180:AP214" si="46">IF($AD180="","",IF(ISNUMBER($AD180),"",IF(OR(LEFT($AQ180,3)="QT.",LEFT($AQ180,4)="QUAN"),"QT. SUFFISANTE",IF($AO180="","",TRIM(MID($AQ180,LEN($AO180&amp;"")+1,999))))))</f>
        <v/>
      </c>
      <c r="AQ180" s="473" t="str">
        <f t="shared" ref="AQ180:AQ214" si="47">IF($AD180="","",UPPER(TRIM(SUBSTITUTE(SUBSTITUTE($AD180&amp;"",CHAR(160)," ")," "," "))))</f>
        <v/>
      </c>
      <c r="AR180" s="473" t="str">
        <f t="shared" ref="AR180:AR214" si="48">IF($AQ180="","",MIN($AS180,$AT180,$AU180))</f>
        <v/>
      </c>
      <c r="AS180" s="473" t="str">
        <f t="shared" ref="AS180:AS214" si="49">IF($AQ180="","",MIN(IFERROR(SEARCH("A",$AQ180),999),IFERROR(SEARCH("B",$AQ180),999),IFERROR(SEARCH("C",$AQ180),999),IFERROR(SEARCH("D",$AQ180),999),IFERROR(SEARCH("E",$AQ180),999),IFERROR(SEARCH("F",$AQ180),999),IFERROR(SEARCH("G",$AQ180),999),IFERROR(SEARCH("H",$AQ180),999),IFERROR(SEARCH("I",$AQ180),999)))</f>
        <v/>
      </c>
      <c r="AT180" s="473" t="str">
        <f t="shared" ref="AT180:AT214" si="50">IF($AQ180="","",MIN(IFERROR(SEARCH("J",$AQ180),999),IFERROR(SEARCH("K",$AQ180),999),IFERROR(SEARCH("L",$AQ180),999),IFERROR(SEARCH("M",$AQ180),999),IFERROR(SEARCH("N",$AQ180),999),IFERROR(SEARCH("O",$AQ180),999),IFERROR(SEARCH("P",$AQ180),999),IFERROR(SEARCH("Q",$AQ180),999),IFERROR(SEARCH("R",$AQ180),999)))</f>
        <v/>
      </c>
      <c r="AU180" s="473" t="str">
        <f t="shared" ref="AU180:AU214" si="51">IF($AQ180="","",MIN(IFERROR(SEARCH("S",$AQ180),999),IFERROR(SEARCH("T",$AQ180),999),IFERROR(SEARCH("U",$AQ180),999),IFERROR(SEARCH("V",$AQ180),999),IFERROR(SEARCH("W",$AQ180),999),IFERROR(SEARCH("X",$AQ180),999),IFERROR(SEARCH("Y",$AQ180),999),IFERROR(SEARCH("Z",$AQ180),999)))</f>
        <v/>
      </c>
      <c r="AZ180" s="31" t="s">
        <v>211</v>
      </c>
      <c r="BA180" s="490"/>
      <c r="BB180" s="499"/>
      <c r="BC180" s="271"/>
      <c r="BD180" s="279">
        <v>1</v>
      </c>
      <c r="BE180" s="271"/>
      <c r="BF180" s="271"/>
      <c r="BG180" s="271"/>
      <c r="BH180" s="271"/>
      <c r="BI180" s="271"/>
      <c r="BJ180" s="271"/>
      <c r="BK180" s="271"/>
      <c r="BL180" s="271"/>
    </row>
    <row r="181" spans="18:64" ht="21" customHeight="1" x14ac:dyDescent="0.25">
      <c r="R181" s="34" t="s">
        <v>6120</v>
      </c>
      <c r="S181" s="451"/>
      <c r="T181" s="31" t="s">
        <v>16</v>
      </c>
      <c r="V181" s="475">
        <f>$V$180</f>
        <v>4</v>
      </c>
      <c r="W181" s="475" t="str">
        <f>IF($AC$181="","",$W$180)</f>
        <v>N° 24</v>
      </c>
      <c r="X181" s="476" t="str">
        <f>IF($AC$181="","",$X$180)</f>
        <v>CRÈME D'AVOCAT GALETTE POLENTA</v>
      </c>
      <c r="Y181" s="477">
        <f>IF($X$181="","",$Y$180)</f>
        <v>41</v>
      </c>
      <c r="Z181" s="477">
        <f>IF($X$181="","",$Z$180)</f>
        <v>100</v>
      </c>
      <c r="AA181" s="477">
        <f>IF($AC$181="","",ROW($A$181)-ROW($A$180))</f>
        <v>1</v>
      </c>
      <c r="AB181" s="478"/>
      <c r="AC181" s="34" t="s">
        <v>186</v>
      </c>
      <c r="AD181" s="356"/>
      <c r="AE181" s="18">
        <v>6</v>
      </c>
      <c r="AF181" s="11" t="s">
        <v>7</v>
      </c>
      <c r="AG181" s="480">
        <f t="shared" si="40"/>
        <v>6</v>
      </c>
      <c r="AH181" s="481" t="str">
        <f t="shared" si="41"/>
        <v>KG</v>
      </c>
      <c r="AI181" s="477" t="str">
        <f>IF($AC$181="","",IFERROR(INDEX($AZ$74:$AZ$119,MATCH($AH$181,$AY$74:$AY$119,0)),"AUTRE"))</f>
        <v>MASSE</v>
      </c>
      <c r="AJ181" s="482">
        <f>IF($AC$181="","",IFERROR(INDEX($BA$74:$BA$119,MATCH($AH$181,$AY$74:$AY$119,0)),1))</f>
        <v>1</v>
      </c>
      <c r="AK181" s="482">
        <f t="shared" si="42"/>
        <v>6</v>
      </c>
      <c r="AL181" s="477" t="str">
        <f>IF($AC$181="","",IFERROR(INDEX($BB$74:$BB$119,MATCH($AH$181,$AY$74:$AY$119,0)),$AH$181))</f>
        <v>kg</v>
      </c>
      <c r="AM181" s="483" t="str">
        <f t="shared" si="43"/>
        <v>OK</v>
      </c>
      <c r="AN181" s="484">
        <f t="shared" si="44"/>
        <v>6</v>
      </c>
      <c r="AO181" s="473" t="str">
        <f t="shared" si="45"/>
        <v/>
      </c>
      <c r="AP181" s="473" t="str">
        <f t="shared" si="46"/>
        <v/>
      </c>
      <c r="AQ181" s="473" t="str">
        <f t="shared" si="47"/>
        <v/>
      </c>
      <c r="AR181" s="473" t="str">
        <f t="shared" si="48"/>
        <v/>
      </c>
      <c r="AS181" s="473" t="str">
        <f t="shared" si="49"/>
        <v/>
      </c>
      <c r="AT181" s="473" t="str">
        <f t="shared" si="50"/>
        <v/>
      </c>
      <c r="AU181" s="473" t="str">
        <f t="shared" si="51"/>
        <v/>
      </c>
      <c r="AZ181" s="31" t="s">
        <v>20</v>
      </c>
      <c r="BA181" s="25" t="s">
        <v>6119</v>
      </c>
      <c r="BB181" s="499"/>
      <c r="BC181" s="271"/>
      <c r="BD181" s="279">
        <v>1</v>
      </c>
      <c r="BE181" s="271"/>
      <c r="BF181" s="271"/>
      <c r="BG181" s="271"/>
      <c r="BH181" s="271"/>
      <c r="BI181" s="271"/>
      <c r="BJ181" s="271"/>
      <c r="BK181" s="271"/>
      <c r="BL181" s="271"/>
    </row>
    <row r="182" spans="18:64" ht="21" customHeight="1" x14ac:dyDescent="0.25">
      <c r="R182" s="34" t="s">
        <v>6121</v>
      </c>
      <c r="S182" s="451"/>
      <c r="T182" s="31" t="s">
        <v>17</v>
      </c>
      <c r="V182" s="475">
        <v>4</v>
      </c>
      <c r="W182" s="475" t="str">
        <f>IF($AC$182="","",$W$180)</f>
        <v>N° 24</v>
      </c>
      <c r="X182" s="476" t="str">
        <f>IF($AC$182="","",$X$180)</f>
        <v>CRÈME D'AVOCAT GALETTE POLENTA</v>
      </c>
      <c r="Y182" s="477">
        <f>IF($X$182="","",$Y$180)</f>
        <v>41</v>
      </c>
      <c r="Z182" s="477">
        <f>IF($X$182="","",$Z$180)</f>
        <v>100</v>
      </c>
      <c r="AA182" s="477">
        <f>IF($AC$182="","",ROW($A$182)-ROW($A$180))</f>
        <v>2</v>
      </c>
      <c r="AB182" s="478"/>
      <c r="AC182" s="34" t="s">
        <v>41</v>
      </c>
      <c r="AD182" s="356"/>
      <c r="AE182" s="18">
        <v>60</v>
      </c>
      <c r="AF182" s="16" t="s">
        <v>8</v>
      </c>
      <c r="AG182" s="480">
        <f t="shared" si="40"/>
        <v>60</v>
      </c>
      <c r="AH182" s="481" t="str">
        <f t="shared" si="41"/>
        <v>G</v>
      </c>
      <c r="AI182" s="477" t="str">
        <f>IF($AC$182="","",IFERROR(INDEX($AZ$74:$AZ$119,MATCH($AH$182,$AY$74:$AY$119,0)),"AUTRE"))</f>
        <v>MASSE</v>
      </c>
      <c r="AJ182" s="482">
        <f>IF($AC$182="","",IFERROR(INDEX($BA$74:$BA$119,MATCH($AH$182,$AY$74:$AY$119,0)),1))</f>
        <v>1E-3</v>
      </c>
      <c r="AK182" s="482">
        <f t="shared" si="42"/>
        <v>0.06</v>
      </c>
      <c r="AL182" s="477" t="str">
        <f>IF($AC$182="","",IFERROR(INDEX($BB$74:$BB$119,MATCH($AH$182,$AY$74:$AY$119,0)),$AH$182))</f>
        <v>kg</v>
      </c>
      <c r="AM182" s="483" t="str">
        <f t="shared" si="43"/>
        <v>OK</v>
      </c>
      <c r="AN182" s="484">
        <f t="shared" si="44"/>
        <v>60</v>
      </c>
      <c r="AO182" s="473" t="str">
        <f t="shared" si="45"/>
        <v/>
      </c>
      <c r="AP182" s="473" t="str">
        <f t="shared" si="46"/>
        <v/>
      </c>
      <c r="AQ182" s="473" t="str">
        <f t="shared" si="47"/>
        <v/>
      </c>
      <c r="AR182" s="473" t="str">
        <f t="shared" si="48"/>
        <v/>
      </c>
      <c r="AS182" s="473" t="str">
        <f t="shared" si="49"/>
        <v/>
      </c>
      <c r="AT182" s="473" t="str">
        <f t="shared" si="50"/>
        <v/>
      </c>
      <c r="AU182" s="473" t="str">
        <f t="shared" si="51"/>
        <v/>
      </c>
      <c r="AZ182" s="31" t="s">
        <v>304</v>
      </c>
      <c r="BA182" s="34" t="s">
        <v>6120</v>
      </c>
      <c r="BB182" s="499"/>
      <c r="BC182" s="271"/>
      <c r="BD182" s="279">
        <v>1</v>
      </c>
      <c r="BE182" s="271"/>
      <c r="BF182" s="271"/>
      <c r="BG182" s="271"/>
      <c r="BH182" s="271"/>
      <c r="BI182" s="271"/>
      <c r="BJ182" s="271"/>
      <c r="BK182" s="271"/>
      <c r="BL182" s="271"/>
    </row>
    <row r="183" spans="18:64" ht="21" customHeight="1" x14ac:dyDescent="0.25">
      <c r="R183" s="34" t="s">
        <v>6122</v>
      </c>
      <c r="S183" s="451"/>
      <c r="T183" s="31" t="s">
        <v>18</v>
      </c>
      <c r="V183" s="475">
        <v>4</v>
      </c>
      <c r="W183" s="475" t="str">
        <f>IF($AC$183="","",$W$180)</f>
        <v>N° 24</v>
      </c>
      <c r="X183" s="476" t="str">
        <f>IF($AC$183="","",$X$180)</f>
        <v>CRÈME D'AVOCAT GALETTE POLENTA</v>
      </c>
      <c r="Y183" s="477">
        <f>IF($X$183="","",$Y$180)</f>
        <v>41</v>
      </c>
      <c r="Z183" s="477">
        <f>IF($X$183="","",$Z$180)</f>
        <v>100</v>
      </c>
      <c r="AA183" s="477">
        <f>IF($AC$183="","",ROW($A$183)-ROW($A$180))</f>
        <v>3</v>
      </c>
      <c r="AB183" s="478"/>
      <c r="AC183" s="34" t="s">
        <v>425</v>
      </c>
      <c r="AD183" s="356"/>
      <c r="AE183" s="18">
        <v>10</v>
      </c>
      <c r="AF183" s="23" t="s">
        <v>311</v>
      </c>
      <c r="AG183" s="480">
        <f t="shared" si="40"/>
        <v>10</v>
      </c>
      <c r="AH183" s="481" t="str">
        <f t="shared" si="41"/>
        <v>UNITÉ(S)</v>
      </c>
      <c r="AI183" s="477" t="str">
        <f>IF($AC$183="","",IFERROR(INDEX($AZ$74:$AZ$119,MATCH($AH$183,$AY$74:$AY$119,0)),"AUTRE"))</f>
        <v>AUTRE</v>
      </c>
      <c r="AJ183" s="482">
        <f>IF($AC$183="","",IFERROR(INDEX($BA$74:$BA$119,MATCH($AH$183,$AY$74:$AY$119,0)),1))</f>
        <v>1</v>
      </c>
      <c r="AK183" s="482">
        <f t="shared" si="42"/>
        <v>10</v>
      </c>
      <c r="AL183" s="477" t="str">
        <f>IF($AC$183="","",IFERROR(INDEX($BB$74:$BB$119,MATCH($AH$183,$AY$74:$AY$119,0)),$AH$183))</f>
        <v>unité(s)</v>
      </c>
      <c r="AM183" s="483" t="str">
        <f t="shared" si="43"/>
        <v>OK</v>
      </c>
      <c r="AN183" s="484">
        <f t="shared" si="44"/>
        <v>10</v>
      </c>
      <c r="AO183" s="473" t="str">
        <f t="shared" si="45"/>
        <v/>
      </c>
      <c r="AP183" s="473" t="str">
        <f t="shared" si="46"/>
        <v/>
      </c>
      <c r="AQ183" s="473" t="str">
        <f t="shared" si="47"/>
        <v/>
      </c>
      <c r="AR183" s="473" t="str">
        <f t="shared" si="48"/>
        <v/>
      </c>
      <c r="AS183" s="473" t="str">
        <f t="shared" si="49"/>
        <v/>
      </c>
      <c r="AT183" s="473" t="str">
        <f t="shared" si="50"/>
        <v/>
      </c>
      <c r="AU183" s="473" t="str">
        <f t="shared" si="51"/>
        <v/>
      </c>
      <c r="AZ183" s="31" t="s">
        <v>352</v>
      </c>
      <c r="BA183" s="34" t="s">
        <v>6121</v>
      </c>
      <c r="BB183" s="499"/>
      <c r="BC183" s="271"/>
      <c r="BD183" s="279">
        <v>1</v>
      </c>
      <c r="BE183" s="271"/>
      <c r="BF183" s="271"/>
      <c r="BG183" s="271"/>
      <c r="BH183" s="271"/>
      <c r="BI183" s="271"/>
      <c r="BJ183" s="271"/>
      <c r="BK183" s="271"/>
      <c r="BL183" s="271"/>
    </row>
    <row r="184" spans="18:64" ht="21" customHeight="1" x14ac:dyDescent="0.25">
      <c r="R184" s="34" t="s">
        <v>6123</v>
      </c>
      <c r="S184" s="451"/>
      <c r="T184" s="31" t="s">
        <v>19</v>
      </c>
      <c r="V184" s="475">
        <v>4</v>
      </c>
      <c r="W184" s="475" t="str">
        <f>IF($AC$184="","",$W$180)</f>
        <v>N° 24</v>
      </c>
      <c r="X184" s="476" t="str">
        <f>IF($AC$184="","",$X$180)</f>
        <v>CRÈME D'AVOCAT GALETTE POLENTA</v>
      </c>
      <c r="Y184" s="477">
        <f>IF($X$184="","",$Y$180)</f>
        <v>41</v>
      </c>
      <c r="Z184" s="477">
        <f>IF($X$184="","",$Z$180)</f>
        <v>100</v>
      </c>
      <c r="AA184" s="477">
        <f>IF($AC$184="","",ROW($A$184)-ROW($A$180))</f>
        <v>4</v>
      </c>
      <c r="AB184" s="478"/>
      <c r="AC184" s="34" t="s">
        <v>157</v>
      </c>
      <c r="AD184" s="356"/>
      <c r="AE184" s="18">
        <v>5</v>
      </c>
      <c r="AF184" s="21" t="s">
        <v>11</v>
      </c>
      <c r="AG184" s="480">
        <f t="shared" si="40"/>
        <v>5</v>
      </c>
      <c r="AH184" s="481" t="str">
        <f t="shared" si="41"/>
        <v>CL</v>
      </c>
      <c r="AI184" s="477" t="str">
        <f>IF($AC$184="","",IFERROR(INDEX($AZ$74:$AZ$119,MATCH($AH$184,$AY$74:$AY$119,0)),"AUTRE"))</f>
        <v>VOLUME</v>
      </c>
      <c r="AJ184" s="482">
        <f>IF($AC$184="","",IFERROR(INDEX($BA$74:$BA$119,MATCH($AH$184,$AY$74:$AY$119,0)),1))</f>
        <v>0.01</v>
      </c>
      <c r="AK184" s="482">
        <f t="shared" si="42"/>
        <v>0.05</v>
      </c>
      <c r="AL184" s="477" t="str">
        <f>IF($AC$184="","",IFERROR(INDEX($BB$74:$BB$119,MATCH($AH$184,$AY$74:$AY$119,0)),$AH$184))</f>
        <v>L</v>
      </c>
      <c r="AM184" s="483" t="str">
        <f t="shared" si="43"/>
        <v>OK</v>
      </c>
      <c r="AN184" s="484">
        <f t="shared" si="44"/>
        <v>5</v>
      </c>
      <c r="AO184" s="473" t="str">
        <f t="shared" si="45"/>
        <v/>
      </c>
      <c r="AP184" s="473" t="str">
        <f t="shared" si="46"/>
        <v/>
      </c>
      <c r="AQ184" s="473" t="str">
        <f t="shared" si="47"/>
        <v/>
      </c>
      <c r="AR184" s="473" t="str">
        <f t="shared" si="48"/>
        <v/>
      </c>
      <c r="AS184" s="473" t="str">
        <f t="shared" si="49"/>
        <v/>
      </c>
      <c r="AT184" s="473" t="str">
        <f t="shared" si="50"/>
        <v/>
      </c>
      <c r="AU184" s="473" t="str">
        <f t="shared" si="51"/>
        <v/>
      </c>
      <c r="AZ184" s="31" t="s">
        <v>27</v>
      </c>
      <c r="BA184" s="34" t="s">
        <v>6122</v>
      </c>
      <c r="BB184" s="499"/>
      <c r="BC184" s="271"/>
      <c r="BD184" s="279">
        <v>1</v>
      </c>
      <c r="BE184" s="271"/>
      <c r="BF184" s="271"/>
      <c r="BG184" s="271"/>
      <c r="BH184" s="271"/>
      <c r="BI184" s="271"/>
      <c r="BJ184" s="271"/>
      <c r="BK184" s="271"/>
      <c r="BL184" s="271"/>
    </row>
    <row r="185" spans="18:64" ht="21" customHeight="1" x14ac:dyDescent="0.25">
      <c r="R185" s="34" t="s">
        <v>6124</v>
      </c>
      <c r="S185" s="451"/>
      <c r="T185" s="31" t="s">
        <v>211</v>
      </c>
      <c r="V185" s="475">
        <v>4</v>
      </c>
      <c r="W185" s="475" t="str">
        <f>IF($AC$185="","",$W$180)</f>
        <v>N° 24</v>
      </c>
      <c r="X185" s="476" t="str">
        <f>IF($AC$185="","",$X$180)</f>
        <v>CRÈME D'AVOCAT GALETTE POLENTA</v>
      </c>
      <c r="Y185" s="477">
        <f>IF($X$185="","",$Y$180)</f>
        <v>41</v>
      </c>
      <c r="Z185" s="477">
        <f>IF($X$185="","",$Z$180)</f>
        <v>100</v>
      </c>
      <c r="AA185" s="477">
        <f>IF($AC$185="","",ROW($A$185)-ROW($A$180))</f>
        <v>5</v>
      </c>
      <c r="AB185" s="478"/>
      <c r="AC185" s="34" t="s">
        <v>67</v>
      </c>
      <c r="AD185" s="356"/>
      <c r="AE185" s="18">
        <v>45</v>
      </c>
      <c r="AF185" s="16" t="s">
        <v>8</v>
      </c>
      <c r="AG185" s="480">
        <f t="shared" si="40"/>
        <v>45</v>
      </c>
      <c r="AH185" s="481" t="str">
        <f t="shared" si="41"/>
        <v>G</v>
      </c>
      <c r="AI185" s="477" t="str">
        <f>IF($AC$185="","",IFERROR(INDEX($AZ$74:$AZ$119,MATCH($AH$185,$AY$74:$AY$119,0)),"AUTRE"))</f>
        <v>MASSE</v>
      </c>
      <c r="AJ185" s="482">
        <f>IF($AC$185="","",IFERROR(INDEX($BA$74:$BA$119,MATCH($AH$185,$AY$74:$AY$119,0)),1))</f>
        <v>1E-3</v>
      </c>
      <c r="AK185" s="482">
        <f t="shared" si="42"/>
        <v>4.4999999999999998E-2</v>
      </c>
      <c r="AL185" s="477" t="str">
        <f>IF($AC$185="","",IFERROR(INDEX($BB$74:$BB$119,MATCH($AH$185,$AY$74:$AY$119,0)),$AH$185))</f>
        <v>kg</v>
      </c>
      <c r="AM185" s="483" t="str">
        <f t="shared" si="43"/>
        <v>OK</v>
      </c>
      <c r="AN185" s="484">
        <f t="shared" si="44"/>
        <v>45</v>
      </c>
      <c r="AO185" s="473" t="str">
        <f t="shared" si="45"/>
        <v/>
      </c>
      <c r="AP185" s="473" t="str">
        <f t="shared" si="46"/>
        <v/>
      </c>
      <c r="AQ185" s="473" t="str">
        <f t="shared" si="47"/>
        <v/>
      </c>
      <c r="AR185" s="473" t="str">
        <f t="shared" si="48"/>
        <v/>
      </c>
      <c r="AS185" s="473" t="str">
        <f t="shared" si="49"/>
        <v/>
      </c>
      <c r="AT185" s="473" t="str">
        <f t="shared" si="50"/>
        <v/>
      </c>
      <c r="AU185" s="473" t="str">
        <f t="shared" si="51"/>
        <v/>
      </c>
      <c r="AZ185" s="31" t="s">
        <v>28</v>
      </c>
      <c r="BA185" s="34" t="s">
        <v>6123</v>
      </c>
      <c r="BB185" s="499"/>
      <c r="BC185" s="271"/>
      <c r="BD185" s="279">
        <v>1</v>
      </c>
      <c r="BE185" s="271"/>
      <c r="BF185" s="271"/>
      <c r="BG185" s="271"/>
      <c r="BH185" s="271"/>
      <c r="BI185" s="271"/>
      <c r="BJ185" s="271"/>
      <c r="BK185" s="271"/>
      <c r="BL185" s="271"/>
    </row>
    <row r="186" spans="18:64" ht="21" customHeight="1" x14ac:dyDescent="0.25">
      <c r="R186" s="34" t="s">
        <v>6125</v>
      </c>
      <c r="S186" s="451"/>
      <c r="T186" s="31" t="s">
        <v>20</v>
      </c>
      <c r="V186" s="475">
        <v>4</v>
      </c>
      <c r="W186" s="475" t="str">
        <f>IF($AC$186="","",$W$180)</f>
        <v>N° 24</v>
      </c>
      <c r="X186" s="476" t="str">
        <f>IF($AC$186="","",$X$180)</f>
        <v>CRÈME D'AVOCAT GALETTE POLENTA</v>
      </c>
      <c r="Y186" s="477">
        <f>IF($X$186="","",$Y$180)</f>
        <v>41</v>
      </c>
      <c r="Z186" s="477">
        <f>IF($X$186="","",$Z$180)</f>
        <v>100</v>
      </c>
      <c r="AA186" s="477">
        <f>IF($AC$186="","",ROW($A$186)-ROW($A$180))</f>
        <v>6</v>
      </c>
      <c r="AB186" s="478"/>
      <c r="AC186" s="34" t="s">
        <v>44</v>
      </c>
      <c r="AD186" s="356"/>
      <c r="AE186" s="18">
        <v>6</v>
      </c>
      <c r="AF186" s="16" t="s">
        <v>8</v>
      </c>
      <c r="AG186" s="480">
        <f t="shared" si="40"/>
        <v>6</v>
      </c>
      <c r="AH186" s="481" t="str">
        <f t="shared" si="41"/>
        <v>G</v>
      </c>
      <c r="AI186" s="477" t="str">
        <f>IF($AC$186="","",IFERROR(INDEX($AZ$74:$AZ$119,MATCH($AH$186,$AY$74:$AY$119,0)),"AUTRE"))</f>
        <v>MASSE</v>
      </c>
      <c r="AJ186" s="482">
        <f>IF($AC$186="","",IFERROR(INDEX($BA$74:$BA$119,MATCH($AH$186,$AY$74:$AY$119,0)),1))</f>
        <v>1E-3</v>
      </c>
      <c r="AK186" s="482">
        <f t="shared" si="42"/>
        <v>6.0000000000000001E-3</v>
      </c>
      <c r="AL186" s="477" t="str">
        <f>IF($AC$186="","",IFERROR(INDEX($BB$74:$BB$119,MATCH($AH$186,$AY$74:$AY$119,0)),$AH$186))</f>
        <v>kg</v>
      </c>
      <c r="AM186" s="483" t="str">
        <f t="shared" si="43"/>
        <v>OK</v>
      </c>
      <c r="AN186" s="484">
        <f t="shared" si="44"/>
        <v>6</v>
      </c>
      <c r="AO186" s="473" t="str">
        <f t="shared" si="45"/>
        <v/>
      </c>
      <c r="AP186" s="473" t="str">
        <f t="shared" si="46"/>
        <v/>
      </c>
      <c r="AQ186" s="473" t="str">
        <f t="shared" si="47"/>
        <v/>
      </c>
      <c r="AR186" s="473" t="str">
        <f t="shared" si="48"/>
        <v/>
      </c>
      <c r="AS186" s="473" t="str">
        <f t="shared" si="49"/>
        <v/>
      </c>
      <c r="AT186" s="473" t="str">
        <f t="shared" si="50"/>
        <v/>
      </c>
      <c r="AU186" s="473" t="str">
        <f t="shared" si="51"/>
        <v/>
      </c>
      <c r="AZ186" s="31" t="s">
        <v>29</v>
      </c>
      <c r="BA186" s="34" t="s">
        <v>6124</v>
      </c>
      <c r="BB186" s="499"/>
      <c r="BC186" s="271"/>
      <c r="BD186" s="279">
        <v>1</v>
      </c>
      <c r="BE186" s="271"/>
      <c r="BF186" s="271"/>
      <c r="BG186" s="271"/>
      <c r="BH186" s="271"/>
      <c r="BI186" s="271"/>
      <c r="BJ186" s="271"/>
      <c r="BK186" s="271"/>
      <c r="BL186" s="271"/>
    </row>
    <row r="187" spans="18:64" ht="21" customHeight="1" x14ac:dyDescent="0.25">
      <c r="R187" s="34" t="s">
        <v>6126</v>
      </c>
      <c r="S187" s="451"/>
      <c r="T187" s="31" t="s">
        <v>304</v>
      </c>
      <c r="V187" s="475">
        <v>4</v>
      </c>
      <c r="W187" s="475" t="str">
        <f>IF($AC$187="","",$W$180)</f>
        <v>N° 24</v>
      </c>
      <c r="X187" s="476" t="str">
        <f>IF($AC$187="","",$X$180)</f>
        <v>CRÈME D'AVOCAT GALETTE POLENTA</v>
      </c>
      <c r="Y187" s="477">
        <f>IF($X$187="","",$Y$180)</f>
        <v>41</v>
      </c>
      <c r="Z187" s="477">
        <f>IF($X$187="","",$Z$180)</f>
        <v>100</v>
      </c>
      <c r="AA187" s="477">
        <f>IF($AC$187="","",ROW($A$187)-ROW($A$180))</f>
        <v>7</v>
      </c>
      <c r="AB187" s="478"/>
      <c r="AC187" s="34" t="s">
        <v>75</v>
      </c>
      <c r="AD187" s="356"/>
      <c r="AE187" s="18">
        <v>20</v>
      </c>
      <c r="AF187" s="23" t="s">
        <v>307</v>
      </c>
      <c r="AG187" s="480">
        <f t="shared" si="40"/>
        <v>20</v>
      </c>
      <c r="AH187" s="481" t="str">
        <f t="shared" si="41"/>
        <v>GOUTTE(S)</v>
      </c>
      <c r="AI187" s="477" t="str">
        <f>IF($AC$187="","",IFERROR(INDEX($AZ$74:$AZ$119,MATCH($AH$187,$AY$74:$AY$119,0)),"AUTRE"))</f>
        <v>AUTRE</v>
      </c>
      <c r="AJ187" s="482">
        <f>IF($AC$187="","",IFERROR(INDEX($BA$74:$BA$119,MATCH($AH$187,$AY$74:$AY$119,0)),1))</f>
        <v>1</v>
      </c>
      <c r="AK187" s="482">
        <f t="shared" si="42"/>
        <v>20</v>
      </c>
      <c r="AL187" s="477" t="str">
        <f>IF($AC$187="","",IFERROR(INDEX($BB$74:$BB$119,MATCH($AH$187,$AY$74:$AY$119,0)),$AH$187))</f>
        <v>goutte(s)</v>
      </c>
      <c r="AM187" s="483" t="str">
        <f t="shared" si="43"/>
        <v>OK</v>
      </c>
      <c r="AN187" s="484">
        <f t="shared" si="44"/>
        <v>20</v>
      </c>
      <c r="AO187" s="473" t="str">
        <f t="shared" si="45"/>
        <v/>
      </c>
      <c r="AP187" s="473" t="str">
        <f t="shared" si="46"/>
        <v/>
      </c>
      <c r="AQ187" s="473" t="str">
        <f t="shared" si="47"/>
        <v/>
      </c>
      <c r="AR187" s="473" t="str">
        <f t="shared" si="48"/>
        <v/>
      </c>
      <c r="AS187" s="473" t="str">
        <f t="shared" si="49"/>
        <v/>
      </c>
      <c r="AT187" s="473" t="str">
        <f t="shared" si="50"/>
        <v/>
      </c>
      <c r="AU187" s="473" t="str">
        <f t="shared" si="51"/>
        <v/>
      </c>
      <c r="AZ187" s="31" t="s">
        <v>30</v>
      </c>
      <c r="BA187" s="34" t="s">
        <v>6125</v>
      </c>
      <c r="BB187" s="499"/>
      <c r="BC187" s="271"/>
      <c r="BD187" s="279">
        <v>1</v>
      </c>
      <c r="BE187" s="271"/>
      <c r="BF187" s="271"/>
      <c r="BG187" s="271"/>
      <c r="BH187" s="271"/>
      <c r="BI187" s="271"/>
      <c r="BJ187" s="271"/>
      <c r="BK187" s="271"/>
      <c r="BL187" s="271"/>
    </row>
    <row r="188" spans="18:64" ht="21" customHeight="1" x14ac:dyDescent="0.25">
      <c r="R188" s="34" t="s">
        <v>6127</v>
      </c>
      <c r="S188" s="451"/>
      <c r="T188" s="31" t="s">
        <v>352</v>
      </c>
      <c r="V188" s="475">
        <v>4</v>
      </c>
      <c r="W188" s="475" t="str">
        <f>IF($AC$188="","",$W$180)</f>
        <v/>
      </c>
      <c r="X188" s="476" t="str">
        <f>IF($AC$188="","",$X$180)</f>
        <v/>
      </c>
      <c r="Y188" s="477" t="str">
        <f>IF($X$188="","",$Y$180)</f>
        <v/>
      </c>
      <c r="Z188" s="477" t="str">
        <f>IF($X$188="","",$Z$180)</f>
        <v/>
      </c>
      <c r="AA188" s="477" t="str">
        <f>IF($AC$188="","",ROW($A$188)-ROW($A$180))</f>
        <v/>
      </c>
      <c r="AB188" s="478"/>
      <c r="AC188" s="34" t="s">
        <v>345</v>
      </c>
      <c r="AD188" s="356"/>
      <c r="AE188" s="18"/>
      <c r="AF188" s="19"/>
      <c r="AG188" s="480" t="str">
        <f t="shared" si="40"/>
        <v/>
      </c>
      <c r="AH188" s="481" t="str">
        <f t="shared" si="41"/>
        <v/>
      </c>
      <c r="AI188" s="477" t="str">
        <f>IF($AC$188="","",IFERROR(INDEX($AZ$74:$AZ$119,MATCH($AH$188,$AY$74:$AY$119,0)),"AUTRE"))</f>
        <v/>
      </c>
      <c r="AJ188" s="482" t="str">
        <f>IF($AC$188="","",IFERROR(INDEX($BA$74:$BA$119,MATCH($AH$188,$AY$74:$AY$119,0)),1))</f>
        <v/>
      </c>
      <c r="AK188" s="482" t="str">
        <f t="shared" si="42"/>
        <v/>
      </c>
      <c r="AL188" s="477" t="str">
        <f>IF($AC$188="","",IFERROR(INDEX($BB$74:$BB$119,MATCH($AH$188,$AY$74:$AY$119,0)),$AH$188))</f>
        <v/>
      </c>
      <c r="AM188" s="483" t="str">
        <f t="shared" si="43"/>
        <v/>
      </c>
      <c r="AN188" s="484" t="str">
        <f t="shared" si="44"/>
        <v/>
      </c>
      <c r="AO188" s="473" t="str">
        <f t="shared" si="45"/>
        <v/>
      </c>
      <c r="AP188" s="473" t="str">
        <f t="shared" si="46"/>
        <v/>
      </c>
      <c r="AQ188" s="473" t="str">
        <f t="shared" si="47"/>
        <v/>
      </c>
      <c r="AR188" s="473" t="str">
        <f t="shared" si="48"/>
        <v/>
      </c>
      <c r="AS188" s="473" t="str">
        <f t="shared" si="49"/>
        <v/>
      </c>
      <c r="AT188" s="473" t="str">
        <f t="shared" si="50"/>
        <v/>
      </c>
      <c r="AU188" s="473" t="str">
        <f t="shared" si="51"/>
        <v/>
      </c>
      <c r="AZ188" s="32" t="s">
        <v>33</v>
      </c>
      <c r="BA188" s="34" t="s">
        <v>6126</v>
      </c>
      <c r="BB188" s="499"/>
      <c r="BC188" s="271"/>
      <c r="BD188" s="279">
        <v>1</v>
      </c>
      <c r="BE188" s="271"/>
      <c r="BF188" s="271"/>
      <c r="BG188" s="271"/>
      <c r="BH188" s="271"/>
      <c r="BI188" s="271"/>
      <c r="BJ188" s="271"/>
      <c r="BK188" s="271"/>
      <c r="BL188" s="271"/>
    </row>
    <row r="189" spans="18:64" ht="21" customHeight="1" x14ac:dyDescent="0.25">
      <c r="R189" s="25" t="s">
        <v>6128</v>
      </c>
      <c r="S189" s="451"/>
      <c r="T189" s="31" t="s">
        <v>25</v>
      </c>
      <c r="V189" s="475">
        <v>4</v>
      </c>
      <c r="W189" s="475" t="str">
        <f>IF($AC$189="","",$W$180)</f>
        <v>N° 24</v>
      </c>
      <c r="X189" s="476" t="str">
        <f>IF($AC$189="","",$X$180)</f>
        <v>CRÈME D'AVOCAT GALETTE POLENTA</v>
      </c>
      <c r="Y189" s="477">
        <f>IF($X$189="","",$Y$180)</f>
        <v>41</v>
      </c>
      <c r="Z189" s="477">
        <f>IF($X$189="","",$Z$180)</f>
        <v>100</v>
      </c>
      <c r="AA189" s="477">
        <f>IF($AC$189="","",ROW($A$189)-ROW($A$180))</f>
        <v>9</v>
      </c>
      <c r="AB189" s="478"/>
      <c r="AC189" s="34" t="s">
        <v>187</v>
      </c>
      <c r="AD189" s="356"/>
      <c r="AE189" s="18">
        <v>1.5</v>
      </c>
      <c r="AF189" s="11" t="s">
        <v>7</v>
      </c>
      <c r="AG189" s="480">
        <f t="shared" si="40"/>
        <v>1.5</v>
      </c>
      <c r="AH189" s="481" t="str">
        <f t="shared" si="41"/>
        <v>KG</v>
      </c>
      <c r="AI189" s="477" t="str">
        <f>IF($AC$189="","",IFERROR(INDEX($AZ$74:$AZ$119,MATCH($AH$189,$AY$74:$AY$119,0)),"AUTRE"))</f>
        <v>MASSE</v>
      </c>
      <c r="AJ189" s="482">
        <f>IF($AC$189="","",IFERROR(INDEX($BA$74:$BA$119,MATCH($AH$189,$AY$74:$AY$119,0)),1))</f>
        <v>1</v>
      </c>
      <c r="AK189" s="482">
        <f t="shared" si="42"/>
        <v>1.5</v>
      </c>
      <c r="AL189" s="477" t="str">
        <f>IF($AC$189="","",IFERROR(INDEX($BB$74:$BB$119,MATCH($AH$189,$AY$74:$AY$119,0)),$AH$189))</f>
        <v>kg</v>
      </c>
      <c r="AM189" s="483" t="str">
        <f t="shared" si="43"/>
        <v>OK</v>
      </c>
      <c r="AN189" s="484">
        <f t="shared" si="44"/>
        <v>1.5</v>
      </c>
      <c r="AO189" s="473" t="str">
        <f t="shared" si="45"/>
        <v/>
      </c>
      <c r="AP189" s="473" t="str">
        <f t="shared" si="46"/>
        <v/>
      </c>
      <c r="AQ189" s="473" t="str">
        <f t="shared" si="47"/>
        <v/>
      </c>
      <c r="AR189" s="473" t="str">
        <f t="shared" si="48"/>
        <v/>
      </c>
      <c r="AS189" s="473" t="str">
        <f t="shared" si="49"/>
        <v/>
      </c>
      <c r="AT189" s="473" t="str">
        <f t="shared" si="50"/>
        <v/>
      </c>
      <c r="AU189" s="473" t="str">
        <f t="shared" si="51"/>
        <v/>
      </c>
      <c r="AZ189" s="32" t="s">
        <v>8125</v>
      </c>
      <c r="BA189" s="34" t="s">
        <v>6127</v>
      </c>
      <c r="BB189" s="499"/>
      <c r="BC189" s="271"/>
      <c r="BD189" s="279">
        <v>1</v>
      </c>
      <c r="BE189" s="271"/>
      <c r="BF189" s="271"/>
      <c r="BG189" s="271"/>
      <c r="BH189" s="271"/>
      <c r="BI189" s="271"/>
      <c r="BJ189" s="271"/>
      <c r="BK189" s="271"/>
      <c r="BL189" s="271"/>
    </row>
    <row r="190" spans="18:64" ht="21" customHeight="1" x14ac:dyDescent="0.25">
      <c r="R190" s="34" t="s">
        <v>474</v>
      </c>
      <c r="S190" s="451"/>
      <c r="T190" s="31" t="s">
        <v>26</v>
      </c>
      <c r="V190" s="475">
        <v>4</v>
      </c>
      <c r="W190" s="475" t="str">
        <f>IF($AC$190="","",$W$180)</f>
        <v>N° 24</v>
      </c>
      <c r="X190" s="476" t="str">
        <f>IF($AC$190="","",$X$180)</f>
        <v>CRÈME D'AVOCAT GALETTE POLENTA</v>
      </c>
      <c r="Y190" s="477">
        <f>IF($X$190="","",$Y$180)</f>
        <v>41</v>
      </c>
      <c r="Z190" s="477">
        <f>IF($X$190="","",$Z$180)</f>
        <v>100</v>
      </c>
      <c r="AA190" s="477">
        <f>IF($AC$190="","",ROW($A$190)-ROW($A$180))</f>
        <v>10</v>
      </c>
      <c r="AB190" s="478"/>
      <c r="AC190" s="34" t="s">
        <v>91</v>
      </c>
      <c r="AD190" s="356"/>
      <c r="AE190" s="18">
        <v>8.4</v>
      </c>
      <c r="AF190" s="20" t="s">
        <v>9</v>
      </c>
      <c r="AG190" s="480">
        <f t="shared" si="40"/>
        <v>8.4</v>
      </c>
      <c r="AH190" s="481" t="str">
        <f t="shared" si="41"/>
        <v>L</v>
      </c>
      <c r="AI190" s="477" t="str">
        <f>IF($AC$190="","",IFERROR(INDEX($AZ$74:$AZ$119,MATCH($AH$190,$AY$74:$AY$119,0)),"AUTRE"))</f>
        <v>VOLUME</v>
      </c>
      <c r="AJ190" s="482">
        <f>IF($AC$190="","",IFERROR(INDEX($BA$74:$BA$119,MATCH($AH$190,$AY$74:$AY$119,0)),1))</f>
        <v>1</v>
      </c>
      <c r="AK190" s="482">
        <f t="shared" si="42"/>
        <v>8.4</v>
      </c>
      <c r="AL190" s="477" t="str">
        <f>IF($AC$190="","",IFERROR(INDEX($BB$74:$BB$119,MATCH($AH$190,$AY$74:$AY$119,0)),$AH$190))</f>
        <v>L</v>
      </c>
      <c r="AM190" s="483" t="str">
        <f t="shared" si="43"/>
        <v>OK</v>
      </c>
      <c r="AN190" s="484">
        <f t="shared" si="44"/>
        <v>8.4</v>
      </c>
      <c r="AO190" s="473" t="str">
        <f t="shared" si="45"/>
        <v/>
      </c>
      <c r="AP190" s="473" t="str">
        <f t="shared" si="46"/>
        <v/>
      </c>
      <c r="AQ190" s="473" t="str">
        <f t="shared" si="47"/>
        <v/>
      </c>
      <c r="AR190" s="473" t="str">
        <f t="shared" si="48"/>
        <v/>
      </c>
      <c r="AS190" s="473" t="str">
        <f t="shared" si="49"/>
        <v/>
      </c>
      <c r="AT190" s="473" t="str">
        <f t="shared" si="50"/>
        <v/>
      </c>
      <c r="AU190" s="473" t="str">
        <f t="shared" si="51"/>
        <v/>
      </c>
      <c r="AZ190" s="32" t="s">
        <v>8127</v>
      </c>
      <c r="BA190" s="25" t="s">
        <v>6128</v>
      </c>
      <c r="BB190" s="499"/>
      <c r="BC190" s="271"/>
      <c r="BD190" s="279">
        <v>1</v>
      </c>
      <c r="BE190" s="271"/>
      <c r="BF190" s="271"/>
      <c r="BG190" s="271"/>
      <c r="BH190" s="271"/>
      <c r="BI190" s="271"/>
      <c r="BJ190" s="271"/>
      <c r="BK190" s="271"/>
      <c r="BL190" s="271"/>
    </row>
    <row r="191" spans="18:64" ht="21" customHeight="1" x14ac:dyDescent="0.25">
      <c r="R191" s="34" t="s">
        <v>490</v>
      </c>
      <c r="S191" s="451"/>
      <c r="T191" s="31" t="s">
        <v>27</v>
      </c>
      <c r="V191" s="475">
        <v>4</v>
      </c>
      <c r="W191" s="475" t="str">
        <f>IF($AC$191="","",$W$180)</f>
        <v>N° 24</v>
      </c>
      <c r="X191" s="476" t="str">
        <f>IF($AC$191="","",$X$180)</f>
        <v>CRÈME D'AVOCAT GALETTE POLENTA</v>
      </c>
      <c r="Y191" s="477">
        <f>IF($X$191="","",$Y$180)</f>
        <v>41</v>
      </c>
      <c r="Z191" s="477">
        <f>IF($X$191="","",$Z$180)</f>
        <v>100</v>
      </c>
      <c r="AA191" s="477">
        <f>IF($AC$191="","",ROW($A$191)-ROW($A$180))</f>
        <v>11</v>
      </c>
      <c r="AB191" s="478"/>
      <c r="AC191" s="34" t="s">
        <v>188</v>
      </c>
      <c r="AD191" s="356"/>
      <c r="AE191" s="18">
        <v>60</v>
      </c>
      <c r="AF191" s="16" t="s">
        <v>8</v>
      </c>
      <c r="AG191" s="480">
        <f t="shared" si="40"/>
        <v>60</v>
      </c>
      <c r="AH191" s="481" t="str">
        <f t="shared" si="41"/>
        <v>G</v>
      </c>
      <c r="AI191" s="477" t="str">
        <f>IF($AC$191="","",IFERROR(INDEX($AZ$74:$AZ$119,MATCH($AH$191,$AY$74:$AY$119,0)),"AUTRE"))</f>
        <v>MASSE</v>
      </c>
      <c r="AJ191" s="482">
        <f>IF($AC$191="","",IFERROR(INDEX($BA$74:$BA$119,MATCH($AH$191,$AY$74:$AY$119,0)),1))</f>
        <v>1E-3</v>
      </c>
      <c r="AK191" s="482">
        <f t="shared" si="42"/>
        <v>0.06</v>
      </c>
      <c r="AL191" s="477" t="str">
        <f>IF($AC$191="","",IFERROR(INDEX($BB$74:$BB$119,MATCH($AH$191,$AY$74:$AY$119,0)),$AH$191))</f>
        <v>kg</v>
      </c>
      <c r="AM191" s="483" t="str">
        <f t="shared" si="43"/>
        <v>OK</v>
      </c>
      <c r="AN191" s="484">
        <f t="shared" si="44"/>
        <v>60</v>
      </c>
      <c r="AO191" s="473" t="str">
        <f t="shared" si="45"/>
        <v/>
      </c>
      <c r="AP191" s="473" t="str">
        <f t="shared" si="46"/>
        <v/>
      </c>
      <c r="AQ191" s="473" t="str">
        <f t="shared" si="47"/>
        <v/>
      </c>
      <c r="AR191" s="473" t="str">
        <f t="shared" si="48"/>
        <v/>
      </c>
      <c r="AS191" s="473" t="str">
        <f t="shared" si="49"/>
        <v/>
      </c>
      <c r="AT191" s="473" t="str">
        <f t="shared" si="50"/>
        <v/>
      </c>
      <c r="AU191" s="473" t="str">
        <f t="shared" si="51"/>
        <v/>
      </c>
      <c r="AZ191" s="32" t="s">
        <v>320</v>
      </c>
      <c r="BA191" s="34" t="s">
        <v>474</v>
      </c>
      <c r="BB191" s="499"/>
      <c r="BC191" s="271"/>
      <c r="BD191" s="279">
        <v>1</v>
      </c>
      <c r="BE191" s="271"/>
      <c r="BF191" s="271"/>
      <c r="BG191" s="271"/>
      <c r="BH191" s="271"/>
      <c r="BI191" s="271"/>
      <c r="BJ191" s="271"/>
      <c r="BK191" s="271"/>
      <c r="BL191" s="271"/>
    </row>
    <row r="192" spans="18:64" ht="21" customHeight="1" x14ac:dyDescent="0.25">
      <c r="R192" s="34" t="s">
        <v>6129</v>
      </c>
      <c r="S192" s="451"/>
      <c r="T192" s="31" t="s">
        <v>28</v>
      </c>
      <c r="V192" s="475">
        <v>4</v>
      </c>
      <c r="W192" s="475" t="str">
        <f>IF($AC$192="","",$W$180)</f>
        <v>N° 24</v>
      </c>
      <c r="X192" s="476" t="str">
        <f>IF($AC$192="","",$X$180)</f>
        <v>CRÈME D'AVOCAT GALETTE POLENTA</v>
      </c>
      <c r="Y192" s="477">
        <f>IF($X$192="","",$Y$180)</f>
        <v>41</v>
      </c>
      <c r="Z192" s="477">
        <f>IF($X$192="","",$Z$180)</f>
        <v>100</v>
      </c>
      <c r="AA192" s="477">
        <f>IF($AC$192="","",ROW($A$192)-ROW($A$180))</f>
        <v>12</v>
      </c>
      <c r="AB192" s="478"/>
      <c r="AC192" s="34" t="s">
        <v>44</v>
      </c>
      <c r="AD192" s="356"/>
      <c r="AE192" s="18">
        <v>6</v>
      </c>
      <c r="AF192" s="16" t="s">
        <v>8</v>
      </c>
      <c r="AG192" s="480">
        <f t="shared" si="40"/>
        <v>6</v>
      </c>
      <c r="AH192" s="481" t="str">
        <f t="shared" si="41"/>
        <v>G</v>
      </c>
      <c r="AI192" s="477" t="str">
        <f>IF($AC$192="","",IFERROR(INDEX($AZ$74:$AZ$119,MATCH($AH$192,$AY$74:$AY$119,0)),"AUTRE"))</f>
        <v>MASSE</v>
      </c>
      <c r="AJ192" s="482">
        <f>IF($AC$192="","",IFERROR(INDEX($BA$74:$BA$119,MATCH($AH$192,$AY$74:$AY$119,0)),1))</f>
        <v>1E-3</v>
      </c>
      <c r="AK192" s="482">
        <f t="shared" si="42"/>
        <v>6.0000000000000001E-3</v>
      </c>
      <c r="AL192" s="477" t="str">
        <f>IF($AC$192="","",IFERROR(INDEX($BB$74:$BB$119,MATCH($AH$192,$AY$74:$AY$119,0)),$AH$192))</f>
        <v>kg</v>
      </c>
      <c r="AM192" s="483" t="str">
        <f t="shared" si="43"/>
        <v>OK</v>
      </c>
      <c r="AN192" s="484">
        <f t="shared" si="44"/>
        <v>6</v>
      </c>
      <c r="AO192" s="473" t="str">
        <f t="shared" si="45"/>
        <v/>
      </c>
      <c r="AP192" s="473" t="str">
        <f t="shared" si="46"/>
        <v/>
      </c>
      <c r="AQ192" s="473" t="str">
        <f t="shared" si="47"/>
        <v/>
      </c>
      <c r="AR192" s="473" t="str">
        <f t="shared" si="48"/>
        <v/>
      </c>
      <c r="AS192" s="473" t="str">
        <f t="shared" si="49"/>
        <v/>
      </c>
      <c r="AT192" s="473" t="str">
        <f t="shared" si="50"/>
        <v/>
      </c>
      <c r="AU192" s="473" t="str">
        <f t="shared" si="51"/>
        <v/>
      </c>
      <c r="AZ192" s="32" t="s">
        <v>318</v>
      </c>
      <c r="BA192" s="34" t="s">
        <v>490</v>
      </c>
      <c r="BB192" s="499"/>
      <c r="BC192" s="271"/>
      <c r="BD192" s="279">
        <v>1</v>
      </c>
      <c r="BE192" s="271"/>
      <c r="BF192" s="271"/>
      <c r="BG192" s="271"/>
      <c r="BH192" s="271"/>
      <c r="BI192" s="271"/>
      <c r="BJ192" s="271"/>
      <c r="BK192" s="271"/>
      <c r="BL192" s="271"/>
    </row>
    <row r="193" spans="18:64" ht="21" customHeight="1" x14ac:dyDescent="0.25">
      <c r="R193" s="34" t="s">
        <v>478</v>
      </c>
      <c r="S193" s="451"/>
      <c r="T193" s="31" t="s">
        <v>29</v>
      </c>
      <c r="V193" s="475">
        <v>4</v>
      </c>
      <c r="W193" s="475" t="str">
        <f>IF($AC$193="","",$W$180)</f>
        <v>N° 24</v>
      </c>
      <c r="X193" s="476" t="str">
        <f>IF($AC$193="","",$X$180)</f>
        <v>CRÈME D'AVOCAT GALETTE POLENTA</v>
      </c>
      <c r="Y193" s="477">
        <f>IF($X$193="","",$Y$180)</f>
        <v>41</v>
      </c>
      <c r="Z193" s="477">
        <f>IF($X$193="","",$Z$180)</f>
        <v>100</v>
      </c>
      <c r="AA193" s="477">
        <f>IF($AC$193="","",ROW($A$193)-ROW($A$180))</f>
        <v>13</v>
      </c>
      <c r="AB193" s="478"/>
      <c r="AC193" s="34" t="s">
        <v>123</v>
      </c>
      <c r="AD193" s="356"/>
      <c r="AE193" s="18">
        <v>1.5</v>
      </c>
      <c r="AF193" s="11" t="s">
        <v>7</v>
      </c>
      <c r="AG193" s="480">
        <f t="shared" si="40"/>
        <v>1.5</v>
      </c>
      <c r="AH193" s="481" t="str">
        <f t="shared" si="41"/>
        <v>KG</v>
      </c>
      <c r="AI193" s="477" t="str">
        <f>IF($AC$193="","",IFERROR(INDEX($AZ$74:$AZ$119,MATCH($AH$193,$AY$74:$AY$119,0)),"AUTRE"))</f>
        <v>MASSE</v>
      </c>
      <c r="AJ193" s="482">
        <f>IF($AC$193="","",IFERROR(INDEX($BA$74:$BA$119,MATCH($AH$193,$AY$74:$AY$119,0)),1))</f>
        <v>1</v>
      </c>
      <c r="AK193" s="482">
        <f t="shared" si="42"/>
        <v>1.5</v>
      </c>
      <c r="AL193" s="477" t="str">
        <f>IF($AC$193="","",IFERROR(INDEX($BB$74:$BB$119,MATCH($AH$193,$AY$74:$AY$119,0)),$AH$193))</f>
        <v>kg</v>
      </c>
      <c r="AM193" s="483" t="str">
        <f t="shared" si="43"/>
        <v>OK</v>
      </c>
      <c r="AN193" s="484">
        <f t="shared" si="44"/>
        <v>1.5</v>
      </c>
      <c r="AO193" s="473" t="str">
        <f t="shared" si="45"/>
        <v/>
      </c>
      <c r="AP193" s="473" t="str">
        <f t="shared" si="46"/>
        <v/>
      </c>
      <c r="AQ193" s="473" t="str">
        <f t="shared" si="47"/>
        <v/>
      </c>
      <c r="AR193" s="473" t="str">
        <f t="shared" si="48"/>
        <v/>
      </c>
      <c r="AS193" s="473" t="str">
        <f t="shared" si="49"/>
        <v/>
      </c>
      <c r="AT193" s="473" t="str">
        <f t="shared" si="50"/>
        <v/>
      </c>
      <c r="AU193" s="473" t="str">
        <f t="shared" si="51"/>
        <v/>
      </c>
      <c r="AZ193" s="32" t="s">
        <v>316</v>
      </c>
      <c r="BA193" s="34" t="s">
        <v>6129</v>
      </c>
      <c r="BB193" s="499"/>
      <c r="BC193" s="271"/>
      <c r="BD193" s="279">
        <v>1</v>
      </c>
      <c r="BE193" s="271"/>
      <c r="BF193" s="271"/>
      <c r="BG193" s="271"/>
      <c r="BH193" s="271"/>
      <c r="BI193" s="271"/>
      <c r="BJ193" s="271"/>
      <c r="BK193" s="271"/>
      <c r="BL193" s="271"/>
    </row>
    <row r="194" spans="18:64" ht="21" customHeight="1" x14ac:dyDescent="0.25">
      <c r="R194" s="34" t="s">
        <v>6130</v>
      </c>
      <c r="S194" s="451"/>
      <c r="T194" s="31" t="s">
        <v>30</v>
      </c>
      <c r="V194" s="475">
        <v>4</v>
      </c>
      <c r="W194" s="475" t="str">
        <f>IF($AC$194="","",$W$180)</f>
        <v>N° 24</v>
      </c>
      <c r="X194" s="476" t="str">
        <f>IF($AC$194="","",$X$180)</f>
        <v>CRÈME D'AVOCAT GALETTE POLENTA</v>
      </c>
      <c r="Y194" s="477">
        <f>IF($X$194="","",$Y$180)</f>
        <v>41</v>
      </c>
      <c r="Z194" s="477">
        <f>IF($X$194="","",$Z$180)</f>
        <v>100</v>
      </c>
      <c r="AA194" s="477">
        <f>IF($AC$194="","",ROW($A$194)-ROW($A$180))</f>
        <v>14</v>
      </c>
      <c r="AB194" s="478"/>
      <c r="AC194" s="34" t="s">
        <v>176</v>
      </c>
      <c r="AD194" s="356"/>
      <c r="AE194" s="18">
        <v>1</v>
      </c>
      <c r="AF194" s="11" t="s">
        <v>7</v>
      </c>
      <c r="AG194" s="480">
        <f t="shared" si="40"/>
        <v>1</v>
      </c>
      <c r="AH194" s="481" t="str">
        <f t="shared" si="41"/>
        <v>KG</v>
      </c>
      <c r="AI194" s="477" t="str">
        <f>IF($AC$194="","",IFERROR(INDEX($AZ$74:$AZ$119,MATCH($AH$194,$AY$74:$AY$119,0)),"AUTRE"))</f>
        <v>MASSE</v>
      </c>
      <c r="AJ194" s="482">
        <f>IF($AC$194="","",IFERROR(INDEX($BA$74:$BA$119,MATCH($AH$194,$AY$74:$AY$119,0)),1))</f>
        <v>1</v>
      </c>
      <c r="AK194" s="482">
        <f t="shared" si="42"/>
        <v>1</v>
      </c>
      <c r="AL194" s="477" t="str">
        <f>IF($AC$194="","",IFERROR(INDEX($BB$74:$BB$119,MATCH($AH$194,$AY$74:$AY$119,0)),$AH$194))</f>
        <v>kg</v>
      </c>
      <c r="AM194" s="483" t="str">
        <f t="shared" si="43"/>
        <v>OK</v>
      </c>
      <c r="AN194" s="484">
        <f t="shared" si="44"/>
        <v>1</v>
      </c>
      <c r="AO194" s="473" t="str">
        <f t="shared" si="45"/>
        <v/>
      </c>
      <c r="AP194" s="473" t="str">
        <f t="shared" si="46"/>
        <v/>
      </c>
      <c r="AQ194" s="473" t="str">
        <f t="shared" si="47"/>
        <v/>
      </c>
      <c r="AR194" s="473" t="str">
        <f t="shared" si="48"/>
        <v/>
      </c>
      <c r="AS194" s="473" t="str">
        <f t="shared" si="49"/>
        <v/>
      </c>
      <c r="AT194" s="473" t="str">
        <f t="shared" si="50"/>
        <v/>
      </c>
      <c r="AU194" s="473" t="str">
        <f t="shared" si="51"/>
        <v/>
      </c>
      <c r="AZ194" s="32" t="s">
        <v>313</v>
      </c>
      <c r="BA194" s="34" t="s">
        <v>478</v>
      </c>
      <c r="BB194" s="499"/>
      <c r="BC194" s="271"/>
      <c r="BD194" s="279">
        <v>1</v>
      </c>
      <c r="BE194" s="271"/>
      <c r="BF194" s="271"/>
      <c r="BG194" s="271"/>
      <c r="BH194" s="271"/>
      <c r="BI194" s="271"/>
      <c r="BJ194" s="271"/>
      <c r="BK194" s="271"/>
      <c r="BL194" s="271"/>
    </row>
    <row r="195" spans="18:64" ht="21" customHeight="1" x14ac:dyDescent="0.25">
      <c r="R195" s="34" t="s">
        <v>486</v>
      </c>
      <c r="S195" s="451"/>
      <c r="T195" s="31" t="s">
        <v>31</v>
      </c>
      <c r="V195" s="475">
        <v>4</v>
      </c>
      <c r="W195" s="475" t="str">
        <f>IF($AC$195="","",$W$180)</f>
        <v>N° 24</v>
      </c>
      <c r="X195" s="476" t="str">
        <f>IF($AC$195="","",$X$180)</f>
        <v>CRÈME D'AVOCAT GALETTE POLENTA</v>
      </c>
      <c r="Y195" s="477">
        <f>IF($X$195="","",$Y$180)</f>
        <v>41</v>
      </c>
      <c r="Z195" s="477">
        <f>IF($X$195="","",$Z$180)</f>
        <v>100</v>
      </c>
      <c r="AA195" s="477">
        <f>IF($AC$195="","",ROW($A$195)-ROW($A$180))</f>
        <v>15</v>
      </c>
      <c r="AB195" s="478"/>
      <c r="AC195" s="34" t="s">
        <v>54</v>
      </c>
      <c r="AD195" s="356"/>
      <c r="AE195" s="18">
        <v>1.5</v>
      </c>
      <c r="AF195" s="11" t="s">
        <v>7</v>
      </c>
      <c r="AG195" s="480">
        <f t="shared" si="40"/>
        <v>1.5</v>
      </c>
      <c r="AH195" s="481" t="str">
        <f t="shared" si="41"/>
        <v>KG</v>
      </c>
      <c r="AI195" s="477" t="str">
        <f>IF($AC$195="","",IFERROR(INDEX($AZ$74:$AZ$119,MATCH($AH$195,$AY$74:$AY$119,0)),"AUTRE"))</f>
        <v>MASSE</v>
      </c>
      <c r="AJ195" s="482">
        <f>IF($AC$195="","",IFERROR(INDEX($BA$74:$BA$119,MATCH($AH$195,$AY$74:$AY$119,0)),1))</f>
        <v>1</v>
      </c>
      <c r="AK195" s="482">
        <f t="shared" si="42"/>
        <v>1.5</v>
      </c>
      <c r="AL195" s="477" t="str">
        <f>IF($AC$195="","",IFERROR(INDEX($BB$74:$BB$119,MATCH($AH$195,$AY$74:$AY$119,0)),$AH$195))</f>
        <v>kg</v>
      </c>
      <c r="AM195" s="483" t="str">
        <f t="shared" si="43"/>
        <v>OK</v>
      </c>
      <c r="AN195" s="484">
        <f t="shared" si="44"/>
        <v>1.5</v>
      </c>
      <c r="AO195" s="473" t="str">
        <f t="shared" si="45"/>
        <v/>
      </c>
      <c r="AP195" s="473" t="str">
        <f t="shared" si="46"/>
        <v/>
      </c>
      <c r="AQ195" s="473" t="str">
        <f t="shared" si="47"/>
        <v/>
      </c>
      <c r="AR195" s="473" t="str">
        <f t="shared" si="48"/>
        <v/>
      </c>
      <c r="AS195" s="473" t="str">
        <f t="shared" si="49"/>
        <v/>
      </c>
      <c r="AT195" s="473" t="str">
        <f t="shared" si="50"/>
        <v/>
      </c>
      <c r="AU195" s="473" t="str">
        <f t="shared" si="51"/>
        <v/>
      </c>
      <c r="AZ195" s="32" t="s">
        <v>307</v>
      </c>
      <c r="BA195" s="34" t="s">
        <v>6130</v>
      </c>
      <c r="BB195" s="499"/>
      <c r="BC195" s="271"/>
      <c r="BD195" s="279">
        <v>1</v>
      </c>
      <c r="BE195" s="271"/>
      <c r="BF195" s="271"/>
      <c r="BG195" s="271"/>
      <c r="BH195" s="271"/>
      <c r="BI195" s="271"/>
      <c r="BJ195" s="271"/>
      <c r="BK195" s="271"/>
      <c r="BL195" s="271"/>
    </row>
    <row r="196" spans="18:64" ht="21" customHeight="1" x14ac:dyDescent="0.25">
      <c r="R196" s="34" t="s">
        <v>479</v>
      </c>
      <c r="S196" s="451"/>
      <c r="T196" s="32" t="s">
        <v>33</v>
      </c>
      <c r="V196" s="475">
        <v>4</v>
      </c>
      <c r="W196" s="475" t="str">
        <f>IF($AC$196="","",$W$180)</f>
        <v>N° 24</v>
      </c>
      <c r="X196" s="476" t="str">
        <f>IF($AC$196="","",$X$180)</f>
        <v>CRÈME D'AVOCAT GALETTE POLENTA</v>
      </c>
      <c r="Y196" s="477">
        <f>IF($X$196="","",$Y$180)</f>
        <v>41</v>
      </c>
      <c r="Z196" s="477">
        <f>IF($X$196="","",$Z$180)</f>
        <v>100</v>
      </c>
      <c r="AA196" s="477">
        <f>IF($AC$196="","",ROW($A$196)-ROW($A$180))</f>
        <v>16</v>
      </c>
      <c r="AB196" s="478"/>
      <c r="AC196" s="34" t="s">
        <v>372</v>
      </c>
      <c r="AD196" s="356"/>
      <c r="AE196" s="18">
        <v>100</v>
      </c>
      <c r="AF196" s="16" t="s">
        <v>8</v>
      </c>
      <c r="AG196" s="480">
        <f t="shared" si="40"/>
        <v>100</v>
      </c>
      <c r="AH196" s="481" t="str">
        <f t="shared" si="41"/>
        <v>G</v>
      </c>
      <c r="AI196" s="477" t="str">
        <f>IF($AC$196="","",IFERROR(INDEX($AZ$74:$AZ$119,MATCH($AH$196,$AY$74:$AY$119,0)),"AUTRE"))</f>
        <v>MASSE</v>
      </c>
      <c r="AJ196" s="482">
        <f>IF($AC$196="","",IFERROR(INDEX($BA$74:$BA$119,MATCH($AH$196,$AY$74:$AY$119,0)),1))</f>
        <v>1E-3</v>
      </c>
      <c r="AK196" s="482">
        <f t="shared" si="42"/>
        <v>0.1</v>
      </c>
      <c r="AL196" s="477" t="str">
        <f>IF($AC$196="","",IFERROR(INDEX($BB$74:$BB$119,MATCH($AH$196,$AY$74:$AY$119,0)),$AH$196))</f>
        <v>kg</v>
      </c>
      <c r="AM196" s="483" t="str">
        <f t="shared" si="43"/>
        <v>OK</v>
      </c>
      <c r="AN196" s="484">
        <f t="shared" si="44"/>
        <v>100</v>
      </c>
      <c r="AO196" s="473" t="str">
        <f t="shared" si="45"/>
        <v/>
      </c>
      <c r="AP196" s="473" t="str">
        <f t="shared" si="46"/>
        <v/>
      </c>
      <c r="AQ196" s="473" t="str">
        <f t="shared" si="47"/>
        <v/>
      </c>
      <c r="AR196" s="473" t="str">
        <f t="shared" si="48"/>
        <v/>
      </c>
      <c r="AS196" s="473" t="str">
        <f t="shared" si="49"/>
        <v/>
      </c>
      <c r="AT196" s="473" t="str">
        <f t="shared" si="50"/>
        <v/>
      </c>
      <c r="AU196" s="473" t="str">
        <f t="shared" si="51"/>
        <v/>
      </c>
      <c r="AZ196" s="32" t="s">
        <v>322</v>
      </c>
      <c r="BA196" s="34" t="s">
        <v>486</v>
      </c>
      <c r="BB196" s="499"/>
      <c r="BC196" s="271"/>
      <c r="BD196" s="279">
        <v>1</v>
      </c>
      <c r="BE196" s="271"/>
      <c r="BF196" s="271"/>
      <c r="BG196" s="271"/>
      <c r="BH196" s="271"/>
      <c r="BI196" s="271"/>
      <c r="BJ196" s="271"/>
      <c r="BK196" s="271"/>
      <c r="BL196" s="271"/>
    </row>
    <row r="197" spans="18:64" ht="21" customHeight="1" x14ac:dyDescent="0.25">
      <c r="R197" s="34" t="s">
        <v>6131</v>
      </c>
      <c r="S197" s="451"/>
      <c r="T197" s="32" t="s">
        <v>8125</v>
      </c>
      <c r="V197" s="475">
        <v>4</v>
      </c>
      <c r="W197" s="475" t="str">
        <f>IF($AC$197="","",$W$180)</f>
        <v>N° 24</v>
      </c>
      <c r="X197" s="476" t="str">
        <f>IF($AC$197="","",$X$180)</f>
        <v>CRÈME D'AVOCAT GALETTE POLENTA</v>
      </c>
      <c r="Y197" s="477">
        <f>IF($X$197="","",$Y$180)</f>
        <v>41</v>
      </c>
      <c r="Z197" s="477">
        <f>IF($X$197="","",$Z$180)</f>
        <v>100</v>
      </c>
      <c r="AA197" s="477">
        <f>IF($AC$197="","",ROW($A$197)-ROW($A$180))</f>
        <v>17</v>
      </c>
      <c r="AB197" s="478"/>
      <c r="AC197" s="34" t="s">
        <v>42</v>
      </c>
      <c r="AD197" s="356"/>
      <c r="AE197" s="18">
        <v>15</v>
      </c>
      <c r="AF197" s="21" t="s">
        <v>11</v>
      </c>
      <c r="AG197" s="480">
        <f t="shared" si="40"/>
        <v>15</v>
      </c>
      <c r="AH197" s="481" t="str">
        <f t="shared" si="41"/>
        <v>CL</v>
      </c>
      <c r="AI197" s="477" t="str">
        <f>IF($AC$197="","",IFERROR(INDEX($AZ$74:$AZ$119,MATCH($AH$197,$AY$74:$AY$119,0)),"AUTRE"))</f>
        <v>VOLUME</v>
      </c>
      <c r="AJ197" s="482">
        <f>IF($AC$197="","",IFERROR(INDEX($BA$74:$BA$119,MATCH($AH$197,$AY$74:$AY$119,0)),1))</f>
        <v>0.01</v>
      </c>
      <c r="AK197" s="482">
        <f t="shared" si="42"/>
        <v>0.15</v>
      </c>
      <c r="AL197" s="477" t="str">
        <f>IF($AC$197="","",IFERROR(INDEX($BB$74:$BB$119,MATCH($AH$197,$AY$74:$AY$119,0)),$AH$197))</f>
        <v>L</v>
      </c>
      <c r="AM197" s="483" t="str">
        <f t="shared" si="43"/>
        <v>OK</v>
      </c>
      <c r="AN197" s="484">
        <f t="shared" si="44"/>
        <v>15</v>
      </c>
      <c r="AO197" s="473" t="str">
        <f t="shared" si="45"/>
        <v/>
      </c>
      <c r="AP197" s="473" t="str">
        <f t="shared" si="46"/>
        <v/>
      </c>
      <c r="AQ197" s="473" t="str">
        <f t="shared" si="47"/>
        <v/>
      </c>
      <c r="AR197" s="473" t="str">
        <f t="shared" si="48"/>
        <v/>
      </c>
      <c r="AS197" s="473" t="str">
        <f t="shared" si="49"/>
        <v/>
      </c>
      <c r="AT197" s="473" t="str">
        <f t="shared" si="50"/>
        <v/>
      </c>
      <c r="AU197" s="473" t="str">
        <f t="shared" si="51"/>
        <v/>
      </c>
      <c r="AZ197" s="32" t="s">
        <v>305</v>
      </c>
      <c r="BA197" s="34" t="s">
        <v>479</v>
      </c>
      <c r="BB197" s="499"/>
      <c r="BC197" s="271"/>
      <c r="BD197" s="279">
        <v>1</v>
      </c>
      <c r="BE197" s="271"/>
      <c r="BF197" s="271"/>
      <c r="BG197" s="271"/>
      <c r="BH197" s="271"/>
      <c r="BI197" s="271"/>
      <c r="BJ197" s="271"/>
      <c r="BK197" s="271"/>
      <c r="BL197" s="271"/>
    </row>
    <row r="198" spans="18:64" ht="21" customHeight="1" x14ac:dyDescent="0.25">
      <c r="R198" s="34" t="s">
        <v>485</v>
      </c>
      <c r="S198" s="451"/>
      <c r="T198" s="32" t="s">
        <v>8127</v>
      </c>
      <c r="V198" s="475">
        <v>4</v>
      </c>
      <c r="W198" s="475" t="str">
        <f>IF($AC$198="","",$W$180)</f>
        <v/>
      </c>
      <c r="X198" s="476" t="str">
        <f>IF($AC$198="","",$X$180)</f>
        <v/>
      </c>
      <c r="Y198" s="477" t="str">
        <f>IF($X$198="","",$Y$180)</f>
        <v/>
      </c>
      <c r="Z198" s="477" t="str">
        <f>IF($X$198="","",$Z$180)</f>
        <v/>
      </c>
      <c r="AA198" s="477" t="str">
        <f>IF($AC$198="","",ROW($A$198)-ROW($A$180))</f>
        <v/>
      </c>
      <c r="AB198" s="478"/>
      <c r="AC198" s="34"/>
      <c r="AD198" s="356"/>
      <c r="AE198" s="18"/>
      <c r="AF198" s="19"/>
      <c r="AG198" s="480" t="str">
        <f t="shared" si="40"/>
        <v/>
      </c>
      <c r="AH198" s="481" t="str">
        <f t="shared" si="41"/>
        <v/>
      </c>
      <c r="AI198" s="477" t="str">
        <f>IF($AC$198="","",IFERROR(INDEX($AZ$74:$AZ$119,MATCH($AH$198,$AY$74:$AY$119,0)),"AUTRE"))</f>
        <v/>
      </c>
      <c r="AJ198" s="482" t="str">
        <f>IF($AC$198="","",IFERROR(INDEX($BA$74:$BA$119,MATCH($AH$198,$AY$74:$AY$119,0)),1))</f>
        <v/>
      </c>
      <c r="AK198" s="482" t="str">
        <f t="shared" si="42"/>
        <v/>
      </c>
      <c r="AL198" s="477" t="str">
        <f>IF($AC$198="","",IFERROR(INDEX($BB$74:$BB$119,MATCH($AH$198,$AY$74:$AY$119,0)),$AH$198))</f>
        <v/>
      </c>
      <c r="AM198" s="483" t="str">
        <f t="shared" si="43"/>
        <v/>
      </c>
      <c r="AN198" s="484" t="str">
        <f t="shared" si="44"/>
        <v/>
      </c>
      <c r="AO198" s="473" t="str">
        <f t="shared" si="45"/>
        <v/>
      </c>
      <c r="AP198" s="473" t="str">
        <f t="shared" si="46"/>
        <v/>
      </c>
      <c r="AQ198" s="473" t="str">
        <f t="shared" si="47"/>
        <v/>
      </c>
      <c r="AR198" s="473" t="str">
        <f t="shared" si="48"/>
        <v/>
      </c>
      <c r="AS198" s="473" t="str">
        <f t="shared" si="49"/>
        <v/>
      </c>
      <c r="AT198" s="473" t="str">
        <f t="shared" si="50"/>
        <v/>
      </c>
      <c r="AU198" s="473" t="str">
        <f t="shared" si="51"/>
        <v/>
      </c>
      <c r="AZ198" s="32" t="s">
        <v>8129</v>
      </c>
      <c r="BA198" s="34" t="s">
        <v>6131</v>
      </c>
      <c r="BB198" s="499"/>
      <c r="BC198" s="271"/>
      <c r="BD198" s="279">
        <v>1</v>
      </c>
      <c r="BE198" s="271"/>
      <c r="BF198" s="271"/>
      <c r="BG198" s="271"/>
      <c r="BH198" s="271"/>
      <c r="BI198" s="271"/>
      <c r="BJ198" s="271"/>
      <c r="BK198" s="271"/>
      <c r="BL198" s="271"/>
    </row>
    <row r="199" spans="18:64" ht="21" customHeight="1" x14ac:dyDescent="0.25">
      <c r="R199" s="34" t="s">
        <v>6132</v>
      </c>
      <c r="S199" s="451"/>
      <c r="T199" s="32" t="s">
        <v>320</v>
      </c>
      <c r="V199" s="475">
        <v>4</v>
      </c>
      <c r="W199" s="475" t="str">
        <f>IF($AC$199="","",$W$180)</f>
        <v/>
      </c>
      <c r="X199" s="476" t="str">
        <f>IF($AC$199="","",$X$180)</f>
        <v/>
      </c>
      <c r="Y199" s="477" t="str">
        <f>IF($X$199="","",$Y$180)</f>
        <v/>
      </c>
      <c r="Z199" s="477" t="str">
        <f>IF($X$199="","",$Z$180)</f>
        <v/>
      </c>
      <c r="AA199" s="477" t="str">
        <f>IF($AC$199="","",ROW($A$199)-ROW($A$180))</f>
        <v/>
      </c>
      <c r="AB199" s="478"/>
      <c r="AC199" s="34"/>
      <c r="AD199" s="356"/>
      <c r="AE199" s="18"/>
      <c r="AF199" s="19"/>
      <c r="AG199" s="480" t="str">
        <f t="shared" si="40"/>
        <v/>
      </c>
      <c r="AH199" s="481" t="str">
        <f t="shared" si="41"/>
        <v/>
      </c>
      <c r="AI199" s="477" t="str">
        <f>IF($AC$199="","",IFERROR(INDEX($AZ$74:$AZ$119,MATCH($AH$199,$AY$74:$AY$119,0)),"AUTRE"))</f>
        <v/>
      </c>
      <c r="AJ199" s="482" t="str">
        <f>IF($AC$199="","",IFERROR(INDEX($BA$74:$BA$119,MATCH($AH$199,$AY$74:$AY$119,0)),1))</f>
        <v/>
      </c>
      <c r="AK199" s="482" t="str">
        <f t="shared" si="42"/>
        <v/>
      </c>
      <c r="AL199" s="477" t="str">
        <f>IF($AC$199="","",IFERROR(INDEX($BB$74:$BB$119,MATCH($AH$199,$AY$74:$AY$119,0)),$AH$199))</f>
        <v/>
      </c>
      <c r="AM199" s="483" t="str">
        <f t="shared" si="43"/>
        <v/>
      </c>
      <c r="AN199" s="484" t="str">
        <f t="shared" si="44"/>
        <v/>
      </c>
      <c r="AO199" s="473" t="str">
        <f t="shared" si="45"/>
        <v/>
      </c>
      <c r="AP199" s="473" t="str">
        <f t="shared" si="46"/>
        <v/>
      </c>
      <c r="AQ199" s="473" t="str">
        <f t="shared" si="47"/>
        <v/>
      </c>
      <c r="AR199" s="473" t="str">
        <f t="shared" si="48"/>
        <v/>
      </c>
      <c r="AS199" s="473" t="str">
        <f t="shared" si="49"/>
        <v/>
      </c>
      <c r="AT199" s="473" t="str">
        <f t="shared" si="50"/>
        <v/>
      </c>
      <c r="AU199" s="473" t="str">
        <f t="shared" si="51"/>
        <v/>
      </c>
      <c r="AZ199" s="32" t="s">
        <v>8131</v>
      </c>
      <c r="BA199" s="34" t="s">
        <v>485</v>
      </c>
      <c r="BB199" s="499"/>
      <c r="BC199" s="271"/>
      <c r="BD199" s="279">
        <v>1</v>
      </c>
      <c r="BE199" s="271"/>
      <c r="BF199" s="271"/>
      <c r="BG199" s="271"/>
      <c r="BH199" s="271"/>
      <c r="BI199" s="271"/>
      <c r="BJ199" s="271"/>
      <c r="BK199" s="271"/>
      <c r="BL199" s="271"/>
    </row>
    <row r="200" spans="18:64" ht="21" customHeight="1" x14ac:dyDescent="0.25">
      <c r="R200" s="25" t="s">
        <v>6133</v>
      </c>
      <c r="S200" s="451"/>
      <c r="T200" s="32" t="s">
        <v>318</v>
      </c>
      <c r="V200" s="475">
        <v>4</v>
      </c>
      <c r="W200" s="475" t="str">
        <f>IF($AC$200="","",$W$180)</f>
        <v/>
      </c>
      <c r="X200" s="476" t="str">
        <f>IF($AC$200="","",$X$180)</f>
        <v/>
      </c>
      <c r="Y200" s="477" t="str">
        <f>IF($X$200="","",$Y$180)</f>
        <v/>
      </c>
      <c r="Z200" s="477" t="str">
        <f>IF($X$200="","",$Z$180)</f>
        <v/>
      </c>
      <c r="AA200" s="477" t="str">
        <f>IF($AC$200="","",ROW($A$200)-ROW($A$180))</f>
        <v/>
      </c>
      <c r="AB200" s="478"/>
      <c r="AC200" s="34"/>
      <c r="AD200" s="356"/>
      <c r="AE200" s="18"/>
      <c r="AF200" s="19"/>
      <c r="AG200" s="480" t="str">
        <f t="shared" si="40"/>
        <v/>
      </c>
      <c r="AH200" s="481" t="str">
        <f t="shared" si="41"/>
        <v/>
      </c>
      <c r="AI200" s="477" t="str">
        <f>IF($AC$200="","",IFERROR(INDEX($AZ$74:$AZ$119,MATCH($AH$200,$AY$74:$AY$119,0)),"AUTRE"))</f>
        <v/>
      </c>
      <c r="AJ200" s="482" t="str">
        <f>IF($AC$200="","",IFERROR(INDEX($BA$74:$BA$119,MATCH($AH$200,$AY$74:$AY$119,0)),1))</f>
        <v/>
      </c>
      <c r="AK200" s="482" t="str">
        <f t="shared" si="42"/>
        <v/>
      </c>
      <c r="AL200" s="477" t="str">
        <f>IF($AC$200="","",IFERROR(INDEX($BB$74:$BB$119,MATCH($AH$200,$AY$74:$AY$119,0)),$AH$200))</f>
        <v/>
      </c>
      <c r="AM200" s="483" t="str">
        <f t="shared" si="43"/>
        <v/>
      </c>
      <c r="AN200" s="484" t="str">
        <f t="shared" si="44"/>
        <v/>
      </c>
      <c r="AO200" s="473" t="str">
        <f t="shared" si="45"/>
        <v/>
      </c>
      <c r="AP200" s="473" t="str">
        <f t="shared" si="46"/>
        <v/>
      </c>
      <c r="AQ200" s="473" t="str">
        <f t="shared" si="47"/>
        <v/>
      </c>
      <c r="AR200" s="473" t="str">
        <f t="shared" si="48"/>
        <v/>
      </c>
      <c r="AS200" s="473" t="str">
        <f t="shared" si="49"/>
        <v/>
      </c>
      <c r="AT200" s="473" t="str">
        <f t="shared" si="50"/>
        <v/>
      </c>
      <c r="AU200" s="473" t="str">
        <f t="shared" si="51"/>
        <v/>
      </c>
      <c r="AZ200" s="32" t="s">
        <v>309</v>
      </c>
      <c r="BA200" s="34" t="s">
        <v>6132</v>
      </c>
      <c r="BB200" s="499"/>
      <c r="BC200" s="271"/>
      <c r="BD200" s="279">
        <v>1</v>
      </c>
      <c r="BE200" s="271"/>
      <c r="BF200" s="271"/>
      <c r="BG200" s="271"/>
      <c r="BH200" s="271"/>
      <c r="BI200" s="271"/>
      <c r="BJ200" s="271"/>
      <c r="BK200" s="271"/>
      <c r="BL200" s="271"/>
    </row>
    <row r="201" spans="18:64" ht="21" customHeight="1" x14ac:dyDescent="0.25">
      <c r="R201" s="34" t="s">
        <v>476</v>
      </c>
      <c r="S201" s="451"/>
      <c r="T201" s="32" t="s">
        <v>316</v>
      </c>
      <c r="V201" s="475">
        <v>4</v>
      </c>
      <c r="W201" s="475" t="str">
        <f>IF($AC$201="","",$W$180)</f>
        <v/>
      </c>
      <c r="X201" s="476" t="str">
        <f>IF($AC$201="","",$X$180)</f>
        <v/>
      </c>
      <c r="Y201" s="477" t="str">
        <f>IF($X$201="","",$Y$180)</f>
        <v/>
      </c>
      <c r="Z201" s="477" t="str">
        <f>IF($X$201="","",$Z$180)</f>
        <v/>
      </c>
      <c r="AA201" s="477" t="str">
        <f>IF($AC$201="","",ROW($A$201)-ROW($A$180))</f>
        <v/>
      </c>
      <c r="AB201" s="478"/>
      <c r="AC201" s="34"/>
      <c r="AD201" s="356"/>
      <c r="AE201" s="18"/>
      <c r="AF201" s="19"/>
      <c r="AG201" s="480" t="str">
        <f t="shared" si="40"/>
        <v/>
      </c>
      <c r="AH201" s="481" t="str">
        <f t="shared" si="41"/>
        <v/>
      </c>
      <c r="AI201" s="477" t="str">
        <f>IF($AC$201="","",IFERROR(INDEX($AZ$74:$AZ$119,MATCH($AH$201,$AY$74:$AY$119,0)),"AUTRE"))</f>
        <v/>
      </c>
      <c r="AJ201" s="482" t="str">
        <f>IF($AC$201="","",IFERROR(INDEX($BA$74:$BA$119,MATCH($AH$201,$AY$74:$AY$119,0)),1))</f>
        <v/>
      </c>
      <c r="AK201" s="482" t="str">
        <f t="shared" si="42"/>
        <v/>
      </c>
      <c r="AL201" s="477" t="str">
        <f>IF($AC$201="","",IFERROR(INDEX($BB$74:$BB$119,MATCH($AH$201,$AY$74:$AY$119,0)),$AH$201))</f>
        <v/>
      </c>
      <c r="AM201" s="483" t="str">
        <f t="shared" si="43"/>
        <v/>
      </c>
      <c r="AN201" s="484" t="str">
        <f t="shared" si="44"/>
        <v/>
      </c>
      <c r="AO201" s="473" t="str">
        <f t="shared" si="45"/>
        <v/>
      </c>
      <c r="AP201" s="473" t="str">
        <f t="shared" si="46"/>
        <v/>
      </c>
      <c r="AQ201" s="473" t="str">
        <f t="shared" si="47"/>
        <v/>
      </c>
      <c r="AR201" s="473" t="str">
        <f t="shared" si="48"/>
        <v/>
      </c>
      <c r="AS201" s="473" t="str">
        <f t="shared" si="49"/>
        <v/>
      </c>
      <c r="AT201" s="473" t="str">
        <f t="shared" si="50"/>
        <v/>
      </c>
      <c r="AU201" s="473" t="str">
        <f t="shared" si="51"/>
        <v/>
      </c>
      <c r="AZ201" s="32" t="s">
        <v>311</v>
      </c>
      <c r="BA201" s="25" t="s">
        <v>6133</v>
      </c>
      <c r="BB201" s="499"/>
      <c r="BC201" s="271"/>
      <c r="BD201" s="279">
        <v>1</v>
      </c>
      <c r="BE201" s="271"/>
      <c r="BF201" s="271"/>
      <c r="BG201" s="271"/>
      <c r="BH201" s="271"/>
      <c r="BI201" s="271"/>
      <c r="BJ201" s="271"/>
      <c r="BK201" s="271"/>
      <c r="BL201" s="271"/>
    </row>
    <row r="202" spans="18:64" ht="21" customHeight="1" x14ac:dyDescent="0.25">
      <c r="R202" s="34" t="s">
        <v>468</v>
      </c>
      <c r="S202" s="451"/>
      <c r="T202" s="32" t="s">
        <v>313</v>
      </c>
      <c r="V202" s="475">
        <v>4</v>
      </c>
      <c r="W202" s="475" t="str">
        <f>IF($AC$202="","",$W$180)</f>
        <v/>
      </c>
      <c r="X202" s="476" t="str">
        <f>IF($AC$202="","",$X$180)</f>
        <v/>
      </c>
      <c r="Y202" s="477" t="str">
        <f>IF($X$202="","",$Y$180)</f>
        <v/>
      </c>
      <c r="Z202" s="477" t="str">
        <f>IF($X$202="","",$Z$180)</f>
        <v/>
      </c>
      <c r="AA202" s="477" t="str">
        <f>IF($AC$202="","",ROW($A$202)-ROW($A$180))</f>
        <v/>
      </c>
      <c r="AB202" s="478"/>
      <c r="AC202" s="34"/>
      <c r="AD202" s="356"/>
      <c r="AE202" s="18"/>
      <c r="AF202" s="19"/>
      <c r="AG202" s="480" t="str">
        <f t="shared" si="40"/>
        <v/>
      </c>
      <c r="AH202" s="481" t="str">
        <f t="shared" si="41"/>
        <v/>
      </c>
      <c r="AI202" s="477" t="str">
        <f>IF($AC$202="","",IFERROR(INDEX($AZ$74:$AZ$119,MATCH($AH$202,$AY$74:$AY$119,0)),"AUTRE"))</f>
        <v/>
      </c>
      <c r="AJ202" s="482" t="str">
        <f>IF($AC$202="","",IFERROR(INDEX($BA$74:$BA$119,MATCH($AH$202,$AY$74:$AY$119,0)),1))</f>
        <v/>
      </c>
      <c r="AK202" s="482" t="str">
        <f t="shared" si="42"/>
        <v/>
      </c>
      <c r="AL202" s="477" t="str">
        <f>IF($AC$202="","",IFERROR(INDEX($BB$74:$BB$119,MATCH($AH$202,$AY$74:$AY$119,0)),$AH$202))</f>
        <v/>
      </c>
      <c r="AM202" s="483" t="str">
        <f t="shared" si="43"/>
        <v/>
      </c>
      <c r="AN202" s="484" t="str">
        <f t="shared" si="44"/>
        <v/>
      </c>
      <c r="AO202" s="473" t="str">
        <f t="shared" si="45"/>
        <v/>
      </c>
      <c r="AP202" s="473" t="str">
        <f t="shared" si="46"/>
        <v/>
      </c>
      <c r="AQ202" s="473" t="str">
        <f t="shared" si="47"/>
        <v/>
      </c>
      <c r="AR202" s="473" t="str">
        <f t="shared" si="48"/>
        <v/>
      </c>
      <c r="AS202" s="473" t="str">
        <f t="shared" si="49"/>
        <v/>
      </c>
      <c r="AT202" s="473" t="str">
        <f t="shared" si="50"/>
        <v/>
      </c>
      <c r="AU202" s="473" t="str">
        <f t="shared" si="51"/>
        <v/>
      </c>
      <c r="AZ202" s="32" t="s">
        <v>8135</v>
      </c>
      <c r="BA202" s="34" t="s">
        <v>476</v>
      </c>
      <c r="BB202" s="499"/>
      <c r="BC202" s="271"/>
      <c r="BD202" s="279">
        <v>1</v>
      </c>
      <c r="BE202" s="271"/>
      <c r="BF202" s="271"/>
      <c r="BG202" s="271"/>
      <c r="BH202" s="271"/>
      <c r="BI202" s="271"/>
      <c r="BJ202" s="271"/>
      <c r="BK202" s="271"/>
      <c r="BL202" s="271"/>
    </row>
    <row r="203" spans="18:64" ht="21" customHeight="1" x14ac:dyDescent="0.25">
      <c r="R203" s="34" t="s">
        <v>473</v>
      </c>
      <c r="S203" s="451"/>
      <c r="T203" s="32" t="s">
        <v>307</v>
      </c>
      <c r="V203" s="475">
        <v>4</v>
      </c>
      <c r="W203" s="475" t="str">
        <f>IF($AC$203="","",$W$180)</f>
        <v/>
      </c>
      <c r="X203" s="476" t="str">
        <f>IF($AC$203="","",$X$180)</f>
        <v/>
      </c>
      <c r="Y203" s="477" t="str">
        <f>IF($X$203="","",$Y$180)</f>
        <v/>
      </c>
      <c r="Z203" s="477" t="str">
        <f>IF($X$203="","",$Z$180)</f>
        <v/>
      </c>
      <c r="AA203" s="477" t="str">
        <f>IF($AC$203="","",ROW($A$203)-ROW($A$180))</f>
        <v/>
      </c>
      <c r="AB203" s="478"/>
      <c r="AC203" s="34"/>
      <c r="AD203" s="356"/>
      <c r="AE203" s="18"/>
      <c r="AF203" s="19"/>
      <c r="AG203" s="480" t="str">
        <f t="shared" si="40"/>
        <v/>
      </c>
      <c r="AH203" s="481" t="str">
        <f t="shared" si="41"/>
        <v/>
      </c>
      <c r="AI203" s="477" t="str">
        <f>IF($AC$203="","",IFERROR(INDEX($AZ$74:$AZ$119,MATCH($AH$203,$AY$74:$AY$119,0)),"AUTRE"))</f>
        <v/>
      </c>
      <c r="AJ203" s="482" t="str">
        <f>IF($AC$203="","",IFERROR(INDEX($BA$74:$BA$119,MATCH($AH$203,$AY$74:$AY$119,0)),1))</f>
        <v/>
      </c>
      <c r="AK203" s="482" t="str">
        <f t="shared" si="42"/>
        <v/>
      </c>
      <c r="AL203" s="477" t="str">
        <f>IF($AC$203="","",IFERROR(INDEX($BB$74:$BB$119,MATCH($AH$203,$AY$74:$AY$119,0)),$AH$203))</f>
        <v/>
      </c>
      <c r="AM203" s="483" t="str">
        <f t="shared" si="43"/>
        <v/>
      </c>
      <c r="AN203" s="484" t="str">
        <f t="shared" si="44"/>
        <v/>
      </c>
      <c r="AO203" s="473" t="str">
        <f t="shared" si="45"/>
        <v/>
      </c>
      <c r="AP203" s="473" t="str">
        <f t="shared" si="46"/>
        <v/>
      </c>
      <c r="AQ203" s="473" t="str">
        <f t="shared" si="47"/>
        <v/>
      </c>
      <c r="AR203" s="473" t="str">
        <f t="shared" si="48"/>
        <v/>
      </c>
      <c r="AS203" s="473" t="str">
        <f t="shared" si="49"/>
        <v/>
      </c>
      <c r="AT203" s="473" t="str">
        <f t="shared" si="50"/>
        <v/>
      </c>
      <c r="AU203" s="473" t="str">
        <f t="shared" si="51"/>
        <v/>
      </c>
      <c r="AZ203" s="32" t="s">
        <v>8137</v>
      </c>
      <c r="BA203" s="34" t="s">
        <v>468</v>
      </c>
      <c r="BB203" s="499"/>
      <c r="BC203" s="271"/>
      <c r="BD203" s="279">
        <v>1</v>
      </c>
      <c r="BE203" s="271"/>
      <c r="BF203" s="271"/>
      <c r="BG203" s="271"/>
      <c r="BH203" s="271"/>
      <c r="BI203" s="271"/>
      <c r="BJ203" s="271"/>
      <c r="BK203" s="271"/>
      <c r="BL203" s="271"/>
    </row>
    <row r="204" spans="18:64" ht="21" customHeight="1" x14ac:dyDescent="0.25">
      <c r="R204" s="34" t="s">
        <v>497</v>
      </c>
      <c r="S204" s="451"/>
      <c r="T204" s="32" t="s">
        <v>322</v>
      </c>
      <c r="V204" s="475">
        <v>4</v>
      </c>
      <c r="W204" s="475" t="str">
        <f>IF($AC$204="","",$W$180)</f>
        <v/>
      </c>
      <c r="X204" s="476" t="str">
        <f>IF($AC$204="","",$X$180)</f>
        <v/>
      </c>
      <c r="Y204" s="477" t="str">
        <f>IF($X$204="","",$Y$180)</f>
        <v/>
      </c>
      <c r="Z204" s="477" t="str">
        <f>IF($X$204="","",$Z$180)</f>
        <v/>
      </c>
      <c r="AA204" s="477" t="str">
        <f>IF($AC$204="","",ROW($A$204)-ROW($A$180))</f>
        <v/>
      </c>
      <c r="AB204" s="478"/>
      <c r="AC204" s="34"/>
      <c r="AD204" s="356"/>
      <c r="AE204" s="18"/>
      <c r="AF204" s="19"/>
      <c r="AG204" s="480" t="str">
        <f t="shared" si="40"/>
        <v/>
      </c>
      <c r="AH204" s="481" t="str">
        <f t="shared" si="41"/>
        <v/>
      </c>
      <c r="AI204" s="477" t="str">
        <f>IF($AC$204="","",IFERROR(INDEX($AZ$74:$AZ$119,MATCH($AH$204,$AY$74:$AY$119,0)),"AUTRE"))</f>
        <v/>
      </c>
      <c r="AJ204" s="482" t="str">
        <f>IF($AC$204="","",IFERROR(INDEX($BA$74:$BA$119,MATCH($AH$204,$AY$74:$AY$119,0)),1))</f>
        <v/>
      </c>
      <c r="AK204" s="482" t="str">
        <f t="shared" si="42"/>
        <v/>
      </c>
      <c r="AL204" s="477" t="str">
        <f>IF($AC$204="","",IFERROR(INDEX($BB$74:$BB$119,MATCH($AH$204,$AY$74:$AY$119,0)),$AH$204))</f>
        <v/>
      </c>
      <c r="AM204" s="483" t="str">
        <f t="shared" si="43"/>
        <v/>
      </c>
      <c r="AN204" s="484" t="str">
        <f t="shared" si="44"/>
        <v/>
      </c>
      <c r="AO204" s="473" t="str">
        <f t="shared" si="45"/>
        <v/>
      </c>
      <c r="AP204" s="473" t="str">
        <f t="shared" si="46"/>
        <v/>
      </c>
      <c r="AQ204" s="473" t="str">
        <f t="shared" si="47"/>
        <v/>
      </c>
      <c r="AR204" s="473" t="str">
        <f t="shared" si="48"/>
        <v/>
      </c>
      <c r="AS204" s="473" t="str">
        <f t="shared" si="49"/>
        <v/>
      </c>
      <c r="AT204" s="473" t="str">
        <f t="shared" si="50"/>
        <v/>
      </c>
      <c r="AU204" s="473" t="str">
        <f t="shared" si="51"/>
        <v/>
      </c>
      <c r="AZ204" s="32" t="s">
        <v>8139</v>
      </c>
      <c r="BA204" s="34" t="s">
        <v>473</v>
      </c>
      <c r="BB204" s="499"/>
      <c r="BC204" s="271"/>
      <c r="BD204" s="279">
        <v>1</v>
      </c>
      <c r="BE204" s="271"/>
      <c r="BF204" s="271"/>
      <c r="BG204" s="271"/>
      <c r="BH204" s="271"/>
      <c r="BI204" s="271"/>
      <c r="BJ204" s="271"/>
      <c r="BK204" s="271"/>
      <c r="BL204" s="271"/>
    </row>
    <row r="205" spans="18:64" ht="21" customHeight="1" x14ac:dyDescent="0.25">
      <c r="R205" s="34" t="s">
        <v>470</v>
      </c>
      <c r="S205" s="451"/>
      <c r="T205" s="32" t="s">
        <v>305</v>
      </c>
      <c r="V205" s="475">
        <v>4</v>
      </c>
      <c r="W205" s="475" t="str">
        <f>IF($AC$205="","",$W$180)</f>
        <v/>
      </c>
      <c r="X205" s="476" t="str">
        <f>IF($AC$205="","",$X$180)</f>
        <v/>
      </c>
      <c r="Y205" s="477" t="str">
        <f>IF($X$205="","",$Y$180)</f>
        <v/>
      </c>
      <c r="Z205" s="477" t="str">
        <f>IF($X$205="","",$Z$180)</f>
        <v/>
      </c>
      <c r="AA205" s="477" t="str">
        <f>IF($AC$205="","",ROW($A$205)-ROW($A$180))</f>
        <v/>
      </c>
      <c r="AB205" s="478"/>
      <c r="AC205" s="34"/>
      <c r="AD205" s="356"/>
      <c r="AE205" s="18"/>
      <c r="AF205" s="19"/>
      <c r="AG205" s="480" t="str">
        <f t="shared" si="40"/>
        <v/>
      </c>
      <c r="AH205" s="481" t="str">
        <f t="shared" si="41"/>
        <v/>
      </c>
      <c r="AI205" s="477" t="str">
        <f>IF($AC$205="","",IFERROR(INDEX($AZ$74:$AZ$119,MATCH($AH$205,$AY$74:$AY$119,0)),"AUTRE"))</f>
        <v/>
      </c>
      <c r="AJ205" s="482" t="str">
        <f>IF($AC$205="","",IFERROR(INDEX($BA$74:$BA$119,MATCH($AH$205,$AY$74:$AY$119,0)),1))</f>
        <v/>
      </c>
      <c r="AK205" s="482" t="str">
        <f t="shared" si="42"/>
        <v/>
      </c>
      <c r="AL205" s="477" t="str">
        <f>IF($AC$205="","",IFERROR(INDEX($BB$74:$BB$119,MATCH($AH$205,$AY$74:$AY$119,0)),$AH$205))</f>
        <v/>
      </c>
      <c r="AM205" s="483" t="str">
        <f t="shared" si="43"/>
        <v/>
      </c>
      <c r="AN205" s="484" t="str">
        <f t="shared" si="44"/>
        <v/>
      </c>
      <c r="AO205" s="473" t="str">
        <f t="shared" si="45"/>
        <v/>
      </c>
      <c r="AP205" s="473" t="str">
        <f t="shared" si="46"/>
        <v/>
      </c>
      <c r="AQ205" s="473" t="str">
        <f t="shared" si="47"/>
        <v/>
      </c>
      <c r="AR205" s="473" t="str">
        <f t="shared" si="48"/>
        <v/>
      </c>
      <c r="AS205" s="473" t="str">
        <f t="shared" si="49"/>
        <v/>
      </c>
      <c r="AT205" s="473" t="str">
        <f t="shared" si="50"/>
        <v/>
      </c>
      <c r="AU205" s="473" t="str">
        <f t="shared" si="51"/>
        <v/>
      </c>
      <c r="AZ205" s="32" t="s">
        <v>8141</v>
      </c>
      <c r="BA205" s="34" t="s">
        <v>497</v>
      </c>
      <c r="BB205" s="499"/>
      <c r="BC205" s="271"/>
      <c r="BD205" s="279">
        <v>1</v>
      </c>
      <c r="BE205" s="271"/>
      <c r="BF205" s="271"/>
      <c r="BG205" s="271"/>
      <c r="BH205" s="271"/>
      <c r="BI205" s="271"/>
      <c r="BJ205" s="271"/>
      <c r="BK205" s="271"/>
      <c r="BL205" s="271"/>
    </row>
    <row r="206" spans="18:64" ht="21" customHeight="1" x14ac:dyDescent="0.25">
      <c r="R206" s="34" t="s">
        <v>477</v>
      </c>
      <c r="S206" s="451"/>
      <c r="T206" s="32" t="s">
        <v>309</v>
      </c>
      <c r="V206" s="475">
        <v>4</v>
      </c>
      <c r="W206" s="475" t="str">
        <f>IF($AC$206="","",$W$180)</f>
        <v/>
      </c>
      <c r="X206" s="476" t="str">
        <f>IF($AC$206="","",$X$180)</f>
        <v/>
      </c>
      <c r="Y206" s="477" t="str">
        <f>IF($X$206="","",$Y$180)</f>
        <v/>
      </c>
      <c r="Z206" s="477" t="str">
        <f>IF($X$206="","",$Z$180)</f>
        <v/>
      </c>
      <c r="AA206" s="477" t="str">
        <f>IF($AC$206="","",ROW($A$206)-ROW($A$180))</f>
        <v/>
      </c>
      <c r="AB206" s="478"/>
      <c r="AC206" s="34"/>
      <c r="AD206" s="356"/>
      <c r="AE206" s="18"/>
      <c r="AF206" s="19"/>
      <c r="AG206" s="480" t="str">
        <f t="shared" si="40"/>
        <v/>
      </c>
      <c r="AH206" s="481" t="str">
        <f t="shared" si="41"/>
        <v/>
      </c>
      <c r="AI206" s="477" t="str">
        <f>IF($AC$206="","",IFERROR(INDEX($AZ$74:$AZ$119,MATCH($AH$206,$AY$74:$AY$119,0)),"AUTRE"))</f>
        <v/>
      </c>
      <c r="AJ206" s="482" t="str">
        <f>IF($AC$206="","",IFERROR(INDEX($BA$74:$BA$119,MATCH($AH$206,$AY$74:$AY$119,0)),1))</f>
        <v/>
      </c>
      <c r="AK206" s="482" t="str">
        <f t="shared" si="42"/>
        <v/>
      </c>
      <c r="AL206" s="477" t="str">
        <f>IF($AC$206="","",IFERROR(INDEX($BB$74:$BB$119,MATCH($AH$206,$AY$74:$AY$119,0)),$AH$206))</f>
        <v/>
      </c>
      <c r="AM206" s="483" t="str">
        <f t="shared" si="43"/>
        <v/>
      </c>
      <c r="AN206" s="484" t="str">
        <f t="shared" si="44"/>
        <v/>
      </c>
      <c r="AO206" s="473" t="str">
        <f t="shared" si="45"/>
        <v/>
      </c>
      <c r="AP206" s="473" t="str">
        <f t="shared" si="46"/>
        <v/>
      </c>
      <c r="AQ206" s="473" t="str">
        <f t="shared" si="47"/>
        <v/>
      </c>
      <c r="AR206" s="473" t="str">
        <f t="shared" si="48"/>
        <v/>
      </c>
      <c r="AS206" s="473" t="str">
        <f t="shared" si="49"/>
        <v/>
      </c>
      <c r="AT206" s="473" t="str">
        <f t="shared" si="50"/>
        <v/>
      </c>
      <c r="AU206" s="473" t="str">
        <f t="shared" si="51"/>
        <v/>
      </c>
      <c r="AZ206" s="32" t="s">
        <v>8143</v>
      </c>
      <c r="BA206" s="34" t="s">
        <v>470</v>
      </c>
      <c r="BB206" s="499"/>
      <c r="BC206" s="271"/>
      <c r="BD206" s="279">
        <v>1</v>
      </c>
      <c r="BE206" s="271"/>
      <c r="BF206" s="271"/>
      <c r="BG206" s="271"/>
      <c r="BH206" s="271"/>
      <c r="BI206" s="271"/>
      <c r="BJ206" s="271"/>
      <c r="BK206" s="271"/>
      <c r="BL206" s="271"/>
    </row>
    <row r="207" spans="18:64" ht="21" customHeight="1" x14ac:dyDescent="0.25">
      <c r="S207" s="451"/>
      <c r="T207" s="32" t="s">
        <v>311</v>
      </c>
      <c r="V207" s="475">
        <v>4</v>
      </c>
      <c r="W207" s="475" t="str">
        <f>IF($AC$207="","",$W$180)</f>
        <v/>
      </c>
      <c r="X207" s="476" t="str">
        <f>IF($AC$207="","",$X$180)</f>
        <v/>
      </c>
      <c r="Y207" s="477" t="str">
        <f>IF($X$207="","",$Y$180)</f>
        <v/>
      </c>
      <c r="Z207" s="477" t="str">
        <f>IF($X$207="","",$Z$180)</f>
        <v/>
      </c>
      <c r="AA207" s="477" t="str">
        <f>IF($AC$207="","",ROW($A$207)-ROW($A$180))</f>
        <v/>
      </c>
      <c r="AB207" s="478"/>
      <c r="AC207" s="34"/>
      <c r="AD207" s="356"/>
      <c r="AE207" s="18"/>
      <c r="AF207" s="19"/>
      <c r="AG207" s="480" t="str">
        <f t="shared" si="40"/>
        <v/>
      </c>
      <c r="AH207" s="481" t="str">
        <f t="shared" si="41"/>
        <v/>
      </c>
      <c r="AI207" s="477" t="str">
        <f>IF($AC$207="","",IFERROR(INDEX($AZ$74:$AZ$119,MATCH($AH$207,$AY$74:$AY$119,0)),"AUTRE"))</f>
        <v/>
      </c>
      <c r="AJ207" s="482" t="str">
        <f>IF($AC$207="","",IFERROR(INDEX($BA$74:$BA$119,MATCH($AH$207,$AY$74:$AY$119,0)),1))</f>
        <v/>
      </c>
      <c r="AK207" s="482" t="str">
        <f t="shared" si="42"/>
        <v/>
      </c>
      <c r="AL207" s="477" t="str">
        <f>IF($AC$207="","",IFERROR(INDEX($BB$74:$BB$119,MATCH($AH$207,$AY$74:$AY$119,0)),$AH$207))</f>
        <v/>
      </c>
      <c r="AM207" s="483" t="str">
        <f t="shared" si="43"/>
        <v/>
      </c>
      <c r="AN207" s="484" t="str">
        <f t="shared" si="44"/>
        <v/>
      </c>
      <c r="AO207" s="473" t="str">
        <f t="shared" si="45"/>
        <v/>
      </c>
      <c r="AP207" s="473" t="str">
        <f t="shared" si="46"/>
        <v/>
      </c>
      <c r="AQ207" s="473" t="str">
        <f t="shared" si="47"/>
        <v/>
      </c>
      <c r="AR207" s="473" t="str">
        <f t="shared" si="48"/>
        <v/>
      </c>
      <c r="AS207" s="473" t="str">
        <f t="shared" si="49"/>
        <v/>
      </c>
      <c r="AT207" s="473" t="str">
        <f t="shared" si="50"/>
        <v/>
      </c>
      <c r="AU207" s="473" t="str">
        <f t="shared" si="51"/>
        <v/>
      </c>
      <c r="AZ207" s="497" t="s">
        <v>8145</v>
      </c>
      <c r="BA207" s="34" t="s">
        <v>477</v>
      </c>
      <c r="BB207" s="499"/>
      <c r="BC207" s="271"/>
      <c r="BD207" s="279">
        <v>1</v>
      </c>
      <c r="BE207" s="271"/>
      <c r="BF207" s="271"/>
      <c r="BG207" s="271"/>
      <c r="BH207" s="271"/>
      <c r="BI207" s="271"/>
      <c r="BJ207" s="271"/>
      <c r="BK207" s="271"/>
      <c r="BL207" s="271"/>
    </row>
    <row r="208" spans="18:64" ht="21" customHeight="1" x14ac:dyDescent="0.25">
      <c r="R208" s="25" t="s">
        <v>6134</v>
      </c>
      <c r="S208" s="451"/>
      <c r="T208" s="32" t="s">
        <v>8135</v>
      </c>
      <c r="V208" s="475">
        <v>4</v>
      </c>
      <c r="W208" s="475" t="str">
        <f>IF($AC$208="","",$W$180)</f>
        <v/>
      </c>
      <c r="X208" s="476" t="str">
        <f>IF($AC$208="","",$X$180)</f>
        <v/>
      </c>
      <c r="Y208" s="477" t="str">
        <f>IF($X$208="","",$Y$180)</f>
        <v/>
      </c>
      <c r="Z208" s="477" t="str">
        <f>IF($X$208="","",$Z$180)</f>
        <v/>
      </c>
      <c r="AA208" s="477" t="str">
        <f>IF($AC$208="","",ROW($A$208)-ROW($A$180))</f>
        <v/>
      </c>
      <c r="AB208" s="478"/>
      <c r="AC208" s="34"/>
      <c r="AD208" s="356"/>
      <c r="AE208" s="18"/>
      <c r="AF208" s="19"/>
      <c r="AG208" s="480" t="str">
        <f t="shared" si="40"/>
        <v/>
      </c>
      <c r="AH208" s="481" t="str">
        <f t="shared" si="41"/>
        <v/>
      </c>
      <c r="AI208" s="477" t="str">
        <f>IF($AC$208="","",IFERROR(INDEX($AZ$74:$AZ$119,MATCH($AH$208,$AY$74:$AY$119,0)),"AUTRE"))</f>
        <v/>
      </c>
      <c r="AJ208" s="482" t="str">
        <f>IF($AC$208="","",IFERROR(INDEX($BA$74:$BA$119,MATCH($AH$208,$AY$74:$AY$119,0)),1))</f>
        <v/>
      </c>
      <c r="AK208" s="482" t="str">
        <f t="shared" si="42"/>
        <v/>
      </c>
      <c r="AL208" s="477" t="str">
        <f>IF($AC$208="","",IFERROR(INDEX($BB$74:$BB$119,MATCH($AH$208,$AY$74:$AY$119,0)),$AH$208))</f>
        <v/>
      </c>
      <c r="AM208" s="483" t="str">
        <f t="shared" si="43"/>
        <v/>
      </c>
      <c r="AN208" s="484" t="str">
        <f t="shared" si="44"/>
        <v/>
      </c>
      <c r="AO208" s="473" t="str">
        <f t="shared" si="45"/>
        <v/>
      </c>
      <c r="AP208" s="473" t="str">
        <f t="shared" si="46"/>
        <v/>
      </c>
      <c r="AQ208" s="473" t="str">
        <f t="shared" si="47"/>
        <v/>
      </c>
      <c r="AR208" s="473" t="str">
        <f t="shared" si="48"/>
        <v/>
      </c>
      <c r="AS208" s="473" t="str">
        <f t="shared" si="49"/>
        <v/>
      </c>
      <c r="AT208" s="473" t="str">
        <f t="shared" si="50"/>
        <v/>
      </c>
      <c r="AU208" s="473" t="str">
        <f t="shared" si="51"/>
        <v/>
      </c>
      <c r="AY208" s="271"/>
      <c r="AZ208" s="497" t="s">
        <v>462</v>
      </c>
      <c r="BB208" s="499"/>
      <c r="BC208" s="271"/>
      <c r="BD208" s="279">
        <v>1</v>
      </c>
      <c r="BE208" s="271"/>
      <c r="BF208" s="271"/>
      <c r="BG208" s="271"/>
      <c r="BH208" s="271"/>
      <c r="BI208" s="271"/>
      <c r="BJ208" s="271"/>
      <c r="BK208" s="271"/>
      <c r="BL208" s="271"/>
    </row>
    <row r="209" spans="18:64" ht="21" customHeight="1" x14ac:dyDescent="0.25">
      <c r="R209" s="34" t="s">
        <v>481</v>
      </c>
      <c r="S209" s="451"/>
      <c r="T209" s="497" t="s">
        <v>462</v>
      </c>
      <c r="V209" s="475">
        <v>4</v>
      </c>
      <c r="W209" s="475" t="str">
        <f>IF($AC$209="","",$W$180)</f>
        <v/>
      </c>
      <c r="X209" s="476" t="str">
        <f>IF($AC$209="","",$X$180)</f>
        <v/>
      </c>
      <c r="Y209" s="477" t="str">
        <f>IF($X$209="","",$Y$180)</f>
        <v/>
      </c>
      <c r="Z209" s="477" t="str">
        <f>IF($X$209="","",$Z$180)</f>
        <v/>
      </c>
      <c r="AA209" s="477" t="str">
        <f>IF($AC$209="","",ROW($A$209)-ROW($A$180))</f>
        <v/>
      </c>
      <c r="AB209" s="478"/>
      <c r="AC209" s="34"/>
      <c r="AD209" s="356"/>
      <c r="AE209" s="18"/>
      <c r="AF209" s="19"/>
      <c r="AG209" s="480" t="str">
        <f t="shared" si="40"/>
        <v/>
      </c>
      <c r="AH209" s="481" t="str">
        <f t="shared" si="41"/>
        <v/>
      </c>
      <c r="AI209" s="477" t="str">
        <f>IF($AC$209="","",IFERROR(INDEX($AZ$74:$AZ$119,MATCH($AH$209,$AY$74:$AY$119,0)),"AUTRE"))</f>
        <v/>
      </c>
      <c r="AJ209" s="482" t="str">
        <f>IF($AC$209="","",IFERROR(INDEX($BA$74:$BA$119,MATCH($AH$209,$AY$74:$AY$119,0)),1))</f>
        <v/>
      </c>
      <c r="AK209" s="482" t="str">
        <f t="shared" si="42"/>
        <v/>
      </c>
      <c r="AL209" s="477" t="str">
        <f>IF($AC$209="","",IFERROR(INDEX($BB$74:$BB$119,MATCH($AH$209,$AY$74:$AY$119,0)),$AH$209))</f>
        <v/>
      </c>
      <c r="AM209" s="483" t="str">
        <f t="shared" si="43"/>
        <v/>
      </c>
      <c r="AN209" s="484" t="str">
        <f t="shared" si="44"/>
        <v/>
      </c>
      <c r="AO209" s="473" t="str">
        <f t="shared" si="45"/>
        <v/>
      </c>
      <c r="AP209" s="473" t="str">
        <f t="shared" si="46"/>
        <v/>
      </c>
      <c r="AQ209" s="473" t="str">
        <f t="shared" si="47"/>
        <v/>
      </c>
      <c r="AR209" s="473" t="str">
        <f t="shared" si="48"/>
        <v/>
      </c>
      <c r="AS209" s="473" t="str">
        <f t="shared" si="49"/>
        <v/>
      </c>
      <c r="AT209" s="473" t="str">
        <f t="shared" si="50"/>
        <v/>
      </c>
      <c r="AU209" s="473" t="str">
        <f t="shared" si="51"/>
        <v/>
      </c>
      <c r="AY209" s="497" t="s">
        <v>8145</v>
      </c>
      <c r="AZ209" s="497" t="s">
        <v>463</v>
      </c>
      <c r="BA209" s="25" t="s">
        <v>6134</v>
      </c>
      <c r="BB209" s="499"/>
      <c r="BC209" s="271"/>
      <c r="BD209" s="279">
        <v>1</v>
      </c>
      <c r="BE209" s="271"/>
      <c r="BF209" s="271"/>
      <c r="BG209" s="271"/>
      <c r="BH209" s="271"/>
      <c r="BI209" s="271"/>
      <c r="BJ209" s="271"/>
      <c r="BK209" s="271"/>
      <c r="BL209" s="271"/>
    </row>
    <row r="210" spans="18:64" ht="21" customHeight="1" x14ac:dyDescent="0.25">
      <c r="R210" s="34" t="s">
        <v>475</v>
      </c>
      <c r="S210" s="451"/>
      <c r="T210" s="497" t="s">
        <v>463</v>
      </c>
      <c r="V210" s="475">
        <v>4</v>
      </c>
      <c r="W210" s="475" t="str">
        <f>IF($AC$210="","",$W$180)</f>
        <v/>
      </c>
      <c r="X210" s="476" t="str">
        <f>IF($AC$210="","",$X$180)</f>
        <v/>
      </c>
      <c r="Y210" s="477" t="str">
        <f>IF($X$210="","",$Y$180)</f>
        <v/>
      </c>
      <c r="Z210" s="477" t="str">
        <f>IF($X$210="","",$Z$180)</f>
        <v/>
      </c>
      <c r="AA210" s="477" t="str">
        <f>IF($AC$210="","",ROW($A$210)-ROW($A$180))</f>
        <v/>
      </c>
      <c r="AB210" s="478"/>
      <c r="AC210" s="34"/>
      <c r="AD210" s="356"/>
      <c r="AE210" s="18"/>
      <c r="AF210" s="19"/>
      <c r="AG210" s="480" t="str">
        <f t="shared" si="40"/>
        <v/>
      </c>
      <c r="AH210" s="481" t="str">
        <f t="shared" si="41"/>
        <v/>
      </c>
      <c r="AI210" s="477" t="str">
        <f>IF($AC$210="","",IFERROR(INDEX($AZ$74:$AZ$119,MATCH($AH$210,$AY$74:$AY$119,0)),"AUTRE"))</f>
        <v/>
      </c>
      <c r="AJ210" s="482" t="str">
        <f>IF($AC$210="","",IFERROR(INDEX($BA$74:$BA$119,MATCH($AH$210,$AY$74:$AY$119,0)),1))</f>
        <v/>
      </c>
      <c r="AK210" s="482" t="str">
        <f t="shared" si="42"/>
        <v/>
      </c>
      <c r="AL210" s="477" t="str">
        <f>IF($AC$210="","",IFERROR(INDEX($BB$74:$BB$119,MATCH($AH$210,$AY$74:$AY$119,0)),$AH$210))</f>
        <v/>
      </c>
      <c r="AM210" s="483" t="str">
        <f t="shared" si="43"/>
        <v/>
      </c>
      <c r="AN210" s="484" t="str">
        <f t="shared" si="44"/>
        <v/>
      </c>
      <c r="AO210" s="473" t="str">
        <f t="shared" si="45"/>
        <v/>
      </c>
      <c r="AP210" s="473" t="str">
        <f t="shared" si="46"/>
        <v/>
      </c>
      <c r="AQ210" s="473" t="str">
        <f t="shared" si="47"/>
        <v/>
      </c>
      <c r="AR210" s="473" t="str">
        <f t="shared" si="48"/>
        <v/>
      </c>
      <c r="AS210" s="473" t="str">
        <f t="shared" si="49"/>
        <v/>
      </c>
      <c r="AT210" s="473" t="str">
        <f t="shared" si="50"/>
        <v/>
      </c>
      <c r="AU210" s="473" t="str">
        <f t="shared" si="51"/>
        <v/>
      </c>
      <c r="AY210" s="497" t="s">
        <v>462</v>
      </c>
      <c r="AZ210" s="497" t="s">
        <v>8147</v>
      </c>
      <c r="BA210" s="34" t="s">
        <v>481</v>
      </c>
      <c r="BB210" s="499"/>
      <c r="BC210" s="271"/>
      <c r="BD210" s="279">
        <v>1</v>
      </c>
      <c r="BE210" s="271"/>
      <c r="BF210" s="271"/>
      <c r="BG210" s="271"/>
      <c r="BH210" s="271"/>
      <c r="BI210" s="271"/>
      <c r="BJ210" s="271"/>
      <c r="BK210" s="271"/>
      <c r="BL210" s="271"/>
    </row>
    <row r="211" spans="18:64" ht="21" customHeight="1" x14ac:dyDescent="0.25">
      <c r="R211" s="34" t="s">
        <v>457</v>
      </c>
      <c r="S211" s="451"/>
      <c r="T211" s="497" t="s">
        <v>8147</v>
      </c>
      <c r="V211" s="475">
        <v>4</v>
      </c>
      <c r="W211" s="475" t="str">
        <f>IF($AC$211="","",$W$180)</f>
        <v/>
      </c>
      <c r="X211" s="476" t="str">
        <f>IF($AC$211="","",$X$180)</f>
        <v/>
      </c>
      <c r="Y211" s="477" t="str">
        <f>IF($X$211="","",$Y$180)</f>
        <v/>
      </c>
      <c r="Z211" s="477" t="str">
        <f>IF($X$211="","",$Z$180)</f>
        <v/>
      </c>
      <c r="AA211" s="477" t="str">
        <f>IF($AC$211="","",ROW($A$211)-ROW($A$180))</f>
        <v/>
      </c>
      <c r="AB211" s="478"/>
      <c r="AC211" s="34"/>
      <c r="AD211" s="356"/>
      <c r="AE211" s="18"/>
      <c r="AF211" s="19"/>
      <c r="AG211" s="480" t="str">
        <f t="shared" si="40"/>
        <v/>
      </c>
      <c r="AH211" s="481" t="str">
        <f t="shared" si="41"/>
        <v/>
      </c>
      <c r="AI211" s="477" t="str">
        <f>IF($AC$211="","",IFERROR(INDEX($AZ$74:$AZ$119,MATCH($AH$211,$AY$74:$AY$119,0)),"AUTRE"))</f>
        <v/>
      </c>
      <c r="AJ211" s="482" t="str">
        <f>IF($AC$211="","",IFERROR(INDEX($BA$74:$BA$119,MATCH($AH$211,$AY$74:$AY$119,0)),1))</f>
        <v/>
      </c>
      <c r="AK211" s="482" t="str">
        <f t="shared" si="42"/>
        <v/>
      </c>
      <c r="AL211" s="477" t="str">
        <f>IF($AC$211="","",IFERROR(INDEX($BB$74:$BB$119,MATCH($AH$211,$AY$74:$AY$119,0)),$AH$211))</f>
        <v/>
      </c>
      <c r="AM211" s="483" t="str">
        <f t="shared" si="43"/>
        <v/>
      </c>
      <c r="AN211" s="484" t="str">
        <f t="shared" si="44"/>
        <v/>
      </c>
      <c r="AO211" s="473" t="str">
        <f t="shared" si="45"/>
        <v/>
      </c>
      <c r="AP211" s="473" t="str">
        <f t="shared" si="46"/>
        <v/>
      </c>
      <c r="AQ211" s="473" t="str">
        <f t="shared" si="47"/>
        <v/>
      </c>
      <c r="AR211" s="473" t="str">
        <f t="shared" si="48"/>
        <v/>
      </c>
      <c r="AS211" s="473" t="str">
        <f t="shared" si="49"/>
        <v/>
      </c>
      <c r="AT211" s="473" t="str">
        <f t="shared" si="50"/>
        <v/>
      </c>
      <c r="AU211" s="473" t="str">
        <f t="shared" si="51"/>
        <v/>
      </c>
      <c r="AY211" s="497" t="s">
        <v>463</v>
      </c>
      <c r="AZ211" s="497" t="s">
        <v>465</v>
      </c>
      <c r="BA211" s="34" t="s">
        <v>475</v>
      </c>
      <c r="BB211" s="499"/>
      <c r="BC211" s="271"/>
      <c r="BD211" s="279">
        <v>1</v>
      </c>
      <c r="BE211" s="271"/>
      <c r="BF211" s="271"/>
      <c r="BG211" s="271"/>
      <c r="BH211" s="271"/>
      <c r="BI211" s="271"/>
      <c r="BJ211" s="271"/>
      <c r="BK211" s="271"/>
      <c r="BL211" s="271"/>
    </row>
    <row r="212" spans="18:64" ht="21" customHeight="1" x14ac:dyDescent="0.25">
      <c r="R212" s="34" t="s">
        <v>482</v>
      </c>
      <c r="S212" s="451"/>
      <c r="T212" s="497" t="s">
        <v>465</v>
      </c>
      <c r="V212" s="475">
        <v>4</v>
      </c>
      <c r="W212" s="475" t="str">
        <f>IF($AC$212="","",$W$180)</f>
        <v/>
      </c>
      <c r="X212" s="476" t="str">
        <f>IF($AC$212="","",$X$180)</f>
        <v/>
      </c>
      <c r="Y212" s="477" t="str">
        <f>IF($X$212="","",$Y$180)</f>
        <v/>
      </c>
      <c r="Z212" s="477" t="str">
        <f>IF($X$212="","",$Z$180)</f>
        <v/>
      </c>
      <c r="AA212" s="477" t="str">
        <f>IF($AC$212="","",ROW($A$212)-ROW($A$180))</f>
        <v/>
      </c>
      <c r="AB212" s="478"/>
      <c r="AC212" s="34"/>
      <c r="AD212" s="356"/>
      <c r="AE212" s="18"/>
      <c r="AF212" s="19"/>
      <c r="AG212" s="480" t="str">
        <f t="shared" si="40"/>
        <v/>
      </c>
      <c r="AH212" s="481" t="str">
        <f t="shared" si="41"/>
        <v/>
      </c>
      <c r="AI212" s="477" t="str">
        <f>IF($AC$212="","",IFERROR(INDEX($AZ$74:$AZ$119,MATCH($AH$212,$AY$74:$AY$119,0)),"AUTRE"))</f>
        <v/>
      </c>
      <c r="AJ212" s="482" t="str">
        <f>IF($AC$212="","",IFERROR(INDEX($BA$74:$BA$119,MATCH($AH$212,$AY$74:$AY$119,0)),1))</f>
        <v/>
      </c>
      <c r="AK212" s="482" t="str">
        <f t="shared" si="42"/>
        <v/>
      </c>
      <c r="AL212" s="477" t="str">
        <f>IF($AC$212="","",IFERROR(INDEX($BB$74:$BB$119,MATCH($AH$212,$AY$74:$AY$119,0)),$AH$212))</f>
        <v/>
      </c>
      <c r="AM212" s="483" t="str">
        <f t="shared" si="43"/>
        <v/>
      </c>
      <c r="AN212" s="484" t="str">
        <f t="shared" si="44"/>
        <v/>
      </c>
      <c r="AO212" s="473" t="str">
        <f t="shared" si="45"/>
        <v/>
      </c>
      <c r="AP212" s="473" t="str">
        <f t="shared" si="46"/>
        <v/>
      </c>
      <c r="AQ212" s="473" t="str">
        <f t="shared" si="47"/>
        <v/>
      </c>
      <c r="AR212" s="473" t="str">
        <f t="shared" si="48"/>
        <v/>
      </c>
      <c r="AS212" s="473" t="str">
        <f t="shared" si="49"/>
        <v/>
      </c>
      <c r="AT212" s="473" t="str">
        <f t="shared" si="50"/>
        <v/>
      </c>
      <c r="AU212" s="473" t="str">
        <f t="shared" si="51"/>
        <v/>
      </c>
      <c r="AY212" s="497" t="s">
        <v>8147</v>
      </c>
      <c r="AZ212" s="497" t="s">
        <v>466</v>
      </c>
      <c r="BA212" s="34" t="s">
        <v>457</v>
      </c>
      <c r="BB212" s="499"/>
      <c r="BC212" s="271"/>
      <c r="BD212" s="279">
        <v>1</v>
      </c>
      <c r="BE212" s="271"/>
      <c r="BF212" s="271"/>
      <c r="BG212" s="271"/>
      <c r="BH212" s="271"/>
      <c r="BI212" s="271"/>
      <c r="BJ212" s="271"/>
      <c r="BK212" s="271"/>
      <c r="BL212" s="271"/>
    </row>
    <row r="213" spans="18:64" ht="21" customHeight="1" x14ac:dyDescent="0.25">
      <c r="R213" s="34" t="s">
        <v>496</v>
      </c>
      <c r="S213" s="451"/>
      <c r="T213" s="497" t="s">
        <v>466</v>
      </c>
      <c r="V213" s="475">
        <v>4</v>
      </c>
      <c r="W213" s="475" t="str">
        <f>IF($AC$213="","",$W$180)</f>
        <v>N° 24</v>
      </c>
      <c r="X213" s="476" t="str">
        <f>IF($AC$213="","",$X$180)</f>
        <v>CRÈME D'AVOCAT GALETTE POLENTA</v>
      </c>
      <c r="Y213" s="477">
        <f>IF($X$213="","",$Y$180)</f>
        <v>41</v>
      </c>
      <c r="Z213" s="477">
        <f>IF($X$213="","",$Z$180)</f>
        <v>100</v>
      </c>
      <c r="AA213" s="477">
        <f>IF($AC$213="","",ROW($A$213)-ROW($A$180))</f>
        <v>33</v>
      </c>
      <c r="AB213" s="478"/>
      <c r="AC213" s="34" t="s">
        <v>490</v>
      </c>
      <c r="AD213" s="356"/>
      <c r="AE213" s="18">
        <v>4</v>
      </c>
      <c r="AF213" s="33" t="s">
        <v>462</v>
      </c>
      <c r="AG213" s="480">
        <f t="shared" si="40"/>
        <v>4</v>
      </c>
      <c r="AH213" s="481" t="str">
        <f t="shared" si="41"/>
        <v>BAC(S)</v>
      </c>
      <c r="AI213" s="477" t="str">
        <f>IF($AC$213="","",IFERROR(INDEX($AZ$74:$AZ$119,MATCH($AH$213,$AY$74:$AY$119,0)),"AUTRE"))</f>
        <v>AUTRE</v>
      </c>
      <c r="AJ213" s="482">
        <f>IF($AC$213="","",IFERROR(INDEX($BA$74:$BA$119,MATCH($AH$213,$AY$74:$AY$119,0)),1))</f>
        <v>1</v>
      </c>
      <c r="AK213" s="482">
        <f t="shared" si="42"/>
        <v>4</v>
      </c>
      <c r="AL213" s="477" t="str">
        <f>IF($AC$213="","",IFERROR(INDEX($BB$74:$BB$119,MATCH($AH$213,$AY$74:$AY$119,0)),$AH$213))</f>
        <v>bac(s)</v>
      </c>
      <c r="AM213" s="483" t="str">
        <f t="shared" si="43"/>
        <v>OK</v>
      </c>
      <c r="AN213" s="484">
        <f t="shared" si="44"/>
        <v>4</v>
      </c>
      <c r="AO213" s="473" t="str">
        <f t="shared" si="45"/>
        <v/>
      </c>
      <c r="AP213" s="473" t="str">
        <f t="shared" si="46"/>
        <v/>
      </c>
      <c r="AQ213" s="473" t="str">
        <f t="shared" si="47"/>
        <v/>
      </c>
      <c r="AR213" s="473" t="str">
        <f t="shared" si="48"/>
        <v/>
      </c>
      <c r="AS213" s="473" t="str">
        <f t="shared" si="49"/>
        <v/>
      </c>
      <c r="AT213" s="473" t="str">
        <f t="shared" si="50"/>
        <v/>
      </c>
      <c r="AU213" s="473" t="str">
        <f t="shared" si="51"/>
        <v/>
      </c>
      <c r="AY213" s="497" t="s">
        <v>465</v>
      </c>
      <c r="AZ213" s="14" t="s">
        <v>7</v>
      </c>
      <c r="BA213" s="34" t="s">
        <v>482</v>
      </c>
      <c r="BB213" s="499"/>
      <c r="BC213" s="271"/>
      <c r="BD213" s="279">
        <v>1</v>
      </c>
      <c r="BE213" s="271"/>
      <c r="BF213" s="271"/>
      <c r="BG213" s="271"/>
      <c r="BH213" s="271"/>
      <c r="BI213" s="271"/>
      <c r="BJ213" s="271"/>
      <c r="BK213" s="271"/>
      <c r="BL213" s="271"/>
    </row>
    <row r="214" spans="18:64" ht="21" customHeight="1" x14ac:dyDescent="0.25">
      <c r="R214" s="34" t="s">
        <v>483</v>
      </c>
      <c r="S214" s="451"/>
      <c r="T214" s="440" t="s">
        <v>8110</v>
      </c>
      <c r="V214" s="475">
        <v>4</v>
      </c>
      <c r="W214" s="475" t="str">
        <f>IF($AC$214="","",$W$180)</f>
        <v>N° 24</v>
      </c>
      <c r="X214" s="476" t="str">
        <f>IF($AC$214="","",$X$180)</f>
        <v>CRÈME D'AVOCAT GALETTE POLENTA</v>
      </c>
      <c r="Y214" s="477">
        <f>IF($X$214="","",$Y$180)</f>
        <v>41</v>
      </c>
      <c r="Z214" s="477">
        <f>IF($X$214="","",$Z$180)</f>
        <v>100</v>
      </c>
      <c r="AA214" s="477">
        <f>IF($AC$214="","",ROW($A$214)-ROW($A$180))</f>
        <v>34</v>
      </c>
      <c r="AB214" s="478"/>
      <c r="AC214" s="34" t="s">
        <v>492</v>
      </c>
      <c r="AD214" s="356"/>
      <c r="AE214" s="18">
        <v>1</v>
      </c>
      <c r="AF214" s="33" t="s">
        <v>462</v>
      </c>
      <c r="AG214" s="491">
        <f t="shared" si="40"/>
        <v>1</v>
      </c>
      <c r="AH214" s="481" t="str">
        <f t="shared" si="41"/>
        <v>BAC(S)</v>
      </c>
      <c r="AI214" s="477" t="str">
        <f>IF($AC$214="","",IFERROR(INDEX($AZ$74:$AZ$119,MATCH($AH$214,$AY$74:$AY$119,0)),"AUTRE"))</f>
        <v>AUTRE</v>
      </c>
      <c r="AJ214" s="482">
        <f>IF($AC$214="","",IFERROR(INDEX($BA$74:$BA$119,MATCH($AH$214,$AY$74:$AY$119,0)),1))</f>
        <v>1</v>
      </c>
      <c r="AK214" s="482">
        <f t="shared" si="42"/>
        <v>1</v>
      </c>
      <c r="AL214" s="477" t="str">
        <f>IF($AC$214="","",IFERROR(INDEX($BB$74:$BB$119,MATCH($AH$214,$AY$74:$AY$119,0)),$AH$214))</f>
        <v>bac(s)</v>
      </c>
      <c r="AM214" s="483" t="str">
        <f t="shared" si="43"/>
        <v>OK</v>
      </c>
      <c r="AN214" s="484">
        <f t="shared" si="44"/>
        <v>1</v>
      </c>
      <c r="AO214" s="473" t="str">
        <f t="shared" si="45"/>
        <v/>
      </c>
      <c r="AP214" s="473" t="str">
        <f t="shared" si="46"/>
        <v/>
      </c>
      <c r="AQ214" s="473" t="str">
        <f t="shared" si="47"/>
        <v/>
      </c>
      <c r="AR214" s="473" t="str">
        <f t="shared" si="48"/>
        <v/>
      </c>
      <c r="AS214" s="473" t="str">
        <f t="shared" si="49"/>
        <v/>
      </c>
      <c r="AT214" s="473" t="str">
        <f t="shared" si="50"/>
        <v/>
      </c>
      <c r="AU214" s="473" t="str">
        <f t="shared" si="51"/>
        <v/>
      </c>
      <c r="AY214" s="497" t="s">
        <v>466</v>
      </c>
      <c r="AZ214" s="27" t="s">
        <v>8</v>
      </c>
      <c r="BA214" s="34" t="s">
        <v>496</v>
      </c>
      <c r="BB214" s="499"/>
      <c r="BC214" s="271"/>
      <c r="BD214" s="279">
        <v>1</v>
      </c>
      <c r="BE214" s="271"/>
      <c r="BF214" s="271"/>
      <c r="BG214" s="271"/>
      <c r="BH214" s="271"/>
      <c r="BI214" s="271"/>
      <c r="BJ214" s="271"/>
      <c r="BK214" s="271"/>
      <c r="BL214" s="271"/>
    </row>
    <row r="215" spans="18:64" ht="30" customHeight="1" x14ac:dyDescent="0.25">
      <c r="R215" s="34" t="s">
        <v>493</v>
      </c>
      <c r="S215" s="451"/>
      <c r="T215" s="452" t="s">
        <v>8113</v>
      </c>
      <c r="V215" s="453" t="s">
        <v>324</v>
      </c>
      <c r="W215" s="453" t="s">
        <v>7912</v>
      </c>
      <c r="X215" s="453" t="s">
        <v>326</v>
      </c>
      <c r="Y215" s="453" t="s">
        <v>327</v>
      </c>
      <c r="Z215" s="454" t="s">
        <v>7930</v>
      </c>
      <c r="AA215" s="453" t="s">
        <v>7937</v>
      </c>
      <c r="AB215" s="455" t="s">
        <v>39</v>
      </c>
      <c r="AC215" s="455" t="s">
        <v>338</v>
      </c>
      <c r="AD215" s="455" t="s">
        <v>8114</v>
      </c>
      <c r="AE215" s="455" t="s">
        <v>339</v>
      </c>
      <c r="AF215" s="455" t="s">
        <v>7997</v>
      </c>
      <c r="AG215" s="453" t="s">
        <v>8018</v>
      </c>
      <c r="AH215" s="453" t="s">
        <v>8023</v>
      </c>
      <c r="AI215" s="453" t="s">
        <v>330</v>
      </c>
      <c r="AJ215" s="453" t="s">
        <v>8031</v>
      </c>
      <c r="AK215" s="453" t="s">
        <v>8037</v>
      </c>
      <c r="AL215" s="453" t="s">
        <v>8041</v>
      </c>
      <c r="AM215" s="453" t="s">
        <v>343</v>
      </c>
      <c r="AN215" s="457" t="s">
        <v>8115</v>
      </c>
      <c r="AO215" s="457" t="s">
        <v>8116</v>
      </c>
      <c r="AP215" s="656" t="s">
        <v>8117</v>
      </c>
      <c r="AQ215" s="656"/>
      <c r="AR215" s="656"/>
      <c r="AS215" s="656"/>
      <c r="AT215" s="656"/>
      <c r="AU215" s="657"/>
      <c r="AZ215" s="28" t="s">
        <v>13</v>
      </c>
      <c r="BA215" s="34" t="s">
        <v>483</v>
      </c>
      <c r="BB215" s="499"/>
      <c r="BC215" s="271"/>
      <c r="BD215" s="279">
        <v>1</v>
      </c>
      <c r="BE215" s="271"/>
      <c r="BF215" s="271"/>
      <c r="BG215" s="271"/>
      <c r="BH215" s="271"/>
      <c r="BI215" s="271"/>
      <c r="BJ215" s="271"/>
      <c r="BK215" s="271"/>
      <c r="BL215" s="271"/>
    </row>
    <row r="216" spans="18:64" ht="30" customHeight="1" x14ac:dyDescent="0.25">
      <c r="R216" s="34" t="s">
        <v>494</v>
      </c>
      <c r="S216" s="451"/>
      <c r="T216" s="14" t="s">
        <v>7</v>
      </c>
      <c r="V216" s="459">
        <v>5</v>
      </c>
      <c r="W216" s="460" t="s">
        <v>8120</v>
      </c>
      <c r="X216" s="461" t="s">
        <v>8153</v>
      </c>
      <c r="Y216" s="462"/>
      <c r="Z216" s="463">
        <v>100</v>
      </c>
      <c r="AA216" s="464">
        <f>IF($AC$396="","",ROW($A$396)-ROW($A$396))</f>
        <v>0</v>
      </c>
      <c r="AB216" s="461"/>
      <c r="AC216" s="465" t="s">
        <v>8154</v>
      </c>
      <c r="AD216" s="390"/>
      <c r="AE216" s="390"/>
      <c r="AF216" s="466"/>
      <c r="AG216" s="467" t="str">
        <f t="shared" ref="AG216:AG250" si="52">IF($AC216="","",IF(LEN($AN216&amp;"")=0,"",$AN216))</f>
        <v/>
      </c>
      <c r="AH216" s="468" t="str">
        <f t="shared" ref="AH216:AH250" si="53">IF($AC216="","",IF($AF216&lt;&gt;"",UPPER(TRIM(SUBSTITUTE(SUBSTITUTE($AF216&amp;"",CHAR(160)," ")," "," "))),$AP216))</f>
        <v/>
      </c>
      <c r="AI216" s="469" t="str">
        <f>IF($AC$216="","",IFERROR(INDEX($AZ$74:$AZ$119,MATCH($AH$216,$AY$74:$AY$119,0)),"AUTRE"))</f>
        <v>AUTRE</v>
      </c>
      <c r="AJ216" s="470">
        <f>IF($AC$216="","",IFERROR(INDEX($BA$74:$BA$119,MATCH($AH$216,$AY$74:$AY$119,0)),1))</f>
        <v>1</v>
      </c>
      <c r="AK216" s="470" t="str">
        <f t="shared" ref="AK216:AK250" si="54">IF(OR(AG216="",AJ216=""),"",AG216*AJ216)</f>
        <v/>
      </c>
      <c r="AL216" s="469" t="str">
        <f>IF($AC$216="","",IFERROR(INDEX($BB$74:$BB$119,MATCH($AH$216,$AY$74:$AY$119,0)),$AH$216))</f>
        <v/>
      </c>
      <c r="AM216" s="471" t="str">
        <f t="shared" ref="AM216:AM250" si="55">IF($AC216="","",IF($AH216="QT. SUFFISANTE","OK",IF($AG216="","TEXTE",IF(NOT(ISNUMBER($AG216)),"QUANTITÉ À CONTRÔLER",IF(COUNTIF($AY$74:$AY$119,$AH216)=0,"UNITÉ À CONTRÔLER","OK")))))</f>
        <v>TEXTE</v>
      </c>
      <c r="AN216" s="474" t="str">
        <f t="shared" ref="AN216:AN250" si="56">IF($AE216&lt;&gt;"",$AE216,IF($AD216="","",IF(ISNUMBER($AD216),$AD216,IF($AO216="QT",0,IF($AO216="","",IFERROR(IF(ISNUMBER(SEARCH("/",$AO216)),VALUE(TRIM(LEFT($AO216,SEARCH("/",$AO216)-1)))/VALUE(TRIM(MID($AO216,SEARCH("/",$AO216)+1,99))),VALUE(SUBSTITUTE($AO216,".",","))),""))))))</f>
        <v/>
      </c>
      <c r="AO216" s="473" t="str">
        <f t="shared" ref="AO216:AO250" si="57">IF($AD216="","",IF(ISNUMBER($AD216),$AD216,IF(OR(LEFT($AQ216,3)="QT.",LEFT($AQ216,4)="QUAN"),"QT",IF($AR216=999,$AQ216,TRIM(LEFT($AQ216,$AR216-1))))))</f>
        <v/>
      </c>
      <c r="AP216" s="473" t="str">
        <f t="shared" ref="AP216:AP250" si="58">IF($AD216="","",IF(ISNUMBER($AD216),"",IF(OR(LEFT($AQ216,3)="QT.",LEFT($AQ216,4)="QUAN"),"QT. SUFFISANTE",IF($AO216="","",TRIM(MID($AQ216,LEN($AO216&amp;"")+1,999))))))</f>
        <v/>
      </c>
      <c r="AQ216" s="473" t="str">
        <f t="shared" ref="AQ216:AQ250" si="59">IF($AD216="","",UPPER(TRIM(SUBSTITUTE(SUBSTITUTE($AD216&amp;"",CHAR(160)," ")," "," "))))</f>
        <v/>
      </c>
      <c r="AR216" s="473" t="str">
        <f t="shared" ref="AR216:AR250" si="60">IF($AQ216="","",MIN($AS216,$AT216,$AU216))</f>
        <v/>
      </c>
      <c r="AS216" s="473" t="str">
        <f t="shared" ref="AS216:AS250" si="61">IF($AQ216="","",MIN(IFERROR(SEARCH("A",$AQ216),999),IFERROR(SEARCH("B",$AQ216),999),IFERROR(SEARCH("C",$AQ216),999),IFERROR(SEARCH("D",$AQ216),999),IFERROR(SEARCH("E",$AQ216),999),IFERROR(SEARCH("F",$AQ216),999),IFERROR(SEARCH("G",$AQ216),999),IFERROR(SEARCH("H",$AQ216),999),IFERROR(SEARCH("I",$AQ216),999)))</f>
        <v/>
      </c>
      <c r="AT216" s="473" t="str">
        <f t="shared" ref="AT216:AT250" si="62">IF($AQ216="","",MIN(IFERROR(SEARCH("J",$AQ216),999),IFERROR(SEARCH("K",$AQ216),999),IFERROR(SEARCH("L",$AQ216),999),IFERROR(SEARCH("M",$AQ216),999),IFERROR(SEARCH("N",$AQ216),999),IFERROR(SEARCH("O",$AQ216),999),IFERROR(SEARCH("P",$AQ216),999),IFERROR(SEARCH("Q",$AQ216),999),IFERROR(SEARCH("R",$AQ216),999)))</f>
        <v/>
      </c>
      <c r="AU216" s="473" t="str">
        <f t="shared" ref="AU216:AU250" si="63">IF($AQ216="","",MIN(IFERROR(SEARCH("S",$AQ216),999),IFERROR(SEARCH("T",$AQ216),999),IFERROR(SEARCH("U",$AQ216),999),IFERROR(SEARCH("V",$AQ216),999),IFERROR(SEARCH("W",$AQ216),999),IFERROR(SEARCH("X",$AQ216),999),IFERROR(SEARCH("Y",$AQ216),999),IFERROR(SEARCH("Z",$AQ216),999)))</f>
        <v/>
      </c>
      <c r="AZ216" s="28" t="s">
        <v>14</v>
      </c>
      <c r="BA216" s="34" t="s">
        <v>493</v>
      </c>
      <c r="BB216" s="499"/>
      <c r="BC216" s="271"/>
      <c r="BD216" s="279">
        <v>1</v>
      </c>
      <c r="BE216" s="271"/>
      <c r="BF216" s="271"/>
      <c r="BG216" s="271"/>
      <c r="BH216" s="271"/>
      <c r="BI216" s="271"/>
      <c r="BJ216" s="271"/>
      <c r="BK216" s="271"/>
      <c r="BL216" s="271"/>
    </row>
    <row r="217" spans="18:64" ht="21" customHeight="1" x14ac:dyDescent="0.25">
      <c r="S217" s="451"/>
      <c r="T217" s="27" t="s">
        <v>8</v>
      </c>
      <c r="V217" s="475">
        <f>$V$216</f>
        <v>5</v>
      </c>
      <c r="W217" s="475" t="str">
        <f>IF($AC$217="","",$W$216)</f>
        <v/>
      </c>
      <c r="X217" s="476" t="str">
        <f>IF($AC$217="","",$X$216)</f>
        <v/>
      </c>
      <c r="Y217" s="477" t="str">
        <f>IF($X$217="","",$Y$216)</f>
        <v/>
      </c>
      <c r="Z217" s="477" t="str">
        <f>IF($X$217="","",$Z$216)</f>
        <v/>
      </c>
      <c r="AA217" s="477" t="str">
        <f>IF($AC$217="","",ROW($A$217)-ROW($A$216))</f>
        <v/>
      </c>
      <c r="AB217" s="478"/>
      <c r="AC217" s="34"/>
      <c r="AD217" s="356"/>
      <c r="AE217" s="479"/>
      <c r="AF217" s="475"/>
      <c r="AG217" s="480" t="str">
        <f t="shared" si="52"/>
        <v/>
      </c>
      <c r="AH217" s="481" t="str">
        <f t="shared" si="53"/>
        <v/>
      </c>
      <c r="AI217" s="477" t="str">
        <f>IF($AC$217="","",IFERROR(INDEX($AZ$74:$AZ$119,MATCH($AH$217,$AY$74:$AY$119,0)),"AUTRE"))</f>
        <v/>
      </c>
      <c r="AJ217" s="482" t="str">
        <f>IF($AC$217="","",IFERROR(INDEX($BA$74:$BA$119,MATCH($AH$217,$AY$74:$AY$119,0)),1))</f>
        <v/>
      </c>
      <c r="AK217" s="482" t="str">
        <f t="shared" si="54"/>
        <v/>
      </c>
      <c r="AL217" s="477" t="str">
        <f>IF($AC$217="","",IFERROR(INDEX($BB$74:$BB$119,MATCH($AH$217,$AY$74:$AY$119,0)),$AH$217))</f>
        <v/>
      </c>
      <c r="AM217" s="483" t="str">
        <f t="shared" si="55"/>
        <v/>
      </c>
      <c r="AN217" s="484" t="str">
        <f t="shared" si="56"/>
        <v/>
      </c>
      <c r="AO217" s="473" t="str">
        <f t="shared" si="57"/>
        <v/>
      </c>
      <c r="AP217" s="473" t="str">
        <f t="shared" si="58"/>
        <v/>
      </c>
      <c r="AQ217" s="473" t="str">
        <f t="shared" si="59"/>
        <v/>
      </c>
      <c r="AR217" s="473" t="str">
        <f t="shared" si="60"/>
        <v/>
      </c>
      <c r="AS217" s="473" t="str">
        <f t="shared" si="61"/>
        <v/>
      </c>
      <c r="AT217" s="473" t="str">
        <f t="shared" si="62"/>
        <v/>
      </c>
      <c r="AU217" s="473" t="str">
        <f t="shared" si="63"/>
        <v/>
      </c>
      <c r="AZ217" s="28" t="s">
        <v>15</v>
      </c>
      <c r="BA217" s="34" t="s">
        <v>494</v>
      </c>
      <c r="BB217" s="499"/>
      <c r="BC217" s="271"/>
      <c r="BD217" s="279">
        <v>1</v>
      </c>
      <c r="BE217" s="271"/>
      <c r="BF217" s="271"/>
      <c r="BG217" s="271"/>
      <c r="BH217" s="271"/>
      <c r="BI217" s="271"/>
      <c r="BJ217" s="271"/>
      <c r="BK217" s="271"/>
      <c r="BL217" s="271"/>
    </row>
    <row r="218" spans="18:64" ht="21" customHeight="1" x14ac:dyDescent="0.25">
      <c r="R218" s="25" t="s">
        <v>6115</v>
      </c>
      <c r="S218" s="451"/>
      <c r="T218" s="28" t="s">
        <v>13</v>
      </c>
      <c r="V218" s="475">
        <v>5</v>
      </c>
      <c r="W218" s="475" t="str">
        <f>IF($AC$218="","",$W$216)</f>
        <v/>
      </c>
      <c r="X218" s="476" t="str">
        <f>IF($AC$218="","",$X$216)</f>
        <v/>
      </c>
      <c r="Y218" s="477" t="str">
        <f>IF($X$218="","",$Y$216)</f>
        <v/>
      </c>
      <c r="Z218" s="477" t="str">
        <f>IF($X$218="","",$Z$216)</f>
        <v/>
      </c>
      <c r="AA218" s="477" t="str">
        <f>IF($AC$218="","",ROW($A$218)-ROW($A$216))</f>
        <v/>
      </c>
      <c r="AB218" s="478"/>
      <c r="AC218" s="34"/>
      <c r="AD218" s="356"/>
      <c r="AE218" s="479"/>
      <c r="AF218" s="475"/>
      <c r="AG218" s="480" t="str">
        <f t="shared" si="52"/>
        <v/>
      </c>
      <c r="AH218" s="481" t="str">
        <f t="shared" si="53"/>
        <v/>
      </c>
      <c r="AI218" s="477" t="str">
        <f>IF($AC$218="","",IFERROR(INDEX($AZ$74:$AZ$119,MATCH($AH$218,$AY$74:$AY$119,0)),"AUTRE"))</f>
        <v/>
      </c>
      <c r="AJ218" s="482" t="str">
        <f>IF($AC$218="","",IFERROR(INDEX($BA$74:$BA$119,MATCH($AH$218,$AY$74:$AY$119,0)),1))</f>
        <v/>
      </c>
      <c r="AK218" s="482" t="str">
        <f t="shared" si="54"/>
        <v/>
      </c>
      <c r="AL218" s="477" t="str">
        <f>IF($AC$218="","",IFERROR(INDEX($BB$74:$BB$119,MATCH($AH$218,$AY$74:$AY$119,0)),$AH$218))</f>
        <v/>
      </c>
      <c r="AM218" s="483" t="str">
        <f t="shared" si="55"/>
        <v/>
      </c>
      <c r="AN218" s="484" t="str">
        <f t="shared" si="56"/>
        <v/>
      </c>
      <c r="AO218" s="473" t="str">
        <f t="shared" si="57"/>
        <v/>
      </c>
      <c r="AP218" s="473" t="str">
        <f t="shared" si="58"/>
        <v/>
      </c>
      <c r="AQ218" s="473" t="str">
        <f t="shared" si="59"/>
        <v/>
      </c>
      <c r="AR218" s="473" t="str">
        <f t="shared" si="60"/>
        <v/>
      </c>
      <c r="AS218" s="473" t="str">
        <f t="shared" si="61"/>
        <v/>
      </c>
      <c r="AT218" s="473" t="str">
        <f t="shared" si="62"/>
        <v/>
      </c>
      <c r="AU218" s="473" t="str">
        <f t="shared" si="63"/>
        <v/>
      </c>
      <c r="AZ218" s="29" t="s">
        <v>9</v>
      </c>
      <c r="BB218" s="499"/>
      <c r="BC218" s="271"/>
      <c r="BD218" s="279">
        <v>1</v>
      </c>
      <c r="BE218" s="271"/>
      <c r="BF218" s="271"/>
      <c r="BG218" s="271"/>
      <c r="BH218" s="271"/>
      <c r="BI218" s="271"/>
      <c r="BJ218" s="271"/>
      <c r="BK218" s="271"/>
      <c r="BL218" s="271"/>
    </row>
    <row r="219" spans="18:64" ht="21" customHeight="1" x14ac:dyDescent="0.25">
      <c r="R219" s="34" t="s">
        <v>471</v>
      </c>
      <c r="S219" s="451"/>
      <c r="T219" s="28" t="s">
        <v>14</v>
      </c>
      <c r="V219" s="475">
        <v>5</v>
      </c>
      <c r="W219" s="475" t="str">
        <f>IF($AC$219="","",$W$216)</f>
        <v/>
      </c>
      <c r="X219" s="476" t="str">
        <f>IF($AC$219="","",$X$216)</f>
        <v/>
      </c>
      <c r="Y219" s="477" t="str">
        <f>IF($X$219="","",$Y$216)</f>
        <v/>
      </c>
      <c r="Z219" s="477" t="str">
        <f>IF($X$219="","",$Z$216)</f>
        <v/>
      </c>
      <c r="AA219" s="477" t="str">
        <f>IF($AC$219="","",ROW($A$219)-ROW($A$216))</f>
        <v/>
      </c>
      <c r="AB219" s="478"/>
      <c r="AC219" s="34"/>
      <c r="AD219" s="356"/>
      <c r="AE219" s="479"/>
      <c r="AF219" s="475"/>
      <c r="AG219" s="480" t="str">
        <f t="shared" si="52"/>
        <v/>
      </c>
      <c r="AH219" s="481" t="str">
        <f t="shared" si="53"/>
        <v/>
      </c>
      <c r="AI219" s="477" t="str">
        <f>IF($AC$219="","",IFERROR(INDEX($AZ$74:$AZ$119,MATCH($AH$219,$AY$74:$AY$119,0)),"AUTRE"))</f>
        <v/>
      </c>
      <c r="AJ219" s="482" t="str">
        <f>IF($AC$219="","",IFERROR(INDEX($BA$74:$BA$119,MATCH($AH$219,$AY$74:$AY$119,0)),1))</f>
        <v/>
      </c>
      <c r="AK219" s="482" t="str">
        <f t="shared" si="54"/>
        <v/>
      </c>
      <c r="AL219" s="477" t="str">
        <f>IF($AC$219="","",IFERROR(INDEX($BB$74:$BB$119,MATCH($AH$219,$AY$74:$AY$119,0)),$AH$219))</f>
        <v/>
      </c>
      <c r="AM219" s="483" t="str">
        <f t="shared" si="55"/>
        <v/>
      </c>
      <c r="AN219" s="484" t="str">
        <f t="shared" si="56"/>
        <v/>
      </c>
      <c r="AO219" s="473" t="str">
        <f t="shared" si="57"/>
        <v/>
      </c>
      <c r="AP219" s="473" t="str">
        <f t="shared" si="58"/>
        <v/>
      </c>
      <c r="AQ219" s="473" t="str">
        <f t="shared" si="59"/>
        <v/>
      </c>
      <c r="AR219" s="473" t="str">
        <f t="shared" si="60"/>
        <v/>
      </c>
      <c r="AS219" s="473" t="str">
        <f t="shared" si="61"/>
        <v/>
      </c>
      <c r="AT219" s="473" t="str">
        <f t="shared" si="62"/>
        <v/>
      </c>
      <c r="AU219" s="473" t="str">
        <f t="shared" si="63"/>
        <v/>
      </c>
      <c r="AZ219" s="30" t="s">
        <v>10</v>
      </c>
      <c r="BA219" s="25" t="s">
        <v>6115</v>
      </c>
      <c r="BB219" s="499"/>
      <c r="BC219" s="271"/>
      <c r="BD219" s="279">
        <v>1</v>
      </c>
      <c r="BE219" s="271"/>
      <c r="BF219" s="271"/>
      <c r="BG219" s="271"/>
      <c r="BH219" s="271"/>
      <c r="BI219" s="271"/>
      <c r="BJ219" s="271"/>
      <c r="BK219" s="271"/>
      <c r="BL219" s="271"/>
    </row>
    <row r="220" spans="18:64" ht="21" customHeight="1" x14ac:dyDescent="0.25">
      <c r="R220" s="34" t="s">
        <v>472</v>
      </c>
      <c r="S220" s="451"/>
      <c r="T220" s="28" t="s">
        <v>15</v>
      </c>
      <c r="V220" s="475">
        <v>5</v>
      </c>
      <c r="W220" s="475" t="str">
        <f>IF($AC$220="","",$W$216)</f>
        <v/>
      </c>
      <c r="X220" s="476" t="str">
        <f>IF($AC$220="","",$X$216)</f>
        <v/>
      </c>
      <c r="Y220" s="477" t="str">
        <f>IF($X$220="","",$Y$216)</f>
        <v/>
      </c>
      <c r="Z220" s="477" t="str">
        <f>IF($X$220="","",$Z$216)</f>
        <v/>
      </c>
      <c r="AA220" s="477" t="str">
        <f>IF($AC$220="","",ROW($A$220)-ROW($A$216))</f>
        <v/>
      </c>
      <c r="AB220" s="478"/>
      <c r="AC220" s="34"/>
      <c r="AD220" s="356"/>
      <c r="AE220" s="479"/>
      <c r="AF220" s="475"/>
      <c r="AG220" s="480" t="str">
        <f t="shared" si="52"/>
        <v/>
      </c>
      <c r="AH220" s="481" t="str">
        <f t="shared" si="53"/>
        <v/>
      </c>
      <c r="AI220" s="477" t="str">
        <f>IF($AC$220="","",IFERROR(INDEX($AZ$74:$AZ$119,MATCH($AH$220,$AY$74:$AY$119,0)),"AUTRE"))</f>
        <v/>
      </c>
      <c r="AJ220" s="482" t="str">
        <f>IF($AC$220="","",IFERROR(INDEX($BA$74:$BA$119,MATCH($AH$220,$AY$74:$AY$119,0)),1))</f>
        <v/>
      </c>
      <c r="AK220" s="482" t="str">
        <f t="shared" si="54"/>
        <v/>
      </c>
      <c r="AL220" s="477" t="str">
        <f>IF($AC$220="","",IFERROR(INDEX($BB$74:$BB$119,MATCH($AH$220,$AY$74:$AY$119,0)),$AH$220))</f>
        <v/>
      </c>
      <c r="AM220" s="483" t="str">
        <f t="shared" si="55"/>
        <v/>
      </c>
      <c r="AN220" s="484" t="str">
        <f t="shared" si="56"/>
        <v/>
      </c>
      <c r="AO220" s="473" t="str">
        <f t="shared" si="57"/>
        <v/>
      </c>
      <c r="AP220" s="473" t="str">
        <f t="shared" si="58"/>
        <v/>
      </c>
      <c r="AQ220" s="473" t="str">
        <f t="shared" si="59"/>
        <v/>
      </c>
      <c r="AR220" s="473" t="str">
        <f t="shared" si="60"/>
        <v/>
      </c>
      <c r="AS220" s="473" t="str">
        <f t="shared" si="61"/>
        <v/>
      </c>
      <c r="AT220" s="473" t="str">
        <f t="shared" si="62"/>
        <v/>
      </c>
      <c r="AU220" s="473" t="str">
        <f t="shared" si="63"/>
        <v/>
      </c>
      <c r="AZ220" s="30" t="s">
        <v>11</v>
      </c>
      <c r="BA220" s="34" t="s">
        <v>471</v>
      </c>
      <c r="BB220" s="499"/>
      <c r="BC220" s="271"/>
      <c r="BD220" s="279">
        <v>1</v>
      </c>
      <c r="BE220" s="271"/>
      <c r="BF220" s="271"/>
      <c r="BG220" s="271"/>
      <c r="BH220" s="271"/>
      <c r="BI220" s="271"/>
      <c r="BJ220" s="271"/>
      <c r="BK220" s="271"/>
      <c r="BL220" s="271"/>
    </row>
    <row r="221" spans="18:64" ht="21" customHeight="1" x14ac:dyDescent="0.25">
      <c r="R221" s="34" t="s">
        <v>6112</v>
      </c>
      <c r="S221" s="451"/>
      <c r="T221" s="28" t="s">
        <v>21</v>
      </c>
      <c r="V221" s="475">
        <v>5</v>
      </c>
      <c r="W221" s="475" t="str">
        <f>IF($AC$221="","",$W$216)</f>
        <v/>
      </c>
      <c r="X221" s="476" t="str">
        <f>IF($AC$221="","",$X$216)</f>
        <v/>
      </c>
      <c r="Y221" s="477" t="str">
        <f>IF($X$221="","",$Y$216)</f>
        <v/>
      </c>
      <c r="Z221" s="477" t="str">
        <f>IF($X$221="","",$Z$216)</f>
        <v/>
      </c>
      <c r="AA221" s="477" t="str">
        <f>IF($AC$221="","",ROW($A$221)-ROW($A$216))</f>
        <v/>
      </c>
      <c r="AB221" s="478"/>
      <c r="AC221" s="34"/>
      <c r="AD221" s="356"/>
      <c r="AE221" s="479"/>
      <c r="AF221" s="475"/>
      <c r="AG221" s="480" t="str">
        <f t="shared" si="52"/>
        <v/>
      </c>
      <c r="AH221" s="481" t="str">
        <f t="shared" si="53"/>
        <v/>
      </c>
      <c r="AI221" s="477" t="str">
        <f>IF($AC$221="","",IFERROR(INDEX($AZ$74:$AZ$119,MATCH($AH$221,$AY$74:$AY$119,0)),"AUTRE"))</f>
        <v/>
      </c>
      <c r="AJ221" s="482" t="str">
        <f>IF($AC$221="","",IFERROR(INDEX($BA$74:$BA$119,MATCH($AH$221,$AY$74:$AY$119,0)),1))</f>
        <v/>
      </c>
      <c r="AK221" s="482" t="str">
        <f t="shared" si="54"/>
        <v/>
      </c>
      <c r="AL221" s="477" t="str">
        <f>IF($AC$221="","",IFERROR(INDEX($BB$74:$BB$119,MATCH($AH$221,$AY$74:$AY$119,0)),$AH$221))</f>
        <v/>
      </c>
      <c r="AM221" s="483" t="str">
        <f t="shared" si="55"/>
        <v/>
      </c>
      <c r="AN221" s="484" t="str">
        <f t="shared" si="56"/>
        <v/>
      </c>
      <c r="AO221" s="473" t="str">
        <f t="shared" si="57"/>
        <v/>
      </c>
      <c r="AP221" s="473" t="str">
        <f t="shared" si="58"/>
        <v/>
      </c>
      <c r="AQ221" s="473" t="str">
        <f t="shared" si="59"/>
        <v/>
      </c>
      <c r="AR221" s="473" t="str">
        <f t="shared" si="60"/>
        <v/>
      </c>
      <c r="AS221" s="473" t="str">
        <f t="shared" si="61"/>
        <v/>
      </c>
      <c r="AT221" s="473" t="str">
        <f t="shared" si="62"/>
        <v/>
      </c>
      <c r="AU221" s="473" t="str">
        <f t="shared" si="63"/>
        <v/>
      </c>
      <c r="AZ221" s="30" t="s">
        <v>12</v>
      </c>
      <c r="BA221" s="34" t="s">
        <v>472</v>
      </c>
      <c r="BB221" s="499"/>
      <c r="BC221" s="271"/>
      <c r="BD221" s="279">
        <v>1</v>
      </c>
      <c r="BE221" s="271"/>
      <c r="BF221" s="271"/>
      <c r="BG221" s="271"/>
      <c r="BH221" s="271"/>
      <c r="BI221" s="271"/>
      <c r="BJ221" s="271"/>
      <c r="BK221" s="271"/>
      <c r="BL221" s="271"/>
    </row>
    <row r="222" spans="18:64" ht="21" customHeight="1" x14ac:dyDescent="0.25">
      <c r="R222" s="25" t="s">
        <v>6116</v>
      </c>
      <c r="S222" s="451"/>
      <c r="T222" s="28" t="s">
        <v>22</v>
      </c>
      <c r="V222" s="475">
        <v>5</v>
      </c>
      <c r="W222" s="475" t="str">
        <f>IF($AC$222="","",$W$216)</f>
        <v/>
      </c>
      <c r="X222" s="476" t="str">
        <f>IF($AC$222="","",$X$216)</f>
        <v/>
      </c>
      <c r="Y222" s="477" t="str">
        <f>IF($X$222="","",$Y$216)</f>
        <v/>
      </c>
      <c r="Z222" s="477" t="str">
        <f>IF($X$222="","",$Z$216)</f>
        <v/>
      </c>
      <c r="AA222" s="477" t="str">
        <f>IF($AC$222="","",ROW($A$222)-ROW($A$216))</f>
        <v/>
      </c>
      <c r="AB222" s="478"/>
      <c r="AC222" s="34"/>
      <c r="AD222" s="356"/>
      <c r="AE222" s="479"/>
      <c r="AF222" s="475"/>
      <c r="AG222" s="480" t="str">
        <f t="shared" si="52"/>
        <v/>
      </c>
      <c r="AH222" s="481" t="str">
        <f t="shared" si="53"/>
        <v/>
      </c>
      <c r="AI222" s="477" t="str">
        <f>IF($AC$222="","",IFERROR(INDEX($AZ$74:$AZ$119,MATCH($AH$222,$AY$74:$AY$119,0)),"AUTRE"))</f>
        <v/>
      </c>
      <c r="AJ222" s="482" t="str">
        <f>IF($AC$222="","",IFERROR(INDEX($BA$74:$BA$119,MATCH($AH$222,$AY$74:$AY$119,0)),1))</f>
        <v/>
      </c>
      <c r="AK222" s="482" t="str">
        <f t="shared" si="54"/>
        <v/>
      </c>
      <c r="AL222" s="477" t="str">
        <f>IF($AC$222="","",IFERROR(INDEX($BB$74:$BB$119,MATCH($AH$222,$AY$74:$AY$119,0)),$AH$222))</f>
        <v/>
      </c>
      <c r="AM222" s="483" t="str">
        <f t="shared" si="55"/>
        <v/>
      </c>
      <c r="AN222" s="484" t="str">
        <f t="shared" si="56"/>
        <v/>
      </c>
      <c r="AO222" s="473" t="str">
        <f t="shared" si="57"/>
        <v/>
      </c>
      <c r="AP222" s="473" t="str">
        <f t="shared" si="58"/>
        <v/>
      </c>
      <c r="AQ222" s="473" t="str">
        <f t="shared" si="59"/>
        <v/>
      </c>
      <c r="AR222" s="473" t="str">
        <f t="shared" si="60"/>
        <v/>
      </c>
      <c r="AS222" s="473" t="str">
        <f t="shared" si="61"/>
        <v/>
      </c>
      <c r="AT222" s="473" t="str">
        <f t="shared" si="62"/>
        <v/>
      </c>
      <c r="AU222" s="473" t="str">
        <f t="shared" si="63"/>
        <v/>
      </c>
      <c r="AZ222" s="31" t="s">
        <v>16</v>
      </c>
      <c r="BA222" s="34" t="s">
        <v>6112</v>
      </c>
      <c r="BB222" s="499"/>
      <c r="BC222" s="271"/>
      <c r="BD222" s="279">
        <v>1</v>
      </c>
      <c r="BE222" s="271"/>
      <c r="BF222" s="271"/>
      <c r="BG222" s="271"/>
      <c r="BH222" s="271"/>
      <c r="BI222" s="271"/>
      <c r="BJ222" s="271"/>
      <c r="BK222" s="271"/>
      <c r="BL222" s="271"/>
    </row>
    <row r="223" spans="18:64" ht="21" customHeight="1" x14ac:dyDescent="0.25">
      <c r="R223" s="34" t="s">
        <v>6117</v>
      </c>
      <c r="S223" s="451"/>
      <c r="T223" s="28" t="s">
        <v>23</v>
      </c>
      <c r="V223" s="475">
        <v>5</v>
      </c>
      <c r="W223" s="475" t="str">
        <f>IF($AC$223="","",$W$216)</f>
        <v/>
      </c>
      <c r="X223" s="476" t="str">
        <f>IF($AC$223="","",$X$216)</f>
        <v/>
      </c>
      <c r="Y223" s="477" t="str">
        <f>IF($X$223="","",$Y$216)</f>
        <v/>
      </c>
      <c r="Z223" s="477" t="str">
        <f>IF($X$223="","",$Z$216)</f>
        <v/>
      </c>
      <c r="AA223" s="477" t="str">
        <f>IF($AC$223="","",ROW($A$223)-ROW($A$216))</f>
        <v/>
      </c>
      <c r="AB223" s="478"/>
      <c r="AC223" s="34"/>
      <c r="AD223" s="356"/>
      <c r="AE223" s="479"/>
      <c r="AF223" s="475"/>
      <c r="AG223" s="480" t="str">
        <f t="shared" si="52"/>
        <v/>
      </c>
      <c r="AH223" s="481" t="str">
        <f t="shared" si="53"/>
        <v/>
      </c>
      <c r="AI223" s="477" t="str">
        <f>IF($AC$223="","",IFERROR(INDEX($AZ$74:$AZ$119,MATCH($AH$223,$AY$74:$AY$119,0)),"AUTRE"))</f>
        <v/>
      </c>
      <c r="AJ223" s="482" t="str">
        <f>IF($AC$223="","",IFERROR(INDEX($BA$74:$BA$119,MATCH($AH$223,$AY$74:$AY$119,0)),1))</f>
        <v/>
      </c>
      <c r="AK223" s="482" t="str">
        <f t="shared" si="54"/>
        <v/>
      </c>
      <c r="AL223" s="477" t="str">
        <f>IF($AC$223="","",IFERROR(INDEX($BB$74:$BB$119,MATCH($AH$223,$AY$74:$AY$119,0)),$AH$223))</f>
        <v/>
      </c>
      <c r="AM223" s="483" t="str">
        <f t="shared" si="55"/>
        <v/>
      </c>
      <c r="AN223" s="484" t="str">
        <f t="shared" si="56"/>
        <v/>
      </c>
      <c r="AO223" s="473" t="str">
        <f t="shared" si="57"/>
        <v/>
      </c>
      <c r="AP223" s="473" t="str">
        <f t="shared" si="58"/>
        <v/>
      </c>
      <c r="AQ223" s="473" t="str">
        <f t="shared" si="59"/>
        <v/>
      </c>
      <c r="AR223" s="473" t="str">
        <f t="shared" si="60"/>
        <v/>
      </c>
      <c r="AS223" s="473" t="str">
        <f t="shared" si="61"/>
        <v/>
      </c>
      <c r="AT223" s="473" t="str">
        <f t="shared" si="62"/>
        <v/>
      </c>
      <c r="AU223" s="473" t="str">
        <f t="shared" si="63"/>
        <v/>
      </c>
      <c r="AZ223" s="31" t="s">
        <v>17</v>
      </c>
      <c r="BA223" s="25" t="s">
        <v>6116</v>
      </c>
      <c r="BB223" s="499"/>
      <c r="BC223" s="271"/>
      <c r="BD223" s="279">
        <v>1</v>
      </c>
      <c r="BE223" s="271"/>
      <c r="BF223" s="271"/>
      <c r="BG223" s="271"/>
      <c r="BH223" s="271"/>
      <c r="BI223" s="271"/>
      <c r="BJ223" s="271"/>
      <c r="BK223" s="271"/>
      <c r="BL223" s="271"/>
    </row>
    <row r="224" spans="18:64" ht="21" customHeight="1" x14ac:dyDescent="0.25">
      <c r="R224" s="34" t="s">
        <v>469</v>
      </c>
      <c r="S224" s="451"/>
      <c r="T224" s="28" t="s">
        <v>24</v>
      </c>
      <c r="V224" s="475">
        <v>5</v>
      </c>
      <c r="W224" s="475" t="str">
        <f>IF($AC$224="","",$W$216)</f>
        <v/>
      </c>
      <c r="X224" s="476" t="str">
        <f>IF($AC$224="","",$X$216)</f>
        <v/>
      </c>
      <c r="Y224" s="477" t="str">
        <f>IF($X$224="","",$Y$216)</f>
        <v/>
      </c>
      <c r="Z224" s="477" t="str">
        <f>IF($X$224="","",$Z$216)</f>
        <v/>
      </c>
      <c r="AA224" s="477" t="str">
        <f>IF($AC$224="","",ROW($A$224)-ROW($A$216))</f>
        <v/>
      </c>
      <c r="AB224" s="478"/>
      <c r="AC224" s="34"/>
      <c r="AD224" s="356"/>
      <c r="AE224" s="479"/>
      <c r="AF224" s="475"/>
      <c r="AG224" s="480" t="str">
        <f t="shared" si="52"/>
        <v/>
      </c>
      <c r="AH224" s="481" t="str">
        <f t="shared" si="53"/>
        <v/>
      </c>
      <c r="AI224" s="477" t="str">
        <f>IF($AC$224="","",IFERROR(INDEX($AZ$74:$AZ$119,MATCH($AH$224,$AY$74:$AY$119,0)),"AUTRE"))</f>
        <v/>
      </c>
      <c r="AJ224" s="482" t="str">
        <f>IF($AC$224="","",IFERROR(INDEX($BA$74:$BA$119,MATCH($AH$224,$AY$74:$AY$119,0)),1))</f>
        <v/>
      </c>
      <c r="AK224" s="482" t="str">
        <f t="shared" si="54"/>
        <v/>
      </c>
      <c r="AL224" s="477" t="str">
        <f>IF($AC$224="","",IFERROR(INDEX($BB$74:$BB$119,MATCH($AH$224,$AY$74:$AY$119,0)),$AH$224))</f>
        <v/>
      </c>
      <c r="AM224" s="483" t="str">
        <f t="shared" si="55"/>
        <v/>
      </c>
      <c r="AN224" s="484" t="str">
        <f t="shared" si="56"/>
        <v/>
      </c>
      <c r="AO224" s="473" t="str">
        <f t="shared" si="57"/>
        <v/>
      </c>
      <c r="AP224" s="473" t="str">
        <f t="shared" si="58"/>
        <v/>
      </c>
      <c r="AQ224" s="473" t="str">
        <f t="shared" si="59"/>
        <v/>
      </c>
      <c r="AR224" s="473" t="str">
        <f t="shared" si="60"/>
        <v/>
      </c>
      <c r="AS224" s="473" t="str">
        <f t="shared" si="61"/>
        <v/>
      </c>
      <c r="AT224" s="473" t="str">
        <f t="shared" si="62"/>
        <v/>
      </c>
      <c r="AU224" s="473" t="str">
        <f t="shared" si="63"/>
        <v/>
      </c>
      <c r="AZ224" s="31" t="s">
        <v>18</v>
      </c>
      <c r="BA224" s="34" t="s">
        <v>6117</v>
      </c>
      <c r="BB224" s="499"/>
      <c r="BC224" s="271"/>
      <c r="BD224" s="279">
        <v>1</v>
      </c>
      <c r="BE224" s="271"/>
      <c r="BF224" s="271"/>
      <c r="BG224" s="271"/>
      <c r="BH224" s="271"/>
      <c r="BI224" s="271"/>
      <c r="BJ224" s="271"/>
      <c r="BK224" s="271"/>
      <c r="BL224" s="271"/>
    </row>
    <row r="225" spans="18:64" ht="21" customHeight="1" x14ac:dyDescent="0.25">
      <c r="R225" s="34" t="s">
        <v>6118</v>
      </c>
      <c r="S225" s="451"/>
      <c r="T225" s="29" t="s">
        <v>9</v>
      </c>
      <c r="V225" s="475">
        <v>5</v>
      </c>
      <c r="W225" s="475" t="str">
        <f>IF($AC$225="","",$W$216)</f>
        <v/>
      </c>
      <c r="X225" s="476" t="str">
        <f>IF($AC$225="","",$X$216)</f>
        <v/>
      </c>
      <c r="Y225" s="477" t="str">
        <f>IF($X$225="","",$Y$216)</f>
        <v/>
      </c>
      <c r="Z225" s="477" t="str">
        <f>IF($X$225="","",$Z$216)</f>
        <v/>
      </c>
      <c r="AA225" s="477" t="str">
        <f>IF($AC$225="","",ROW($A$225)-ROW($A$216))</f>
        <v/>
      </c>
      <c r="AB225" s="478"/>
      <c r="AC225" s="34"/>
      <c r="AD225" s="356"/>
      <c r="AE225" s="479"/>
      <c r="AF225" s="475"/>
      <c r="AG225" s="480" t="str">
        <f t="shared" si="52"/>
        <v/>
      </c>
      <c r="AH225" s="481" t="str">
        <f t="shared" si="53"/>
        <v/>
      </c>
      <c r="AI225" s="477" t="str">
        <f>IF($AC$225="","",IFERROR(INDEX($AZ$74:$AZ$119,MATCH($AH$225,$AY$74:$AY$119,0)),"AUTRE"))</f>
        <v/>
      </c>
      <c r="AJ225" s="482" t="str">
        <f>IF($AC$225="","",IFERROR(INDEX($BA$74:$BA$119,MATCH($AH$225,$AY$74:$AY$119,0)),1))</f>
        <v/>
      </c>
      <c r="AK225" s="482" t="str">
        <f t="shared" si="54"/>
        <v/>
      </c>
      <c r="AL225" s="477" t="str">
        <f>IF($AC$225="","",IFERROR(INDEX($BB$74:$BB$119,MATCH($AH$225,$AY$74:$AY$119,0)),$AH$225))</f>
        <v/>
      </c>
      <c r="AM225" s="483" t="str">
        <f t="shared" si="55"/>
        <v/>
      </c>
      <c r="AN225" s="484" t="str">
        <f t="shared" si="56"/>
        <v/>
      </c>
      <c r="AO225" s="473" t="str">
        <f t="shared" si="57"/>
        <v/>
      </c>
      <c r="AP225" s="473" t="str">
        <f t="shared" si="58"/>
        <v/>
      </c>
      <c r="AQ225" s="473" t="str">
        <f t="shared" si="59"/>
        <v/>
      </c>
      <c r="AR225" s="473" t="str">
        <f t="shared" si="60"/>
        <v/>
      </c>
      <c r="AS225" s="473" t="str">
        <f t="shared" si="61"/>
        <v/>
      </c>
      <c r="AT225" s="473" t="str">
        <f t="shared" si="62"/>
        <v/>
      </c>
      <c r="AU225" s="473" t="str">
        <f t="shared" si="63"/>
        <v/>
      </c>
      <c r="AZ225" s="31" t="s">
        <v>19</v>
      </c>
      <c r="BA225" s="34" t="s">
        <v>469</v>
      </c>
      <c r="BB225" s="499"/>
      <c r="BC225" s="271"/>
      <c r="BD225" s="279">
        <v>1</v>
      </c>
      <c r="BE225" s="271"/>
      <c r="BF225" s="271"/>
      <c r="BG225" s="271"/>
      <c r="BH225" s="271"/>
      <c r="BI225" s="271"/>
      <c r="BJ225" s="271"/>
      <c r="BK225" s="271"/>
      <c r="BL225" s="271"/>
    </row>
    <row r="226" spans="18:64" ht="21" customHeight="1" x14ac:dyDescent="0.25">
      <c r="R226" s="34" t="s">
        <v>492</v>
      </c>
      <c r="S226" s="451"/>
      <c r="T226" s="30" t="s">
        <v>10</v>
      </c>
      <c r="V226" s="475">
        <v>5</v>
      </c>
      <c r="W226" s="475" t="str">
        <f>IF($AC$226="","",$W$216)</f>
        <v/>
      </c>
      <c r="X226" s="476" t="str">
        <f>IF($AC$226="","",$X$216)</f>
        <v/>
      </c>
      <c r="Y226" s="477" t="str">
        <f>IF($X$226="","",$Y$216)</f>
        <v/>
      </c>
      <c r="Z226" s="477" t="str">
        <f>IF($X$226="","",$Z$216)</f>
        <v/>
      </c>
      <c r="AA226" s="477" t="str">
        <f>IF($AC$226="","",ROW($A$226)-ROW($A$216))</f>
        <v/>
      </c>
      <c r="AB226" s="478"/>
      <c r="AC226" s="34"/>
      <c r="AD226" s="356"/>
      <c r="AE226" s="479"/>
      <c r="AF226" s="475"/>
      <c r="AG226" s="480" t="str">
        <f t="shared" si="52"/>
        <v/>
      </c>
      <c r="AH226" s="481" t="str">
        <f t="shared" si="53"/>
        <v/>
      </c>
      <c r="AI226" s="477" t="str">
        <f>IF($AC$226="","",IFERROR(INDEX($AZ$74:$AZ$119,MATCH($AH$226,$AY$74:$AY$119,0)),"AUTRE"))</f>
        <v/>
      </c>
      <c r="AJ226" s="482" t="str">
        <f>IF($AC$226="","",IFERROR(INDEX($BA$74:$BA$119,MATCH($AH$226,$AY$74:$AY$119,0)),1))</f>
        <v/>
      </c>
      <c r="AK226" s="482" t="str">
        <f t="shared" si="54"/>
        <v/>
      </c>
      <c r="AL226" s="477" t="str">
        <f>IF($AC$226="","",IFERROR(INDEX($BB$74:$BB$119,MATCH($AH$226,$AY$74:$AY$119,0)),$AH$226))</f>
        <v/>
      </c>
      <c r="AM226" s="483" t="str">
        <f t="shared" si="55"/>
        <v/>
      </c>
      <c r="AN226" s="484" t="str">
        <f t="shared" si="56"/>
        <v/>
      </c>
      <c r="AO226" s="473" t="str">
        <f t="shared" si="57"/>
        <v/>
      </c>
      <c r="AP226" s="473" t="str">
        <f t="shared" si="58"/>
        <v/>
      </c>
      <c r="AQ226" s="473" t="str">
        <f t="shared" si="59"/>
        <v/>
      </c>
      <c r="AR226" s="473" t="str">
        <f t="shared" si="60"/>
        <v/>
      </c>
      <c r="AS226" s="473" t="str">
        <f t="shared" si="61"/>
        <v/>
      </c>
      <c r="AT226" s="473" t="str">
        <f t="shared" si="62"/>
        <v/>
      </c>
      <c r="AU226" s="473" t="str">
        <f t="shared" si="63"/>
        <v/>
      </c>
      <c r="AZ226" s="31" t="s">
        <v>211</v>
      </c>
      <c r="BA226" s="34" t="s">
        <v>6118</v>
      </c>
      <c r="BB226" s="499"/>
      <c r="BC226" s="271"/>
      <c r="BD226" s="279">
        <v>1</v>
      </c>
      <c r="BE226" s="271"/>
      <c r="BF226" s="271"/>
      <c r="BG226" s="271"/>
      <c r="BH226" s="271"/>
      <c r="BI226" s="271"/>
      <c r="BJ226" s="271"/>
      <c r="BK226" s="271"/>
      <c r="BL226" s="271"/>
    </row>
    <row r="227" spans="18:64" ht="21" customHeight="1" x14ac:dyDescent="0.25">
      <c r="R227" s="34" t="s">
        <v>458</v>
      </c>
      <c r="S227" s="451"/>
      <c r="T227" s="30" t="s">
        <v>11</v>
      </c>
      <c r="V227" s="475">
        <v>5</v>
      </c>
      <c r="W227" s="475" t="str">
        <f>IF($AC$227="","",$W$216)</f>
        <v/>
      </c>
      <c r="X227" s="476" t="str">
        <f>IF($AC$227="","",$X$216)</f>
        <v/>
      </c>
      <c r="Y227" s="477" t="str">
        <f>IF($X$227="","",$Y$216)</f>
        <v/>
      </c>
      <c r="Z227" s="477" t="str">
        <f>IF($X$227="","",$Z$216)</f>
        <v/>
      </c>
      <c r="AA227" s="477" t="str">
        <f>IF($AC$227="","",ROW($A$227)-ROW($A$216))</f>
        <v/>
      </c>
      <c r="AB227" s="478"/>
      <c r="AC227" s="34"/>
      <c r="AD227" s="356"/>
      <c r="AE227" s="479"/>
      <c r="AF227" s="475"/>
      <c r="AG227" s="480" t="str">
        <f t="shared" si="52"/>
        <v/>
      </c>
      <c r="AH227" s="481" t="str">
        <f t="shared" si="53"/>
        <v/>
      </c>
      <c r="AI227" s="477" t="str">
        <f>IF($AC$227="","",IFERROR(INDEX($AZ$74:$AZ$119,MATCH($AH$227,$AY$74:$AY$119,0)),"AUTRE"))</f>
        <v/>
      </c>
      <c r="AJ227" s="482" t="str">
        <f>IF($AC$227="","",IFERROR(INDEX($BA$74:$BA$119,MATCH($AH$227,$AY$74:$AY$119,0)),1))</f>
        <v/>
      </c>
      <c r="AK227" s="482" t="str">
        <f t="shared" si="54"/>
        <v/>
      </c>
      <c r="AL227" s="477" t="str">
        <f>IF($AC$227="","",IFERROR(INDEX($BB$74:$BB$119,MATCH($AH$227,$AY$74:$AY$119,0)),$AH$227))</f>
        <v/>
      </c>
      <c r="AM227" s="483" t="str">
        <f t="shared" si="55"/>
        <v/>
      </c>
      <c r="AN227" s="484" t="str">
        <f t="shared" si="56"/>
        <v/>
      </c>
      <c r="AO227" s="473" t="str">
        <f t="shared" si="57"/>
        <v/>
      </c>
      <c r="AP227" s="473" t="str">
        <f t="shared" si="58"/>
        <v/>
      </c>
      <c r="AQ227" s="473" t="str">
        <f t="shared" si="59"/>
        <v/>
      </c>
      <c r="AR227" s="473" t="str">
        <f t="shared" si="60"/>
        <v/>
      </c>
      <c r="AS227" s="473" t="str">
        <f t="shared" si="61"/>
        <v/>
      </c>
      <c r="AT227" s="473" t="str">
        <f t="shared" si="62"/>
        <v/>
      </c>
      <c r="AU227" s="473" t="str">
        <f t="shared" si="63"/>
        <v/>
      </c>
      <c r="AZ227" s="31" t="s">
        <v>20</v>
      </c>
      <c r="BA227" s="34" t="s">
        <v>492</v>
      </c>
      <c r="BB227" s="499"/>
      <c r="BC227" s="271"/>
      <c r="BD227" s="279">
        <v>1</v>
      </c>
      <c r="BE227" s="271"/>
      <c r="BF227" s="271"/>
      <c r="BG227" s="271"/>
      <c r="BH227" s="271"/>
      <c r="BI227" s="271"/>
      <c r="BJ227" s="271"/>
      <c r="BK227" s="271"/>
      <c r="BL227" s="271"/>
    </row>
    <row r="228" spans="18:64" ht="21" customHeight="1" x14ac:dyDescent="0.25">
      <c r="R228" s="490"/>
      <c r="S228" s="451"/>
      <c r="T228" s="30" t="s">
        <v>12</v>
      </c>
      <c r="V228" s="475">
        <v>5</v>
      </c>
      <c r="W228" s="475" t="str">
        <f>IF($AC$228="","",$W$216)</f>
        <v/>
      </c>
      <c r="X228" s="476" t="str">
        <f>IF($AC$228="","",$X$216)</f>
        <v/>
      </c>
      <c r="Y228" s="477" t="str">
        <f>IF($X$228="","",$Y$216)</f>
        <v/>
      </c>
      <c r="Z228" s="477" t="str">
        <f>IF($X$228="","",$Z$216)</f>
        <v/>
      </c>
      <c r="AA228" s="477" t="str">
        <f>IF($AC$228="","",ROW($A$228)-ROW($A$216))</f>
        <v/>
      </c>
      <c r="AB228" s="478"/>
      <c r="AC228" s="34"/>
      <c r="AD228" s="356"/>
      <c r="AE228" s="479"/>
      <c r="AF228" s="475"/>
      <c r="AG228" s="480" t="str">
        <f t="shared" si="52"/>
        <v/>
      </c>
      <c r="AH228" s="481" t="str">
        <f t="shared" si="53"/>
        <v/>
      </c>
      <c r="AI228" s="477" t="str">
        <f>IF($AC$228="","",IFERROR(INDEX($AZ$74:$AZ$119,MATCH($AH$228,$AY$74:$AY$119,0)),"AUTRE"))</f>
        <v/>
      </c>
      <c r="AJ228" s="482" t="str">
        <f>IF($AC$228="","",IFERROR(INDEX($BA$74:$BA$119,MATCH($AH$228,$AY$74:$AY$119,0)),1))</f>
        <v/>
      </c>
      <c r="AK228" s="482" t="str">
        <f t="shared" si="54"/>
        <v/>
      </c>
      <c r="AL228" s="477" t="str">
        <f>IF($AC$228="","",IFERROR(INDEX($BB$74:$BB$119,MATCH($AH$228,$AY$74:$AY$119,0)),$AH$228))</f>
        <v/>
      </c>
      <c r="AM228" s="483" t="str">
        <f t="shared" si="55"/>
        <v/>
      </c>
      <c r="AN228" s="484" t="str">
        <f t="shared" si="56"/>
        <v/>
      </c>
      <c r="AO228" s="473" t="str">
        <f t="shared" si="57"/>
        <v/>
      </c>
      <c r="AP228" s="473" t="str">
        <f t="shared" si="58"/>
        <v/>
      </c>
      <c r="AQ228" s="473" t="str">
        <f t="shared" si="59"/>
        <v/>
      </c>
      <c r="AR228" s="473" t="str">
        <f t="shared" si="60"/>
        <v/>
      </c>
      <c r="AS228" s="473" t="str">
        <f t="shared" si="61"/>
        <v/>
      </c>
      <c r="AT228" s="473" t="str">
        <f t="shared" si="62"/>
        <v/>
      </c>
      <c r="AU228" s="473" t="str">
        <f t="shared" si="63"/>
        <v/>
      </c>
      <c r="AZ228" s="31" t="s">
        <v>304</v>
      </c>
      <c r="BA228" s="34" t="s">
        <v>458</v>
      </c>
      <c r="BB228" s="499"/>
      <c r="BC228" s="271"/>
      <c r="BD228" s="279">
        <v>1</v>
      </c>
      <c r="BE228" s="271"/>
      <c r="BF228" s="271"/>
      <c r="BG228" s="271"/>
      <c r="BH228" s="271"/>
      <c r="BI228" s="271"/>
      <c r="BJ228" s="271"/>
      <c r="BK228" s="271"/>
      <c r="BL228" s="271"/>
    </row>
    <row r="229" spans="18:64" ht="21" customHeight="1" x14ac:dyDescent="0.25">
      <c r="R229" s="25" t="s">
        <v>6119</v>
      </c>
      <c r="S229" s="451"/>
      <c r="T229" s="31" t="s">
        <v>16</v>
      </c>
      <c r="V229" s="475">
        <v>5</v>
      </c>
      <c r="W229" s="475" t="str">
        <f>IF($AC$229="","",$W$216)</f>
        <v/>
      </c>
      <c r="X229" s="476" t="str">
        <f>IF($AC$229="","",$X$216)</f>
        <v/>
      </c>
      <c r="Y229" s="477" t="str">
        <f>IF($X$229="","",$Y$216)</f>
        <v/>
      </c>
      <c r="Z229" s="477" t="str">
        <f>IF($X$229="","",$Z$216)</f>
        <v/>
      </c>
      <c r="AA229" s="477" t="str">
        <f>IF($AC$229="","",ROW($A$229)-ROW($A$216))</f>
        <v/>
      </c>
      <c r="AB229" s="478"/>
      <c r="AC229" s="34"/>
      <c r="AD229" s="356"/>
      <c r="AE229" s="479"/>
      <c r="AF229" s="475"/>
      <c r="AG229" s="480" t="str">
        <f t="shared" si="52"/>
        <v/>
      </c>
      <c r="AH229" s="481" t="str">
        <f t="shared" si="53"/>
        <v/>
      </c>
      <c r="AI229" s="477" t="str">
        <f>IF($AC$229="","",IFERROR(INDEX($AZ$74:$AZ$119,MATCH($AH$229,$AY$74:$AY$119,0)),"AUTRE"))</f>
        <v/>
      </c>
      <c r="AJ229" s="482" t="str">
        <f>IF($AC$229="","",IFERROR(INDEX($BA$74:$BA$119,MATCH($AH$229,$AY$74:$AY$119,0)),1))</f>
        <v/>
      </c>
      <c r="AK229" s="482" t="str">
        <f t="shared" si="54"/>
        <v/>
      </c>
      <c r="AL229" s="477" t="str">
        <f>IF($AC$229="","",IFERROR(INDEX($BB$74:$BB$119,MATCH($AH$229,$AY$74:$AY$119,0)),$AH$229))</f>
        <v/>
      </c>
      <c r="AM229" s="483" t="str">
        <f t="shared" si="55"/>
        <v/>
      </c>
      <c r="AN229" s="484" t="str">
        <f t="shared" si="56"/>
        <v/>
      </c>
      <c r="AO229" s="473" t="str">
        <f t="shared" si="57"/>
        <v/>
      </c>
      <c r="AP229" s="473" t="str">
        <f t="shared" si="58"/>
        <v/>
      </c>
      <c r="AQ229" s="473" t="str">
        <f t="shared" si="59"/>
        <v/>
      </c>
      <c r="AR229" s="473" t="str">
        <f t="shared" si="60"/>
        <v/>
      </c>
      <c r="AS229" s="473" t="str">
        <f t="shared" si="61"/>
        <v/>
      </c>
      <c r="AT229" s="473" t="str">
        <f t="shared" si="62"/>
        <v/>
      </c>
      <c r="AU229" s="473" t="str">
        <f t="shared" si="63"/>
        <v/>
      </c>
      <c r="AZ229" s="31" t="s">
        <v>352</v>
      </c>
      <c r="BA229" s="490"/>
      <c r="BB229" s="499"/>
      <c r="BC229" s="271"/>
      <c r="BD229" s="279">
        <v>1</v>
      </c>
      <c r="BE229" s="271"/>
      <c r="BF229" s="271"/>
      <c r="BG229" s="271"/>
      <c r="BH229" s="271"/>
      <c r="BI229" s="271"/>
      <c r="BJ229" s="271"/>
      <c r="BK229" s="271"/>
      <c r="BL229" s="271"/>
    </row>
    <row r="230" spans="18:64" ht="21" customHeight="1" x14ac:dyDescent="0.25">
      <c r="R230" s="34" t="s">
        <v>6120</v>
      </c>
      <c r="S230" s="451"/>
      <c r="T230" s="31" t="s">
        <v>17</v>
      </c>
      <c r="V230" s="475">
        <v>5</v>
      </c>
      <c r="W230" s="475" t="str">
        <f>IF($AC$230="","",$W$216)</f>
        <v/>
      </c>
      <c r="X230" s="476" t="str">
        <f>IF($AC$230="","",$X$216)</f>
        <v/>
      </c>
      <c r="Y230" s="477" t="str">
        <f>IF($X$230="","",$Y$216)</f>
        <v/>
      </c>
      <c r="Z230" s="477" t="str">
        <f>IF($X$230="","",$Z$216)</f>
        <v/>
      </c>
      <c r="AA230" s="477" t="str">
        <f>IF($AC$230="","",ROW($A$230)-ROW($A$216))</f>
        <v/>
      </c>
      <c r="AB230" s="478"/>
      <c r="AC230" s="34"/>
      <c r="AD230" s="356"/>
      <c r="AE230" s="479"/>
      <c r="AF230" s="475"/>
      <c r="AG230" s="480" t="str">
        <f t="shared" si="52"/>
        <v/>
      </c>
      <c r="AH230" s="481" t="str">
        <f t="shared" si="53"/>
        <v/>
      </c>
      <c r="AI230" s="477" t="str">
        <f>IF($AC$230="","",IFERROR(INDEX($AZ$74:$AZ$119,MATCH($AH$230,$AY$74:$AY$119,0)),"AUTRE"))</f>
        <v/>
      </c>
      <c r="AJ230" s="482" t="str">
        <f>IF($AC$230="","",IFERROR(INDEX($BA$74:$BA$119,MATCH($AH$230,$AY$74:$AY$119,0)),1))</f>
        <v/>
      </c>
      <c r="AK230" s="482" t="str">
        <f t="shared" si="54"/>
        <v/>
      </c>
      <c r="AL230" s="477" t="str">
        <f>IF($AC$230="","",IFERROR(INDEX($BB$74:$BB$119,MATCH($AH$230,$AY$74:$AY$119,0)),$AH$230))</f>
        <v/>
      </c>
      <c r="AM230" s="483" t="str">
        <f t="shared" si="55"/>
        <v/>
      </c>
      <c r="AN230" s="484" t="str">
        <f t="shared" si="56"/>
        <v/>
      </c>
      <c r="AO230" s="473" t="str">
        <f t="shared" si="57"/>
        <v/>
      </c>
      <c r="AP230" s="473" t="str">
        <f t="shared" si="58"/>
        <v/>
      </c>
      <c r="AQ230" s="473" t="str">
        <f t="shared" si="59"/>
        <v/>
      </c>
      <c r="AR230" s="473" t="str">
        <f t="shared" si="60"/>
        <v/>
      </c>
      <c r="AS230" s="473" t="str">
        <f t="shared" si="61"/>
        <v/>
      </c>
      <c r="AT230" s="473" t="str">
        <f t="shared" si="62"/>
        <v/>
      </c>
      <c r="AU230" s="473" t="str">
        <f t="shared" si="63"/>
        <v/>
      </c>
      <c r="AZ230" s="31" t="s">
        <v>27</v>
      </c>
      <c r="BA230" s="25" t="s">
        <v>6119</v>
      </c>
      <c r="BB230" s="499"/>
      <c r="BC230" s="271"/>
      <c r="BD230" s="279">
        <v>1</v>
      </c>
      <c r="BE230" s="271"/>
      <c r="BF230" s="271"/>
      <c r="BG230" s="271"/>
      <c r="BH230" s="271"/>
      <c r="BI230" s="271"/>
      <c r="BJ230" s="271"/>
      <c r="BK230" s="271"/>
      <c r="BL230" s="271"/>
    </row>
    <row r="231" spans="18:64" ht="21" customHeight="1" x14ac:dyDescent="0.25">
      <c r="R231" s="34" t="s">
        <v>6121</v>
      </c>
      <c r="S231" s="451"/>
      <c r="T231" s="31" t="s">
        <v>18</v>
      </c>
      <c r="V231" s="475">
        <v>5</v>
      </c>
      <c r="W231" s="475" t="str">
        <f>IF($AC$231="","",$W$216)</f>
        <v/>
      </c>
      <c r="X231" s="476" t="str">
        <f>IF($AC$231="","",$X$216)</f>
        <v/>
      </c>
      <c r="Y231" s="477" t="str">
        <f>IF($X$231="","",$Y$216)</f>
        <v/>
      </c>
      <c r="Z231" s="477" t="str">
        <f>IF($X$231="","",$Z$216)</f>
        <v/>
      </c>
      <c r="AA231" s="477" t="str">
        <f>IF($AC$231="","",ROW($A$231)-ROW($A$216))</f>
        <v/>
      </c>
      <c r="AB231" s="478"/>
      <c r="AC231" s="34"/>
      <c r="AD231" s="356"/>
      <c r="AE231" s="479"/>
      <c r="AF231" s="475"/>
      <c r="AG231" s="480" t="str">
        <f t="shared" si="52"/>
        <v/>
      </c>
      <c r="AH231" s="481" t="str">
        <f t="shared" si="53"/>
        <v/>
      </c>
      <c r="AI231" s="477" t="str">
        <f>IF($AC$231="","",IFERROR(INDEX($AZ$74:$AZ$119,MATCH($AH$231,$AY$74:$AY$119,0)),"AUTRE"))</f>
        <v/>
      </c>
      <c r="AJ231" s="482" t="str">
        <f>IF($AC$231="","",IFERROR(INDEX($BA$74:$BA$119,MATCH($AH$231,$AY$74:$AY$119,0)),1))</f>
        <v/>
      </c>
      <c r="AK231" s="482" t="str">
        <f t="shared" si="54"/>
        <v/>
      </c>
      <c r="AL231" s="477" t="str">
        <f>IF($AC$231="","",IFERROR(INDEX($BB$74:$BB$119,MATCH($AH$231,$AY$74:$AY$119,0)),$AH$231))</f>
        <v/>
      </c>
      <c r="AM231" s="483" t="str">
        <f t="shared" si="55"/>
        <v/>
      </c>
      <c r="AN231" s="484" t="str">
        <f t="shared" si="56"/>
        <v/>
      </c>
      <c r="AO231" s="473" t="str">
        <f t="shared" si="57"/>
        <v/>
      </c>
      <c r="AP231" s="473" t="str">
        <f t="shared" si="58"/>
        <v/>
      </c>
      <c r="AQ231" s="473" t="str">
        <f t="shared" si="59"/>
        <v/>
      </c>
      <c r="AR231" s="473" t="str">
        <f t="shared" si="60"/>
        <v/>
      </c>
      <c r="AS231" s="473" t="str">
        <f t="shared" si="61"/>
        <v/>
      </c>
      <c r="AT231" s="473" t="str">
        <f t="shared" si="62"/>
        <v/>
      </c>
      <c r="AU231" s="473" t="str">
        <f t="shared" si="63"/>
        <v/>
      </c>
      <c r="AZ231" s="31" t="s">
        <v>28</v>
      </c>
      <c r="BA231" s="34" t="s">
        <v>6120</v>
      </c>
      <c r="BB231" s="499"/>
      <c r="BC231" s="271"/>
      <c r="BD231" s="279">
        <v>1</v>
      </c>
      <c r="BE231" s="271"/>
      <c r="BF231" s="271"/>
      <c r="BG231" s="271"/>
      <c r="BH231" s="271"/>
      <c r="BI231" s="271"/>
      <c r="BJ231" s="271"/>
      <c r="BK231" s="271"/>
      <c r="BL231" s="271"/>
    </row>
    <row r="232" spans="18:64" ht="21" customHeight="1" x14ac:dyDescent="0.25">
      <c r="R232" s="34" t="s">
        <v>6122</v>
      </c>
      <c r="S232" s="451"/>
      <c r="T232" s="31" t="s">
        <v>19</v>
      </c>
      <c r="V232" s="475">
        <v>5</v>
      </c>
      <c r="W232" s="475" t="str">
        <f>IF($AC$232="","",$W$216)</f>
        <v/>
      </c>
      <c r="X232" s="476" t="str">
        <f>IF($AC$232="","",$X$216)</f>
        <v/>
      </c>
      <c r="Y232" s="477" t="str">
        <f>IF($X$232="","",$Y$216)</f>
        <v/>
      </c>
      <c r="Z232" s="477" t="str">
        <f>IF($X$232="","",$Z$216)</f>
        <v/>
      </c>
      <c r="AA232" s="477" t="str">
        <f>IF($AC$232="","",ROW($A$232)-ROW($A$216))</f>
        <v/>
      </c>
      <c r="AB232" s="478"/>
      <c r="AC232" s="34"/>
      <c r="AD232" s="356"/>
      <c r="AE232" s="479"/>
      <c r="AF232" s="475"/>
      <c r="AG232" s="480" t="str">
        <f t="shared" si="52"/>
        <v/>
      </c>
      <c r="AH232" s="481" t="str">
        <f t="shared" si="53"/>
        <v/>
      </c>
      <c r="AI232" s="477" t="str">
        <f>IF($AC$232="","",IFERROR(INDEX($AZ$74:$AZ$119,MATCH($AH$232,$AY$74:$AY$119,0)),"AUTRE"))</f>
        <v/>
      </c>
      <c r="AJ232" s="482" t="str">
        <f>IF($AC$232="","",IFERROR(INDEX($BA$74:$BA$119,MATCH($AH$232,$AY$74:$AY$119,0)),1))</f>
        <v/>
      </c>
      <c r="AK232" s="482" t="str">
        <f t="shared" si="54"/>
        <v/>
      </c>
      <c r="AL232" s="477" t="str">
        <f>IF($AC$232="","",IFERROR(INDEX($BB$74:$BB$119,MATCH($AH$232,$AY$74:$AY$119,0)),$AH$232))</f>
        <v/>
      </c>
      <c r="AM232" s="483" t="str">
        <f t="shared" si="55"/>
        <v/>
      </c>
      <c r="AN232" s="484" t="str">
        <f t="shared" si="56"/>
        <v/>
      </c>
      <c r="AO232" s="473" t="str">
        <f t="shared" si="57"/>
        <v/>
      </c>
      <c r="AP232" s="473" t="str">
        <f t="shared" si="58"/>
        <v/>
      </c>
      <c r="AQ232" s="473" t="str">
        <f t="shared" si="59"/>
        <v/>
      </c>
      <c r="AR232" s="473" t="str">
        <f t="shared" si="60"/>
        <v/>
      </c>
      <c r="AS232" s="473" t="str">
        <f t="shared" si="61"/>
        <v/>
      </c>
      <c r="AT232" s="473" t="str">
        <f t="shared" si="62"/>
        <v/>
      </c>
      <c r="AU232" s="473" t="str">
        <f t="shared" si="63"/>
        <v/>
      </c>
      <c r="AZ232" s="31" t="s">
        <v>29</v>
      </c>
      <c r="BA232" s="34" t="s">
        <v>6121</v>
      </c>
      <c r="BB232" s="499"/>
      <c r="BC232" s="271"/>
      <c r="BD232" s="279">
        <v>1</v>
      </c>
      <c r="BE232" s="271"/>
      <c r="BF232" s="271"/>
      <c r="BG232" s="271"/>
      <c r="BH232" s="271"/>
      <c r="BI232" s="271"/>
      <c r="BJ232" s="271"/>
      <c r="BK232" s="271"/>
      <c r="BL232" s="271"/>
    </row>
    <row r="233" spans="18:64" ht="21" customHeight="1" x14ac:dyDescent="0.25">
      <c r="R233" s="34" t="s">
        <v>6123</v>
      </c>
      <c r="S233" s="451"/>
      <c r="T233" s="31" t="s">
        <v>211</v>
      </c>
      <c r="V233" s="475">
        <v>5</v>
      </c>
      <c r="W233" s="475" t="str">
        <f>IF($AC$233="","",$W$216)</f>
        <v/>
      </c>
      <c r="X233" s="476" t="str">
        <f>IF($AC$233="","",$X$216)</f>
        <v/>
      </c>
      <c r="Y233" s="477" t="str">
        <f>IF($X$233="","",$Y$216)</f>
        <v/>
      </c>
      <c r="Z233" s="477" t="str">
        <f>IF($X$233="","",$Z$216)</f>
        <v/>
      </c>
      <c r="AA233" s="477" t="str">
        <f>IF($AC$233="","",ROW($A$233)-ROW($A$216))</f>
        <v/>
      </c>
      <c r="AB233" s="478"/>
      <c r="AC233" s="34"/>
      <c r="AD233" s="356"/>
      <c r="AE233" s="479"/>
      <c r="AF233" s="475"/>
      <c r="AG233" s="480" t="str">
        <f t="shared" si="52"/>
        <v/>
      </c>
      <c r="AH233" s="481" t="str">
        <f t="shared" si="53"/>
        <v/>
      </c>
      <c r="AI233" s="477" t="str">
        <f>IF($AC$233="","",IFERROR(INDEX($AZ$74:$AZ$119,MATCH($AH$233,$AY$74:$AY$119,0)),"AUTRE"))</f>
        <v/>
      </c>
      <c r="AJ233" s="482" t="str">
        <f>IF($AC$233="","",IFERROR(INDEX($BA$74:$BA$119,MATCH($AH$233,$AY$74:$AY$119,0)),1))</f>
        <v/>
      </c>
      <c r="AK233" s="482" t="str">
        <f t="shared" si="54"/>
        <v/>
      </c>
      <c r="AL233" s="477" t="str">
        <f>IF($AC$233="","",IFERROR(INDEX($BB$74:$BB$119,MATCH($AH$233,$AY$74:$AY$119,0)),$AH$233))</f>
        <v/>
      </c>
      <c r="AM233" s="483" t="str">
        <f t="shared" si="55"/>
        <v/>
      </c>
      <c r="AN233" s="484" t="str">
        <f t="shared" si="56"/>
        <v/>
      </c>
      <c r="AO233" s="473" t="str">
        <f t="shared" si="57"/>
        <v/>
      </c>
      <c r="AP233" s="473" t="str">
        <f t="shared" si="58"/>
        <v/>
      </c>
      <c r="AQ233" s="473" t="str">
        <f t="shared" si="59"/>
        <v/>
      </c>
      <c r="AR233" s="473" t="str">
        <f t="shared" si="60"/>
        <v/>
      </c>
      <c r="AS233" s="473" t="str">
        <f t="shared" si="61"/>
        <v/>
      </c>
      <c r="AT233" s="473" t="str">
        <f t="shared" si="62"/>
        <v/>
      </c>
      <c r="AU233" s="473" t="str">
        <f t="shared" si="63"/>
        <v/>
      </c>
      <c r="AZ233" s="31" t="s">
        <v>30</v>
      </c>
      <c r="BA233" s="34" t="s">
        <v>6122</v>
      </c>
      <c r="BB233" s="499"/>
      <c r="BC233" s="271"/>
      <c r="BD233" s="279">
        <v>1</v>
      </c>
      <c r="BE233" s="271"/>
      <c r="BF233" s="271"/>
      <c r="BG233" s="271"/>
      <c r="BH233" s="271"/>
      <c r="BI233" s="271"/>
      <c r="BJ233" s="271"/>
      <c r="BK233" s="271"/>
      <c r="BL233" s="271"/>
    </row>
    <row r="234" spans="18:64" ht="21" customHeight="1" x14ac:dyDescent="0.25">
      <c r="R234" s="34" t="s">
        <v>6124</v>
      </c>
      <c r="S234" s="451"/>
      <c r="T234" s="31" t="s">
        <v>20</v>
      </c>
      <c r="V234" s="475">
        <v>5</v>
      </c>
      <c r="W234" s="475" t="str">
        <f>IF($AC$234="","",$W$216)</f>
        <v/>
      </c>
      <c r="X234" s="476" t="str">
        <f>IF($AC$234="","",$X$216)</f>
        <v/>
      </c>
      <c r="Y234" s="477" t="str">
        <f>IF($X$234="","",$Y$216)</f>
        <v/>
      </c>
      <c r="Z234" s="477" t="str">
        <f>IF($X$234="","",$Z$216)</f>
        <v/>
      </c>
      <c r="AA234" s="477" t="str">
        <f>IF($AC$234="","",ROW($A$234)-ROW($A$216))</f>
        <v/>
      </c>
      <c r="AB234" s="478"/>
      <c r="AC234" s="34"/>
      <c r="AD234" s="356"/>
      <c r="AE234" s="479"/>
      <c r="AF234" s="475"/>
      <c r="AG234" s="480" t="str">
        <f t="shared" si="52"/>
        <v/>
      </c>
      <c r="AH234" s="481" t="str">
        <f t="shared" si="53"/>
        <v/>
      </c>
      <c r="AI234" s="477" t="str">
        <f>IF($AC$234="","",IFERROR(INDEX($AZ$74:$AZ$119,MATCH($AH$234,$AY$74:$AY$119,0)),"AUTRE"))</f>
        <v/>
      </c>
      <c r="AJ234" s="482" t="str">
        <f>IF($AC$234="","",IFERROR(INDEX($BA$74:$BA$119,MATCH($AH$234,$AY$74:$AY$119,0)),1))</f>
        <v/>
      </c>
      <c r="AK234" s="482" t="str">
        <f t="shared" si="54"/>
        <v/>
      </c>
      <c r="AL234" s="477" t="str">
        <f>IF($AC$234="","",IFERROR(INDEX($BB$74:$BB$119,MATCH($AH$234,$AY$74:$AY$119,0)),$AH$234))</f>
        <v/>
      </c>
      <c r="AM234" s="483" t="str">
        <f t="shared" si="55"/>
        <v/>
      </c>
      <c r="AN234" s="484" t="str">
        <f t="shared" si="56"/>
        <v/>
      </c>
      <c r="AO234" s="473" t="str">
        <f t="shared" si="57"/>
        <v/>
      </c>
      <c r="AP234" s="473" t="str">
        <f t="shared" si="58"/>
        <v/>
      </c>
      <c r="AQ234" s="473" t="str">
        <f t="shared" si="59"/>
        <v/>
      </c>
      <c r="AR234" s="473" t="str">
        <f t="shared" si="60"/>
        <v/>
      </c>
      <c r="AS234" s="473" t="str">
        <f t="shared" si="61"/>
        <v/>
      </c>
      <c r="AT234" s="473" t="str">
        <f t="shared" si="62"/>
        <v/>
      </c>
      <c r="AU234" s="473" t="str">
        <f t="shared" si="63"/>
        <v/>
      </c>
      <c r="AZ234" s="32" t="s">
        <v>33</v>
      </c>
      <c r="BA234" s="34" t="s">
        <v>6123</v>
      </c>
      <c r="BB234" s="499"/>
      <c r="BC234" s="271"/>
      <c r="BD234" s="279">
        <v>1</v>
      </c>
      <c r="BE234" s="271"/>
      <c r="BF234" s="271"/>
      <c r="BG234" s="271"/>
      <c r="BH234" s="271"/>
      <c r="BI234" s="271"/>
      <c r="BJ234" s="271"/>
      <c r="BK234" s="271"/>
      <c r="BL234" s="271"/>
    </row>
    <row r="235" spans="18:64" ht="21" customHeight="1" x14ac:dyDescent="0.25">
      <c r="R235" s="34" t="s">
        <v>6125</v>
      </c>
      <c r="S235" s="451"/>
      <c r="T235" s="31" t="s">
        <v>304</v>
      </c>
      <c r="V235" s="475">
        <v>5</v>
      </c>
      <c r="W235" s="475" t="str">
        <f>IF($AC$235="","",$W$216)</f>
        <v/>
      </c>
      <c r="X235" s="476" t="str">
        <f>IF($AC$235="","",$X$216)</f>
        <v/>
      </c>
      <c r="Y235" s="477" t="str">
        <f>IF($X$235="","",$Y$216)</f>
        <v/>
      </c>
      <c r="Z235" s="477" t="str">
        <f>IF($X$235="","",$Z$216)</f>
        <v/>
      </c>
      <c r="AA235" s="477" t="str">
        <f>IF($AC$235="","",ROW($A$235)-ROW($A$216))</f>
        <v/>
      </c>
      <c r="AB235" s="478"/>
      <c r="AC235" s="34"/>
      <c r="AD235" s="356"/>
      <c r="AE235" s="479"/>
      <c r="AF235" s="475"/>
      <c r="AG235" s="480" t="str">
        <f t="shared" si="52"/>
        <v/>
      </c>
      <c r="AH235" s="481" t="str">
        <f t="shared" si="53"/>
        <v/>
      </c>
      <c r="AI235" s="477" t="str">
        <f>IF($AC$235="","",IFERROR(INDEX($AZ$74:$AZ$119,MATCH($AH$235,$AY$74:$AY$119,0)),"AUTRE"))</f>
        <v/>
      </c>
      <c r="AJ235" s="482" t="str">
        <f>IF($AC$235="","",IFERROR(INDEX($BA$74:$BA$119,MATCH($AH$235,$AY$74:$AY$119,0)),1))</f>
        <v/>
      </c>
      <c r="AK235" s="482" t="str">
        <f t="shared" si="54"/>
        <v/>
      </c>
      <c r="AL235" s="477" t="str">
        <f>IF($AC$235="","",IFERROR(INDEX($BB$74:$BB$119,MATCH($AH$235,$AY$74:$AY$119,0)),$AH$235))</f>
        <v/>
      </c>
      <c r="AM235" s="483" t="str">
        <f t="shared" si="55"/>
        <v/>
      </c>
      <c r="AN235" s="484" t="str">
        <f t="shared" si="56"/>
        <v/>
      </c>
      <c r="AO235" s="473" t="str">
        <f t="shared" si="57"/>
        <v/>
      </c>
      <c r="AP235" s="473" t="str">
        <f t="shared" si="58"/>
        <v/>
      </c>
      <c r="AQ235" s="473" t="str">
        <f t="shared" si="59"/>
        <v/>
      </c>
      <c r="AR235" s="473" t="str">
        <f t="shared" si="60"/>
        <v/>
      </c>
      <c r="AS235" s="473" t="str">
        <f t="shared" si="61"/>
        <v/>
      </c>
      <c r="AT235" s="473" t="str">
        <f t="shared" si="62"/>
        <v/>
      </c>
      <c r="AU235" s="473" t="str">
        <f t="shared" si="63"/>
        <v/>
      </c>
      <c r="AZ235" s="32" t="s">
        <v>8125</v>
      </c>
      <c r="BA235" s="34" t="s">
        <v>6124</v>
      </c>
      <c r="BB235" s="499"/>
      <c r="BC235" s="271"/>
      <c r="BD235" s="279">
        <v>1</v>
      </c>
      <c r="BE235" s="271"/>
      <c r="BF235" s="271"/>
      <c r="BG235" s="271"/>
      <c r="BH235" s="271"/>
      <c r="BI235" s="271"/>
      <c r="BJ235" s="271"/>
      <c r="BK235" s="271"/>
      <c r="BL235" s="271"/>
    </row>
    <row r="236" spans="18:64" ht="21" customHeight="1" x14ac:dyDescent="0.25">
      <c r="R236" s="34" t="s">
        <v>6126</v>
      </c>
      <c r="S236" s="451"/>
      <c r="T236" s="31" t="s">
        <v>352</v>
      </c>
      <c r="V236" s="475">
        <v>5</v>
      </c>
      <c r="W236" s="475" t="str">
        <f>IF($AC$236="","",$W$216)</f>
        <v/>
      </c>
      <c r="X236" s="476" t="str">
        <f>IF($AC$236="","",$X$216)</f>
        <v/>
      </c>
      <c r="Y236" s="477" t="str">
        <f>IF($X$236="","",$Y$216)</f>
        <v/>
      </c>
      <c r="Z236" s="477" t="str">
        <f>IF($X$236="","",$Z$216)</f>
        <v/>
      </c>
      <c r="AA236" s="477" t="str">
        <f>IF($AC$236="","",ROW($A$236)-ROW($A$216))</f>
        <v/>
      </c>
      <c r="AB236" s="478"/>
      <c r="AC236" s="34"/>
      <c r="AD236" s="356"/>
      <c r="AE236" s="479"/>
      <c r="AF236" s="475"/>
      <c r="AG236" s="480" t="str">
        <f t="shared" si="52"/>
        <v/>
      </c>
      <c r="AH236" s="481" t="str">
        <f t="shared" si="53"/>
        <v/>
      </c>
      <c r="AI236" s="477" t="str">
        <f>IF($AC$236="","",IFERROR(INDEX($AZ$74:$AZ$119,MATCH($AH$236,$AY$74:$AY$119,0)),"AUTRE"))</f>
        <v/>
      </c>
      <c r="AJ236" s="482" t="str">
        <f>IF($AC$236="","",IFERROR(INDEX($BA$74:$BA$119,MATCH($AH$236,$AY$74:$AY$119,0)),1))</f>
        <v/>
      </c>
      <c r="AK236" s="482" t="str">
        <f t="shared" si="54"/>
        <v/>
      </c>
      <c r="AL236" s="477" t="str">
        <f>IF($AC$236="","",IFERROR(INDEX($BB$74:$BB$119,MATCH($AH$236,$AY$74:$AY$119,0)),$AH$236))</f>
        <v/>
      </c>
      <c r="AM236" s="483" t="str">
        <f t="shared" si="55"/>
        <v/>
      </c>
      <c r="AN236" s="484" t="str">
        <f t="shared" si="56"/>
        <v/>
      </c>
      <c r="AO236" s="473" t="str">
        <f t="shared" si="57"/>
        <v/>
      </c>
      <c r="AP236" s="473" t="str">
        <f t="shared" si="58"/>
        <v/>
      </c>
      <c r="AQ236" s="473" t="str">
        <f t="shared" si="59"/>
        <v/>
      </c>
      <c r="AR236" s="473" t="str">
        <f t="shared" si="60"/>
        <v/>
      </c>
      <c r="AS236" s="473" t="str">
        <f t="shared" si="61"/>
        <v/>
      </c>
      <c r="AT236" s="473" t="str">
        <f t="shared" si="62"/>
        <v/>
      </c>
      <c r="AU236" s="473" t="str">
        <f t="shared" si="63"/>
        <v/>
      </c>
      <c r="AZ236" s="32" t="s">
        <v>8127</v>
      </c>
      <c r="BA236" s="34" t="s">
        <v>6125</v>
      </c>
      <c r="BB236" s="499"/>
      <c r="BC236" s="271"/>
      <c r="BD236" s="279">
        <v>1</v>
      </c>
      <c r="BE236" s="271"/>
      <c r="BF236" s="271"/>
      <c r="BG236" s="271"/>
      <c r="BH236" s="271"/>
      <c r="BI236" s="271"/>
      <c r="BJ236" s="271"/>
      <c r="BK236" s="271"/>
      <c r="BL236" s="271"/>
    </row>
    <row r="237" spans="18:64" ht="21" customHeight="1" x14ac:dyDescent="0.25">
      <c r="R237" s="34" t="s">
        <v>6127</v>
      </c>
      <c r="S237" s="451"/>
      <c r="T237" s="31" t="s">
        <v>25</v>
      </c>
      <c r="V237" s="475">
        <v>5</v>
      </c>
      <c r="W237" s="475" t="str">
        <f>IF($AC$237="","",$W$216)</f>
        <v/>
      </c>
      <c r="X237" s="476" t="str">
        <f>IF($AC$237="","",$X$216)</f>
        <v/>
      </c>
      <c r="Y237" s="477" t="str">
        <f>IF($X$237="","",$Y$216)</f>
        <v/>
      </c>
      <c r="Z237" s="477" t="str">
        <f>IF($X$237="","",$Z$216)</f>
        <v/>
      </c>
      <c r="AA237" s="477" t="str">
        <f>IF($AC$237="","",ROW($A$237)-ROW($A$216))</f>
        <v/>
      </c>
      <c r="AB237" s="478"/>
      <c r="AC237" s="34"/>
      <c r="AD237" s="356"/>
      <c r="AE237" s="479"/>
      <c r="AF237" s="475"/>
      <c r="AG237" s="480" t="str">
        <f t="shared" si="52"/>
        <v/>
      </c>
      <c r="AH237" s="481" t="str">
        <f t="shared" si="53"/>
        <v/>
      </c>
      <c r="AI237" s="477" t="str">
        <f>IF($AC$237="","",IFERROR(INDEX($AZ$74:$AZ$119,MATCH($AH$237,$AY$74:$AY$119,0)),"AUTRE"))</f>
        <v/>
      </c>
      <c r="AJ237" s="482" t="str">
        <f>IF($AC$237="","",IFERROR(INDEX($BA$74:$BA$119,MATCH($AH$237,$AY$74:$AY$119,0)),1))</f>
        <v/>
      </c>
      <c r="AK237" s="482" t="str">
        <f t="shared" si="54"/>
        <v/>
      </c>
      <c r="AL237" s="477" t="str">
        <f>IF($AC$237="","",IFERROR(INDEX($BB$74:$BB$119,MATCH($AH$237,$AY$74:$AY$119,0)),$AH$237))</f>
        <v/>
      </c>
      <c r="AM237" s="483" t="str">
        <f t="shared" si="55"/>
        <v/>
      </c>
      <c r="AN237" s="484" t="str">
        <f t="shared" si="56"/>
        <v/>
      </c>
      <c r="AO237" s="473" t="str">
        <f t="shared" si="57"/>
        <v/>
      </c>
      <c r="AP237" s="473" t="str">
        <f t="shared" si="58"/>
        <v/>
      </c>
      <c r="AQ237" s="473" t="str">
        <f t="shared" si="59"/>
        <v/>
      </c>
      <c r="AR237" s="473" t="str">
        <f t="shared" si="60"/>
        <v/>
      </c>
      <c r="AS237" s="473" t="str">
        <f t="shared" si="61"/>
        <v/>
      </c>
      <c r="AT237" s="473" t="str">
        <f t="shared" si="62"/>
        <v/>
      </c>
      <c r="AU237" s="473" t="str">
        <f t="shared" si="63"/>
        <v/>
      </c>
      <c r="AZ237" s="32" t="s">
        <v>320</v>
      </c>
      <c r="BA237" s="34" t="s">
        <v>6126</v>
      </c>
      <c r="BB237" s="499"/>
      <c r="BC237" s="271"/>
      <c r="BD237" s="279">
        <v>1</v>
      </c>
      <c r="BE237" s="271"/>
      <c r="BF237" s="271"/>
      <c r="BG237" s="271"/>
      <c r="BH237" s="271"/>
      <c r="BI237" s="271"/>
      <c r="BJ237" s="271"/>
      <c r="BK237" s="271"/>
      <c r="BL237" s="271"/>
    </row>
    <row r="238" spans="18:64" ht="21" customHeight="1" x14ac:dyDescent="0.25">
      <c r="R238" s="25" t="s">
        <v>6128</v>
      </c>
      <c r="S238" s="451"/>
      <c r="T238" s="31" t="s">
        <v>26</v>
      </c>
      <c r="V238" s="475">
        <v>5</v>
      </c>
      <c r="W238" s="475" t="str">
        <f>IF($AC$238="","",$W$216)</f>
        <v/>
      </c>
      <c r="X238" s="476" t="str">
        <f>IF($AC$238="","",$X$216)</f>
        <v/>
      </c>
      <c r="Y238" s="477" t="str">
        <f>IF($X$238="","",$Y$216)</f>
        <v/>
      </c>
      <c r="Z238" s="477" t="str">
        <f>IF($X$238="","",$Z$216)</f>
        <v/>
      </c>
      <c r="AA238" s="477" t="str">
        <f>IF($AC$238="","",ROW($A$238)-ROW($A$216))</f>
        <v/>
      </c>
      <c r="AB238" s="478"/>
      <c r="AC238" s="34"/>
      <c r="AD238" s="356"/>
      <c r="AE238" s="479"/>
      <c r="AF238" s="475"/>
      <c r="AG238" s="480" t="str">
        <f t="shared" si="52"/>
        <v/>
      </c>
      <c r="AH238" s="481" t="str">
        <f t="shared" si="53"/>
        <v/>
      </c>
      <c r="AI238" s="477" t="str">
        <f>IF($AC$238="","",IFERROR(INDEX($AZ$74:$AZ$119,MATCH($AH$238,$AY$74:$AY$119,0)),"AUTRE"))</f>
        <v/>
      </c>
      <c r="AJ238" s="482" t="str">
        <f>IF($AC$238="","",IFERROR(INDEX($BA$74:$BA$119,MATCH($AH$238,$AY$74:$AY$119,0)),1))</f>
        <v/>
      </c>
      <c r="AK238" s="482" t="str">
        <f t="shared" si="54"/>
        <v/>
      </c>
      <c r="AL238" s="477" t="str">
        <f>IF($AC$238="","",IFERROR(INDEX($BB$74:$BB$119,MATCH($AH$238,$AY$74:$AY$119,0)),$AH$238))</f>
        <v/>
      </c>
      <c r="AM238" s="483" t="str">
        <f t="shared" si="55"/>
        <v/>
      </c>
      <c r="AN238" s="484" t="str">
        <f t="shared" si="56"/>
        <v/>
      </c>
      <c r="AO238" s="473" t="str">
        <f t="shared" si="57"/>
        <v/>
      </c>
      <c r="AP238" s="473" t="str">
        <f t="shared" si="58"/>
        <v/>
      </c>
      <c r="AQ238" s="473" t="str">
        <f t="shared" si="59"/>
        <v/>
      </c>
      <c r="AR238" s="473" t="str">
        <f t="shared" si="60"/>
        <v/>
      </c>
      <c r="AS238" s="473" t="str">
        <f t="shared" si="61"/>
        <v/>
      </c>
      <c r="AT238" s="473" t="str">
        <f t="shared" si="62"/>
        <v/>
      </c>
      <c r="AU238" s="473" t="str">
        <f t="shared" si="63"/>
        <v/>
      </c>
      <c r="AZ238" s="32" t="s">
        <v>318</v>
      </c>
      <c r="BA238" s="34" t="s">
        <v>6127</v>
      </c>
      <c r="BB238" s="499"/>
      <c r="BC238" s="271"/>
      <c r="BD238" s="279">
        <v>1</v>
      </c>
      <c r="BE238" s="271"/>
      <c r="BF238" s="271"/>
      <c r="BG238" s="271"/>
      <c r="BH238" s="271"/>
      <c r="BI238" s="271"/>
      <c r="BJ238" s="271"/>
      <c r="BK238" s="271"/>
      <c r="BL238" s="271"/>
    </row>
    <row r="239" spans="18:64" ht="21" customHeight="1" x14ac:dyDescent="0.25">
      <c r="R239" s="34" t="s">
        <v>474</v>
      </c>
      <c r="S239" s="451"/>
      <c r="T239" s="31" t="s">
        <v>27</v>
      </c>
      <c r="V239" s="475">
        <v>5</v>
      </c>
      <c r="W239" s="475" t="str">
        <f>IF($AC$239="","",$W$216)</f>
        <v/>
      </c>
      <c r="X239" s="476" t="str">
        <f>IF($AC$239="","",$X$216)</f>
        <v/>
      </c>
      <c r="Y239" s="477" t="str">
        <f>IF($X$239="","",$Y$216)</f>
        <v/>
      </c>
      <c r="Z239" s="477" t="str">
        <f>IF($X$239="","",$Z$216)</f>
        <v/>
      </c>
      <c r="AA239" s="477" t="str">
        <f>IF($AC$239="","",ROW($A$239)-ROW($A$216))</f>
        <v/>
      </c>
      <c r="AB239" s="478"/>
      <c r="AC239" s="34"/>
      <c r="AD239" s="356"/>
      <c r="AE239" s="479"/>
      <c r="AF239" s="475"/>
      <c r="AG239" s="480" t="str">
        <f t="shared" si="52"/>
        <v/>
      </c>
      <c r="AH239" s="481" t="str">
        <f t="shared" si="53"/>
        <v/>
      </c>
      <c r="AI239" s="477" t="str">
        <f>IF($AC$239="","",IFERROR(INDEX($AZ$74:$AZ$119,MATCH($AH$239,$AY$74:$AY$119,0)),"AUTRE"))</f>
        <v/>
      </c>
      <c r="AJ239" s="482" t="str">
        <f>IF($AC$239="","",IFERROR(INDEX($BA$74:$BA$119,MATCH($AH$239,$AY$74:$AY$119,0)),1))</f>
        <v/>
      </c>
      <c r="AK239" s="482" t="str">
        <f t="shared" si="54"/>
        <v/>
      </c>
      <c r="AL239" s="477" t="str">
        <f>IF($AC$239="","",IFERROR(INDEX($BB$74:$BB$119,MATCH($AH$239,$AY$74:$AY$119,0)),$AH$239))</f>
        <v/>
      </c>
      <c r="AM239" s="483" t="str">
        <f t="shared" si="55"/>
        <v/>
      </c>
      <c r="AN239" s="484" t="str">
        <f t="shared" si="56"/>
        <v/>
      </c>
      <c r="AO239" s="473" t="str">
        <f t="shared" si="57"/>
        <v/>
      </c>
      <c r="AP239" s="473" t="str">
        <f t="shared" si="58"/>
        <v/>
      </c>
      <c r="AQ239" s="473" t="str">
        <f t="shared" si="59"/>
        <v/>
      </c>
      <c r="AR239" s="473" t="str">
        <f t="shared" si="60"/>
        <v/>
      </c>
      <c r="AS239" s="473" t="str">
        <f t="shared" si="61"/>
        <v/>
      </c>
      <c r="AT239" s="473" t="str">
        <f t="shared" si="62"/>
        <v/>
      </c>
      <c r="AU239" s="473" t="str">
        <f t="shared" si="63"/>
        <v/>
      </c>
      <c r="AZ239" s="32" t="s">
        <v>316</v>
      </c>
      <c r="BA239" s="25" t="s">
        <v>6128</v>
      </c>
      <c r="BB239" s="499"/>
      <c r="BC239" s="271"/>
      <c r="BD239" s="279">
        <v>1</v>
      </c>
      <c r="BE239" s="271"/>
      <c r="BF239" s="271"/>
      <c r="BG239" s="271"/>
      <c r="BH239" s="271"/>
      <c r="BI239" s="271"/>
      <c r="BJ239" s="271"/>
      <c r="BK239" s="271"/>
      <c r="BL239" s="271"/>
    </row>
    <row r="240" spans="18:64" ht="21" customHeight="1" x14ac:dyDescent="0.25">
      <c r="R240" s="34" t="s">
        <v>490</v>
      </c>
      <c r="S240" s="451"/>
      <c r="T240" s="31" t="s">
        <v>28</v>
      </c>
      <c r="V240" s="475">
        <v>5</v>
      </c>
      <c r="W240" s="475" t="str">
        <f>IF($AC$240="","",$W$216)</f>
        <v/>
      </c>
      <c r="X240" s="476" t="str">
        <f>IF($AC$240="","",$X$216)</f>
        <v/>
      </c>
      <c r="Y240" s="477" t="str">
        <f>IF($X$240="","",$Y$216)</f>
        <v/>
      </c>
      <c r="Z240" s="477" t="str">
        <f>IF($X$240="","",$Z$216)</f>
        <v/>
      </c>
      <c r="AA240" s="477" t="str">
        <f>IF($AC$240="","",ROW($A$240)-ROW($A$216))</f>
        <v/>
      </c>
      <c r="AB240" s="478"/>
      <c r="AC240" s="34"/>
      <c r="AD240" s="356"/>
      <c r="AE240" s="479"/>
      <c r="AF240" s="475"/>
      <c r="AG240" s="480" t="str">
        <f t="shared" si="52"/>
        <v/>
      </c>
      <c r="AH240" s="481" t="str">
        <f t="shared" si="53"/>
        <v/>
      </c>
      <c r="AI240" s="477" t="str">
        <f>IF($AC$240="","",IFERROR(INDEX($AZ$74:$AZ$119,MATCH($AH$240,$AY$74:$AY$119,0)),"AUTRE"))</f>
        <v/>
      </c>
      <c r="AJ240" s="482" t="str">
        <f>IF($AC$240="","",IFERROR(INDEX($BA$74:$BA$119,MATCH($AH$240,$AY$74:$AY$119,0)),1))</f>
        <v/>
      </c>
      <c r="AK240" s="482" t="str">
        <f t="shared" si="54"/>
        <v/>
      </c>
      <c r="AL240" s="477" t="str">
        <f>IF($AC$240="","",IFERROR(INDEX($BB$74:$BB$119,MATCH($AH$240,$AY$74:$AY$119,0)),$AH$240))</f>
        <v/>
      </c>
      <c r="AM240" s="483" t="str">
        <f t="shared" si="55"/>
        <v/>
      </c>
      <c r="AN240" s="484" t="str">
        <f t="shared" si="56"/>
        <v/>
      </c>
      <c r="AO240" s="473" t="str">
        <f t="shared" si="57"/>
        <v/>
      </c>
      <c r="AP240" s="473" t="str">
        <f t="shared" si="58"/>
        <v/>
      </c>
      <c r="AQ240" s="473" t="str">
        <f t="shared" si="59"/>
        <v/>
      </c>
      <c r="AR240" s="473" t="str">
        <f t="shared" si="60"/>
        <v/>
      </c>
      <c r="AS240" s="473" t="str">
        <f t="shared" si="61"/>
        <v/>
      </c>
      <c r="AT240" s="473" t="str">
        <f t="shared" si="62"/>
        <v/>
      </c>
      <c r="AU240" s="473" t="str">
        <f t="shared" si="63"/>
        <v/>
      </c>
      <c r="AZ240" s="32" t="s">
        <v>313</v>
      </c>
      <c r="BA240" s="34" t="s">
        <v>474</v>
      </c>
      <c r="BB240" s="499"/>
      <c r="BC240" s="271"/>
      <c r="BD240" s="279">
        <v>1</v>
      </c>
      <c r="BE240" s="271"/>
      <c r="BF240" s="271"/>
      <c r="BG240" s="271"/>
      <c r="BH240" s="271"/>
      <c r="BI240" s="271"/>
      <c r="BJ240" s="271"/>
      <c r="BK240" s="271"/>
      <c r="BL240" s="271"/>
    </row>
    <row r="241" spans="18:64" ht="21" customHeight="1" x14ac:dyDescent="0.25">
      <c r="R241" s="34" t="s">
        <v>6129</v>
      </c>
      <c r="S241" s="451"/>
      <c r="T241" s="31" t="s">
        <v>29</v>
      </c>
      <c r="V241" s="475">
        <v>5</v>
      </c>
      <c r="W241" s="475" t="str">
        <f>IF($AC$241="","",$W$216)</f>
        <v/>
      </c>
      <c r="X241" s="476" t="str">
        <f>IF($AC$241="","",$X$216)</f>
        <v/>
      </c>
      <c r="Y241" s="477" t="str">
        <f>IF($X$241="","",$Y$216)</f>
        <v/>
      </c>
      <c r="Z241" s="477" t="str">
        <f>IF($X$241="","",$Z$216)</f>
        <v/>
      </c>
      <c r="AA241" s="477" t="str">
        <f>IF($AC$241="","",ROW($A$241)-ROW($A$216))</f>
        <v/>
      </c>
      <c r="AB241" s="478"/>
      <c r="AC241" s="34"/>
      <c r="AD241" s="356"/>
      <c r="AE241" s="479"/>
      <c r="AF241" s="475"/>
      <c r="AG241" s="480" t="str">
        <f t="shared" si="52"/>
        <v/>
      </c>
      <c r="AH241" s="481" t="str">
        <f t="shared" si="53"/>
        <v/>
      </c>
      <c r="AI241" s="477" t="str">
        <f>IF($AC$241="","",IFERROR(INDEX($AZ$74:$AZ$119,MATCH($AH$241,$AY$74:$AY$119,0)),"AUTRE"))</f>
        <v/>
      </c>
      <c r="AJ241" s="482" t="str">
        <f>IF($AC$241="","",IFERROR(INDEX($BA$74:$BA$119,MATCH($AH$241,$AY$74:$AY$119,0)),1))</f>
        <v/>
      </c>
      <c r="AK241" s="482" t="str">
        <f t="shared" si="54"/>
        <v/>
      </c>
      <c r="AL241" s="477" t="str">
        <f>IF($AC$241="","",IFERROR(INDEX($BB$74:$BB$119,MATCH($AH$241,$AY$74:$AY$119,0)),$AH$241))</f>
        <v/>
      </c>
      <c r="AM241" s="483" t="str">
        <f t="shared" si="55"/>
        <v/>
      </c>
      <c r="AN241" s="484" t="str">
        <f t="shared" si="56"/>
        <v/>
      </c>
      <c r="AO241" s="473" t="str">
        <f t="shared" si="57"/>
        <v/>
      </c>
      <c r="AP241" s="473" t="str">
        <f t="shared" si="58"/>
        <v/>
      </c>
      <c r="AQ241" s="473" t="str">
        <f t="shared" si="59"/>
        <v/>
      </c>
      <c r="AR241" s="473" t="str">
        <f t="shared" si="60"/>
        <v/>
      </c>
      <c r="AS241" s="473" t="str">
        <f t="shared" si="61"/>
        <v/>
      </c>
      <c r="AT241" s="473" t="str">
        <f t="shared" si="62"/>
        <v/>
      </c>
      <c r="AU241" s="473" t="str">
        <f t="shared" si="63"/>
        <v/>
      </c>
      <c r="AZ241" s="32" t="s">
        <v>307</v>
      </c>
      <c r="BA241" s="34" t="s">
        <v>490</v>
      </c>
      <c r="BB241" s="499"/>
      <c r="BC241" s="271"/>
      <c r="BD241" s="279">
        <v>1</v>
      </c>
      <c r="BE241" s="271"/>
      <c r="BF241" s="271"/>
      <c r="BG241" s="271"/>
      <c r="BH241" s="271"/>
      <c r="BI241" s="271"/>
      <c r="BJ241" s="271"/>
      <c r="BK241" s="271"/>
      <c r="BL241" s="271"/>
    </row>
    <row r="242" spans="18:64" ht="21" customHeight="1" x14ac:dyDescent="0.25">
      <c r="R242" s="34" t="s">
        <v>478</v>
      </c>
      <c r="S242" s="451"/>
      <c r="T242" s="31" t="s">
        <v>30</v>
      </c>
      <c r="V242" s="475">
        <v>5</v>
      </c>
      <c r="W242" s="475" t="str">
        <f>IF($AC$242="","",$W$216)</f>
        <v/>
      </c>
      <c r="X242" s="476" t="str">
        <f>IF($AC$242="","",$X$216)</f>
        <v/>
      </c>
      <c r="Y242" s="477" t="str">
        <f>IF($X$242="","",$Y$216)</f>
        <v/>
      </c>
      <c r="Z242" s="477" t="str">
        <f>IF($X$242="","",$Z$216)</f>
        <v/>
      </c>
      <c r="AA242" s="477" t="str">
        <f>IF($AC$242="","",ROW($A$242)-ROW($A$216))</f>
        <v/>
      </c>
      <c r="AB242" s="478"/>
      <c r="AC242" s="34"/>
      <c r="AD242" s="356"/>
      <c r="AE242" s="479"/>
      <c r="AF242" s="475"/>
      <c r="AG242" s="480" t="str">
        <f t="shared" si="52"/>
        <v/>
      </c>
      <c r="AH242" s="481" t="str">
        <f t="shared" si="53"/>
        <v/>
      </c>
      <c r="AI242" s="477" t="str">
        <f>IF($AC$242="","",IFERROR(INDEX($AZ$74:$AZ$119,MATCH($AH$242,$AY$74:$AY$119,0)),"AUTRE"))</f>
        <v/>
      </c>
      <c r="AJ242" s="482" t="str">
        <f>IF($AC$242="","",IFERROR(INDEX($BA$74:$BA$119,MATCH($AH$242,$AY$74:$AY$119,0)),1))</f>
        <v/>
      </c>
      <c r="AK242" s="482" t="str">
        <f t="shared" si="54"/>
        <v/>
      </c>
      <c r="AL242" s="477" t="str">
        <f>IF($AC$242="","",IFERROR(INDEX($BB$74:$BB$119,MATCH($AH$242,$AY$74:$AY$119,0)),$AH$242))</f>
        <v/>
      </c>
      <c r="AM242" s="483" t="str">
        <f t="shared" si="55"/>
        <v/>
      </c>
      <c r="AN242" s="484" t="str">
        <f t="shared" si="56"/>
        <v/>
      </c>
      <c r="AO242" s="473" t="str">
        <f t="shared" si="57"/>
        <v/>
      </c>
      <c r="AP242" s="473" t="str">
        <f t="shared" si="58"/>
        <v/>
      </c>
      <c r="AQ242" s="473" t="str">
        <f t="shared" si="59"/>
        <v/>
      </c>
      <c r="AR242" s="473" t="str">
        <f t="shared" si="60"/>
        <v/>
      </c>
      <c r="AS242" s="473" t="str">
        <f t="shared" si="61"/>
        <v/>
      </c>
      <c r="AT242" s="473" t="str">
        <f t="shared" si="62"/>
        <v/>
      </c>
      <c r="AU242" s="473" t="str">
        <f t="shared" si="63"/>
        <v/>
      </c>
      <c r="AZ242" s="32" t="s">
        <v>322</v>
      </c>
      <c r="BA242" s="34" t="s">
        <v>6129</v>
      </c>
      <c r="BB242" s="499"/>
      <c r="BC242" s="271"/>
      <c r="BD242" s="279">
        <v>1</v>
      </c>
      <c r="BE242" s="271"/>
      <c r="BF242" s="271"/>
      <c r="BG242" s="271"/>
      <c r="BH242" s="271"/>
      <c r="BI242" s="271"/>
      <c r="BJ242" s="271"/>
      <c r="BK242" s="271"/>
      <c r="BL242" s="271"/>
    </row>
    <row r="243" spans="18:64" ht="21" customHeight="1" x14ac:dyDescent="0.25">
      <c r="R243" s="34" t="s">
        <v>6130</v>
      </c>
      <c r="S243" s="451"/>
      <c r="T243" s="31" t="s">
        <v>31</v>
      </c>
      <c r="V243" s="475">
        <v>5</v>
      </c>
      <c r="W243" s="475" t="str">
        <f>IF($AC$243="","",$W$216)</f>
        <v/>
      </c>
      <c r="X243" s="476" t="str">
        <f>IF($AC$243="","",$X$216)</f>
        <v/>
      </c>
      <c r="Y243" s="477" t="str">
        <f>IF($X$243="","",$Y$216)</f>
        <v/>
      </c>
      <c r="Z243" s="477" t="str">
        <f>IF($X$243="","",$Z$216)</f>
        <v/>
      </c>
      <c r="AA243" s="477" t="str">
        <f>IF($AC$243="","",ROW($A$243)-ROW($A$216))</f>
        <v/>
      </c>
      <c r="AB243" s="478"/>
      <c r="AC243" s="34"/>
      <c r="AD243" s="356"/>
      <c r="AE243" s="479"/>
      <c r="AF243" s="475"/>
      <c r="AG243" s="480" t="str">
        <f t="shared" si="52"/>
        <v/>
      </c>
      <c r="AH243" s="481" t="str">
        <f t="shared" si="53"/>
        <v/>
      </c>
      <c r="AI243" s="477" t="str">
        <f>IF($AC$243="","",IFERROR(INDEX($AZ$74:$AZ$119,MATCH($AH$243,$AY$74:$AY$119,0)),"AUTRE"))</f>
        <v/>
      </c>
      <c r="AJ243" s="482" t="str">
        <f>IF($AC$243="","",IFERROR(INDEX($BA$74:$BA$119,MATCH($AH$243,$AY$74:$AY$119,0)),1))</f>
        <v/>
      </c>
      <c r="AK243" s="482" t="str">
        <f t="shared" si="54"/>
        <v/>
      </c>
      <c r="AL243" s="477" t="str">
        <f>IF($AC$243="","",IFERROR(INDEX($BB$74:$BB$119,MATCH($AH$243,$AY$74:$AY$119,0)),$AH$243))</f>
        <v/>
      </c>
      <c r="AM243" s="483" t="str">
        <f t="shared" si="55"/>
        <v/>
      </c>
      <c r="AN243" s="484" t="str">
        <f t="shared" si="56"/>
        <v/>
      </c>
      <c r="AO243" s="473" t="str">
        <f t="shared" si="57"/>
        <v/>
      </c>
      <c r="AP243" s="473" t="str">
        <f t="shared" si="58"/>
        <v/>
      </c>
      <c r="AQ243" s="473" t="str">
        <f t="shared" si="59"/>
        <v/>
      </c>
      <c r="AR243" s="473" t="str">
        <f t="shared" si="60"/>
        <v/>
      </c>
      <c r="AS243" s="473" t="str">
        <f t="shared" si="61"/>
        <v/>
      </c>
      <c r="AT243" s="473" t="str">
        <f t="shared" si="62"/>
        <v/>
      </c>
      <c r="AU243" s="473" t="str">
        <f t="shared" si="63"/>
        <v/>
      </c>
      <c r="AZ243" s="32" t="s">
        <v>305</v>
      </c>
      <c r="BA243" s="34" t="s">
        <v>478</v>
      </c>
      <c r="BB243" s="499"/>
      <c r="BC243" s="271"/>
      <c r="BD243" s="279">
        <v>1</v>
      </c>
      <c r="BE243" s="271"/>
      <c r="BF243" s="271"/>
      <c r="BG243" s="271"/>
      <c r="BH243" s="271"/>
      <c r="BI243" s="271"/>
      <c r="BJ243" s="271"/>
      <c r="BK243" s="271"/>
      <c r="BL243" s="271"/>
    </row>
    <row r="244" spans="18:64" ht="21" customHeight="1" x14ac:dyDescent="0.25">
      <c r="R244" s="34" t="s">
        <v>486</v>
      </c>
      <c r="S244" s="451"/>
      <c r="T244" s="32" t="s">
        <v>33</v>
      </c>
      <c r="V244" s="475">
        <v>5</v>
      </c>
      <c r="W244" s="475" t="str">
        <f>IF($AC$244="","",$W$216)</f>
        <v/>
      </c>
      <c r="X244" s="476" t="str">
        <f>IF($AC$244="","",$X$216)</f>
        <v/>
      </c>
      <c r="Y244" s="477" t="str">
        <f>IF($X$244="","",$Y$216)</f>
        <v/>
      </c>
      <c r="Z244" s="477" t="str">
        <f>IF($X$244="","",$Z$216)</f>
        <v/>
      </c>
      <c r="AA244" s="477" t="str">
        <f>IF($AC$244="","",ROW($A$244)-ROW($A$216))</f>
        <v/>
      </c>
      <c r="AB244" s="478"/>
      <c r="AC244" s="34"/>
      <c r="AD244" s="356"/>
      <c r="AE244" s="479"/>
      <c r="AF244" s="475"/>
      <c r="AG244" s="480" t="str">
        <f t="shared" si="52"/>
        <v/>
      </c>
      <c r="AH244" s="481" t="str">
        <f t="shared" si="53"/>
        <v/>
      </c>
      <c r="AI244" s="477" t="str">
        <f>IF($AC$244="","",IFERROR(INDEX($AZ$74:$AZ$119,MATCH($AH$244,$AY$74:$AY$119,0)),"AUTRE"))</f>
        <v/>
      </c>
      <c r="AJ244" s="482" t="str">
        <f>IF($AC$244="","",IFERROR(INDEX($BA$74:$BA$119,MATCH($AH$244,$AY$74:$AY$119,0)),1))</f>
        <v/>
      </c>
      <c r="AK244" s="482" t="str">
        <f t="shared" si="54"/>
        <v/>
      </c>
      <c r="AL244" s="477" t="str">
        <f>IF($AC$244="","",IFERROR(INDEX($BB$74:$BB$119,MATCH($AH$244,$AY$74:$AY$119,0)),$AH$244))</f>
        <v/>
      </c>
      <c r="AM244" s="483" t="str">
        <f t="shared" si="55"/>
        <v/>
      </c>
      <c r="AN244" s="484" t="str">
        <f t="shared" si="56"/>
        <v/>
      </c>
      <c r="AO244" s="473" t="str">
        <f t="shared" si="57"/>
        <v/>
      </c>
      <c r="AP244" s="473" t="str">
        <f t="shared" si="58"/>
        <v/>
      </c>
      <c r="AQ244" s="473" t="str">
        <f t="shared" si="59"/>
        <v/>
      </c>
      <c r="AR244" s="473" t="str">
        <f t="shared" si="60"/>
        <v/>
      </c>
      <c r="AS244" s="473" t="str">
        <f t="shared" si="61"/>
        <v/>
      </c>
      <c r="AT244" s="473" t="str">
        <f t="shared" si="62"/>
        <v/>
      </c>
      <c r="AU244" s="473" t="str">
        <f t="shared" si="63"/>
        <v/>
      </c>
      <c r="AY244" s="271"/>
      <c r="AZ244" s="32" t="s">
        <v>8129</v>
      </c>
      <c r="BA244" s="34" t="s">
        <v>6130</v>
      </c>
      <c r="BB244" s="499"/>
      <c r="BC244" s="271"/>
      <c r="BD244" s="279">
        <v>1</v>
      </c>
      <c r="BE244" s="271"/>
      <c r="BF244" s="271"/>
      <c r="BG244" s="271"/>
      <c r="BH244" s="271"/>
      <c r="BI244" s="271"/>
      <c r="BJ244" s="271"/>
      <c r="BK244" s="271"/>
      <c r="BL244" s="271"/>
    </row>
    <row r="245" spans="18:64" ht="21" customHeight="1" x14ac:dyDescent="0.25">
      <c r="R245" s="34" t="s">
        <v>479</v>
      </c>
      <c r="S245" s="451"/>
      <c r="T245" s="32" t="s">
        <v>8125</v>
      </c>
      <c r="V245" s="475">
        <v>5</v>
      </c>
      <c r="W245" s="475" t="str">
        <f>IF($AC$245="","",$W$216)</f>
        <v/>
      </c>
      <c r="X245" s="476" t="str">
        <f>IF($AC$245="","",$X$216)</f>
        <v/>
      </c>
      <c r="Y245" s="477" t="str">
        <f>IF($X$245="","",$Y$216)</f>
        <v/>
      </c>
      <c r="Z245" s="477" t="str">
        <f>IF($X$245="","",$Z$216)</f>
        <v/>
      </c>
      <c r="AA245" s="477" t="str">
        <f>IF($AC$245="","",ROW($A$245)-ROW($A$216))</f>
        <v/>
      </c>
      <c r="AB245" s="478"/>
      <c r="AC245" s="34"/>
      <c r="AD245" s="356"/>
      <c r="AE245" s="479"/>
      <c r="AF245" s="475"/>
      <c r="AG245" s="480" t="str">
        <f t="shared" si="52"/>
        <v/>
      </c>
      <c r="AH245" s="481" t="str">
        <f t="shared" si="53"/>
        <v/>
      </c>
      <c r="AI245" s="477" t="str">
        <f>IF($AC$245="","",IFERROR(INDEX($AZ$74:$AZ$119,MATCH($AH$245,$AY$74:$AY$119,0)),"AUTRE"))</f>
        <v/>
      </c>
      <c r="AJ245" s="482" t="str">
        <f>IF($AC$245="","",IFERROR(INDEX($BA$74:$BA$119,MATCH($AH$245,$AY$74:$AY$119,0)),1))</f>
        <v/>
      </c>
      <c r="AK245" s="482" t="str">
        <f t="shared" si="54"/>
        <v/>
      </c>
      <c r="AL245" s="477" t="str">
        <f>IF($AC$245="","",IFERROR(INDEX($BB$74:$BB$119,MATCH($AH$245,$AY$74:$AY$119,0)),$AH$245))</f>
        <v/>
      </c>
      <c r="AM245" s="483" t="str">
        <f t="shared" si="55"/>
        <v/>
      </c>
      <c r="AN245" s="484" t="str">
        <f t="shared" si="56"/>
        <v/>
      </c>
      <c r="AO245" s="473" t="str">
        <f t="shared" si="57"/>
        <v/>
      </c>
      <c r="AP245" s="473" t="str">
        <f t="shared" si="58"/>
        <v/>
      </c>
      <c r="AQ245" s="473" t="str">
        <f t="shared" si="59"/>
        <v/>
      </c>
      <c r="AR245" s="473" t="str">
        <f t="shared" si="60"/>
        <v/>
      </c>
      <c r="AS245" s="473" t="str">
        <f t="shared" si="61"/>
        <v/>
      </c>
      <c r="AT245" s="473" t="str">
        <f t="shared" si="62"/>
        <v/>
      </c>
      <c r="AU245" s="473" t="str">
        <f t="shared" si="63"/>
        <v/>
      </c>
      <c r="AY245" s="497" t="s">
        <v>8145</v>
      </c>
      <c r="AZ245" s="32" t="s">
        <v>8131</v>
      </c>
      <c r="BA245" s="34" t="s">
        <v>486</v>
      </c>
      <c r="BB245" s="499"/>
      <c r="BC245" s="271"/>
      <c r="BD245" s="279">
        <v>1</v>
      </c>
      <c r="BE245" s="271"/>
      <c r="BF245" s="271"/>
      <c r="BG245" s="271"/>
      <c r="BH245" s="271"/>
      <c r="BI245" s="271"/>
      <c r="BJ245" s="271"/>
      <c r="BK245" s="271"/>
      <c r="BL245" s="271"/>
    </row>
    <row r="246" spans="18:64" ht="21" customHeight="1" x14ac:dyDescent="0.25">
      <c r="R246" s="34" t="s">
        <v>6131</v>
      </c>
      <c r="S246" s="451"/>
      <c r="T246" s="32" t="s">
        <v>8127</v>
      </c>
      <c r="V246" s="475">
        <v>5</v>
      </c>
      <c r="W246" s="475" t="str">
        <f>IF($AC$246="","",$W$216)</f>
        <v/>
      </c>
      <c r="X246" s="476" t="str">
        <f>IF($AC$246="","",$X$216)</f>
        <v/>
      </c>
      <c r="Y246" s="477" t="str">
        <f>IF($X$246="","",$Y$216)</f>
        <v/>
      </c>
      <c r="Z246" s="477" t="str">
        <f>IF($X$246="","",$Z$216)</f>
        <v/>
      </c>
      <c r="AA246" s="477" t="str">
        <f>IF($AC$246="","",ROW($A$246)-ROW($A$216))</f>
        <v/>
      </c>
      <c r="AB246" s="478"/>
      <c r="AC246" s="34"/>
      <c r="AD246" s="356"/>
      <c r="AE246" s="479"/>
      <c r="AF246" s="475"/>
      <c r="AG246" s="480" t="str">
        <f t="shared" si="52"/>
        <v/>
      </c>
      <c r="AH246" s="481" t="str">
        <f t="shared" si="53"/>
        <v/>
      </c>
      <c r="AI246" s="477" t="str">
        <f>IF($AC$246="","",IFERROR(INDEX($AZ$74:$AZ$119,MATCH($AH$246,$AY$74:$AY$119,0)),"AUTRE"))</f>
        <v/>
      </c>
      <c r="AJ246" s="482" t="str">
        <f>IF($AC$246="","",IFERROR(INDEX($BA$74:$BA$119,MATCH($AH$246,$AY$74:$AY$119,0)),1))</f>
        <v/>
      </c>
      <c r="AK246" s="482" t="str">
        <f t="shared" si="54"/>
        <v/>
      </c>
      <c r="AL246" s="477" t="str">
        <f>IF($AC$246="","",IFERROR(INDEX($BB$74:$BB$119,MATCH($AH$246,$AY$74:$AY$119,0)),$AH$246))</f>
        <v/>
      </c>
      <c r="AM246" s="483" t="str">
        <f t="shared" si="55"/>
        <v/>
      </c>
      <c r="AN246" s="484" t="str">
        <f t="shared" si="56"/>
        <v/>
      </c>
      <c r="AO246" s="473" t="str">
        <f t="shared" si="57"/>
        <v/>
      </c>
      <c r="AP246" s="473" t="str">
        <f t="shared" si="58"/>
        <v/>
      </c>
      <c r="AQ246" s="473" t="str">
        <f t="shared" si="59"/>
        <v/>
      </c>
      <c r="AR246" s="473" t="str">
        <f t="shared" si="60"/>
        <v/>
      </c>
      <c r="AS246" s="473" t="str">
        <f t="shared" si="61"/>
        <v/>
      </c>
      <c r="AT246" s="473" t="str">
        <f t="shared" si="62"/>
        <v/>
      </c>
      <c r="AU246" s="473" t="str">
        <f t="shared" si="63"/>
        <v/>
      </c>
      <c r="AY246" s="497" t="s">
        <v>462</v>
      </c>
      <c r="AZ246" s="32" t="s">
        <v>309</v>
      </c>
      <c r="BA246" s="34" t="s">
        <v>479</v>
      </c>
      <c r="BB246" s="499"/>
      <c r="BC246" s="271"/>
      <c r="BD246" s="279">
        <v>1</v>
      </c>
      <c r="BE246" s="271"/>
      <c r="BF246" s="271"/>
      <c r="BG246" s="271"/>
      <c r="BH246" s="271"/>
      <c r="BI246" s="271"/>
      <c r="BJ246" s="271"/>
      <c r="BK246" s="271"/>
      <c r="BL246" s="271"/>
    </row>
    <row r="247" spans="18:64" ht="21" customHeight="1" x14ac:dyDescent="0.25">
      <c r="R247" s="34" t="s">
        <v>485</v>
      </c>
      <c r="S247" s="451"/>
      <c r="T247" s="32" t="s">
        <v>320</v>
      </c>
      <c r="V247" s="475">
        <v>5</v>
      </c>
      <c r="W247" s="475" t="str">
        <f>IF($AC$247="","",$W$216)</f>
        <v/>
      </c>
      <c r="X247" s="476" t="str">
        <f>IF($AC$247="","",$X$216)</f>
        <v/>
      </c>
      <c r="Y247" s="477" t="str">
        <f>IF($X$247="","",$Y$216)</f>
        <v/>
      </c>
      <c r="Z247" s="477" t="str">
        <f>IF($X$247="","",$Z$216)</f>
        <v/>
      </c>
      <c r="AA247" s="477" t="str">
        <f>IF($AC$247="","",ROW($A$247)-ROW($A$216))</f>
        <v/>
      </c>
      <c r="AB247" s="478"/>
      <c r="AC247" s="34"/>
      <c r="AD247" s="356"/>
      <c r="AE247" s="479"/>
      <c r="AF247" s="475"/>
      <c r="AG247" s="480" t="str">
        <f t="shared" si="52"/>
        <v/>
      </c>
      <c r="AH247" s="481" t="str">
        <f t="shared" si="53"/>
        <v/>
      </c>
      <c r="AI247" s="477" t="str">
        <f>IF($AC$247="","",IFERROR(INDEX($AZ$74:$AZ$119,MATCH($AH$247,$AY$74:$AY$119,0)),"AUTRE"))</f>
        <v/>
      </c>
      <c r="AJ247" s="482" t="str">
        <f>IF($AC$247="","",IFERROR(INDEX($BA$74:$BA$119,MATCH($AH$247,$AY$74:$AY$119,0)),1))</f>
        <v/>
      </c>
      <c r="AK247" s="482" t="str">
        <f t="shared" si="54"/>
        <v/>
      </c>
      <c r="AL247" s="477" t="str">
        <f>IF($AC$247="","",IFERROR(INDEX($BB$74:$BB$119,MATCH($AH$247,$AY$74:$AY$119,0)),$AH$247))</f>
        <v/>
      </c>
      <c r="AM247" s="483" t="str">
        <f t="shared" si="55"/>
        <v/>
      </c>
      <c r="AN247" s="484" t="str">
        <f t="shared" si="56"/>
        <v/>
      </c>
      <c r="AO247" s="473" t="str">
        <f t="shared" si="57"/>
        <v/>
      </c>
      <c r="AP247" s="473" t="str">
        <f t="shared" si="58"/>
        <v/>
      </c>
      <c r="AQ247" s="473" t="str">
        <f t="shared" si="59"/>
        <v/>
      </c>
      <c r="AR247" s="473" t="str">
        <f t="shared" si="60"/>
        <v/>
      </c>
      <c r="AS247" s="473" t="str">
        <f t="shared" si="61"/>
        <v/>
      </c>
      <c r="AT247" s="473" t="str">
        <f t="shared" si="62"/>
        <v/>
      </c>
      <c r="AU247" s="473" t="str">
        <f t="shared" si="63"/>
        <v/>
      </c>
      <c r="AY247" s="497" t="s">
        <v>463</v>
      </c>
      <c r="AZ247" s="32" t="s">
        <v>311</v>
      </c>
      <c r="BA247" s="34" t="s">
        <v>6131</v>
      </c>
      <c r="BB247" s="499"/>
      <c r="BC247" s="271"/>
      <c r="BD247" s="279">
        <v>1</v>
      </c>
      <c r="BE247" s="271"/>
      <c r="BF247" s="271"/>
      <c r="BG247" s="271"/>
      <c r="BH247" s="271"/>
      <c r="BI247" s="271"/>
      <c r="BJ247" s="271"/>
      <c r="BK247" s="271"/>
      <c r="BL247" s="271"/>
    </row>
    <row r="248" spans="18:64" ht="21" customHeight="1" x14ac:dyDescent="0.25">
      <c r="R248" s="34" t="s">
        <v>6132</v>
      </c>
      <c r="S248" s="451"/>
      <c r="T248" s="32" t="s">
        <v>318</v>
      </c>
      <c r="V248" s="475">
        <v>5</v>
      </c>
      <c r="W248" s="475" t="str">
        <f>IF($AC$248="","",$W$216)</f>
        <v/>
      </c>
      <c r="X248" s="476" t="str">
        <f>IF($AC$248="","",$X$216)</f>
        <v/>
      </c>
      <c r="Y248" s="477" t="str">
        <f>IF($X$248="","",$Y$216)</f>
        <v/>
      </c>
      <c r="Z248" s="477" t="str">
        <f>IF($X$248="","",$Z$216)</f>
        <v/>
      </c>
      <c r="AA248" s="477" t="str">
        <f>IF($AC$248="","",ROW($A$248)-ROW($A$216))</f>
        <v/>
      </c>
      <c r="AB248" s="478"/>
      <c r="AC248" s="34"/>
      <c r="AD248" s="356"/>
      <c r="AE248" s="479"/>
      <c r="AF248" s="475"/>
      <c r="AG248" s="480" t="str">
        <f t="shared" si="52"/>
        <v/>
      </c>
      <c r="AH248" s="481" t="str">
        <f t="shared" si="53"/>
        <v/>
      </c>
      <c r="AI248" s="477" t="str">
        <f>IF($AC$248="","",IFERROR(INDEX($AZ$74:$AZ$119,MATCH($AH$248,$AY$74:$AY$119,0)),"AUTRE"))</f>
        <v/>
      </c>
      <c r="AJ248" s="482" t="str">
        <f>IF($AC$248="","",IFERROR(INDEX($BA$74:$BA$119,MATCH($AH$248,$AY$74:$AY$119,0)),1))</f>
        <v/>
      </c>
      <c r="AK248" s="482" t="str">
        <f t="shared" si="54"/>
        <v/>
      </c>
      <c r="AL248" s="477" t="str">
        <f>IF($AC$248="","",IFERROR(INDEX($BB$74:$BB$119,MATCH($AH$248,$AY$74:$AY$119,0)),$AH$248))</f>
        <v/>
      </c>
      <c r="AM248" s="483" t="str">
        <f t="shared" si="55"/>
        <v/>
      </c>
      <c r="AN248" s="484" t="str">
        <f t="shared" si="56"/>
        <v/>
      </c>
      <c r="AO248" s="473" t="str">
        <f t="shared" si="57"/>
        <v/>
      </c>
      <c r="AP248" s="473" t="str">
        <f t="shared" si="58"/>
        <v/>
      </c>
      <c r="AQ248" s="473" t="str">
        <f t="shared" si="59"/>
        <v/>
      </c>
      <c r="AR248" s="473" t="str">
        <f t="shared" si="60"/>
        <v/>
      </c>
      <c r="AS248" s="473" t="str">
        <f t="shared" si="61"/>
        <v/>
      </c>
      <c r="AT248" s="473" t="str">
        <f t="shared" si="62"/>
        <v/>
      </c>
      <c r="AU248" s="473" t="str">
        <f t="shared" si="63"/>
        <v/>
      </c>
      <c r="AY248" s="497" t="s">
        <v>8147</v>
      </c>
      <c r="AZ248" s="32" t="s">
        <v>8135</v>
      </c>
      <c r="BA248" s="34" t="s">
        <v>485</v>
      </c>
      <c r="BB248" s="499"/>
      <c r="BC248" s="271"/>
      <c r="BD248" s="279">
        <v>1</v>
      </c>
      <c r="BE248" s="271"/>
      <c r="BF248" s="271"/>
      <c r="BG248" s="271"/>
      <c r="BH248" s="271"/>
      <c r="BI248" s="271"/>
      <c r="BJ248" s="271"/>
      <c r="BK248" s="271"/>
      <c r="BL248" s="271"/>
    </row>
    <row r="249" spans="18:64" ht="21" customHeight="1" x14ac:dyDescent="0.25">
      <c r="R249" s="25" t="s">
        <v>6133</v>
      </c>
      <c r="S249" s="451"/>
      <c r="T249" s="32" t="s">
        <v>316</v>
      </c>
      <c r="V249" s="475">
        <v>5</v>
      </c>
      <c r="W249" s="475" t="str">
        <f>IF($AC$249="","",$W$216)</f>
        <v/>
      </c>
      <c r="X249" s="476" t="str">
        <f>IF($AC$249="","",$X$216)</f>
        <v/>
      </c>
      <c r="Y249" s="477" t="str">
        <f>IF($X$249="","",$Y$216)</f>
        <v/>
      </c>
      <c r="Z249" s="477" t="str">
        <f>IF($X$249="","",$Z$216)</f>
        <v/>
      </c>
      <c r="AA249" s="477" t="str">
        <f>IF($AC$249="","",ROW($A$249)-ROW($A$216))</f>
        <v/>
      </c>
      <c r="AB249" s="478"/>
      <c r="AC249" s="34"/>
      <c r="AD249" s="356"/>
      <c r="AE249" s="479"/>
      <c r="AF249" s="475"/>
      <c r="AG249" s="480" t="str">
        <f t="shared" si="52"/>
        <v/>
      </c>
      <c r="AH249" s="481" t="str">
        <f t="shared" si="53"/>
        <v/>
      </c>
      <c r="AI249" s="477" t="str">
        <f>IF($AC$249="","",IFERROR(INDEX($AZ$74:$AZ$119,MATCH($AH$249,$AY$74:$AY$119,0)),"AUTRE"))</f>
        <v/>
      </c>
      <c r="AJ249" s="482" t="str">
        <f>IF($AC$249="","",IFERROR(INDEX($BA$74:$BA$119,MATCH($AH$249,$AY$74:$AY$119,0)),1))</f>
        <v/>
      </c>
      <c r="AK249" s="482" t="str">
        <f t="shared" si="54"/>
        <v/>
      </c>
      <c r="AL249" s="477" t="str">
        <f>IF($AC$249="","",IFERROR(INDEX($BB$74:$BB$119,MATCH($AH$249,$AY$74:$AY$119,0)),$AH$249))</f>
        <v/>
      </c>
      <c r="AM249" s="483" t="str">
        <f t="shared" si="55"/>
        <v/>
      </c>
      <c r="AN249" s="484" t="str">
        <f t="shared" si="56"/>
        <v/>
      </c>
      <c r="AO249" s="473" t="str">
        <f t="shared" si="57"/>
        <v/>
      </c>
      <c r="AP249" s="473" t="str">
        <f t="shared" si="58"/>
        <v/>
      </c>
      <c r="AQ249" s="473" t="str">
        <f t="shared" si="59"/>
        <v/>
      </c>
      <c r="AR249" s="473" t="str">
        <f t="shared" si="60"/>
        <v/>
      </c>
      <c r="AS249" s="473" t="str">
        <f t="shared" si="61"/>
        <v/>
      </c>
      <c r="AT249" s="473" t="str">
        <f t="shared" si="62"/>
        <v/>
      </c>
      <c r="AU249" s="473" t="str">
        <f t="shared" si="63"/>
        <v/>
      </c>
      <c r="AY249" s="497" t="s">
        <v>465</v>
      </c>
      <c r="AZ249" s="32" t="s">
        <v>8137</v>
      </c>
      <c r="BA249" s="34" t="s">
        <v>6132</v>
      </c>
      <c r="BB249" s="499"/>
      <c r="BC249" s="271"/>
      <c r="BD249" s="279">
        <v>1</v>
      </c>
      <c r="BE249" s="271"/>
      <c r="BF249" s="271"/>
      <c r="BG249" s="271"/>
      <c r="BH249" s="271"/>
      <c r="BI249" s="271"/>
      <c r="BJ249" s="271"/>
      <c r="BK249" s="271"/>
      <c r="BL249" s="271"/>
    </row>
    <row r="250" spans="18:64" ht="21" customHeight="1" x14ac:dyDescent="0.25">
      <c r="R250" s="34" t="s">
        <v>476</v>
      </c>
      <c r="S250" s="451"/>
      <c r="T250" s="32" t="s">
        <v>313</v>
      </c>
      <c r="V250" s="475">
        <v>5</v>
      </c>
      <c r="W250" s="475" t="str">
        <f>IF($AC$250="","",$W$216)</f>
        <v/>
      </c>
      <c r="X250" s="476" t="str">
        <f>IF($AC$250="","",$X$216)</f>
        <v/>
      </c>
      <c r="Y250" s="477" t="str">
        <f>IF($X$250="","",$Y$216)</f>
        <v/>
      </c>
      <c r="Z250" s="477" t="str">
        <f>IF($X$250="","",$Z$216)</f>
        <v/>
      </c>
      <c r="AA250" s="477" t="str">
        <f>IF($AC$250="","",ROW($A$250)-ROW($A$216))</f>
        <v/>
      </c>
      <c r="AB250" s="478"/>
      <c r="AC250" s="34"/>
      <c r="AD250" s="356"/>
      <c r="AE250" s="479"/>
      <c r="AF250" s="475"/>
      <c r="AG250" s="491" t="str">
        <f t="shared" si="52"/>
        <v/>
      </c>
      <c r="AH250" s="481" t="str">
        <f t="shared" si="53"/>
        <v/>
      </c>
      <c r="AI250" s="477" t="str">
        <f>IF($AC$250="","",IFERROR(INDEX($AZ$74:$AZ$119,MATCH($AH$250,$AY$74:$AY$119,0)),"AUTRE"))</f>
        <v/>
      </c>
      <c r="AJ250" s="482" t="str">
        <f>IF($AC$250="","",IFERROR(INDEX($BA$74:$BA$119,MATCH($AH$250,$AY$74:$AY$119,0)),1))</f>
        <v/>
      </c>
      <c r="AK250" s="482" t="str">
        <f t="shared" si="54"/>
        <v/>
      </c>
      <c r="AL250" s="477" t="str">
        <f>IF($AC$250="","",IFERROR(INDEX($BB$74:$BB$119,MATCH($AH$250,$AY$74:$AY$119,0)),$AH$250))</f>
        <v/>
      </c>
      <c r="AM250" s="483" t="str">
        <f t="shared" si="55"/>
        <v/>
      </c>
      <c r="AN250" s="484" t="str">
        <f t="shared" si="56"/>
        <v/>
      </c>
      <c r="AO250" s="473" t="str">
        <f t="shared" si="57"/>
        <v/>
      </c>
      <c r="AP250" s="473" t="str">
        <f t="shared" si="58"/>
        <v/>
      </c>
      <c r="AQ250" s="473" t="str">
        <f t="shared" si="59"/>
        <v/>
      </c>
      <c r="AR250" s="473" t="str">
        <f t="shared" si="60"/>
        <v/>
      </c>
      <c r="AS250" s="473" t="str">
        <f t="shared" si="61"/>
        <v/>
      </c>
      <c r="AT250" s="473" t="str">
        <f t="shared" si="62"/>
        <v/>
      </c>
      <c r="AU250" s="473" t="str">
        <f t="shared" si="63"/>
        <v/>
      </c>
      <c r="AY250" s="497" t="s">
        <v>466</v>
      </c>
      <c r="AZ250" s="32" t="s">
        <v>8139</v>
      </c>
      <c r="BA250" s="25" t="s">
        <v>6133</v>
      </c>
      <c r="BB250" s="499"/>
      <c r="BC250" s="271"/>
      <c r="BD250" s="279">
        <v>1</v>
      </c>
      <c r="BE250" s="271"/>
      <c r="BF250" s="271"/>
      <c r="BG250" s="271"/>
      <c r="BH250" s="271"/>
      <c r="BI250" s="271"/>
      <c r="BJ250" s="271"/>
      <c r="BK250" s="271"/>
      <c r="BL250" s="271"/>
    </row>
    <row r="251" spans="18:64" ht="30" customHeight="1" x14ac:dyDescent="0.25">
      <c r="R251" s="34" t="s">
        <v>468</v>
      </c>
      <c r="S251" s="451"/>
      <c r="T251" s="32" t="s">
        <v>307</v>
      </c>
      <c r="V251" s="453" t="s">
        <v>324</v>
      </c>
      <c r="W251" s="453" t="s">
        <v>7912</v>
      </c>
      <c r="X251" s="453" t="s">
        <v>326</v>
      </c>
      <c r="Y251" s="453" t="s">
        <v>327</v>
      </c>
      <c r="Z251" s="454" t="s">
        <v>7930</v>
      </c>
      <c r="AA251" s="453" t="s">
        <v>7937</v>
      </c>
      <c r="AB251" s="455" t="s">
        <v>39</v>
      </c>
      <c r="AC251" s="455" t="s">
        <v>338</v>
      </c>
      <c r="AD251" s="455" t="s">
        <v>8114</v>
      </c>
      <c r="AE251" s="455" t="s">
        <v>339</v>
      </c>
      <c r="AF251" s="455" t="s">
        <v>7997</v>
      </c>
      <c r="AG251" s="453" t="s">
        <v>8018</v>
      </c>
      <c r="AH251" s="453" t="s">
        <v>8023</v>
      </c>
      <c r="AI251" s="453" t="s">
        <v>330</v>
      </c>
      <c r="AJ251" s="453" t="s">
        <v>8031</v>
      </c>
      <c r="AK251" s="453" t="s">
        <v>8037</v>
      </c>
      <c r="AL251" s="453" t="s">
        <v>8041</v>
      </c>
      <c r="AM251" s="453" t="s">
        <v>343</v>
      </c>
      <c r="AN251" s="457" t="s">
        <v>8115</v>
      </c>
      <c r="AO251" s="457" t="s">
        <v>8116</v>
      </c>
      <c r="AP251" s="656" t="s">
        <v>8117</v>
      </c>
      <c r="AQ251" s="656"/>
      <c r="AR251" s="656"/>
      <c r="AS251" s="656"/>
      <c r="AT251" s="656"/>
      <c r="AU251" s="657"/>
      <c r="AZ251" s="32" t="s">
        <v>8141</v>
      </c>
      <c r="BA251" s="34" t="s">
        <v>476</v>
      </c>
      <c r="BB251" s="499"/>
      <c r="BC251" s="271"/>
      <c r="BD251" s="279">
        <v>1</v>
      </c>
      <c r="BE251" s="271"/>
      <c r="BF251" s="271"/>
      <c r="BG251" s="271"/>
      <c r="BH251" s="271"/>
      <c r="BI251" s="271"/>
      <c r="BJ251" s="271"/>
      <c r="BK251" s="271"/>
      <c r="BL251" s="271"/>
    </row>
    <row r="252" spans="18:64" ht="30" customHeight="1" x14ac:dyDescent="0.25">
      <c r="R252" s="34" t="s">
        <v>473</v>
      </c>
      <c r="S252" s="451"/>
      <c r="T252" s="32" t="s">
        <v>322</v>
      </c>
      <c r="V252" s="459">
        <v>6</v>
      </c>
      <c r="W252" s="460" t="s">
        <v>8120</v>
      </c>
      <c r="X252" s="461" t="s">
        <v>8155</v>
      </c>
      <c r="Y252" s="462"/>
      <c r="Z252" s="463">
        <v>100</v>
      </c>
      <c r="AA252" s="464">
        <f>IF($AC$396="","",ROW($A$396)-ROW($A$396))</f>
        <v>0</v>
      </c>
      <c r="AB252" s="461"/>
      <c r="AC252" s="465" t="s">
        <v>8156</v>
      </c>
      <c r="AD252" s="390"/>
      <c r="AE252" s="390"/>
      <c r="AF252" s="466"/>
      <c r="AG252" s="467" t="str">
        <f t="shared" ref="AG252:AG286" si="64">IF($AC252="","",IF(LEN($AN252&amp;"")=0,"",$AN252))</f>
        <v/>
      </c>
      <c r="AH252" s="468" t="str">
        <f t="shared" ref="AH252:AH286" si="65">IF($AC252="","",IF($AF252&lt;&gt;"",UPPER(TRIM(SUBSTITUTE(SUBSTITUTE($AF252&amp;"",CHAR(160)," ")," "," "))),$AP252))</f>
        <v/>
      </c>
      <c r="AI252" s="469" t="str">
        <f>IF($AC$252="","",IFERROR(INDEX($AZ$74:$AZ$119,MATCH($AH$252,$AY$74:$AY$119,0)),"AUTRE"))</f>
        <v>AUTRE</v>
      </c>
      <c r="AJ252" s="470">
        <f>IF($AC$252="","",IFERROR(INDEX($BA$74:$BA$119,MATCH($AH$252,$AY$74:$AY$119,0)),1))</f>
        <v>1</v>
      </c>
      <c r="AK252" s="470" t="str">
        <f t="shared" ref="AK252:AK315" si="66">IF(OR(AG252="",AJ252=""),"",AG252*AJ252)</f>
        <v/>
      </c>
      <c r="AL252" s="469" t="str">
        <f>IF($AC$252="","",IFERROR(INDEX($BB$74:$BB$119,MATCH($AH$252,$AY$74:$AY$119,0)),$AH$252))</f>
        <v/>
      </c>
      <c r="AM252" s="471" t="str">
        <f t="shared" ref="AM252:AM286" si="67">IF($AC252="","",IF($AH252="QT. SUFFISANTE","OK",IF($AG252="","TEXTE",IF(NOT(ISNUMBER($AG252)),"QUANTITÉ À CONTRÔLER",IF(COUNTIF($AY$74:$AY$119,$AH252)=0,"UNITÉ À CONTRÔLER","OK")))))</f>
        <v>TEXTE</v>
      </c>
      <c r="AN252" s="474" t="str">
        <f t="shared" ref="AN252:AN286" si="68">IF($AE252&lt;&gt;"",$AE252,IF($AD252="","",IF(ISNUMBER($AD252),$AD252,IF($AO252="QT",0,IF($AO252="","",IFERROR(IF(ISNUMBER(SEARCH("/",$AO252)),VALUE(TRIM(LEFT($AO252,SEARCH("/",$AO252)-1)))/VALUE(TRIM(MID($AO252,SEARCH("/",$AO252)+1,99))),VALUE(SUBSTITUTE($AO252,".",","))),""))))))</f>
        <v/>
      </c>
      <c r="AO252" s="473" t="str">
        <f t="shared" ref="AO252:AO286" si="69">IF($AD252="","",IF(ISNUMBER($AD252),$AD252,IF(OR(LEFT($AQ252,3)="QT.",LEFT($AQ252,4)="QUAN"),"QT",IF($AR252=999,$AQ252,TRIM(LEFT($AQ252,$AR252-1))))))</f>
        <v/>
      </c>
      <c r="AP252" s="473" t="str">
        <f t="shared" ref="AP252:AP286" si="70">IF($AD252="","",IF(ISNUMBER($AD252),"",IF(OR(LEFT($AQ252,3)="QT.",LEFT($AQ252,4)="QUAN"),"QT. SUFFISANTE",IF($AO252="","",TRIM(MID($AQ252,LEN($AO252&amp;"")+1,999))))))</f>
        <v/>
      </c>
      <c r="AQ252" s="473" t="str">
        <f t="shared" ref="AQ252:AQ286" si="71">IF($AD252="","",UPPER(TRIM(SUBSTITUTE(SUBSTITUTE($AD252&amp;"",CHAR(160)," ")," "," "))))</f>
        <v/>
      </c>
      <c r="AR252" s="473" t="str">
        <f t="shared" ref="AR252:AR286" si="72">IF($AQ252="","",MIN($AS252,$AT252,$AU252))</f>
        <v/>
      </c>
      <c r="AS252" s="473" t="str">
        <f t="shared" ref="AS252:AS286" si="73">IF($AQ252="","",MIN(IFERROR(SEARCH("A",$AQ252),999),IFERROR(SEARCH("B",$AQ252),999),IFERROR(SEARCH("C",$AQ252),999),IFERROR(SEARCH("D",$AQ252),999),IFERROR(SEARCH("E",$AQ252),999),IFERROR(SEARCH("F",$AQ252),999),IFERROR(SEARCH("G",$AQ252),999),IFERROR(SEARCH("H",$AQ252),999),IFERROR(SEARCH("I",$AQ252),999)))</f>
        <v/>
      </c>
      <c r="AT252" s="473" t="str">
        <f t="shared" ref="AT252:AT286" si="74">IF($AQ252="","",MIN(IFERROR(SEARCH("J",$AQ252),999),IFERROR(SEARCH("K",$AQ252),999),IFERROR(SEARCH("L",$AQ252),999),IFERROR(SEARCH("M",$AQ252),999),IFERROR(SEARCH("N",$AQ252),999),IFERROR(SEARCH("O",$AQ252),999),IFERROR(SEARCH("P",$AQ252),999),IFERROR(SEARCH("Q",$AQ252),999),IFERROR(SEARCH("R",$AQ252),999)))</f>
        <v/>
      </c>
      <c r="AU252" s="473" t="str">
        <f t="shared" ref="AU252:AU286" si="75">IF($AQ252="","",MIN(IFERROR(SEARCH("S",$AQ252),999),IFERROR(SEARCH("T",$AQ252),999),IFERROR(SEARCH("U",$AQ252),999),IFERROR(SEARCH("V",$AQ252),999),IFERROR(SEARCH("W",$AQ252),999),IFERROR(SEARCH("X",$AQ252),999),IFERROR(SEARCH("Y",$AQ252),999),IFERROR(SEARCH("Z",$AQ252),999)))</f>
        <v/>
      </c>
      <c r="AZ252" s="32" t="s">
        <v>8143</v>
      </c>
      <c r="BA252" s="34" t="s">
        <v>468</v>
      </c>
      <c r="BB252" s="499"/>
      <c r="BC252" s="271"/>
      <c r="BD252" s="279">
        <v>1</v>
      </c>
      <c r="BE252" s="271"/>
      <c r="BF252" s="271"/>
      <c r="BG252" s="271"/>
      <c r="BH252" s="271"/>
      <c r="BI252" s="271"/>
      <c r="BJ252" s="271"/>
      <c r="BK252" s="271"/>
      <c r="BL252" s="271"/>
    </row>
    <row r="253" spans="18:64" ht="21" customHeight="1" x14ac:dyDescent="0.25">
      <c r="R253" s="34" t="s">
        <v>497</v>
      </c>
      <c r="S253" s="451"/>
      <c r="T253" s="32" t="s">
        <v>305</v>
      </c>
      <c r="V253" s="475">
        <f>$V$252</f>
        <v>6</v>
      </c>
      <c r="W253" s="475" t="str">
        <f>IF($AC$253="","",$W$252)</f>
        <v/>
      </c>
      <c r="X253" s="476" t="str">
        <f>IF($AC$253="","",$X$252)</f>
        <v/>
      </c>
      <c r="Y253" s="477" t="str">
        <f>IF($X$253="","",$Y$252)</f>
        <v/>
      </c>
      <c r="Z253" s="477" t="str">
        <f>IF($X$253="","",$Z$252)</f>
        <v/>
      </c>
      <c r="AA253" s="477" t="str">
        <f>IF($AC$253="","",ROW($A$253)-ROW($A$252))</f>
        <v/>
      </c>
      <c r="AB253" s="478"/>
      <c r="AC253" s="34"/>
      <c r="AD253" s="356"/>
      <c r="AE253" s="479"/>
      <c r="AF253" s="475"/>
      <c r="AG253" s="480" t="str">
        <f t="shared" si="64"/>
        <v/>
      </c>
      <c r="AH253" s="481" t="str">
        <f t="shared" si="65"/>
        <v/>
      </c>
      <c r="AI253" s="477" t="str">
        <f>IF($AC$253="","",IFERROR(INDEX($AZ$74:$AZ$119,MATCH($AH$253,$AY$74:$AY$119,0)),"AUTRE"))</f>
        <v/>
      </c>
      <c r="AJ253" s="482" t="str">
        <f>IF($AC$253="","",IFERROR(INDEX($BA$74:$BA$119,MATCH($AH$253,$AY$74:$AY$119,0)),1))</f>
        <v/>
      </c>
      <c r="AK253" s="482" t="str">
        <f t="shared" si="66"/>
        <v/>
      </c>
      <c r="AL253" s="477" t="str">
        <f>IF($AC$253="","",IFERROR(INDEX($BB$74:$BB$119,MATCH($AH$253,$AY$74:$AY$119,0)),$AH$253))</f>
        <v/>
      </c>
      <c r="AM253" s="483" t="str">
        <f t="shared" si="67"/>
        <v/>
      </c>
      <c r="AN253" s="484" t="str">
        <f t="shared" si="68"/>
        <v/>
      </c>
      <c r="AO253" s="473" t="str">
        <f t="shared" si="69"/>
        <v/>
      </c>
      <c r="AP253" s="473" t="str">
        <f t="shared" si="70"/>
        <v/>
      </c>
      <c r="AQ253" s="473" t="str">
        <f t="shared" si="71"/>
        <v/>
      </c>
      <c r="AR253" s="473" t="str">
        <f t="shared" si="72"/>
        <v/>
      </c>
      <c r="AS253" s="473" t="str">
        <f t="shared" si="73"/>
        <v/>
      </c>
      <c r="AT253" s="473" t="str">
        <f t="shared" si="74"/>
        <v/>
      </c>
      <c r="AU253" s="473" t="str">
        <f t="shared" si="75"/>
        <v/>
      </c>
      <c r="AZ253" s="497" t="s">
        <v>8145</v>
      </c>
      <c r="BA253" s="34" t="s">
        <v>473</v>
      </c>
      <c r="BB253" s="499"/>
      <c r="BC253" s="271"/>
      <c r="BD253" s="279">
        <v>1</v>
      </c>
      <c r="BE253" s="271"/>
      <c r="BF253" s="271"/>
      <c r="BG253" s="271"/>
      <c r="BH253" s="271"/>
      <c r="BI253" s="271"/>
      <c r="BJ253" s="271"/>
      <c r="BK253" s="271"/>
      <c r="BL253" s="271"/>
    </row>
    <row r="254" spans="18:64" ht="21" customHeight="1" x14ac:dyDescent="0.25">
      <c r="R254" s="34" t="s">
        <v>470</v>
      </c>
      <c r="S254" s="451"/>
      <c r="T254" s="32" t="s">
        <v>309</v>
      </c>
      <c r="V254" s="475">
        <v>6</v>
      </c>
      <c r="W254" s="475" t="str">
        <f>IF($AC$254="","",$W$252)</f>
        <v/>
      </c>
      <c r="X254" s="476" t="str">
        <f>IF($AC$254="","",$X$252)</f>
        <v/>
      </c>
      <c r="Y254" s="477" t="str">
        <f>IF($X$254="","",$Y$252)</f>
        <v/>
      </c>
      <c r="Z254" s="477" t="str">
        <f>IF($X$254="","",$Z$252)</f>
        <v/>
      </c>
      <c r="AA254" s="477" t="str">
        <f>IF($AC$254="","",ROW($A$254)-ROW($A$252))</f>
        <v/>
      </c>
      <c r="AB254" s="478"/>
      <c r="AC254" s="34"/>
      <c r="AD254" s="356"/>
      <c r="AE254" s="479"/>
      <c r="AF254" s="475"/>
      <c r="AG254" s="480" t="str">
        <f t="shared" si="64"/>
        <v/>
      </c>
      <c r="AH254" s="481" t="str">
        <f t="shared" si="65"/>
        <v/>
      </c>
      <c r="AI254" s="477" t="str">
        <f>IF($AC$254="","",IFERROR(INDEX($AZ$74:$AZ$119,MATCH($AH$254,$AY$74:$AY$119,0)),"AUTRE"))</f>
        <v/>
      </c>
      <c r="AJ254" s="482" t="str">
        <f>IF($AC$254="","",IFERROR(INDEX($BA$74:$BA$119,MATCH($AH$254,$AY$74:$AY$119,0)),1))</f>
        <v/>
      </c>
      <c r="AK254" s="482" t="str">
        <f t="shared" si="66"/>
        <v/>
      </c>
      <c r="AL254" s="477" t="str">
        <f>IF($AC$254="","",IFERROR(INDEX($BB$74:$BB$119,MATCH($AH$254,$AY$74:$AY$119,0)),$AH$254))</f>
        <v/>
      </c>
      <c r="AM254" s="483" t="str">
        <f t="shared" si="67"/>
        <v/>
      </c>
      <c r="AN254" s="484" t="str">
        <f t="shared" si="68"/>
        <v/>
      </c>
      <c r="AO254" s="473" t="str">
        <f t="shared" si="69"/>
        <v/>
      </c>
      <c r="AP254" s="473" t="str">
        <f t="shared" si="70"/>
        <v/>
      </c>
      <c r="AQ254" s="473" t="str">
        <f t="shared" si="71"/>
        <v/>
      </c>
      <c r="AR254" s="473" t="str">
        <f t="shared" si="72"/>
        <v/>
      </c>
      <c r="AS254" s="473" t="str">
        <f t="shared" si="73"/>
        <v/>
      </c>
      <c r="AT254" s="473" t="str">
        <f t="shared" si="74"/>
        <v/>
      </c>
      <c r="AU254" s="473" t="str">
        <f t="shared" si="75"/>
        <v/>
      </c>
      <c r="AZ254" s="497" t="s">
        <v>462</v>
      </c>
      <c r="BA254" s="34" t="s">
        <v>497</v>
      </c>
      <c r="BB254" s="499"/>
      <c r="BC254" s="271"/>
      <c r="BD254" s="279">
        <v>1</v>
      </c>
      <c r="BE254" s="271"/>
      <c r="BF254" s="271"/>
      <c r="BG254" s="271"/>
      <c r="BH254" s="271"/>
      <c r="BI254" s="271"/>
      <c r="BJ254" s="271"/>
      <c r="BK254" s="271"/>
      <c r="BL254" s="271"/>
    </row>
    <row r="255" spans="18:64" ht="21" customHeight="1" x14ac:dyDescent="0.25">
      <c r="R255" s="34" t="s">
        <v>477</v>
      </c>
      <c r="S255" s="451"/>
      <c r="T255" s="32" t="s">
        <v>311</v>
      </c>
      <c r="V255" s="475">
        <v>6</v>
      </c>
      <c r="W255" s="475" t="str">
        <f>IF($AC$255="","",$W$252)</f>
        <v/>
      </c>
      <c r="X255" s="476" t="str">
        <f>IF($AC$255="","",$X$252)</f>
        <v/>
      </c>
      <c r="Y255" s="477" t="str">
        <f>IF($X$255="","",$Y$252)</f>
        <v/>
      </c>
      <c r="Z255" s="477" t="str">
        <f>IF($X$255="","",$Z$252)</f>
        <v/>
      </c>
      <c r="AA255" s="477" t="str">
        <f>IF($AC$255="","",ROW($A$255)-ROW($A$252))</f>
        <v/>
      </c>
      <c r="AB255" s="478"/>
      <c r="AC255" s="34"/>
      <c r="AD255" s="356"/>
      <c r="AE255" s="479"/>
      <c r="AF255" s="475"/>
      <c r="AG255" s="480" t="str">
        <f t="shared" si="64"/>
        <v/>
      </c>
      <c r="AH255" s="481" t="str">
        <f t="shared" si="65"/>
        <v/>
      </c>
      <c r="AI255" s="477" t="str">
        <f>IF($AC$255="","",IFERROR(INDEX($AZ$74:$AZ$119,MATCH($AH$255,$AY$74:$AY$119,0)),"AUTRE"))</f>
        <v/>
      </c>
      <c r="AJ255" s="482" t="str">
        <f>IF($AC$255="","",IFERROR(INDEX($BA$74:$BA$119,MATCH($AH$255,$AY$74:$AY$119,0)),1))</f>
        <v/>
      </c>
      <c r="AK255" s="482" t="str">
        <f t="shared" si="66"/>
        <v/>
      </c>
      <c r="AL255" s="477" t="str">
        <f>IF($AC$255="","",IFERROR(INDEX($BB$74:$BB$119,MATCH($AH$255,$AY$74:$AY$119,0)),$AH$255))</f>
        <v/>
      </c>
      <c r="AM255" s="483" t="str">
        <f t="shared" si="67"/>
        <v/>
      </c>
      <c r="AN255" s="484" t="str">
        <f t="shared" si="68"/>
        <v/>
      </c>
      <c r="AO255" s="473" t="str">
        <f t="shared" si="69"/>
        <v/>
      </c>
      <c r="AP255" s="473" t="str">
        <f t="shared" si="70"/>
        <v/>
      </c>
      <c r="AQ255" s="473" t="str">
        <f t="shared" si="71"/>
        <v/>
      </c>
      <c r="AR255" s="473" t="str">
        <f t="shared" si="72"/>
        <v/>
      </c>
      <c r="AS255" s="473" t="str">
        <f t="shared" si="73"/>
        <v/>
      </c>
      <c r="AT255" s="473" t="str">
        <f t="shared" si="74"/>
        <v/>
      </c>
      <c r="AU255" s="473" t="str">
        <f t="shared" si="75"/>
        <v/>
      </c>
      <c r="AZ255" s="497" t="s">
        <v>463</v>
      </c>
      <c r="BA255" s="34" t="s">
        <v>470</v>
      </c>
      <c r="BB255" s="499"/>
      <c r="BC255" s="271"/>
      <c r="BD255" s="279">
        <v>1</v>
      </c>
      <c r="BE255" s="271"/>
      <c r="BF255" s="271"/>
      <c r="BG255" s="271"/>
      <c r="BH255" s="271"/>
      <c r="BI255" s="271"/>
      <c r="BJ255" s="271"/>
      <c r="BK255" s="271"/>
      <c r="BL255" s="271"/>
    </row>
    <row r="256" spans="18:64" ht="21" customHeight="1" x14ac:dyDescent="0.25">
      <c r="S256" s="451"/>
      <c r="T256" s="32" t="s">
        <v>8135</v>
      </c>
      <c r="V256" s="475">
        <v>6</v>
      </c>
      <c r="W256" s="475" t="str">
        <f>IF($AC$256="","",$W$252)</f>
        <v/>
      </c>
      <c r="X256" s="476" t="str">
        <f>IF($AC$256="","",$X$252)</f>
        <v/>
      </c>
      <c r="Y256" s="477" t="str">
        <f>IF($X$256="","",$Y$252)</f>
        <v/>
      </c>
      <c r="Z256" s="477" t="str">
        <f>IF($X$256="","",$Z$252)</f>
        <v/>
      </c>
      <c r="AA256" s="477" t="str">
        <f>IF($AC$256="","",ROW($A$256)-ROW($A$252))</f>
        <v/>
      </c>
      <c r="AB256" s="478"/>
      <c r="AC256" s="34"/>
      <c r="AD256" s="356"/>
      <c r="AE256" s="479"/>
      <c r="AF256" s="475"/>
      <c r="AG256" s="480" t="str">
        <f t="shared" si="64"/>
        <v/>
      </c>
      <c r="AH256" s="481" t="str">
        <f t="shared" si="65"/>
        <v/>
      </c>
      <c r="AI256" s="477" t="str">
        <f>IF($AC$256="","",IFERROR(INDEX($AZ$74:$AZ$119,MATCH($AH$256,$AY$74:$AY$119,0)),"AUTRE"))</f>
        <v/>
      </c>
      <c r="AJ256" s="482" t="str">
        <f>IF($AC$256="","",IFERROR(INDEX($BA$74:$BA$119,MATCH($AH$256,$AY$74:$AY$119,0)),1))</f>
        <v/>
      </c>
      <c r="AK256" s="482" t="str">
        <f t="shared" si="66"/>
        <v/>
      </c>
      <c r="AL256" s="477" t="str">
        <f>IF($AC$256="","",IFERROR(INDEX($BB$74:$BB$119,MATCH($AH$256,$AY$74:$AY$119,0)),$AH$256))</f>
        <v/>
      </c>
      <c r="AM256" s="483" t="str">
        <f t="shared" si="67"/>
        <v/>
      </c>
      <c r="AN256" s="484" t="str">
        <f t="shared" si="68"/>
        <v/>
      </c>
      <c r="AO256" s="473" t="str">
        <f t="shared" si="69"/>
        <v/>
      </c>
      <c r="AP256" s="473" t="str">
        <f t="shared" si="70"/>
        <v/>
      </c>
      <c r="AQ256" s="473" t="str">
        <f t="shared" si="71"/>
        <v/>
      </c>
      <c r="AR256" s="473" t="str">
        <f t="shared" si="72"/>
        <v/>
      </c>
      <c r="AS256" s="473" t="str">
        <f t="shared" si="73"/>
        <v/>
      </c>
      <c r="AT256" s="473" t="str">
        <f t="shared" si="74"/>
        <v/>
      </c>
      <c r="AU256" s="473" t="str">
        <f t="shared" si="75"/>
        <v/>
      </c>
      <c r="AZ256" s="497" t="s">
        <v>8147</v>
      </c>
      <c r="BA256" s="34" t="s">
        <v>477</v>
      </c>
      <c r="BB256" s="499"/>
      <c r="BC256" s="271"/>
      <c r="BD256" s="279">
        <v>1</v>
      </c>
      <c r="BE256" s="271"/>
      <c r="BF256" s="271"/>
      <c r="BG256" s="271"/>
      <c r="BH256" s="271"/>
      <c r="BI256" s="271"/>
      <c r="BJ256" s="271"/>
      <c r="BK256" s="271"/>
      <c r="BL256" s="271"/>
    </row>
    <row r="257" spans="18:64" ht="21" customHeight="1" x14ac:dyDescent="0.25">
      <c r="R257" s="25" t="s">
        <v>6134</v>
      </c>
      <c r="S257" s="451"/>
      <c r="T257" s="497" t="s">
        <v>462</v>
      </c>
      <c r="V257" s="475">
        <v>6</v>
      </c>
      <c r="W257" s="475" t="str">
        <f>IF($AC$257="","",$W$252)</f>
        <v/>
      </c>
      <c r="X257" s="476" t="str">
        <f>IF($AC$257="","",$X$252)</f>
        <v/>
      </c>
      <c r="Y257" s="477" t="str">
        <f>IF($X$257="","",$Y$252)</f>
        <v/>
      </c>
      <c r="Z257" s="477" t="str">
        <f>IF($X$257="","",$Z$252)</f>
        <v/>
      </c>
      <c r="AA257" s="477" t="str">
        <f>IF($AC$257="","",ROW($A$257)-ROW($A$252))</f>
        <v/>
      </c>
      <c r="AB257" s="478"/>
      <c r="AC257" s="34"/>
      <c r="AD257" s="356"/>
      <c r="AE257" s="479"/>
      <c r="AF257" s="475"/>
      <c r="AG257" s="480" t="str">
        <f t="shared" si="64"/>
        <v/>
      </c>
      <c r="AH257" s="481" t="str">
        <f t="shared" si="65"/>
        <v/>
      </c>
      <c r="AI257" s="477" t="str">
        <f>IF($AC$257="","",IFERROR(INDEX($AZ$74:$AZ$119,MATCH($AH$257,$AY$74:$AY$119,0)),"AUTRE"))</f>
        <v/>
      </c>
      <c r="AJ257" s="482" t="str">
        <f>IF($AC$257="","",IFERROR(INDEX($BA$74:$BA$119,MATCH($AH$257,$AY$74:$AY$119,0)),1))</f>
        <v/>
      </c>
      <c r="AK257" s="482" t="str">
        <f t="shared" si="66"/>
        <v/>
      </c>
      <c r="AL257" s="477" t="str">
        <f>IF($AC$257="","",IFERROR(INDEX($BB$74:$BB$119,MATCH($AH$257,$AY$74:$AY$119,0)),$AH$257))</f>
        <v/>
      </c>
      <c r="AM257" s="483" t="str">
        <f t="shared" si="67"/>
        <v/>
      </c>
      <c r="AN257" s="484" t="str">
        <f t="shared" si="68"/>
        <v/>
      </c>
      <c r="AO257" s="473" t="str">
        <f t="shared" si="69"/>
        <v/>
      </c>
      <c r="AP257" s="473" t="str">
        <f t="shared" si="70"/>
        <v/>
      </c>
      <c r="AQ257" s="473" t="str">
        <f t="shared" si="71"/>
        <v/>
      </c>
      <c r="AR257" s="473" t="str">
        <f t="shared" si="72"/>
        <v/>
      </c>
      <c r="AS257" s="473" t="str">
        <f t="shared" si="73"/>
        <v/>
      </c>
      <c r="AT257" s="473" t="str">
        <f t="shared" si="74"/>
        <v/>
      </c>
      <c r="AU257" s="473" t="str">
        <f t="shared" si="75"/>
        <v/>
      </c>
      <c r="AZ257" s="497" t="s">
        <v>465</v>
      </c>
      <c r="BB257" s="499"/>
      <c r="BC257" s="271"/>
      <c r="BD257" s="279">
        <v>1</v>
      </c>
      <c r="BE257" s="271"/>
      <c r="BF257" s="271"/>
      <c r="BG257" s="271"/>
      <c r="BH257" s="271"/>
      <c r="BI257" s="271"/>
      <c r="BJ257" s="271"/>
      <c r="BK257" s="271"/>
      <c r="BL257" s="271"/>
    </row>
    <row r="258" spans="18:64" ht="21" customHeight="1" x14ac:dyDescent="0.25">
      <c r="R258" s="34" t="s">
        <v>481</v>
      </c>
      <c r="S258" s="451"/>
      <c r="T258" s="497" t="s">
        <v>463</v>
      </c>
      <c r="V258" s="475">
        <v>6</v>
      </c>
      <c r="W258" s="475" t="str">
        <f>IF($AC$258="","",$W$252)</f>
        <v/>
      </c>
      <c r="X258" s="476" t="str">
        <f>IF($AC$258="","",$X$252)</f>
        <v/>
      </c>
      <c r="Y258" s="477" t="str">
        <f>IF($X$258="","",$Y$252)</f>
        <v/>
      </c>
      <c r="Z258" s="477" t="str">
        <f>IF($X$258="","",$Z$252)</f>
        <v/>
      </c>
      <c r="AA258" s="477" t="str">
        <f>IF($AC$258="","",ROW($A$258)-ROW($A$252))</f>
        <v/>
      </c>
      <c r="AB258" s="478"/>
      <c r="AC258" s="34"/>
      <c r="AD258" s="356"/>
      <c r="AE258" s="479"/>
      <c r="AF258" s="475"/>
      <c r="AG258" s="480" t="str">
        <f t="shared" si="64"/>
        <v/>
      </c>
      <c r="AH258" s="481" t="str">
        <f t="shared" si="65"/>
        <v/>
      </c>
      <c r="AI258" s="477" t="str">
        <f>IF($AC$258="","",IFERROR(INDEX($AZ$74:$AZ$119,MATCH($AH$258,$AY$74:$AY$119,0)),"AUTRE"))</f>
        <v/>
      </c>
      <c r="AJ258" s="482" t="str">
        <f>IF($AC$258="","",IFERROR(INDEX($BA$74:$BA$119,MATCH($AH$258,$AY$74:$AY$119,0)),1))</f>
        <v/>
      </c>
      <c r="AK258" s="482" t="str">
        <f t="shared" si="66"/>
        <v/>
      </c>
      <c r="AL258" s="477" t="str">
        <f>IF($AC$258="","",IFERROR(INDEX($BB$74:$BB$119,MATCH($AH$258,$AY$74:$AY$119,0)),$AH$258))</f>
        <v/>
      </c>
      <c r="AM258" s="483" t="str">
        <f t="shared" si="67"/>
        <v/>
      </c>
      <c r="AN258" s="484" t="str">
        <f t="shared" si="68"/>
        <v/>
      </c>
      <c r="AO258" s="473" t="str">
        <f t="shared" si="69"/>
        <v/>
      </c>
      <c r="AP258" s="473" t="str">
        <f t="shared" si="70"/>
        <v/>
      </c>
      <c r="AQ258" s="473" t="str">
        <f t="shared" si="71"/>
        <v/>
      </c>
      <c r="AR258" s="473" t="str">
        <f t="shared" si="72"/>
        <v/>
      </c>
      <c r="AS258" s="473" t="str">
        <f t="shared" si="73"/>
        <v/>
      </c>
      <c r="AT258" s="473" t="str">
        <f t="shared" si="74"/>
        <v/>
      </c>
      <c r="AU258" s="473" t="str">
        <f t="shared" si="75"/>
        <v/>
      </c>
      <c r="AZ258" s="497" t="s">
        <v>466</v>
      </c>
      <c r="BA258" s="25" t="s">
        <v>6134</v>
      </c>
      <c r="BB258" s="499"/>
      <c r="BC258" s="271"/>
      <c r="BD258" s="279">
        <v>1</v>
      </c>
      <c r="BE258" s="271"/>
      <c r="BF258" s="271"/>
      <c r="BG258" s="271"/>
      <c r="BH258" s="271"/>
      <c r="BI258" s="271"/>
      <c r="BJ258" s="271"/>
      <c r="BK258" s="271"/>
      <c r="BL258" s="271"/>
    </row>
    <row r="259" spans="18:64" ht="21" customHeight="1" x14ac:dyDescent="0.25">
      <c r="R259" s="34" t="s">
        <v>475</v>
      </c>
      <c r="S259" s="451"/>
      <c r="T259" s="497" t="s">
        <v>8147</v>
      </c>
      <c r="V259" s="475">
        <v>6</v>
      </c>
      <c r="W259" s="475" t="str">
        <f>IF($AC$259="","",$W$252)</f>
        <v/>
      </c>
      <c r="X259" s="476" t="str">
        <f>IF($AC$259="","",$X$252)</f>
        <v/>
      </c>
      <c r="Y259" s="477" t="str">
        <f>IF($X$259="","",$Y$252)</f>
        <v/>
      </c>
      <c r="Z259" s="477" t="str">
        <f>IF($X$259="","",$Z$252)</f>
        <v/>
      </c>
      <c r="AA259" s="477" t="str">
        <f>IF($AC$259="","",ROW($A$259)-ROW($A$252))</f>
        <v/>
      </c>
      <c r="AB259" s="478"/>
      <c r="AC259" s="34"/>
      <c r="AD259" s="356"/>
      <c r="AE259" s="479"/>
      <c r="AF259" s="475"/>
      <c r="AG259" s="480" t="str">
        <f t="shared" si="64"/>
        <v/>
      </c>
      <c r="AH259" s="481" t="str">
        <f t="shared" si="65"/>
        <v/>
      </c>
      <c r="AI259" s="477" t="str">
        <f>IF($AC$259="","",IFERROR(INDEX($AZ$74:$AZ$119,MATCH($AH$259,$AY$74:$AY$119,0)),"AUTRE"))</f>
        <v/>
      </c>
      <c r="AJ259" s="482" t="str">
        <f>IF($AC$259="","",IFERROR(INDEX($BA$74:$BA$119,MATCH($AH$259,$AY$74:$AY$119,0)),1))</f>
        <v/>
      </c>
      <c r="AK259" s="482" t="str">
        <f t="shared" si="66"/>
        <v/>
      </c>
      <c r="AL259" s="477" t="str">
        <f>IF($AC$259="","",IFERROR(INDEX($BB$74:$BB$119,MATCH($AH$259,$AY$74:$AY$119,0)),$AH$259))</f>
        <v/>
      </c>
      <c r="AM259" s="483" t="str">
        <f t="shared" si="67"/>
        <v/>
      </c>
      <c r="AN259" s="484" t="str">
        <f t="shared" si="68"/>
        <v/>
      </c>
      <c r="AO259" s="473" t="str">
        <f t="shared" si="69"/>
        <v/>
      </c>
      <c r="AP259" s="473" t="str">
        <f t="shared" si="70"/>
        <v/>
      </c>
      <c r="AQ259" s="473" t="str">
        <f t="shared" si="71"/>
        <v/>
      </c>
      <c r="AR259" s="473" t="str">
        <f t="shared" si="72"/>
        <v/>
      </c>
      <c r="AS259" s="473" t="str">
        <f t="shared" si="73"/>
        <v/>
      </c>
      <c r="AT259" s="473" t="str">
        <f t="shared" si="74"/>
        <v/>
      </c>
      <c r="AU259" s="473" t="str">
        <f t="shared" si="75"/>
        <v/>
      </c>
      <c r="AZ259" s="14" t="s">
        <v>7</v>
      </c>
      <c r="BA259" s="34" t="s">
        <v>481</v>
      </c>
      <c r="BB259" s="499"/>
      <c r="BC259" s="271"/>
      <c r="BD259" s="279">
        <v>1</v>
      </c>
      <c r="BE259" s="271"/>
      <c r="BF259" s="271"/>
      <c r="BG259" s="271"/>
      <c r="BH259" s="271"/>
      <c r="BI259" s="271"/>
      <c r="BJ259" s="271"/>
      <c r="BK259" s="271"/>
      <c r="BL259" s="271"/>
    </row>
    <row r="260" spans="18:64" ht="21" customHeight="1" x14ac:dyDescent="0.25">
      <c r="R260" s="34" t="s">
        <v>457</v>
      </c>
      <c r="S260" s="451"/>
      <c r="T260" s="497" t="s">
        <v>465</v>
      </c>
      <c r="V260" s="475">
        <v>6</v>
      </c>
      <c r="W260" s="475" t="str">
        <f>IF($AC$260="","",$W$252)</f>
        <v/>
      </c>
      <c r="X260" s="476" t="str">
        <f>IF($AC$260="","",$X$252)</f>
        <v/>
      </c>
      <c r="Y260" s="477" t="str">
        <f>IF($X$260="","",$Y$252)</f>
        <v/>
      </c>
      <c r="Z260" s="477" t="str">
        <f>IF($X$260="","",$Z$252)</f>
        <v/>
      </c>
      <c r="AA260" s="477" t="str">
        <f>IF($AC$260="","",ROW($A$260)-ROW($A$252))</f>
        <v/>
      </c>
      <c r="AB260" s="478"/>
      <c r="AC260" s="34"/>
      <c r="AD260" s="356"/>
      <c r="AE260" s="479"/>
      <c r="AF260" s="475"/>
      <c r="AG260" s="480" t="str">
        <f t="shared" si="64"/>
        <v/>
      </c>
      <c r="AH260" s="481" t="str">
        <f t="shared" si="65"/>
        <v/>
      </c>
      <c r="AI260" s="477" t="str">
        <f>IF($AC$260="","",IFERROR(INDEX($AZ$74:$AZ$119,MATCH($AH$260,$AY$74:$AY$119,0)),"AUTRE"))</f>
        <v/>
      </c>
      <c r="AJ260" s="482" t="str">
        <f>IF($AC$260="","",IFERROR(INDEX($BA$74:$BA$119,MATCH($AH$260,$AY$74:$AY$119,0)),1))</f>
        <v/>
      </c>
      <c r="AK260" s="482" t="str">
        <f t="shared" si="66"/>
        <v/>
      </c>
      <c r="AL260" s="477" t="str">
        <f>IF($AC$260="","",IFERROR(INDEX($BB$74:$BB$119,MATCH($AH$260,$AY$74:$AY$119,0)),$AH$260))</f>
        <v/>
      </c>
      <c r="AM260" s="483" t="str">
        <f t="shared" si="67"/>
        <v/>
      </c>
      <c r="AN260" s="484" t="str">
        <f t="shared" si="68"/>
        <v/>
      </c>
      <c r="AO260" s="473" t="str">
        <f t="shared" si="69"/>
        <v/>
      </c>
      <c r="AP260" s="473" t="str">
        <f t="shared" si="70"/>
        <v/>
      </c>
      <c r="AQ260" s="473" t="str">
        <f t="shared" si="71"/>
        <v/>
      </c>
      <c r="AR260" s="473" t="str">
        <f t="shared" si="72"/>
        <v/>
      </c>
      <c r="AS260" s="473" t="str">
        <f t="shared" si="73"/>
        <v/>
      </c>
      <c r="AT260" s="473" t="str">
        <f t="shared" si="74"/>
        <v/>
      </c>
      <c r="AU260" s="473" t="str">
        <f t="shared" si="75"/>
        <v/>
      </c>
      <c r="AZ260" s="27" t="s">
        <v>8</v>
      </c>
      <c r="BA260" s="34" t="s">
        <v>475</v>
      </c>
      <c r="BB260" s="499"/>
      <c r="BC260" s="271"/>
      <c r="BD260" s="279">
        <v>1</v>
      </c>
      <c r="BE260" s="271"/>
      <c r="BF260" s="271"/>
      <c r="BG260" s="271"/>
      <c r="BH260" s="271"/>
      <c r="BI260" s="271"/>
      <c r="BJ260" s="271"/>
      <c r="BK260" s="271"/>
      <c r="BL260" s="271"/>
    </row>
    <row r="261" spans="18:64" ht="21" customHeight="1" x14ac:dyDescent="0.25">
      <c r="R261" s="34" t="s">
        <v>482</v>
      </c>
      <c r="S261" s="451"/>
      <c r="T261" s="497" t="s">
        <v>466</v>
      </c>
      <c r="V261" s="475">
        <v>6</v>
      </c>
      <c r="W261" s="475" t="str">
        <f>IF($AC$261="","",$W$252)</f>
        <v/>
      </c>
      <c r="X261" s="476" t="str">
        <f>IF($AC$261="","",$X$252)</f>
        <v/>
      </c>
      <c r="Y261" s="477" t="str">
        <f>IF($X$261="","",$Y$252)</f>
        <v/>
      </c>
      <c r="Z261" s="477" t="str">
        <f>IF($X$261="","",$Z$252)</f>
        <v/>
      </c>
      <c r="AA261" s="477" t="str">
        <f>IF($AC$261="","",ROW($A$261)-ROW($A$252))</f>
        <v/>
      </c>
      <c r="AB261" s="478"/>
      <c r="AC261" s="34"/>
      <c r="AD261" s="356"/>
      <c r="AE261" s="479"/>
      <c r="AF261" s="475"/>
      <c r="AG261" s="480" t="str">
        <f t="shared" si="64"/>
        <v/>
      </c>
      <c r="AH261" s="481" t="str">
        <f t="shared" si="65"/>
        <v/>
      </c>
      <c r="AI261" s="477" t="str">
        <f>IF($AC$261="","",IFERROR(INDEX($AZ$74:$AZ$119,MATCH($AH$261,$AY$74:$AY$119,0)),"AUTRE"))</f>
        <v/>
      </c>
      <c r="AJ261" s="482" t="str">
        <f>IF($AC$261="","",IFERROR(INDEX($BA$74:$BA$119,MATCH($AH$261,$AY$74:$AY$119,0)),1))</f>
        <v/>
      </c>
      <c r="AK261" s="482" t="str">
        <f t="shared" si="66"/>
        <v/>
      </c>
      <c r="AL261" s="477" t="str">
        <f>IF($AC$261="","",IFERROR(INDEX($BB$74:$BB$119,MATCH($AH$261,$AY$74:$AY$119,0)),$AH$261))</f>
        <v/>
      </c>
      <c r="AM261" s="483" t="str">
        <f t="shared" si="67"/>
        <v/>
      </c>
      <c r="AN261" s="484" t="str">
        <f t="shared" si="68"/>
        <v/>
      </c>
      <c r="AO261" s="473" t="str">
        <f t="shared" si="69"/>
        <v/>
      </c>
      <c r="AP261" s="473" t="str">
        <f t="shared" si="70"/>
        <v/>
      </c>
      <c r="AQ261" s="473" t="str">
        <f t="shared" si="71"/>
        <v/>
      </c>
      <c r="AR261" s="473" t="str">
        <f t="shared" si="72"/>
        <v/>
      </c>
      <c r="AS261" s="473" t="str">
        <f t="shared" si="73"/>
        <v/>
      </c>
      <c r="AT261" s="473" t="str">
        <f t="shared" si="74"/>
        <v/>
      </c>
      <c r="AU261" s="473" t="str">
        <f t="shared" si="75"/>
        <v/>
      </c>
      <c r="AZ261" s="28" t="s">
        <v>13</v>
      </c>
      <c r="BA261" s="34" t="s">
        <v>457</v>
      </c>
      <c r="BB261" s="499"/>
      <c r="BC261" s="271"/>
      <c r="BD261" s="279">
        <v>1</v>
      </c>
      <c r="BE261" s="271"/>
      <c r="BF261" s="271"/>
      <c r="BG261" s="271"/>
      <c r="BH261" s="271"/>
      <c r="BI261" s="271"/>
      <c r="BJ261" s="271"/>
      <c r="BK261" s="271"/>
      <c r="BL261" s="271"/>
    </row>
    <row r="262" spans="18:64" ht="21" customHeight="1" x14ac:dyDescent="0.25">
      <c r="R262" s="34" t="s">
        <v>496</v>
      </c>
      <c r="S262" s="451"/>
      <c r="T262" s="440" t="s">
        <v>8110</v>
      </c>
      <c r="V262" s="475">
        <v>6</v>
      </c>
      <c r="W262" s="475" t="str">
        <f>IF($AC$262="","",$W$252)</f>
        <v/>
      </c>
      <c r="X262" s="476" t="str">
        <f>IF($AC$262="","",$X$252)</f>
        <v/>
      </c>
      <c r="Y262" s="477" t="str">
        <f>IF($X$262="","",$Y$252)</f>
        <v/>
      </c>
      <c r="Z262" s="477" t="str">
        <f>IF($X$262="","",$Z$252)</f>
        <v/>
      </c>
      <c r="AA262" s="477" t="str">
        <f>IF($AC$262="","",ROW($A$262)-ROW($A$252))</f>
        <v/>
      </c>
      <c r="AB262" s="478"/>
      <c r="AC262" s="34"/>
      <c r="AD262" s="356"/>
      <c r="AE262" s="479"/>
      <c r="AF262" s="475"/>
      <c r="AG262" s="480" t="str">
        <f t="shared" si="64"/>
        <v/>
      </c>
      <c r="AH262" s="481" t="str">
        <f t="shared" si="65"/>
        <v/>
      </c>
      <c r="AI262" s="477" t="str">
        <f>IF($AC$262="","",IFERROR(INDEX($AZ$74:$AZ$119,MATCH($AH$262,$AY$74:$AY$119,0)),"AUTRE"))</f>
        <v/>
      </c>
      <c r="AJ262" s="482" t="str">
        <f>IF($AC$262="","",IFERROR(INDEX($BA$74:$BA$119,MATCH($AH$262,$AY$74:$AY$119,0)),1))</f>
        <v/>
      </c>
      <c r="AK262" s="482" t="str">
        <f t="shared" si="66"/>
        <v/>
      </c>
      <c r="AL262" s="477" t="str">
        <f>IF($AC$262="","",IFERROR(INDEX($BB$74:$BB$119,MATCH($AH$262,$AY$74:$AY$119,0)),$AH$262))</f>
        <v/>
      </c>
      <c r="AM262" s="483" t="str">
        <f t="shared" si="67"/>
        <v/>
      </c>
      <c r="AN262" s="484" t="str">
        <f t="shared" si="68"/>
        <v/>
      </c>
      <c r="AO262" s="473" t="str">
        <f t="shared" si="69"/>
        <v/>
      </c>
      <c r="AP262" s="473" t="str">
        <f t="shared" si="70"/>
        <v/>
      </c>
      <c r="AQ262" s="473" t="str">
        <f t="shared" si="71"/>
        <v/>
      </c>
      <c r="AR262" s="473" t="str">
        <f t="shared" si="72"/>
        <v/>
      </c>
      <c r="AS262" s="473" t="str">
        <f t="shared" si="73"/>
        <v/>
      </c>
      <c r="AT262" s="473" t="str">
        <f t="shared" si="74"/>
        <v/>
      </c>
      <c r="AU262" s="473" t="str">
        <f t="shared" si="75"/>
        <v/>
      </c>
      <c r="AZ262" s="28" t="s">
        <v>14</v>
      </c>
      <c r="BA262" s="34" t="s">
        <v>482</v>
      </c>
      <c r="BB262" s="499"/>
      <c r="BC262" s="271"/>
      <c r="BD262" s="279">
        <v>1</v>
      </c>
      <c r="BE262" s="271"/>
      <c r="BF262" s="271"/>
      <c r="BG262" s="271"/>
      <c r="BH262" s="271"/>
      <c r="BI262" s="271"/>
      <c r="BJ262" s="271"/>
      <c r="BK262" s="271"/>
      <c r="BL262" s="271"/>
    </row>
    <row r="263" spans="18:64" ht="21" customHeight="1" x14ac:dyDescent="0.25">
      <c r="R263" s="34" t="s">
        <v>483</v>
      </c>
      <c r="S263" s="451"/>
      <c r="T263" s="452" t="s">
        <v>8113</v>
      </c>
      <c r="V263" s="475">
        <v>6</v>
      </c>
      <c r="W263" s="475" t="str">
        <f>IF($AC$263="","",$W$252)</f>
        <v/>
      </c>
      <c r="X263" s="476" t="str">
        <f>IF($AC$263="","",$X$252)</f>
        <v/>
      </c>
      <c r="Y263" s="477" t="str">
        <f>IF($X$263="","",$Y$252)</f>
        <v/>
      </c>
      <c r="Z263" s="477" t="str">
        <f>IF($X$263="","",$Z$252)</f>
        <v/>
      </c>
      <c r="AA263" s="477" t="str">
        <f>IF($AC$263="","",ROW($A$263)-ROW($A$252))</f>
        <v/>
      </c>
      <c r="AB263" s="478"/>
      <c r="AC263" s="34"/>
      <c r="AD263" s="356"/>
      <c r="AE263" s="479"/>
      <c r="AF263" s="475"/>
      <c r="AG263" s="480" t="str">
        <f t="shared" si="64"/>
        <v/>
      </c>
      <c r="AH263" s="481" t="str">
        <f t="shared" si="65"/>
        <v/>
      </c>
      <c r="AI263" s="477" t="str">
        <f>IF($AC$263="","",IFERROR(INDEX($AZ$74:$AZ$119,MATCH($AH$263,$AY$74:$AY$119,0)),"AUTRE"))</f>
        <v/>
      </c>
      <c r="AJ263" s="482" t="str">
        <f>IF($AC$263="","",IFERROR(INDEX($BA$74:$BA$119,MATCH($AH$263,$AY$74:$AY$119,0)),1))</f>
        <v/>
      </c>
      <c r="AK263" s="482" t="str">
        <f t="shared" si="66"/>
        <v/>
      </c>
      <c r="AL263" s="477" t="str">
        <f>IF($AC$263="","",IFERROR(INDEX($BB$74:$BB$119,MATCH($AH$263,$AY$74:$AY$119,0)),$AH$263))</f>
        <v/>
      </c>
      <c r="AM263" s="483" t="str">
        <f t="shared" si="67"/>
        <v/>
      </c>
      <c r="AN263" s="484" t="str">
        <f t="shared" si="68"/>
        <v/>
      </c>
      <c r="AO263" s="473" t="str">
        <f t="shared" si="69"/>
        <v/>
      </c>
      <c r="AP263" s="473" t="str">
        <f t="shared" si="70"/>
        <v/>
      </c>
      <c r="AQ263" s="473" t="str">
        <f t="shared" si="71"/>
        <v/>
      </c>
      <c r="AR263" s="473" t="str">
        <f t="shared" si="72"/>
        <v/>
      </c>
      <c r="AS263" s="473" t="str">
        <f t="shared" si="73"/>
        <v/>
      </c>
      <c r="AT263" s="473" t="str">
        <f t="shared" si="74"/>
        <v/>
      </c>
      <c r="AU263" s="473" t="str">
        <f t="shared" si="75"/>
        <v/>
      </c>
      <c r="AZ263" s="28" t="s">
        <v>15</v>
      </c>
      <c r="BA263" s="34" t="s">
        <v>496</v>
      </c>
      <c r="BB263" s="499"/>
      <c r="BC263" s="271"/>
      <c r="BD263" s="279">
        <v>1</v>
      </c>
      <c r="BE263" s="271"/>
      <c r="BF263" s="271"/>
      <c r="BG263" s="271"/>
      <c r="BH263" s="271"/>
      <c r="BI263" s="271"/>
      <c r="BJ263" s="271"/>
      <c r="BK263" s="271"/>
      <c r="BL263" s="271"/>
    </row>
    <row r="264" spans="18:64" ht="21" customHeight="1" x14ac:dyDescent="0.25">
      <c r="R264" s="34" t="s">
        <v>493</v>
      </c>
      <c r="S264" s="451"/>
      <c r="T264" s="14" t="s">
        <v>7</v>
      </c>
      <c r="V264" s="475">
        <v>6</v>
      </c>
      <c r="W264" s="475" t="str">
        <f>IF($AC$264="","",$W$252)</f>
        <v/>
      </c>
      <c r="X264" s="476" t="str">
        <f>IF($AC$264="","",$X$252)</f>
        <v/>
      </c>
      <c r="Y264" s="477" t="str">
        <f>IF($X$264="","",$Y$252)</f>
        <v/>
      </c>
      <c r="Z264" s="477" t="str">
        <f>IF($X$264="","",$Z$252)</f>
        <v/>
      </c>
      <c r="AA264" s="477" t="str">
        <f>IF($AC$264="","",ROW($A$264)-ROW($A$252))</f>
        <v/>
      </c>
      <c r="AB264" s="478"/>
      <c r="AC264" s="34"/>
      <c r="AD264" s="356"/>
      <c r="AE264" s="479"/>
      <c r="AF264" s="475"/>
      <c r="AG264" s="480" t="str">
        <f t="shared" si="64"/>
        <v/>
      </c>
      <c r="AH264" s="481" t="str">
        <f t="shared" si="65"/>
        <v/>
      </c>
      <c r="AI264" s="477" t="str">
        <f>IF($AC$264="","",IFERROR(INDEX($AZ$74:$AZ$119,MATCH($AH$264,$AY$74:$AY$119,0)),"AUTRE"))</f>
        <v/>
      </c>
      <c r="AJ264" s="482" t="str">
        <f>IF($AC$264="","",IFERROR(INDEX($BA$74:$BA$119,MATCH($AH$264,$AY$74:$AY$119,0)),1))</f>
        <v/>
      </c>
      <c r="AK264" s="482" t="str">
        <f t="shared" si="66"/>
        <v/>
      </c>
      <c r="AL264" s="477" t="str">
        <f>IF($AC$264="","",IFERROR(INDEX($BB$74:$BB$119,MATCH($AH$264,$AY$74:$AY$119,0)),$AH$264))</f>
        <v/>
      </c>
      <c r="AM264" s="483" t="str">
        <f t="shared" si="67"/>
        <v/>
      </c>
      <c r="AN264" s="484" t="str">
        <f t="shared" si="68"/>
        <v/>
      </c>
      <c r="AO264" s="473" t="str">
        <f t="shared" si="69"/>
        <v/>
      </c>
      <c r="AP264" s="473" t="str">
        <f t="shared" si="70"/>
        <v/>
      </c>
      <c r="AQ264" s="473" t="str">
        <f t="shared" si="71"/>
        <v/>
      </c>
      <c r="AR264" s="473" t="str">
        <f t="shared" si="72"/>
        <v/>
      </c>
      <c r="AS264" s="473" t="str">
        <f t="shared" si="73"/>
        <v/>
      </c>
      <c r="AT264" s="473" t="str">
        <f t="shared" si="74"/>
        <v/>
      </c>
      <c r="AU264" s="473" t="str">
        <f t="shared" si="75"/>
        <v/>
      </c>
      <c r="AZ264" s="29" t="s">
        <v>9</v>
      </c>
      <c r="BA264" s="34" t="s">
        <v>483</v>
      </c>
      <c r="BB264" s="499"/>
      <c r="BC264" s="271"/>
      <c r="BD264" s="279">
        <v>1</v>
      </c>
      <c r="BE264" s="271"/>
      <c r="BF264" s="271"/>
      <c r="BG264" s="271"/>
      <c r="BH264" s="271"/>
      <c r="BI264" s="271"/>
      <c r="BJ264" s="271"/>
      <c r="BK264" s="271"/>
      <c r="BL264" s="271"/>
    </row>
    <row r="265" spans="18:64" ht="21" customHeight="1" x14ac:dyDescent="0.25">
      <c r="R265" s="34" t="s">
        <v>494</v>
      </c>
      <c r="S265" s="451"/>
      <c r="T265" s="27" t="s">
        <v>8</v>
      </c>
      <c r="V265" s="475">
        <v>6</v>
      </c>
      <c r="W265" s="475" t="str">
        <f>IF($AC$265="","",$W$252)</f>
        <v/>
      </c>
      <c r="X265" s="476" t="str">
        <f>IF($AC$265="","",$X$252)</f>
        <v/>
      </c>
      <c r="Y265" s="477" t="str">
        <f>IF($X$265="","",$Y$252)</f>
        <v/>
      </c>
      <c r="Z265" s="477" t="str">
        <f>IF($X$265="","",$Z$252)</f>
        <v/>
      </c>
      <c r="AA265" s="477" t="str">
        <f>IF($AC$265="","",ROW($A$265)-ROW($A$252))</f>
        <v/>
      </c>
      <c r="AB265" s="478"/>
      <c r="AC265" s="34"/>
      <c r="AD265" s="356"/>
      <c r="AE265" s="479"/>
      <c r="AF265" s="475"/>
      <c r="AG265" s="480" t="str">
        <f t="shared" si="64"/>
        <v/>
      </c>
      <c r="AH265" s="481" t="str">
        <f t="shared" si="65"/>
        <v/>
      </c>
      <c r="AI265" s="477" t="str">
        <f>IF($AC$265="","",IFERROR(INDEX($AZ$74:$AZ$119,MATCH($AH$265,$AY$74:$AY$119,0)),"AUTRE"))</f>
        <v/>
      </c>
      <c r="AJ265" s="482" t="str">
        <f>IF($AC$265="","",IFERROR(INDEX($BA$74:$BA$119,MATCH($AH$265,$AY$74:$AY$119,0)),1))</f>
        <v/>
      </c>
      <c r="AK265" s="482" t="str">
        <f t="shared" si="66"/>
        <v/>
      </c>
      <c r="AL265" s="477" t="str">
        <f>IF($AC$265="","",IFERROR(INDEX($BB$74:$BB$119,MATCH($AH$265,$AY$74:$AY$119,0)),$AH$265))</f>
        <v/>
      </c>
      <c r="AM265" s="483" t="str">
        <f t="shared" si="67"/>
        <v/>
      </c>
      <c r="AN265" s="484" t="str">
        <f t="shared" si="68"/>
        <v/>
      </c>
      <c r="AO265" s="473" t="str">
        <f t="shared" si="69"/>
        <v/>
      </c>
      <c r="AP265" s="473" t="str">
        <f t="shared" si="70"/>
        <v/>
      </c>
      <c r="AQ265" s="473" t="str">
        <f t="shared" si="71"/>
        <v/>
      </c>
      <c r="AR265" s="473" t="str">
        <f t="shared" si="72"/>
        <v/>
      </c>
      <c r="AS265" s="473" t="str">
        <f t="shared" si="73"/>
        <v/>
      </c>
      <c r="AT265" s="473" t="str">
        <f t="shared" si="74"/>
        <v/>
      </c>
      <c r="AU265" s="473" t="str">
        <f t="shared" si="75"/>
        <v/>
      </c>
      <c r="AZ265" s="30" t="s">
        <v>10</v>
      </c>
      <c r="BA265" s="34" t="s">
        <v>493</v>
      </c>
      <c r="BB265" s="499"/>
      <c r="BC265" s="271"/>
      <c r="BD265" s="279">
        <v>1</v>
      </c>
      <c r="BE265" s="271"/>
      <c r="BF265" s="271"/>
      <c r="BG265" s="271"/>
      <c r="BH265" s="271"/>
      <c r="BI265" s="271"/>
      <c r="BJ265" s="271"/>
      <c r="BK265" s="271"/>
      <c r="BL265" s="271"/>
    </row>
    <row r="266" spans="18:64" ht="21" customHeight="1" x14ac:dyDescent="0.25">
      <c r="S266" s="451"/>
      <c r="T266" s="28" t="s">
        <v>13</v>
      </c>
      <c r="V266" s="475">
        <v>6</v>
      </c>
      <c r="W266" s="475" t="str">
        <f>IF($AC$266="","",$W$252)</f>
        <v/>
      </c>
      <c r="X266" s="476" t="str">
        <f>IF($AC$266="","",$X$252)</f>
        <v/>
      </c>
      <c r="Y266" s="477" t="str">
        <f>IF($X$266="","",$Y$252)</f>
        <v/>
      </c>
      <c r="Z266" s="477" t="str">
        <f>IF($X$266="","",$Z$252)</f>
        <v/>
      </c>
      <c r="AA266" s="477" t="str">
        <f>IF($AC$266="","",ROW($A$266)-ROW($A$252))</f>
        <v/>
      </c>
      <c r="AB266" s="478"/>
      <c r="AC266" s="34"/>
      <c r="AD266" s="356"/>
      <c r="AE266" s="479"/>
      <c r="AF266" s="475"/>
      <c r="AG266" s="480" t="str">
        <f t="shared" si="64"/>
        <v/>
      </c>
      <c r="AH266" s="481" t="str">
        <f t="shared" si="65"/>
        <v/>
      </c>
      <c r="AI266" s="477" t="str">
        <f>IF($AC$266="","",IFERROR(INDEX($AZ$74:$AZ$119,MATCH($AH$266,$AY$74:$AY$119,0)),"AUTRE"))</f>
        <v/>
      </c>
      <c r="AJ266" s="482" t="str">
        <f>IF($AC$266="","",IFERROR(INDEX($BA$74:$BA$119,MATCH($AH$266,$AY$74:$AY$119,0)),1))</f>
        <v/>
      </c>
      <c r="AK266" s="482" t="str">
        <f t="shared" si="66"/>
        <v/>
      </c>
      <c r="AL266" s="477" t="str">
        <f>IF($AC$266="","",IFERROR(INDEX($BB$74:$BB$119,MATCH($AH$266,$AY$74:$AY$119,0)),$AH$266))</f>
        <v/>
      </c>
      <c r="AM266" s="483" t="str">
        <f t="shared" si="67"/>
        <v/>
      </c>
      <c r="AN266" s="484" t="str">
        <f t="shared" si="68"/>
        <v/>
      </c>
      <c r="AO266" s="473" t="str">
        <f t="shared" si="69"/>
        <v/>
      </c>
      <c r="AP266" s="473" t="str">
        <f t="shared" si="70"/>
        <v/>
      </c>
      <c r="AQ266" s="473" t="str">
        <f t="shared" si="71"/>
        <v/>
      </c>
      <c r="AR266" s="473" t="str">
        <f t="shared" si="72"/>
        <v/>
      </c>
      <c r="AS266" s="473" t="str">
        <f t="shared" si="73"/>
        <v/>
      </c>
      <c r="AT266" s="473" t="str">
        <f t="shared" si="74"/>
        <v/>
      </c>
      <c r="AU266" s="473" t="str">
        <f t="shared" si="75"/>
        <v/>
      </c>
      <c r="AZ266" s="30" t="s">
        <v>11</v>
      </c>
      <c r="BA266" s="34" t="s">
        <v>494</v>
      </c>
      <c r="BB266" s="499"/>
      <c r="BC266" s="271"/>
      <c r="BD266" s="279">
        <v>1</v>
      </c>
      <c r="BE266" s="271"/>
      <c r="BF266" s="271"/>
      <c r="BG266" s="271"/>
      <c r="BH266" s="271"/>
      <c r="BI266" s="271"/>
      <c r="BJ266" s="271"/>
      <c r="BK266" s="271"/>
      <c r="BL266" s="271"/>
    </row>
    <row r="267" spans="18:64" ht="21" customHeight="1" x14ac:dyDescent="0.25">
      <c r="R267" s="25" t="s">
        <v>6115</v>
      </c>
      <c r="S267" s="451"/>
      <c r="T267" s="28" t="s">
        <v>14</v>
      </c>
      <c r="V267" s="475">
        <v>6</v>
      </c>
      <c r="W267" s="475" t="str">
        <f>IF($AC$267="","",$W$252)</f>
        <v/>
      </c>
      <c r="X267" s="476" t="str">
        <f>IF($AC$267="","",$X$252)</f>
        <v/>
      </c>
      <c r="Y267" s="477" t="str">
        <f>IF($X$267="","",$Y$252)</f>
        <v/>
      </c>
      <c r="Z267" s="477" t="str">
        <f>IF($X$267="","",$Z$252)</f>
        <v/>
      </c>
      <c r="AA267" s="477" t="str">
        <f>IF($AC$267="","",ROW($A$267)-ROW($A$252))</f>
        <v/>
      </c>
      <c r="AB267" s="478"/>
      <c r="AC267" s="34"/>
      <c r="AD267" s="356"/>
      <c r="AE267" s="479"/>
      <c r="AF267" s="475"/>
      <c r="AG267" s="480" t="str">
        <f t="shared" si="64"/>
        <v/>
      </c>
      <c r="AH267" s="481" t="str">
        <f t="shared" si="65"/>
        <v/>
      </c>
      <c r="AI267" s="477" t="str">
        <f>IF($AC$267="","",IFERROR(INDEX($AZ$74:$AZ$119,MATCH($AH$267,$AY$74:$AY$119,0)),"AUTRE"))</f>
        <v/>
      </c>
      <c r="AJ267" s="482" t="str">
        <f>IF($AC$267="","",IFERROR(INDEX($BA$74:$BA$119,MATCH($AH$267,$AY$74:$AY$119,0)),1))</f>
        <v/>
      </c>
      <c r="AK267" s="482" t="str">
        <f t="shared" si="66"/>
        <v/>
      </c>
      <c r="AL267" s="477" t="str">
        <f>IF($AC$267="","",IFERROR(INDEX($BB$74:$BB$119,MATCH($AH$267,$AY$74:$AY$119,0)),$AH$267))</f>
        <v/>
      </c>
      <c r="AM267" s="483" t="str">
        <f t="shared" si="67"/>
        <v/>
      </c>
      <c r="AN267" s="484" t="str">
        <f t="shared" si="68"/>
        <v/>
      </c>
      <c r="AO267" s="473" t="str">
        <f t="shared" si="69"/>
        <v/>
      </c>
      <c r="AP267" s="473" t="str">
        <f t="shared" si="70"/>
        <v/>
      </c>
      <c r="AQ267" s="473" t="str">
        <f t="shared" si="71"/>
        <v/>
      </c>
      <c r="AR267" s="473" t="str">
        <f t="shared" si="72"/>
        <v/>
      </c>
      <c r="AS267" s="473" t="str">
        <f t="shared" si="73"/>
        <v/>
      </c>
      <c r="AT267" s="473" t="str">
        <f t="shared" si="74"/>
        <v/>
      </c>
      <c r="AU267" s="473" t="str">
        <f t="shared" si="75"/>
        <v/>
      </c>
      <c r="AZ267" s="30" t="s">
        <v>12</v>
      </c>
      <c r="BB267" s="499"/>
      <c r="BC267" s="271"/>
      <c r="BD267" s="279">
        <v>1</v>
      </c>
      <c r="BE267" s="271"/>
      <c r="BF267" s="271"/>
      <c r="BG267" s="271"/>
      <c r="BH267" s="271"/>
      <c r="BI267" s="271"/>
      <c r="BJ267" s="271"/>
      <c r="BK267" s="271"/>
      <c r="BL267" s="271"/>
    </row>
    <row r="268" spans="18:64" ht="21" customHeight="1" x14ac:dyDescent="0.25">
      <c r="R268" s="34" t="s">
        <v>471</v>
      </c>
      <c r="S268" s="451"/>
      <c r="T268" s="28" t="s">
        <v>15</v>
      </c>
      <c r="V268" s="475">
        <v>6</v>
      </c>
      <c r="W268" s="475" t="str">
        <f>IF($AC$268="","",$W$252)</f>
        <v/>
      </c>
      <c r="X268" s="476" t="str">
        <f>IF($AC$268="","",$X$252)</f>
        <v/>
      </c>
      <c r="Y268" s="477" t="str">
        <f>IF($X$268="","",$Y$252)</f>
        <v/>
      </c>
      <c r="Z268" s="477" t="str">
        <f>IF($X$268="","",$Z$252)</f>
        <v/>
      </c>
      <c r="AA268" s="477" t="str">
        <f>IF($AC$268="","",ROW($A$268)-ROW($A$252))</f>
        <v/>
      </c>
      <c r="AB268" s="478"/>
      <c r="AC268" s="34"/>
      <c r="AD268" s="356"/>
      <c r="AE268" s="479"/>
      <c r="AF268" s="475"/>
      <c r="AG268" s="480" t="str">
        <f t="shared" si="64"/>
        <v/>
      </c>
      <c r="AH268" s="481" t="str">
        <f t="shared" si="65"/>
        <v/>
      </c>
      <c r="AI268" s="477" t="str">
        <f>IF($AC$268="","",IFERROR(INDEX($AZ$74:$AZ$119,MATCH($AH$268,$AY$74:$AY$119,0)),"AUTRE"))</f>
        <v/>
      </c>
      <c r="AJ268" s="482" t="str">
        <f>IF($AC$268="","",IFERROR(INDEX($BA$74:$BA$119,MATCH($AH$268,$AY$74:$AY$119,0)),1))</f>
        <v/>
      </c>
      <c r="AK268" s="482" t="str">
        <f t="shared" si="66"/>
        <v/>
      </c>
      <c r="AL268" s="477" t="str">
        <f>IF($AC$268="","",IFERROR(INDEX($BB$74:$BB$119,MATCH($AH$268,$AY$74:$AY$119,0)),$AH$268))</f>
        <v/>
      </c>
      <c r="AM268" s="483" t="str">
        <f t="shared" si="67"/>
        <v/>
      </c>
      <c r="AN268" s="484" t="str">
        <f t="shared" si="68"/>
        <v/>
      </c>
      <c r="AO268" s="473" t="str">
        <f t="shared" si="69"/>
        <v/>
      </c>
      <c r="AP268" s="473" t="str">
        <f t="shared" si="70"/>
        <v/>
      </c>
      <c r="AQ268" s="473" t="str">
        <f t="shared" si="71"/>
        <v/>
      </c>
      <c r="AR268" s="473" t="str">
        <f t="shared" si="72"/>
        <v/>
      </c>
      <c r="AS268" s="473" t="str">
        <f t="shared" si="73"/>
        <v/>
      </c>
      <c r="AT268" s="473" t="str">
        <f t="shared" si="74"/>
        <v/>
      </c>
      <c r="AU268" s="473" t="str">
        <f t="shared" si="75"/>
        <v/>
      </c>
      <c r="AZ268" s="31" t="s">
        <v>16</v>
      </c>
      <c r="BA268" s="25" t="s">
        <v>6115</v>
      </c>
      <c r="BB268" s="499"/>
      <c r="BC268" s="271"/>
      <c r="BD268" s="279">
        <v>1</v>
      </c>
      <c r="BE268" s="271"/>
      <c r="BF268" s="271"/>
      <c r="BG268" s="271"/>
      <c r="BH268" s="271"/>
      <c r="BI268" s="271"/>
      <c r="BJ268" s="271"/>
      <c r="BK268" s="271"/>
      <c r="BL268" s="271"/>
    </row>
    <row r="269" spans="18:64" ht="21" customHeight="1" x14ac:dyDescent="0.25">
      <c r="R269" s="34" t="s">
        <v>472</v>
      </c>
      <c r="S269" s="451"/>
      <c r="T269" s="28" t="s">
        <v>21</v>
      </c>
      <c r="V269" s="475">
        <v>6</v>
      </c>
      <c r="W269" s="475" t="str">
        <f>IF($AC$269="","",$W$252)</f>
        <v/>
      </c>
      <c r="X269" s="476" t="str">
        <f>IF($AC$269="","",$X$252)</f>
        <v/>
      </c>
      <c r="Y269" s="477" t="str">
        <f>IF($X$269="","",$Y$252)</f>
        <v/>
      </c>
      <c r="Z269" s="477" t="str">
        <f>IF($X$269="","",$Z$252)</f>
        <v/>
      </c>
      <c r="AA269" s="477" t="str">
        <f>IF($AC$269="","",ROW($A$269)-ROW($A$252))</f>
        <v/>
      </c>
      <c r="AB269" s="478"/>
      <c r="AC269" s="34"/>
      <c r="AD269" s="356"/>
      <c r="AE269" s="479"/>
      <c r="AF269" s="475"/>
      <c r="AG269" s="480" t="str">
        <f t="shared" si="64"/>
        <v/>
      </c>
      <c r="AH269" s="481" t="str">
        <f t="shared" si="65"/>
        <v/>
      </c>
      <c r="AI269" s="477" t="str">
        <f>IF($AC$269="","",IFERROR(INDEX($AZ$74:$AZ$119,MATCH($AH$269,$AY$74:$AY$119,0)),"AUTRE"))</f>
        <v/>
      </c>
      <c r="AJ269" s="482" t="str">
        <f>IF($AC$269="","",IFERROR(INDEX($BA$74:$BA$119,MATCH($AH$269,$AY$74:$AY$119,0)),1))</f>
        <v/>
      </c>
      <c r="AK269" s="482" t="str">
        <f t="shared" si="66"/>
        <v/>
      </c>
      <c r="AL269" s="477" t="str">
        <f>IF($AC$269="","",IFERROR(INDEX($BB$74:$BB$119,MATCH($AH$269,$AY$74:$AY$119,0)),$AH$269))</f>
        <v/>
      </c>
      <c r="AM269" s="483" t="str">
        <f t="shared" si="67"/>
        <v/>
      </c>
      <c r="AN269" s="484" t="str">
        <f t="shared" si="68"/>
        <v/>
      </c>
      <c r="AO269" s="473" t="str">
        <f t="shared" si="69"/>
        <v/>
      </c>
      <c r="AP269" s="473" t="str">
        <f t="shared" si="70"/>
        <v/>
      </c>
      <c r="AQ269" s="473" t="str">
        <f t="shared" si="71"/>
        <v/>
      </c>
      <c r="AR269" s="473" t="str">
        <f t="shared" si="72"/>
        <v/>
      </c>
      <c r="AS269" s="473" t="str">
        <f t="shared" si="73"/>
        <v/>
      </c>
      <c r="AT269" s="473" t="str">
        <f t="shared" si="74"/>
        <v/>
      </c>
      <c r="AU269" s="473" t="str">
        <f t="shared" si="75"/>
        <v/>
      </c>
      <c r="AZ269" s="31" t="s">
        <v>17</v>
      </c>
      <c r="BA269" s="34" t="s">
        <v>471</v>
      </c>
      <c r="BB269" s="499"/>
      <c r="BC269" s="271"/>
      <c r="BD269" s="279">
        <v>1</v>
      </c>
      <c r="BE269" s="271"/>
      <c r="BF269" s="271"/>
      <c r="BG269" s="271"/>
      <c r="BH269" s="271"/>
      <c r="BI269" s="271"/>
      <c r="BJ269" s="271"/>
      <c r="BK269" s="271"/>
      <c r="BL269" s="271"/>
    </row>
    <row r="270" spans="18:64" ht="21" customHeight="1" x14ac:dyDescent="0.25">
      <c r="R270" s="34" t="s">
        <v>6112</v>
      </c>
      <c r="S270" s="451"/>
      <c r="T270" s="28" t="s">
        <v>22</v>
      </c>
      <c r="V270" s="475">
        <v>6</v>
      </c>
      <c r="W270" s="475" t="str">
        <f>IF($AC$270="","",$W$252)</f>
        <v/>
      </c>
      <c r="X270" s="476" t="str">
        <f>IF($AC$270="","",$X$252)</f>
        <v/>
      </c>
      <c r="Y270" s="477" t="str">
        <f>IF($X$270="","",$Y$252)</f>
        <v/>
      </c>
      <c r="Z270" s="477" t="str">
        <f>IF($X$270="","",$Z$252)</f>
        <v/>
      </c>
      <c r="AA270" s="477" t="str">
        <f>IF($AC$270="","",ROW($A$270)-ROW($A$252))</f>
        <v/>
      </c>
      <c r="AB270" s="478"/>
      <c r="AC270" s="34"/>
      <c r="AD270" s="356"/>
      <c r="AE270" s="479"/>
      <c r="AF270" s="475"/>
      <c r="AG270" s="480" t="str">
        <f t="shared" si="64"/>
        <v/>
      </c>
      <c r="AH270" s="481" t="str">
        <f t="shared" si="65"/>
        <v/>
      </c>
      <c r="AI270" s="477" t="str">
        <f>IF($AC$270="","",IFERROR(INDEX($AZ$74:$AZ$119,MATCH($AH$270,$AY$74:$AY$119,0)),"AUTRE"))</f>
        <v/>
      </c>
      <c r="AJ270" s="482" t="str">
        <f>IF($AC$270="","",IFERROR(INDEX($BA$74:$BA$119,MATCH($AH$270,$AY$74:$AY$119,0)),1))</f>
        <v/>
      </c>
      <c r="AK270" s="482" t="str">
        <f t="shared" si="66"/>
        <v/>
      </c>
      <c r="AL270" s="477" t="str">
        <f>IF($AC$270="","",IFERROR(INDEX($BB$74:$BB$119,MATCH($AH$270,$AY$74:$AY$119,0)),$AH$270))</f>
        <v/>
      </c>
      <c r="AM270" s="483" t="str">
        <f t="shared" si="67"/>
        <v/>
      </c>
      <c r="AN270" s="484" t="str">
        <f t="shared" si="68"/>
        <v/>
      </c>
      <c r="AO270" s="473" t="str">
        <f t="shared" si="69"/>
        <v/>
      </c>
      <c r="AP270" s="473" t="str">
        <f t="shared" si="70"/>
        <v/>
      </c>
      <c r="AQ270" s="473" t="str">
        <f t="shared" si="71"/>
        <v/>
      </c>
      <c r="AR270" s="473" t="str">
        <f t="shared" si="72"/>
        <v/>
      </c>
      <c r="AS270" s="473" t="str">
        <f t="shared" si="73"/>
        <v/>
      </c>
      <c r="AT270" s="473" t="str">
        <f t="shared" si="74"/>
        <v/>
      </c>
      <c r="AU270" s="473" t="str">
        <f t="shared" si="75"/>
        <v/>
      </c>
      <c r="AZ270" s="31" t="s">
        <v>18</v>
      </c>
      <c r="BA270" s="34" t="s">
        <v>472</v>
      </c>
      <c r="BB270" s="499"/>
      <c r="BC270" s="271"/>
      <c r="BD270" s="279">
        <v>1</v>
      </c>
      <c r="BE270" s="271"/>
      <c r="BF270" s="271"/>
      <c r="BG270" s="271"/>
      <c r="BH270" s="271"/>
      <c r="BI270" s="271"/>
      <c r="BJ270" s="271"/>
      <c r="BK270" s="271"/>
      <c r="BL270" s="271"/>
    </row>
    <row r="271" spans="18:64" ht="21" customHeight="1" x14ac:dyDescent="0.25">
      <c r="R271" s="25" t="s">
        <v>6116</v>
      </c>
      <c r="S271" s="451"/>
      <c r="T271" s="28" t="s">
        <v>23</v>
      </c>
      <c r="V271" s="475">
        <v>6</v>
      </c>
      <c r="W271" s="475" t="str">
        <f>IF($AC$271="","",$W$252)</f>
        <v/>
      </c>
      <c r="X271" s="476" t="str">
        <f>IF($AC$271="","",$X$252)</f>
        <v/>
      </c>
      <c r="Y271" s="477" t="str">
        <f>IF($X$271="","",$Y$252)</f>
        <v/>
      </c>
      <c r="Z271" s="477" t="str">
        <f>IF($X$271="","",$Z$252)</f>
        <v/>
      </c>
      <c r="AA271" s="477" t="str">
        <f>IF($AC$271="","",ROW($A$271)-ROW($A$252))</f>
        <v/>
      </c>
      <c r="AB271" s="478"/>
      <c r="AC271" s="34"/>
      <c r="AD271" s="356"/>
      <c r="AE271" s="479"/>
      <c r="AF271" s="475"/>
      <c r="AG271" s="480" t="str">
        <f t="shared" si="64"/>
        <v/>
      </c>
      <c r="AH271" s="481" t="str">
        <f t="shared" si="65"/>
        <v/>
      </c>
      <c r="AI271" s="477" t="str">
        <f>IF($AC$271="","",IFERROR(INDEX($AZ$74:$AZ$119,MATCH($AH$271,$AY$74:$AY$119,0)),"AUTRE"))</f>
        <v/>
      </c>
      <c r="AJ271" s="482" t="str">
        <f>IF($AC$271="","",IFERROR(INDEX($BA$74:$BA$119,MATCH($AH$271,$AY$74:$AY$119,0)),1))</f>
        <v/>
      </c>
      <c r="AK271" s="482" t="str">
        <f t="shared" si="66"/>
        <v/>
      </c>
      <c r="AL271" s="477" t="str">
        <f>IF($AC$271="","",IFERROR(INDEX($BB$74:$BB$119,MATCH($AH$271,$AY$74:$AY$119,0)),$AH$271))</f>
        <v/>
      </c>
      <c r="AM271" s="483" t="str">
        <f t="shared" si="67"/>
        <v/>
      </c>
      <c r="AN271" s="484" t="str">
        <f t="shared" si="68"/>
        <v/>
      </c>
      <c r="AO271" s="473" t="str">
        <f t="shared" si="69"/>
        <v/>
      </c>
      <c r="AP271" s="473" t="str">
        <f t="shared" si="70"/>
        <v/>
      </c>
      <c r="AQ271" s="473" t="str">
        <f t="shared" si="71"/>
        <v/>
      </c>
      <c r="AR271" s="473" t="str">
        <f t="shared" si="72"/>
        <v/>
      </c>
      <c r="AS271" s="473" t="str">
        <f t="shared" si="73"/>
        <v/>
      </c>
      <c r="AT271" s="473" t="str">
        <f t="shared" si="74"/>
        <v/>
      </c>
      <c r="AU271" s="473" t="str">
        <f t="shared" si="75"/>
        <v/>
      </c>
      <c r="AZ271" s="31" t="s">
        <v>19</v>
      </c>
      <c r="BA271" s="34" t="s">
        <v>6112</v>
      </c>
      <c r="BB271" s="499"/>
      <c r="BC271" s="271"/>
      <c r="BD271" s="279">
        <v>1</v>
      </c>
      <c r="BE271" s="271"/>
      <c r="BF271" s="271"/>
      <c r="BG271" s="271"/>
      <c r="BH271" s="271"/>
      <c r="BI271" s="271"/>
      <c r="BJ271" s="271"/>
      <c r="BK271" s="271"/>
      <c r="BL271" s="271"/>
    </row>
    <row r="272" spans="18:64" ht="21" customHeight="1" x14ac:dyDescent="0.25">
      <c r="R272" s="34" t="s">
        <v>6117</v>
      </c>
      <c r="S272" s="451"/>
      <c r="T272" s="28" t="s">
        <v>24</v>
      </c>
      <c r="V272" s="475">
        <v>6</v>
      </c>
      <c r="W272" s="475" t="str">
        <f>IF($AC$272="","",$W$252)</f>
        <v/>
      </c>
      <c r="X272" s="476" t="str">
        <f>IF($AC$272="","",$X$252)</f>
        <v/>
      </c>
      <c r="Y272" s="477" t="str">
        <f>IF($X$272="","",$Y$252)</f>
        <v/>
      </c>
      <c r="Z272" s="477" t="str">
        <f>IF($X$272="","",$Z$252)</f>
        <v/>
      </c>
      <c r="AA272" s="477" t="str">
        <f>IF($AC$272="","",ROW($A$272)-ROW($A$252))</f>
        <v/>
      </c>
      <c r="AB272" s="478"/>
      <c r="AC272" s="34"/>
      <c r="AD272" s="356"/>
      <c r="AE272" s="479"/>
      <c r="AF272" s="475"/>
      <c r="AG272" s="480" t="str">
        <f t="shared" si="64"/>
        <v/>
      </c>
      <c r="AH272" s="481" t="str">
        <f t="shared" si="65"/>
        <v/>
      </c>
      <c r="AI272" s="477" t="str">
        <f>IF($AC$272="","",IFERROR(INDEX($AZ$74:$AZ$119,MATCH($AH$272,$AY$74:$AY$119,0)),"AUTRE"))</f>
        <v/>
      </c>
      <c r="AJ272" s="482" t="str">
        <f>IF($AC$272="","",IFERROR(INDEX($BA$74:$BA$119,MATCH($AH$272,$AY$74:$AY$119,0)),1))</f>
        <v/>
      </c>
      <c r="AK272" s="482" t="str">
        <f t="shared" si="66"/>
        <v/>
      </c>
      <c r="AL272" s="477" t="str">
        <f>IF($AC$272="","",IFERROR(INDEX($BB$74:$BB$119,MATCH($AH$272,$AY$74:$AY$119,0)),$AH$272))</f>
        <v/>
      </c>
      <c r="AM272" s="483" t="str">
        <f t="shared" si="67"/>
        <v/>
      </c>
      <c r="AN272" s="484" t="str">
        <f t="shared" si="68"/>
        <v/>
      </c>
      <c r="AO272" s="473" t="str">
        <f t="shared" si="69"/>
        <v/>
      </c>
      <c r="AP272" s="473" t="str">
        <f t="shared" si="70"/>
        <v/>
      </c>
      <c r="AQ272" s="473" t="str">
        <f t="shared" si="71"/>
        <v/>
      </c>
      <c r="AR272" s="473" t="str">
        <f t="shared" si="72"/>
        <v/>
      </c>
      <c r="AS272" s="473" t="str">
        <f t="shared" si="73"/>
        <v/>
      </c>
      <c r="AT272" s="473" t="str">
        <f t="shared" si="74"/>
        <v/>
      </c>
      <c r="AU272" s="473" t="str">
        <f t="shared" si="75"/>
        <v/>
      </c>
      <c r="AZ272" s="31" t="s">
        <v>211</v>
      </c>
      <c r="BA272" s="25" t="s">
        <v>6116</v>
      </c>
      <c r="BB272" s="499"/>
      <c r="BC272" s="271"/>
      <c r="BD272" s="279">
        <v>1</v>
      </c>
      <c r="BE272" s="271"/>
      <c r="BF272" s="271"/>
      <c r="BG272" s="271"/>
      <c r="BH272" s="271"/>
      <c r="BI272" s="271"/>
      <c r="BJ272" s="271"/>
      <c r="BK272" s="271"/>
      <c r="BL272" s="271"/>
    </row>
    <row r="273" spans="18:64" ht="21" customHeight="1" x14ac:dyDescent="0.25">
      <c r="R273" s="34" t="s">
        <v>469</v>
      </c>
      <c r="S273" s="451"/>
      <c r="T273" s="29" t="s">
        <v>9</v>
      </c>
      <c r="V273" s="475">
        <v>6</v>
      </c>
      <c r="W273" s="475" t="str">
        <f>IF($AC$273="","",$W$252)</f>
        <v/>
      </c>
      <c r="X273" s="476" t="str">
        <f>IF($AC$273="","",$X$252)</f>
        <v/>
      </c>
      <c r="Y273" s="477" t="str">
        <f>IF($X$273="","",$Y$252)</f>
        <v/>
      </c>
      <c r="Z273" s="477" t="str">
        <f>IF($X$273="","",$Z$252)</f>
        <v/>
      </c>
      <c r="AA273" s="477" t="str">
        <f>IF($AC$273="","",ROW($A$273)-ROW($A$252))</f>
        <v/>
      </c>
      <c r="AB273" s="478"/>
      <c r="AC273" s="34"/>
      <c r="AD273" s="356"/>
      <c r="AE273" s="479"/>
      <c r="AF273" s="475"/>
      <c r="AG273" s="480" t="str">
        <f t="shared" si="64"/>
        <v/>
      </c>
      <c r="AH273" s="481" t="str">
        <f t="shared" si="65"/>
        <v/>
      </c>
      <c r="AI273" s="477" t="str">
        <f>IF($AC$273="","",IFERROR(INDEX($AZ$74:$AZ$119,MATCH($AH$273,$AY$74:$AY$119,0)),"AUTRE"))</f>
        <v/>
      </c>
      <c r="AJ273" s="482" t="str">
        <f>IF($AC$273="","",IFERROR(INDEX($BA$74:$BA$119,MATCH($AH$273,$AY$74:$AY$119,0)),1))</f>
        <v/>
      </c>
      <c r="AK273" s="482" t="str">
        <f t="shared" si="66"/>
        <v/>
      </c>
      <c r="AL273" s="477" t="str">
        <f>IF($AC$273="","",IFERROR(INDEX($BB$74:$BB$119,MATCH($AH$273,$AY$74:$AY$119,0)),$AH$273))</f>
        <v/>
      </c>
      <c r="AM273" s="483" t="str">
        <f t="shared" si="67"/>
        <v/>
      </c>
      <c r="AN273" s="484" t="str">
        <f t="shared" si="68"/>
        <v/>
      </c>
      <c r="AO273" s="473" t="str">
        <f t="shared" si="69"/>
        <v/>
      </c>
      <c r="AP273" s="473" t="str">
        <f t="shared" si="70"/>
        <v/>
      </c>
      <c r="AQ273" s="473" t="str">
        <f t="shared" si="71"/>
        <v/>
      </c>
      <c r="AR273" s="473" t="str">
        <f t="shared" si="72"/>
        <v/>
      </c>
      <c r="AS273" s="473" t="str">
        <f t="shared" si="73"/>
        <v/>
      </c>
      <c r="AT273" s="473" t="str">
        <f t="shared" si="74"/>
        <v/>
      </c>
      <c r="AU273" s="473" t="str">
        <f t="shared" si="75"/>
        <v/>
      </c>
      <c r="AZ273" s="31" t="s">
        <v>20</v>
      </c>
      <c r="BA273" s="34" t="s">
        <v>6117</v>
      </c>
      <c r="BB273" s="499"/>
      <c r="BC273" s="271"/>
      <c r="BD273" s="279">
        <v>1</v>
      </c>
      <c r="BE273" s="271"/>
      <c r="BF273" s="271"/>
      <c r="BG273" s="271"/>
      <c r="BH273" s="271"/>
      <c r="BI273" s="271"/>
      <c r="BJ273" s="271"/>
      <c r="BK273" s="271"/>
      <c r="BL273" s="271"/>
    </row>
    <row r="274" spans="18:64" ht="21" customHeight="1" x14ac:dyDescent="0.25">
      <c r="R274" s="34" t="s">
        <v>6118</v>
      </c>
      <c r="S274" s="451"/>
      <c r="T274" s="30" t="s">
        <v>10</v>
      </c>
      <c r="V274" s="475">
        <v>6</v>
      </c>
      <c r="W274" s="475" t="str">
        <f>IF($AC$274="","",$W$252)</f>
        <v/>
      </c>
      <c r="X274" s="476" t="str">
        <f>IF($AC$274="","",$X$252)</f>
        <v/>
      </c>
      <c r="Y274" s="477" t="str">
        <f>IF($X$274="","",$Y$252)</f>
        <v/>
      </c>
      <c r="Z274" s="477" t="str">
        <f>IF($X$274="","",$Z$252)</f>
        <v/>
      </c>
      <c r="AA274" s="477" t="str">
        <f>IF($AC$274="","",ROW($A$274)-ROW($A$252))</f>
        <v/>
      </c>
      <c r="AB274" s="478"/>
      <c r="AC274" s="34"/>
      <c r="AD274" s="356"/>
      <c r="AE274" s="479"/>
      <c r="AF274" s="475"/>
      <c r="AG274" s="480" t="str">
        <f t="shared" si="64"/>
        <v/>
      </c>
      <c r="AH274" s="481" t="str">
        <f t="shared" si="65"/>
        <v/>
      </c>
      <c r="AI274" s="477" t="str">
        <f>IF($AC$274="","",IFERROR(INDEX($AZ$74:$AZ$119,MATCH($AH$274,$AY$74:$AY$119,0)),"AUTRE"))</f>
        <v/>
      </c>
      <c r="AJ274" s="482" t="str">
        <f>IF($AC$274="","",IFERROR(INDEX($BA$74:$BA$119,MATCH($AH$274,$AY$74:$AY$119,0)),1))</f>
        <v/>
      </c>
      <c r="AK274" s="482" t="str">
        <f t="shared" si="66"/>
        <v/>
      </c>
      <c r="AL274" s="477" t="str">
        <f>IF($AC$274="","",IFERROR(INDEX($BB$74:$BB$119,MATCH($AH$274,$AY$74:$AY$119,0)),$AH$274))</f>
        <v/>
      </c>
      <c r="AM274" s="483" t="str">
        <f t="shared" si="67"/>
        <v/>
      </c>
      <c r="AN274" s="484" t="str">
        <f t="shared" si="68"/>
        <v/>
      </c>
      <c r="AO274" s="473" t="str">
        <f t="shared" si="69"/>
        <v/>
      </c>
      <c r="AP274" s="473" t="str">
        <f t="shared" si="70"/>
        <v/>
      </c>
      <c r="AQ274" s="473" t="str">
        <f t="shared" si="71"/>
        <v/>
      </c>
      <c r="AR274" s="473" t="str">
        <f t="shared" si="72"/>
        <v/>
      </c>
      <c r="AS274" s="473" t="str">
        <f t="shared" si="73"/>
        <v/>
      </c>
      <c r="AT274" s="473" t="str">
        <f t="shared" si="74"/>
        <v/>
      </c>
      <c r="AU274" s="473" t="str">
        <f t="shared" si="75"/>
        <v/>
      </c>
      <c r="AZ274" s="31" t="s">
        <v>304</v>
      </c>
      <c r="BA274" s="34" t="s">
        <v>469</v>
      </c>
      <c r="BB274" s="499"/>
      <c r="BC274" s="271"/>
      <c r="BD274" s="279">
        <v>1</v>
      </c>
      <c r="BE274" s="271"/>
      <c r="BF274" s="271"/>
      <c r="BG274" s="271"/>
      <c r="BH274" s="271"/>
      <c r="BI274" s="271"/>
      <c r="BJ274" s="271"/>
      <c r="BK274" s="271"/>
      <c r="BL274" s="271"/>
    </row>
    <row r="275" spans="18:64" ht="21" customHeight="1" x14ac:dyDescent="0.25">
      <c r="R275" s="34" t="s">
        <v>492</v>
      </c>
      <c r="S275" s="451"/>
      <c r="T275" s="30" t="s">
        <v>11</v>
      </c>
      <c r="V275" s="475">
        <v>6</v>
      </c>
      <c r="W275" s="475" t="str">
        <f>IF($AC$275="","",$W$252)</f>
        <v/>
      </c>
      <c r="X275" s="476" t="str">
        <f>IF($AC$275="","",$X$252)</f>
        <v/>
      </c>
      <c r="Y275" s="477" t="str">
        <f>IF($X$275="","",$Y$252)</f>
        <v/>
      </c>
      <c r="Z275" s="477" t="str">
        <f>IF($X$275="","",$Z$252)</f>
        <v/>
      </c>
      <c r="AA275" s="477" t="str">
        <f>IF($AC$275="","",ROW($A$275)-ROW($A$252))</f>
        <v/>
      </c>
      <c r="AB275" s="478"/>
      <c r="AC275" s="34"/>
      <c r="AD275" s="356"/>
      <c r="AE275" s="479"/>
      <c r="AF275" s="475"/>
      <c r="AG275" s="480" t="str">
        <f t="shared" si="64"/>
        <v/>
      </c>
      <c r="AH275" s="481" t="str">
        <f t="shared" si="65"/>
        <v/>
      </c>
      <c r="AI275" s="477" t="str">
        <f>IF($AC$275="","",IFERROR(INDEX($AZ$74:$AZ$119,MATCH($AH$275,$AY$74:$AY$119,0)),"AUTRE"))</f>
        <v/>
      </c>
      <c r="AJ275" s="482" t="str">
        <f>IF($AC$275="","",IFERROR(INDEX($BA$74:$BA$119,MATCH($AH$275,$AY$74:$AY$119,0)),1))</f>
        <v/>
      </c>
      <c r="AK275" s="482" t="str">
        <f t="shared" si="66"/>
        <v/>
      </c>
      <c r="AL275" s="477" t="str">
        <f>IF($AC$275="","",IFERROR(INDEX($BB$74:$BB$119,MATCH($AH$275,$AY$74:$AY$119,0)),$AH$275))</f>
        <v/>
      </c>
      <c r="AM275" s="483" t="str">
        <f t="shared" si="67"/>
        <v/>
      </c>
      <c r="AN275" s="484" t="str">
        <f t="shared" si="68"/>
        <v/>
      </c>
      <c r="AO275" s="473" t="str">
        <f t="shared" si="69"/>
        <v/>
      </c>
      <c r="AP275" s="473" t="str">
        <f t="shared" si="70"/>
        <v/>
      </c>
      <c r="AQ275" s="473" t="str">
        <f t="shared" si="71"/>
        <v/>
      </c>
      <c r="AR275" s="473" t="str">
        <f t="shared" si="72"/>
        <v/>
      </c>
      <c r="AS275" s="473" t="str">
        <f t="shared" si="73"/>
        <v/>
      </c>
      <c r="AT275" s="473" t="str">
        <f t="shared" si="74"/>
        <v/>
      </c>
      <c r="AU275" s="473" t="str">
        <f t="shared" si="75"/>
        <v/>
      </c>
      <c r="AZ275" s="31" t="s">
        <v>352</v>
      </c>
      <c r="BA275" s="34" t="s">
        <v>6118</v>
      </c>
      <c r="BB275" s="499"/>
      <c r="BC275" s="271"/>
      <c r="BD275" s="279">
        <v>1</v>
      </c>
      <c r="BE275" s="271"/>
      <c r="BF275" s="271"/>
      <c r="BG275" s="271"/>
      <c r="BH275" s="271"/>
      <c r="BI275" s="271"/>
      <c r="BJ275" s="271"/>
      <c r="BK275" s="271"/>
      <c r="BL275" s="271"/>
    </row>
    <row r="276" spans="18:64" ht="21" customHeight="1" x14ac:dyDescent="0.25">
      <c r="R276" s="34" t="s">
        <v>458</v>
      </c>
      <c r="S276" s="451"/>
      <c r="T276" s="30" t="s">
        <v>12</v>
      </c>
      <c r="V276" s="475">
        <v>6</v>
      </c>
      <c r="W276" s="475" t="str">
        <f>IF($AC$276="","",$W$252)</f>
        <v/>
      </c>
      <c r="X276" s="476" t="str">
        <f>IF($AC$276="","",$X$252)</f>
        <v/>
      </c>
      <c r="Y276" s="477" t="str">
        <f>IF($X$276="","",$Y$252)</f>
        <v/>
      </c>
      <c r="Z276" s="477" t="str">
        <f>IF($X$276="","",$Z$252)</f>
        <v/>
      </c>
      <c r="AA276" s="477" t="str">
        <f>IF($AC$276="","",ROW($A$276)-ROW($A$252))</f>
        <v/>
      </c>
      <c r="AB276" s="478"/>
      <c r="AC276" s="34"/>
      <c r="AD276" s="356"/>
      <c r="AE276" s="479"/>
      <c r="AF276" s="475"/>
      <c r="AG276" s="480" t="str">
        <f t="shared" si="64"/>
        <v/>
      </c>
      <c r="AH276" s="481" t="str">
        <f t="shared" si="65"/>
        <v/>
      </c>
      <c r="AI276" s="477" t="str">
        <f>IF($AC$276="","",IFERROR(INDEX($AZ$74:$AZ$119,MATCH($AH$276,$AY$74:$AY$119,0)),"AUTRE"))</f>
        <v/>
      </c>
      <c r="AJ276" s="482" t="str">
        <f>IF($AC$276="","",IFERROR(INDEX($BA$74:$BA$119,MATCH($AH$276,$AY$74:$AY$119,0)),1))</f>
        <v/>
      </c>
      <c r="AK276" s="482" t="str">
        <f t="shared" si="66"/>
        <v/>
      </c>
      <c r="AL276" s="477" t="str">
        <f>IF($AC$276="","",IFERROR(INDEX($BB$74:$BB$119,MATCH($AH$276,$AY$74:$AY$119,0)),$AH$276))</f>
        <v/>
      </c>
      <c r="AM276" s="483" t="str">
        <f t="shared" si="67"/>
        <v/>
      </c>
      <c r="AN276" s="484" t="str">
        <f t="shared" si="68"/>
        <v/>
      </c>
      <c r="AO276" s="473" t="str">
        <f t="shared" si="69"/>
        <v/>
      </c>
      <c r="AP276" s="473" t="str">
        <f t="shared" si="70"/>
        <v/>
      </c>
      <c r="AQ276" s="473" t="str">
        <f t="shared" si="71"/>
        <v/>
      </c>
      <c r="AR276" s="473" t="str">
        <f t="shared" si="72"/>
        <v/>
      </c>
      <c r="AS276" s="473" t="str">
        <f t="shared" si="73"/>
        <v/>
      </c>
      <c r="AT276" s="473" t="str">
        <f t="shared" si="74"/>
        <v/>
      </c>
      <c r="AU276" s="473" t="str">
        <f t="shared" si="75"/>
        <v/>
      </c>
      <c r="AZ276" s="31" t="s">
        <v>27</v>
      </c>
      <c r="BA276" s="34" t="s">
        <v>492</v>
      </c>
      <c r="BB276" s="499"/>
      <c r="BC276" s="271"/>
      <c r="BD276" s="279">
        <v>1</v>
      </c>
      <c r="BE276" s="271"/>
      <c r="BF276" s="271"/>
      <c r="BG276" s="271"/>
      <c r="BH276" s="271"/>
      <c r="BI276" s="271"/>
      <c r="BJ276" s="271"/>
      <c r="BK276" s="271"/>
      <c r="BL276" s="271"/>
    </row>
    <row r="277" spans="18:64" ht="21" customHeight="1" x14ac:dyDescent="0.25">
      <c r="R277" s="490"/>
      <c r="S277" s="451"/>
      <c r="T277" s="31" t="s">
        <v>16</v>
      </c>
      <c r="V277" s="475">
        <v>6</v>
      </c>
      <c r="W277" s="475" t="str">
        <f>IF($AC$277="","",$W$252)</f>
        <v/>
      </c>
      <c r="X277" s="476" t="str">
        <f>IF($AC$277="","",$X$252)</f>
        <v/>
      </c>
      <c r="Y277" s="477" t="str">
        <f>IF($X$277="","",$Y$252)</f>
        <v/>
      </c>
      <c r="Z277" s="477" t="str">
        <f>IF($X$277="","",$Z$252)</f>
        <v/>
      </c>
      <c r="AA277" s="477" t="str">
        <f>IF($AC$277="","",ROW($A$277)-ROW($A$252))</f>
        <v/>
      </c>
      <c r="AB277" s="478"/>
      <c r="AC277" s="34"/>
      <c r="AD277" s="356"/>
      <c r="AE277" s="479"/>
      <c r="AF277" s="475"/>
      <c r="AG277" s="480" t="str">
        <f t="shared" si="64"/>
        <v/>
      </c>
      <c r="AH277" s="481" t="str">
        <f t="shared" si="65"/>
        <v/>
      </c>
      <c r="AI277" s="477" t="str">
        <f>IF($AC$277="","",IFERROR(INDEX($AZ$74:$AZ$119,MATCH($AH$277,$AY$74:$AY$119,0)),"AUTRE"))</f>
        <v/>
      </c>
      <c r="AJ277" s="482" t="str">
        <f>IF($AC$277="","",IFERROR(INDEX($BA$74:$BA$119,MATCH($AH$277,$AY$74:$AY$119,0)),1))</f>
        <v/>
      </c>
      <c r="AK277" s="482" t="str">
        <f t="shared" si="66"/>
        <v/>
      </c>
      <c r="AL277" s="477" t="str">
        <f>IF($AC$277="","",IFERROR(INDEX($BB$74:$BB$119,MATCH($AH$277,$AY$74:$AY$119,0)),$AH$277))</f>
        <v/>
      </c>
      <c r="AM277" s="483" t="str">
        <f t="shared" si="67"/>
        <v/>
      </c>
      <c r="AN277" s="484" t="str">
        <f t="shared" si="68"/>
        <v/>
      </c>
      <c r="AO277" s="473" t="str">
        <f t="shared" si="69"/>
        <v/>
      </c>
      <c r="AP277" s="473" t="str">
        <f t="shared" si="70"/>
        <v/>
      </c>
      <c r="AQ277" s="473" t="str">
        <f t="shared" si="71"/>
        <v/>
      </c>
      <c r="AR277" s="473" t="str">
        <f t="shared" si="72"/>
        <v/>
      </c>
      <c r="AS277" s="473" t="str">
        <f t="shared" si="73"/>
        <v/>
      </c>
      <c r="AT277" s="473" t="str">
        <f t="shared" si="74"/>
        <v/>
      </c>
      <c r="AU277" s="473" t="str">
        <f t="shared" si="75"/>
        <v/>
      </c>
      <c r="AZ277" s="31" t="s">
        <v>28</v>
      </c>
      <c r="BA277" s="34" t="s">
        <v>458</v>
      </c>
      <c r="BB277" s="499"/>
      <c r="BC277" s="271"/>
      <c r="BD277" s="279">
        <v>1</v>
      </c>
      <c r="BE277" s="271"/>
      <c r="BF277" s="271"/>
      <c r="BG277" s="271"/>
      <c r="BH277" s="271"/>
      <c r="BI277" s="271"/>
      <c r="BJ277" s="271"/>
      <c r="BK277" s="271"/>
      <c r="BL277" s="271"/>
    </row>
    <row r="278" spans="18:64" ht="21" customHeight="1" x14ac:dyDescent="0.25">
      <c r="R278" s="25" t="s">
        <v>6119</v>
      </c>
      <c r="S278" s="451"/>
      <c r="T278" s="31" t="s">
        <v>17</v>
      </c>
      <c r="V278" s="475">
        <v>6</v>
      </c>
      <c r="W278" s="475" t="str">
        <f>IF($AC$278="","",$W$252)</f>
        <v/>
      </c>
      <c r="X278" s="476" t="str">
        <f>IF($AC$278="","",$X$252)</f>
        <v/>
      </c>
      <c r="Y278" s="477" t="str">
        <f>IF($X$278="","",$Y$252)</f>
        <v/>
      </c>
      <c r="Z278" s="477" t="str">
        <f>IF($X$278="","",$Z$252)</f>
        <v/>
      </c>
      <c r="AA278" s="477" t="str">
        <f>IF($AC$278="","",ROW($A$278)-ROW($A$252))</f>
        <v/>
      </c>
      <c r="AB278" s="478"/>
      <c r="AC278" s="34"/>
      <c r="AD278" s="356"/>
      <c r="AE278" s="479"/>
      <c r="AF278" s="475"/>
      <c r="AG278" s="480" t="str">
        <f t="shared" si="64"/>
        <v/>
      </c>
      <c r="AH278" s="481" t="str">
        <f t="shared" si="65"/>
        <v/>
      </c>
      <c r="AI278" s="477" t="str">
        <f>IF($AC$278="","",IFERROR(INDEX($AZ$74:$AZ$119,MATCH($AH$278,$AY$74:$AY$119,0)),"AUTRE"))</f>
        <v/>
      </c>
      <c r="AJ278" s="482" t="str">
        <f>IF($AC$278="","",IFERROR(INDEX($BA$74:$BA$119,MATCH($AH$278,$AY$74:$AY$119,0)),1))</f>
        <v/>
      </c>
      <c r="AK278" s="482" t="str">
        <f t="shared" si="66"/>
        <v/>
      </c>
      <c r="AL278" s="477" t="str">
        <f>IF($AC$278="","",IFERROR(INDEX($BB$74:$BB$119,MATCH($AH$278,$AY$74:$AY$119,0)),$AH$278))</f>
        <v/>
      </c>
      <c r="AM278" s="483" t="str">
        <f t="shared" si="67"/>
        <v/>
      </c>
      <c r="AN278" s="484" t="str">
        <f t="shared" si="68"/>
        <v/>
      </c>
      <c r="AO278" s="473" t="str">
        <f t="shared" si="69"/>
        <v/>
      </c>
      <c r="AP278" s="473" t="str">
        <f t="shared" si="70"/>
        <v/>
      </c>
      <c r="AQ278" s="473" t="str">
        <f t="shared" si="71"/>
        <v/>
      </c>
      <c r="AR278" s="473" t="str">
        <f t="shared" si="72"/>
        <v/>
      </c>
      <c r="AS278" s="473" t="str">
        <f t="shared" si="73"/>
        <v/>
      </c>
      <c r="AT278" s="473" t="str">
        <f t="shared" si="74"/>
        <v/>
      </c>
      <c r="AU278" s="473" t="str">
        <f t="shared" si="75"/>
        <v/>
      </c>
      <c r="AZ278" s="31" t="s">
        <v>29</v>
      </c>
      <c r="BA278" s="490"/>
      <c r="BB278" s="499"/>
      <c r="BC278" s="271"/>
      <c r="BD278" s="279">
        <v>1</v>
      </c>
      <c r="BE278" s="271"/>
      <c r="BF278" s="271"/>
      <c r="BG278" s="271"/>
      <c r="BH278" s="271"/>
      <c r="BI278" s="271"/>
      <c r="BJ278" s="271"/>
      <c r="BK278" s="271"/>
      <c r="BL278" s="271"/>
    </row>
    <row r="279" spans="18:64" ht="21" customHeight="1" x14ac:dyDescent="0.25">
      <c r="R279" s="34" t="s">
        <v>6120</v>
      </c>
      <c r="S279" s="451"/>
      <c r="T279" s="31" t="s">
        <v>18</v>
      </c>
      <c r="V279" s="475">
        <v>6</v>
      </c>
      <c r="W279" s="475" t="str">
        <f>IF($AC$279="","",$W$252)</f>
        <v/>
      </c>
      <c r="X279" s="476" t="str">
        <f>IF($AC$279="","",$X$252)</f>
        <v/>
      </c>
      <c r="Y279" s="477" t="str">
        <f>IF($X$279="","",$Y$252)</f>
        <v/>
      </c>
      <c r="Z279" s="477" t="str">
        <f>IF($X$279="","",$Z$252)</f>
        <v/>
      </c>
      <c r="AA279" s="477" t="str">
        <f>IF($AC$279="","",ROW($A$279)-ROW($A$252))</f>
        <v/>
      </c>
      <c r="AB279" s="478"/>
      <c r="AC279" s="34"/>
      <c r="AD279" s="356"/>
      <c r="AE279" s="479"/>
      <c r="AF279" s="475"/>
      <c r="AG279" s="480" t="str">
        <f t="shared" si="64"/>
        <v/>
      </c>
      <c r="AH279" s="481" t="str">
        <f t="shared" si="65"/>
        <v/>
      </c>
      <c r="AI279" s="477" t="str">
        <f>IF($AC$279="","",IFERROR(INDEX($AZ$74:$AZ$119,MATCH($AH$279,$AY$74:$AY$119,0)),"AUTRE"))</f>
        <v/>
      </c>
      <c r="AJ279" s="482" t="str">
        <f>IF($AC$279="","",IFERROR(INDEX($BA$74:$BA$119,MATCH($AH$279,$AY$74:$AY$119,0)),1))</f>
        <v/>
      </c>
      <c r="AK279" s="482" t="str">
        <f t="shared" si="66"/>
        <v/>
      </c>
      <c r="AL279" s="477" t="str">
        <f>IF($AC$279="","",IFERROR(INDEX($BB$74:$BB$119,MATCH($AH$279,$AY$74:$AY$119,0)),$AH$279))</f>
        <v/>
      </c>
      <c r="AM279" s="483" t="str">
        <f t="shared" si="67"/>
        <v/>
      </c>
      <c r="AN279" s="484" t="str">
        <f t="shared" si="68"/>
        <v/>
      </c>
      <c r="AO279" s="473" t="str">
        <f t="shared" si="69"/>
        <v/>
      </c>
      <c r="AP279" s="473" t="str">
        <f t="shared" si="70"/>
        <v/>
      </c>
      <c r="AQ279" s="473" t="str">
        <f t="shared" si="71"/>
        <v/>
      </c>
      <c r="AR279" s="473" t="str">
        <f t="shared" si="72"/>
        <v/>
      </c>
      <c r="AS279" s="473" t="str">
        <f t="shared" si="73"/>
        <v/>
      </c>
      <c r="AT279" s="473" t="str">
        <f t="shared" si="74"/>
        <v/>
      </c>
      <c r="AU279" s="473" t="str">
        <f t="shared" si="75"/>
        <v/>
      </c>
      <c r="AZ279" s="31" t="s">
        <v>30</v>
      </c>
      <c r="BA279" s="25" t="s">
        <v>6119</v>
      </c>
      <c r="BB279" s="499"/>
      <c r="BC279" s="271"/>
      <c r="BD279" s="279">
        <v>1</v>
      </c>
      <c r="BE279" s="271"/>
      <c r="BF279" s="271"/>
      <c r="BG279" s="271"/>
      <c r="BH279" s="271"/>
      <c r="BI279" s="271"/>
      <c r="BJ279" s="271"/>
      <c r="BK279" s="271"/>
      <c r="BL279" s="271"/>
    </row>
    <row r="280" spans="18:64" ht="21" customHeight="1" x14ac:dyDescent="0.25">
      <c r="R280" s="34" t="s">
        <v>6121</v>
      </c>
      <c r="S280" s="451"/>
      <c r="T280" s="31" t="s">
        <v>19</v>
      </c>
      <c r="V280" s="475">
        <v>6</v>
      </c>
      <c r="W280" s="475" t="str">
        <f>IF($AC$280="","",$W$252)</f>
        <v/>
      </c>
      <c r="X280" s="476" t="str">
        <f>IF($AC$280="","",$X$252)</f>
        <v/>
      </c>
      <c r="Y280" s="477" t="str">
        <f>IF($X$280="","",$Y$252)</f>
        <v/>
      </c>
      <c r="Z280" s="477" t="str">
        <f>IF($X$280="","",$Z$252)</f>
        <v/>
      </c>
      <c r="AA280" s="477" t="str">
        <f>IF($AC$280="","",ROW($A$280)-ROW($A$252))</f>
        <v/>
      </c>
      <c r="AB280" s="478"/>
      <c r="AC280" s="34"/>
      <c r="AD280" s="356"/>
      <c r="AE280" s="479"/>
      <c r="AF280" s="475"/>
      <c r="AG280" s="480" t="str">
        <f t="shared" si="64"/>
        <v/>
      </c>
      <c r="AH280" s="481" t="str">
        <f t="shared" si="65"/>
        <v/>
      </c>
      <c r="AI280" s="477" t="str">
        <f>IF($AC$280="","",IFERROR(INDEX($AZ$74:$AZ$119,MATCH($AH$280,$AY$74:$AY$119,0)),"AUTRE"))</f>
        <v/>
      </c>
      <c r="AJ280" s="482" t="str">
        <f>IF($AC$280="","",IFERROR(INDEX($BA$74:$BA$119,MATCH($AH$280,$AY$74:$AY$119,0)),1))</f>
        <v/>
      </c>
      <c r="AK280" s="482" t="str">
        <f t="shared" si="66"/>
        <v/>
      </c>
      <c r="AL280" s="477" t="str">
        <f>IF($AC$280="","",IFERROR(INDEX($BB$74:$BB$119,MATCH($AH$280,$AY$74:$AY$119,0)),$AH$280))</f>
        <v/>
      </c>
      <c r="AM280" s="483" t="str">
        <f t="shared" si="67"/>
        <v/>
      </c>
      <c r="AN280" s="484" t="str">
        <f t="shared" si="68"/>
        <v/>
      </c>
      <c r="AO280" s="473" t="str">
        <f t="shared" si="69"/>
        <v/>
      </c>
      <c r="AP280" s="473" t="str">
        <f t="shared" si="70"/>
        <v/>
      </c>
      <c r="AQ280" s="473" t="str">
        <f t="shared" si="71"/>
        <v/>
      </c>
      <c r="AR280" s="473" t="str">
        <f t="shared" si="72"/>
        <v/>
      </c>
      <c r="AS280" s="473" t="str">
        <f t="shared" si="73"/>
        <v/>
      </c>
      <c r="AT280" s="473" t="str">
        <f t="shared" si="74"/>
        <v/>
      </c>
      <c r="AU280" s="473" t="str">
        <f t="shared" si="75"/>
        <v/>
      </c>
      <c r="AY280" s="271"/>
      <c r="AZ280" s="32" t="s">
        <v>33</v>
      </c>
      <c r="BA280" s="34" t="s">
        <v>6120</v>
      </c>
      <c r="BB280" s="499"/>
      <c r="BC280" s="271"/>
      <c r="BD280" s="279">
        <v>1</v>
      </c>
      <c r="BE280" s="271"/>
      <c r="BF280" s="271"/>
      <c r="BG280" s="271"/>
      <c r="BH280" s="271"/>
      <c r="BI280" s="271"/>
      <c r="BJ280" s="271"/>
      <c r="BK280" s="271"/>
      <c r="BL280" s="271"/>
    </row>
    <row r="281" spans="18:64" ht="21" customHeight="1" x14ac:dyDescent="0.25">
      <c r="R281" s="34" t="s">
        <v>6122</v>
      </c>
      <c r="S281" s="451"/>
      <c r="T281" s="31" t="s">
        <v>211</v>
      </c>
      <c r="V281" s="475">
        <v>6</v>
      </c>
      <c r="W281" s="475" t="str">
        <f>IF($AC$281="","",$W$252)</f>
        <v/>
      </c>
      <c r="X281" s="476" t="str">
        <f>IF($AC$281="","",$X$252)</f>
        <v/>
      </c>
      <c r="Y281" s="477" t="str">
        <f>IF($X$281="","",$Y$252)</f>
        <v/>
      </c>
      <c r="Z281" s="477" t="str">
        <f>IF($X$281="","",$Z$252)</f>
        <v/>
      </c>
      <c r="AA281" s="477" t="str">
        <f>IF($AC$281="","",ROW($A$281)-ROW($A$252))</f>
        <v/>
      </c>
      <c r="AB281" s="478"/>
      <c r="AC281" s="34"/>
      <c r="AD281" s="356"/>
      <c r="AE281" s="479"/>
      <c r="AF281" s="475"/>
      <c r="AG281" s="480" t="str">
        <f t="shared" si="64"/>
        <v/>
      </c>
      <c r="AH281" s="481" t="str">
        <f t="shared" si="65"/>
        <v/>
      </c>
      <c r="AI281" s="477" t="str">
        <f>IF($AC$281="","",IFERROR(INDEX($AZ$74:$AZ$119,MATCH($AH$281,$AY$74:$AY$119,0)),"AUTRE"))</f>
        <v/>
      </c>
      <c r="AJ281" s="482" t="str">
        <f>IF($AC$281="","",IFERROR(INDEX($BA$74:$BA$119,MATCH($AH$281,$AY$74:$AY$119,0)),1))</f>
        <v/>
      </c>
      <c r="AK281" s="482" t="str">
        <f t="shared" si="66"/>
        <v/>
      </c>
      <c r="AL281" s="477" t="str">
        <f>IF($AC$281="","",IFERROR(INDEX($BB$74:$BB$119,MATCH($AH$281,$AY$74:$AY$119,0)),$AH$281))</f>
        <v/>
      </c>
      <c r="AM281" s="483" t="str">
        <f t="shared" si="67"/>
        <v/>
      </c>
      <c r="AN281" s="484" t="str">
        <f t="shared" si="68"/>
        <v/>
      </c>
      <c r="AO281" s="473" t="str">
        <f t="shared" si="69"/>
        <v/>
      </c>
      <c r="AP281" s="473" t="str">
        <f t="shared" si="70"/>
        <v/>
      </c>
      <c r="AQ281" s="473" t="str">
        <f t="shared" si="71"/>
        <v/>
      </c>
      <c r="AR281" s="473" t="str">
        <f t="shared" si="72"/>
        <v/>
      </c>
      <c r="AS281" s="473" t="str">
        <f t="shared" si="73"/>
        <v/>
      </c>
      <c r="AT281" s="473" t="str">
        <f t="shared" si="74"/>
        <v/>
      </c>
      <c r="AU281" s="473" t="str">
        <f t="shared" si="75"/>
        <v/>
      </c>
      <c r="AY281" s="497" t="s">
        <v>8145</v>
      </c>
      <c r="AZ281" s="32" t="s">
        <v>8125</v>
      </c>
      <c r="BA281" s="34" t="s">
        <v>6121</v>
      </c>
      <c r="BB281" s="499"/>
      <c r="BC281" s="271"/>
      <c r="BD281" s="279">
        <v>1</v>
      </c>
      <c r="BE281" s="271"/>
      <c r="BF281" s="271"/>
      <c r="BG281" s="271"/>
      <c r="BH281" s="271"/>
      <c r="BI281" s="271"/>
      <c r="BJ281" s="271"/>
      <c r="BK281" s="271"/>
      <c r="BL281" s="271"/>
    </row>
    <row r="282" spans="18:64" ht="21" customHeight="1" x14ac:dyDescent="0.25">
      <c r="R282" s="34" t="s">
        <v>6123</v>
      </c>
      <c r="S282" s="451"/>
      <c r="T282" s="31" t="s">
        <v>20</v>
      </c>
      <c r="V282" s="475">
        <v>6</v>
      </c>
      <c r="W282" s="475" t="str">
        <f>IF($AC$282="","",$W$252)</f>
        <v/>
      </c>
      <c r="X282" s="476" t="str">
        <f>IF($AC$282="","",$X$252)</f>
        <v/>
      </c>
      <c r="Y282" s="477" t="str">
        <f>IF($X$282="","",$Y$252)</f>
        <v/>
      </c>
      <c r="Z282" s="477" t="str">
        <f>IF($X$282="","",$Z$252)</f>
        <v/>
      </c>
      <c r="AA282" s="477" t="str">
        <f>IF($AC$282="","",ROW($A$282)-ROW($A$252))</f>
        <v/>
      </c>
      <c r="AB282" s="478"/>
      <c r="AC282" s="34"/>
      <c r="AD282" s="356"/>
      <c r="AE282" s="479"/>
      <c r="AF282" s="475"/>
      <c r="AG282" s="480" t="str">
        <f t="shared" si="64"/>
        <v/>
      </c>
      <c r="AH282" s="481" t="str">
        <f t="shared" si="65"/>
        <v/>
      </c>
      <c r="AI282" s="477" t="str">
        <f>IF($AC$282="","",IFERROR(INDEX($AZ$74:$AZ$119,MATCH($AH$282,$AY$74:$AY$119,0)),"AUTRE"))</f>
        <v/>
      </c>
      <c r="AJ282" s="482" t="str">
        <f>IF($AC$282="","",IFERROR(INDEX($BA$74:$BA$119,MATCH($AH$282,$AY$74:$AY$119,0)),1))</f>
        <v/>
      </c>
      <c r="AK282" s="482" t="str">
        <f t="shared" si="66"/>
        <v/>
      </c>
      <c r="AL282" s="477" t="str">
        <f>IF($AC$282="","",IFERROR(INDEX($BB$74:$BB$119,MATCH($AH$282,$AY$74:$AY$119,0)),$AH$282))</f>
        <v/>
      </c>
      <c r="AM282" s="483" t="str">
        <f t="shared" si="67"/>
        <v/>
      </c>
      <c r="AN282" s="484" t="str">
        <f t="shared" si="68"/>
        <v/>
      </c>
      <c r="AO282" s="473" t="str">
        <f t="shared" si="69"/>
        <v/>
      </c>
      <c r="AP282" s="473" t="str">
        <f t="shared" si="70"/>
        <v/>
      </c>
      <c r="AQ282" s="473" t="str">
        <f t="shared" si="71"/>
        <v/>
      </c>
      <c r="AR282" s="473" t="str">
        <f t="shared" si="72"/>
        <v/>
      </c>
      <c r="AS282" s="473" t="str">
        <f t="shared" si="73"/>
        <v/>
      </c>
      <c r="AT282" s="473" t="str">
        <f t="shared" si="74"/>
        <v/>
      </c>
      <c r="AU282" s="473" t="str">
        <f t="shared" si="75"/>
        <v/>
      </c>
      <c r="AY282" s="497" t="s">
        <v>462</v>
      </c>
      <c r="AZ282" s="32" t="s">
        <v>8127</v>
      </c>
      <c r="BA282" s="34" t="s">
        <v>6122</v>
      </c>
      <c r="BB282" s="499"/>
      <c r="BC282" s="271"/>
      <c r="BD282" s="279">
        <v>1</v>
      </c>
      <c r="BE282" s="271"/>
      <c r="BF282" s="271"/>
      <c r="BG282" s="271"/>
      <c r="BH282" s="271"/>
      <c r="BI282" s="271"/>
      <c r="BJ282" s="271"/>
      <c r="BK282" s="271"/>
      <c r="BL282" s="271"/>
    </row>
    <row r="283" spans="18:64" ht="21" customHeight="1" x14ac:dyDescent="0.25">
      <c r="R283" s="34" t="s">
        <v>6124</v>
      </c>
      <c r="S283" s="451"/>
      <c r="T283" s="31" t="s">
        <v>304</v>
      </c>
      <c r="V283" s="475">
        <v>6</v>
      </c>
      <c r="W283" s="475" t="str">
        <f>IF($AC$283="","",$W$252)</f>
        <v/>
      </c>
      <c r="X283" s="476" t="str">
        <f>IF($AC$283="","",$X$252)</f>
        <v/>
      </c>
      <c r="Y283" s="477" t="str">
        <f>IF($X$283="","",$Y$252)</f>
        <v/>
      </c>
      <c r="Z283" s="477" t="str">
        <f>IF($X$283="","",$Z$252)</f>
        <v/>
      </c>
      <c r="AA283" s="477" t="str">
        <f>IF($AC$283="","",ROW($A$283)-ROW($A$252))</f>
        <v/>
      </c>
      <c r="AB283" s="478"/>
      <c r="AC283" s="34"/>
      <c r="AD283" s="356"/>
      <c r="AE283" s="479"/>
      <c r="AF283" s="475"/>
      <c r="AG283" s="480" t="str">
        <f t="shared" si="64"/>
        <v/>
      </c>
      <c r="AH283" s="481" t="str">
        <f t="shared" si="65"/>
        <v/>
      </c>
      <c r="AI283" s="477" t="str">
        <f>IF($AC$283="","",IFERROR(INDEX($AZ$74:$AZ$119,MATCH($AH$283,$AY$74:$AY$119,0)),"AUTRE"))</f>
        <v/>
      </c>
      <c r="AJ283" s="482" t="str">
        <f>IF($AC$283="","",IFERROR(INDEX($BA$74:$BA$119,MATCH($AH$283,$AY$74:$AY$119,0)),1))</f>
        <v/>
      </c>
      <c r="AK283" s="482" t="str">
        <f t="shared" si="66"/>
        <v/>
      </c>
      <c r="AL283" s="477" t="str">
        <f>IF($AC$283="","",IFERROR(INDEX($BB$74:$BB$119,MATCH($AH$283,$AY$74:$AY$119,0)),$AH$283))</f>
        <v/>
      </c>
      <c r="AM283" s="483" t="str">
        <f t="shared" si="67"/>
        <v/>
      </c>
      <c r="AN283" s="484" t="str">
        <f t="shared" si="68"/>
        <v/>
      </c>
      <c r="AO283" s="473" t="str">
        <f t="shared" si="69"/>
        <v/>
      </c>
      <c r="AP283" s="473" t="str">
        <f t="shared" si="70"/>
        <v/>
      </c>
      <c r="AQ283" s="473" t="str">
        <f t="shared" si="71"/>
        <v/>
      </c>
      <c r="AR283" s="473" t="str">
        <f t="shared" si="72"/>
        <v/>
      </c>
      <c r="AS283" s="473" t="str">
        <f t="shared" si="73"/>
        <v/>
      </c>
      <c r="AT283" s="473" t="str">
        <f t="shared" si="74"/>
        <v/>
      </c>
      <c r="AU283" s="473" t="str">
        <f t="shared" si="75"/>
        <v/>
      </c>
      <c r="AY283" s="497" t="s">
        <v>463</v>
      </c>
      <c r="AZ283" s="32" t="s">
        <v>320</v>
      </c>
      <c r="BA283" s="34" t="s">
        <v>6123</v>
      </c>
      <c r="BB283" s="499"/>
      <c r="BC283" s="271"/>
      <c r="BD283" s="279">
        <v>1</v>
      </c>
      <c r="BE283" s="271"/>
      <c r="BF283" s="271"/>
      <c r="BG283" s="271"/>
      <c r="BH283" s="271"/>
      <c r="BI283" s="271"/>
      <c r="BJ283" s="271"/>
      <c r="BK283" s="271"/>
      <c r="BL283" s="271"/>
    </row>
    <row r="284" spans="18:64" ht="21" customHeight="1" x14ac:dyDescent="0.25">
      <c r="R284" s="34" t="s">
        <v>6125</v>
      </c>
      <c r="S284" s="451"/>
      <c r="T284" s="31" t="s">
        <v>352</v>
      </c>
      <c r="V284" s="475">
        <v>6</v>
      </c>
      <c r="W284" s="475" t="str">
        <f>IF($AC$284="","",$W$252)</f>
        <v/>
      </c>
      <c r="X284" s="476" t="str">
        <f>IF($AC$284="","",$X$252)</f>
        <v/>
      </c>
      <c r="Y284" s="477" t="str">
        <f>IF($X$284="","",$Y$252)</f>
        <v/>
      </c>
      <c r="Z284" s="477" t="str">
        <f>IF($X$284="","",$Z$252)</f>
        <v/>
      </c>
      <c r="AA284" s="477" t="str">
        <f>IF($AC$284="","",ROW($A$284)-ROW($A$252))</f>
        <v/>
      </c>
      <c r="AB284" s="478"/>
      <c r="AC284" s="34"/>
      <c r="AD284" s="356"/>
      <c r="AE284" s="479"/>
      <c r="AF284" s="475"/>
      <c r="AG284" s="480" t="str">
        <f t="shared" si="64"/>
        <v/>
      </c>
      <c r="AH284" s="481" t="str">
        <f t="shared" si="65"/>
        <v/>
      </c>
      <c r="AI284" s="477" t="str">
        <f>IF($AC$284="","",IFERROR(INDEX($AZ$74:$AZ$119,MATCH($AH$284,$AY$74:$AY$119,0)),"AUTRE"))</f>
        <v/>
      </c>
      <c r="AJ284" s="482" t="str">
        <f>IF($AC$284="","",IFERROR(INDEX($BA$74:$BA$119,MATCH($AH$284,$AY$74:$AY$119,0)),1))</f>
        <v/>
      </c>
      <c r="AK284" s="482" t="str">
        <f t="shared" si="66"/>
        <v/>
      </c>
      <c r="AL284" s="477" t="str">
        <f>IF($AC$284="","",IFERROR(INDEX($BB$74:$BB$119,MATCH($AH$284,$AY$74:$AY$119,0)),$AH$284))</f>
        <v/>
      </c>
      <c r="AM284" s="483" t="str">
        <f t="shared" si="67"/>
        <v/>
      </c>
      <c r="AN284" s="484" t="str">
        <f t="shared" si="68"/>
        <v/>
      </c>
      <c r="AO284" s="473" t="str">
        <f t="shared" si="69"/>
        <v/>
      </c>
      <c r="AP284" s="473" t="str">
        <f t="shared" si="70"/>
        <v/>
      </c>
      <c r="AQ284" s="473" t="str">
        <f t="shared" si="71"/>
        <v/>
      </c>
      <c r="AR284" s="473" t="str">
        <f t="shared" si="72"/>
        <v/>
      </c>
      <c r="AS284" s="473" t="str">
        <f t="shared" si="73"/>
        <v/>
      </c>
      <c r="AT284" s="473" t="str">
        <f t="shared" si="74"/>
        <v/>
      </c>
      <c r="AU284" s="473" t="str">
        <f t="shared" si="75"/>
        <v/>
      </c>
      <c r="AY284" s="497" t="s">
        <v>8147</v>
      </c>
      <c r="AZ284" s="32" t="s">
        <v>318</v>
      </c>
      <c r="BA284" s="34" t="s">
        <v>6124</v>
      </c>
      <c r="BB284" s="499"/>
      <c r="BC284" s="271"/>
      <c r="BD284" s="279">
        <v>1</v>
      </c>
      <c r="BE284" s="271"/>
      <c r="BF284" s="271"/>
      <c r="BG284" s="271"/>
      <c r="BH284" s="271"/>
      <c r="BI284" s="271"/>
      <c r="BJ284" s="271"/>
      <c r="BK284" s="271"/>
      <c r="BL284" s="271"/>
    </row>
    <row r="285" spans="18:64" ht="21" customHeight="1" x14ac:dyDescent="0.25">
      <c r="R285" s="34" t="s">
        <v>6126</v>
      </c>
      <c r="S285" s="451"/>
      <c r="T285" s="31" t="s">
        <v>25</v>
      </c>
      <c r="V285" s="475">
        <v>6</v>
      </c>
      <c r="W285" s="475" t="str">
        <f>IF($AC$285="","",$W$252)</f>
        <v/>
      </c>
      <c r="X285" s="476" t="str">
        <f>IF($AC$285="","",$X$252)</f>
        <v/>
      </c>
      <c r="Y285" s="477" t="str">
        <f>IF($X$285="","",$Y$252)</f>
        <v/>
      </c>
      <c r="Z285" s="477" t="str">
        <f>IF($X$285="","",$Z$252)</f>
        <v/>
      </c>
      <c r="AA285" s="477" t="str">
        <f>IF($AC$285="","",ROW($A$285)-ROW($A$252))</f>
        <v/>
      </c>
      <c r="AB285" s="478"/>
      <c r="AC285" s="34"/>
      <c r="AD285" s="356"/>
      <c r="AE285" s="479"/>
      <c r="AF285" s="475"/>
      <c r="AG285" s="480" t="str">
        <f t="shared" si="64"/>
        <v/>
      </c>
      <c r="AH285" s="481" t="str">
        <f t="shared" si="65"/>
        <v/>
      </c>
      <c r="AI285" s="477" t="str">
        <f>IF($AC$285="","",IFERROR(INDEX($AZ$74:$AZ$119,MATCH($AH$285,$AY$74:$AY$119,0)),"AUTRE"))</f>
        <v/>
      </c>
      <c r="AJ285" s="482" t="str">
        <f>IF($AC$285="","",IFERROR(INDEX($BA$74:$BA$119,MATCH($AH$285,$AY$74:$AY$119,0)),1))</f>
        <v/>
      </c>
      <c r="AK285" s="482" t="str">
        <f t="shared" si="66"/>
        <v/>
      </c>
      <c r="AL285" s="477" t="str">
        <f>IF($AC$285="","",IFERROR(INDEX($BB$74:$BB$119,MATCH($AH$285,$AY$74:$AY$119,0)),$AH$285))</f>
        <v/>
      </c>
      <c r="AM285" s="483" t="str">
        <f t="shared" si="67"/>
        <v/>
      </c>
      <c r="AN285" s="484" t="str">
        <f t="shared" si="68"/>
        <v/>
      </c>
      <c r="AO285" s="473" t="str">
        <f t="shared" si="69"/>
        <v/>
      </c>
      <c r="AP285" s="473" t="str">
        <f t="shared" si="70"/>
        <v/>
      </c>
      <c r="AQ285" s="473" t="str">
        <f t="shared" si="71"/>
        <v/>
      </c>
      <c r="AR285" s="473" t="str">
        <f t="shared" si="72"/>
        <v/>
      </c>
      <c r="AS285" s="473" t="str">
        <f t="shared" si="73"/>
        <v/>
      </c>
      <c r="AT285" s="473" t="str">
        <f t="shared" si="74"/>
        <v/>
      </c>
      <c r="AU285" s="473" t="str">
        <f t="shared" si="75"/>
        <v/>
      </c>
      <c r="AY285" s="497" t="s">
        <v>465</v>
      </c>
      <c r="AZ285" s="32" t="s">
        <v>316</v>
      </c>
      <c r="BA285" s="34" t="s">
        <v>6125</v>
      </c>
      <c r="BB285" s="499"/>
      <c r="BC285" s="271"/>
      <c r="BD285" s="279">
        <v>1</v>
      </c>
      <c r="BE285" s="271"/>
      <c r="BF285" s="271"/>
      <c r="BG285" s="271"/>
      <c r="BH285" s="271"/>
      <c r="BI285" s="271"/>
      <c r="BJ285" s="271"/>
      <c r="BK285" s="271"/>
      <c r="BL285" s="271"/>
    </row>
    <row r="286" spans="18:64" ht="21" customHeight="1" x14ac:dyDescent="0.25">
      <c r="R286" s="34" t="s">
        <v>6127</v>
      </c>
      <c r="S286" s="451"/>
      <c r="T286" s="31" t="s">
        <v>26</v>
      </c>
      <c r="V286" s="475">
        <v>6</v>
      </c>
      <c r="W286" s="475" t="str">
        <f>IF($AC$286="","",$W$252)</f>
        <v/>
      </c>
      <c r="X286" s="476" t="str">
        <f>IF($AC$286="","",$X$252)</f>
        <v/>
      </c>
      <c r="Y286" s="477" t="str">
        <f>IF($X$286="","",$Y$252)</f>
        <v/>
      </c>
      <c r="Z286" s="477" t="str">
        <f>IF($X$286="","",$Z$252)</f>
        <v/>
      </c>
      <c r="AA286" s="477" t="str">
        <f>IF($AC$286="","",ROW($A$286)-ROW($A$252))</f>
        <v/>
      </c>
      <c r="AB286" s="478"/>
      <c r="AC286" s="34"/>
      <c r="AD286" s="356"/>
      <c r="AE286" s="479"/>
      <c r="AF286" s="475"/>
      <c r="AG286" s="491" t="str">
        <f t="shared" si="64"/>
        <v/>
      </c>
      <c r="AH286" s="481" t="str">
        <f t="shared" si="65"/>
        <v/>
      </c>
      <c r="AI286" s="477" t="str">
        <f>IF($AC$286="","",IFERROR(INDEX($AZ$74:$AZ$119,MATCH($AH$286,$AY$74:$AY$119,0)),"AUTRE"))</f>
        <v/>
      </c>
      <c r="AJ286" s="482" t="str">
        <f>IF($AC$286="","",IFERROR(INDEX($BA$74:$BA$119,MATCH($AH$286,$AY$74:$AY$119,0)),1))</f>
        <v/>
      </c>
      <c r="AK286" s="482" t="str">
        <f t="shared" si="66"/>
        <v/>
      </c>
      <c r="AL286" s="477" t="str">
        <f>IF($AC$286="","",IFERROR(INDEX($BB$74:$BB$119,MATCH($AH$286,$AY$74:$AY$119,0)),$AH$286))</f>
        <v/>
      </c>
      <c r="AM286" s="483" t="str">
        <f t="shared" si="67"/>
        <v/>
      </c>
      <c r="AN286" s="484" t="str">
        <f t="shared" si="68"/>
        <v/>
      </c>
      <c r="AO286" s="473" t="str">
        <f t="shared" si="69"/>
        <v/>
      </c>
      <c r="AP286" s="473" t="str">
        <f t="shared" si="70"/>
        <v/>
      </c>
      <c r="AQ286" s="473" t="str">
        <f t="shared" si="71"/>
        <v/>
      </c>
      <c r="AR286" s="473" t="str">
        <f t="shared" si="72"/>
        <v/>
      </c>
      <c r="AS286" s="473" t="str">
        <f t="shared" si="73"/>
        <v/>
      </c>
      <c r="AT286" s="473" t="str">
        <f t="shared" si="74"/>
        <v/>
      </c>
      <c r="AU286" s="473" t="str">
        <f t="shared" si="75"/>
        <v/>
      </c>
      <c r="AY286" s="497" t="s">
        <v>466</v>
      </c>
      <c r="AZ286" s="32" t="s">
        <v>313</v>
      </c>
      <c r="BA286" s="34" t="s">
        <v>6126</v>
      </c>
      <c r="BB286" s="499"/>
      <c r="BC286" s="271"/>
      <c r="BD286" s="279">
        <v>1</v>
      </c>
      <c r="BE286" s="271"/>
      <c r="BF286" s="271"/>
      <c r="BG286" s="271"/>
      <c r="BH286" s="271"/>
      <c r="BI286" s="271"/>
      <c r="BJ286" s="271"/>
      <c r="BK286" s="271"/>
      <c r="BL286" s="271"/>
    </row>
    <row r="287" spans="18:64" ht="30" customHeight="1" x14ac:dyDescent="0.25">
      <c r="R287" s="25" t="s">
        <v>6128</v>
      </c>
      <c r="S287" s="451"/>
      <c r="T287" s="31" t="s">
        <v>27</v>
      </c>
      <c r="V287" s="453" t="s">
        <v>324</v>
      </c>
      <c r="W287" s="453" t="s">
        <v>7912</v>
      </c>
      <c r="X287" s="453" t="s">
        <v>326</v>
      </c>
      <c r="Y287" s="453" t="s">
        <v>327</v>
      </c>
      <c r="Z287" s="454" t="s">
        <v>7930</v>
      </c>
      <c r="AA287" s="453" t="s">
        <v>7937</v>
      </c>
      <c r="AB287" s="455" t="s">
        <v>39</v>
      </c>
      <c r="AC287" s="455" t="s">
        <v>338</v>
      </c>
      <c r="AD287" s="455" t="s">
        <v>8114</v>
      </c>
      <c r="AE287" s="455" t="s">
        <v>339</v>
      </c>
      <c r="AF287" s="455" t="s">
        <v>7997</v>
      </c>
      <c r="AG287" s="453" t="s">
        <v>8018</v>
      </c>
      <c r="AH287" s="453" t="s">
        <v>8023</v>
      </c>
      <c r="AI287" s="453" t="s">
        <v>330</v>
      </c>
      <c r="AJ287" s="453" t="s">
        <v>8031</v>
      </c>
      <c r="AK287" s="453" t="s">
        <v>8037</v>
      </c>
      <c r="AL287" s="453" t="s">
        <v>8041</v>
      </c>
      <c r="AM287" s="453" t="s">
        <v>343</v>
      </c>
      <c r="AN287" s="457" t="s">
        <v>8115</v>
      </c>
      <c r="AO287" s="457" t="s">
        <v>8116</v>
      </c>
      <c r="AP287" s="656" t="s">
        <v>8117</v>
      </c>
      <c r="AQ287" s="656"/>
      <c r="AR287" s="656"/>
      <c r="AS287" s="656"/>
      <c r="AT287" s="656"/>
      <c r="AU287" s="657"/>
      <c r="AZ287" s="32" t="s">
        <v>307</v>
      </c>
      <c r="BA287" s="34" t="s">
        <v>6127</v>
      </c>
      <c r="BB287" s="499"/>
      <c r="BC287" s="271"/>
      <c r="BD287" s="279">
        <v>1</v>
      </c>
      <c r="BE287" s="271"/>
      <c r="BF287" s="271"/>
      <c r="BG287" s="271"/>
      <c r="BH287" s="271"/>
      <c r="BI287" s="271"/>
      <c r="BJ287" s="271"/>
      <c r="BK287" s="271"/>
      <c r="BL287" s="271"/>
    </row>
    <row r="288" spans="18:64" ht="30" customHeight="1" x14ac:dyDescent="0.25">
      <c r="R288" s="34" t="s">
        <v>474</v>
      </c>
      <c r="S288" s="451"/>
      <c r="T288" s="31" t="s">
        <v>28</v>
      </c>
      <c r="V288" s="459">
        <v>7</v>
      </c>
      <c r="W288" s="460" t="s">
        <v>8120</v>
      </c>
      <c r="X288" s="461" t="s">
        <v>8157</v>
      </c>
      <c r="Y288" s="462"/>
      <c r="Z288" s="463">
        <v>100</v>
      </c>
      <c r="AA288" s="464">
        <f>IF($AC$396="","",ROW($A$396)-ROW($A$396))</f>
        <v>0</v>
      </c>
      <c r="AB288" s="461"/>
      <c r="AC288" s="465" t="s">
        <v>8158</v>
      </c>
      <c r="AD288" s="390"/>
      <c r="AE288" s="390"/>
      <c r="AF288" s="466"/>
      <c r="AG288" s="467" t="str">
        <f t="shared" ref="AG288:AG322" si="76">IF($AC288="","",IF(LEN($AN288&amp;"")=0,"",$AN288))</f>
        <v/>
      </c>
      <c r="AH288" s="468" t="str">
        <f t="shared" ref="AH288:AH322" si="77">IF($AC288="","",IF($AF288&lt;&gt;"",UPPER(TRIM(SUBSTITUTE(SUBSTITUTE($AF288&amp;"",CHAR(160)," ")," "," "))),$AP288))</f>
        <v/>
      </c>
      <c r="AI288" s="469" t="str">
        <f>IF($AC$288="","",IFERROR(INDEX($AZ$74:$AZ$119,MATCH($AH$288,$AY$74:$AY$119,0)),"AUTRE"))</f>
        <v>AUTRE</v>
      </c>
      <c r="AJ288" s="470">
        <f>IF($AC$288="","",IFERROR(INDEX($BA$74:$BA$119,MATCH($AH$288,$AY$74:$AY$119,0)),1))</f>
        <v>1</v>
      </c>
      <c r="AK288" s="470" t="str">
        <f t="shared" si="66"/>
        <v/>
      </c>
      <c r="AL288" s="469" t="str">
        <f>IF($AC$288="","",IFERROR(INDEX($BB$74:$BB$119,MATCH($AH$288,$AY$74:$AY$119,0)),$AH$288))</f>
        <v/>
      </c>
      <c r="AM288" s="471" t="str">
        <f t="shared" ref="AM288:AM322" si="78">IF($AC288="","",IF($AH288="QT. SUFFISANTE","OK",IF($AG288="","TEXTE",IF(NOT(ISNUMBER($AG288)),"QUANTITÉ À CONTRÔLER",IF(COUNTIF($AY$74:$AY$119,$AH288)=0,"UNITÉ À CONTRÔLER","OK")))))</f>
        <v>TEXTE</v>
      </c>
      <c r="AN288" s="474" t="str">
        <f t="shared" ref="AN288:AN322" si="79">IF($AE288&lt;&gt;"",$AE288,IF($AD288="","",IF(ISNUMBER($AD288),$AD288,IF($AO288="QT",0,IF($AO288="","",IFERROR(IF(ISNUMBER(SEARCH("/",$AO288)),VALUE(TRIM(LEFT($AO288,SEARCH("/",$AO288)-1)))/VALUE(TRIM(MID($AO288,SEARCH("/",$AO288)+1,99))),VALUE(SUBSTITUTE($AO288,".",","))),""))))))</f>
        <v/>
      </c>
      <c r="AO288" s="473" t="str">
        <f t="shared" ref="AO288:AO322" si="80">IF($AD288="","",IF(ISNUMBER($AD288),$AD288,IF(OR(LEFT($AQ288,3)="QT.",LEFT($AQ288,4)="QUAN"),"QT",IF($AR288=999,$AQ288,TRIM(LEFT($AQ288,$AR288-1))))))</f>
        <v/>
      </c>
      <c r="AP288" s="473" t="str">
        <f t="shared" ref="AP288:AP322" si="81">IF($AD288="","",IF(ISNUMBER($AD288),"",IF(OR(LEFT($AQ288,3)="QT.",LEFT($AQ288,4)="QUAN"),"QT. SUFFISANTE",IF($AO288="","",TRIM(MID($AQ288,LEN($AO288&amp;"")+1,999))))))</f>
        <v/>
      </c>
      <c r="AQ288" s="473" t="str">
        <f t="shared" ref="AQ288:AQ322" si="82">IF($AD288="","",UPPER(TRIM(SUBSTITUTE(SUBSTITUTE($AD288&amp;"",CHAR(160)," ")," "," "))))</f>
        <v/>
      </c>
      <c r="AR288" s="473" t="str">
        <f t="shared" ref="AR288:AR322" si="83">IF($AQ288="","",MIN($AS288,$AT288,$AU288))</f>
        <v/>
      </c>
      <c r="AS288" s="473" t="str">
        <f t="shared" ref="AS288:AS322" si="84">IF($AQ288="","",MIN(IFERROR(SEARCH("A",$AQ288),999),IFERROR(SEARCH("B",$AQ288),999),IFERROR(SEARCH("C",$AQ288),999),IFERROR(SEARCH("D",$AQ288),999),IFERROR(SEARCH("E",$AQ288),999),IFERROR(SEARCH("F",$AQ288),999),IFERROR(SEARCH("G",$AQ288),999),IFERROR(SEARCH("H",$AQ288),999),IFERROR(SEARCH("I",$AQ288),999)))</f>
        <v/>
      </c>
      <c r="AT288" s="473" t="str">
        <f t="shared" ref="AT288:AT322" si="85">IF($AQ288="","",MIN(IFERROR(SEARCH("J",$AQ288),999),IFERROR(SEARCH("K",$AQ288),999),IFERROR(SEARCH("L",$AQ288),999),IFERROR(SEARCH("M",$AQ288),999),IFERROR(SEARCH("N",$AQ288),999),IFERROR(SEARCH("O",$AQ288),999),IFERROR(SEARCH("P",$AQ288),999),IFERROR(SEARCH("Q",$AQ288),999),IFERROR(SEARCH("R",$AQ288),999)))</f>
        <v/>
      </c>
      <c r="AU288" s="473" t="str">
        <f t="shared" ref="AU288:AU322" si="86">IF($AQ288="","",MIN(IFERROR(SEARCH("S",$AQ288),999),IFERROR(SEARCH("T",$AQ288),999),IFERROR(SEARCH("U",$AQ288),999),IFERROR(SEARCH("V",$AQ288),999),IFERROR(SEARCH("W",$AQ288),999),IFERROR(SEARCH("X",$AQ288),999),IFERROR(SEARCH("Y",$AQ288),999),IFERROR(SEARCH("Z",$AQ288),999)))</f>
        <v/>
      </c>
      <c r="AZ288" s="32" t="s">
        <v>322</v>
      </c>
      <c r="BA288" s="25" t="s">
        <v>6128</v>
      </c>
      <c r="BB288" s="499"/>
      <c r="BC288" s="271"/>
      <c r="BD288" s="279">
        <v>1</v>
      </c>
      <c r="BE288" s="271"/>
      <c r="BF288" s="271"/>
      <c r="BG288" s="271"/>
      <c r="BH288" s="271"/>
      <c r="BI288" s="271"/>
      <c r="BJ288" s="271"/>
      <c r="BK288" s="271"/>
      <c r="BL288" s="271"/>
    </row>
    <row r="289" spans="18:64" ht="21" customHeight="1" x14ac:dyDescent="0.25">
      <c r="R289" s="34" t="s">
        <v>490</v>
      </c>
      <c r="S289" s="451"/>
      <c r="T289" s="31" t="s">
        <v>29</v>
      </c>
      <c r="V289" s="475">
        <f>$V$288</f>
        <v>7</v>
      </c>
      <c r="W289" s="475" t="str">
        <f>IF($AC$289="","",$W$288)</f>
        <v/>
      </c>
      <c r="X289" s="476" t="str">
        <f>IF($AC$289="","",$X$288)</f>
        <v/>
      </c>
      <c r="Y289" s="477" t="str">
        <f>IF($X$289="","",$Y$288)</f>
        <v/>
      </c>
      <c r="Z289" s="477" t="str">
        <f>IF($X$289="","",$Z$288)</f>
        <v/>
      </c>
      <c r="AA289" s="477" t="str">
        <f>IF($AC$289="","",ROW($A$289)-ROW($A$288))</f>
        <v/>
      </c>
      <c r="AB289" s="478"/>
      <c r="AC289" s="34"/>
      <c r="AD289" s="356"/>
      <c r="AE289" s="479"/>
      <c r="AF289" s="475"/>
      <c r="AG289" s="480" t="str">
        <f t="shared" si="76"/>
        <v/>
      </c>
      <c r="AH289" s="481" t="str">
        <f t="shared" si="77"/>
        <v/>
      </c>
      <c r="AI289" s="477" t="str">
        <f>IF($AC$289="","",IFERROR(INDEX($AZ$74:$AZ$119,MATCH($AH$289,$AY$74:$AY$119,0)),"AUTRE"))</f>
        <v/>
      </c>
      <c r="AJ289" s="482" t="str">
        <f>IF($AC$289="","",IFERROR(INDEX($BA$74:$BA$119,MATCH($AH$289,$AY$74:$AY$119,0)),1))</f>
        <v/>
      </c>
      <c r="AK289" s="482" t="str">
        <f t="shared" si="66"/>
        <v/>
      </c>
      <c r="AL289" s="477" t="str">
        <f>IF($AC$289="","",IFERROR(INDEX($BB$74:$BB$119,MATCH($AH$289,$AY$74:$AY$119,0)),$AH$289))</f>
        <v/>
      </c>
      <c r="AM289" s="483" t="str">
        <f t="shared" si="78"/>
        <v/>
      </c>
      <c r="AN289" s="484" t="str">
        <f t="shared" si="79"/>
        <v/>
      </c>
      <c r="AO289" s="473" t="str">
        <f t="shared" si="80"/>
        <v/>
      </c>
      <c r="AP289" s="473" t="str">
        <f t="shared" si="81"/>
        <v/>
      </c>
      <c r="AQ289" s="473" t="str">
        <f t="shared" si="82"/>
        <v/>
      </c>
      <c r="AR289" s="473" t="str">
        <f t="shared" si="83"/>
        <v/>
      </c>
      <c r="AS289" s="473" t="str">
        <f t="shared" si="84"/>
        <v/>
      </c>
      <c r="AT289" s="473" t="str">
        <f t="shared" si="85"/>
        <v/>
      </c>
      <c r="AU289" s="473" t="str">
        <f t="shared" si="86"/>
        <v/>
      </c>
      <c r="AZ289" s="32" t="s">
        <v>305</v>
      </c>
      <c r="BA289" s="34" t="s">
        <v>474</v>
      </c>
      <c r="BB289" s="499"/>
      <c r="BC289" s="271"/>
      <c r="BD289" s="279">
        <v>1</v>
      </c>
      <c r="BE289" s="271"/>
      <c r="BF289" s="271"/>
      <c r="BG289" s="271"/>
      <c r="BH289" s="271"/>
      <c r="BI289" s="271"/>
      <c r="BJ289" s="271"/>
      <c r="BK289" s="271"/>
      <c r="BL289" s="271"/>
    </row>
    <row r="290" spans="18:64" ht="21" customHeight="1" x14ac:dyDescent="0.25">
      <c r="R290" s="34" t="s">
        <v>6129</v>
      </c>
      <c r="S290" s="451"/>
      <c r="T290" s="31" t="s">
        <v>30</v>
      </c>
      <c r="V290" s="475">
        <v>7</v>
      </c>
      <c r="W290" s="475" t="str">
        <f>IF($AC$290="","",$W$288)</f>
        <v/>
      </c>
      <c r="X290" s="476" t="str">
        <f>IF($AC$290="","",$X$288)</f>
        <v/>
      </c>
      <c r="Y290" s="477" t="str">
        <f>IF($X$290="","",$Y$288)</f>
        <v/>
      </c>
      <c r="Z290" s="477" t="str">
        <f>IF($X$290="","",$Z$288)</f>
        <v/>
      </c>
      <c r="AA290" s="477" t="str">
        <f>IF($AC$290="","",ROW($A$290)-ROW($A$288))</f>
        <v/>
      </c>
      <c r="AB290" s="478"/>
      <c r="AC290" s="34"/>
      <c r="AD290" s="356"/>
      <c r="AE290" s="479"/>
      <c r="AF290" s="475"/>
      <c r="AG290" s="480" t="str">
        <f t="shared" si="76"/>
        <v/>
      </c>
      <c r="AH290" s="481" t="str">
        <f t="shared" si="77"/>
        <v/>
      </c>
      <c r="AI290" s="477" t="str">
        <f>IF($AC$290="","",IFERROR(INDEX($AZ$74:$AZ$119,MATCH($AH$290,$AY$74:$AY$119,0)),"AUTRE"))</f>
        <v/>
      </c>
      <c r="AJ290" s="482" t="str">
        <f>IF($AC$290="","",IFERROR(INDEX($BA$74:$BA$119,MATCH($AH$290,$AY$74:$AY$119,0)),1))</f>
        <v/>
      </c>
      <c r="AK290" s="482" t="str">
        <f t="shared" si="66"/>
        <v/>
      </c>
      <c r="AL290" s="477" t="str">
        <f>IF($AC$290="","",IFERROR(INDEX($BB$74:$BB$119,MATCH($AH$290,$AY$74:$AY$119,0)),$AH$290))</f>
        <v/>
      </c>
      <c r="AM290" s="483" t="str">
        <f t="shared" si="78"/>
        <v/>
      </c>
      <c r="AN290" s="484" t="str">
        <f t="shared" si="79"/>
        <v/>
      </c>
      <c r="AO290" s="473" t="str">
        <f t="shared" si="80"/>
        <v/>
      </c>
      <c r="AP290" s="473" t="str">
        <f t="shared" si="81"/>
        <v/>
      </c>
      <c r="AQ290" s="473" t="str">
        <f t="shared" si="82"/>
        <v/>
      </c>
      <c r="AR290" s="473" t="str">
        <f t="shared" si="83"/>
        <v/>
      </c>
      <c r="AS290" s="473" t="str">
        <f t="shared" si="84"/>
        <v/>
      </c>
      <c r="AT290" s="473" t="str">
        <f t="shared" si="85"/>
        <v/>
      </c>
      <c r="AU290" s="473" t="str">
        <f t="shared" si="86"/>
        <v/>
      </c>
      <c r="AZ290" s="32" t="s">
        <v>8129</v>
      </c>
      <c r="BA290" s="34" t="s">
        <v>490</v>
      </c>
      <c r="BB290" s="499"/>
      <c r="BC290" s="271"/>
      <c r="BD290" s="279">
        <v>1</v>
      </c>
      <c r="BE290" s="271"/>
      <c r="BF290" s="271"/>
      <c r="BG290" s="271"/>
      <c r="BH290" s="271"/>
      <c r="BI290" s="271"/>
      <c r="BJ290" s="271"/>
      <c r="BK290" s="271"/>
      <c r="BL290" s="271"/>
    </row>
    <row r="291" spans="18:64" ht="21" customHeight="1" x14ac:dyDescent="0.25">
      <c r="R291" s="34" t="s">
        <v>478</v>
      </c>
      <c r="S291" s="451"/>
      <c r="T291" s="31" t="s">
        <v>31</v>
      </c>
      <c r="V291" s="475">
        <v>7</v>
      </c>
      <c r="W291" s="475" t="str">
        <f>IF($AC$291="","",$W$288)</f>
        <v/>
      </c>
      <c r="X291" s="476" t="str">
        <f>IF($AC$291="","",$X$288)</f>
        <v/>
      </c>
      <c r="Y291" s="477" t="str">
        <f>IF($X$291="","",$Y$288)</f>
        <v/>
      </c>
      <c r="Z291" s="477" t="str">
        <f>IF($X$291="","",$Z$288)</f>
        <v/>
      </c>
      <c r="AA291" s="477" t="str">
        <f>IF($AC$291="","",ROW($A$291)-ROW($A$288))</f>
        <v/>
      </c>
      <c r="AB291" s="478"/>
      <c r="AC291" s="34"/>
      <c r="AD291" s="356"/>
      <c r="AE291" s="479"/>
      <c r="AF291" s="475"/>
      <c r="AG291" s="480" t="str">
        <f t="shared" si="76"/>
        <v/>
      </c>
      <c r="AH291" s="481" t="str">
        <f t="shared" si="77"/>
        <v/>
      </c>
      <c r="AI291" s="477" t="str">
        <f>IF($AC$291="","",IFERROR(INDEX($AZ$74:$AZ$119,MATCH($AH$291,$AY$74:$AY$119,0)),"AUTRE"))</f>
        <v/>
      </c>
      <c r="AJ291" s="482" t="str">
        <f>IF($AC$291="","",IFERROR(INDEX($BA$74:$BA$119,MATCH($AH$291,$AY$74:$AY$119,0)),1))</f>
        <v/>
      </c>
      <c r="AK291" s="482" t="str">
        <f t="shared" si="66"/>
        <v/>
      </c>
      <c r="AL291" s="477" t="str">
        <f>IF($AC$291="","",IFERROR(INDEX($BB$74:$BB$119,MATCH($AH$291,$AY$74:$AY$119,0)),$AH$291))</f>
        <v/>
      </c>
      <c r="AM291" s="483" t="str">
        <f t="shared" si="78"/>
        <v/>
      </c>
      <c r="AN291" s="484" t="str">
        <f t="shared" si="79"/>
        <v/>
      </c>
      <c r="AO291" s="473" t="str">
        <f t="shared" si="80"/>
        <v/>
      </c>
      <c r="AP291" s="473" t="str">
        <f t="shared" si="81"/>
        <v/>
      </c>
      <c r="AQ291" s="473" t="str">
        <f t="shared" si="82"/>
        <v/>
      </c>
      <c r="AR291" s="473" t="str">
        <f t="shared" si="83"/>
        <v/>
      </c>
      <c r="AS291" s="473" t="str">
        <f t="shared" si="84"/>
        <v/>
      </c>
      <c r="AT291" s="473" t="str">
        <f t="shared" si="85"/>
        <v/>
      </c>
      <c r="AU291" s="473" t="str">
        <f t="shared" si="86"/>
        <v/>
      </c>
      <c r="AZ291" s="32" t="s">
        <v>8131</v>
      </c>
      <c r="BA291" s="34" t="s">
        <v>6129</v>
      </c>
      <c r="BB291" s="499"/>
      <c r="BC291" s="271"/>
      <c r="BD291" s="279">
        <v>1</v>
      </c>
      <c r="BE291" s="271"/>
      <c r="BF291" s="271"/>
      <c r="BG291" s="271"/>
      <c r="BH291" s="271"/>
      <c r="BI291" s="271"/>
      <c r="BJ291" s="271"/>
      <c r="BK291" s="271"/>
      <c r="BL291" s="271"/>
    </row>
    <row r="292" spans="18:64" ht="21" customHeight="1" x14ac:dyDescent="0.25">
      <c r="R292" s="34" t="s">
        <v>6130</v>
      </c>
      <c r="S292" s="451"/>
      <c r="T292" s="32" t="s">
        <v>33</v>
      </c>
      <c r="V292" s="475">
        <v>7</v>
      </c>
      <c r="W292" s="475" t="str">
        <f>IF($AC$292="","",$W$288)</f>
        <v/>
      </c>
      <c r="X292" s="476" t="str">
        <f>IF($AC$292="","",$X$288)</f>
        <v/>
      </c>
      <c r="Y292" s="477" t="str">
        <f>IF($X$292="","",$Y$288)</f>
        <v/>
      </c>
      <c r="Z292" s="477" t="str">
        <f>IF($X$292="","",$Z$288)</f>
        <v/>
      </c>
      <c r="AA292" s="477" t="str">
        <f>IF($AC$292="","",ROW($A$292)-ROW($A$288))</f>
        <v/>
      </c>
      <c r="AB292" s="478"/>
      <c r="AC292" s="34"/>
      <c r="AD292" s="356"/>
      <c r="AE292" s="479"/>
      <c r="AF292" s="475"/>
      <c r="AG292" s="480" t="str">
        <f t="shared" si="76"/>
        <v/>
      </c>
      <c r="AH292" s="481" t="str">
        <f t="shared" si="77"/>
        <v/>
      </c>
      <c r="AI292" s="477" t="str">
        <f>IF($AC$292="","",IFERROR(INDEX($AZ$74:$AZ$119,MATCH($AH$292,$AY$74:$AY$119,0)),"AUTRE"))</f>
        <v/>
      </c>
      <c r="AJ292" s="482" t="str">
        <f>IF($AC$292="","",IFERROR(INDEX($BA$74:$BA$119,MATCH($AH$292,$AY$74:$AY$119,0)),1))</f>
        <v/>
      </c>
      <c r="AK292" s="482" t="str">
        <f t="shared" si="66"/>
        <v/>
      </c>
      <c r="AL292" s="477" t="str">
        <f>IF($AC$292="","",IFERROR(INDEX($BB$74:$BB$119,MATCH($AH$292,$AY$74:$AY$119,0)),$AH$292))</f>
        <v/>
      </c>
      <c r="AM292" s="483" t="str">
        <f t="shared" si="78"/>
        <v/>
      </c>
      <c r="AN292" s="484" t="str">
        <f t="shared" si="79"/>
        <v/>
      </c>
      <c r="AO292" s="473" t="str">
        <f t="shared" si="80"/>
        <v/>
      </c>
      <c r="AP292" s="473" t="str">
        <f t="shared" si="81"/>
        <v/>
      </c>
      <c r="AQ292" s="473" t="str">
        <f t="shared" si="82"/>
        <v/>
      </c>
      <c r="AR292" s="473" t="str">
        <f t="shared" si="83"/>
        <v/>
      </c>
      <c r="AS292" s="473" t="str">
        <f t="shared" si="84"/>
        <v/>
      </c>
      <c r="AT292" s="473" t="str">
        <f t="shared" si="85"/>
        <v/>
      </c>
      <c r="AU292" s="473" t="str">
        <f t="shared" si="86"/>
        <v/>
      </c>
      <c r="AZ292" s="32" t="s">
        <v>309</v>
      </c>
      <c r="BA292" s="34" t="s">
        <v>478</v>
      </c>
      <c r="BB292" s="499"/>
      <c r="BC292" s="271"/>
      <c r="BD292" s="279">
        <v>1</v>
      </c>
      <c r="BE292" s="271"/>
      <c r="BF292" s="271"/>
      <c r="BG292" s="271"/>
      <c r="BH292" s="271"/>
      <c r="BI292" s="271"/>
      <c r="BJ292" s="271"/>
      <c r="BK292" s="271"/>
      <c r="BL292" s="271"/>
    </row>
    <row r="293" spans="18:64" ht="21" customHeight="1" x14ac:dyDescent="0.25">
      <c r="R293" s="34" t="s">
        <v>486</v>
      </c>
      <c r="S293" s="451"/>
      <c r="T293" s="32" t="s">
        <v>8125</v>
      </c>
      <c r="V293" s="475">
        <v>7</v>
      </c>
      <c r="W293" s="475" t="str">
        <f>IF($AC$293="","",$W$288)</f>
        <v/>
      </c>
      <c r="X293" s="476" t="str">
        <f>IF($AC$293="","",$X$288)</f>
        <v/>
      </c>
      <c r="Y293" s="477" t="str">
        <f>IF($X$293="","",$Y$288)</f>
        <v/>
      </c>
      <c r="Z293" s="477" t="str">
        <f>IF($X$293="","",$Z$288)</f>
        <v/>
      </c>
      <c r="AA293" s="477" t="str">
        <f>IF($AC$293="","",ROW($A$293)-ROW($A$288))</f>
        <v/>
      </c>
      <c r="AB293" s="478"/>
      <c r="AC293" s="34"/>
      <c r="AD293" s="356"/>
      <c r="AE293" s="479"/>
      <c r="AF293" s="475"/>
      <c r="AG293" s="480" t="str">
        <f t="shared" si="76"/>
        <v/>
      </c>
      <c r="AH293" s="481" t="str">
        <f t="shared" si="77"/>
        <v/>
      </c>
      <c r="AI293" s="477" t="str">
        <f>IF($AC$293="","",IFERROR(INDEX($AZ$74:$AZ$119,MATCH($AH$293,$AY$74:$AY$119,0)),"AUTRE"))</f>
        <v/>
      </c>
      <c r="AJ293" s="482" t="str">
        <f>IF($AC$293="","",IFERROR(INDEX($BA$74:$BA$119,MATCH($AH$293,$AY$74:$AY$119,0)),1))</f>
        <v/>
      </c>
      <c r="AK293" s="482" t="str">
        <f t="shared" si="66"/>
        <v/>
      </c>
      <c r="AL293" s="477" t="str">
        <f>IF($AC$293="","",IFERROR(INDEX($BB$74:$BB$119,MATCH($AH$293,$AY$74:$AY$119,0)),$AH$293))</f>
        <v/>
      </c>
      <c r="AM293" s="483" t="str">
        <f t="shared" si="78"/>
        <v/>
      </c>
      <c r="AN293" s="484" t="str">
        <f t="shared" si="79"/>
        <v/>
      </c>
      <c r="AO293" s="473" t="str">
        <f t="shared" si="80"/>
        <v/>
      </c>
      <c r="AP293" s="473" t="str">
        <f t="shared" si="81"/>
        <v/>
      </c>
      <c r="AQ293" s="473" t="str">
        <f t="shared" si="82"/>
        <v/>
      </c>
      <c r="AR293" s="473" t="str">
        <f t="shared" si="83"/>
        <v/>
      </c>
      <c r="AS293" s="473" t="str">
        <f t="shared" si="84"/>
        <v/>
      </c>
      <c r="AT293" s="473" t="str">
        <f t="shared" si="85"/>
        <v/>
      </c>
      <c r="AU293" s="473" t="str">
        <f t="shared" si="86"/>
        <v/>
      </c>
      <c r="AZ293" s="32" t="s">
        <v>311</v>
      </c>
      <c r="BA293" s="34" t="s">
        <v>6130</v>
      </c>
      <c r="BB293" s="499"/>
      <c r="BC293" s="271"/>
      <c r="BD293" s="279">
        <v>1</v>
      </c>
      <c r="BE293" s="271"/>
      <c r="BF293" s="271"/>
      <c r="BG293" s="271"/>
      <c r="BH293" s="271"/>
      <c r="BI293" s="271"/>
      <c r="BJ293" s="271"/>
      <c r="BK293" s="271"/>
      <c r="BL293" s="271"/>
    </row>
    <row r="294" spans="18:64" ht="21" customHeight="1" x14ac:dyDescent="0.25">
      <c r="R294" s="34" t="s">
        <v>479</v>
      </c>
      <c r="S294" s="451"/>
      <c r="T294" s="32" t="s">
        <v>8127</v>
      </c>
      <c r="V294" s="475">
        <v>7</v>
      </c>
      <c r="W294" s="475" t="str">
        <f>IF($AC$294="","",$W$288)</f>
        <v/>
      </c>
      <c r="X294" s="476" t="str">
        <f>IF($AC$294="","",$X$288)</f>
        <v/>
      </c>
      <c r="Y294" s="477" t="str">
        <f>IF($X$294="","",$Y$288)</f>
        <v/>
      </c>
      <c r="Z294" s="477" t="str">
        <f>IF($X$294="","",$Z$288)</f>
        <v/>
      </c>
      <c r="AA294" s="477" t="str">
        <f>IF($AC$294="","",ROW($A$294)-ROW($A$288))</f>
        <v/>
      </c>
      <c r="AB294" s="478"/>
      <c r="AC294" s="34"/>
      <c r="AD294" s="356"/>
      <c r="AE294" s="479"/>
      <c r="AF294" s="475"/>
      <c r="AG294" s="480" t="str">
        <f t="shared" si="76"/>
        <v/>
      </c>
      <c r="AH294" s="481" t="str">
        <f t="shared" si="77"/>
        <v/>
      </c>
      <c r="AI294" s="477" t="str">
        <f>IF($AC$294="","",IFERROR(INDEX($AZ$74:$AZ$119,MATCH($AH$294,$AY$74:$AY$119,0)),"AUTRE"))</f>
        <v/>
      </c>
      <c r="AJ294" s="482" t="str">
        <f>IF($AC$294="","",IFERROR(INDEX($BA$74:$BA$119,MATCH($AH$294,$AY$74:$AY$119,0)),1))</f>
        <v/>
      </c>
      <c r="AK294" s="482" t="str">
        <f t="shared" si="66"/>
        <v/>
      </c>
      <c r="AL294" s="477" t="str">
        <f>IF($AC$294="","",IFERROR(INDEX($BB$74:$BB$119,MATCH($AH$294,$AY$74:$AY$119,0)),$AH$294))</f>
        <v/>
      </c>
      <c r="AM294" s="483" t="str">
        <f t="shared" si="78"/>
        <v/>
      </c>
      <c r="AN294" s="484" t="str">
        <f t="shared" si="79"/>
        <v/>
      </c>
      <c r="AO294" s="473" t="str">
        <f t="shared" si="80"/>
        <v/>
      </c>
      <c r="AP294" s="473" t="str">
        <f t="shared" si="81"/>
        <v/>
      </c>
      <c r="AQ294" s="473" t="str">
        <f t="shared" si="82"/>
        <v/>
      </c>
      <c r="AR294" s="473" t="str">
        <f t="shared" si="83"/>
        <v/>
      </c>
      <c r="AS294" s="473" t="str">
        <f t="shared" si="84"/>
        <v/>
      </c>
      <c r="AT294" s="473" t="str">
        <f t="shared" si="85"/>
        <v/>
      </c>
      <c r="AU294" s="473" t="str">
        <f t="shared" si="86"/>
        <v/>
      </c>
      <c r="AZ294" s="32" t="s">
        <v>8135</v>
      </c>
      <c r="BA294" s="34" t="s">
        <v>486</v>
      </c>
      <c r="BB294" s="499"/>
      <c r="BC294" s="271"/>
      <c r="BD294" s="279">
        <v>1</v>
      </c>
      <c r="BE294" s="271"/>
      <c r="BF294" s="271"/>
      <c r="BG294" s="271"/>
      <c r="BH294" s="271"/>
      <c r="BI294" s="271"/>
      <c r="BJ294" s="271"/>
      <c r="BK294" s="271"/>
      <c r="BL294" s="271"/>
    </row>
    <row r="295" spans="18:64" ht="21" customHeight="1" x14ac:dyDescent="0.25">
      <c r="R295" s="34" t="s">
        <v>6131</v>
      </c>
      <c r="S295" s="451"/>
      <c r="T295" s="32" t="s">
        <v>320</v>
      </c>
      <c r="V295" s="475">
        <v>7</v>
      </c>
      <c r="W295" s="475" t="str">
        <f>IF($AC$295="","",$W$288)</f>
        <v/>
      </c>
      <c r="X295" s="476" t="str">
        <f>IF($AC$295="","",$X$288)</f>
        <v/>
      </c>
      <c r="Y295" s="477" t="str">
        <f>IF($X$295="","",$Y$288)</f>
        <v/>
      </c>
      <c r="Z295" s="477" t="str">
        <f>IF($X$295="","",$Z$288)</f>
        <v/>
      </c>
      <c r="AA295" s="477" t="str">
        <f>IF($AC$295="","",ROW($A$295)-ROW($A$288))</f>
        <v/>
      </c>
      <c r="AB295" s="478"/>
      <c r="AC295" s="34"/>
      <c r="AD295" s="356"/>
      <c r="AE295" s="479"/>
      <c r="AF295" s="475"/>
      <c r="AG295" s="480" t="str">
        <f t="shared" si="76"/>
        <v/>
      </c>
      <c r="AH295" s="481" t="str">
        <f t="shared" si="77"/>
        <v/>
      </c>
      <c r="AI295" s="477" t="str">
        <f>IF($AC$295="","",IFERROR(INDEX($AZ$74:$AZ$119,MATCH($AH$295,$AY$74:$AY$119,0)),"AUTRE"))</f>
        <v/>
      </c>
      <c r="AJ295" s="482" t="str">
        <f>IF($AC$295="","",IFERROR(INDEX($BA$74:$BA$119,MATCH($AH$295,$AY$74:$AY$119,0)),1))</f>
        <v/>
      </c>
      <c r="AK295" s="482" t="str">
        <f t="shared" si="66"/>
        <v/>
      </c>
      <c r="AL295" s="477" t="str">
        <f>IF($AC$295="","",IFERROR(INDEX($BB$74:$BB$119,MATCH($AH$295,$AY$74:$AY$119,0)),$AH$295))</f>
        <v/>
      </c>
      <c r="AM295" s="483" t="str">
        <f t="shared" si="78"/>
        <v/>
      </c>
      <c r="AN295" s="484" t="str">
        <f t="shared" si="79"/>
        <v/>
      </c>
      <c r="AO295" s="473" t="str">
        <f t="shared" si="80"/>
        <v/>
      </c>
      <c r="AP295" s="473" t="str">
        <f t="shared" si="81"/>
        <v/>
      </c>
      <c r="AQ295" s="473" t="str">
        <f t="shared" si="82"/>
        <v/>
      </c>
      <c r="AR295" s="473" t="str">
        <f t="shared" si="83"/>
        <v/>
      </c>
      <c r="AS295" s="473" t="str">
        <f t="shared" si="84"/>
        <v/>
      </c>
      <c r="AT295" s="473" t="str">
        <f t="shared" si="85"/>
        <v/>
      </c>
      <c r="AU295" s="473" t="str">
        <f t="shared" si="86"/>
        <v/>
      </c>
      <c r="AZ295" s="32" t="s">
        <v>8137</v>
      </c>
      <c r="BA295" s="34" t="s">
        <v>479</v>
      </c>
      <c r="BB295" s="499"/>
      <c r="BC295" s="271"/>
      <c r="BD295" s="279">
        <v>1</v>
      </c>
      <c r="BE295" s="271"/>
      <c r="BF295" s="271"/>
      <c r="BG295" s="271"/>
      <c r="BH295" s="271"/>
      <c r="BI295" s="271"/>
      <c r="BJ295" s="271"/>
      <c r="BK295" s="271"/>
      <c r="BL295" s="271"/>
    </row>
    <row r="296" spans="18:64" ht="21" customHeight="1" x14ac:dyDescent="0.25">
      <c r="R296" s="34" t="s">
        <v>485</v>
      </c>
      <c r="S296" s="451"/>
      <c r="T296" s="32" t="s">
        <v>318</v>
      </c>
      <c r="V296" s="475">
        <v>7</v>
      </c>
      <c r="W296" s="475" t="str">
        <f>IF($AC$296="","",$W$288)</f>
        <v/>
      </c>
      <c r="X296" s="476" t="str">
        <f>IF($AC$296="","",$X$288)</f>
        <v/>
      </c>
      <c r="Y296" s="477" t="str">
        <f>IF($X$296="","",$Y$288)</f>
        <v/>
      </c>
      <c r="Z296" s="477" t="str">
        <f>IF($X$296="","",$Z$288)</f>
        <v/>
      </c>
      <c r="AA296" s="477" t="str">
        <f>IF($AC$296="","",ROW($A$296)-ROW($A$288))</f>
        <v/>
      </c>
      <c r="AB296" s="478"/>
      <c r="AC296" s="34"/>
      <c r="AD296" s="356"/>
      <c r="AE296" s="479"/>
      <c r="AF296" s="475"/>
      <c r="AG296" s="480" t="str">
        <f t="shared" si="76"/>
        <v/>
      </c>
      <c r="AH296" s="481" t="str">
        <f t="shared" si="77"/>
        <v/>
      </c>
      <c r="AI296" s="477" t="str">
        <f>IF($AC$296="","",IFERROR(INDEX($AZ$74:$AZ$119,MATCH($AH$296,$AY$74:$AY$119,0)),"AUTRE"))</f>
        <v/>
      </c>
      <c r="AJ296" s="482" t="str">
        <f>IF($AC$296="","",IFERROR(INDEX($BA$74:$BA$119,MATCH($AH$296,$AY$74:$AY$119,0)),1))</f>
        <v/>
      </c>
      <c r="AK296" s="482" t="str">
        <f t="shared" si="66"/>
        <v/>
      </c>
      <c r="AL296" s="477" t="str">
        <f>IF($AC$296="","",IFERROR(INDEX($BB$74:$BB$119,MATCH($AH$296,$AY$74:$AY$119,0)),$AH$296))</f>
        <v/>
      </c>
      <c r="AM296" s="483" t="str">
        <f t="shared" si="78"/>
        <v/>
      </c>
      <c r="AN296" s="484" t="str">
        <f t="shared" si="79"/>
        <v/>
      </c>
      <c r="AO296" s="473" t="str">
        <f t="shared" si="80"/>
        <v/>
      </c>
      <c r="AP296" s="473" t="str">
        <f t="shared" si="81"/>
        <v/>
      </c>
      <c r="AQ296" s="473" t="str">
        <f t="shared" si="82"/>
        <v/>
      </c>
      <c r="AR296" s="473" t="str">
        <f t="shared" si="83"/>
        <v/>
      </c>
      <c r="AS296" s="473" t="str">
        <f t="shared" si="84"/>
        <v/>
      </c>
      <c r="AT296" s="473" t="str">
        <f t="shared" si="85"/>
        <v/>
      </c>
      <c r="AU296" s="473" t="str">
        <f t="shared" si="86"/>
        <v/>
      </c>
      <c r="AZ296" s="32" t="s">
        <v>8139</v>
      </c>
      <c r="BA296" s="34" t="s">
        <v>6131</v>
      </c>
      <c r="BB296" s="499"/>
      <c r="BC296" s="271"/>
      <c r="BD296" s="279">
        <v>1</v>
      </c>
      <c r="BE296" s="271"/>
      <c r="BF296" s="271"/>
      <c r="BG296" s="271"/>
      <c r="BH296" s="271"/>
      <c r="BI296" s="271"/>
      <c r="BJ296" s="271"/>
      <c r="BK296" s="271"/>
      <c r="BL296" s="271"/>
    </row>
    <row r="297" spans="18:64" ht="21" customHeight="1" x14ac:dyDescent="0.25">
      <c r="R297" s="34" t="s">
        <v>6132</v>
      </c>
      <c r="S297" s="451"/>
      <c r="T297" s="32" t="s">
        <v>316</v>
      </c>
      <c r="V297" s="475">
        <v>7</v>
      </c>
      <c r="W297" s="475" t="str">
        <f>IF($AC$297="","",$W$288)</f>
        <v/>
      </c>
      <c r="X297" s="476" t="str">
        <f>IF($AC$297="","",$X$288)</f>
        <v/>
      </c>
      <c r="Y297" s="477" t="str">
        <f>IF($X$297="","",$Y$288)</f>
        <v/>
      </c>
      <c r="Z297" s="477" t="str">
        <f>IF($X$297="","",$Z$288)</f>
        <v/>
      </c>
      <c r="AA297" s="477" t="str">
        <f>IF($AC$297="","",ROW($A$297)-ROW($A$288))</f>
        <v/>
      </c>
      <c r="AB297" s="478"/>
      <c r="AC297" s="34"/>
      <c r="AD297" s="356"/>
      <c r="AE297" s="479"/>
      <c r="AF297" s="475"/>
      <c r="AG297" s="480" t="str">
        <f t="shared" si="76"/>
        <v/>
      </c>
      <c r="AH297" s="481" t="str">
        <f t="shared" si="77"/>
        <v/>
      </c>
      <c r="AI297" s="477" t="str">
        <f>IF($AC$297="","",IFERROR(INDEX($AZ$74:$AZ$119,MATCH($AH$297,$AY$74:$AY$119,0)),"AUTRE"))</f>
        <v/>
      </c>
      <c r="AJ297" s="482" t="str">
        <f>IF($AC$297="","",IFERROR(INDEX($BA$74:$BA$119,MATCH($AH$297,$AY$74:$AY$119,0)),1))</f>
        <v/>
      </c>
      <c r="AK297" s="482" t="str">
        <f t="shared" si="66"/>
        <v/>
      </c>
      <c r="AL297" s="477" t="str">
        <f>IF($AC$297="","",IFERROR(INDEX($BB$74:$BB$119,MATCH($AH$297,$AY$74:$AY$119,0)),$AH$297))</f>
        <v/>
      </c>
      <c r="AM297" s="483" t="str">
        <f t="shared" si="78"/>
        <v/>
      </c>
      <c r="AN297" s="484" t="str">
        <f t="shared" si="79"/>
        <v/>
      </c>
      <c r="AO297" s="473" t="str">
        <f t="shared" si="80"/>
        <v/>
      </c>
      <c r="AP297" s="473" t="str">
        <f t="shared" si="81"/>
        <v/>
      </c>
      <c r="AQ297" s="473" t="str">
        <f t="shared" si="82"/>
        <v/>
      </c>
      <c r="AR297" s="473" t="str">
        <f t="shared" si="83"/>
        <v/>
      </c>
      <c r="AS297" s="473" t="str">
        <f t="shared" si="84"/>
        <v/>
      </c>
      <c r="AT297" s="473" t="str">
        <f t="shared" si="85"/>
        <v/>
      </c>
      <c r="AU297" s="473" t="str">
        <f t="shared" si="86"/>
        <v/>
      </c>
      <c r="AZ297" s="32" t="s">
        <v>8141</v>
      </c>
      <c r="BA297" s="34" t="s">
        <v>485</v>
      </c>
      <c r="BB297" s="499"/>
      <c r="BC297" s="271"/>
      <c r="BD297" s="279">
        <v>1</v>
      </c>
      <c r="BE297" s="271"/>
      <c r="BF297" s="271"/>
      <c r="BG297" s="271"/>
      <c r="BH297" s="271"/>
      <c r="BI297" s="271"/>
      <c r="BJ297" s="271"/>
      <c r="BK297" s="271"/>
      <c r="BL297" s="271"/>
    </row>
    <row r="298" spans="18:64" ht="21" customHeight="1" x14ac:dyDescent="0.25">
      <c r="R298" s="25" t="s">
        <v>6133</v>
      </c>
      <c r="S298" s="451"/>
      <c r="T298" s="32" t="s">
        <v>313</v>
      </c>
      <c r="V298" s="475">
        <v>7</v>
      </c>
      <c r="W298" s="475" t="str">
        <f>IF($AC$298="","",$W$288)</f>
        <v/>
      </c>
      <c r="X298" s="476" t="str">
        <f>IF($AC$298="","",$X$288)</f>
        <v/>
      </c>
      <c r="Y298" s="477" t="str">
        <f>IF($X$298="","",$Y$288)</f>
        <v/>
      </c>
      <c r="Z298" s="477" t="str">
        <f>IF($X$298="","",$Z$288)</f>
        <v/>
      </c>
      <c r="AA298" s="477" t="str">
        <f>IF($AC$298="","",ROW($A$298)-ROW($A$288))</f>
        <v/>
      </c>
      <c r="AB298" s="478"/>
      <c r="AC298" s="34"/>
      <c r="AD298" s="356"/>
      <c r="AE298" s="479"/>
      <c r="AF298" s="475"/>
      <c r="AG298" s="480" t="str">
        <f t="shared" si="76"/>
        <v/>
      </c>
      <c r="AH298" s="481" t="str">
        <f t="shared" si="77"/>
        <v/>
      </c>
      <c r="AI298" s="477" t="str">
        <f>IF($AC$298="","",IFERROR(INDEX($AZ$74:$AZ$119,MATCH($AH$298,$AY$74:$AY$119,0)),"AUTRE"))</f>
        <v/>
      </c>
      <c r="AJ298" s="482" t="str">
        <f>IF($AC$298="","",IFERROR(INDEX($BA$74:$BA$119,MATCH($AH$298,$AY$74:$AY$119,0)),1))</f>
        <v/>
      </c>
      <c r="AK298" s="482" t="str">
        <f t="shared" si="66"/>
        <v/>
      </c>
      <c r="AL298" s="477" t="str">
        <f>IF($AC$298="","",IFERROR(INDEX($BB$74:$BB$119,MATCH($AH$298,$AY$74:$AY$119,0)),$AH$298))</f>
        <v/>
      </c>
      <c r="AM298" s="483" t="str">
        <f t="shared" si="78"/>
        <v/>
      </c>
      <c r="AN298" s="484" t="str">
        <f t="shared" si="79"/>
        <v/>
      </c>
      <c r="AO298" s="473" t="str">
        <f t="shared" si="80"/>
        <v/>
      </c>
      <c r="AP298" s="473" t="str">
        <f t="shared" si="81"/>
        <v/>
      </c>
      <c r="AQ298" s="473" t="str">
        <f t="shared" si="82"/>
        <v/>
      </c>
      <c r="AR298" s="473" t="str">
        <f t="shared" si="83"/>
        <v/>
      </c>
      <c r="AS298" s="473" t="str">
        <f t="shared" si="84"/>
        <v/>
      </c>
      <c r="AT298" s="473" t="str">
        <f t="shared" si="85"/>
        <v/>
      </c>
      <c r="AU298" s="473" t="str">
        <f t="shared" si="86"/>
        <v/>
      </c>
      <c r="AZ298" s="32" t="s">
        <v>8143</v>
      </c>
      <c r="BA298" s="34" t="s">
        <v>6132</v>
      </c>
      <c r="BB298" s="499"/>
      <c r="BC298" s="271"/>
      <c r="BD298" s="279">
        <v>1</v>
      </c>
      <c r="BE298" s="271"/>
      <c r="BF298" s="271"/>
      <c r="BG298" s="271"/>
      <c r="BH298" s="271"/>
      <c r="BI298" s="271"/>
      <c r="BJ298" s="271"/>
      <c r="BK298" s="271"/>
      <c r="BL298" s="271"/>
    </row>
    <row r="299" spans="18:64" ht="21" customHeight="1" x14ac:dyDescent="0.25">
      <c r="R299" s="34" t="s">
        <v>476</v>
      </c>
      <c r="S299" s="451"/>
      <c r="T299" s="32" t="s">
        <v>307</v>
      </c>
      <c r="V299" s="475">
        <v>7</v>
      </c>
      <c r="W299" s="475" t="str">
        <f>IF($AC$299="","",$W$288)</f>
        <v/>
      </c>
      <c r="X299" s="476" t="str">
        <f>IF($AC$299="","",$X$288)</f>
        <v/>
      </c>
      <c r="Y299" s="477" t="str">
        <f>IF($X$299="","",$Y$288)</f>
        <v/>
      </c>
      <c r="Z299" s="477" t="str">
        <f>IF($X$299="","",$Z$288)</f>
        <v/>
      </c>
      <c r="AA299" s="477" t="str">
        <f>IF($AC$299="","",ROW($A$299)-ROW($A$288))</f>
        <v/>
      </c>
      <c r="AB299" s="478"/>
      <c r="AC299" s="34"/>
      <c r="AD299" s="356"/>
      <c r="AE299" s="479"/>
      <c r="AF299" s="475"/>
      <c r="AG299" s="480" t="str">
        <f t="shared" si="76"/>
        <v/>
      </c>
      <c r="AH299" s="481" t="str">
        <f t="shared" si="77"/>
        <v/>
      </c>
      <c r="AI299" s="477" t="str">
        <f>IF($AC$299="","",IFERROR(INDEX($AZ$74:$AZ$119,MATCH($AH$299,$AY$74:$AY$119,0)),"AUTRE"))</f>
        <v/>
      </c>
      <c r="AJ299" s="482" t="str">
        <f>IF($AC$299="","",IFERROR(INDEX($BA$74:$BA$119,MATCH($AH$299,$AY$74:$AY$119,0)),1))</f>
        <v/>
      </c>
      <c r="AK299" s="482" t="str">
        <f t="shared" si="66"/>
        <v/>
      </c>
      <c r="AL299" s="477" t="str">
        <f>IF($AC$299="","",IFERROR(INDEX($BB$74:$BB$119,MATCH($AH$299,$AY$74:$AY$119,0)),$AH$299))</f>
        <v/>
      </c>
      <c r="AM299" s="483" t="str">
        <f t="shared" si="78"/>
        <v/>
      </c>
      <c r="AN299" s="484" t="str">
        <f t="shared" si="79"/>
        <v/>
      </c>
      <c r="AO299" s="473" t="str">
        <f t="shared" si="80"/>
        <v/>
      </c>
      <c r="AP299" s="473" t="str">
        <f t="shared" si="81"/>
        <v/>
      </c>
      <c r="AQ299" s="473" t="str">
        <f t="shared" si="82"/>
        <v/>
      </c>
      <c r="AR299" s="473" t="str">
        <f t="shared" si="83"/>
        <v/>
      </c>
      <c r="AS299" s="473" t="str">
        <f t="shared" si="84"/>
        <v/>
      </c>
      <c r="AT299" s="473" t="str">
        <f t="shared" si="85"/>
        <v/>
      </c>
      <c r="AU299" s="473" t="str">
        <f t="shared" si="86"/>
        <v/>
      </c>
      <c r="AZ299" s="497" t="s">
        <v>8145</v>
      </c>
      <c r="BA299" s="25" t="s">
        <v>6133</v>
      </c>
      <c r="BB299" s="499"/>
      <c r="BC299" s="271"/>
      <c r="BD299" s="279">
        <v>1</v>
      </c>
      <c r="BE299" s="271"/>
      <c r="BF299" s="271"/>
      <c r="BG299" s="271"/>
      <c r="BH299" s="271"/>
      <c r="BI299" s="271"/>
      <c r="BJ299" s="271"/>
      <c r="BK299" s="271"/>
      <c r="BL299" s="271"/>
    </row>
    <row r="300" spans="18:64" ht="21" customHeight="1" x14ac:dyDescent="0.25">
      <c r="R300" s="34" t="s">
        <v>468</v>
      </c>
      <c r="S300" s="451"/>
      <c r="T300" s="32" t="s">
        <v>322</v>
      </c>
      <c r="V300" s="475">
        <v>7</v>
      </c>
      <c r="W300" s="475" t="str">
        <f>IF($AC$300="","",$W$288)</f>
        <v/>
      </c>
      <c r="X300" s="476" t="str">
        <f>IF($AC$300="","",$X$288)</f>
        <v/>
      </c>
      <c r="Y300" s="477" t="str">
        <f>IF($X$300="","",$Y$288)</f>
        <v/>
      </c>
      <c r="Z300" s="477" t="str">
        <f>IF($X$300="","",$Z$288)</f>
        <v/>
      </c>
      <c r="AA300" s="477" t="str">
        <f>IF($AC$300="","",ROW($A$300)-ROW($A$288))</f>
        <v/>
      </c>
      <c r="AB300" s="478"/>
      <c r="AC300" s="34"/>
      <c r="AD300" s="356"/>
      <c r="AE300" s="479"/>
      <c r="AF300" s="475"/>
      <c r="AG300" s="480" t="str">
        <f t="shared" si="76"/>
        <v/>
      </c>
      <c r="AH300" s="481" t="str">
        <f t="shared" si="77"/>
        <v/>
      </c>
      <c r="AI300" s="477" t="str">
        <f>IF($AC$300="","",IFERROR(INDEX($AZ$74:$AZ$119,MATCH($AH$300,$AY$74:$AY$119,0)),"AUTRE"))</f>
        <v/>
      </c>
      <c r="AJ300" s="482" t="str">
        <f>IF($AC$300="","",IFERROR(INDEX($BA$74:$BA$119,MATCH($AH$300,$AY$74:$AY$119,0)),1))</f>
        <v/>
      </c>
      <c r="AK300" s="482" t="str">
        <f t="shared" si="66"/>
        <v/>
      </c>
      <c r="AL300" s="477" t="str">
        <f>IF($AC$300="","",IFERROR(INDEX($BB$74:$BB$119,MATCH($AH$300,$AY$74:$AY$119,0)),$AH$300))</f>
        <v/>
      </c>
      <c r="AM300" s="483" t="str">
        <f t="shared" si="78"/>
        <v/>
      </c>
      <c r="AN300" s="484" t="str">
        <f t="shared" si="79"/>
        <v/>
      </c>
      <c r="AO300" s="473" t="str">
        <f t="shared" si="80"/>
        <v/>
      </c>
      <c r="AP300" s="473" t="str">
        <f t="shared" si="81"/>
        <v/>
      </c>
      <c r="AQ300" s="473" t="str">
        <f t="shared" si="82"/>
        <v/>
      </c>
      <c r="AR300" s="473" t="str">
        <f t="shared" si="83"/>
        <v/>
      </c>
      <c r="AS300" s="473" t="str">
        <f t="shared" si="84"/>
        <v/>
      </c>
      <c r="AT300" s="473" t="str">
        <f t="shared" si="85"/>
        <v/>
      </c>
      <c r="AU300" s="473" t="str">
        <f t="shared" si="86"/>
        <v/>
      </c>
      <c r="AZ300" s="497" t="s">
        <v>462</v>
      </c>
      <c r="BA300" s="34" t="s">
        <v>476</v>
      </c>
      <c r="BB300" s="499"/>
      <c r="BC300" s="271"/>
      <c r="BD300" s="279">
        <v>1</v>
      </c>
      <c r="BE300" s="271"/>
      <c r="BF300" s="271"/>
      <c r="BG300" s="271"/>
      <c r="BH300" s="271"/>
      <c r="BI300" s="271"/>
      <c r="BJ300" s="271"/>
      <c r="BK300" s="271"/>
      <c r="BL300" s="271"/>
    </row>
    <row r="301" spans="18:64" ht="21" customHeight="1" x14ac:dyDescent="0.25">
      <c r="R301" s="34" t="s">
        <v>473</v>
      </c>
      <c r="S301" s="451"/>
      <c r="T301" s="32" t="s">
        <v>305</v>
      </c>
      <c r="V301" s="475">
        <v>7</v>
      </c>
      <c r="W301" s="475" t="str">
        <f>IF($AC$301="","",$W$288)</f>
        <v/>
      </c>
      <c r="X301" s="476" t="str">
        <f>IF($AC$301="","",$X$288)</f>
        <v/>
      </c>
      <c r="Y301" s="477" t="str">
        <f>IF($X$301="","",$Y$288)</f>
        <v/>
      </c>
      <c r="Z301" s="477" t="str">
        <f>IF($X$301="","",$Z$288)</f>
        <v/>
      </c>
      <c r="AA301" s="477" t="str">
        <f>IF($AC$301="","",ROW($A$301)-ROW($A$288))</f>
        <v/>
      </c>
      <c r="AB301" s="478"/>
      <c r="AC301" s="34"/>
      <c r="AD301" s="356"/>
      <c r="AE301" s="479"/>
      <c r="AF301" s="475"/>
      <c r="AG301" s="480" t="str">
        <f t="shared" si="76"/>
        <v/>
      </c>
      <c r="AH301" s="481" t="str">
        <f t="shared" si="77"/>
        <v/>
      </c>
      <c r="AI301" s="477" t="str">
        <f>IF($AC$301="","",IFERROR(INDEX($AZ$74:$AZ$119,MATCH($AH$301,$AY$74:$AY$119,0)),"AUTRE"))</f>
        <v/>
      </c>
      <c r="AJ301" s="482" t="str">
        <f>IF($AC$301="","",IFERROR(INDEX($BA$74:$BA$119,MATCH($AH$301,$AY$74:$AY$119,0)),1))</f>
        <v/>
      </c>
      <c r="AK301" s="482" t="str">
        <f t="shared" si="66"/>
        <v/>
      </c>
      <c r="AL301" s="477" t="str">
        <f>IF($AC$301="","",IFERROR(INDEX($BB$74:$BB$119,MATCH($AH$301,$AY$74:$AY$119,0)),$AH$301))</f>
        <v/>
      </c>
      <c r="AM301" s="483" t="str">
        <f t="shared" si="78"/>
        <v/>
      </c>
      <c r="AN301" s="484" t="str">
        <f t="shared" si="79"/>
        <v/>
      </c>
      <c r="AO301" s="473" t="str">
        <f t="shared" si="80"/>
        <v/>
      </c>
      <c r="AP301" s="473" t="str">
        <f t="shared" si="81"/>
        <v/>
      </c>
      <c r="AQ301" s="473" t="str">
        <f t="shared" si="82"/>
        <v/>
      </c>
      <c r="AR301" s="473" t="str">
        <f t="shared" si="83"/>
        <v/>
      </c>
      <c r="AS301" s="473" t="str">
        <f t="shared" si="84"/>
        <v/>
      </c>
      <c r="AT301" s="473" t="str">
        <f t="shared" si="85"/>
        <v/>
      </c>
      <c r="AU301" s="473" t="str">
        <f t="shared" si="86"/>
        <v/>
      </c>
      <c r="AZ301" s="497" t="s">
        <v>463</v>
      </c>
      <c r="BA301" s="34" t="s">
        <v>468</v>
      </c>
      <c r="BB301" s="499"/>
      <c r="BC301" s="271"/>
      <c r="BD301" s="279">
        <v>1</v>
      </c>
      <c r="BE301" s="271"/>
      <c r="BF301" s="271"/>
      <c r="BG301" s="271"/>
      <c r="BH301" s="271"/>
      <c r="BI301" s="271"/>
      <c r="BJ301" s="271"/>
      <c r="BK301" s="271"/>
      <c r="BL301" s="271"/>
    </row>
    <row r="302" spans="18:64" ht="21" customHeight="1" x14ac:dyDescent="0.25">
      <c r="R302" s="34" t="s">
        <v>497</v>
      </c>
      <c r="S302" s="451"/>
      <c r="T302" s="32" t="s">
        <v>309</v>
      </c>
      <c r="V302" s="475">
        <v>7</v>
      </c>
      <c r="W302" s="475" t="str">
        <f>IF($AC$302="","",$W$288)</f>
        <v/>
      </c>
      <c r="X302" s="476" t="str">
        <f>IF($AC$302="","",$X$288)</f>
        <v/>
      </c>
      <c r="Y302" s="477" t="str">
        <f>IF($X$302="","",$Y$288)</f>
        <v/>
      </c>
      <c r="Z302" s="477" t="str">
        <f>IF($X$302="","",$Z$288)</f>
        <v/>
      </c>
      <c r="AA302" s="477" t="str">
        <f>IF($AC$302="","",ROW($A$302)-ROW($A$288))</f>
        <v/>
      </c>
      <c r="AB302" s="478"/>
      <c r="AC302" s="34"/>
      <c r="AD302" s="356"/>
      <c r="AE302" s="479"/>
      <c r="AF302" s="475"/>
      <c r="AG302" s="480" t="str">
        <f t="shared" si="76"/>
        <v/>
      </c>
      <c r="AH302" s="481" t="str">
        <f t="shared" si="77"/>
        <v/>
      </c>
      <c r="AI302" s="477" t="str">
        <f>IF($AC$302="","",IFERROR(INDEX($AZ$74:$AZ$119,MATCH($AH$302,$AY$74:$AY$119,0)),"AUTRE"))</f>
        <v/>
      </c>
      <c r="AJ302" s="482" t="str">
        <f>IF($AC$302="","",IFERROR(INDEX($BA$74:$BA$119,MATCH($AH$302,$AY$74:$AY$119,0)),1))</f>
        <v/>
      </c>
      <c r="AK302" s="482" t="str">
        <f t="shared" si="66"/>
        <v/>
      </c>
      <c r="AL302" s="477" t="str">
        <f>IF($AC$302="","",IFERROR(INDEX($BB$74:$BB$119,MATCH($AH$302,$AY$74:$AY$119,0)),$AH$302))</f>
        <v/>
      </c>
      <c r="AM302" s="483" t="str">
        <f t="shared" si="78"/>
        <v/>
      </c>
      <c r="AN302" s="484" t="str">
        <f t="shared" si="79"/>
        <v/>
      </c>
      <c r="AO302" s="473" t="str">
        <f t="shared" si="80"/>
        <v/>
      </c>
      <c r="AP302" s="473" t="str">
        <f t="shared" si="81"/>
        <v/>
      </c>
      <c r="AQ302" s="473" t="str">
        <f t="shared" si="82"/>
        <v/>
      </c>
      <c r="AR302" s="473" t="str">
        <f t="shared" si="83"/>
        <v/>
      </c>
      <c r="AS302" s="473" t="str">
        <f t="shared" si="84"/>
        <v/>
      </c>
      <c r="AT302" s="473" t="str">
        <f t="shared" si="85"/>
        <v/>
      </c>
      <c r="AU302" s="473" t="str">
        <f t="shared" si="86"/>
        <v/>
      </c>
      <c r="AZ302" s="497" t="s">
        <v>8147</v>
      </c>
      <c r="BA302" s="34" t="s">
        <v>473</v>
      </c>
      <c r="BB302" s="499"/>
      <c r="BC302" s="271"/>
      <c r="BD302" s="279">
        <v>1</v>
      </c>
      <c r="BE302" s="271"/>
      <c r="BF302" s="271"/>
      <c r="BG302" s="271"/>
      <c r="BH302" s="271"/>
      <c r="BI302" s="271"/>
      <c r="BJ302" s="271"/>
      <c r="BK302" s="271"/>
      <c r="BL302" s="271"/>
    </row>
    <row r="303" spans="18:64" ht="21" customHeight="1" x14ac:dyDescent="0.25">
      <c r="R303" s="34" t="s">
        <v>470</v>
      </c>
      <c r="S303" s="451"/>
      <c r="T303" s="32" t="s">
        <v>311</v>
      </c>
      <c r="V303" s="475">
        <v>7</v>
      </c>
      <c r="W303" s="475" t="str">
        <f>IF($AC$303="","",$W$288)</f>
        <v/>
      </c>
      <c r="X303" s="476" t="str">
        <f>IF($AC$303="","",$X$288)</f>
        <v/>
      </c>
      <c r="Y303" s="477" t="str">
        <f>IF($X$303="","",$Y$288)</f>
        <v/>
      </c>
      <c r="Z303" s="477" t="str">
        <f>IF($X$303="","",$Z$288)</f>
        <v/>
      </c>
      <c r="AA303" s="477" t="str">
        <f>IF($AC$303="","",ROW($A$303)-ROW($A$288))</f>
        <v/>
      </c>
      <c r="AB303" s="478"/>
      <c r="AC303" s="34"/>
      <c r="AD303" s="356"/>
      <c r="AE303" s="479"/>
      <c r="AF303" s="475"/>
      <c r="AG303" s="480" t="str">
        <f t="shared" si="76"/>
        <v/>
      </c>
      <c r="AH303" s="481" t="str">
        <f t="shared" si="77"/>
        <v/>
      </c>
      <c r="AI303" s="477" t="str">
        <f>IF($AC$303="","",IFERROR(INDEX($AZ$74:$AZ$119,MATCH($AH$303,$AY$74:$AY$119,0)),"AUTRE"))</f>
        <v/>
      </c>
      <c r="AJ303" s="482" t="str">
        <f>IF($AC$303="","",IFERROR(INDEX($BA$74:$BA$119,MATCH($AH$303,$AY$74:$AY$119,0)),1))</f>
        <v/>
      </c>
      <c r="AK303" s="482" t="str">
        <f t="shared" si="66"/>
        <v/>
      </c>
      <c r="AL303" s="477" t="str">
        <f>IF($AC$303="","",IFERROR(INDEX($BB$74:$BB$119,MATCH($AH$303,$AY$74:$AY$119,0)),$AH$303))</f>
        <v/>
      </c>
      <c r="AM303" s="483" t="str">
        <f t="shared" si="78"/>
        <v/>
      </c>
      <c r="AN303" s="484" t="str">
        <f t="shared" si="79"/>
        <v/>
      </c>
      <c r="AO303" s="473" t="str">
        <f t="shared" si="80"/>
        <v/>
      </c>
      <c r="AP303" s="473" t="str">
        <f t="shared" si="81"/>
        <v/>
      </c>
      <c r="AQ303" s="473" t="str">
        <f t="shared" si="82"/>
        <v/>
      </c>
      <c r="AR303" s="473" t="str">
        <f t="shared" si="83"/>
        <v/>
      </c>
      <c r="AS303" s="473" t="str">
        <f t="shared" si="84"/>
        <v/>
      </c>
      <c r="AT303" s="473" t="str">
        <f t="shared" si="85"/>
        <v/>
      </c>
      <c r="AU303" s="473" t="str">
        <f t="shared" si="86"/>
        <v/>
      </c>
      <c r="AZ303" s="497" t="s">
        <v>465</v>
      </c>
      <c r="BA303" s="34" t="s">
        <v>497</v>
      </c>
      <c r="BB303" s="499"/>
      <c r="BC303" s="271"/>
      <c r="BD303" s="279">
        <v>1</v>
      </c>
      <c r="BE303" s="271"/>
      <c r="BF303" s="271"/>
      <c r="BG303" s="271"/>
      <c r="BH303" s="271"/>
      <c r="BI303" s="271"/>
      <c r="BJ303" s="271"/>
      <c r="BK303" s="271"/>
      <c r="BL303" s="271"/>
    </row>
    <row r="304" spans="18:64" ht="21" customHeight="1" x14ac:dyDescent="0.25">
      <c r="R304" s="34" t="s">
        <v>477</v>
      </c>
      <c r="S304" s="451"/>
      <c r="T304" s="32" t="s">
        <v>8135</v>
      </c>
      <c r="V304" s="475">
        <v>7</v>
      </c>
      <c r="W304" s="475" t="str">
        <f>IF($AC$304="","",$W$288)</f>
        <v/>
      </c>
      <c r="X304" s="476" t="str">
        <f>IF($AC$304="","",$X$288)</f>
        <v/>
      </c>
      <c r="Y304" s="477" t="str">
        <f>IF($X$304="","",$Y$288)</f>
        <v/>
      </c>
      <c r="Z304" s="477" t="str">
        <f>IF($X$304="","",$Z$288)</f>
        <v/>
      </c>
      <c r="AA304" s="477" t="str">
        <f>IF($AC$304="","",ROW($A$304)-ROW($A$288))</f>
        <v/>
      </c>
      <c r="AB304" s="478"/>
      <c r="AC304" s="34"/>
      <c r="AD304" s="356"/>
      <c r="AE304" s="479"/>
      <c r="AF304" s="475"/>
      <c r="AG304" s="480" t="str">
        <f t="shared" si="76"/>
        <v/>
      </c>
      <c r="AH304" s="481" t="str">
        <f t="shared" si="77"/>
        <v/>
      </c>
      <c r="AI304" s="477" t="str">
        <f>IF($AC$304="","",IFERROR(INDEX($AZ$74:$AZ$119,MATCH($AH$304,$AY$74:$AY$119,0)),"AUTRE"))</f>
        <v/>
      </c>
      <c r="AJ304" s="482" t="str">
        <f>IF($AC$304="","",IFERROR(INDEX($BA$74:$BA$119,MATCH($AH$304,$AY$74:$AY$119,0)),1))</f>
        <v/>
      </c>
      <c r="AK304" s="482" t="str">
        <f t="shared" si="66"/>
        <v/>
      </c>
      <c r="AL304" s="477" t="str">
        <f>IF($AC$304="","",IFERROR(INDEX($BB$74:$BB$119,MATCH($AH$304,$AY$74:$AY$119,0)),$AH$304))</f>
        <v/>
      </c>
      <c r="AM304" s="483" t="str">
        <f t="shared" si="78"/>
        <v/>
      </c>
      <c r="AN304" s="484" t="str">
        <f t="shared" si="79"/>
        <v/>
      </c>
      <c r="AO304" s="473" t="str">
        <f t="shared" si="80"/>
        <v/>
      </c>
      <c r="AP304" s="473" t="str">
        <f t="shared" si="81"/>
        <v/>
      </c>
      <c r="AQ304" s="473" t="str">
        <f t="shared" si="82"/>
        <v/>
      </c>
      <c r="AR304" s="473" t="str">
        <f t="shared" si="83"/>
        <v/>
      </c>
      <c r="AS304" s="473" t="str">
        <f t="shared" si="84"/>
        <v/>
      </c>
      <c r="AT304" s="473" t="str">
        <f t="shared" si="85"/>
        <v/>
      </c>
      <c r="AU304" s="473" t="str">
        <f t="shared" si="86"/>
        <v/>
      </c>
      <c r="AZ304" s="497" t="s">
        <v>466</v>
      </c>
      <c r="BA304" s="34" t="s">
        <v>470</v>
      </c>
      <c r="BB304" s="499"/>
      <c r="BC304" s="271"/>
      <c r="BD304" s="279">
        <v>1</v>
      </c>
      <c r="BE304" s="271"/>
      <c r="BF304" s="271"/>
      <c r="BG304" s="271"/>
      <c r="BH304" s="271"/>
      <c r="BI304" s="271"/>
      <c r="BJ304" s="271"/>
      <c r="BK304" s="271"/>
      <c r="BL304" s="271"/>
    </row>
    <row r="305" spans="18:64" ht="21" customHeight="1" x14ac:dyDescent="0.25">
      <c r="S305" s="451"/>
      <c r="T305" s="497" t="s">
        <v>462</v>
      </c>
      <c r="V305" s="475">
        <v>7</v>
      </c>
      <c r="W305" s="475" t="str">
        <f>IF($AC$305="","",$W$288)</f>
        <v/>
      </c>
      <c r="X305" s="476" t="str">
        <f>IF($AC$305="","",$X$288)</f>
        <v/>
      </c>
      <c r="Y305" s="477" t="str">
        <f>IF($X$305="","",$Y$288)</f>
        <v/>
      </c>
      <c r="Z305" s="477" t="str">
        <f>IF($X$305="","",$Z$288)</f>
        <v/>
      </c>
      <c r="AA305" s="477" t="str">
        <f>IF($AC$305="","",ROW($A$305)-ROW($A$288))</f>
        <v/>
      </c>
      <c r="AB305" s="478"/>
      <c r="AC305" s="34"/>
      <c r="AD305" s="356"/>
      <c r="AE305" s="479"/>
      <c r="AF305" s="475"/>
      <c r="AG305" s="480" t="str">
        <f t="shared" si="76"/>
        <v/>
      </c>
      <c r="AH305" s="481" t="str">
        <f t="shared" si="77"/>
        <v/>
      </c>
      <c r="AI305" s="477" t="str">
        <f>IF($AC$305="","",IFERROR(INDEX($AZ$74:$AZ$119,MATCH($AH$305,$AY$74:$AY$119,0)),"AUTRE"))</f>
        <v/>
      </c>
      <c r="AJ305" s="482" t="str">
        <f>IF($AC$305="","",IFERROR(INDEX($BA$74:$BA$119,MATCH($AH$305,$AY$74:$AY$119,0)),1))</f>
        <v/>
      </c>
      <c r="AK305" s="482" t="str">
        <f t="shared" si="66"/>
        <v/>
      </c>
      <c r="AL305" s="477" t="str">
        <f>IF($AC$305="","",IFERROR(INDEX($BB$74:$BB$119,MATCH($AH$305,$AY$74:$AY$119,0)),$AH$305))</f>
        <v/>
      </c>
      <c r="AM305" s="483" t="str">
        <f t="shared" si="78"/>
        <v/>
      </c>
      <c r="AN305" s="484" t="str">
        <f t="shared" si="79"/>
        <v/>
      </c>
      <c r="AO305" s="473" t="str">
        <f t="shared" si="80"/>
        <v/>
      </c>
      <c r="AP305" s="473" t="str">
        <f t="shared" si="81"/>
        <v/>
      </c>
      <c r="AQ305" s="473" t="str">
        <f t="shared" si="82"/>
        <v/>
      </c>
      <c r="AR305" s="473" t="str">
        <f t="shared" si="83"/>
        <v/>
      </c>
      <c r="AS305" s="473" t="str">
        <f t="shared" si="84"/>
        <v/>
      </c>
      <c r="AT305" s="473" t="str">
        <f t="shared" si="85"/>
        <v/>
      </c>
      <c r="AU305" s="473" t="str">
        <f t="shared" si="86"/>
        <v/>
      </c>
      <c r="AZ305" s="14" t="s">
        <v>7</v>
      </c>
      <c r="BA305" s="34" t="s">
        <v>477</v>
      </c>
      <c r="BB305" s="499"/>
      <c r="BC305" s="271"/>
      <c r="BD305" s="279">
        <v>1</v>
      </c>
      <c r="BE305" s="271"/>
      <c r="BF305" s="271"/>
      <c r="BG305" s="271"/>
      <c r="BH305" s="271"/>
      <c r="BI305" s="271"/>
      <c r="BJ305" s="271"/>
      <c r="BK305" s="271"/>
      <c r="BL305" s="271"/>
    </row>
    <row r="306" spans="18:64" ht="21" customHeight="1" x14ac:dyDescent="0.25">
      <c r="R306" s="25" t="s">
        <v>6134</v>
      </c>
      <c r="S306" s="451"/>
      <c r="T306" s="497" t="s">
        <v>463</v>
      </c>
      <c r="V306" s="475">
        <v>7</v>
      </c>
      <c r="W306" s="475" t="str">
        <f>IF($AC$306="","",$W$288)</f>
        <v/>
      </c>
      <c r="X306" s="476" t="str">
        <f>IF($AC$306="","",$X$288)</f>
        <v/>
      </c>
      <c r="Y306" s="477" t="str">
        <f>IF($X$306="","",$Y$288)</f>
        <v/>
      </c>
      <c r="Z306" s="477" t="str">
        <f>IF($X$306="","",$Z$288)</f>
        <v/>
      </c>
      <c r="AA306" s="477" t="str">
        <f>IF($AC$306="","",ROW($A$306)-ROW($A$288))</f>
        <v/>
      </c>
      <c r="AB306" s="478"/>
      <c r="AC306" s="34"/>
      <c r="AD306" s="356"/>
      <c r="AE306" s="479"/>
      <c r="AF306" s="475"/>
      <c r="AG306" s="480" t="str">
        <f t="shared" si="76"/>
        <v/>
      </c>
      <c r="AH306" s="481" t="str">
        <f t="shared" si="77"/>
        <v/>
      </c>
      <c r="AI306" s="477" t="str">
        <f>IF($AC$306="","",IFERROR(INDEX($AZ$74:$AZ$119,MATCH($AH$306,$AY$74:$AY$119,0)),"AUTRE"))</f>
        <v/>
      </c>
      <c r="AJ306" s="482" t="str">
        <f>IF($AC$306="","",IFERROR(INDEX($BA$74:$BA$119,MATCH($AH$306,$AY$74:$AY$119,0)),1))</f>
        <v/>
      </c>
      <c r="AK306" s="482" t="str">
        <f t="shared" si="66"/>
        <v/>
      </c>
      <c r="AL306" s="477" t="str">
        <f>IF($AC$306="","",IFERROR(INDEX($BB$74:$BB$119,MATCH($AH$306,$AY$74:$AY$119,0)),$AH$306))</f>
        <v/>
      </c>
      <c r="AM306" s="483" t="str">
        <f t="shared" si="78"/>
        <v/>
      </c>
      <c r="AN306" s="484" t="str">
        <f t="shared" si="79"/>
        <v/>
      </c>
      <c r="AO306" s="473" t="str">
        <f t="shared" si="80"/>
        <v/>
      </c>
      <c r="AP306" s="473" t="str">
        <f t="shared" si="81"/>
        <v/>
      </c>
      <c r="AQ306" s="473" t="str">
        <f t="shared" si="82"/>
        <v/>
      </c>
      <c r="AR306" s="473" t="str">
        <f t="shared" si="83"/>
        <v/>
      </c>
      <c r="AS306" s="473" t="str">
        <f t="shared" si="84"/>
        <v/>
      </c>
      <c r="AT306" s="473" t="str">
        <f t="shared" si="85"/>
        <v/>
      </c>
      <c r="AU306" s="473" t="str">
        <f t="shared" si="86"/>
        <v/>
      </c>
      <c r="AZ306" s="27" t="s">
        <v>8</v>
      </c>
      <c r="BB306" s="499"/>
      <c r="BC306" s="271"/>
      <c r="BD306" s="279">
        <v>1</v>
      </c>
      <c r="BE306" s="271"/>
      <c r="BF306" s="271"/>
      <c r="BG306" s="271"/>
      <c r="BH306" s="271"/>
      <c r="BI306" s="271"/>
      <c r="BJ306" s="271"/>
      <c r="BK306" s="271"/>
      <c r="BL306" s="271"/>
    </row>
    <row r="307" spans="18:64" ht="21" customHeight="1" x14ac:dyDescent="0.25">
      <c r="R307" s="34" t="s">
        <v>481</v>
      </c>
      <c r="S307" s="451"/>
      <c r="T307" s="497" t="s">
        <v>8147</v>
      </c>
      <c r="V307" s="475">
        <v>7</v>
      </c>
      <c r="W307" s="475" t="str">
        <f>IF($AC$307="","",$W$288)</f>
        <v/>
      </c>
      <c r="X307" s="476" t="str">
        <f>IF($AC$307="","",$X$288)</f>
        <v/>
      </c>
      <c r="Y307" s="477" t="str">
        <f>IF($X$307="","",$Y$288)</f>
        <v/>
      </c>
      <c r="Z307" s="477" t="str">
        <f>IF($X$307="","",$Z$288)</f>
        <v/>
      </c>
      <c r="AA307" s="477" t="str">
        <f>IF($AC$307="","",ROW($A$307)-ROW($A$288))</f>
        <v/>
      </c>
      <c r="AB307" s="478"/>
      <c r="AC307" s="34"/>
      <c r="AD307" s="356"/>
      <c r="AE307" s="479"/>
      <c r="AF307" s="475"/>
      <c r="AG307" s="480" t="str">
        <f t="shared" si="76"/>
        <v/>
      </c>
      <c r="AH307" s="481" t="str">
        <f t="shared" si="77"/>
        <v/>
      </c>
      <c r="AI307" s="477" t="str">
        <f>IF($AC$307="","",IFERROR(INDEX($AZ$74:$AZ$119,MATCH($AH$307,$AY$74:$AY$119,0)),"AUTRE"))</f>
        <v/>
      </c>
      <c r="AJ307" s="482" t="str">
        <f>IF($AC$307="","",IFERROR(INDEX($BA$74:$BA$119,MATCH($AH$307,$AY$74:$AY$119,0)),1))</f>
        <v/>
      </c>
      <c r="AK307" s="482" t="str">
        <f t="shared" si="66"/>
        <v/>
      </c>
      <c r="AL307" s="477" t="str">
        <f>IF($AC$307="","",IFERROR(INDEX($BB$74:$BB$119,MATCH($AH$307,$AY$74:$AY$119,0)),$AH$307))</f>
        <v/>
      </c>
      <c r="AM307" s="483" t="str">
        <f t="shared" si="78"/>
        <v/>
      </c>
      <c r="AN307" s="484" t="str">
        <f t="shared" si="79"/>
        <v/>
      </c>
      <c r="AO307" s="473" t="str">
        <f t="shared" si="80"/>
        <v/>
      </c>
      <c r="AP307" s="473" t="str">
        <f t="shared" si="81"/>
        <v/>
      </c>
      <c r="AQ307" s="473" t="str">
        <f t="shared" si="82"/>
        <v/>
      </c>
      <c r="AR307" s="473" t="str">
        <f t="shared" si="83"/>
        <v/>
      </c>
      <c r="AS307" s="473" t="str">
        <f t="shared" si="84"/>
        <v/>
      </c>
      <c r="AT307" s="473" t="str">
        <f t="shared" si="85"/>
        <v/>
      </c>
      <c r="AU307" s="473" t="str">
        <f t="shared" si="86"/>
        <v/>
      </c>
      <c r="AZ307" s="28" t="s">
        <v>13</v>
      </c>
      <c r="BA307" s="25" t="s">
        <v>6134</v>
      </c>
      <c r="BB307" s="499"/>
      <c r="BC307" s="271"/>
      <c r="BD307" s="279">
        <v>1</v>
      </c>
      <c r="BE307" s="271"/>
      <c r="BF307" s="271"/>
      <c r="BG307" s="271"/>
      <c r="BH307" s="271"/>
      <c r="BI307" s="271"/>
      <c r="BJ307" s="271"/>
      <c r="BK307" s="271"/>
      <c r="BL307" s="271"/>
    </row>
    <row r="308" spans="18:64" ht="21" customHeight="1" x14ac:dyDescent="0.25">
      <c r="R308" s="34" t="s">
        <v>475</v>
      </c>
      <c r="S308" s="451"/>
      <c r="T308" s="497" t="s">
        <v>465</v>
      </c>
      <c r="V308" s="475">
        <v>7</v>
      </c>
      <c r="W308" s="475" t="str">
        <f>IF($AC$308="","",$W$288)</f>
        <v/>
      </c>
      <c r="X308" s="476" t="str">
        <f>IF($AC$308="","",$X$288)</f>
        <v/>
      </c>
      <c r="Y308" s="477" t="str">
        <f>IF($X$308="","",$Y$288)</f>
        <v/>
      </c>
      <c r="Z308" s="477" t="str">
        <f>IF($X$308="","",$Z$288)</f>
        <v/>
      </c>
      <c r="AA308" s="477" t="str">
        <f>IF($AC$308="","",ROW($A$308)-ROW($A$288))</f>
        <v/>
      </c>
      <c r="AB308" s="478"/>
      <c r="AC308" s="34"/>
      <c r="AD308" s="356"/>
      <c r="AE308" s="479"/>
      <c r="AF308" s="475"/>
      <c r="AG308" s="480" t="str">
        <f t="shared" si="76"/>
        <v/>
      </c>
      <c r="AH308" s="481" t="str">
        <f t="shared" si="77"/>
        <v/>
      </c>
      <c r="AI308" s="477" t="str">
        <f>IF($AC$308="","",IFERROR(INDEX($AZ$74:$AZ$119,MATCH($AH$308,$AY$74:$AY$119,0)),"AUTRE"))</f>
        <v/>
      </c>
      <c r="AJ308" s="482" t="str">
        <f>IF($AC$308="","",IFERROR(INDEX($BA$74:$BA$119,MATCH($AH$308,$AY$74:$AY$119,0)),1))</f>
        <v/>
      </c>
      <c r="AK308" s="482" t="str">
        <f t="shared" si="66"/>
        <v/>
      </c>
      <c r="AL308" s="477" t="str">
        <f>IF($AC$308="","",IFERROR(INDEX($BB$74:$BB$119,MATCH($AH$308,$AY$74:$AY$119,0)),$AH$308))</f>
        <v/>
      </c>
      <c r="AM308" s="483" t="str">
        <f t="shared" si="78"/>
        <v/>
      </c>
      <c r="AN308" s="484" t="str">
        <f t="shared" si="79"/>
        <v/>
      </c>
      <c r="AO308" s="473" t="str">
        <f t="shared" si="80"/>
        <v/>
      </c>
      <c r="AP308" s="473" t="str">
        <f t="shared" si="81"/>
        <v/>
      </c>
      <c r="AQ308" s="473" t="str">
        <f t="shared" si="82"/>
        <v/>
      </c>
      <c r="AR308" s="473" t="str">
        <f t="shared" si="83"/>
        <v/>
      </c>
      <c r="AS308" s="473" t="str">
        <f t="shared" si="84"/>
        <v/>
      </c>
      <c r="AT308" s="473" t="str">
        <f t="shared" si="85"/>
        <v/>
      </c>
      <c r="AU308" s="473" t="str">
        <f t="shared" si="86"/>
        <v/>
      </c>
      <c r="AZ308" s="28" t="s">
        <v>14</v>
      </c>
      <c r="BA308" s="34" t="s">
        <v>481</v>
      </c>
      <c r="BB308" s="499"/>
      <c r="BC308" s="271"/>
      <c r="BD308" s="279">
        <v>1</v>
      </c>
      <c r="BE308" s="271"/>
      <c r="BF308" s="271"/>
      <c r="BG308" s="271"/>
      <c r="BH308" s="271"/>
      <c r="BI308" s="271"/>
      <c r="BJ308" s="271"/>
      <c r="BK308" s="271"/>
      <c r="BL308" s="271"/>
    </row>
    <row r="309" spans="18:64" ht="21" customHeight="1" x14ac:dyDescent="0.25">
      <c r="R309" s="34" t="s">
        <v>457</v>
      </c>
      <c r="S309" s="451"/>
      <c r="T309" s="497" t="s">
        <v>466</v>
      </c>
      <c r="V309" s="475">
        <v>7</v>
      </c>
      <c r="W309" s="475" t="str">
        <f>IF($AC$309="","",$W$288)</f>
        <v/>
      </c>
      <c r="X309" s="476" t="str">
        <f>IF($AC$309="","",$X$288)</f>
        <v/>
      </c>
      <c r="Y309" s="477" t="str">
        <f>IF($X$309="","",$Y$288)</f>
        <v/>
      </c>
      <c r="Z309" s="477" t="str">
        <f>IF($X$309="","",$Z$288)</f>
        <v/>
      </c>
      <c r="AA309" s="477" t="str">
        <f>IF($AC$309="","",ROW($A$309)-ROW($A$288))</f>
        <v/>
      </c>
      <c r="AB309" s="478"/>
      <c r="AC309" s="34"/>
      <c r="AD309" s="356"/>
      <c r="AE309" s="479"/>
      <c r="AF309" s="475"/>
      <c r="AG309" s="480" t="str">
        <f t="shared" si="76"/>
        <v/>
      </c>
      <c r="AH309" s="481" t="str">
        <f t="shared" si="77"/>
        <v/>
      </c>
      <c r="AI309" s="477" t="str">
        <f>IF($AC$309="","",IFERROR(INDEX($AZ$74:$AZ$119,MATCH($AH$309,$AY$74:$AY$119,0)),"AUTRE"))</f>
        <v/>
      </c>
      <c r="AJ309" s="482" t="str">
        <f>IF($AC$309="","",IFERROR(INDEX($BA$74:$BA$119,MATCH($AH$309,$AY$74:$AY$119,0)),1))</f>
        <v/>
      </c>
      <c r="AK309" s="482" t="str">
        <f t="shared" si="66"/>
        <v/>
      </c>
      <c r="AL309" s="477" t="str">
        <f>IF($AC$309="","",IFERROR(INDEX($BB$74:$BB$119,MATCH($AH$309,$AY$74:$AY$119,0)),$AH$309))</f>
        <v/>
      </c>
      <c r="AM309" s="483" t="str">
        <f t="shared" si="78"/>
        <v/>
      </c>
      <c r="AN309" s="484" t="str">
        <f t="shared" si="79"/>
        <v/>
      </c>
      <c r="AO309" s="473" t="str">
        <f t="shared" si="80"/>
        <v/>
      </c>
      <c r="AP309" s="473" t="str">
        <f t="shared" si="81"/>
        <v/>
      </c>
      <c r="AQ309" s="473" t="str">
        <f t="shared" si="82"/>
        <v/>
      </c>
      <c r="AR309" s="473" t="str">
        <f t="shared" si="83"/>
        <v/>
      </c>
      <c r="AS309" s="473" t="str">
        <f t="shared" si="84"/>
        <v/>
      </c>
      <c r="AT309" s="473" t="str">
        <f t="shared" si="85"/>
        <v/>
      </c>
      <c r="AU309" s="473" t="str">
        <f t="shared" si="86"/>
        <v/>
      </c>
      <c r="AZ309" s="28" t="s">
        <v>15</v>
      </c>
      <c r="BA309" s="34" t="s">
        <v>475</v>
      </c>
      <c r="BB309" s="499"/>
      <c r="BC309" s="271"/>
      <c r="BD309" s="279">
        <v>1</v>
      </c>
      <c r="BE309" s="271"/>
      <c r="BF309" s="271"/>
      <c r="BG309" s="271"/>
      <c r="BH309" s="271"/>
      <c r="BI309" s="271"/>
      <c r="BJ309" s="271"/>
      <c r="BK309" s="271"/>
      <c r="BL309" s="271"/>
    </row>
    <row r="310" spans="18:64" ht="21" customHeight="1" x14ac:dyDescent="0.25">
      <c r="R310" s="34" t="s">
        <v>482</v>
      </c>
      <c r="S310" s="451"/>
      <c r="T310" s="440" t="s">
        <v>8110</v>
      </c>
      <c r="V310" s="475">
        <v>7</v>
      </c>
      <c r="W310" s="475" t="str">
        <f>IF($AC$310="","",$W$288)</f>
        <v/>
      </c>
      <c r="X310" s="476" t="str">
        <f>IF($AC$310="","",$X$288)</f>
        <v/>
      </c>
      <c r="Y310" s="477" t="str">
        <f>IF($X$310="","",$Y$288)</f>
        <v/>
      </c>
      <c r="Z310" s="477" t="str">
        <f>IF($X$310="","",$Z$288)</f>
        <v/>
      </c>
      <c r="AA310" s="477" t="str">
        <f>IF($AC$310="","",ROW($A$310)-ROW($A$288))</f>
        <v/>
      </c>
      <c r="AB310" s="478"/>
      <c r="AC310" s="34"/>
      <c r="AD310" s="356"/>
      <c r="AE310" s="479"/>
      <c r="AF310" s="475"/>
      <c r="AG310" s="480" t="str">
        <f t="shared" si="76"/>
        <v/>
      </c>
      <c r="AH310" s="481" t="str">
        <f t="shared" si="77"/>
        <v/>
      </c>
      <c r="AI310" s="477" t="str">
        <f>IF($AC$310="","",IFERROR(INDEX($AZ$74:$AZ$119,MATCH($AH$310,$AY$74:$AY$119,0)),"AUTRE"))</f>
        <v/>
      </c>
      <c r="AJ310" s="482" t="str">
        <f>IF($AC$310="","",IFERROR(INDEX($BA$74:$BA$119,MATCH($AH$310,$AY$74:$AY$119,0)),1))</f>
        <v/>
      </c>
      <c r="AK310" s="482" t="str">
        <f t="shared" si="66"/>
        <v/>
      </c>
      <c r="AL310" s="477" t="str">
        <f>IF($AC$310="","",IFERROR(INDEX($BB$74:$BB$119,MATCH($AH$310,$AY$74:$AY$119,0)),$AH$310))</f>
        <v/>
      </c>
      <c r="AM310" s="483" t="str">
        <f t="shared" si="78"/>
        <v/>
      </c>
      <c r="AN310" s="484" t="str">
        <f t="shared" si="79"/>
        <v/>
      </c>
      <c r="AO310" s="473" t="str">
        <f t="shared" si="80"/>
        <v/>
      </c>
      <c r="AP310" s="473" t="str">
        <f t="shared" si="81"/>
        <v/>
      </c>
      <c r="AQ310" s="473" t="str">
        <f t="shared" si="82"/>
        <v/>
      </c>
      <c r="AR310" s="473" t="str">
        <f t="shared" si="83"/>
        <v/>
      </c>
      <c r="AS310" s="473" t="str">
        <f t="shared" si="84"/>
        <v/>
      </c>
      <c r="AT310" s="473" t="str">
        <f t="shared" si="85"/>
        <v/>
      </c>
      <c r="AU310" s="473" t="str">
        <f t="shared" si="86"/>
        <v/>
      </c>
      <c r="AZ310" s="29" t="s">
        <v>9</v>
      </c>
      <c r="BA310" s="34" t="s">
        <v>457</v>
      </c>
      <c r="BB310" s="499"/>
      <c r="BC310" s="271"/>
      <c r="BD310" s="279">
        <v>1</v>
      </c>
      <c r="BE310" s="271"/>
      <c r="BF310" s="271"/>
      <c r="BG310" s="271"/>
      <c r="BH310" s="271"/>
      <c r="BI310" s="271"/>
      <c r="BJ310" s="271"/>
      <c r="BK310" s="271"/>
      <c r="BL310" s="271"/>
    </row>
    <row r="311" spans="18:64" ht="21" customHeight="1" x14ac:dyDescent="0.25">
      <c r="R311" s="34" t="s">
        <v>496</v>
      </c>
      <c r="S311" s="451"/>
      <c r="T311" s="452" t="s">
        <v>8113</v>
      </c>
      <c r="V311" s="475">
        <v>7</v>
      </c>
      <c r="W311" s="475" t="str">
        <f>IF($AC$311="","",$W$288)</f>
        <v/>
      </c>
      <c r="X311" s="476" t="str">
        <f>IF($AC$311="","",$X$288)</f>
        <v/>
      </c>
      <c r="Y311" s="477" t="str">
        <f>IF($X$311="","",$Y$288)</f>
        <v/>
      </c>
      <c r="Z311" s="477" t="str">
        <f>IF($X$311="","",$Z$288)</f>
        <v/>
      </c>
      <c r="AA311" s="477" t="str">
        <f>IF($AC$311="","",ROW($A$311)-ROW($A$288))</f>
        <v/>
      </c>
      <c r="AB311" s="478"/>
      <c r="AC311" s="34"/>
      <c r="AD311" s="356"/>
      <c r="AE311" s="479"/>
      <c r="AF311" s="475"/>
      <c r="AG311" s="480" t="str">
        <f t="shared" si="76"/>
        <v/>
      </c>
      <c r="AH311" s="481" t="str">
        <f t="shared" si="77"/>
        <v/>
      </c>
      <c r="AI311" s="477" t="str">
        <f>IF($AC$311="","",IFERROR(INDEX($AZ$74:$AZ$119,MATCH($AH$311,$AY$74:$AY$119,0)),"AUTRE"))</f>
        <v/>
      </c>
      <c r="AJ311" s="482" t="str">
        <f>IF($AC$311="","",IFERROR(INDEX($BA$74:$BA$119,MATCH($AH$311,$AY$74:$AY$119,0)),1))</f>
        <v/>
      </c>
      <c r="AK311" s="482" t="str">
        <f t="shared" si="66"/>
        <v/>
      </c>
      <c r="AL311" s="477" t="str">
        <f>IF($AC$311="","",IFERROR(INDEX($BB$74:$BB$119,MATCH($AH$311,$AY$74:$AY$119,0)),$AH$311))</f>
        <v/>
      </c>
      <c r="AM311" s="483" t="str">
        <f t="shared" si="78"/>
        <v/>
      </c>
      <c r="AN311" s="484" t="str">
        <f t="shared" si="79"/>
        <v/>
      </c>
      <c r="AO311" s="473" t="str">
        <f t="shared" si="80"/>
        <v/>
      </c>
      <c r="AP311" s="473" t="str">
        <f t="shared" si="81"/>
        <v/>
      </c>
      <c r="AQ311" s="473" t="str">
        <f t="shared" si="82"/>
        <v/>
      </c>
      <c r="AR311" s="473" t="str">
        <f t="shared" si="83"/>
        <v/>
      </c>
      <c r="AS311" s="473" t="str">
        <f t="shared" si="84"/>
        <v/>
      </c>
      <c r="AT311" s="473" t="str">
        <f t="shared" si="85"/>
        <v/>
      </c>
      <c r="AU311" s="473" t="str">
        <f t="shared" si="86"/>
        <v/>
      </c>
      <c r="AZ311" s="30" t="s">
        <v>10</v>
      </c>
      <c r="BA311" s="34" t="s">
        <v>482</v>
      </c>
      <c r="BB311" s="499"/>
      <c r="BC311" s="271"/>
      <c r="BD311" s="279">
        <v>1</v>
      </c>
      <c r="BE311" s="271"/>
      <c r="BF311" s="271"/>
      <c r="BG311" s="271"/>
      <c r="BH311" s="271"/>
      <c r="BI311" s="271"/>
      <c r="BJ311" s="271"/>
      <c r="BK311" s="271"/>
      <c r="BL311" s="271"/>
    </row>
    <row r="312" spans="18:64" ht="21" customHeight="1" x14ac:dyDescent="0.25">
      <c r="R312" s="34" t="s">
        <v>483</v>
      </c>
      <c r="S312" s="451"/>
      <c r="T312" s="14" t="s">
        <v>7</v>
      </c>
      <c r="V312" s="475">
        <v>7</v>
      </c>
      <c r="W312" s="475" t="str">
        <f>IF($AC$312="","",$W$288)</f>
        <v/>
      </c>
      <c r="X312" s="476" t="str">
        <f>IF($AC$312="","",$X$288)</f>
        <v/>
      </c>
      <c r="Y312" s="477" t="str">
        <f>IF($X$312="","",$Y$288)</f>
        <v/>
      </c>
      <c r="Z312" s="477" t="str">
        <f>IF($X$312="","",$Z$288)</f>
        <v/>
      </c>
      <c r="AA312" s="477" t="str">
        <f>IF($AC$312="","",ROW($A$312)-ROW($A$288))</f>
        <v/>
      </c>
      <c r="AB312" s="478"/>
      <c r="AC312" s="34"/>
      <c r="AD312" s="356"/>
      <c r="AE312" s="479"/>
      <c r="AF312" s="475"/>
      <c r="AG312" s="480" t="str">
        <f t="shared" si="76"/>
        <v/>
      </c>
      <c r="AH312" s="481" t="str">
        <f t="shared" si="77"/>
        <v/>
      </c>
      <c r="AI312" s="477" t="str">
        <f>IF($AC$312="","",IFERROR(INDEX($AZ$74:$AZ$119,MATCH($AH$312,$AY$74:$AY$119,0)),"AUTRE"))</f>
        <v/>
      </c>
      <c r="AJ312" s="482" t="str">
        <f>IF($AC$312="","",IFERROR(INDEX($BA$74:$BA$119,MATCH($AH$312,$AY$74:$AY$119,0)),1))</f>
        <v/>
      </c>
      <c r="AK312" s="482" t="str">
        <f t="shared" si="66"/>
        <v/>
      </c>
      <c r="AL312" s="477" t="str">
        <f>IF($AC$312="","",IFERROR(INDEX($BB$74:$BB$119,MATCH($AH$312,$AY$74:$AY$119,0)),$AH$312))</f>
        <v/>
      </c>
      <c r="AM312" s="483" t="str">
        <f t="shared" si="78"/>
        <v/>
      </c>
      <c r="AN312" s="484" t="str">
        <f t="shared" si="79"/>
        <v/>
      </c>
      <c r="AO312" s="473" t="str">
        <f t="shared" si="80"/>
        <v/>
      </c>
      <c r="AP312" s="473" t="str">
        <f t="shared" si="81"/>
        <v/>
      </c>
      <c r="AQ312" s="473" t="str">
        <f t="shared" si="82"/>
        <v/>
      </c>
      <c r="AR312" s="473" t="str">
        <f t="shared" si="83"/>
        <v/>
      </c>
      <c r="AS312" s="473" t="str">
        <f t="shared" si="84"/>
        <v/>
      </c>
      <c r="AT312" s="473" t="str">
        <f t="shared" si="85"/>
        <v/>
      </c>
      <c r="AU312" s="473" t="str">
        <f t="shared" si="86"/>
        <v/>
      </c>
      <c r="AZ312" s="30" t="s">
        <v>11</v>
      </c>
      <c r="BA312" s="34" t="s">
        <v>496</v>
      </c>
      <c r="BB312" s="499"/>
      <c r="BC312" s="271"/>
      <c r="BD312" s="279">
        <v>1</v>
      </c>
      <c r="BE312" s="271"/>
      <c r="BF312" s="271"/>
      <c r="BG312" s="271"/>
      <c r="BH312" s="271"/>
      <c r="BI312" s="271"/>
      <c r="BJ312" s="271"/>
      <c r="BK312" s="271"/>
      <c r="BL312" s="271"/>
    </row>
    <row r="313" spans="18:64" ht="21" customHeight="1" x14ac:dyDescent="0.25">
      <c r="R313" s="34" t="s">
        <v>493</v>
      </c>
      <c r="S313" s="451"/>
      <c r="T313" s="27" t="s">
        <v>8</v>
      </c>
      <c r="V313" s="475">
        <v>7</v>
      </c>
      <c r="W313" s="475" t="str">
        <f>IF($AC$313="","",$W$288)</f>
        <v/>
      </c>
      <c r="X313" s="476" t="str">
        <f>IF($AC$313="","",$X$288)</f>
        <v/>
      </c>
      <c r="Y313" s="477" t="str">
        <f>IF($X$313="","",$Y$288)</f>
        <v/>
      </c>
      <c r="Z313" s="477" t="str">
        <f>IF($X$313="","",$Z$288)</f>
        <v/>
      </c>
      <c r="AA313" s="477" t="str">
        <f>IF($AC$313="","",ROW($A$313)-ROW($A$288))</f>
        <v/>
      </c>
      <c r="AB313" s="478"/>
      <c r="AC313" s="34"/>
      <c r="AD313" s="356"/>
      <c r="AE313" s="479"/>
      <c r="AF313" s="475"/>
      <c r="AG313" s="480" t="str">
        <f t="shared" si="76"/>
        <v/>
      </c>
      <c r="AH313" s="481" t="str">
        <f t="shared" si="77"/>
        <v/>
      </c>
      <c r="AI313" s="477" t="str">
        <f>IF($AC$313="","",IFERROR(INDEX($AZ$74:$AZ$119,MATCH($AH$313,$AY$74:$AY$119,0)),"AUTRE"))</f>
        <v/>
      </c>
      <c r="AJ313" s="482" t="str">
        <f>IF($AC$313="","",IFERROR(INDEX($BA$74:$BA$119,MATCH($AH$313,$AY$74:$AY$119,0)),1))</f>
        <v/>
      </c>
      <c r="AK313" s="482" t="str">
        <f t="shared" si="66"/>
        <v/>
      </c>
      <c r="AL313" s="477" t="str">
        <f>IF($AC$313="","",IFERROR(INDEX($BB$74:$BB$119,MATCH($AH$313,$AY$74:$AY$119,0)),$AH$313))</f>
        <v/>
      </c>
      <c r="AM313" s="483" t="str">
        <f t="shared" si="78"/>
        <v/>
      </c>
      <c r="AN313" s="484" t="str">
        <f t="shared" si="79"/>
        <v/>
      </c>
      <c r="AO313" s="473" t="str">
        <f t="shared" si="80"/>
        <v/>
      </c>
      <c r="AP313" s="473" t="str">
        <f t="shared" si="81"/>
        <v/>
      </c>
      <c r="AQ313" s="473" t="str">
        <f t="shared" si="82"/>
        <v/>
      </c>
      <c r="AR313" s="473" t="str">
        <f t="shared" si="83"/>
        <v/>
      </c>
      <c r="AS313" s="473" t="str">
        <f t="shared" si="84"/>
        <v/>
      </c>
      <c r="AT313" s="473" t="str">
        <f t="shared" si="85"/>
        <v/>
      </c>
      <c r="AU313" s="473" t="str">
        <f t="shared" si="86"/>
        <v/>
      </c>
      <c r="AZ313" s="30" t="s">
        <v>12</v>
      </c>
      <c r="BA313" s="34" t="s">
        <v>483</v>
      </c>
      <c r="BB313" s="499"/>
      <c r="BC313" s="271"/>
      <c r="BD313" s="279">
        <v>1</v>
      </c>
      <c r="BE313" s="271"/>
      <c r="BF313" s="271"/>
      <c r="BG313" s="271"/>
      <c r="BH313" s="271"/>
      <c r="BI313" s="271"/>
      <c r="BJ313" s="271"/>
      <c r="BK313" s="271"/>
      <c r="BL313" s="271"/>
    </row>
    <row r="314" spans="18:64" ht="21" customHeight="1" x14ac:dyDescent="0.25">
      <c r="R314" s="34" t="s">
        <v>494</v>
      </c>
      <c r="S314" s="451"/>
      <c r="T314" s="28" t="s">
        <v>13</v>
      </c>
      <c r="V314" s="475">
        <v>7</v>
      </c>
      <c r="W314" s="475" t="str">
        <f>IF($AC$314="","",$W$288)</f>
        <v/>
      </c>
      <c r="X314" s="476" t="str">
        <f>IF($AC$314="","",$X$288)</f>
        <v/>
      </c>
      <c r="Y314" s="477" t="str">
        <f>IF($X$314="","",$Y$288)</f>
        <v/>
      </c>
      <c r="Z314" s="477" t="str">
        <f>IF($X$314="","",$Z$288)</f>
        <v/>
      </c>
      <c r="AA314" s="477" t="str">
        <f>IF($AC$314="","",ROW($A$314)-ROW($A$288))</f>
        <v/>
      </c>
      <c r="AB314" s="478"/>
      <c r="AC314" s="34"/>
      <c r="AD314" s="356"/>
      <c r="AE314" s="479"/>
      <c r="AF314" s="475"/>
      <c r="AG314" s="480" t="str">
        <f t="shared" si="76"/>
        <v/>
      </c>
      <c r="AH314" s="481" t="str">
        <f t="shared" si="77"/>
        <v/>
      </c>
      <c r="AI314" s="477" t="str">
        <f>IF($AC$314="","",IFERROR(INDEX($AZ$74:$AZ$119,MATCH($AH$314,$AY$74:$AY$119,0)),"AUTRE"))</f>
        <v/>
      </c>
      <c r="AJ314" s="482" t="str">
        <f>IF($AC$314="","",IFERROR(INDEX($BA$74:$BA$119,MATCH($AH$314,$AY$74:$AY$119,0)),1))</f>
        <v/>
      </c>
      <c r="AK314" s="482" t="str">
        <f t="shared" si="66"/>
        <v/>
      </c>
      <c r="AL314" s="477" t="str">
        <f>IF($AC$314="","",IFERROR(INDEX($BB$74:$BB$119,MATCH($AH$314,$AY$74:$AY$119,0)),$AH$314))</f>
        <v/>
      </c>
      <c r="AM314" s="483" t="str">
        <f t="shared" si="78"/>
        <v/>
      </c>
      <c r="AN314" s="484" t="str">
        <f t="shared" si="79"/>
        <v/>
      </c>
      <c r="AO314" s="473" t="str">
        <f t="shared" si="80"/>
        <v/>
      </c>
      <c r="AP314" s="473" t="str">
        <f t="shared" si="81"/>
        <v/>
      </c>
      <c r="AQ314" s="473" t="str">
        <f t="shared" si="82"/>
        <v/>
      </c>
      <c r="AR314" s="473" t="str">
        <f t="shared" si="83"/>
        <v/>
      </c>
      <c r="AS314" s="473" t="str">
        <f t="shared" si="84"/>
        <v/>
      </c>
      <c r="AT314" s="473" t="str">
        <f t="shared" si="85"/>
        <v/>
      </c>
      <c r="AU314" s="473" t="str">
        <f t="shared" si="86"/>
        <v/>
      </c>
      <c r="AZ314" s="31" t="s">
        <v>16</v>
      </c>
      <c r="BA314" s="34" t="s">
        <v>493</v>
      </c>
      <c r="BB314" s="499"/>
      <c r="BC314" s="271"/>
      <c r="BD314" s="279">
        <v>1</v>
      </c>
      <c r="BE314" s="271"/>
      <c r="BF314" s="271"/>
      <c r="BG314" s="271"/>
      <c r="BH314" s="271"/>
      <c r="BI314" s="271"/>
      <c r="BJ314" s="271"/>
      <c r="BK314" s="271"/>
      <c r="BL314" s="271"/>
    </row>
    <row r="315" spans="18:64" ht="21" customHeight="1" x14ac:dyDescent="0.25">
      <c r="S315" s="451"/>
      <c r="T315" s="28" t="s">
        <v>14</v>
      </c>
      <c r="V315" s="475">
        <v>7</v>
      </c>
      <c r="W315" s="475" t="str">
        <f>IF($AC$315="","",$W$288)</f>
        <v/>
      </c>
      <c r="X315" s="476" t="str">
        <f>IF($AC$315="","",$X$288)</f>
        <v/>
      </c>
      <c r="Y315" s="477" t="str">
        <f>IF($X$315="","",$Y$288)</f>
        <v/>
      </c>
      <c r="Z315" s="477" t="str">
        <f>IF($X$315="","",$Z$288)</f>
        <v/>
      </c>
      <c r="AA315" s="477" t="str">
        <f>IF($AC$315="","",ROW($A$315)-ROW($A$288))</f>
        <v/>
      </c>
      <c r="AB315" s="478"/>
      <c r="AC315" s="34"/>
      <c r="AD315" s="356"/>
      <c r="AE315" s="479"/>
      <c r="AF315" s="475"/>
      <c r="AG315" s="480" t="str">
        <f t="shared" si="76"/>
        <v/>
      </c>
      <c r="AH315" s="481" t="str">
        <f t="shared" si="77"/>
        <v/>
      </c>
      <c r="AI315" s="477" t="str">
        <f>IF($AC$315="","",IFERROR(INDEX($AZ$74:$AZ$119,MATCH($AH$315,$AY$74:$AY$119,0)),"AUTRE"))</f>
        <v/>
      </c>
      <c r="AJ315" s="482" t="str">
        <f>IF($AC$315="","",IFERROR(INDEX($BA$74:$BA$119,MATCH($AH$315,$AY$74:$AY$119,0)),1))</f>
        <v/>
      </c>
      <c r="AK315" s="482" t="str">
        <f t="shared" si="66"/>
        <v/>
      </c>
      <c r="AL315" s="477" t="str">
        <f>IF($AC$315="","",IFERROR(INDEX($BB$74:$BB$119,MATCH($AH$315,$AY$74:$AY$119,0)),$AH$315))</f>
        <v/>
      </c>
      <c r="AM315" s="483" t="str">
        <f t="shared" si="78"/>
        <v/>
      </c>
      <c r="AN315" s="484" t="str">
        <f t="shared" si="79"/>
        <v/>
      </c>
      <c r="AO315" s="473" t="str">
        <f t="shared" si="80"/>
        <v/>
      </c>
      <c r="AP315" s="473" t="str">
        <f t="shared" si="81"/>
        <v/>
      </c>
      <c r="AQ315" s="473" t="str">
        <f t="shared" si="82"/>
        <v/>
      </c>
      <c r="AR315" s="473" t="str">
        <f t="shared" si="83"/>
        <v/>
      </c>
      <c r="AS315" s="473" t="str">
        <f t="shared" si="84"/>
        <v/>
      </c>
      <c r="AT315" s="473" t="str">
        <f t="shared" si="85"/>
        <v/>
      </c>
      <c r="AU315" s="473" t="str">
        <f t="shared" si="86"/>
        <v/>
      </c>
      <c r="AZ315" s="31" t="s">
        <v>17</v>
      </c>
      <c r="BA315" s="34" t="s">
        <v>494</v>
      </c>
      <c r="BB315" s="499"/>
      <c r="BC315" s="271"/>
      <c r="BD315" s="279">
        <v>1</v>
      </c>
      <c r="BE315" s="271"/>
      <c r="BF315" s="271"/>
      <c r="BG315" s="271"/>
      <c r="BH315" s="271"/>
      <c r="BI315" s="271"/>
      <c r="BJ315" s="271"/>
      <c r="BK315" s="271"/>
      <c r="BL315" s="271"/>
    </row>
    <row r="316" spans="18:64" ht="21" customHeight="1" x14ac:dyDescent="0.25">
      <c r="R316" s="25" t="s">
        <v>6115</v>
      </c>
      <c r="S316" s="451"/>
      <c r="T316" s="28" t="s">
        <v>15</v>
      </c>
      <c r="V316" s="475">
        <v>7</v>
      </c>
      <c r="W316" s="475" t="str">
        <f>IF($AC$316="","",$W$288)</f>
        <v/>
      </c>
      <c r="X316" s="476" t="str">
        <f>IF($AC$316="","",$X$288)</f>
        <v/>
      </c>
      <c r="Y316" s="477" t="str">
        <f>IF($X$316="","",$Y$288)</f>
        <v/>
      </c>
      <c r="Z316" s="477" t="str">
        <f>IF($X$316="","",$Z$288)</f>
        <v/>
      </c>
      <c r="AA316" s="477" t="str">
        <f>IF($AC$316="","",ROW($A$316)-ROW($A$288))</f>
        <v/>
      </c>
      <c r="AB316" s="478"/>
      <c r="AC316" s="34"/>
      <c r="AD316" s="356"/>
      <c r="AE316" s="479"/>
      <c r="AF316" s="475"/>
      <c r="AG316" s="480" t="str">
        <f t="shared" si="76"/>
        <v/>
      </c>
      <c r="AH316" s="481" t="str">
        <f t="shared" si="77"/>
        <v/>
      </c>
      <c r="AI316" s="477" t="str">
        <f>IF($AC$316="","",IFERROR(INDEX($AZ$74:$AZ$119,MATCH($AH$316,$AY$74:$AY$119,0)),"AUTRE"))</f>
        <v/>
      </c>
      <c r="AJ316" s="482" t="str">
        <f>IF($AC$316="","",IFERROR(INDEX($BA$74:$BA$119,MATCH($AH$316,$AY$74:$AY$119,0)),1))</f>
        <v/>
      </c>
      <c r="AK316" s="482" t="str">
        <f t="shared" ref="AK316:AK322" si="87">IF(OR(AG316="",AJ316=""),"",AG316*AJ316)</f>
        <v/>
      </c>
      <c r="AL316" s="477" t="str">
        <f>IF($AC$316="","",IFERROR(INDEX($BB$74:$BB$119,MATCH($AH$316,$AY$74:$AY$119,0)),$AH$316))</f>
        <v/>
      </c>
      <c r="AM316" s="483" t="str">
        <f t="shared" si="78"/>
        <v/>
      </c>
      <c r="AN316" s="484" t="str">
        <f t="shared" si="79"/>
        <v/>
      </c>
      <c r="AO316" s="473" t="str">
        <f t="shared" si="80"/>
        <v/>
      </c>
      <c r="AP316" s="473" t="str">
        <f t="shared" si="81"/>
        <v/>
      </c>
      <c r="AQ316" s="473" t="str">
        <f t="shared" si="82"/>
        <v/>
      </c>
      <c r="AR316" s="473" t="str">
        <f t="shared" si="83"/>
        <v/>
      </c>
      <c r="AS316" s="473" t="str">
        <f t="shared" si="84"/>
        <v/>
      </c>
      <c r="AT316" s="473" t="str">
        <f t="shared" si="85"/>
        <v/>
      </c>
      <c r="AU316" s="473" t="str">
        <f t="shared" si="86"/>
        <v/>
      </c>
      <c r="AY316" s="271"/>
      <c r="AZ316" s="31" t="s">
        <v>18</v>
      </c>
      <c r="BB316" s="499"/>
      <c r="BC316" s="271"/>
      <c r="BD316" s="279">
        <v>1</v>
      </c>
      <c r="BE316" s="271"/>
      <c r="BF316" s="271"/>
      <c r="BG316" s="271"/>
      <c r="BH316" s="271"/>
      <c r="BI316" s="271"/>
      <c r="BJ316" s="271"/>
      <c r="BK316" s="271"/>
      <c r="BL316" s="271"/>
    </row>
    <row r="317" spans="18:64" ht="21" customHeight="1" x14ac:dyDescent="0.25">
      <c r="R317" s="34" t="s">
        <v>471</v>
      </c>
      <c r="S317" s="451"/>
      <c r="T317" s="28" t="s">
        <v>21</v>
      </c>
      <c r="V317" s="475">
        <v>7</v>
      </c>
      <c r="W317" s="475" t="str">
        <f>IF($AC$317="","",$W$288)</f>
        <v/>
      </c>
      <c r="X317" s="476" t="str">
        <f>IF($AC$317="","",$X$288)</f>
        <v/>
      </c>
      <c r="Y317" s="477" t="str">
        <f>IF($X$317="","",$Y$288)</f>
        <v/>
      </c>
      <c r="Z317" s="477" t="str">
        <f>IF($X$317="","",$Z$288)</f>
        <v/>
      </c>
      <c r="AA317" s="477" t="str">
        <f>IF($AC$317="","",ROW($A$317)-ROW($A$288))</f>
        <v/>
      </c>
      <c r="AB317" s="478"/>
      <c r="AC317" s="34"/>
      <c r="AD317" s="356"/>
      <c r="AE317" s="479"/>
      <c r="AF317" s="475"/>
      <c r="AG317" s="480" t="str">
        <f t="shared" si="76"/>
        <v/>
      </c>
      <c r="AH317" s="481" t="str">
        <f t="shared" si="77"/>
        <v/>
      </c>
      <c r="AI317" s="477" t="str">
        <f>IF($AC$317="","",IFERROR(INDEX($AZ$74:$AZ$119,MATCH($AH$317,$AY$74:$AY$119,0)),"AUTRE"))</f>
        <v/>
      </c>
      <c r="AJ317" s="482" t="str">
        <f>IF($AC$317="","",IFERROR(INDEX($BA$74:$BA$119,MATCH($AH$317,$AY$74:$AY$119,0)),1))</f>
        <v/>
      </c>
      <c r="AK317" s="482" t="str">
        <f t="shared" si="87"/>
        <v/>
      </c>
      <c r="AL317" s="477" t="str">
        <f>IF($AC$317="","",IFERROR(INDEX($BB$74:$BB$119,MATCH($AH$317,$AY$74:$AY$119,0)),$AH$317))</f>
        <v/>
      </c>
      <c r="AM317" s="483" t="str">
        <f t="shared" si="78"/>
        <v/>
      </c>
      <c r="AN317" s="484" t="str">
        <f t="shared" si="79"/>
        <v/>
      </c>
      <c r="AO317" s="473" t="str">
        <f t="shared" si="80"/>
        <v/>
      </c>
      <c r="AP317" s="473" t="str">
        <f t="shared" si="81"/>
        <v/>
      </c>
      <c r="AQ317" s="473" t="str">
        <f t="shared" si="82"/>
        <v/>
      </c>
      <c r="AR317" s="473" t="str">
        <f t="shared" si="83"/>
        <v/>
      </c>
      <c r="AS317" s="473" t="str">
        <f t="shared" si="84"/>
        <v/>
      </c>
      <c r="AT317" s="473" t="str">
        <f t="shared" si="85"/>
        <v/>
      </c>
      <c r="AU317" s="473" t="str">
        <f t="shared" si="86"/>
        <v/>
      </c>
      <c r="AY317" s="497" t="s">
        <v>8145</v>
      </c>
      <c r="AZ317" s="31" t="s">
        <v>19</v>
      </c>
      <c r="BA317" s="25" t="s">
        <v>6115</v>
      </c>
      <c r="BB317" s="499"/>
      <c r="BC317" s="271"/>
      <c r="BD317" s="279">
        <v>1</v>
      </c>
      <c r="BE317" s="271"/>
      <c r="BF317" s="271"/>
      <c r="BG317" s="271"/>
      <c r="BH317" s="271"/>
      <c r="BI317" s="271"/>
      <c r="BJ317" s="271"/>
      <c r="BK317" s="271"/>
      <c r="BL317" s="271"/>
    </row>
    <row r="318" spans="18:64" ht="21" customHeight="1" x14ac:dyDescent="0.25">
      <c r="R318" s="34" t="s">
        <v>472</v>
      </c>
      <c r="S318" s="451"/>
      <c r="T318" s="28" t="s">
        <v>22</v>
      </c>
      <c r="V318" s="475">
        <v>7</v>
      </c>
      <c r="W318" s="475" t="str">
        <f>IF($AC$318="","",$W$288)</f>
        <v/>
      </c>
      <c r="X318" s="476" t="str">
        <f>IF($AC$318="","",$X$288)</f>
        <v/>
      </c>
      <c r="Y318" s="477" t="str">
        <f>IF($X$318="","",$Y$288)</f>
        <v/>
      </c>
      <c r="Z318" s="477" t="str">
        <f>IF($X$318="","",$Z$288)</f>
        <v/>
      </c>
      <c r="AA318" s="477" t="str">
        <f>IF($AC$318="","",ROW($A$318)-ROW($A$288))</f>
        <v/>
      </c>
      <c r="AB318" s="478"/>
      <c r="AC318" s="34"/>
      <c r="AD318" s="356"/>
      <c r="AE318" s="479"/>
      <c r="AF318" s="475"/>
      <c r="AG318" s="480" t="str">
        <f t="shared" si="76"/>
        <v/>
      </c>
      <c r="AH318" s="481" t="str">
        <f t="shared" si="77"/>
        <v/>
      </c>
      <c r="AI318" s="477" t="str">
        <f>IF($AC$318="","",IFERROR(INDEX($AZ$74:$AZ$119,MATCH($AH$318,$AY$74:$AY$119,0)),"AUTRE"))</f>
        <v/>
      </c>
      <c r="AJ318" s="482" t="str">
        <f>IF($AC$318="","",IFERROR(INDEX($BA$74:$BA$119,MATCH($AH$318,$AY$74:$AY$119,0)),1))</f>
        <v/>
      </c>
      <c r="AK318" s="482" t="str">
        <f t="shared" si="87"/>
        <v/>
      </c>
      <c r="AL318" s="477" t="str">
        <f>IF($AC$318="","",IFERROR(INDEX($BB$74:$BB$119,MATCH($AH$318,$AY$74:$AY$119,0)),$AH$318))</f>
        <v/>
      </c>
      <c r="AM318" s="483" t="str">
        <f t="shared" si="78"/>
        <v/>
      </c>
      <c r="AN318" s="484" t="str">
        <f t="shared" si="79"/>
        <v/>
      </c>
      <c r="AO318" s="473" t="str">
        <f t="shared" si="80"/>
        <v/>
      </c>
      <c r="AP318" s="473" t="str">
        <f t="shared" si="81"/>
        <v/>
      </c>
      <c r="AQ318" s="473" t="str">
        <f t="shared" si="82"/>
        <v/>
      </c>
      <c r="AR318" s="473" t="str">
        <f t="shared" si="83"/>
        <v/>
      </c>
      <c r="AS318" s="473" t="str">
        <f t="shared" si="84"/>
        <v/>
      </c>
      <c r="AT318" s="473" t="str">
        <f t="shared" si="85"/>
        <v/>
      </c>
      <c r="AU318" s="473" t="str">
        <f t="shared" si="86"/>
        <v/>
      </c>
      <c r="AY318" s="497" t="s">
        <v>462</v>
      </c>
      <c r="AZ318" s="31" t="s">
        <v>211</v>
      </c>
      <c r="BA318" s="34" t="s">
        <v>471</v>
      </c>
      <c r="BB318" s="499"/>
      <c r="BC318" s="271"/>
      <c r="BD318" s="279">
        <v>1</v>
      </c>
      <c r="BE318" s="271"/>
      <c r="BF318" s="271"/>
      <c r="BG318" s="271"/>
      <c r="BH318" s="271"/>
      <c r="BI318" s="271"/>
      <c r="BJ318" s="271"/>
      <c r="BK318" s="271"/>
      <c r="BL318" s="271"/>
    </row>
    <row r="319" spans="18:64" ht="21" customHeight="1" x14ac:dyDescent="0.25">
      <c r="R319" s="34" t="s">
        <v>6112</v>
      </c>
      <c r="S319" s="451"/>
      <c r="T319" s="28" t="s">
        <v>23</v>
      </c>
      <c r="V319" s="475">
        <v>7</v>
      </c>
      <c r="W319" s="475" t="str">
        <f>IF($AC$319="","",$W$288)</f>
        <v/>
      </c>
      <c r="X319" s="476" t="str">
        <f>IF($AC$319="","",$X$288)</f>
        <v/>
      </c>
      <c r="Y319" s="477" t="str">
        <f>IF($X$319="","",$Y$288)</f>
        <v/>
      </c>
      <c r="Z319" s="477" t="str">
        <f>IF($X$319="","",$Z$288)</f>
        <v/>
      </c>
      <c r="AA319" s="477" t="str">
        <f>IF($AC$319="","",ROW($A$319)-ROW($A$288))</f>
        <v/>
      </c>
      <c r="AB319" s="478"/>
      <c r="AC319" s="34"/>
      <c r="AD319" s="356"/>
      <c r="AE319" s="479"/>
      <c r="AF319" s="475"/>
      <c r="AG319" s="480" t="str">
        <f t="shared" si="76"/>
        <v/>
      </c>
      <c r="AH319" s="481" t="str">
        <f t="shared" si="77"/>
        <v/>
      </c>
      <c r="AI319" s="477" t="str">
        <f>IF($AC$319="","",IFERROR(INDEX($AZ$74:$AZ$119,MATCH($AH$319,$AY$74:$AY$119,0)),"AUTRE"))</f>
        <v/>
      </c>
      <c r="AJ319" s="482" t="str">
        <f>IF($AC$319="","",IFERROR(INDEX($BA$74:$BA$119,MATCH($AH$319,$AY$74:$AY$119,0)),1))</f>
        <v/>
      </c>
      <c r="AK319" s="482" t="str">
        <f t="shared" si="87"/>
        <v/>
      </c>
      <c r="AL319" s="477" t="str">
        <f>IF($AC$319="","",IFERROR(INDEX($BB$74:$BB$119,MATCH($AH$319,$AY$74:$AY$119,0)),$AH$319))</f>
        <v/>
      </c>
      <c r="AM319" s="483" t="str">
        <f t="shared" si="78"/>
        <v/>
      </c>
      <c r="AN319" s="484" t="str">
        <f t="shared" si="79"/>
        <v/>
      </c>
      <c r="AO319" s="473" t="str">
        <f t="shared" si="80"/>
        <v/>
      </c>
      <c r="AP319" s="473" t="str">
        <f t="shared" si="81"/>
        <v/>
      </c>
      <c r="AQ319" s="473" t="str">
        <f t="shared" si="82"/>
        <v/>
      </c>
      <c r="AR319" s="473" t="str">
        <f t="shared" si="83"/>
        <v/>
      </c>
      <c r="AS319" s="473" t="str">
        <f t="shared" si="84"/>
        <v/>
      </c>
      <c r="AT319" s="473" t="str">
        <f t="shared" si="85"/>
        <v/>
      </c>
      <c r="AU319" s="473" t="str">
        <f t="shared" si="86"/>
        <v/>
      </c>
      <c r="AY319" s="497" t="s">
        <v>463</v>
      </c>
      <c r="AZ319" s="31" t="s">
        <v>20</v>
      </c>
      <c r="BA319" s="34" t="s">
        <v>472</v>
      </c>
      <c r="BB319" s="499"/>
      <c r="BC319" s="271"/>
      <c r="BD319" s="279">
        <v>1</v>
      </c>
      <c r="BE319" s="271"/>
      <c r="BF319" s="271"/>
      <c r="BG319" s="271"/>
      <c r="BH319" s="271"/>
      <c r="BI319" s="271"/>
      <c r="BJ319" s="271"/>
      <c r="BK319" s="271"/>
      <c r="BL319" s="271"/>
    </row>
    <row r="320" spans="18:64" ht="21" customHeight="1" x14ac:dyDescent="0.25">
      <c r="R320" s="25" t="s">
        <v>6116</v>
      </c>
      <c r="S320" s="451"/>
      <c r="T320" s="28" t="s">
        <v>24</v>
      </c>
      <c r="V320" s="475">
        <v>7</v>
      </c>
      <c r="W320" s="475" t="str">
        <f>IF($AC$320="","",$W$288)</f>
        <v/>
      </c>
      <c r="X320" s="476" t="str">
        <f>IF($AC$320="","",$X$288)</f>
        <v/>
      </c>
      <c r="Y320" s="477" t="str">
        <f>IF($X$320="","",$Y$288)</f>
        <v/>
      </c>
      <c r="Z320" s="477" t="str">
        <f>IF($X$320="","",$Z$288)</f>
        <v/>
      </c>
      <c r="AA320" s="477" t="str">
        <f>IF($AC$320="","",ROW($A$320)-ROW($A$288))</f>
        <v/>
      </c>
      <c r="AB320" s="478"/>
      <c r="AC320" s="34"/>
      <c r="AD320" s="356"/>
      <c r="AE320" s="479"/>
      <c r="AF320" s="475"/>
      <c r="AG320" s="480" t="str">
        <f t="shared" si="76"/>
        <v/>
      </c>
      <c r="AH320" s="481" t="str">
        <f t="shared" si="77"/>
        <v/>
      </c>
      <c r="AI320" s="477" t="str">
        <f>IF($AC$320="","",IFERROR(INDEX($AZ$74:$AZ$119,MATCH($AH$320,$AY$74:$AY$119,0)),"AUTRE"))</f>
        <v/>
      </c>
      <c r="AJ320" s="482" t="str">
        <f>IF($AC$320="","",IFERROR(INDEX($BA$74:$BA$119,MATCH($AH$320,$AY$74:$AY$119,0)),1))</f>
        <v/>
      </c>
      <c r="AK320" s="482" t="str">
        <f t="shared" si="87"/>
        <v/>
      </c>
      <c r="AL320" s="477" t="str">
        <f>IF($AC$320="","",IFERROR(INDEX($BB$74:$BB$119,MATCH($AH$320,$AY$74:$AY$119,0)),$AH$320))</f>
        <v/>
      </c>
      <c r="AM320" s="483" t="str">
        <f t="shared" si="78"/>
        <v/>
      </c>
      <c r="AN320" s="484" t="str">
        <f t="shared" si="79"/>
        <v/>
      </c>
      <c r="AO320" s="473" t="str">
        <f t="shared" si="80"/>
        <v/>
      </c>
      <c r="AP320" s="473" t="str">
        <f t="shared" si="81"/>
        <v/>
      </c>
      <c r="AQ320" s="473" t="str">
        <f t="shared" si="82"/>
        <v/>
      </c>
      <c r="AR320" s="473" t="str">
        <f t="shared" si="83"/>
        <v/>
      </c>
      <c r="AS320" s="473" t="str">
        <f t="shared" si="84"/>
        <v/>
      </c>
      <c r="AT320" s="473" t="str">
        <f t="shared" si="85"/>
        <v/>
      </c>
      <c r="AU320" s="473" t="str">
        <f t="shared" si="86"/>
        <v/>
      </c>
      <c r="AY320" s="497" t="s">
        <v>8147</v>
      </c>
      <c r="AZ320" s="31" t="s">
        <v>304</v>
      </c>
      <c r="BA320" s="34" t="s">
        <v>6112</v>
      </c>
      <c r="BB320" s="499"/>
      <c r="BC320" s="271"/>
      <c r="BD320" s="279">
        <v>1</v>
      </c>
      <c r="BE320" s="271"/>
      <c r="BF320" s="271"/>
      <c r="BG320" s="271"/>
      <c r="BH320" s="271"/>
      <c r="BI320" s="271"/>
      <c r="BJ320" s="271"/>
      <c r="BK320" s="271"/>
      <c r="BL320" s="271"/>
    </row>
    <row r="321" spans="18:64" ht="21" customHeight="1" x14ac:dyDescent="0.25">
      <c r="R321" s="34" t="s">
        <v>6117</v>
      </c>
      <c r="S321" s="451"/>
      <c r="T321" s="29" t="s">
        <v>9</v>
      </c>
      <c r="V321" s="475">
        <v>7</v>
      </c>
      <c r="W321" s="475" t="str">
        <f>IF($AC$321="","",$W$288)</f>
        <v/>
      </c>
      <c r="X321" s="476" t="str">
        <f>IF($AC$321="","",$X$288)</f>
        <v/>
      </c>
      <c r="Y321" s="477" t="str">
        <f>IF($X$321="","",$Y$288)</f>
        <v/>
      </c>
      <c r="Z321" s="477" t="str">
        <f>IF($X$321="","",$Z$288)</f>
        <v/>
      </c>
      <c r="AA321" s="477" t="str">
        <f>IF($AC$321="","",ROW($A$321)-ROW($A$288))</f>
        <v/>
      </c>
      <c r="AB321" s="478"/>
      <c r="AC321" s="34"/>
      <c r="AD321" s="356"/>
      <c r="AE321" s="479"/>
      <c r="AF321" s="475"/>
      <c r="AG321" s="480" t="str">
        <f t="shared" si="76"/>
        <v/>
      </c>
      <c r="AH321" s="481" t="str">
        <f t="shared" si="77"/>
        <v/>
      </c>
      <c r="AI321" s="477" t="str">
        <f>IF($AC$321="","",IFERROR(INDEX($AZ$74:$AZ$119,MATCH($AH$321,$AY$74:$AY$119,0)),"AUTRE"))</f>
        <v/>
      </c>
      <c r="AJ321" s="482" t="str">
        <f>IF($AC$321="","",IFERROR(INDEX($BA$74:$BA$119,MATCH($AH$321,$AY$74:$AY$119,0)),1))</f>
        <v/>
      </c>
      <c r="AK321" s="482" t="str">
        <f t="shared" si="87"/>
        <v/>
      </c>
      <c r="AL321" s="477" t="str">
        <f>IF($AC$321="","",IFERROR(INDEX($BB$74:$BB$119,MATCH($AH$321,$AY$74:$AY$119,0)),$AH$321))</f>
        <v/>
      </c>
      <c r="AM321" s="483" t="str">
        <f t="shared" si="78"/>
        <v/>
      </c>
      <c r="AN321" s="484" t="str">
        <f t="shared" si="79"/>
        <v/>
      </c>
      <c r="AO321" s="473" t="str">
        <f t="shared" si="80"/>
        <v/>
      </c>
      <c r="AP321" s="473" t="str">
        <f t="shared" si="81"/>
        <v/>
      </c>
      <c r="AQ321" s="473" t="str">
        <f t="shared" si="82"/>
        <v/>
      </c>
      <c r="AR321" s="473" t="str">
        <f t="shared" si="83"/>
        <v/>
      </c>
      <c r="AS321" s="473" t="str">
        <f t="shared" si="84"/>
        <v/>
      </c>
      <c r="AT321" s="473" t="str">
        <f t="shared" si="85"/>
        <v/>
      </c>
      <c r="AU321" s="473" t="str">
        <f t="shared" si="86"/>
        <v/>
      </c>
      <c r="AY321" s="497" t="s">
        <v>465</v>
      </c>
      <c r="AZ321" s="31" t="s">
        <v>352</v>
      </c>
      <c r="BA321" s="25" t="s">
        <v>6116</v>
      </c>
      <c r="BB321" s="499"/>
      <c r="BC321" s="271"/>
      <c r="BD321" s="279">
        <v>1</v>
      </c>
      <c r="BE321" s="271"/>
      <c r="BF321" s="271"/>
      <c r="BG321" s="271"/>
      <c r="BH321" s="271"/>
      <c r="BI321" s="271"/>
      <c r="BJ321" s="271"/>
      <c r="BK321" s="271"/>
      <c r="BL321" s="271"/>
    </row>
    <row r="322" spans="18:64" ht="21" customHeight="1" x14ac:dyDescent="0.25">
      <c r="R322" s="34" t="s">
        <v>469</v>
      </c>
      <c r="S322" s="451"/>
      <c r="T322" s="30" t="s">
        <v>10</v>
      </c>
      <c r="V322" s="475">
        <v>7</v>
      </c>
      <c r="W322" s="475" t="str">
        <f>IF($AC$322="","",$W$288)</f>
        <v/>
      </c>
      <c r="X322" s="476" t="str">
        <f>IF($AC$322="","",$X$288)</f>
        <v/>
      </c>
      <c r="Y322" s="477" t="str">
        <f>IF($X$322="","",$Y$288)</f>
        <v/>
      </c>
      <c r="Z322" s="477" t="str">
        <f>IF($X$322="","",$Z$288)</f>
        <v/>
      </c>
      <c r="AA322" s="477" t="str">
        <f>IF($AC$322="","",ROW($A$322)-ROW($A$288))</f>
        <v/>
      </c>
      <c r="AB322" s="478"/>
      <c r="AC322" s="34"/>
      <c r="AD322" s="356"/>
      <c r="AE322" s="479"/>
      <c r="AF322" s="475"/>
      <c r="AG322" s="491" t="str">
        <f t="shared" si="76"/>
        <v/>
      </c>
      <c r="AH322" s="481" t="str">
        <f t="shared" si="77"/>
        <v/>
      </c>
      <c r="AI322" s="477" t="str">
        <f>IF($AC$322="","",IFERROR(INDEX($AZ$74:$AZ$119,MATCH($AH$322,$AY$74:$AY$119,0)),"AUTRE"))</f>
        <v/>
      </c>
      <c r="AJ322" s="482" t="str">
        <f>IF($AC$322="","",IFERROR(INDEX($BA$74:$BA$119,MATCH($AH$322,$AY$74:$AY$119,0)),1))</f>
        <v/>
      </c>
      <c r="AK322" s="482" t="str">
        <f t="shared" si="87"/>
        <v/>
      </c>
      <c r="AL322" s="477" t="str">
        <f>IF($AC$322="","",IFERROR(INDEX($BB$74:$BB$119,MATCH($AH$322,$AY$74:$AY$119,0)),$AH$322))</f>
        <v/>
      </c>
      <c r="AM322" s="483" t="str">
        <f t="shared" si="78"/>
        <v/>
      </c>
      <c r="AN322" s="484" t="str">
        <f t="shared" si="79"/>
        <v/>
      </c>
      <c r="AO322" s="473" t="str">
        <f t="shared" si="80"/>
        <v/>
      </c>
      <c r="AP322" s="473" t="str">
        <f t="shared" si="81"/>
        <v/>
      </c>
      <c r="AQ322" s="473" t="str">
        <f t="shared" si="82"/>
        <v/>
      </c>
      <c r="AR322" s="473" t="str">
        <f t="shared" si="83"/>
        <v/>
      </c>
      <c r="AS322" s="473" t="str">
        <f t="shared" si="84"/>
        <v/>
      </c>
      <c r="AT322" s="473" t="str">
        <f t="shared" si="85"/>
        <v/>
      </c>
      <c r="AU322" s="473" t="str">
        <f t="shared" si="86"/>
        <v/>
      </c>
      <c r="AY322" s="497" t="s">
        <v>466</v>
      </c>
      <c r="AZ322" s="31" t="s">
        <v>27</v>
      </c>
      <c r="BA322" s="34" t="s">
        <v>6117</v>
      </c>
      <c r="BB322" s="499"/>
      <c r="BC322" s="271"/>
      <c r="BD322" s="279">
        <v>1</v>
      </c>
      <c r="BE322" s="271"/>
      <c r="BF322" s="271"/>
      <c r="BG322" s="271"/>
      <c r="BH322" s="271"/>
      <c r="BI322" s="271"/>
      <c r="BJ322" s="271"/>
      <c r="BK322" s="271"/>
      <c r="BL322" s="271"/>
    </row>
    <row r="323" spans="18:64" ht="30" customHeight="1" x14ac:dyDescent="0.25">
      <c r="R323" s="34" t="s">
        <v>6118</v>
      </c>
      <c r="S323" s="451"/>
      <c r="T323" s="30" t="s">
        <v>11</v>
      </c>
      <c r="V323" s="453" t="s">
        <v>324</v>
      </c>
      <c r="W323" s="453" t="s">
        <v>7912</v>
      </c>
      <c r="X323" s="453" t="s">
        <v>326</v>
      </c>
      <c r="Y323" s="453" t="s">
        <v>327</v>
      </c>
      <c r="Z323" s="454" t="s">
        <v>7930</v>
      </c>
      <c r="AA323" s="453" t="s">
        <v>7937</v>
      </c>
      <c r="AB323" s="455" t="s">
        <v>39</v>
      </c>
      <c r="AC323" s="455" t="s">
        <v>338</v>
      </c>
      <c r="AD323" s="455" t="s">
        <v>8114</v>
      </c>
      <c r="AE323" s="455" t="s">
        <v>339</v>
      </c>
      <c r="AF323" s="455" t="s">
        <v>7997</v>
      </c>
      <c r="AG323" s="453" t="s">
        <v>8018</v>
      </c>
      <c r="AH323" s="453" t="s">
        <v>8023</v>
      </c>
      <c r="AI323" s="453" t="s">
        <v>330</v>
      </c>
      <c r="AJ323" s="453" t="s">
        <v>8031</v>
      </c>
      <c r="AK323" s="453" t="s">
        <v>8037</v>
      </c>
      <c r="AL323" s="453" t="s">
        <v>8041</v>
      </c>
      <c r="AM323" s="453" t="s">
        <v>343</v>
      </c>
      <c r="AN323" s="457" t="s">
        <v>8115</v>
      </c>
      <c r="AO323" s="457" t="s">
        <v>8116</v>
      </c>
      <c r="AP323" s="656" t="s">
        <v>8117</v>
      </c>
      <c r="AQ323" s="656"/>
      <c r="AR323" s="656"/>
      <c r="AS323" s="656"/>
      <c r="AT323" s="656"/>
      <c r="AU323" s="657"/>
      <c r="AZ323" s="31" t="s">
        <v>28</v>
      </c>
      <c r="BA323" s="34" t="s">
        <v>469</v>
      </c>
      <c r="BB323" s="499"/>
      <c r="BC323" s="271"/>
      <c r="BD323" s="279">
        <v>1</v>
      </c>
      <c r="BE323" s="271"/>
      <c r="BF323" s="271"/>
      <c r="BG323" s="271"/>
      <c r="BH323" s="271"/>
      <c r="BI323" s="271"/>
      <c r="BJ323" s="271"/>
      <c r="BK323" s="271"/>
      <c r="BL323" s="271"/>
    </row>
    <row r="324" spans="18:64" ht="30" customHeight="1" x14ac:dyDescent="0.25">
      <c r="R324" s="34" t="s">
        <v>492</v>
      </c>
      <c r="S324" s="451"/>
      <c r="T324" s="30" t="s">
        <v>12</v>
      </c>
      <c r="V324" s="459">
        <v>8</v>
      </c>
      <c r="W324" s="460" t="s">
        <v>8159</v>
      </c>
      <c r="X324" s="461" t="s">
        <v>8160</v>
      </c>
      <c r="Y324" s="462"/>
      <c r="Z324" s="463">
        <v>100</v>
      </c>
      <c r="AA324" s="464">
        <f>IF($AC$396="","",ROW($A$396)-ROW($A$396))</f>
        <v>0</v>
      </c>
      <c r="AB324" s="461"/>
      <c r="AC324" s="465" t="s">
        <v>8161</v>
      </c>
      <c r="AD324" s="390"/>
      <c r="AE324" s="390"/>
      <c r="AF324" s="466"/>
      <c r="AG324" s="467" t="str">
        <f t="shared" ref="AG324:AG358" si="88">IF($AC324="","",IF(LEN($AN324&amp;"")=0,"",$AN324))</f>
        <v/>
      </c>
      <c r="AH324" s="468" t="str">
        <f t="shared" ref="AH324:AH358" si="89">IF($AC324="","",IF($AF324&lt;&gt;"",UPPER(TRIM(SUBSTITUTE(SUBSTITUTE($AF324&amp;"",CHAR(160)," ")," "," "))),$AP324))</f>
        <v/>
      </c>
      <c r="AI324" s="469" t="str">
        <f>IF($AC$324="","",IFERROR(INDEX($AZ$74:$AZ$119,MATCH($AH$324,$AY$74:$AY$119,0)),"AUTRE"))</f>
        <v>AUTRE</v>
      </c>
      <c r="AJ324" s="470">
        <f>IF($AC$324="","",IFERROR(INDEX($BA$74:$BA$119,MATCH($AH$324,$AY$74:$AY$119,0)),1))</f>
        <v>1</v>
      </c>
      <c r="AK324" s="470" t="str">
        <f t="shared" ref="AK324:AK358" si="90">IF(OR(AG324="",AJ324=""),"",AG324*AJ324)</f>
        <v/>
      </c>
      <c r="AL324" s="469" t="str">
        <f>IF($AC$324="","",IFERROR(INDEX($BB$74:$BB$119,MATCH($AH$324,$AY$74:$AY$119,0)),$AH$324))</f>
        <v/>
      </c>
      <c r="AM324" s="471" t="str">
        <f t="shared" ref="AM324:AM358" si="91">IF($AC324="","",IF($AH324="QT. SUFFISANTE","OK",IF($AG324="","TEXTE",IF(NOT(ISNUMBER($AG324)),"QUANTITÉ À CONTRÔLER",IF(COUNTIF($AY$74:$AY$119,$AH324)=0,"UNITÉ À CONTRÔLER","OK")))))</f>
        <v>TEXTE</v>
      </c>
      <c r="AN324" s="474" t="str">
        <f t="shared" ref="AN324:AN358" si="92">IF($AE324&lt;&gt;"",$AE324,IF($AD324="","",IF(ISNUMBER($AD324),$AD324,IF($AO324="QT",0,IF($AO324="","",IFERROR(IF(ISNUMBER(SEARCH("/",$AO324)),VALUE(TRIM(LEFT($AO324,SEARCH("/",$AO324)-1)))/VALUE(TRIM(MID($AO324,SEARCH("/",$AO324)+1,99))),VALUE(SUBSTITUTE($AO324,".",","))),""))))))</f>
        <v/>
      </c>
      <c r="AO324" s="473" t="str">
        <f t="shared" ref="AO324:AO358" si="93">IF($AD324="","",IF(ISNUMBER($AD324),$AD324,IF(OR(LEFT($AQ324,3)="QT.",LEFT($AQ324,4)="QUAN"),"QT",IF($AR324=999,$AQ324,TRIM(LEFT($AQ324,$AR324-1))))))</f>
        <v/>
      </c>
      <c r="AP324" s="473" t="str">
        <f t="shared" ref="AP324:AP358" si="94">IF($AD324="","",IF(ISNUMBER($AD324),"",IF(OR(LEFT($AQ324,3)="QT.",LEFT($AQ324,4)="QUAN"),"QT. SUFFISANTE",IF($AO324="","",TRIM(MID($AQ324,LEN($AO324&amp;"")+1,999))))))</f>
        <v/>
      </c>
      <c r="AQ324" s="473" t="str">
        <f t="shared" ref="AQ324:AQ358" si="95">IF($AD324="","",UPPER(TRIM(SUBSTITUTE(SUBSTITUTE($AD324&amp;"",CHAR(160)," ")," "," "))))</f>
        <v/>
      </c>
      <c r="AR324" s="473" t="str">
        <f t="shared" ref="AR324:AR358" si="96">IF($AQ324="","",MIN($AS324,$AT324,$AU324))</f>
        <v/>
      </c>
      <c r="AS324" s="473" t="str">
        <f t="shared" ref="AS324:AS358" si="97">IF($AQ324="","",MIN(IFERROR(SEARCH("A",$AQ324),999),IFERROR(SEARCH("B",$AQ324),999),IFERROR(SEARCH("C",$AQ324),999),IFERROR(SEARCH("D",$AQ324),999),IFERROR(SEARCH("E",$AQ324),999),IFERROR(SEARCH("F",$AQ324),999),IFERROR(SEARCH("G",$AQ324),999),IFERROR(SEARCH("H",$AQ324),999),IFERROR(SEARCH("I",$AQ324),999)))</f>
        <v/>
      </c>
      <c r="AT324" s="473" t="str">
        <f t="shared" ref="AT324:AT358" si="98">IF($AQ324="","",MIN(IFERROR(SEARCH("J",$AQ324),999),IFERROR(SEARCH("K",$AQ324),999),IFERROR(SEARCH("L",$AQ324),999),IFERROR(SEARCH("M",$AQ324),999),IFERROR(SEARCH("N",$AQ324),999),IFERROR(SEARCH("O",$AQ324),999),IFERROR(SEARCH("P",$AQ324),999),IFERROR(SEARCH("Q",$AQ324),999),IFERROR(SEARCH("R",$AQ324),999)))</f>
        <v/>
      </c>
      <c r="AU324" s="473" t="str">
        <f t="shared" ref="AU324:AU358" si="99">IF($AQ324="","",MIN(IFERROR(SEARCH("S",$AQ324),999),IFERROR(SEARCH("T",$AQ324),999),IFERROR(SEARCH("U",$AQ324),999),IFERROR(SEARCH("V",$AQ324),999),IFERROR(SEARCH("W",$AQ324),999),IFERROR(SEARCH("X",$AQ324),999),IFERROR(SEARCH("Y",$AQ324),999),IFERROR(SEARCH("Z",$AQ324),999)))</f>
        <v/>
      </c>
      <c r="AZ324" s="31" t="s">
        <v>29</v>
      </c>
      <c r="BA324" s="34" t="s">
        <v>6118</v>
      </c>
      <c r="BB324" s="499"/>
      <c r="BC324" s="271"/>
      <c r="BD324" s="279">
        <v>1</v>
      </c>
      <c r="BE324" s="271"/>
      <c r="BF324" s="271"/>
      <c r="BG324" s="271"/>
      <c r="BH324" s="271"/>
      <c r="BI324" s="271"/>
      <c r="BJ324" s="271"/>
      <c r="BK324" s="271"/>
      <c r="BL324" s="271"/>
    </row>
    <row r="325" spans="18:64" ht="21" customHeight="1" x14ac:dyDescent="0.25">
      <c r="R325" s="34" t="s">
        <v>458</v>
      </c>
      <c r="S325" s="451"/>
      <c r="T325" s="31" t="s">
        <v>16</v>
      </c>
      <c r="V325" s="475">
        <f>$V$324</f>
        <v>8</v>
      </c>
      <c r="W325" s="475" t="str">
        <f>IF($AC$325="","",$W$324)</f>
        <v/>
      </c>
      <c r="X325" s="476" t="str">
        <f>IF($AC$325="","",$X$324)</f>
        <v/>
      </c>
      <c r="Y325" s="477" t="str">
        <f>IF($X$325="","",$Y$324)</f>
        <v/>
      </c>
      <c r="Z325" s="477" t="str">
        <f>IF($X$325="","",$Z$324)</f>
        <v/>
      </c>
      <c r="AA325" s="477" t="str">
        <f>IF($AC$325="","",ROW($A$325)-ROW($A$324))</f>
        <v/>
      </c>
      <c r="AB325" s="478"/>
      <c r="AC325" s="34"/>
      <c r="AD325" s="356"/>
      <c r="AE325" s="479"/>
      <c r="AF325" s="475"/>
      <c r="AG325" s="480" t="str">
        <f t="shared" si="88"/>
        <v/>
      </c>
      <c r="AH325" s="481" t="str">
        <f t="shared" si="89"/>
        <v/>
      </c>
      <c r="AI325" s="477" t="str">
        <f>IF($AC$325="","",IFERROR(INDEX($AZ$74:$AZ$119,MATCH($AH$325,$AY$74:$AY$119,0)),"AUTRE"))</f>
        <v/>
      </c>
      <c r="AJ325" s="482" t="str">
        <f>IF($AC$325="","",IFERROR(INDEX($BA$74:$BA$119,MATCH($AH$325,$AY$74:$AY$119,0)),1))</f>
        <v/>
      </c>
      <c r="AK325" s="482" t="str">
        <f t="shared" si="90"/>
        <v/>
      </c>
      <c r="AL325" s="477" t="str">
        <f>IF($AC$325="","",IFERROR(INDEX($BB$74:$BB$119,MATCH($AH$325,$AY$74:$AY$119,0)),$AH$325))</f>
        <v/>
      </c>
      <c r="AM325" s="483" t="str">
        <f t="shared" si="91"/>
        <v/>
      </c>
      <c r="AN325" s="484" t="str">
        <f t="shared" si="92"/>
        <v/>
      </c>
      <c r="AO325" s="473" t="str">
        <f t="shared" si="93"/>
        <v/>
      </c>
      <c r="AP325" s="473" t="str">
        <f t="shared" si="94"/>
        <v/>
      </c>
      <c r="AQ325" s="473" t="str">
        <f t="shared" si="95"/>
        <v/>
      </c>
      <c r="AR325" s="473" t="str">
        <f t="shared" si="96"/>
        <v/>
      </c>
      <c r="AS325" s="473" t="str">
        <f t="shared" si="97"/>
        <v/>
      </c>
      <c r="AT325" s="473" t="str">
        <f t="shared" si="98"/>
        <v/>
      </c>
      <c r="AU325" s="473" t="str">
        <f t="shared" si="99"/>
        <v/>
      </c>
      <c r="AZ325" s="31" t="s">
        <v>30</v>
      </c>
      <c r="BA325" s="34" t="s">
        <v>492</v>
      </c>
      <c r="BB325" s="499"/>
      <c r="BC325" s="271"/>
      <c r="BD325" s="279">
        <v>1</v>
      </c>
      <c r="BE325" s="271"/>
      <c r="BF325" s="271"/>
      <c r="BG325" s="271"/>
      <c r="BH325" s="271"/>
      <c r="BI325" s="271"/>
      <c r="BJ325" s="271"/>
      <c r="BK325" s="271"/>
      <c r="BL325" s="271"/>
    </row>
    <row r="326" spans="18:64" ht="21" customHeight="1" x14ac:dyDescent="0.25">
      <c r="R326" s="490"/>
      <c r="S326" s="451"/>
      <c r="T326" s="31" t="s">
        <v>17</v>
      </c>
      <c r="V326" s="475">
        <v>8</v>
      </c>
      <c r="W326" s="475" t="str">
        <f>IF($AC$326="","",$W$324)</f>
        <v/>
      </c>
      <c r="X326" s="476" t="str">
        <f>IF($AC$326="","",$X$324)</f>
        <v/>
      </c>
      <c r="Y326" s="477" t="str">
        <f>IF($X$326="","",$Y$324)</f>
        <v/>
      </c>
      <c r="Z326" s="477" t="str">
        <f>IF($X$326="","",$Z$324)</f>
        <v/>
      </c>
      <c r="AA326" s="477" t="str">
        <f>IF($AC$326="","",ROW($A$326)-ROW($A$324))</f>
        <v/>
      </c>
      <c r="AB326" s="478"/>
      <c r="AC326" s="34"/>
      <c r="AD326" s="356"/>
      <c r="AE326" s="479"/>
      <c r="AF326" s="475"/>
      <c r="AG326" s="480" t="str">
        <f t="shared" si="88"/>
        <v/>
      </c>
      <c r="AH326" s="481" t="str">
        <f t="shared" si="89"/>
        <v/>
      </c>
      <c r="AI326" s="477" t="str">
        <f>IF($AC$326="","",IFERROR(INDEX($AZ$74:$AZ$119,MATCH($AH$326,$AY$74:$AY$119,0)),"AUTRE"))</f>
        <v/>
      </c>
      <c r="AJ326" s="482" t="str">
        <f>IF($AC$326="","",IFERROR(INDEX($BA$74:$BA$119,MATCH($AH$326,$AY$74:$AY$119,0)),1))</f>
        <v/>
      </c>
      <c r="AK326" s="482" t="str">
        <f t="shared" si="90"/>
        <v/>
      </c>
      <c r="AL326" s="477" t="str">
        <f>IF($AC$326="","",IFERROR(INDEX($BB$74:$BB$119,MATCH($AH$326,$AY$74:$AY$119,0)),$AH$326))</f>
        <v/>
      </c>
      <c r="AM326" s="483" t="str">
        <f t="shared" si="91"/>
        <v/>
      </c>
      <c r="AN326" s="484" t="str">
        <f t="shared" si="92"/>
        <v/>
      </c>
      <c r="AO326" s="473" t="str">
        <f t="shared" si="93"/>
        <v/>
      </c>
      <c r="AP326" s="473" t="str">
        <f t="shared" si="94"/>
        <v/>
      </c>
      <c r="AQ326" s="473" t="str">
        <f t="shared" si="95"/>
        <v/>
      </c>
      <c r="AR326" s="473" t="str">
        <f t="shared" si="96"/>
        <v/>
      </c>
      <c r="AS326" s="473" t="str">
        <f t="shared" si="97"/>
        <v/>
      </c>
      <c r="AT326" s="473" t="str">
        <f t="shared" si="98"/>
        <v/>
      </c>
      <c r="AU326" s="473" t="str">
        <f t="shared" si="99"/>
        <v/>
      </c>
      <c r="AZ326" s="32" t="s">
        <v>33</v>
      </c>
      <c r="BA326" s="34" t="s">
        <v>458</v>
      </c>
      <c r="BB326" s="499"/>
      <c r="BC326" s="271"/>
      <c r="BD326" s="279">
        <v>1</v>
      </c>
      <c r="BE326" s="271"/>
      <c r="BF326" s="271"/>
      <c r="BG326" s="271"/>
      <c r="BH326" s="271"/>
      <c r="BI326" s="271"/>
      <c r="BJ326" s="271"/>
      <c r="BK326" s="271"/>
      <c r="BL326" s="271"/>
    </row>
    <row r="327" spans="18:64" ht="21" customHeight="1" x14ac:dyDescent="0.25">
      <c r="R327" s="25" t="s">
        <v>6119</v>
      </c>
      <c r="S327" s="451"/>
      <c r="T327" s="31" t="s">
        <v>18</v>
      </c>
      <c r="V327" s="475">
        <v>8</v>
      </c>
      <c r="W327" s="475" t="str">
        <f>IF($AC$327="","",$W$324)</f>
        <v/>
      </c>
      <c r="X327" s="476" t="str">
        <f>IF($AC$327="","",$X$324)</f>
        <v/>
      </c>
      <c r="Y327" s="477" t="str">
        <f>IF($X$327="","",$Y$324)</f>
        <v/>
      </c>
      <c r="Z327" s="477" t="str">
        <f>IF($X$327="","",$Z$324)</f>
        <v/>
      </c>
      <c r="AA327" s="477" t="str">
        <f>IF($AC$327="","",ROW($A$327)-ROW($A$324))</f>
        <v/>
      </c>
      <c r="AB327" s="478"/>
      <c r="AC327" s="34"/>
      <c r="AD327" s="356"/>
      <c r="AE327" s="479"/>
      <c r="AF327" s="475"/>
      <c r="AG327" s="480" t="str">
        <f t="shared" si="88"/>
        <v/>
      </c>
      <c r="AH327" s="481" t="str">
        <f t="shared" si="89"/>
        <v/>
      </c>
      <c r="AI327" s="477" t="str">
        <f>IF($AC$327="","",IFERROR(INDEX($AZ$74:$AZ$119,MATCH($AH$327,$AY$74:$AY$119,0)),"AUTRE"))</f>
        <v/>
      </c>
      <c r="AJ327" s="482" t="str">
        <f>IF($AC$327="","",IFERROR(INDEX($BA$74:$BA$119,MATCH($AH$327,$AY$74:$AY$119,0)),1))</f>
        <v/>
      </c>
      <c r="AK327" s="482" t="str">
        <f t="shared" si="90"/>
        <v/>
      </c>
      <c r="AL327" s="477" t="str">
        <f>IF($AC$327="","",IFERROR(INDEX($BB$74:$BB$119,MATCH($AH$327,$AY$74:$AY$119,0)),$AH$327))</f>
        <v/>
      </c>
      <c r="AM327" s="483" t="str">
        <f t="shared" si="91"/>
        <v/>
      </c>
      <c r="AN327" s="484" t="str">
        <f t="shared" si="92"/>
        <v/>
      </c>
      <c r="AO327" s="473" t="str">
        <f t="shared" si="93"/>
        <v/>
      </c>
      <c r="AP327" s="473" t="str">
        <f t="shared" si="94"/>
        <v/>
      </c>
      <c r="AQ327" s="473" t="str">
        <f t="shared" si="95"/>
        <v/>
      </c>
      <c r="AR327" s="473" t="str">
        <f t="shared" si="96"/>
        <v/>
      </c>
      <c r="AS327" s="473" t="str">
        <f t="shared" si="97"/>
        <v/>
      </c>
      <c r="AT327" s="473" t="str">
        <f t="shared" si="98"/>
        <v/>
      </c>
      <c r="AU327" s="473" t="str">
        <f t="shared" si="99"/>
        <v/>
      </c>
      <c r="AZ327" s="32" t="s">
        <v>8125</v>
      </c>
      <c r="BA327" s="490"/>
      <c r="BB327" s="499"/>
      <c r="BC327" s="271"/>
      <c r="BD327" s="279">
        <v>1</v>
      </c>
      <c r="BE327" s="271"/>
      <c r="BF327" s="271"/>
      <c r="BG327" s="271"/>
      <c r="BH327" s="271"/>
      <c r="BI327" s="271"/>
      <c r="BJ327" s="271"/>
      <c r="BK327" s="271"/>
      <c r="BL327" s="271"/>
    </row>
    <row r="328" spans="18:64" ht="21" customHeight="1" x14ac:dyDescent="0.25">
      <c r="R328" s="34" t="s">
        <v>6120</v>
      </c>
      <c r="S328" s="451"/>
      <c r="T328" s="31" t="s">
        <v>19</v>
      </c>
      <c r="V328" s="475">
        <v>8</v>
      </c>
      <c r="W328" s="475" t="str">
        <f>IF($AC$328="","",$W$324)</f>
        <v/>
      </c>
      <c r="X328" s="476" t="str">
        <f>IF($AC$328="","",$X$324)</f>
        <v/>
      </c>
      <c r="Y328" s="477" t="str">
        <f>IF($X$328="","",$Y$324)</f>
        <v/>
      </c>
      <c r="Z328" s="477" t="str">
        <f>IF($X$328="","",$Z$324)</f>
        <v/>
      </c>
      <c r="AA328" s="477" t="str">
        <f>IF($AC$328="","",ROW($A$328)-ROW($A$324))</f>
        <v/>
      </c>
      <c r="AB328" s="478"/>
      <c r="AC328" s="34"/>
      <c r="AD328" s="356"/>
      <c r="AE328" s="479"/>
      <c r="AF328" s="475"/>
      <c r="AG328" s="480" t="str">
        <f t="shared" si="88"/>
        <v/>
      </c>
      <c r="AH328" s="481" t="str">
        <f t="shared" si="89"/>
        <v/>
      </c>
      <c r="AI328" s="477" t="str">
        <f>IF($AC$328="","",IFERROR(INDEX($AZ$74:$AZ$119,MATCH($AH$328,$AY$74:$AY$119,0)),"AUTRE"))</f>
        <v/>
      </c>
      <c r="AJ328" s="482" t="str">
        <f>IF($AC$328="","",IFERROR(INDEX($BA$74:$BA$119,MATCH($AH$328,$AY$74:$AY$119,0)),1))</f>
        <v/>
      </c>
      <c r="AK328" s="482" t="str">
        <f t="shared" si="90"/>
        <v/>
      </c>
      <c r="AL328" s="477" t="str">
        <f>IF($AC$328="","",IFERROR(INDEX($BB$74:$BB$119,MATCH($AH$328,$AY$74:$AY$119,0)),$AH$328))</f>
        <v/>
      </c>
      <c r="AM328" s="483" t="str">
        <f t="shared" si="91"/>
        <v/>
      </c>
      <c r="AN328" s="484" t="str">
        <f t="shared" si="92"/>
        <v/>
      </c>
      <c r="AO328" s="473" t="str">
        <f t="shared" si="93"/>
        <v/>
      </c>
      <c r="AP328" s="473" t="str">
        <f t="shared" si="94"/>
        <v/>
      </c>
      <c r="AQ328" s="473" t="str">
        <f t="shared" si="95"/>
        <v/>
      </c>
      <c r="AR328" s="473" t="str">
        <f t="shared" si="96"/>
        <v/>
      </c>
      <c r="AS328" s="473" t="str">
        <f t="shared" si="97"/>
        <v/>
      </c>
      <c r="AT328" s="473" t="str">
        <f t="shared" si="98"/>
        <v/>
      </c>
      <c r="AU328" s="473" t="str">
        <f t="shared" si="99"/>
        <v/>
      </c>
      <c r="AZ328" s="32" t="s">
        <v>8127</v>
      </c>
      <c r="BA328" s="25" t="s">
        <v>6119</v>
      </c>
      <c r="BB328" s="499"/>
      <c r="BC328" s="271"/>
      <c r="BD328" s="279">
        <v>1</v>
      </c>
      <c r="BE328" s="271"/>
      <c r="BF328" s="271"/>
      <c r="BG328" s="271"/>
      <c r="BH328" s="271"/>
      <c r="BI328" s="271"/>
      <c r="BJ328" s="271"/>
      <c r="BK328" s="271"/>
      <c r="BL328" s="271"/>
    </row>
    <row r="329" spans="18:64" ht="21" customHeight="1" x14ac:dyDescent="0.25">
      <c r="R329" s="34" t="s">
        <v>6121</v>
      </c>
      <c r="S329" s="451"/>
      <c r="T329" s="31" t="s">
        <v>211</v>
      </c>
      <c r="V329" s="475">
        <v>8</v>
      </c>
      <c r="W329" s="475" t="str">
        <f>IF($AC$329="","",$W$324)</f>
        <v/>
      </c>
      <c r="X329" s="476" t="str">
        <f>IF($AC$329="","",$X$324)</f>
        <v/>
      </c>
      <c r="Y329" s="477" t="str">
        <f>IF($X$329="","",$Y$324)</f>
        <v/>
      </c>
      <c r="Z329" s="477" t="str">
        <f>IF($X$329="","",$Z$324)</f>
        <v/>
      </c>
      <c r="AA329" s="477" t="str">
        <f>IF($AC$329="","",ROW($A$329)-ROW($A$324))</f>
        <v/>
      </c>
      <c r="AB329" s="478"/>
      <c r="AC329" s="34"/>
      <c r="AD329" s="356"/>
      <c r="AE329" s="479"/>
      <c r="AF329" s="475"/>
      <c r="AG329" s="480" t="str">
        <f t="shared" si="88"/>
        <v/>
      </c>
      <c r="AH329" s="481" t="str">
        <f t="shared" si="89"/>
        <v/>
      </c>
      <c r="AI329" s="477" t="str">
        <f>IF($AC$329="","",IFERROR(INDEX($AZ$74:$AZ$119,MATCH($AH$329,$AY$74:$AY$119,0)),"AUTRE"))</f>
        <v/>
      </c>
      <c r="AJ329" s="482" t="str">
        <f>IF($AC$329="","",IFERROR(INDEX($BA$74:$BA$119,MATCH($AH$329,$AY$74:$AY$119,0)),1))</f>
        <v/>
      </c>
      <c r="AK329" s="482" t="str">
        <f t="shared" si="90"/>
        <v/>
      </c>
      <c r="AL329" s="477" t="str">
        <f>IF($AC$329="","",IFERROR(INDEX($BB$74:$BB$119,MATCH($AH$329,$AY$74:$AY$119,0)),$AH$329))</f>
        <v/>
      </c>
      <c r="AM329" s="483" t="str">
        <f t="shared" si="91"/>
        <v/>
      </c>
      <c r="AN329" s="484" t="str">
        <f t="shared" si="92"/>
        <v/>
      </c>
      <c r="AO329" s="473" t="str">
        <f t="shared" si="93"/>
        <v/>
      </c>
      <c r="AP329" s="473" t="str">
        <f t="shared" si="94"/>
        <v/>
      </c>
      <c r="AQ329" s="473" t="str">
        <f t="shared" si="95"/>
        <v/>
      </c>
      <c r="AR329" s="473" t="str">
        <f t="shared" si="96"/>
        <v/>
      </c>
      <c r="AS329" s="473" t="str">
        <f t="shared" si="97"/>
        <v/>
      </c>
      <c r="AT329" s="473" t="str">
        <f t="shared" si="98"/>
        <v/>
      </c>
      <c r="AU329" s="473" t="str">
        <f t="shared" si="99"/>
        <v/>
      </c>
      <c r="AZ329" s="32" t="s">
        <v>320</v>
      </c>
      <c r="BA329" s="34" t="s">
        <v>6120</v>
      </c>
      <c r="BB329" s="499"/>
      <c r="BC329" s="271"/>
      <c r="BD329" s="279">
        <v>1</v>
      </c>
      <c r="BE329" s="271"/>
      <c r="BF329" s="271"/>
      <c r="BG329" s="271"/>
      <c r="BH329" s="271"/>
      <c r="BI329" s="271"/>
      <c r="BJ329" s="271"/>
      <c r="BK329" s="271"/>
      <c r="BL329" s="271"/>
    </row>
    <row r="330" spans="18:64" ht="21" customHeight="1" x14ac:dyDescent="0.25">
      <c r="R330" s="34" t="s">
        <v>6122</v>
      </c>
      <c r="S330" s="451"/>
      <c r="T330" s="31" t="s">
        <v>20</v>
      </c>
      <c r="V330" s="475">
        <v>8</v>
      </c>
      <c r="W330" s="475" t="str">
        <f>IF($AC$330="","",$W$324)</f>
        <v/>
      </c>
      <c r="X330" s="476" t="str">
        <f>IF($AC$330="","",$X$324)</f>
        <v/>
      </c>
      <c r="Y330" s="477" t="str">
        <f>IF($X$330="","",$Y$324)</f>
        <v/>
      </c>
      <c r="Z330" s="477" t="str">
        <f>IF($X$330="","",$Z$324)</f>
        <v/>
      </c>
      <c r="AA330" s="477" t="str">
        <f>IF($AC$330="","",ROW($A$330)-ROW($A$324))</f>
        <v/>
      </c>
      <c r="AB330" s="478"/>
      <c r="AC330" s="34"/>
      <c r="AD330" s="356"/>
      <c r="AE330" s="479"/>
      <c r="AF330" s="475"/>
      <c r="AG330" s="480" t="str">
        <f t="shared" si="88"/>
        <v/>
      </c>
      <c r="AH330" s="481" t="str">
        <f t="shared" si="89"/>
        <v/>
      </c>
      <c r="AI330" s="477" t="str">
        <f>IF($AC$330="","",IFERROR(INDEX($AZ$74:$AZ$119,MATCH($AH$330,$AY$74:$AY$119,0)),"AUTRE"))</f>
        <v/>
      </c>
      <c r="AJ330" s="482" t="str">
        <f>IF($AC$330="","",IFERROR(INDEX($BA$74:$BA$119,MATCH($AH$330,$AY$74:$AY$119,0)),1))</f>
        <v/>
      </c>
      <c r="AK330" s="482" t="str">
        <f t="shared" si="90"/>
        <v/>
      </c>
      <c r="AL330" s="477" t="str">
        <f>IF($AC$330="","",IFERROR(INDEX($BB$74:$BB$119,MATCH($AH$330,$AY$74:$AY$119,0)),$AH$330))</f>
        <v/>
      </c>
      <c r="AM330" s="483" t="str">
        <f t="shared" si="91"/>
        <v/>
      </c>
      <c r="AN330" s="484" t="str">
        <f t="shared" si="92"/>
        <v/>
      </c>
      <c r="AO330" s="473" t="str">
        <f t="shared" si="93"/>
        <v/>
      </c>
      <c r="AP330" s="473" t="str">
        <f t="shared" si="94"/>
        <v/>
      </c>
      <c r="AQ330" s="473" t="str">
        <f t="shared" si="95"/>
        <v/>
      </c>
      <c r="AR330" s="473" t="str">
        <f t="shared" si="96"/>
        <v/>
      </c>
      <c r="AS330" s="473" t="str">
        <f t="shared" si="97"/>
        <v/>
      </c>
      <c r="AT330" s="473" t="str">
        <f t="shared" si="98"/>
        <v/>
      </c>
      <c r="AU330" s="473" t="str">
        <f t="shared" si="99"/>
        <v/>
      </c>
      <c r="AZ330" s="32" t="s">
        <v>318</v>
      </c>
      <c r="BA330" s="34" t="s">
        <v>6121</v>
      </c>
      <c r="BB330" s="499"/>
      <c r="BC330" s="271"/>
      <c r="BD330" s="279">
        <v>1</v>
      </c>
      <c r="BE330" s="271"/>
      <c r="BF330" s="271"/>
      <c r="BG330" s="271"/>
      <c r="BH330" s="271"/>
      <c r="BI330" s="271"/>
      <c r="BJ330" s="271"/>
      <c r="BK330" s="271"/>
      <c r="BL330" s="271"/>
    </row>
    <row r="331" spans="18:64" ht="21" customHeight="1" x14ac:dyDescent="0.25">
      <c r="R331" s="34" t="s">
        <v>6123</v>
      </c>
      <c r="S331" s="451"/>
      <c r="T331" s="31" t="s">
        <v>304</v>
      </c>
      <c r="V331" s="475">
        <v>8</v>
      </c>
      <c r="W331" s="475" t="str">
        <f>IF($AC$331="","",$W$324)</f>
        <v/>
      </c>
      <c r="X331" s="476" t="str">
        <f>IF($AC$331="","",$X$324)</f>
        <v/>
      </c>
      <c r="Y331" s="477" t="str">
        <f>IF($X$331="","",$Y$324)</f>
        <v/>
      </c>
      <c r="Z331" s="477" t="str">
        <f>IF($X$331="","",$Z$324)</f>
        <v/>
      </c>
      <c r="AA331" s="477" t="str">
        <f>IF($AC$331="","",ROW($A$331)-ROW($A$324))</f>
        <v/>
      </c>
      <c r="AB331" s="478"/>
      <c r="AC331" s="34"/>
      <c r="AD331" s="356"/>
      <c r="AE331" s="479"/>
      <c r="AF331" s="475"/>
      <c r="AG331" s="480" t="str">
        <f t="shared" si="88"/>
        <v/>
      </c>
      <c r="AH331" s="481" t="str">
        <f t="shared" si="89"/>
        <v/>
      </c>
      <c r="AI331" s="477" t="str">
        <f>IF($AC$331="","",IFERROR(INDEX($AZ$74:$AZ$119,MATCH($AH$331,$AY$74:$AY$119,0)),"AUTRE"))</f>
        <v/>
      </c>
      <c r="AJ331" s="482" t="str">
        <f>IF($AC$331="","",IFERROR(INDEX($BA$74:$BA$119,MATCH($AH$331,$AY$74:$AY$119,0)),1))</f>
        <v/>
      </c>
      <c r="AK331" s="482" t="str">
        <f t="shared" si="90"/>
        <v/>
      </c>
      <c r="AL331" s="477" t="str">
        <f>IF($AC$331="","",IFERROR(INDEX($BB$74:$BB$119,MATCH($AH$331,$AY$74:$AY$119,0)),$AH$331))</f>
        <v/>
      </c>
      <c r="AM331" s="483" t="str">
        <f t="shared" si="91"/>
        <v/>
      </c>
      <c r="AN331" s="484" t="str">
        <f t="shared" si="92"/>
        <v/>
      </c>
      <c r="AO331" s="473" t="str">
        <f t="shared" si="93"/>
        <v/>
      </c>
      <c r="AP331" s="473" t="str">
        <f t="shared" si="94"/>
        <v/>
      </c>
      <c r="AQ331" s="473" t="str">
        <f t="shared" si="95"/>
        <v/>
      </c>
      <c r="AR331" s="473" t="str">
        <f t="shared" si="96"/>
        <v/>
      </c>
      <c r="AS331" s="473" t="str">
        <f t="shared" si="97"/>
        <v/>
      </c>
      <c r="AT331" s="473" t="str">
        <f t="shared" si="98"/>
        <v/>
      </c>
      <c r="AU331" s="473" t="str">
        <f t="shared" si="99"/>
        <v/>
      </c>
      <c r="AZ331" s="32" t="s">
        <v>316</v>
      </c>
      <c r="BA331" s="34" t="s">
        <v>6122</v>
      </c>
      <c r="BB331" s="499"/>
      <c r="BC331" s="271"/>
      <c r="BD331" s="279">
        <v>1</v>
      </c>
      <c r="BE331" s="271"/>
      <c r="BF331" s="271"/>
      <c r="BG331" s="271"/>
      <c r="BH331" s="271"/>
      <c r="BI331" s="271"/>
      <c r="BJ331" s="271"/>
      <c r="BK331" s="271"/>
      <c r="BL331" s="271"/>
    </row>
    <row r="332" spans="18:64" ht="21" customHeight="1" x14ac:dyDescent="0.25">
      <c r="R332" s="34" t="s">
        <v>6124</v>
      </c>
      <c r="S332" s="451"/>
      <c r="T332" s="31" t="s">
        <v>352</v>
      </c>
      <c r="V332" s="475">
        <v>8</v>
      </c>
      <c r="W332" s="475" t="str">
        <f>IF($AC$332="","",$W$324)</f>
        <v/>
      </c>
      <c r="X332" s="476" t="str">
        <f>IF($AC$332="","",$X$324)</f>
        <v/>
      </c>
      <c r="Y332" s="477" t="str">
        <f>IF($X$332="","",$Y$324)</f>
        <v/>
      </c>
      <c r="Z332" s="477" t="str">
        <f>IF($X$332="","",$Z$324)</f>
        <v/>
      </c>
      <c r="AA332" s="477" t="str">
        <f>IF($AC$332="","",ROW($A$332)-ROW($A$324))</f>
        <v/>
      </c>
      <c r="AB332" s="478"/>
      <c r="AC332" s="34"/>
      <c r="AD332" s="356"/>
      <c r="AE332" s="479"/>
      <c r="AF332" s="475"/>
      <c r="AG332" s="480" t="str">
        <f t="shared" si="88"/>
        <v/>
      </c>
      <c r="AH332" s="481" t="str">
        <f t="shared" si="89"/>
        <v/>
      </c>
      <c r="AI332" s="477" t="str">
        <f>IF($AC$332="","",IFERROR(INDEX($AZ$74:$AZ$119,MATCH($AH$332,$AY$74:$AY$119,0)),"AUTRE"))</f>
        <v/>
      </c>
      <c r="AJ332" s="482" t="str">
        <f>IF($AC$332="","",IFERROR(INDEX($BA$74:$BA$119,MATCH($AH$332,$AY$74:$AY$119,0)),1))</f>
        <v/>
      </c>
      <c r="AK332" s="482" t="str">
        <f t="shared" si="90"/>
        <v/>
      </c>
      <c r="AL332" s="477" t="str">
        <f>IF($AC$332="","",IFERROR(INDEX($BB$74:$BB$119,MATCH($AH$332,$AY$74:$AY$119,0)),$AH$332))</f>
        <v/>
      </c>
      <c r="AM332" s="483" t="str">
        <f t="shared" si="91"/>
        <v/>
      </c>
      <c r="AN332" s="484" t="str">
        <f t="shared" si="92"/>
        <v/>
      </c>
      <c r="AO332" s="473" t="str">
        <f t="shared" si="93"/>
        <v/>
      </c>
      <c r="AP332" s="473" t="str">
        <f t="shared" si="94"/>
        <v/>
      </c>
      <c r="AQ332" s="473" t="str">
        <f t="shared" si="95"/>
        <v/>
      </c>
      <c r="AR332" s="473" t="str">
        <f t="shared" si="96"/>
        <v/>
      </c>
      <c r="AS332" s="473" t="str">
        <f t="shared" si="97"/>
        <v/>
      </c>
      <c r="AT332" s="473" t="str">
        <f t="shared" si="98"/>
        <v/>
      </c>
      <c r="AU332" s="473" t="str">
        <f t="shared" si="99"/>
        <v/>
      </c>
      <c r="AZ332" s="32" t="s">
        <v>313</v>
      </c>
      <c r="BA332" s="34" t="s">
        <v>6123</v>
      </c>
      <c r="BB332" s="499"/>
      <c r="BC332" s="271"/>
      <c r="BD332" s="279">
        <v>1</v>
      </c>
      <c r="BE332" s="271"/>
      <c r="BF332" s="271"/>
      <c r="BG332" s="271"/>
      <c r="BH332" s="271"/>
      <c r="BI332" s="271"/>
      <c r="BJ332" s="271"/>
      <c r="BK332" s="271"/>
      <c r="BL332" s="271"/>
    </row>
    <row r="333" spans="18:64" ht="21" customHeight="1" x14ac:dyDescent="0.25">
      <c r="R333" s="34" t="s">
        <v>6125</v>
      </c>
      <c r="S333" s="451"/>
      <c r="T333" s="31" t="s">
        <v>25</v>
      </c>
      <c r="V333" s="475">
        <v>8</v>
      </c>
      <c r="W333" s="475" t="str">
        <f>IF($AC$333="","",$W$324)</f>
        <v/>
      </c>
      <c r="X333" s="476" t="str">
        <f>IF($AC$333="","",$X$324)</f>
        <v/>
      </c>
      <c r="Y333" s="477" t="str">
        <f>IF($X$333="","",$Y$324)</f>
        <v/>
      </c>
      <c r="Z333" s="477" t="str">
        <f>IF($X$333="","",$Z$324)</f>
        <v/>
      </c>
      <c r="AA333" s="477" t="str">
        <f>IF($AC$333="","",ROW($A$333)-ROW($A$324))</f>
        <v/>
      </c>
      <c r="AB333" s="478"/>
      <c r="AC333" s="34"/>
      <c r="AD333" s="356"/>
      <c r="AE333" s="479"/>
      <c r="AF333" s="475"/>
      <c r="AG333" s="480" t="str">
        <f t="shared" si="88"/>
        <v/>
      </c>
      <c r="AH333" s="481" t="str">
        <f t="shared" si="89"/>
        <v/>
      </c>
      <c r="AI333" s="477" t="str">
        <f>IF($AC$333="","",IFERROR(INDEX($AZ$74:$AZ$119,MATCH($AH$333,$AY$74:$AY$119,0)),"AUTRE"))</f>
        <v/>
      </c>
      <c r="AJ333" s="482" t="str">
        <f>IF($AC$333="","",IFERROR(INDEX($BA$74:$BA$119,MATCH($AH$333,$AY$74:$AY$119,0)),1))</f>
        <v/>
      </c>
      <c r="AK333" s="482" t="str">
        <f t="shared" si="90"/>
        <v/>
      </c>
      <c r="AL333" s="477" t="str">
        <f>IF($AC$333="","",IFERROR(INDEX($BB$74:$BB$119,MATCH($AH$333,$AY$74:$AY$119,0)),$AH$333))</f>
        <v/>
      </c>
      <c r="AM333" s="483" t="str">
        <f t="shared" si="91"/>
        <v/>
      </c>
      <c r="AN333" s="484" t="str">
        <f t="shared" si="92"/>
        <v/>
      </c>
      <c r="AO333" s="473" t="str">
        <f t="shared" si="93"/>
        <v/>
      </c>
      <c r="AP333" s="473" t="str">
        <f t="shared" si="94"/>
        <v/>
      </c>
      <c r="AQ333" s="473" t="str">
        <f t="shared" si="95"/>
        <v/>
      </c>
      <c r="AR333" s="473" t="str">
        <f t="shared" si="96"/>
        <v/>
      </c>
      <c r="AS333" s="473" t="str">
        <f t="shared" si="97"/>
        <v/>
      </c>
      <c r="AT333" s="473" t="str">
        <f t="shared" si="98"/>
        <v/>
      </c>
      <c r="AU333" s="473" t="str">
        <f t="shared" si="99"/>
        <v/>
      </c>
      <c r="AZ333" s="32" t="s">
        <v>307</v>
      </c>
      <c r="BA333" s="34" t="s">
        <v>6124</v>
      </c>
      <c r="BB333" s="499"/>
      <c r="BC333" s="271"/>
      <c r="BD333" s="279">
        <v>1</v>
      </c>
      <c r="BE333" s="271"/>
      <c r="BF333" s="271"/>
      <c r="BG333" s="271"/>
      <c r="BH333" s="271"/>
      <c r="BI333" s="271"/>
      <c r="BJ333" s="271"/>
      <c r="BK333" s="271"/>
      <c r="BL333" s="271"/>
    </row>
    <row r="334" spans="18:64" ht="21" customHeight="1" x14ac:dyDescent="0.25">
      <c r="R334" s="34" t="s">
        <v>6126</v>
      </c>
      <c r="S334" s="451"/>
      <c r="T334" s="31" t="s">
        <v>26</v>
      </c>
      <c r="V334" s="475">
        <v>8</v>
      </c>
      <c r="W334" s="475" t="str">
        <f>IF($AC$334="","",$W$324)</f>
        <v/>
      </c>
      <c r="X334" s="476" t="str">
        <f>IF($AC$334="","",$X$324)</f>
        <v/>
      </c>
      <c r="Y334" s="477" t="str">
        <f>IF($X$334="","",$Y$324)</f>
        <v/>
      </c>
      <c r="Z334" s="477" t="str">
        <f>IF($X$334="","",$Z$324)</f>
        <v/>
      </c>
      <c r="AA334" s="477" t="str">
        <f>IF($AC$334="","",ROW($A$334)-ROW($A$324))</f>
        <v/>
      </c>
      <c r="AB334" s="478"/>
      <c r="AC334" s="34"/>
      <c r="AD334" s="356"/>
      <c r="AE334" s="479"/>
      <c r="AF334" s="475"/>
      <c r="AG334" s="480" t="str">
        <f t="shared" si="88"/>
        <v/>
      </c>
      <c r="AH334" s="481" t="str">
        <f t="shared" si="89"/>
        <v/>
      </c>
      <c r="AI334" s="477" t="str">
        <f>IF($AC$334="","",IFERROR(INDEX($AZ$74:$AZ$119,MATCH($AH$334,$AY$74:$AY$119,0)),"AUTRE"))</f>
        <v/>
      </c>
      <c r="AJ334" s="482" t="str">
        <f>IF($AC$334="","",IFERROR(INDEX($BA$74:$BA$119,MATCH($AH$334,$AY$74:$AY$119,0)),1))</f>
        <v/>
      </c>
      <c r="AK334" s="482" t="str">
        <f t="shared" si="90"/>
        <v/>
      </c>
      <c r="AL334" s="477" t="str">
        <f>IF($AC$334="","",IFERROR(INDEX($BB$74:$BB$119,MATCH($AH$334,$AY$74:$AY$119,0)),$AH$334))</f>
        <v/>
      </c>
      <c r="AM334" s="483" t="str">
        <f t="shared" si="91"/>
        <v/>
      </c>
      <c r="AN334" s="484" t="str">
        <f t="shared" si="92"/>
        <v/>
      </c>
      <c r="AO334" s="473" t="str">
        <f t="shared" si="93"/>
        <v/>
      </c>
      <c r="AP334" s="473" t="str">
        <f t="shared" si="94"/>
        <v/>
      </c>
      <c r="AQ334" s="473" t="str">
        <f t="shared" si="95"/>
        <v/>
      </c>
      <c r="AR334" s="473" t="str">
        <f t="shared" si="96"/>
        <v/>
      </c>
      <c r="AS334" s="473" t="str">
        <f t="shared" si="97"/>
        <v/>
      </c>
      <c r="AT334" s="473" t="str">
        <f t="shared" si="98"/>
        <v/>
      </c>
      <c r="AU334" s="473" t="str">
        <f t="shared" si="99"/>
        <v/>
      </c>
      <c r="AZ334" s="32" t="s">
        <v>322</v>
      </c>
      <c r="BA334" s="34" t="s">
        <v>6125</v>
      </c>
      <c r="BB334" s="499"/>
      <c r="BC334" s="271"/>
      <c r="BD334" s="279">
        <v>1</v>
      </c>
      <c r="BE334" s="271"/>
      <c r="BF334" s="271"/>
      <c r="BG334" s="271"/>
      <c r="BH334" s="271"/>
      <c r="BI334" s="271"/>
      <c r="BJ334" s="271"/>
      <c r="BK334" s="271"/>
      <c r="BL334" s="271"/>
    </row>
    <row r="335" spans="18:64" ht="21" customHeight="1" x14ac:dyDescent="0.25">
      <c r="R335" s="34" t="s">
        <v>6127</v>
      </c>
      <c r="S335" s="451"/>
      <c r="T335" s="31" t="s">
        <v>27</v>
      </c>
      <c r="V335" s="475">
        <v>8</v>
      </c>
      <c r="W335" s="475" t="str">
        <f>IF($AC$335="","",$W$324)</f>
        <v/>
      </c>
      <c r="X335" s="476" t="str">
        <f>IF($AC$335="","",$X$324)</f>
        <v/>
      </c>
      <c r="Y335" s="477" t="str">
        <f>IF($X$335="","",$Y$324)</f>
        <v/>
      </c>
      <c r="Z335" s="477" t="str">
        <f>IF($X$335="","",$Z$324)</f>
        <v/>
      </c>
      <c r="AA335" s="477" t="str">
        <f>IF($AC$335="","",ROW($A$335)-ROW($A$324))</f>
        <v/>
      </c>
      <c r="AB335" s="478"/>
      <c r="AC335" s="34"/>
      <c r="AD335" s="356"/>
      <c r="AE335" s="479"/>
      <c r="AF335" s="475"/>
      <c r="AG335" s="480" t="str">
        <f t="shared" si="88"/>
        <v/>
      </c>
      <c r="AH335" s="481" t="str">
        <f t="shared" si="89"/>
        <v/>
      </c>
      <c r="AI335" s="477" t="str">
        <f>IF($AC$335="","",IFERROR(INDEX($AZ$74:$AZ$119,MATCH($AH$335,$AY$74:$AY$119,0)),"AUTRE"))</f>
        <v/>
      </c>
      <c r="AJ335" s="482" t="str">
        <f>IF($AC$335="","",IFERROR(INDEX($BA$74:$BA$119,MATCH($AH$335,$AY$74:$AY$119,0)),1))</f>
        <v/>
      </c>
      <c r="AK335" s="482" t="str">
        <f t="shared" si="90"/>
        <v/>
      </c>
      <c r="AL335" s="477" t="str">
        <f>IF($AC$335="","",IFERROR(INDEX($BB$74:$BB$119,MATCH($AH$335,$AY$74:$AY$119,0)),$AH$335))</f>
        <v/>
      </c>
      <c r="AM335" s="483" t="str">
        <f t="shared" si="91"/>
        <v/>
      </c>
      <c r="AN335" s="484" t="str">
        <f t="shared" si="92"/>
        <v/>
      </c>
      <c r="AO335" s="473" t="str">
        <f t="shared" si="93"/>
        <v/>
      </c>
      <c r="AP335" s="473" t="str">
        <f t="shared" si="94"/>
        <v/>
      </c>
      <c r="AQ335" s="473" t="str">
        <f t="shared" si="95"/>
        <v/>
      </c>
      <c r="AR335" s="473" t="str">
        <f t="shared" si="96"/>
        <v/>
      </c>
      <c r="AS335" s="473" t="str">
        <f t="shared" si="97"/>
        <v/>
      </c>
      <c r="AT335" s="473" t="str">
        <f t="shared" si="98"/>
        <v/>
      </c>
      <c r="AU335" s="473" t="str">
        <f t="shared" si="99"/>
        <v/>
      </c>
      <c r="AZ335" s="32" t="s">
        <v>305</v>
      </c>
      <c r="BA335" s="34" t="s">
        <v>6126</v>
      </c>
      <c r="BB335" s="499"/>
      <c r="BC335" s="271"/>
      <c r="BD335" s="279">
        <v>1</v>
      </c>
      <c r="BE335" s="271"/>
      <c r="BF335" s="271"/>
      <c r="BG335" s="271"/>
      <c r="BH335" s="271"/>
      <c r="BI335" s="271"/>
      <c r="BJ335" s="271"/>
      <c r="BK335" s="271"/>
      <c r="BL335" s="271"/>
    </row>
    <row r="336" spans="18:64" ht="21" customHeight="1" x14ac:dyDescent="0.25">
      <c r="R336" s="25" t="s">
        <v>6128</v>
      </c>
      <c r="S336" s="451"/>
      <c r="T336" s="31" t="s">
        <v>28</v>
      </c>
      <c r="V336" s="475">
        <v>8</v>
      </c>
      <c r="W336" s="475" t="str">
        <f>IF($AC$336="","",$W$324)</f>
        <v/>
      </c>
      <c r="X336" s="476" t="str">
        <f>IF($AC$336="","",$X$324)</f>
        <v/>
      </c>
      <c r="Y336" s="477" t="str">
        <f>IF($X$336="","",$Y$324)</f>
        <v/>
      </c>
      <c r="Z336" s="477" t="str">
        <f>IF($X$336="","",$Z$324)</f>
        <v/>
      </c>
      <c r="AA336" s="477" t="str">
        <f>IF($AC$336="","",ROW($A$336)-ROW($A$324))</f>
        <v/>
      </c>
      <c r="AB336" s="478"/>
      <c r="AC336" s="34"/>
      <c r="AD336" s="356"/>
      <c r="AE336" s="479"/>
      <c r="AF336" s="475"/>
      <c r="AG336" s="480" t="str">
        <f t="shared" si="88"/>
        <v/>
      </c>
      <c r="AH336" s="481" t="str">
        <f t="shared" si="89"/>
        <v/>
      </c>
      <c r="AI336" s="477" t="str">
        <f>IF($AC$336="","",IFERROR(INDEX($AZ$74:$AZ$119,MATCH($AH$336,$AY$74:$AY$119,0)),"AUTRE"))</f>
        <v/>
      </c>
      <c r="AJ336" s="482" t="str">
        <f>IF($AC$336="","",IFERROR(INDEX($BA$74:$BA$119,MATCH($AH$336,$AY$74:$AY$119,0)),1))</f>
        <v/>
      </c>
      <c r="AK336" s="482" t="str">
        <f t="shared" si="90"/>
        <v/>
      </c>
      <c r="AL336" s="477" t="str">
        <f>IF($AC$336="","",IFERROR(INDEX($BB$74:$BB$119,MATCH($AH$336,$AY$74:$AY$119,0)),$AH$336))</f>
        <v/>
      </c>
      <c r="AM336" s="483" t="str">
        <f t="shared" si="91"/>
        <v/>
      </c>
      <c r="AN336" s="484" t="str">
        <f t="shared" si="92"/>
        <v/>
      </c>
      <c r="AO336" s="473" t="str">
        <f t="shared" si="93"/>
        <v/>
      </c>
      <c r="AP336" s="473" t="str">
        <f t="shared" si="94"/>
        <v/>
      </c>
      <c r="AQ336" s="473" t="str">
        <f t="shared" si="95"/>
        <v/>
      </c>
      <c r="AR336" s="473" t="str">
        <f t="shared" si="96"/>
        <v/>
      </c>
      <c r="AS336" s="473" t="str">
        <f t="shared" si="97"/>
        <v/>
      </c>
      <c r="AT336" s="473" t="str">
        <f t="shared" si="98"/>
        <v/>
      </c>
      <c r="AU336" s="473" t="str">
        <f t="shared" si="99"/>
        <v/>
      </c>
      <c r="AZ336" s="32" t="s">
        <v>8129</v>
      </c>
      <c r="BA336" s="34" t="s">
        <v>6127</v>
      </c>
      <c r="BB336" s="499"/>
      <c r="BC336" s="271"/>
      <c r="BD336" s="279">
        <v>1</v>
      </c>
      <c r="BE336" s="271"/>
      <c r="BF336" s="271"/>
      <c r="BG336" s="271"/>
      <c r="BH336" s="271"/>
      <c r="BI336" s="271"/>
      <c r="BJ336" s="271"/>
      <c r="BK336" s="271"/>
      <c r="BL336" s="271"/>
    </row>
    <row r="337" spans="18:64" ht="21" customHeight="1" x14ac:dyDescent="0.25">
      <c r="R337" s="34" t="s">
        <v>474</v>
      </c>
      <c r="S337" s="451"/>
      <c r="T337" s="31" t="s">
        <v>29</v>
      </c>
      <c r="V337" s="475">
        <v>8</v>
      </c>
      <c r="W337" s="475" t="str">
        <f>IF($AC$337="","",$W$324)</f>
        <v/>
      </c>
      <c r="X337" s="476" t="str">
        <f>IF($AC$337="","",$X$324)</f>
        <v/>
      </c>
      <c r="Y337" s="477" t="str">
        <f>IF($X$337="","",$Y$324)</f>
        <v/>
      </c>
      <c r="Z337" s="477" t="str">
        <f>IF($X$337="","",$Z$324)</f>
        <v/>
      </c>
      <c r="AA337" s="477" t="str">
        <f>IF($AC$337="","",ROW($A$337)-ROW($A$324))</f>
        <v/>
      </c>
      <c r="AB337" s="478"/>
      <c r="AC337" s="34"/>
      <c r="AD337" s="356"/>
      <c r="AE337" s="479"/>
      <c r="AF337" s="475"/>
      <c r="AG337" s="480" t="str">
        <f t="shared" si="88"/>
        <v/>
      </c>
      <c r="AH337" s="481" t="str">
        <f t="shared" si="89"/>
        <v/>
      </c>
      <c r="AI337" s="477" t="str">
        <f>IF($AC$337="","",IFERROR(INDEX($AZ$74:$AZ$119,MATCH($AH$337,$AY$74:$AY$119,0)),"AUTRE"))</f>
        <v/>
      </c>
      <c r="AJ337" s="482" t="str">
        <f>IF($AC$337="","",IFERROR(INDEX($BA$74:$BA$119,MATCH($AH$337,$AY$74:$AY$119,0)),1))</f>
        <v/>
      </c>
      <c r="AK337" s="482" t="str">
        <f t="shared" si="90"/>
        <v/>
      </c>
      <c r="AL337" s="477" t="str">
        <f>IF($AC$337="","",IFERROR(INDEX($BB$74:$BB$119,MATCH($AH$337,$AY$74:$AY$119,0)),$AH$337))</f>
        <v/>
      </c>
      <c r="AM337" s="483" t="str">
        <f t="shared" si="91"/>
        <v/>
      </c>
      <c r="AN337" s="484" t="str">
        <f t="shared" si="92"/>
        <v/>
      </c>
      <c r="AO337" s="473" t="str">
        <f t="shared" si="93"/>
        <v/>
      </c>
      <c r="AP337" s="473" t="str">
        <f t="shared" si="94"/>
        <v/>
      </c>
      <c r="AQ337" s="473" t="str">
        <f t="shared" si="95"/>
        <v/>
      </c>
      <c r="AR337" s="473" t="str">
        <f t="shared" si="96"/>
        <v/>
      </c>
      <c r="AS337" s="473" t="str">
        <f t="shared" si="97"/>
        <v/>
      </c>
      <c r="AT337" s="473" t="str">
        <f t="shared" si="98"/>
        <v/>
      </c>
      <c r="AU337" s="473" t="str">
        <f t="shared" si="99"/>
        <v/>
      </c>
      <c r="AZ337" s="32" t="s">
        <v>8131</v>
      </c>
      <c r="BA337" s="25" t="s">
        <v>6128</v>
      </c>
      <c r="BB337" s="499"/>
      <c r="BC337" s="271"/>
      <c r="BD337" s="279">
        <v>1</v>
      </c>
      <c r="BE337" s="271"/>
      <c r="BF337" s="271"/>
      <c r="BG337" s="271"/>
      <c r="BH337" s="271"/>
      <c r="BI337" s="271"/>
      <c r="BJ337" s="271"/>
      <c r="BK337" s="271"/>
      <c r="BL337" s="271"/>
    </row>
    <row r="338" spans="18:64" ht="21" customHeight="1" x14ac:dyDescent="0.25">
      <c r="R338" s="34" t="s">
        <v>490</v>
      </c>
      <c r="S338" s="451"/>
      <c r="T338" s="31" t="s">
        <v>30</v>
      </c>
      <c r="V338" s="475">
        <v>8</v>
      </c>
      <c r="W338" s="475" t="str">
        <f>IF($AC$338="","",$W$324)</f>
        <v/>
      </c>
      <c r="X338" s="476" t="str">
        <f>IF($AC$338="","",$X$324)</f>
        <v/>
      </c>
      <c r="Y338" s="477" t="str">
        <f>IF($X$338="","",$Y$324)</f>
        <v/>
      </c>
      <c r="Z338" s="477" t="str">
        <f>IF($X$338="","",$Z$324)</f>
        <v/>
      </c>
      <c r="AA338" s="477" t="str">
        <f>IF($AC$338="","",ROW($A$338)-ROW($A$324))</f>
        <v/>
      </c>
      <c r="AB338" s="478"/>
      <c r="AC338" s="34"/>
      <c r="AD338" s="356"/>
      <c r="AE338" s="479"/>
      <c r="AF338" s="475"/>
      <c r="AG338" s="480" t="str">
        <f t="shared" si="88"/>
        <v/>
      </c>
      <c r="AH338" s="481" t="str">
        <f t="shared" si="89"/>
        <v/>
      </c>
      <c r="AI338" s="477" t="str">
        <f>IF($AC$338="","",IFERROR(INDEX($AZ$74:$AZ$119,MATCH($AH$338,$AY$74:$AY$119,0)),"AUTRE"))</f>
        <v/>
      </c>
      <c r="AJ338" s="482" t="str">
        <f>IF($AC$338="","",IFERROR(INDEX($BA$74:$BA$119,MATCH($AH$338,$AY$74:$AY$119,0)),1))</f>
        <v/>
      </c>
      <c r="AK338" s="482" t="str">
        <f t="shared" si="90"/>
        <v/>
      </c>
      <c r="AL338" s="477" t="str">
        <f>IF($AC$338="","",IFERROR(INDEX($BB$74:$BB$119,MATCH($AH$338,$AY$74:$AY$119,0)),$AH$338))</f>
        <v/>
      </c>
      <c r="AM338" s="483" t="str">
        <f t="shared" si="91"/>
        <v/>
      </c>
      <c r="AN338" s="484" t="str">
        <f t="shared" si="92"/>
        <v/>
      </c>
      <c r="AO338" s="473" t="str">
        <f t="shared" si="93"/>
        <v/>
      </c>
      <c r="AP338" s="473" t="str">
        <f t="shared" si="94"/>
        <v/>
      </c>
      <c r="AQ338" s="473" t="str">
        <f t="shared" si="95"/>
        <v/>
      </c>
      <c r="AR338" s="473" t="str">
        <f t="shared" si="96"/>
        <v/>
      </c>
      <c r="AS338" s="473" t="str">
        <f t="shared" si="97"/>
        <v/>
      </c>
      <c r="AT338" s="473" t="str">
        <f t="shared" si="98"/>
        <v/>
      </c>
      <c r="AU338" s="473" t="str">
        <f t="shared" si="99"/>
        <v/>
      </c>
      <c r="AZ338" s="32" t="s">
        <v>309</v>
      </c>
      <c r="BA338" s="34" t="s">
        <v>474</v>
      </c>
      <c r="BB338" s="499"/>
      <c r="BC338" s="271"/>
      <c r="BD338" s="279">
        <v>1</v>
      </c>
      <c r="BE338" s="271"/>
      <c r="BF338" s="271"/>
      <c r="BG338" s="271"/>
      <c r="BH338" s="271"/>
      <c r="BI338" s="271"/>
      <c r="BJ338" s="271"/>
      <c r="BK338" s="271"/>
      <c r="BL338" s="271"/>
    </row>
    <row r="339" spans="18:64" ht="21" customHeight="1" x14ac:dyDescent="0.25">
      <c r="R339" s="34" t="s">
        <v>6129</v>
      </c>
      <c r="S339" s="451"/>
      <c r="T339" s="31" t="s">
        <v>31</v>
      </c>
      <c r="V339" s="475">
        <v>8</v>
      </c>
      <c r="W339" s="475" t="str">
        <f>IF($AC$339="","",$W$324)</f>
        <v/>
      </c>
      <c r="X339" s="476" t="str">
        <f>IF($AC$339="","",$X$324)</f>
        <v/>
      </c>
      <c r="Y339" s="477" t="str">
        <f>IF($X$339="","",$Y$324)</f>
        <v/>
      </c>
      <c r="Z339" s="477" t="str">
        <f>IF($X$339="","",$Z$324)</f>
        <v/>
      </c>
      <c r="AA339" s="477" t="str">
        <f>IF($AC$339="","",ROW($A$339)-ROW($A$324))</f>
        <v/>
      </c>
      <c r="AB339" s="478"/>
      <c r="AC339" s="34"/>
      <c r="AD339" s="356"/>
      <c r="AE339" s="479"/>
      <c r="AF339" s="475"/>
      <c r="AG339" s="480" t="str">
        <f t="shared" si="88"/>
        <v/>
      </c>
      <c r="AH339" s="481" t="str">
        <f t="shared" si="89"/>
        <v/>
      </c>
      <c r="AI339" s="477" t="str">
        <f>IF($AC$339="","",IFERROR(INDEX($AZ$74:$AZ$119,MATCH($AH$339,$AY$74:$AY$119,0)),"AUTRE"))</f>
        <v/>
      </c>
      <c r="AJ339" s="482" t="str">
        <f>IF($AC$339="","",IFERROR(INDEX($BA$74:$BA$119,MATCH($AH$339,$AY$74:$AY$119,0)),1))</f>
        <v/>
      </c>
      <c r="AK339" s="482" t="str">
        <f t="shared" si="90"/>
        <v/>
      </c>
      <c r="AL339" s="477" t="str">
        <f>IF($AC$339="","",IFERROR(INDEX($BB$74:$BB$119,MATCH($AH$339,$AY$74:$AY$119,0)),$AH$339))</f>
        <v/>
      </c>
      <c r="AM339" s="483" t="str">
        <f t="shared" si="91"/>
        <v/>
      </c>
      <c r="AN339" s="484" t="str">
        <f t="shared" si="92"/>
        <v/>
      </c>
      <c r="AO339" s="473" t="str">
        <f t="shared" si="93"/>
        <v/>
      </c>
      <c r="AP339" s="473" t="str">
        <f t="shared" si="94"/>
        <v/>
      </c>
      <c r="AQ339" s="473" t="str">
        <f t="shared" si="95"/>
        <v/>
      </c>
      <c r="AR339" s="473" t="str">
        <f t="shared" si="96"/>
        <v/>
      </c>
      <c r="AS339" s="473" t="str">
        <f t="shared" si="97"/>
        <v/>
      </c>
      <c r="AT339" s="473" t="str">
        <f t="shared" si="98"/>
        <v/>
      </c>
      <c r="AU339" s="473" t="str">
        <f t="shared" si="99"/>
        <v/>
      </c>
      <c r="AZ339" s="32" t="s">
        <v>311</v>
      </c>
      <c r="BA339" s="34" t="s">
        <v>490</v>
      </c>
      <c r="BB339" s="499"/>
      <c r="BC339" s="271"/>
      <c r="BD339" s="279">
        <v>1</v>
      </c>
      <c r="BE339" s="271"/>
      <c r="BF339" s="271"/>
      <c r="BG339" s="271"/>
      <c r="BH339" s="271"/>
      <c r="BI339" s="271"/>
      <c r="BJ339" s="271"/>
      <c r="BK339" s="271"/>
      <c r="BL339" s="271"/>
    </row>
    <row r="340" spans="18:64" ht="21" customHeight="1" x14ac:dyDescent="0.25">
      <c r="R340" s="34" t="s">
        <v>478</v>
      </c>
      <c r="S340" s="451"/>
      <c r="T340" s="32" t="s">
        <v>33</v>
      </c>
      <c r="V340" s="475">
        <v>8</v>
      </c>
      <c r="W340" s="475" t="str">
        <f>IF($AC$340="","",$W$324)</f>
        <v/>
      </c>
      <c r="X340" s="476" t="str">
        <f>IF($AC$340="","",$X$324)</f>
        <v/>
      </c>
      <c r="Y340" s="477" t="str">
        <f>IF($X$340="","",$Y$324)</f>
        <v/>
      </c>
      <c r="Z340" s="477" t="str">
        <f>IF($X$340="","",$Z$324)</f>
        <v/>
      </c>
      <c r="AA340" s="477" t="str">
        <f>IF($AC$340="","",ROW($A$340)-ROW($A$324))</f>
        <v/>
      </c>
      <c r="AB340" s="478"/>
      <c r="AC340" s="34"/>
      <c r="AD340" s="356"/>
      <c r="AE340" s="479"/>
      <c r="AF340" s="475"/>
      <c r="AG340" s="480" t="str">
        <f t="shared" si="88"/>
        <v/>
      </c>
      <c r="AH340" s="481" t="str">
        <f t="shared" si="89"/>
        <v/>
      </c>
      <c r="AI340" s="477" t="str">
        <f>IF($AC$340="","",IFERROR(INDEX($AZ$74:$AZ$119,MATCH($AH$340,$AY$74:$AY$119,0)),"AUTRE"))</f>
        <v/>
      </c>
      <c r="AJ340" s="482" t="str">
        <f>IF($AC$340="","",IFERROR(INDEX($BA$74:$BA$119,MATCH($AH$340,$AY$74:$AY$119,0)),1))</f>
        <v/>
      </c>
      <c r="AK340" s="482" t="str">
        <f t="shared" si="90"/>
        <v/>
      </c>
      <c r="AL340" s="477" t="str">
        <f>IF($AC$340="","",IFERROR(INDEX($BB$74:$BB$119,MATCH($AH$340,$AY$74:$AY$119,0)),$AH$340))</f>
        <v/>
      </c>
      <c r="AM340" s="483" t="str">
        <f t="shared" si="91"/>
        <v/>
      </c>
      <c r="AN340" s="484" t="str">
        <f t="shared" si="92"/>
        <v/>
      </c>
      <c r="AO340" s="473" t="str">
        <f t="shared" si="93"/>
        <v/>
      </c>
      <c r="AP340" s="473" t="str">
        <f t="shared" si="94"/>
        <v/>
      </c>
      <c r="AQ340" s="473" t="str">
        <f t="shared" si="95"/>
        <v/>
      </c>
      <c r="AR340" s="473" t="str">
        <f t="shared" si="96"/>
        <v/>
      </c>
      <c r="AS340" s="473" t="str">
        <f t="shared" si="97"/>
        <v/>
      </c>
      <c r="AT340" s="473" t="str">
        <f t="shared" si="98"/>
        <v/>
      </c>
      <c r="AU340" s="473" t="str">
        <f t="shared" si="99"/>
        <v/>
      </c>
      <c r="AZ340" s="32" t="s">
        <v>8135</v>
      </c>
      <c r="BA340" s="34" t="s">
        <v>6129</v>
      </c>
      <c r="BB340" s="499"/>
      <c r="BC340" s="271"/>
      <c r="BD340" s="279">
        <v>1</v>
      </c>
      <c r="BE340" s="271"/>
      <c r="BF340" s="271"/>
      <c r="BG340" s="271"/>
      <c r="BH340" s="271"/>
      <c r="BI340" s="271"/>
      <c r="BJ340" s="271"/>
      <c r="BK340" s="271"/>
      <c r="BL340" s="271"/>
    </row>
    <row r="341" spans="18:64" ht="21" customHeight="1" x14ac:dyDescent="0.25">
      <c r="R341" s="34" t="s">
        <v>6130</v>
      </c>
      <c r="S341" s="451"/>
      <c r="T341" s="32" t="s">
        <v>8125</v>
      </c>
      <c r="V341" s="475">
        <v>8</v>
      </c>
      <c r="W341" s="475" t="str">
        <f>IF($AC$341="","",$W$324)</f>
        <v/>
      </c>
      <c r="X341" s="476" t="str">
        <f>IF($AC$341="","",$X$324)</f>
        <v/>
      </c>
      <c r="Y341" s="477" t="str">
        <f>IF($X$341="","",$Y$324)</f>
        <v/>
      </c>
      <c r="Z341" s="477" t="str">
        <f>IF($X$341="","",$Z$324)</f>
        <v/>
      </c>
      <c r="AA341" s="477" t="str">
        <f>IF($AC$341="","",ROW($A$341)-ROW($A$324))</f>
        <v/>
      </c>
      <c r="AB341" s="478"/>
      <c r="AC341" s="34"/>
      <c r="AD341" s="356"/>
      <c r="AE341" s="479"/>
      <c r="AF341" s="475"/>
      <c r="AG341" s="480" t="str">
        <f t="shared" si="88"/>
        <v/>
      </c>
      <c r="AH341" s="481" t="str">
        <f t="shared" si="89"/>
        <v/>
      </c>
      <c r="AI341" s="477" t="str">
        <f>IF($AC$341="","",IFERROR(INDEX($AZ$74:$AZ$119,MATCH($AH$341,$AY$74:$AY$119,0)),"AUTRE"))</f>
        <v/>
      </c>
      <c r="AJ341" s="482" t="str">
        <f>IF($AC$341="","",IFERROR(INDEX($BA$74:$BA$119,MATCH($AH$341,$AY$74:$AY$119,0)),1))</f>
        <v/>
      </c>
      <c r="AK341" s="482" t="str">
        <f t="shared" si="90"/>
        <v/>
      </c>
      <c r="AL341" s="477" t="str">
        <f>IF($AC$341="","",IFERROR(INDEX($BB$74:$BB$119,MATCH($AH$341,$AY$74:$AY$119,0)),$AH$341))</f>
        <v/>
      </c>
      <c r="AM341" s="483" t="str">
        <f t="shared" si="91"/>
        <v/>
      </c>
      <c r="AN341" s="484" t="str">
        <f t="shared" si="92"/>
        <v/>
      </c>
      <c r="AO341" s="473" t="str">
        <f t="shared" si="93"/>
        <v/>
      </c>
      <c r="AP341" s="473" t="str">
        <f t="shared" si="94"/>
        <v/>
      </c>
      <c r="AQ341" s="473" t="str">
        <f t="shared" si="95"/>
        <v/>
      </c>
      <c r="AR341" s="473" t="str">
        <f t="shared" si="96"/>
        <v/>
      </c>
      <c r="AS341" s="473" t="str">
        <f t="shared" si="97"/>
        <v/>
      </c>
      <c r="AT341" s="473" t="str">
        <f t="shared" si="98"/>
        <v/>
      </c>
      <c r="AU341" s="473" t="str">
        <f t="shared" si="99"/>
        <v/>
      </c>
      <c r="AZ341" s="32" t="s">
        <v>8137</v>
      </c>
      <c r="BA341" s="34" t="s">
        <v>478</v>
      </c>
      <c r="BB341" s="499"/>
      <c r="BC341" s="271"/>
      <c r="BD341" s="279">
        <v>1</v>
      </c>
      <c r="BE341" s="271"/>
      <c r="BF341" s="271"/>
      <c r="BG341" s="271"/>
      <c r="BH341" s="271"/>
      <c r="BI341" s="271"/>
      <c r="BJ341" s="271"/>
      <c r="BK341" s="271"/>
      <c r="BL341" s="271"/>
    </row>
    <row r="342" spans="18:64" ht="21" customHeight="1" x14ac:dyDescent="0.25">
      <c r="R342" s="34" t="s">
        <v>486</v>
      </c>
      <c r="S342" s="451"/>
      <c r="T342" s="32" t="s">
        <v>8127</v>
      </c>
      <c r="V342" s="475">
        <v>8</v>
      </c>
      <c r="W342" s="475" t="str">
        <f>IF($AC$342="","",$W$324)</f>
        <v/>
      </c>
      <c r="X342" s="476" t="str">
        <f>IF($AC$342="","",$X$324)</f>
        <v/>
      </c>
      <c r="Y342" s="477" t="str">
        <f>IF($X$342="","",$Y$324)</f>
        <v/>
      </c>
      <c r="Z342" s="477" t="str">
        <f>IF($X$342="","",$Z$324)</f>
        <v/>
      </c>
      <c r="AA342" s="477" t="str">
        <f>IF($AC$342="","",ROW($A$342)-ROW($A$324))</f>
        <v/>
      </c>
      <c r="AB342" s="478"/>
      <c r="AC342" s="34"/>
      <c r="AD342" s="356"/>
      <c r="AE342" s="479"/>
      <c r="AF342" s="475"/>
      <c r="AG342" s="480" t="str">
        <f t="shared" si="88"/>
        <v/>
      </c>
      <c r="AH342" s="481" t="str">
        <f t="shared" si="89"/>
        <v/>
      </c>
      <c r="AI342" s="477" t="str">
        <f>IF($AC$342="","",IFERROR(INDEX($AZ$74:$AZ$119,MATCH($AH$342,$AY$74:$AY$119,0)),"AUTRE"))</f>
        <v/>
      </c>
      <c r="AJ342" s="482" t="str">
        <f>IF($AC$342="","",IFERROR(INDEX($BA$74:$BA$119,MATCH($AH$342,$AY$74:$AY$119,0)),1))</f>
        <v/>
      </c>
      <c r="AK342" s="482" t="str">
        <f t="shared" si="90"/>
        <v/>
      </c>
      <c r="AL342" s="477" t="str">
        <f>IF($AC$342="","",IFERROR(INDEX($BB$74:$BB$119,MATCH($AH$342,$AY$74:$AY$119,0)),$AH$342))</f>
        <v/>
      </c>
      <c r="AM342" s="483" t="str">
        <f t="shared" si="91"/>
        <v/>
      </c>
      <c r="AN342" s="484" t="str">
        <f t="shared" si="92"/>
        <v/>
      </c>
      <c r="AO342" s="473" t="str">
        <f t="shared" si="93"/>
        <v/>
      </c>
      <c r="AP342" s="473" t="str">
        <f t="shared" si="94"/>
        <v/>
      </c>
      <c r="AQ342" s="473" t="str">
        <f t="shared" si="95"/>
        <v/>
      </c>
      <c r="AR342" s="473" t="str">
        <f t="shared" si="96"/>
        <v/>
      </c>
      <c r="AS342" s="473" t="str">
        <f t="shared" si="97"/>
        <v/>
      </c>
      <c r="AT342" s="473" t="str">
        <f t="shared" si="98"/>
        <v/>
      </c>
      <c r="AU342" s="473" t="str">
        <f t="shared" si="99"/>
        <v/>
      </c>
      <c r="AZ342" s="32" t="s">
        <v>8139</v>
      </c>
      <c r="BA342" s="34" t="s">
        <v>6130</v>
      </c>
      <c r="BB342" s="499"/>
      <c r="BC342" s="271"/>
      <c r="BD342" s="279">
        <v>1</v>
      </c>
      <c r="BE342" s="271"/>
      <c r="BF342" s="271"/>
      <c r="BG342" s="271"/>
      <c r="BH342" s="271"/>
      <c r="BI342" s="271"/>
      <c r="BJ342" s="271"/>
      <c r="BK342" s="271"/>
      <c r="BL342" s="271"/>
    </row>
    <row r="343" spans="18:64" ht="21" customHeight="1" x14ac:dyDescent="0.25">
      <c r="R343" s="34" t="s">
        <v>479</v>
      </c>
      <c r="S343" s="451"/>
      <c r="T343" s="32" t="s">
        <v>320</v>
      </c>
      <c r="V343" s="475">
        <v>8</v>
      </c>
      <c r="W343" s="475" t="str">
        <f>IF($AC$343="","",$W$324)</f>
        <v/>
      </c>
      <c r="X343" s="476" t="str">
        <f>IF($AC$343="","",$X$324)</f>
        <v/>
      </c>
      <c r="Y343" s="477" t="str">
        <f>IF($X$343="","",$Y$324)</f>
        <v/>
      </c>
      <c r="Z343" s="477" t="str">
        <f>IF($X$343="","",$Z$324)</f>
        <v/>
      </c>
      <c r="AA343" s="477" t="str">
        <f>IF($AC$343="","",ROW($A$343)-ROW($A$324))</f>
        <v/>
      </c>
      <c r="AB343" s="478"/>
      <c r="AC343" s="34"/>
      <c r="AD343" s="356"/>
      <c r="AE343" s="479"/>
      <c r="AF343" s="475"/>
      <c r="AG343" s="480" t="str">
        <f t="shared" si="88"/>
        <v/>
      </c>
      <c r="AH343" s="481" t="str">
        <f t="shared" si="89"/>
        <v/>
      </c>
      <c r="AI343" s="477" t="str">
        <f>IF($AC$343="","",IFERROR(INDEX($AZ$74:$AZ$119,MATCH($AH$343,$AY$74:$AY$119,0)),"AUTRE"))</f>
        <v/>
      </c>
      <c r="AJ343" s="482" t="str">
        <f>IF($AC$343="","",IFERROR(INDEX($BA$74:$BA$119,MATCH($AH$343,$AY$74:$AY$119,0)),1))</f>
        <v/>
      </c>
      <c r="AK343" s="482" t="str">
        <f t="shared" si="90"/>
        <v/>
      </c>
      <c r="AL343" s="477" t="str">
        <f>IF($AC$343="","",IFERROR(INDEX($BB$74:$BB$119,MATCH($AH$343,$AY$74:$AY$119,0)),$AH$343))</f>
        <v/>
      </c>
      <c r="AM343" s="483" t="str">
        <f t="shared" si="91"/>
        <v/>
      </c>
      <c r="AN343" s="484" t="str">
        <f t="shared" si="92"/>
        <v/>
      </c>
      <c r="AO343" s="473" t="str">
        <f t="shared" si="93"/>
        <v/>
      </c>
      <c r="AP343" s="473" t="str">
        <f t="shared" si="94"/>
        <v/>
      </c>
      <c r="AQ343" s="473" t="str">
        <f t="shared" si="95"/>
        <v/>
      </c>
      <c r="AR343" s="473" t="str">
        <f t="shared" si="96"/>
        <v/>
      </c>
      <c r="AS343" s="473" t="str">
        <f t="shared" si="97"/>
        <v/>
      </c>
      <c r="AT343" s="473" t="str">
        <f t="shared" si="98"/>
        <v/>
      </c>
      <c r="AU343" s="473" t="str">
        <f t="shared" si="99"/>
        <v/>
      </c>
      <c r="AZ343" s="32" t="s">
        <v>8141</v>
      </c>
      <c r="BA343" s="34" t="s">
        <v>486</v>
      </c>
      <c r="BB343" s="499"/>
      <c r="BC343" s="271"/>
      <c r="BD343" s="279">
        <v>1</v>
      </c>
      <c r="BE343" s="271"/>
      <c r="BF343" s="271"/>
      <c r="BG343" s="271"/>
      <c r="BH343" s="271"/>
      <c r="BI343" s="271"/>
      <c r="BJ343" s="271"/>
      <c r="BK343" s="271"/>
      <c r="BL343" s="271"/>
    </row>
    <row r="344" spans="18:64" ht="21" customHeight="1" x14ac:dyDescent="0.25">
      <c r="R344" s="34" t="s">
        <v>6131</v>
      </c>
      <c r="S344" s="451"/>
      <c r="T344" s="32" t="s">
        <v>318</v>
      </c>
      <c r="V344" s="475">
        <v>8</v>
      </c>
      <c r="W344" s="475" t="str">
        <f>IF($AC$344="","",$W$324)</f>
        <v/>
      </c>
      <c r="X344" s="476" t="str">
        <f>IF($AC$344="","",$X$324)</f>
        <v/>
      </c>
      <c r="Y344" s="477" t="str">
        <f>IF($X$344="","",$Y$324)</f>
        <v/>
      </c>
      <c r="Z344" s="477" t="str">
        <f>IF($X$344="","",$Z$324)</f>
        <v/>
      </c>
      <c r="AA344" s="477" t="str">
        <f>IF($AC$344="","",ROW($A$344)-ROW($A$324))</f>
        <v/>
      </c>
      <c r="AB344" s="478"/>
      <c r="AC344" s="34"/>
      <c r="AD344" s="356"/>
      <c r="AE344" s="479"/>
      <c r="AF344" s="475"/>
      <c r="AG344" s="480" t="str">
        <f t="shared" si="88"/>
        <v/>
      </c>
      <c r="AH344" s="481" t="str">
        <f t="shared" si="89"/>
        <v/>
      </c>
      <c r="AI344" s="477" t="str">
        <f>IF($AC$344="","",IFERROR(INDEX($AZ$74:$AZ$119,MATCH($AH$344,$AY$74:$AY$119,0)),"AUTRE"))</f>
        <v/>
      </c>
      <c r="AJ344" s="482" t="str">
        <f>IF($AC$344="","",IFERROR(INDEX($BA$74:$BA$119,MATCH($AH$344,$AY$74:$AY$119,0)),1))</f>
        <v/>
      </c>
      <c r="AK344" s="482" t="str">
        <f t="shared" si="90"/>
        <v/>
      </c>
      <c r="AL344" s="477" t="str">
        <f>IF($AC$344="","",IFERROR(INDEX($BB$74:$BB$119,MATCH($AH$344,$AY$74:$AY$119,0)),$AH$344))</f>
        <v/>
      </c>
      <c r="AM344" s="483" t="str">
        <f t="shared" si="91"/>
        <v/>
      </c>
      <c r="AN344" s="484" t="str">
        <f t="shared" si="92"/>
        <v/>
      </c>
      <c r="AO344" s="473" t="str">
        <f t="shared" si="93"/>
        <v/>
      </c>
      <c r="AP344" s="473" t="str">
        <f t="shared" si="94"/>
        <v/>
      </c>
      <c r="AQ344" s="473" t="str">
        <f t="shared" si="95"/>
        <v/>
      </c>
      <c r="AR344" s="473" t="str">
        <f t="shared" si="96"/>
        <v/>
      </c>
      <c r="AS344" s="473" t="str">
        <f t="shared" si="97"/>
        <v/>
      </c>
      <c r="AT344" s="473" t="str">
        <f t="shared" si="98"/>
        <v/>
      </c>
      <c r="AU344" s="473" t="str">
        <f t="shared" si="99"/>
        <v/>
      </c>
      <c r="AZ344" s="32" t="s">
        <v>8143</v>
      </c>
      <c r="BA344" s="34" t="s">
        <v>479</v>
      </c>
      <c r="BB344" s="499"/>
      <c r="BC344" s="271"/>
      <c r="BD344" s="279">
        <v>1</v>
      </c>
      <c r="BE344" s="271"/>
      <c r="BF344" s="271"/>
      <c r="BG344" s="271"/>
      <c r="BH344" s="271"/>
      <c r="BI344" s="271"/>
      <c r="BJ344" s="271"/>
      <c r="BK344" s="271"/>
      <c r="BL344" s="271"/>
    </row>
    <row r="345" spans="18:64" ht="21" customHeight="1" x14ac:dyDescent="0.25">
      <c r="R345" s="34" t="s">
        <v>485</v>
      </c>
      <c r="S345" s="451"/>
      <c r="T345" s="32" t="s">
        <v>316</v>
      </c>
      <c r="V345" s="475">
        <v>8</v>
      </c>
      <c r="W345" s="475" t="str">
        <f>IF($AC$345="","",$W$324)</f>
        <v/>
      </c>
      <c r="X345" s="476" t="str">
        <f>IF($AC$345="","",$X$324)</f>
        <v/>
      </c>
      <c r="Y345" s="477" t="str">
        <f>IF($X$345="","",$Y$324)</f>
        <v/>
      </c>
      <c r="Z345" s="477" t="str">
        <f>IF($X$345="","",$Z$324)</f>
        <v/>
      </c>
      <c r="AA345" s="477" t="str">
        <f>IF($AC$345="","",ROW($A$345)-ROW($A$324))</f>
        <v/>
      </c>
      <c r="AB345" s="478"/>
      <c r="AC345" s="34"/>
      <c r="AD345" s="356"/>
      <c r="AE345" s="479"/>
      <c r="AF345" s="475"/>
      <c r="AG345" s="480" t="str">
        <f t="shared" si="88"/>
        <v/>
      </c>
      <c r="AH345" s="481" t="str">
        <f t="shared" si="89"/>
        <v/>
      </c>
      <c r="AI345" s="477" t="str">
        <f>IF($AC$345="","",IFERROR(INDEX($AZ$74:$AZ$119,MATCH($AH$345,$AY$74:$AY$119,0)),"AUTRE"))</f>
        <v/>
      </c>
      <c r="AJ345" s="482" t="str">
        <f>IF($AC$345="","",IFERROR(INDEX($BA$74:$BA$119,MATCH($AH$345,$AY$74:$AY$119,0)),1))</f>
        <v/>
      </c>
      <c r="AK345" s="482" t="str">
        <f t="shared" si="90"/>
        <v/>
      </c>
      <c r="AL345" s="477" t="str">
        <f>IF($AC$345="","",IFERROR(INDEX($BB$74:$BB$119,MATCH($AH$345,$AY$74:$AY$119,0)),$AH$345))</f>
        <v/>
      </c>
      <c r="AM345" s="483" t="str">
        <f t="shared" si="91"/>
        <v/>
      </c>
      <c r="AN345" s="484" t="str">
        <f t="shared" si="92"/>
        <v/>
      </c>
      <c r="AO345" s="473" t="str">
        <f t="shared" si="93"/>
        <v/>
      </c>
      <c r="AP345" s="473" t="str">
        <f t="shared" si="94"/>
        <v/>
      </c>
      <c r="AQ345" s="473" t="str">
        <f t="shared" si="95"/>
        <v/>
      </c>
      <c r="AR345" s="473" t="str">
        <f t="shared" si="96"/>
        <v/>
      </c>
      <c r="AS345" s="473" t="str">
        <f t="shared" si="97"/>
        <v/>
      </c>
      <c r="AT345" s="473" t="str">
        <f t="shared" si="98"/>
        <v/>
      </c>
      <c r="AU345" s="473" t="str">
        <f t="shared" si="99"/>
        <v/>
      </c>
      <c r="AZ345" s="497" t="s">
        <v>8145</v>
      </c>
      <c r="BA345" s="34" t="s">
        <v>6131</v>
      </c>
      <c r="BB345" s="499"/>
      <c r="BC345" s="271"/>
      <c r="BD345" s="279">
        <v>1</v>
      </c>
      <c r="BE345" s="271"/>
      <c r="BF345" s="271"/>
      <c r="BG345" s="271"/>
      <c r="BH345" s="271"/>
      <c r="BI345" s="271"/>
      <c r="BJ345" s="271"/>
      <c r="BK345" s="271"/>
      <c r="BL345" s="271"/>
    </row>
    <row r="346" spans="18:64" ht="21" customHeight="1" x14ac:dyDescent="0.25">
      <c r="R346" s="34" t="s">
        <v>6132</v>
      </c>
      <c r="S346" s="451"/>
      <c r="T346" s="32" t="s">
        <v>313</v>
      </c>
      <c r="V346" s="475">
        <v>8</v>
      </c>
      <c r="W346" s="475" t="str">
        <f>IF($AC$346="","",$W$324)</f>
        <v/>
      </c>
      <c r="X346" s="476" t="str">
        <f>IF($AC$346="","",$X$324)</f>
        <v/>
      </c>
      <c r="Y346" s="477" t="str">
        <f>IF($X$346="","",$Y$324)</f>
        <v/>
      </c>
      <c r="Z346" s="477" t="str">
        <f>IF($X$346="","",$Z$324)</f>
        <v/>
      </c>
      <c r="AA346" s="477" t="str">
        <f>IF($AC$346="","",ROW($A$346)-ROW($A$324))</f>
        <v/>
      </c>
      <c r="AB346" s="478"/>
      <c r="AC346" s="34"/>
      <c r="AD346" s="356"/>
      <c r="AE346" s="479"/>
      <c r="AF346" s="475"/>
      <c r="AG346" s="480" t="str">
        <f t="shared" si="88"/>
        <v/>
      </c>
      <c r="AH346" s="481" t="str">
        <f t="shared" si="89"/>
        <v/>
      </c>
      <c r="AI346" s="477" t="str">
        <f>IF($AC$346="","",IFERROR(INDEX($AZ$74:$AZ$119,MATCH($AH$346,$AY$74:$AY$119,0)),"AUTRE"))</f>
        <v/>
      </c>
      <c r="AJ346" s="482" t="str">
        <f>IF($AC$346="","",IFERROR(INDEX($BA$74:$BA$119,MATCH($AH$346,$AY$74:$AY$119,0)),1))</f>
        <v/>
      </c>
      <c r="AK346" s="482" t="str">
        <f t="shared" si="90"/>
        <v/>
      </c>
      <c r="AL346" s="477" t="str">
        <f>IF($AC$346="","",IFERROR(INDEX($BB$74:$BB$119,MATCH($AH$346,$AY$74:$AY$119,0)),$AH$346))</f>
        <v/>
      </c>
      <c r="AM346" s="483" t="str">
        <f t="shared" si="91"/>
        <v/>
      </c>
      <c r="AN346" s="484" t="str">
        <f t="shared" si="92"/>
        <v/>
      </c>
      <c r="AO346" s="473" t="str">
        <f t="shared" si="93"/>
        <v/>
      </c>
      <c r="AP346" s="473" t="str">
        <f t="shared" si="94"/>
        <v/>
      </c>
      <c r="AQ346" s="473" t="str">
        <f t="shared" si="95"/>
        <v/>
      </c>
      <c r="AR346" s="473" t="str">
        <f t="shared" si="96"/>
        <v/>
      </c>
      <c r="AS346" s="473" t="str">
        <f t="shared" si="97"/>
        <v/>
      </c>
      <c r="AT346" s="473" t="str">
        <f t="shared" si="98"/>
        <v/>
      </c>
      <c r="AU346" s="473" t="str">
        <f t="shared" si="99"/>
        <v/>
      </c>
      <c r="AZ346" s="497" t="s">
        <v>462</v>
      </c>
      <c r="BA346" s="34" t="s">
        <v>485</v>
      </c>
      <c r="BB346" s="499"/>
      <c r="BC346" s="271"/>
      <c r="BD346" s="279">
        <v>1</v>
      </c>
      <c r="BE346" s="271"/>
      <c r="BF346" s="271"/>
      <c r="BG346" s="271"/>
      <c r="BH346" s="271"/>
      <c r="BI346" s="271"/>
      <c r="BJ346" s="271"/>
      <c r="BK346" s="271"/>
      <c r="BL346" s="271"/>
    </row>
    <row r="347" spans="18:64" ht="21" customHeight="1" x14ac:dyDescent="0.25">
      <c r="R347" s="25" t="s">
        <v>6133</v>
      </c>
      <c r="S347" s="451"/>
      <c r="T347" s="32" t="s">
        <v>307</v>
      </c>
      <c r="V347" s="475">
        <v>8</v>
      </c>
      <c r="W347" s="475" t="str">
        <f>IF($AC$347="","",$W$324)</f>
        <v/>
      </c>
      <c r="X347" s="476" t="str">
        <f>IF($AC$347="","",$X$324)</f>
        <v/>
      </c>
      <c r="Y347" s="477" t="str">
        <f>IF($X$347="","",$Y$324)</f>
        <v/>
      </c>
      <c r="Z347" s="477" t="str">
        <f>IF($X$347="","",$Z$324)</f>
        <v/>
      </c>
      <c r="AA347" s="477" t="str">
        <f>IF($AC$347="","",ROW($A$347)-ROW($A$324))</f>
        <v/>
      </c>
      <c r="AB347" s="478"/>
      <c r="AC347" s="34"/>
      <c r="AD347" s="356"/>
      <c r="AE347" s="479"/>
      <c r="AF347" s="475"/>
      <c r="AG347" s="480" t="str">
        <f t="shared" si="88"/>
        <v/>
      </c>
      <c r="AH347" s="481" t="str">
        <f t="shared" si="89"/>
        <v/>
      </c>
      <c r="AI347" s="477" t="str">
        <f>IF($AC$347="","",IFERROR(INDEX($AZ$74:$AZ$119,MATCH($AH$347,$AY$74:$AY$119,0)),"AUTRE"))</f>
        <v/>
      </c>
      <c r="AJ347" s="482" t="str">
        <f>IF($AC$347="","",IFERROR(INDEX($BA$74:$BA$119,MATCH($AH$347,$AY$74:$AY$119,0)),1))</f>
        <v/>
      </c>
      <c r="AK347" s="482" t="str">
        <f t="shared" si="90"/>
        <v/>
      </c>
      <c r="AL347" s="477" t="str">
        <f>IF($AC$347="","",IFERROR(INDEX($BB$74:$BB$119,MATCH($AH$347,$AY$74:$AY$119,0)),$AH$347))</f>
        <v/>
      </c>
      <c r="AM347" s="483" t="str">
        <f t="shared" si="91"/>
        <v/>
      </c>
      <c r="AN347" s="484" t="str">
        <f t="shared" si="92"/>
        <v/>
      </c>
      <c r="AO347" s="473" t="str">
        <f t="shared" si="93"/>
        <v/>
      </c>
      <c r="AP347" s="473" t="str">
        <f t="shared" si="94"/>
        <v/>
      </c>
      <c r="AQ347" s="473" t="str">
        <f t="shared" si="95"/>
        <v/>
      </c>
      <c r="AR347" s="473" t="str">
        <f t="shared" si="96"/>
        <v/>
      </c>
      <c r="AS347" s="473" t="str">
        <f t="shared" si="97"/>
        <v/>
      </c>
      <c r="AT347" s="473" t="str">
        <f t="shared" si="98"/>
        <v/>
      </c>
      <c r="AU347" s="473" t="str">
        <f t="shared" si="99"/>
        <v/>
      </c>
      <c r="AZ347" s="497" t="s">
        <v>463</v>
      </c>
      <c r="BA347" s="34" t="s">
        <v>6132</v>
      </c>
      <c r="BB347" s="499"/>
      <c r="BC347" s="271"/>
      <c r="BD347" s="279">
        <v>1</v>
      </c>
      <c r="BE347" s="271"/>
      <c r="BF347" s="271"/>
      <c r="BG347" s="271"/>
      <c r="BH347" s="271"/>
      <c r="BI347" s="271"/>
      <c r="BJ347" s="271"/>
      <c r="BK347" s="271"/>
      <c r="BL347" s="271"/>
    </row>
    <row r="348" spans="18:64" ht="21" customHeight="1" x14ac:dyDescent="0.25">
      <c r="R348" s="34" t="s">
        <v>476</v>
      </c>
      <c r="S348" s="451"/>
      <c r="T348" s="32" t="s">
        <v>322</v>
      </c>
      <c r="V348" s="475">
        <v>8</v>
      </c>
      <c r="W348" s="475" t="str">
        <f>IF($AC$348="","",$W$324)</f>
        <v/>
      </c>
      <c r="X348" s="476" t="str">
        <f>IF($AC$348="","",$X$324)</f>
        <v/>
      </c>
      <c r="Y348" s="477" t="str">
        <f>IF($X$348="","",$Y$324)</f>
        <v/>
      </c>
      <c r="Z348" s="477" t="str">
        <f>IF($X$348="","",$Z$324)</f>
        <v/>
      </c>
      <c r="AA348" s="477" t="str">
        <f>IF($AC$348="","",ROW($A$348)-ROW($A$324))</f>
        <v/>
      </c>
      <c r="AB348" s="478"/>
      <c r="AC348" s="34"/>
      <c r="AD348" s="356"/>
      <c r="AE348" s="479"/>
      <c r="AF348" s="475"/>
      <c r="AG348" s="480" t="str">
        <f t="shared" si="88"/>
        <v/>
      </c>
      <c r="AH348" s="481" t="str">
        <f t="shared" si="89"/>
        <v/>
      </c>
      <c r="AI348" s="477" t="str">
        <f>IF($AC$348="","",IFERROR(INDEX($AZ$74:$AZ$119,MATCH($AH$348,$AY$74:$AY$119,0)),"AUTRE"))</f>
        <v/>
      </c>
      <c r="AJ348" s="482" t="str">
        <f>IF($AC$348="","",IFERROR(INDEX($BA$74:$BA$119,MATCH($AH$348,$AY$74:$AY$119,0)),1))</f>
        <v/>
      </c>
      <c r="AK348" s="482" t="str">
        <f t="shared" si="90"/>
        <v/>
      </c>
      <c r="AL348" s="477" t="str">
        <f>IF($AC$348="","",IFERROR(INDEX($BB$74:$BB$119,MATCH($AH$348,$AY$74:$AY$119,0)),$AH$348))</f>
        <v/>
      </c>
      <c r="AM348" s="483" t="str">
        <f t="shared" si="91"/>
        <v/>
      </c>
      <c r="AN348" s="484" t="str">
        <f t="shared" si="92"/>
        <v/>
      </c>
      <c r="AO348" s="473" t="str">
        <f t="shared" si="93"/>
        <v/>
      </c>
      <c r="AP348" s="473" t="str">
        <f t="shared" si="94"/>
        <v/>
      </c>
      <c r="AQ348" s="473" t="str">
        <f t="shared" si="95"/>
        <v/>
      </c>
      <c r="AR348" s="473" t="str">
        <f t="shared" si="96"/>
        <v/>
      </c>
      <c r="AS348" s="473" t="str">
        <f t="shared" si="97"/>
        <v/>
      </c>
      <c r="AT348" s="473" t="str">
        <f t="shared" si="98"/>
        <v/>
      </c>
      <c r="AU348" s="473" t="str">
        <f t="shared" si="99"/>
        <v/>
      </c>
      <c r="AZ348" s="497" t="s">
        <v>8147</v>
      </c>
      <c r="BA348" s="25" t="s">
        <v>6133</v>
      </c>
      <c r="BB348" s="499"/>
      <c r="BC348" s="271"/>
      <c r="BD348" s="279">
        <v>1</v>
      </c>
      <c r="BE348" s="271"/>
      <c r="BF348" s="271"/>
      <c r="BG348" s="271"/>
      <c r="BH348" s="271"/>
      <c r="BI348" s="271"/>
      <c r="BJ348" s="271"/>
      <c r="BK348" s="271"/>
      <c r="BL348" s="271"/>
    </row>
    <row r="349" spans="18:64" ht="21" customHeight="1" x14ac:dyDescent="0.25">
      <c r="R349" s="34" t="s">
        <v>468</v>
      </c>
      <c r="S349" s="451"/>
      <c r="T349" s="32" t="s">
        <v>305</v>
      </c>
      <c r="V349" s="475">
        <v>8</v>
      </c>
      <c r="W349" s="475" t="str">
        <f>IF($AC$349="","",$W$324)</f>
        <v/>
      </c>
      <c r="X349" s="476" t="str">
        <f>IF($AC$349="","",$X$324)</f>
        <v/>
      </c>
      <c r="Y349" s="477" t="str">
        <f>IF($X$349="","",$Y$324)</f>
        <v/>
      </c>
      <c r="Z349" s="477" t="str">
        <f>IF($X$349="","",$Z$324)</f>
        <v/>
      </c>
      <c r="AA349" s="477" t="str">
        <f>IF($AC$349="","",ROW($A$349)-ROW($A$324))</f>
        <v/>
      </c>
      <c r="AB349" s="478"/>
      <c r="AC349" s="34"/>
      <c r="AD349" s="356"/>
      <c r="AE349" s="479"/>
      <c r="AF349" s="475"/>
      <c r="AG349" s="480" t="str">
        <f t="shared" si="88"/>
        <v/>
      </c>
      <c r="AH349" s="481" t="str">
        <f t="shared" si="89"/>
        <v/>
      </c>
      <c r="AI349" s="477" t="str">
        <f>IF($AC$349="","",IFERROR(INDEX($AZ$74:$AZ$119,MATCH($AH$349,$AY$74:$AY$119,0)),"AUTRE"))</f>
        <v/>
      </c>
      <c r="AJ349" s="482" t="str">
        <f>IF($AC$349="","",IFERROR(INDEX($BA$74:$BA$119,MATCH($AH$349,$AY$74:$AY$119,0)),1))</f>
        <v/>
      </c>
      <c r="AK349" s="482" t="str">
        <f t="shared" si="90"/>
        <v/>
      </c>
      <c r="AL349" s="477" t="str">
        <f>IF($AC$349="","",IFERROR(INDEX($BB$74:$BB$119,MATCH($AH$349,$AY$74:$AY$119,0)),$AH$349))</f>
        <v/>
      </c>
      <c r="AM349" s="483" t="str">
        <f t="shared" si="91"/>
        <v/>
      </c>
      <c r="AN349" s="484" t="str">
        <f t="shared" si="92"/>
        <v/>
      </c>
      <c r="AO349" s="473" t="str">
        <f t="shared" si="93"/>
        <v/>
      </c>
      <c r="AP349" s="473" t="str">
        <f t="shared" si="94"/>
        <v/>
      </c>
      <c r="AQ349" s="473" t="str">
        <f t="shared" si="95"/>
        <v/>
      </c>
      <c r="AR349" s="473" t="str">
        <f t="shared" si="96"/>
        <v/>
      </c>
      <c r="AS349" s="473" t="str">
        <f t="shared" si="97"/>
        <v/>
      </c>
      <c r="AT349" s="473" t="str">
        <f t="shared" si="98"/>
        <v/>
      </c>
      <c r="AU349" s="473" t="str">
        <f t="shared" si="99"/>
        <v/>
      </c>
      <c r="AZ349" s="497" t="s">
        <v>465</v>
      </c>
      <c r="BA349" s="34" t="s">
        <v>476</v>
      </c>
      <c r="BB349" s="499"/>
      <c r="BC349" s="271"/>
      <c r="BD349" s="279">
        <v>1</v>
      </c>
      <c r="BE349" s="271"/>
      <c r="BF349" s="271"/>
      <c r="BG349" s="271"/>
      <c r="BH349" s="271"/>
      <c r="BI349" s="271"/>
      <c r="BJ349" s="271"/>
      <c r="BK349" s="271"/>
      <c r="BL349" s="271"/>
    </row>
    <row r="350" spans="18:64" ht="21" customHeight="1" x14ac:dyDescent="0.25">
      <c r="R350" s="34" t="s">
        <v>473</v>
      </c>
      <c r="S350" s="451"/>
      <c r="T350" s="32" t="s">
        <v>309</v>
      </c>
      <c r="V350" s="475">
        <v>8</v>
      </c>
      <c r="W350" s="475" t="str">
        <f>IF($AC$350="","",$W$324)</f>
        <v/>
      </c>
      <c r="X350" s="476" t="str">
        <f>IF($AC$350="","",$X$324)</f>
        <v/>
      </c>
      <c r="Y350" s="477" t="str">
        <f>IF($X$350="","",$Y$324)</f>
        <v/>
      </c>
      <c r="Z350" s="477" t="str">
        <f>IF($X$350="","",$Z$324)</f>
        <v/>
      </c>
      <c r="AA350" s="477" t="str">
        <f>IF($AC$350="","",ROW($A$350)-ROW($A$324))</f>
        <v/>
      </c>
      <c r="AB350" s="478"/>
      <c r="AC350" s="34"/>
      <c r="AD350" s="356"/>
      <c r="AE350" s="479"/>
      <c r="AF350" s="475"/>
      <c r="AG350" s="480" t="str">
        <f t="shared" si="88"/>
        <v/>
      </c>
      <c r="AH350" s="481" t="str">
        <f t="shared" si="89"/>
        <v/>
      </c>
      <c r="AI350" s="477" t="str">
        <f>IF($AC$350="","",IFERROR(INDEX($AZ$74:$AZ$119,MATCH($AH$350,$AY$74:$AY$119,0)),"AUTRE"))</f>
        <v/>
      </c>
      <c r="AJ350" s="482" t="str">
        <f>IF($AC$350="","",IFERROR(INDEX($BA$74:$BA$119,MATCH($AH$350,$AY$74:$AY$119,0)),1))</f>
        <v/>
      </c>
      <c r="AK350" s="482" t="str">
        <f t="shared" si="90"/>
        <v/>
      </c>
      <c r="AL350" s="477" t="str">
        <f>IF($AC$350="","",IFERROR(INDEX($BB$74:$BB$119,MATCH($AH$350,$AY$74:$AY$119,0)),$AH$350))</f>
        <v/>
      </c>
      <c r="AM350" s="483" t="str">
        <f t="shared" si="91"/>
        <v/>
      </c>
      <c r="AN350" s="484" t="str">
        <f t="shared" si="92"/>
        <v/>
      </c>
      <c r="AO350" s="473" t="str">
        <f t="shared" si="93"/>
        <v/>
      </c>
      <c r="AP350" s="473" t="str">
        <f t="shared" si="94"/>
        <v/>
      </c>
      <c r="AQ350" s="473" t="str">
        <f t="shared" si="95"/>
        <v/>
      </c>
      <c r="AR350" s="473" t="str">
        <f t="shared" si="96"/>
        <v/>
      </c>
      <c r="AS350" s="473" t="str">
        <f t="shared" si="97"/>
        <v/>
      </c>
      <c r="AT350" s="473" t="str">
        <f t="shared" si="98"/>
        <v/>
      </c>
      <c r="AU350" s="473" t="str">
        <f t="shared" si="99"/>
        <v/>
      </c>
      <c r="AZ350" s="497" t="s">
        <v>466</v>
      </c>
      <c r="BA350" s="34" t="s">
        <v>468</v>
      </c>
      <c r="BB350" s="499"/>
      <c r="BC350" s="271"/>
      <c r="BD350" s="279">
        <v>1</v>
      </c>
      <c r="BE350" s="271"/>
      <c r="BF350" s="271"/>
      <c r="BG350" s="271"/>
      <c r="BH350" s="271"/>
      <c r="BI350" s="271"/>
      <c r="BJ350" s="271"/>
      <c r="BK350" s="271"/>
      <c r="BL350" s="271"/>
    </row>
    <row r="351" spans="18:64" ht="21" customHeight="1" x14ac:dyDescent="0.25">
      <c r="R351" s="34" t="s">
        <v>497</v>
      </c>
      <c r="S351" s="451"/>
      <c r="T351" s="32" t="s">
        <v>311</v>
      </c>
      <c r="V351" s="475">
        <v>8</v>
      </c>
      <c r="W351" s="475" t="str">
        <f>IF($AC$351="","",$W$324)</f>
        <v/>
      </c>
      <c r="X351" s="476" t="str">
        <f>IF($AC$351="","",$X$324)</f>
        <v/>
      </c>
      <c r="Y351" s="477" t="str">
        <f>IF($X$351="","",$Y$324)</f>
        <v/>
      </c>
      <c r="Z351" s="477" t="str">
        <f>IF($X$351="","",$Z$324)</f>
        <v/>
      </c>
      <c r="AA351" s="477" t="str">
        <f>IF($AC$351="","",ROW($A$351)-ROW($A$324))</f>
        <v/>
      </c>
      <c r="AB351" s="478"/>
      <c r="AC351" s="34"/>
      <c r="AD351" s="356"/>
      <c r="AE351" s="479"/>
      <c r="AF351" s="475"/>
      <c r="AG351" s="480" t="str">
        <f t="shared" si="88"/>
        <v/>
      </c>
      <c r="AH351" s="481" t="str">
        <f t="shared" si="89"/>
        <v/>
      </c>
      <c r="AI351" s="477" t="str">
        <f>IF($AC$351="","",IFERROR(INDEX($AZ$74:$AZ$119,MATCH($AH$351,$AY$74:$AY$119,0)),"AUTRE"))</f>
        <v/>
      </c>
      <c r="AJ351" s="482" t="str">
        <f>IF($AC$351="","",IFERROR(INDEX($BA$74:$BA$119,MATCH($AH$351,$AY$74:$AY$119,0)),1))</f>
        <v/>
      </c>
      <c r="AK351" s="482" t="str">
        <f t="shared" si="90"/>
        <v/>
      </c>
      <c r="AL351" s="477" t="str">
        <f>IF($AC$351="","",IFERROR(INDEX($BB$74:$BB$119,MATCH($AH$351,$AY$74:$AY$119,0)),$AH$351))</f>
        <v/>
      </c>
      <c r="AM351" s="483" t="str">
        <f t="shared" si="91"/>
        <v/>
      </c>
      <c r="AN351" s="484" t="str">
        <f t="shared" si="92"/>
        <v/>
      </c>
      <c r="AO351" s="473" t="str">
        <f t="shared" si="93"/>
        <v/>
      </c>
      <c r="AP351" s="473" t="str">
        <f t="shared" si="94"/>
        <v/>
      </c>
      <c r="AQ351" s="473" t="str">
        <f t="shared" si="95"/>
        <v/>
      </c>
      <c r="AR351" s="473" t="str">
        <f t="shared" si="96"/>
        <v/>
      </c>
      <c r="AS351" s="473" t="str">
        <f t="shared" si="97"/>
        <v/>
      </c>
      <c r="AT351" s="473" t="str">
        <f t="shared" si="98"/>
        <v/>
      </c>
      <c r="AU351" s="473" t="str">
        <f t="shared" si="99"/>
        <v/>
      </c>
      <c r="AZ351" s="14" t="s">
        <v>7</v>
      </c>
      <c r="BA351" s="34" t="s">
        <v>473</v>
      </c>
      <c r="BB351" s="499"/>
      <c r="BC351" s="271"/>
      <c r="BD351" s="279">
        <v>1</v>
      </c>
      <c r="BE351" s="271"/>
      <c r="BF351" s="271"/>
      <c r="BG351" s="271"/>
      <c r="BH351" s="271"/>
      <c r="BI351" s="271"/>
      <c r="BJ351" s="271"/>
      <c r="BK351" s="271"/>
      <c r="BL351" s="271"/>
    </row>
    <row r="352" spans="18:64" ht="21" customHeight="1" x14ac:dyDescent="0.25">
      <c r="R352" s="34" t="s">
        <v>470</v>
      </c>
      <c r="S352" s="451"/>
      <c r="T352" s="32" t="s">
        <v>8135</v>
      </c>
      <c r="V352" s="475">
        <v>8</v>
      </c>
      <c r="W352" s="475" t="str">
        <f>IF($AC$352="","",$W$324)</f>
        <v/>
      </c>
      <c r="X352" s="476" t="str">
        <f>IF($AC$352="","",$X$324)</f>
        <v/>
      </c>
      <c r="Y352" s="477" t="str">
        <f>IF($X$352="","",$Y$324)</f>
        <v/>
      </c>
      <c r="Z352" s="477" t="str">
        <f>IF($X$352="","",$Z$324)</f>
        <v/>
      </c>
      <c r="AA352" s="477" t="str">
        <f>IF($AC$352="","",ROW($A$352)-ROW($A$324))</f>
        <v/>
      </c>
      <c r="AB352" s="478"/>
      <c r="AC352" s="34"/>
      <c r="AD352" s="356"/>
      <c r="AE352" s="479"/>
      <c r="AF352" s="475"/>
      <c r="AG352" s="480" t="str">
        <f t="shared" si="88"/>
        <v/>
      </c>
      <c r="AH352" s="481" t="str">
        <f t="shared" si="89"/>
        <v/>
      </c>
      <c r="AI352" s="477" t="str">
        <f>IF($AC$352="","",IFERROR(INDEX($AZ$74:$AZ$119,MATCH($AH$352,$AY$74:$AY$119,0)),"AUTRE"))</f>
        <v/>
      </c>
      <c r="AJ352" s="482" t="str">
        <f>IF($AC$352="","",IFERROR(INDEX($BA$74:$BA$119,MATCH($AH$352,$AY$74:$AY$119,0)),1))</f>
        <v/>
      </c>
      <c r="AK352" s="482" t="str">
        <f t="shared" si="90"/>
        <v/>
      </c>
      <c r="AL352" s="477" t="str">
        <f>IF($AC$352="","",IFERROR(INDEX($BB$74:$BB$119,MATCH($AH$352,$AY$74:$AY$119,0)),$AH$352))</f>
        <v/>
      </c>
      <c r="AM352" s="483" t="str">
        <f t="shared" si="91"/>
        <v/>
      </c>
      <c r="AN352" s="484" t="str">
        <f t="shared" si="92"/>
        <v/>
      </c>
      <c r="AO352" s="473" t="str">
        <f t="shared" si="93"/>
        <v/>
      </c>
      <c r="AP352" s="473" t="str">
        <f t="shared" si="94"/>
        <v/>
      </c>
      <c r="AQ352" s="473" t="str">
        <f t="shared" si="95"/>
        <v/>
      </c>
      <c r="AR352" s="473" t="str">
        <f t="shared" si="96"/>
        <v/>
      </c>
      <c r="AS352" s="473" t="str">
        <f t="shared" si="97"/>
        <v/>
      </c>
      <c r="AT352" s="473" t="str">
        <f t="shared" si="98"/>
        <v/>
      </c>
      <c r="AU352" s="473" t="str">
        <f t="shared" si="99"/>
        <v/>
      </c>
      <c r="AY352" s="271"/>
      <c r="AZ352" s="27" t="s">
        <v>8</v>
      </c>
      <c r="BA352" s="34" t="s">
        <v>497</v>
      </c>
      <c r="BB352" s="499"/>
      <c r="BC352" s="271"/>
      <c r="BD352" s="279">
        <v>1</v>
      </c>
      <c r="BE352" s="271"/>
      <c r="BF352" s="271"/>
      <c r="BG352" s="271"/>
      <c r="BH352" s="271"/>
      <c r="BI352" s="271"/>
      <c r="BJ352" s="271"/>
      <c r="BK352" s="271"/>
      <c r="BL352" s="271"/>
    </row>
    <row r="353" spans="18:64" ht="21" customHeight="1" x14ac:dyDescent="0.25">
      <c r="R353" s="34" t="s">
        <v>477</v>
      </c>
      <c r="S353" s="451"/>
      <c r="T353" s="497" t="s">
        <v>462</v>
      </c>
      <c r="V353" s="475">
        <v>8</v>
      </c>
      <c r="W353" s="475" t="str">
        <f>IF($AC$353="","",$W$324)</f>
        <v/>
      </c>
      <c r="X353" s="476" t="str">
        <f>IF($AC$353="","",$X$324)</f>
        <v/>
      </c>
      <c r="Y353" s="477" t="str">
        <f>IF($X$353="","",$Y$324)</f>
        <v/>
      </c>
      <c r="Z353" s="477" t="str">
        <f>IF($X$353="","",$Z$324)</f>
        <v/>
      </c>
      <c r="AA353" s="477" t="str">
        <f>IF($AC$353="","",ROW($A$353)-ROW($A$324))</f>
        <v/>
      </c>
      <c r="AB353" s="478"/>
      <c r="AC353" s="34"/>
      <c r="AD353" s="356"/>
      <c r="AE353" s="479"/>
      <c r="AF353" s="475"/>
      <c r="AG353" s="480" t="str">
        <f t="shared" si="88"/>
        <v/>
      </c>
      <c r="AH353" s="481" t="str">
        <f t="shared" si="89"/>
        <v/>
      </c>
      <c r="AI353" s="477" t="str">
        <f>IF($AC$353="","",IFERROR(INDEX($AZ$74:$AZ$119,MATCH($AH$353,$AY$74:$AY$119,0)),"AUTRE"))</f>
        <v/>
      </c>
      <c r="AJ353" s="482" t="str">
        <f>IF($AC$353="","",IFERROR(INDEX($BA$74:$BA$119,MATCH($AH$353,$AY$74:$AY$119,0)),1))</f>
        <v/>
      </c>
      <c r="AK353" s="482" t="str">
        <f t="shared" si="90"/>
        <v/>
      </c>
      <c r="AL353" s="477" t="str">
        <f>IF($AC$353="","",IFERROR(INDEX($BB$74:$BB$119,MATCH($AH$353,$AY$74:$AY$119,0)),$AH$353))</f>
        <v/>
      </c>
      <c r="AM353" s="483" t="str">
        <f t="shared" si="91"/>
        <v/>
      </c>
      <c r="AN353" s="484" t="str">
        <f t="shared" si="92"/>
        <v/>
      </c>
      <c r="AO353" s="473" t="str">
        <f t="shared" si="93"/>
        <v/>
      </c>
      <c r="AP353" s="473" t="str">
        <f t="shared" si="94"/>
        <v/>
      </c>
      <c r="AQ353" s="473" t="str">
        <f t="shared" si="95"/>
        <v/>
      </c>
      <c r="AR353" s="473" t="str">
        <f t="shared" si="96"/>
        <v/>
      </c>
      <c r="AS353" s="473" t="str">
        <f t="shared" si="97"/>
        <v/>
      </c>
      <c r="AT353" s="473" t="str">
        <f t="shared" si="98"/>
        <v/>
      </c>
      <c r="AU353" s="473" t="str">
        <f t="shared" si="99"/>
        <v/>
      </c>
      <c r="AY353" s="497" t="s">
        <v>8145</v>
      </c>
      <c r="AZ353" s="28" t="s">
        <v>13</v>
      </c>
      <c r="BA353" s="34" t="s">
        <v>470</v>
      </c>
      <c r="BB353" s="499"/>
      <c r="BC353" s="271"/>
      <c r="BD353" s="279">
        <v>1</v>
      </c>
      <c r="BE353" s="271"/>
      <c r="BF353" s="271"/>
      <c r="BG353" s="271"/>
      <c r="BH353" s="271"/>
      <c r="BI353" s="271"/>
      <c r="BJ353" s="271"/>
      <c r="BK353" s="271"/>
      <c r="BL353" s="271"/>
    </row>
    <row r="354" spans="18:64" ht="21" customHeight="1" x14ac:dyDescent="0.25">
      <c r="S354" s="451"/>
      <c r="T354" s="497" t="s">
        <v>463</v>
      </c>
      <c r="V354" s="475">
        <v>8</v>
      </c>
      <c r="W354" s="475" t="str">
        <f>IF($AC$354="","",$W$324)</f>
        <v/>
      </c>
      <c r="X354" s="476" t="str">
        <f>IF($AC$354="","",$X$324)</f>
        <v/>
      </c>
      <c r="Y354" s="477" t="str">
        <f>IF($X$354="","",$Y$324)</f>
        <v/>
      </c>
      <c r="Z354" s="477" t="str">
        <f>IF($X$354="","",$Z$324)</f>
        <v/>
      </c>
      <c r="AA354" s="477" t="str">
        <f>IF($AC$354="","",ROW($A$354)-ROW($A$324))</f>
        <v/>
      </c>
      <c r="AB354" s="478"/>
      <c r="AC354" s="34"/>
      <c r="AD354" s="356"/>
      <c r="AE354" s="479"/>
      <c r="AF354" s="475"/>
      <c r="AG354" s="480" t="str">
        <f t="shared" si="88"/>
        <v/>
      </c>
      <c r="AH354" s="481" t="str">
        <f t="shared" si="89"/>
        <v/>
      </c>
      <c r="AI354" s="477" t="str">
        <f>IF($AC$354="","",IFERROR(INDEX($AZ$74:$AZ$119,MATCH($AH$354,$AY$74:$AY$119,0)),"AUTRE"))</f>
        <v/>
      </c>
      <c r="AJ354" s="482" t="str">
        <f>IF($AC$354="","",IFERROR(INDEX($BA$74:$BA$119,MATCH($AH$354,$AY$74:$AY$119,0)),1))</f>
        <v/>
      </c>
      <c r="AK354" s="482" t="str">
        <f t="shared" si="90"/>
        <v/>
      </c>
      <c r="AL354" s="477" t="str">
        <f>IF($AC$354="","",IFERROR(INDEX($BB$74:$BB$119,MATCH($AH$354,$AY$74:$AY$119,0)),$AH$354))</f>
        <v/>
      </c>
      <c r="AM354" s="483" t="str">
        <f t="shared" si="91"/>
        <v/>
      </c>
      <c r="AN354" s="484" t="str">
        <f t="shared" si="92"/>
        <v/>
      </c>
      <c r="AO354" s="473" t="str">
        <f t="shared" si="93"/>
        <v/>
      </c>
      <c r="AP354" s="473" t="str">
        <f t="shared" si="94"/>
        <v/>
      </c>
      <c r="AQ354" s="473" t="str">
        <f t="shared" si="95"/>
        <v/>
      </c>
      <c r="AR354" s="473" t="str">
        <f t="shared" si="96"/>
        <v/>
      </c>
      <c r="AS354" s="473" t="str">
        <f t="shared" si="97"/>
        <v/>
      </c>
      <c r="AT354" s="473" t="str">
        <f t="shared" si="98"/>
        <v/>
      </c>
      <c r="AU354" s="473" t="str">
        <f t="shared" si="99"/>
        <v/>
      </c>
      <c r="AY354" s="497" t="s">
        <v>462</v>
      </c>
      <c r="AZ354" s="28" t="s">
        <v>14</v>
      </c>
      <c r="BA354" s="34" t="s">
        <v>477</v>
      </c>
      <c r="BB354" s="499"/>
      <c r="BC354" s="271"/>
      <c r="BD354" s="279">
        <v>1</v>
      </c>
      <c r="BE354" s="271"/>
      <c r="BF354" s="271"/>
      <c r="BG354" s="271"/>
      <c r="BH354" s="271"/>
      <c r="BI354" s="271"/>
      <c r="BJ354" s="271"/>
      <c r="BK354" s="271"/>
      <c r="BL354" s="271"/>
    </row>
    <row r="355" spans="18:64" ht="21" customHeight="1" x14ac:dyDescent="0.25">
      <c r="R355" s="25" t="s">
        <v>6134</v>
      </c>
      <c r="S355" s="451"/>
      <c r="T355" s="497" t="s">
        <v>8147</v>
      </c>
      <c r="V355" s="475">
        <v>8</v>
      </c>
      <c r="W355" s="475" t="str">
        <f>IF($AC$355="","",$W$324)</f>
        <v/>
      </c>
      <c r="X355" s="476" t="str">
        <f>IF($AC$355="","",$X$324)</f>
        <v/>
      </c>
      <c r="Y355" s="477" t="str">
        <f>IF($X$355="","",$Y$324)</f>
        <v/>
      </c>
      <c r="Z355" s="477" t="str">
        <f>IF($X$355="","",$Z$324)</f>
        <v/>
      </c>
      <c r="AA355" s="477" t="str">
        <f>IF($AC$355="","",ROW($A$355)-ROW($A$324))</f>
        <v/>
      </c>
      <c r="AB355" s="478"/>
      <c r="AC355" s="34"/>
      <c r="AD355" s="356"/>
      <c r="AE355" s="479"/>
      <c r="AF355" s="475"/>
      <c r="AG355" s="480" t="str">
        <f t="shared" si="88"/>
        <v/>
      </c>
      <c r="AH355" s="481" t="str">
        <f t="shared" si="89"/>
        <v/>
      </c>
      <c r="AI355" s="477" t="str">
        <f>IF($AC$355="","",IFERROR(INDEX($AZ$74:$AZ$119,MATCH($AH$355,$AY$74:$AY$119,0)),"AUTRE"))</f>
        <v/>
      </c>
      <c r="AJ355" s="482" t="str">
        <f>IF($AC$355="","",IFERROR(INDEX($BA$74:$BA$119,MATCH($AH$355,$AY$74:$AY$119,0)),1))</f>
        <v/>
      </c>
      <c r="AK355" s="482" t="str">
        <f t="shared" si="90"/>
        <v/>
      </c>
      <c r="AL355" s="477" t="str">
        <f>IF($AC$355="","",IFERROR(INDEX($BB$74:$BB$119,MATCH($AH$355,$AY$74:$AY$119,0)),$AH$355))</f>
        <v/>
      </c>
      <c r="AM355" s="483" t="str">
        <f t="shared" si="91"/>
        <v/>
      </c>
      <c r="AN355" s="484" t="str">
        <f t="shared" si="92"/>
        <v/>
      </c>
      <c r="AO355" s="473" t="str">
        <f t="shared" si="93"/>
        <v/>
      </c>
      <c r="AP355" s="473" t="str">
        <f t="shared" si="94"/>
        <v/>
      </c>
      <c r="AQ355" s="473" t="str">
        <f t="shared" si="95"/>
        <v/>
      </c>
      <c r="AR355" s="473" t="str">
        <f t="shared" si="96"/>
        <v/>
      </c>
      <c r="AS355" s="473" t="str">
        <f t="shared" si="97"/>
        <v/>
      </c>
      <c r="AT355" s="473" t="str">
        <f t="shared" si="98"/>
        <v/>
      </c>
      <c r="AU355" s="473" t="str">
        <f t="shared" si="99"/>
        <v/>
      </c>
      <c r="AY355" s="497" t="s">
        <v>463</v>
      </c>
      <c r="AZ355" s="28" t="s">
        <v>15</v>
      </c>
      <c r="BB355" s="499"/>
      <c r="BC355" s="271"/>
      <c r="BD355" s="279">
        <v>1</v>
      </c>
      <c r="BE355" s="271"/>
      <c r="BF355" s="271"/>
      <c r="BG355" s="271"/>
      <c r="BH355" s="271"/>
      <c r="BI355" s="271"/>
      <c r="BJ355" s="271"/>
      <c r="BK355" s="271"/>
      <c r="BL355" s="271"/>
    </row>
    <row r="356" spans="18:64" ht="21" customHeight="1" x14ac:dyDescent="0.25">
      <c r="R356" s="34" t="s">
        <v>481</v>
      </c>
      <c r="S356" s="451"/>
      <c r="T356" s="497" t="s">
        <v>465</v>
      </c>
      <c r="V356" s="475">
        <v>8</v>
      </c>
      <c r="W356" s="475" t="str">
        <f>IF($AC$356="","",$W$324)</f>
        <v/>
      </c>
      <c r="X356" s="476" t="str">
        <f>IF($AC$356="","",$X$324)</f>
        <v/>
      </c>
      <c r="Y356" s="477" t="str">
        <f>IF($X$356="","",$Y$324)</f>
        <v/>
      </c>
      <c r="Z356" s="477" t="str">
        <f>IF($X$356="","",$Z$324)</f>
        <v/>
      </c>
      <c r="AA356" s="477" t="str">
        <f>IF($AC$356="","",ROW($A$356)-ROW($A$324))</f>
        <v/>
      </c>
      <c r="AB356" s="478"/>
      <c r="AC356" s="34"/>
      <c r="AD356" s="356"/>
      <c r="AE356" s="479"/>
      <c r="AF356" s="475"/>
      <c r="AG356" s="480" t="str">
        <f t="shared" si="88"/>
        <v/>
      </c>
      <c r="AH356" s="481" t="str">
        <f t="shared" si="89"/>
        <v/>
      </c>
      <c r="AI356" s="477" t="str">
        <f>IF($AC$356="","",IFERROR(INDEX($AZ$74:$AZ$119,MATCH($AH$356,$AY$74:$AY$119,0)),"AUTRE"))</f>
        <v/>
      </c>
      <c r="AJ356" s="482" t="str">
        <f>IF($AC$356="","",IFERROR(INDEX($BA$74:$BA$119,MATCH($AH$356,$AY$74:$AY$119,0)),1))</f>
        <v/>
      </c>
      <c r="AK356" s="482" t="str">
        <f t="shared" si="90"/>
        <v/>
      </c>
      <c r="AL356" s="477" t="str">
        <f>IF($AC$356="","",IFERROR(INDEX($BB$74:$BB$119,MATCH($AH$356,$AY$74:$AY$119,0)),$AH$356))</f>
        <v/>
      </c>
      <c r="AM356" s="483" t="str">
        <f t="shared" si="91"/>
        <v/>
      </c>
      <c r="AN356" s="484" t="str">
        <f t="shared" si="92"/>
        <v/>
      </c>
      <c r="AO356" s="473" t="str">
        <f t="shared" si="93"/>
        <v/>
      </c>
      <c r="AP356" s="473" t="str">
        <f t="shared" si="94"/>
        <v/>
      </c>
      <c r="AQ356" s="473" t="str">
        <f t="shared" si="95"/>
        <v/>
      </c>
      <c r="AR356" s="473" t="str">
        <f t="shared" si="96"/>
        <v/>
      </c>
      <c r="AS356" s="473" t="str">
        <f t="shared" si="97"/>
        <v/>
      </c>
      <c r="AT356" s="473" t="str">
        <f t="shared" si="98"/>
        <v/>
      </c>
      <c r="AU356" s="473" t="str">
        <f t="shared" si="99"/>
        <v/>
      </c>
      <c r="AY356" s="497" t="s">
        <v>8147</v>
      </c>
      <c r="AZ356" s="29" t="s">
        <v>9</v>
      </c>
      <c r="BA356" s="25" t="s">
        <v>6134</v>
      </c>
      <c r="BB356" s="499"/>
      <c r="BC356" s="271"/>
      <c r="BD356" s="279">
        <v>1</v>
      </c>
      <c r="BE356" s="271"/>
      <c r="BF356" s="271"/>
      <c r="BG356" s="271"/>
      <c r="BH356" s="271"/>
      <c r="BI356" s="271"/>
      <c r="BJ356" s="271"/>
      <c r="BK356" s="271"/>
      <c r="BL356" s="271"/>
    </row>
    <row r="357" spans="18:64" ht="21" customHeight="1" x14ac:dyDescent="0.25">
      <c r="R357" s="34" t="s">
        <v>475</v>
      </c>
      <c r="S357" s="451"/>
      <c r="T357" s="497" t="s">
        <v>466</v>
      </c>
      <c r="V357" s="475">
        <v>8</v>
      </c>
      <c r="W357" s="475" t="str">
        <f>IF($AC$357="","",$W$324)</f>
        <v/>
      </c>
      <c r="X357" s="476" t="str">
        <f>IF($AC$357="","",$X$324)</f>
        <v/>
      </c>
      <c r="Y357" s="477" t="str">
        <f>IF($X$357="","",$Y$324)</f>
        <v/>
      </c>
      <c r="Z357" s="477" t="str">
        <f>IF($X$357="","",$Z$324)</f>
        <v/>
      </c>
      <c r="AA357" s="477" t="str">
        <f>IF($AC$357="","",ROW($A$357)-ROW($A$324))</f>
        <v/>
      </c>
      <c r="AB357" s="478"/>
      <c r="AC357" s="34"/>
      <c r="AD357" s="356"/>
      <c r="AE357" s="479"/>
      <c r="AF357" s="475"/>
      <c r="AG357" s="480" t="str">
        <f t="shared" si="88"/>
        <v/>
      </c>
      <c r="AH357" s="481" t="str">
        <f t="shared" si="89"/>
        <v/>
      </c>
      <c r="AI357" s="477" t="str">
        <f>IF($AC$357="","",IFERROR(INDEX($AZ$74:$AZ$119,MATCH($AH$357,$AY$74:$AY$119,0)),"AUTRE"))</f>
        <v/>
      </c>
      <c r="AJ357" s="482" t="str">
        <f>IF($AC$357="","",IFERROR(INDEX($BA$74:$BA$119,MATCH($AH$357,$AY$74:$AY$119,0)),1))</f>
        <v/>
      </c>
      <c r="AK357" s="482" t="str">
        <f t="shared" si="90"/>
        <v/>
      </c>
      <c r="AL357" s="477" t="str">
        <f>IF($AC$357="","",IFERROR(INDEX($BB$74:$BB$119,MATCH($AH$357,$AY$74:$AY$119,0)),$AH$357))</f>
        <v/>
      </c>
      <c r="AM357" s="483" t="str">
        <f t="shared" si="91"/>
        <v/>
      </c>
      <c r="AN357" s="484" t="str">
        <f t="shared" si="92"/>
        <v/>
      </c>
      <c r="AO357" s="473" t="str">
        <f t="shared" si="93"/>
        <v/>
      </c>
      <c r="AP357" s="473" t="str">
        <f t="shared" si="94"/>
        <v/>
      </c>
      <c r="AQ357" s="473" t="str">
        <f t="shared" si="95"/>
        <v/>
      </c>
      <c r="AR357" s="473" t="str">
        <f t="shared" si="96"/>
        <v/>
      </c>
      <c r="AS357" s="473" t="str">
        <f t="shared" si="97"/>
        <v/>
      </c>
      <c r="AT357" s="473" t="str">
        <f t="shared" si="98"/>
        <v/>
      </c>
      <c r="AU357" s="473" t="str">
        <f t="shared" si="99"/>
        <v/>
      </c>
      <c r="AY357" s="497" t="s">
        <v>465</v>
      </c>
      <c r="AZ357" s="30" t="s">
        <v>10</v>
      </c>
      <c r="BA357" s="34" t="s">
        <v>481</v>
      </c>
      <c r="BB357" s="499"/>
      <c r="BC357" s="271"/>
      <c r="BD357" s="279">
        <v>1</v>
      </c>
      <c r="BE357" s="271"/>
      <c r="BF357" s="271"/>
      <c r="BG357" s="271"/>
      <c r="BH357" s="271"/>
      <c r="BI357" s="271"/>
      <c r="BJ357" s="271"/>
      <c r="BK357" s="271"/>
      <c r="BL357" s="271"/>
    </row>
    <row r="358" spans="18:64" ht="21" customHeight="1" x14ac:dyDescent="0.25">
      <c r="R358" s="34" t="s">
        <v>457</v>
      </c>
      <c r="S358" s="451"/>
      <c r="T358" s="440" t="s">
        <v>8110</v>
      </c>
      <c r="V358" s="475">
        <v>8</v>
      </c>
      <c r="W358" s="475" t="str">
        <f>IF($AC$358="","",$W$324)</f>
        <v/>
      </c>
      <c r="X358" s="476" t="str">
        <f>IF($AC$358="","",$X$324)</f>
        <v/>
      </c>
      <c r="Y358" s="477" t="str">
        <f>IF($X$358="","",$Y$324)</f>
        <v/>
      </c>
      <c r="Z358" s="477" t="str">
        <f>IF($X$358="","",$Z$324)</f>
        <v/>
      </c>
      <c r="AA358" s="477" t="str">
        <f>IF($AC$358="","",ROW($A$358)-ROW($A$324))</f>
        <v/>
      </c>
      <c r="AB358" s="478"/>
      <c r="AC358" s="34"/>
      <c r="AD358" s="356"/>
      <c r="AE358" s="479"/>
      <c r="AF358" s="475"/>
      <c r="AG358" s="491" t="str">
        <f t="shared" si="88"/>
        <v/>
      </c>
      <c r="AH358" s="481" t="str">
        <f t="shared" si="89"/>
        <v/>
      </c>
      <c r="AI358" s="477" t="str">
        <f>IF($AC$358="","",IFERROR(INDEX($AZ$74:$AZ$119,MATCH($AH$358,$AY$74:$AY$119,0)),"AUTRE"))</f>
        <v/>
      </c>
      <c r="AJ358" s="482" t="str">
        <f>IF($AC$358="","",IFERROR(INDEX($BA$74:$BA$119,MATCH($AH$358,$AY$74:$AY$119,0)),1))</f>
        <v/>
      </c>
      <c r="AK358" s="482" t="str">
        <f t="shared" si="90"/>
        <v/>
      </c>
      <c r="AL358" s="477" t="str">
        <f>IF($AC$358="","",IFERROR(INDEX($BB$74:$BB$119,MATCH($AH$358,$AY$74:$AY$119,0)),$AH$358))</f>
        <v/>
      </c>
      <c r="AM358" s="483" t="str">
        <f t="shared" si="91"/>
        <v/>
      </c>
      <c r="AN358" s="484" t="str">
        <f t="shared" si="92"/>
        <v/>
      </c>
      <c r="AO358" s="473" t="str">
        <f t="shared" si="93"/>
        <v/>
      </c>
      <c r="AP358" s="473" t="str">
        <f t="shared" si="94"/>
        <v/>
      </c>
      <c r="AQ358" s="473" t="str">
        <f t="shared" si="95"/>
        <v/>
      </c>
      <c r="AR358" s="473" t="str">
        <f t="shared" si="96"/>
        <v/>
      </c>
      <c r="AS358" s="473" t="str">
        <f t="shared" si="97"/>
        <v/>
      </c>
      <c r="AT358" s="473" t="str">
        <f t="shared" si="98"/>
        <v/>
      </c>
      <c r="AU358" s="473" t="str">
        <f t="shared" si="99"/>
        <v/>
      </c>
      <c r="AY358" s="497" t="s">
        <v>466</v>
      </c>
      <c r="AZ358" s="30" t="s">
        <v>11</v>
      </c>
      <c r="BA358" s="34" t="s">
        <v>475</v>
      </c>
      <c r="BB358" s="499"/>
      <c r="BC358" s="271"/>
      <c r="BD358" s="279">
        <v>1</v>
      </c>
      <c r="BE358" s="271"/>
      <c r="BF358" s="271"/>
      <c r="BG358" s="271"/>
      <c r="BH358" s="271"/>
      <c r="BI358" s="271"/>
      <c r="BJ358" s="271"/>
      <c r="BK358" s="271"/>
      <c r="BL358" s="271"/>
    </row>
    <row r="359" spans="18:64" ht="30" customHeight="1" x14ac:dyDescent="0.25">
      <c r="R359" s="34" t="s">
        <v>482</v>
      </c>
      <c r="S359" s="451"/>
      <c r="T359" s="452" t="s">
        <v>8113</v>
      </c>
      <c r="V359" s="453" t="s">
        <v>324</v>
      </c>
      <c r="W359" s="453" t="s">
        <v>7912</v>
      </c>
      <c r="X359" s="453" t="s">
        <v>326</v>
      </c>
      <c r="Y359" s="453" t="s">
        <v>327</v>
      </c>
      <c r="Z359" s="454" t="s">
        <v>7930</v>
      </c>
      <c r="AA359" s="453" t="s">
        <v>7937</v>
      </c>
      <c r="AB359" s="455" t="s">
        <v>39</v>
      </c>
      <c r="AC359" s="455" t="s">
        <v>338</v>
      </c>
      <c r="AD359" s="455" t="s">
        <v>8114</v>
      </c>
      <c r="AE359" s="455" t="s">
        <v>339</v>
      </c>
      <c r="AF359" s="455" t="s">
        <v>7997</v>
      </c>
      <c r="AG359" s="453" t="s">
        <v>8018</v>
      </c>
      <c r="AH359" s="453" t="s">
        <v>8023</v>
      </c>
      <c r="AI359" s="453" t="s">
        <v>330</v>
      </c>
      <c r="AJ359" s="453" t="s">
        <v>8031</v>
      </c>
      <c r="AK359" s="453" t="s">
        <v>8037</v>
      </c>
      <c r="AL359" s="453" t="s">
        <v>8041</v>
      </c>
      <c r="AM359" s="453" t="s">
        <v>343</v>
      </c>
      <c r="AN359" s="457" t="s">
        <v>8115</v>
      </c>
      <c r="AO359" s="457" t="s">
        <v>8116</v>
      </c>
      <c r="AP359" s="656" t="s">
        <v>8117</v>
      </c>
      <c r="AQ359" s="656"/>
      <c r="AR359" s="656"/>
      <c r="AS359" s="656"/>
      <c r="AT359" s="656"/>
      <c r="AU359" s="657"/>
      <c r="AZ359" s="30" t="s">
        <v>12</v>
      </c>
      <c r="BA359" s="34" t="s">
        <v>457</v>
      </c>
      <c r="BB359" s="499"/>
      <c r="BC359" s="271"/>
      <c r="BD359" s="279">
        <v>1</v>
      </c>
      <c r="BE359" s="271"/>
      <c r="BF359" s="271"/>
      <c r="BG359" s="271"/>
      <c r="BH359" s="271"/>
      <c r="BI359" s="271"/>
      <c r="BJ359" s="271"/>
      <c r="BK359" s="271"/>
      <c r="BL359" s="271"/>
    </row>
    <row r="360" spans="18:64" ht="30" customHeight="1" x14ac:dyDescent="0.25">
      <c r="R360" s="34" t="s">
        <v>496</v>
      </c>
      <c r="S360" s="451"/>
      <c r="T360" s="14" t="s">
        <v>7</v>
      </c>
      <c r="V360" s="459">
        <v>9</v>
      </c>
      <c r="W360" s="460" t="s">
        <v>8159</v>
      </c>
      <c r="X360" s="461" t="s">
        <v>8162</v>
      </c>
      <c r="Y360" s="462"/>
      <c r="Z360" s="463">
        <v>100</v>
      </c>
      <c r="AA360" s="464">
        <f>IF($AC$396="","",ROW($A$396)-ROW($A$396))</f>
        <v>0</v>
      </c>
      <c r="AB360" s="461"/>
      <c r="AC360" s="465" t="s">
        <v>8163</v>
      </c>
      <c r="AD360" s="390"/>
      <c r="AE360" s="390"/>
      <c r="AF360" s="466"/>
      <c r="AG360" s="467" t="str">
        <f t="shared" ref="AG360:AG394" si="100">IF($AC360="","",IF(LEN($AN360&amp;"")=0,"",$AN360))</f>
        <v/>
      </c>
      <c r="AH360" s="468" t="str">
        <f t="shared" ref="AH360:AH394" si="101">IF($AC360="","",IF($AF360&lt;&gt;"",UPPER(TRIM(SUBSTITUTE(SUBSTITUTE($AF360&amp;"",CHAR(160)," ")," "," "))),$AP360))</f>
        <v/>
      </c>
      <c r="AI360" s="469" t="str">
        <f>IF($AC$360="","",IFERROR(INDEX($AZ$74:$AZ$119,MATCH($AH$360,$AY$74:$AY$119,0)),"AUTRE"))</f>
        <v>AUTRE</v>
      </c>
      <c r="AJ360" s="470">
        <f>IF($AC$360="","",IFERROR(INDEX($BA$74:$BA$119,MATCH($AH$360,$AY$74:$AY$119,0)),1))</f>
        <v>1</v>
      </c>
      <c r="AK360" s="470" t="str">
        <f t="shared" ref="AK360:AK394" si="102">IF(OR(AG360="",AJ360=""),"",AG360*AJ360)</f>
        <v/>
      </c>
      <c r="AL360" s="469" t="str">
        <f>IF($AC$360="","",IFERROR(INDEX($BB$74:$BB$119,MATCH($AH$360,$AY$74:$AY$119,0)),$AH$360))</f>
        <v/>
      </c>
      <c r="AM360" s="471" t="str">
        <f t="shared" ref="AM360:AM394" si="103">IF($AC360="","",IF($AH360="QT. SUFFISANTE","OK",IF($AG360="","TEXTE",IF(NOT(ISNUMBER($AG360)),"QUANTITÉ À CONTRÔLER",IF(COUNTIF($AY$74:$AY$119,$AH360)=0,"UNITÉ À CONTRÔLER","OK")))))</f>
        <v>TEXTE</v>
      </c>
      <c r="AN360" s="474" t="str">
        <f t="shared" ref="AN360:AN394" si="104">IF($AE360&lt;&gt;"",$AE360,IF($AD360="","",IF(ISNUMBER($AD360),$AD360,IF($AO360="QT",0,IF($AO360="","",IFERROR(IF(ISNUMBER(SEARCH("/",$AO360)),VALUE(TRIM(LEFT($AO360,SEARCH("/",$AO360)-1)))/VALUE(TRIM(MID($AO360,SEARCH("/",$AO360)+1,99))),VALUE(SUBSTITUTE($AO360,".",","))),""))))))</f>
        <v/>
      </c>
      <c r="AO360" s="473" t="str">
        <f t="shared" ref="AO360:AO394" si="105">IF($AD360="","",IF(ISNUMBER($AD360),$AD360,IF(OR(LEFT($AQ360,3)="QT.",LEFT($AQ360,4)="QUAN"),"QT",IF($AR360=999,$AQ360,TRIM(LEFT($AQ360,$AR360-1))))))</f>
        <v/>
      </c>
      <c r="AP360" s="473" t="str">
        <f t="shared" ref="AP360:AP394" si="106">IF($AD360="","",IF(ISNUMBER($AD360),"",IF(OR(LEFT($AQ360,3)="QT.",LEFT($AQ360,4)="QUAN"),"QT. SUFFISANTE",IF($AO360="","",TRIM(MID($AQ360,LEN($AO360&amp;"")+1,999))))))</f>
        <v/>
      </c>
      <c r="AQ360" s="473" t="str">
        <f t="shared" ref="AQ360:AQ394" si="107">IF($AD360="","",UPPER(TRIM(SUBSTITUTE(SUBSTITUTE($AD360&amp;"",CHAR(160)," ")," "," "))))</f>
        <v/>
      </c>
      <c r="AR360" s="473" t="str">
        <f t="shared" ref="AR360:AR394" si="108">IF($AQ360="","",MIN($AS360,$AT360,$AU360))</f>
        <v/>
      </c>
      <c r="AS360" s="473" t="str">
        <f t="shared" ref="AS360:AS394" si="109">IF($AQ360="","",MIN(IFERROR(SEARCH("A",$AQ360),999),IFERROR(SEARCH("B",$AQ360),999),IFERROR(SEARCH("C",$AQ360),999),IFERROR(SEARCH("D",$AQ360),999),IFERROR(SEARCH("E",$AQ360),999),IFERROR(SEARCH("F",$AQ360),999),IFERROR(SEARCH("G",$AQ360),999),IFERROR(SEARCH("H",$AQ360),999),IFERROR(SEARCH("I",$AQ360),999)))</f>
        <v/>
      </c>
      <c r="AT360" s="473" t="str">
        <f t="shared" ref="AT360:AT394" si="110">IF($AQ360="","",MIN(IFERROR(SEARCH("J",$AQ360),999),IFERROR(SEARCH("K",$AQ360),999),IFERROR(SEARCH("L",$AQ360),999),IFERROR(SEARCH("M",$AQ360),999),IFERROR(SEARCH("N",$AQ360),999),IFERROR(SEARCH("O",$AQ360),999),IFERROR(SEARCH("P",$AQ360),999),IFERROR(SEARCH("Q",$AQ360),999),IFERROR(SEARCH("R",$AQ360),999)))</f>
        <v/>
      </c>
      <c r="AU360" s="473" t="str">
        <f t="shared" ref="AU360:AU394" si="111">IF($AQ360="","",MIN(IFERROR(SEARCH("S",$AQ360),999),IFERROR(SEARCH("T",$AQ360),999),IFERROR(SEARCH("U",$AQ360),999),IFERROR(SEARCH("V",$AQ360),999),IFERROR(SEARCH("W",$AQ360),999),IFERROR(SEARCH("X",$AQ360),999),IFERROR(SEARCH("Y",$AQ360),999),IFERROR(SEARCH("Z",$AQ360),999)))</f>
        <v/>
      </c>
      <c r="AZ360" s="31" t="s">
        <v>16</v>
      </c>
      <c r="BA360" s="34" t="s">
        <v>482</v>
      </c>
      <c r="BB360" s="499"/>
      <c r="BC360" s="271"/>
      <c r="BD360" s="279">
        <v>1</v>
      </c>
      <c r="BE360" s="271"/>
      <c r="BF360" s="271"/>
      <c r="BG360" s="271"/>
      <c r="BH360" s="271"/>
      <c r="BI360" s="271"/>
      <c r="BJ360" s="271"/>
      <c r="BK360" s="271"/>
      <c r="BL360" s="271"/>
    </row>
    <row r="361" spans="18:64" ht="21" customHeight="1" x14ac:dyDescent="0.25">
      <c r="R361" s="34" t="s">
        <v>483</v>
      </c>
      <c r="S361" s="451"/>
      <c r="T361" s="27" t="s">
        <v>8</v>
      </c>
      <c r="V361" s="475">
        <f>$V$360</f>
        <v>9</v>
      </c>
      <c r="W361" s="475" t="str">
        <f>IF($AC$361="","",$W$360)</f>
        <v/>
      </c>
      <c r="X361" s="476" t="str">
        <f>IF($AC$361="","",$X$360)</f>
        <v/>
      </c>
      <c r="Y361" s="477" t="str">
        <f>IF($X$361="","",$Y$360)</f>
        <v/>
      </c>
      <c r="Z361" s="477" t="str">
        <f>IF($X$361="","",$Z$360)</f>
        <v/>
      </c>
      <c r="AA361" s="477" t="str">
        <f>IF($AC$361="","",ROW($A$361)-ROW($A$360))</f>
        <v/>
      </c>
      <c r="AB361" s="478"/>
      <c r="AC361" s="34"/>
      <c r="AD361" s="356"/>
      <c r="AE361" s="479"/>
      <c r="AF361" s="475"/>
      <c r="AG361" s="480" t="str">
        <f t="shared" si="100"/>
        <v/>
      </c>
      <c r="AH361" s="481" t="str">
        <f t="shared" si="101"/>
        <v/>
      </c>
      <c r="AI361" s="477" t="str">
        <f>IF($AC$361="","",IFERROR(INDEX($AZ$74:$AZ$119,MATCH($AH$361,$AY$74:$AY$119,0)),"AUTRE"))</f>
        <v/>
      </c>
      <c r="AJ361" s="482" t="str">
        <f>IF($AC$361="","",IFERROR(INDEX($BA$74:$BA$119,MATCH($AH$361,$AY$74:$AY$119,0)),1))</f>
        <v/>
      </c>
      <c r="AK361" s="482" t="str">
        <f t="shared" si="102"/>
        <v/>
      </c>
      <c r="AL361" s="477" t="str">
        <f>IF($AC$361="","",IFERROR(INDEX($BB$74:$BB$119,MATCH($AH$361,$AY$74:$AY$119,0)),$AH$361))</f>
        <v/>
      </c>
      <c r="AM361" s="483" t="str">
        <f t="shared" si="103"/>
        <v/>
      </c>
      <c r="AN361" s="484" t="str">
        <f t="shared" si="104"/>
        <v/>
      </c>
      <c r="AO361" s="473" t="str">
        <f t="shared" si="105"/>
        <v/>
      </c>
      <c r="AP361" s="473" t="str">
        <f t="shared" si="106"/>
        <v/>
      </c>
      <c r="AQ361" s="473" t="str">
        <f t="shared" si="107"/>
        <v/>
      </c>
      <c r="AR361" s="473" t="str">
        <f t="shared" si="108"/>
        <v/>
      </c>
      <c r="AS361" s="473" t="str">
        <f t="shared" si="109"/>
        <v/>
      </c>
      <c r="AT361" s="473" t="str">
        <f t="shared" si="110"/>
        <v/>
      </c>
      <c r="AU361" s="473" t="str">
        <f t="shared" si="111"/>
        <v/>
      </c>
      <c r="AZ361" s="31" t="s">
        <v>17</v>
      </c>
      <c r="BA361" s="34" t="s">
        <v>496</v>
      </c>
      <c r="BB361" s="499"/>
      <c r="BC361" s="271"/>
      <c r="BD361" s="279">
        <v>1</v>
      </c>
      <c r="BE361" s="271"/>
      <c r="BF361" s="271"/>
      <c r="BG361" s="271"/>
      <c r="BH361" s="271"/>
      <c r="BI361" s="271"/>
      <c r="BJ361" s="271"/>
      <c r="BK361" s="271"/>
      <c r="BL361" s="271"/>
    </row>
    <row r="362" spans="18:64" ht="21" customHeight="1" x14ac:dyDescent="0.25">
      <c r="R362" s="34" t="s">
        <v>493</v>
      </c>
      <c r="S362" s="451"/>
      <c r="T362" s="28" t="s">
        <v>13</v>
      </c>
      <c r="V362" s="475">
        <v>9</v>
      </c>
      <c r="W362" s="475" t="str">
        <f>IF($AC$362="","",$W$360)</f>
        <v/>
      </c>
      <c r="X362" s="476" t="str">
        <f>IF($AC$362="","",$X$360)</f>
        <v/>
      </c>
      <c r="Y362" s="477" t="str">
        <f>IF($X$362="","",$Y$360)</f>
        <v/>
      </c>
      <c r="Z362" s="477" t="str">
        <f>IF($X$362="","",$Z$360)</f>
        <v/>
      </c>
      <c r="AA362" s="477" t="str">
        <f>IF($AC$362="","",ROW($A$362)-ROW($A$360))</f>
        <v/>
      </c>
      <c r="AB362" s="478"/>
      <c r="AC362" s="34"/>
      <c r="AD362" s="356"/>
      <c r="AE362" s="479"/>
      <c r="AF362" s="475"/>
      <c r="AG362" s="480" t="str">
        <f t="shared" si="100"/>
        <v/>
      </c>
      <c r="AH362" s="481" t="str">
        <f t="shared" si="101"/>
        <v/>
      </c>
      <c r="AI362" s="477" t="str">
        <f>IF($AC$362="","",IFERROR(INDEX($AZ$74:$AZ$119,MATCH($AH$362,$AY$74:$AY$119,0)),"AUTRE"))</f>
        <v/>
      </c>
      <c r="AJ362" s="482" t="str">
        <f>IF($AC$362="","",IFERROR(INDEX($BA$74:$BA$119,MATCH($AH$362,$AY$74:$AY$119,0)),1))</f>
        <v/>
      </c>
      <c r="AK362" s="482" t="str">
        <f t="shared" si="102"/>
        <v/>
      </c>
      <c r="AL362" s="477" t="str">
        <f>IF($AC$362="","",IFERROR(INDEX($BB$74:$BB$119,MATCH($AH$362,$AY$74:$AY$119,0)),$AH$362))</f>
        <v/>
      </c>
      <c r="AM362" s="483" t="str">
        <f t="shared" si="103"/>
        <v/>
      </c>
      <c r="AN362" s="484" t="str">
        <f t="shared" si="104"/>
        <v/>
      </c>
      <c r="AO362" s="473" t="str">
        <f t="shared" si="105"/>
        <v/>
      </c>
      <c r="AP362" s="473" t="str">
        <f t="shared" si="106"/>
        <v/>
      </c>
      <c r="AQ362" s="473" t="str">
        <f t="shared" si="107"/>
        <v/>
      </c>
      <c r="AR362" s="473" t="str">
        <f t="shared" si="108"/>
        <v/>
      </c>
      <c r="AS362" s="473" t="str">
        <f t="shared" si="109"/>
        <v/>
      </c>
      <c r="AT362" s="473" t="str">
        <f t="shared" si="110"/>
        <v/>
      </c>
      <c r="AU362" s="473" t="str">
        <f t="shared" si="111"/>
        <v/>
      </c>
      <c r="AZ362" s="31" t="s">
        <v>18</v>
      </c>
      <c r="BA362" s="34" t="s">
        <v>483</v>
      </c>
      <c r="BB362" s="499"/>
      <c r="BC362" s="271"/>
      <c r="BD362" s="279">
        <v>1</v>
      </c>
      <c r="BE362" s="271"/>
      <c r="BF362" s="271"/>
      <c r="BG362" s="271"/>
      <c r="BH362" s="271"/>
      <c r="BI362" s="271"/>
      <c r="BJ362" s="271"/>
      <c r="BK362" s="271"/>
      <c r="BL362" s="271"/>
    </row>
    <row r="363" spans="18:64" ht="21" customHeight="1" x14ac:dyDescent="0.25">
      <c r="R363" s="34" t="s">
        <v>494</v>
      </c>
      <c r="S363" s="451"/>
      <c r="T363" s="28" t="s">
        <v>14</v>
      </c>
      <c r="V363" s="475">
        <v>9</v>
      </c>
      <c r="W363" s="475" t="str">
        <f>IF($AC$363="","",$W$360)</f>
        <v/>
      </c>
      <c r="X363" s="476" t="str">
        <f>IF($AC$363="","",$X$360)</f>
        <v/>
      </c>
      <c r="Y363" s="477" t="str">
        <f>IF($X$363="","",$Y$360)</f>
        <v/>
      </c>
      <c r="Z363" s="477" t="str">
        <f>IF($X$363="","",$Z$360)</f>
        <v/>
      </c>
      <c r="AA363" s="477" t="str">
        <f>IF($AC$363="","",ROW($A$363)-ROW($A$360))</f>
        <v/>
      </c>
      <c r="AB363" s="478"/>
      <c r="AC363" s="34"/>
      <c r="AD363" s="356"/>
      <c r="AE363" s="479"/>
      <c r="AF363" s="475"/>
      <c r="AG363" s="480" t="str">
        <f t="shared" si="100"/>
        <v/>
      </c>
      <c r="AH363" s="481" t="str">
        <f t="shared" si="101"/>
        <v/>
      </c>
      <c r="AI363" s="477" t="str">
        <f>IF($AC$363="","",IFERROR(INDEX($AZ$74:$AZ$119,MATCH($AH$363,$AY$74:$AY$119,0)),"AUTRE"))</f>
        <v/>
      </c>
      <c r="AJ363" s="482" t="str">
        <f>IF($AC$363="","",IFERROR(INDEX($BA$74:$BA$119,MATCH($AH$363,$AY$74:$AY$119,0)),1))</f>
        <v/>
      </c>
      <c r="AK363" s="482" t="str">
        <f t="shared" si="102"/>
        <v/>
      </c>
      <c r="AL363" s="477" t="str">
        <f>IF($AC$363="","",IFERROR(INDEX($BB$74:$BB$119,MATCH($AH$363,$AY$74:$AY$119,0)),$AH$363))</f>
        <v/>
      </c>
      <c r="AM363" s="483" t="str">
        <f t="shared" si="103"/>
        <v/>
      </c>
      <c r="AN363" s="484" t="str">
        <f t="shared" si="104"/>
        <v/>
      </c>
      <c r="AO363" s="473" t="str">
        <f t="shared" si="105"/>
        <v/>
      </c>
      <c r="AP363" s="473" t="str">
        <f t="shared" si="106"/>
        <v/>
      </c>
      <c r="AQ363" s="473" t="str">
        <f t="shared" si="107"/>
        <v/>
      </c>
      <c r="AR363" s="473" t="str">
        <f t="shared" si="108"/>
        <v/>
      </c>
      <c r="AS363" s="473" t="str">
        <f t="shared" si="109"/>
        <v/>
      </c>
      <c r="AT363" s="473" t="str">
        <f t="shared" si="110"/>
        <v/>
      </c>
      <c r="AU363" s="473" t="str">
        <f t="shared" si="111"/>
        <v/>
      </c>
      <c r="AZ363" s="31" t="s">
        <v>19</v>
      </c>
      <c r="BA363" s="34" t="s">
        <v>493</v>
      </c>
      <c r="BB363" s="499"/>
      <c r="BC363" s="271"/>
      <c r="BD363" s="279">
        <v>1</v>
      </c>
      <c r="BE363" s="271"/>
      <c r="BF363" s="271"/>
      <c r="BG363" s="271"/>
      <c r="BH363" s="271"/>
      <c r="BI363" s="271"/>
      <c r="BJ363" s="271"/>
      <c r="BK363" s="271"/>
      <c r="BL363" s="271"/>
    </row>
    <row r="364" spans="18:64" ht="21" customHeight="1" x14ac:dyDescent="0.25">
      <c r="S364" s="451"/>
      <c r="T364" s="28" t="s">
        <v>15</v>
      </c>
      <c r="V364" s="475">
        <v>9</v>
      </c>
      <c r="W364" s="475" t="str">
        <f>IF($AC$364="","",$W$360)</f>
        <v/>
      </c>
      <c r="X364" s="476" t="str">
        <f>IF($AC$364="","",$X$360)</f>
        <v/>
      </c>
      <c r="Y364" s="477" t="str">
        <f>IF($X$364="","",$Y$360)</f>
        <v/>
      </c>
      <c r="Z364" s="477" t="str">
        <f>IF($X$364="","",$Z$360)</f>
        <v/>
      </c>
      <c r="AA364" s="477" t="str">
        <f>IF($AC$364="","",ROW($A$364)-ROW($A$360))</f>
        <v/>
      </c>
      <c r="AB364" s="478"/>
      <c r="AC364" s="34"/>
      <c r="AD364" s="356"/>
      <c r="AE364" s="479"/>
      <c r="AF364" s="475"/>
      <c r="AG364" s="480" t="str">
        <f t="shared" si="100"/>
        <v/>
      </c>
      <c r="AH364" s="481" t="str">
        <f t="shared" si="101"/>
        <v/>
      </c>
      <c r="AI364" s="477" t="str">
        <f>IF($AC$364="","",IFERROR(INDEX($AZ$74:$AZ$119,MATCH($AH$364,$AY$74:$AY$119,0)),"AUTRE"))</f>
        <v/>
      </c>
      <c r="AJ364" s="482" t="str">
        <f>IF($AC$364="","",IFERROR(INDEX($BA$74:$BA$119,MATCH($AH$364,$AY$74:$AY$119,0)),1))</f>
        <v/>
      </c>
      <c r="AK364" s="482" t="str">
        <f t="shared" si="102"/>
        <v/>
      </c>
      <c r="AL364" s="477" t="str">
        <f>IF($AC$364="","",IFERROR(INDEX($BB$74:$BB$119,MATCH($AH$364,$AY$74:$AY$119,0)),$AH$364))</f>
        <v/>
      </c>
      <c r="AM364" s="483" t="str">
        <f t="shared" si="103"/>
        <v/>
      </c>
      <c r="AN364" s="484" t="str">
        <f t="shared" si="104"/>
        <v/>
      </c>
      <c r="AO364" s="473" t="str">
        <f t="shared" si="105"/>
        <v/>
      </c>
      <c r="AP364" s="473" t="str">
        <f t="shared" si="106"/>
        <v/>
      </c>
      <c r="AQ364" s="473" t="str">
        <f t="shared" si="107"/>
        <v/>
      </c>
      <c r="AR364" s="473" t="str">
        <f t="shared" si="108"/>
        <v/>
      </c>
      <c r="AS364" s="473" t="str">
        <f t="shared" si="109"/>
        <v/>
      </c>
      <c r="AT364" s="473" t="str">
        <f t="shared" si="110"/>
        <v/>
      </c>
      <c r="AU364" s="473" t="str">
        <f t="shared" si="111"/>
        <v/>
      </c>
      <c r="AZ364" s="31" t="s">
        <v>211</v>
      </c>
      <c r="BA364" s="34" t="s">
        <v>494</v>
      </c>
      <c r="BB364" s="499"/>
      <c r="BC364" s="271"/>
      <c r="BD364" s="279">
        <v>1</v>
      </c>
      <c r="BE364" s="271"/>
      <c r="BF364" s="271"/>
      <c r="BG364" s="271"/>
      <c r="BH364" s="271"/>
      <c r="BI364" s="271"/>
      <c r="BJ364" s="271"/>
      <c r="BK364" s="271"/>
      <c r="BL364" s="271"/>
    </row>
    <row r="365" spans="18:64" ht="21" customHeight="1" x14ac:dyDescent="0.25">
      <c r="R365" s="25" t="s">
        <v>6115</v>
      </c>
      <c r="S365" s="451"/>
      <c r="T365" s="28" t="s">
        <v>21</v>
      </c>
      <c r="V365" s="475">
        <v>9</v>
      </c>
      <c r="W365" s="475" t="str">
        <f>IF($AC$365="","",$W$360)</f>
        <v/>
      </c>
      <c r="X365" s="476" t="str">
        <f>IF($AC$365="","",$X$360)</f>
        <v/>
      </c>
      <c r="Y365" s="477" t="str">
        <f>IF($X$365="","",$Y$360)</f>
        <v/>
      </c>
      <c r="Z365" s="477" t="str">
        <f>IF($X$365="","",$Z$360)</f>
        <v/>
      </c>
      <c r="AA365" s="477" t="str">
        <f>IF($AC$365="","",ROW($A$365)-ROW($A$360))</f>
        <v/>
      </c>
      <c r="AB365" s="478"/>
      <c r="AC365" s="34"/>
      <c r="AD365" s="356"/>
      <c r="AE365" s="479"/>
      <c r="AF365" s="475"/>
      <c r="AG365" s="480" t="str">
        <f t="shared" si="100"/>
        <v/>
      </c>
      <c r="AH365" s="481" t="str">
        <f t="shared" si="101"/>
        <v/>
      </c>
      <c r="AI365" s="477" t="str">
        <f>IF($AC$365="","",IFERROR(INDEX($AZ$74:$AZ$119,MATCH($AH$365,$AY$74:$AY$119,0)),"AUTRE"))</f>
        <v/>
      </c>
      <c r="AJ365" s="482" t="str">
        <f>IF($AC$365="","",IFERROR(INDEX($BA$74:$BA$119,MATCH($AH$365,$AY$74:$AY$119,0)),1))</f>
        <v/>
      </c>
      <c r="AK365" s="482" t="str">
        <f t="shared" si="102"/>
        <v/>
      </c>
      <c r="AL365" s="477" t="str">
        <f>IF($AC$365="","",IFERROR(INDEX($BB$74:$BB$119,MATCH($AH$365,$AY$74:$AY$119,0)),$AH$365))</f>
        <v/>
      </c>
      <c r="AM365" s="483" t="str">
        <f t="shared" si="103"/>
        <v/>
      </c>
      <c r="AN365" s="484" t="str">
        <f t="shared" si="104"/>
        <v/>
      </c>
      <c r="AO365" s="473" t="str">
        <f t="shared" si="105"/>
        <v/>
      </c>
      <c r="AP365" s="473" t="str">
        <f t="shared" si="106"/>
        <v/>
      </c>
      <c r="AQ365" s="473" t="str">
        <f t="shared" si="107"/>
        <v/>
      </c>
      <c r="AR365" s="473" t="str">
        <f t="shared" si="108"/>
        <v/>
      </c>
      <c r="AS365" s="473" t="str">
        <f t="shared" si="109"/>
        <v/>
      </c>
      <c r="AT365" s="473" t="str">
        <f t="shared" si="110"/>
        <v/>
      </c>
      <c r="AU365" s="473" t="str">
        <f t="shared" si="111"/>
        <v/>
      </c>
      <c r="AZ365" s="31" t="s">
        <v>20</v>
      </c>
      <c r="BB365" s="499"/>
      <c r="BC365" s="271"/>
      <c r="BD365" s="279">
        <v>1</v>
      </c>
      <c r="BE365" s="271"/>
      <c r="BF365" s="271"/>
      <c r="BG365" s="271"/>
      <c r="BH365" s="271"/>
      <c r="BI365" s="271"/>
      <c r="BJ365" s="271"/>
      <c r="BK365" s="271"/>
      <c r="BL365" s="271"/>
    </row>
    <row r="366" spans="18:64" ht="21" customHeight="1" x14ac:dyDescent="0.25">
      <c r="R366" s="34" t="s">
        <v>471</v>
      </c>
      <c r="S366" s="451"/>
      <c r="T366" s="28" t="s">
        <v>22</v>
      </c>
      <c r="V366" s="475">
        <v>9</v>
      </c>
      <c r="W366" s="475" t="str">
        <f>IF($AC$366="","",$W$360)</f>
        <v/>
      </c>
      <c r="X366" s="476" t="str">
        <f>IF($AC$366="","",$X$360)</f>
        <v/>
      </c>
      <c r="Y366" s="477" t="str">
        <f>IF($X$366="","",$Y$360)</f>
        <v/>
      </c>
      <c r="Z366" s="477" t="str">
        <f>IF($X$366="","",$Z$360)</f>
        <v/>
      </c>
      <c r="AA366" s="477" t="str">
        <f>IF($AC$366="","",ROW($A$366)-ROW($A$360))</f>
        <v/>
      </c>
      <c r="AB366" s="478"/>
      <c r="AC366" s="34"/>
      <c r="AD366" s="356"/>
      <c r="AE366" s="479"/>
      <c r="AF366" s="475"/>
      <c r="AG366" s="480" t="str">
        <f t="shared" si="100"/>
        <v/>
      </c>
      <c r="AH366" s="481" t="str">
        <f t="shared" si="101"/>
        <v/>
      </c>
      <c r="AI366" s="477" t="str">
        <f>IF($AC$366="","",IFERROR(INDEX($AZ$74:$AZ$119,MATCH($AH$366,$AY$74:$AY$119,0)),"AUTRE"))</f>
        <v/>
      </c>
      <c r="AJ366" s="482" t="str">
        <f>IF($AC$366="","",IFERROR(INDEX($BA$74:$BA$119,MATCH($AH$366,$AY$74:$AY$119,0)),1))</f>
        <v/>
      </c>
      <c r="AK366" s="482" t="str">
        <f t="shared" si="102"/>
        <v/>
      </c>
      <c r="AL366" s="477" t="str">
        <f>IF($AC$366="","",IFERROR(INDEX($BB$74:$BB$119,MATCH($AH$366,$AY$74:$AY$119,0)),$AH$366))</f>
        <v/>
      </c>
      <c r="AM366" s="483" t="str">
        <f t="shared" si="103"/>
        <v/>
      </c>
      <c r="AN366" s="484" t="str">
        <f t="shared" si="104"/>
        <v/>
      </c>
      <c r="AO366" s="473" t="str">
        <f t="shared" si="105"/>
        <v/>
      </c>
      <c r="AP366" s="473" t="str">
        <f t="shared" si="106"/>
        <v/>
      </c>
      <c r="AQ366" s="473" t="str">
        <f t="shared" si="107"/>
        <v/>
      </c>
      <c r="AR366" s="473" t="str">
        <f t="shared" si="108"/>
        <v/>
      </c>
      <c r="AS366" s="473" t="str">
        <f t="shared" si="109"/>
        <v/>
      </c>
      <c r="AT366" s="473" t="str">
        <f t="shared" si="110"/>
        <v/>
      </c>
      <c r="AU366" s="473" t="str">
        <f t="shared" si="111"/>
        <v/>
      </c>
      <c r="AZ366" s="31" t="s">
        <v>304</v>
      </c>
      <c r="BA366" s="25" t="s">
        <v>6115</v>
      </c>
      <c r="BB366" s="499"/>
      <c r="BC366" s="271"/>
      <c r="BD366" s="279">
        <v>1</v>
      </c>
      <c r="BE366" s="271"/>
      <c r="BF366" s="271"/>
      <c r="BG366" s="271"/>
      <c r="BH366" s="271"/>
      <c r="BI366" s="271"/>
      <c r="BJ366" s="271"/>
      <c r="BK366" s="271"/>
      <c r="BL366" s="271"/>
    </row>
    <row r="367" spans="18:64" ht="21" customHeight="1" x14ac:dyDescent="0.25">
      <c r="R367" s="34" t="s">
        <v>472</v>
      </c>
      <c r="S367" s="451"/>
      <c r="T367" s="28" t="s">
        <v>23</v>
      </c>
      <c r="V367" s="475">
        <v>9</v>
      </c>
      <c r="W367" s="475" t="str">
        <f>IF($AC$367="","",$W$360)</f>
        <v/>
      </c>
      <c r="X367" s="476" t="str">
        <f>IF($AC$367="","",$X$360)</f>
        <v/>
      </c>
      <c r="Y367" s="477" t="str">
        <f>IF($X$367="","",$Y$360)</f>
        <v/>
      </c>
      <c r="Z367" s="477" t="str">
        <f>IF($X$367="","",$Z$360)</f>
        <v/>
      </c>
      <c r="AA367" s="477" t="str">
        <f>IF($AC$367="","",ROW($A$367)-ROW($A$360))</f>
        <v/>
      </c>
      <c r="AB367" s="478"/>
      <c r="AC367" s="34"/>
      <c r="AD367" s="356"/>
      <c r="AE367" s="479"/>
      <c r="AF367" s="475"/>
      <c r="AG367" s="480" t="str">
        <f t="shared" si="100"/>
        <v/>
      </c>
      <c r="AH367" s="481" t="str">
        <f t="shared" si="101"/>
        <v/>
      </c>
      <c r="AI367" s="477" t="str">
        <f>IF($AC$367="","",IFERROR(INDEX($AZ$74:$AZ$119,MATCH($AH$367,$AY$74:$AY$119,0)),"AUTRE"))</f>
        <v/>
      </c>
      <c r="AJ367" s="482" t="str">
        <f>IF($AC$367="","",IFERROR(INDEX($BA$74:$BA$119,MATCH($AH$367,$AY$74:$AY$119,0)),1))</f>
        <v/>
      </c>
      <c r="AK367" s="482" t="str">
        <f t="shared" si="102"/>
        <v/>
      </c>
      <c r="AL367" s="477" t="str">
        <f>IF($AC$367="","",IFERROR(INDEX($BB$74:$BB$119,MATCH($AH$367,$AY$74:$AY$119,0)),$AH$367))</f>
        <v/>
      </c>
      <c r="AM367" s="483" t="str">
        <f t="shared" si="103"/>
        <v/>
      </c>
      <c r="AN367" s="484" t="str">
        <f t="shared" si="104"/>
        <v/>
      </c>
      <c r="AO367" s="473" t="str">
        <f t="shared" si="105"/>
        <v/>
      </c>
      <c r="AP367" s="473" t="str">
        <f t="shared" si="106"/>
        <v/>
      </c>
      <c r="AQ367" s="473" t="str">
        <f t="shared" si="107"/>
        <v/>
      </c>
      <c r="AR367" s="473" t="str">
        <f t="shared" si="108"/>
        <v/>
      </c>
      <c r="AS367" s="473" t="str">
        <f t="shared" si="109"/>
        <v/>
      </c>
      <c r="AT367" s="473" t="str">
        <f t="shared" si="110"/>
        <v/>
      </c>
      <c r="AU367" s="473" t="str">
        <f t="shared" si="111"/>
        <v/>
      </c>
      <c r="AZ367" s="31" t="s">
        <v>352</v>
      </c>
      <c r="BA367" s="34" t="s">
        <v>471</v>
      </c>
      <c r="BB367" s="499"/>
      <c r="BC367" s="271"/>
      <c r="BD367" s="279">
        <v>1</v>
      </c>
      <c r="BE367" s="271"/>
      <c r="BF367" s="271"/>
      <c r="BG367" s="271"/>
      <c r="BH367" s="271"/>
      <c r="BI367" s="271"/>
      <c r="BJ367" s="271"/>
      <c r="BK367" s="271"/>
      <c r="BL367" s="271"/>
    </row>
    <row r="368" spans="18:64" ht="21" customHeight="1" x14ac:dyDescent="0.25">
      <c r="R368" s="34" t="s">
        <v>6112</v>
      </c>
      <c r="S368" s="451"/>
      <c r="T368" s="28" t="s">
        <v>24</v>
      </c>
      <c r="V368" s="475">
        <v>9</v>
      </c>
      <c r="W368" s="475" t="str">
        <f>IF($AC$368="","",$W$360)</f>
        <v/>
      </c>
      <c r="X368" s="476" t="str">
        <f>IF($AC$368="","",$X$360)</f>
        <v/>
      </c>
      <c r="Y368" s="477" t="str">
        <f>IF($X$368="","",$Y$360)</f>
        <v/>
      </c>
      <c r="Z368" s="477" t="str">
        <f>IF($X$368="","",$Z$360)</f>
        <v/>
      </c>
      <c r="AA368" s="477" t="str">
        <f>IF($AC$368="","",ROW($A$368)-ROW($A$360))</f>
        <v/>
      </c>
      <c r="AB368" s="478"/>
      <c r="AC368" s="34"/>
      <c r="AD368" s="356"/>
      <c r="AE368" s="479"/>
      <c r="AF368" s="475"/>
      <c r="AG368" s="480" t="str">
        <f t="shared" si="100"/>
        <v/>
      </c>
      <c r="AH368" s="481" t="str">
        <f t="shared" si="101"/>
        <v/>
      </c>
      <c r="AI368" s="477" t="str">
        <f>IF($AC$368="","",IFERROR(INDEX($AZ$74:$AZ$119,MATCH($AH$368,$AY$74:$AY$119,0)),"AUTRE"))</f>
        <v/>
      </c>
      <c r="AJ368" s="482" t="str">
        <f>IF($AC$368="","",IFERROR(INDEX($BA$74:$BA$119,MATCH($AH$368,$AY$74:$AY$119,0)),1))</f>
        <v/>
      </c>
      <c r="AK368" s="482" t="str">
        <f t="shared" si="102"/>
        <v/>
      </c>
      <c r="AL368" s="477" t="str">
        <f>IF($AC$368="","",IFERROR(INDEX($BB$74:$BB$119,MATCH($AH$368,$AY$74:$AY$119,0)),$AH$368))</f>
        <v/>
      </c>
      <c r="AM368" s="483" t="str">
        <f t="shared" si="103"/>
        <v/>
      </c>
      <c r="AN368" s="484" t="str">
        <f t="shared" si="104"/>
        <v/>
      </c>
      <c r="AO368" s="473" t="str">
        <f t="shared" si="105"/>
        <v/>
      </c>
      <c r="AP368" s="473" t="str">
        <f t="shared" si="106"/>
        <v/>
      </c>
      <c r="AQ368" s="473" t="str">
        <f t="shared" si="107"/>
        <v/>
      </c>
      <c r="AR368" s="473" t="str">
        <f t="shared" si="108"/>
        <v/>
      </c>
      <c r="AS368" s="473" t="str">
        <f t="shared" si="109"/>
        <v/>
      </c>
      <c r="AT368" s="473" t="str">
        <f t="shared" si="110"/>
        <v/>
      </c>
      <c r="AU368" s="473" t="str">
        <f t="shared" si="111"/>
        <v/>
      </c>
      <c r="AZ368" s="31" t="s">
        <v>27</v>
      </c>
      <c r="BA368" s="34" t="s">
        <v>472</v>
      </c>
      <c r="BB368" s="499"/>
      <c r="BC368" s="271"/>
      <c r="BD368" s="279">
        <v>1</v>
      </c>
      <c r="BE368" s="271"/>
      <c r="BF368" s="271"/>
      <c r="BG368" s="271"/>
      <c r="BH368" s="271"/>
      <c r="BI368" s="271"/>
      <c r="BJ368" s="271"/>
      <c r="BK368" s="271"/>
      <c r="BL368" s="271"/>
    </row>
    <row r="369" spans="18:64" ht="21" customHeight="1" x14ac:dyDescent="0.25">
      <c r="R369" s="25" t="s">
        <v>6116</v>
      </c>
      <c r="S369" s="451"/>
      <c r="T369" s="29" t="s">
        <v>9</v>
      </c>
      <c r="V369" s="475">
        <v>9</v>
      </c>
      <c r="W369" s="475" t="str">
        <f>IF($AC$369="","",$W$360)</f>
        <v/>
      </c>
      <c r="X369" s="476" t="str">
        <f>IF($AC$369="","",$X$360)</f>
        <v/>
      </c>
      <c r="Y369" s="477" t="str">
        <f>IF($X$369="","",$Y$360)</f>
        <v/>
      </c>
      <c r="Z369" s="477" t="str">
        <f>IF($X$369="","",$Z$360)</f>
        <v/>
      </c>
      <c r="AA369" s="477" t="str">
        <f>IF($AC$369="","",ROW($A$369)-ROW($A$360))</f>
        <v/>
      </c>
      <c r="AB369" s="478"/>
      <c r="AC369" s="34"/>
      <c r="AD369" s="356"/>
      <c r="AE369" s="479"/>
      <c r="AF369" s="475"/>
      <c r="AG369" s="480" t="str">
        <f t="shared" si="100"/>
        <v/>
      </c>
      <c r="AH369" s="481" t="str">
        <f t="shared" si="101"/>
        <v/>
      </c>
      <c r="AI369" s="477" t="str">
        <f>IF($AC$369="","",IFERROR(INDEX($AZ$74:$AZ$119,MATCH($AH$369,$AY$74:$AY$119,0)),"AUTRE"))</f>
        <v/>
      </c>
      <c r="AJ369" s="482" t="str">
        <f>IF($AC$369="","",IFERROR(INDEX($BA$74:$BA$119,MATCH($AH$369,$AY$74:$AY$119,0)),1))</f>
        <v/>
      </c>
      <c r="AK369" s="482" t="str">
        <f t="shared" si="102"/>
        <v/>
      </c>
      <c r="AL369" s="477" t="str">
        <f>IF($AC$369="","",IFERROR(INDEX($BB$74:$BB$119,MATCH($AH$369,$AY$74:$AY$119,0)),$AH$369))</f>
        <v/>
      </c>
      <c r="AM369" s="483" t="str">
        <f t="shared" si="103"/>
        <v/>
      </c>
      <c r="AN369" s="484" t="str">
        <f t="shared" si="104"/>
        <v/>
      </c>
      <c r="AO369" s="473" t="str">
        <f t="shared" si="105"/>
        <v/>
      </c>
      <c r="AP369" s="473" t="str">
        <f t="shared" si="106"/>
        <v/>
      </c>
      <c r="AQ369" s="473" t="str">
        <f t="shared" si="107"/>
        <v/>
      </c>
      <c r="AR369" s="473" t="str">
        <f t="shared" si="108"/>
        <v/>
      </c>
      <c r="AS369" s="473" t="str">
        <f t="shared" si="109"/>
        <v/>
      </c>
      <c r="AT369" s="473" t="str">
        <f t="shared" si="110"/>
        <v/>
      </c>
      <c r="AU369" s="473" t="str">
        <f t="shared" si="111"/>
        <v/>
      </c>
      <c r="AZ369" s="31" t="s">
        <v>28</v>
      </c>
      <c r="BA369" s="34" t="s">
        <v>6112</v>
      </c>
      <c r="BB369" s="499"/>
      <c r="BC369" s="271"/>
      <c r="BD369" s="279">
        <v>1</v>
      </c>
      <c r="BE369" s="271"/>
      <c r="BF369" s="271"/>
      <c r="BG369" s="271"/>
      <c r="BH369" s="271"/>
      <c r="BI369" s="271"/>
      <c r="BJ369" s="271"/>
      <c r="BK369" s="271"/>
      <c r="BL369" s="271"/>
    </row>
    <row r="370" spans="18:64" ht="21" customHeight="1" x14ac:dyDescent="0.25">
      <c r="R370" s="34" t="s">
        <v>6117</v>
      </c>
      <c r="S370" s="451"/>
      <c r="T370" s="30" t="s">
        <v>10</v>
      </c>
      <c r="V370" s="475">
        <v>9</v>
      </c>
      <c r="W370" s="475" t="str">
        <f>IF($AC$370="","",$W$360)</f>
        <v/>
      </c>
      <c r="X370" s="476" t="str">
        <f>IF($AC$370="","",$X$360)</f>
        <v/>
      </c>
      <c r="Y370" s="477" t="str">
        <f>IF($X$370="","",$Y$360)</f>
        <v/>
      </c>
      <c r="Z370" s="477" t="str">
        <f>IF($X$370="","",$Z$360)</f>
        <v/>
      </c>
      <c r="AA370" s="477" t="str">
        <f>IF($AC$370="","",ROW($A$370)-ROW($A$360))</f>
        <v/>
      </c>
      <c r="AB370" s="478"/>
      <c r="AC370" s="34"/>
      <c r="AD370" s="356"/>
      <c r="AE370" s="479"/>
      <c r="AF370" s="475"/>
      <c r="AG370" s="480" t="str">
        <f t="shared" si="100"/>
        <v/>
      </c>
      <c r="AH370" s="481" t="str">
        <f t="shared" si="101"/>
        <v/>
      </c>
      <c r="AI370" s="477" t="str">
        <f>IF($AC$370="","",IFERROR(INDEX($AZ$74:$AZ$119,MATCH($AH$370,$AY$74:$AY$119,0)),"AUTRE"))</f>
        <v/>
      </c>
      <c r="AJ370" s="482" t="str">
        <f>IF($AC$370="","",IFERROR(INDEX($BA$74:$BA$119,MATCH($AH$370,$AY$74:$AY$119,0)),1))</f>
        <v/>
      </c>
      <c r="AK370" s="482" t="str">
        <f t="shared" si="102"/>
        <v/>
      </c>
      <c r="AL370" s="477" t="str">
        <f>IF($AC$370="","",IFERROR(INDEX($BB$74:$BB$119,MATCH($AH$370,$AY$74:$AY$119,0)),$AH$370))</f>
        <v/>
      </c>
      <c r="AM370" s="483" t="str">
        <f t="shared" si="103"/>
        <v/>
      </c>
      <c r="AN370" s="484" t="str">
        <f t="shared" si="104"/>
        <v/>
      </c>
      <c r="AO370" s="473" t="str">
        <f t="shared" si="105"/>
        <v/>
      </c>
      <c r="AP370" s="473" t="str">
        <f t="shared" si="106"/>
        <v/>
      </c>
      <c r="AQ370" s="473" t="str">
        <f t="shared" si="107"/>
        <v/>
      </c>
      <c r="AR370" s="473" t="str">
        <f t="shared" si="108"/>
        <v/>
      </c>
      <c r="AS370" s="473" t="str">
        <f t="shared" si="109"/>
        <v/>
      </c>
      <c r="AT370" s="473" t="str">
        <f t="shared" si="110"/>
        <v/>
      </c>
      <c r="AU370" s="473" t="str">
        <f t="shared" si="111"/>
        <v/>
      </c>
      <c r="AZ370" s="31" t="s">
        <v>29</v>
      </c>
      <c r="BA370" s="25" t="s">
        <v>6116</v>
      </c>
      <c r="BB370" s="499"/>
      <c r="BC370" s="271"/>
      <c r="BD370" s="279">
        <v>1</v>
      </c>
      <c r="BE370" s="271"/>
      <c r="BF370" s="271"/>
      <c r="BG370" s="271"/>
      <c r="BH370" s="271"/>
      <c r="BI370" s="271"/>
      <c r="BJ370" s="271"/>
      <c r="BK370" s="271"/>
      <c r="BL370" s="271"/>
    </row>
    <row r="371" spans="18:64" ht="21" customHeight="1" x14ac:dyDescent="0.25">
      <c r="R371" s="34" t="s">
        <v>469</v>
      </c>
      <c r="S371" s="451"/>
      <c r="T371" s="30" t="s">
        <v>11</v>
      </c>
      <c r="V371" s="475">
        <v>9</v>
      </c>
      <c r="W371" s="475" t="str">
        <f>IF($AC$371="","",$W$360)</f>
        <v/>
      </c>
      <c r="X371" s="476" t="str">
        <f>IF($AC$371="","",$X$360)</f>
        <v/>
      </c>
      <c r="Y371" s="477" t="str">
        <f>IF($X$371="","",$Y$360)</f>
        <v/>
      </c>
      <c r="Z371" s="477" t="str">
        <f>IF($X$371="","",$Z$360)</f>
        <v/>
      </c>
      <c r="AA371" s="477" t="str">
        <f>IF($AC$371="","",ROW($A$371)-ROW($A$360))</f>
        <v/>
      </c>
      <c r="AB371" s="478"/>
      <c r="AC371" s="34"/>
      <c r="AD371" s="356"/>
      <c r="AE371" s="479"/>
      <c r="AF371" s="475"/>
      <c r="AG371" s="480" t="str">
        <f t="shared" si="100"/>
        <v/>
      </c>
      <c r="AH371" s="481" t="str">
        <f t="shared" si="101"/>
        <v/>
      </c>
      <c r="AI371" s="477" t="str">
        <f>IF($AC$371="","",IFERROR(INDEX($AZ$74:$AZ$119,MATCH($AH$371,$AY$74:$AY$119,0)),"AUTRE"))</f>
        <v/>
      </c>
      <c r="AJ371" s="482" t="str">
        <f>IF($AC$371="","",IFERROR(INDEX($BA$74:$BA$119,MATCH($AH$371,$AY$74:$AY$119,0)),1))</f>
        <v/>
      </c>
      <c r="AK371" s="482" t="str">
        <f t="shared" si="102"/>
        <v/>
      </c>
      <c r="AL371" s="477" t="str">
        <f>IF($AC$371="","",IFERROR(INDEX($BB$74:$BB$119,MATCH($AH$371,$AY$74:$AY$119,0)),$AH$371))</f>
        <v/>
      </c>
      <c r="AM371" s="483" t="str">
        <f t="shared" si="103"/>
        <v/>
      </c>
      <c r="AN371" s="484" t="str">
        <f t="shared" si="104"/>
        <v/>
      </c>
      <c r="AO371" s="473" t="str">
        <f t="shared" si="105"/>
        <v/>
      </c>
      <c r="AP371" s="473" t="str">
        <f t="shared" si="106"/>
        <v/>
      </c>
      <c r="AQ371" s="473" t="str">
        <f t="shared" si="107"/>
        <v/>
      </c>
      <c r="AR371" s="473" t="str">
        <f t="shared" si="108"/>
        <v/>
      </c>
      <c r="AS371" s="473" t="str">
        <f t="shared" si="109"/>
        <v/>
      </c>
      <c r="AT371" s="473" t="str">
        <f t="shared" si="110"/>
        <v/>
      </c>
      <c r="AU371" s="473" t="str">
        <f t="shared" si="111"/>
        <v/>
      </c>
      <c r="AZ371" s="31" t="s">
        <v>30</v>
      </c>
      <c r="BA371" s="34" t="s">
        <v>6117</v>
      </c>
      <c r="BB371" s="499"/>
      <c r="BC371" s="271"/>
      <c r="BD371" s="279">
        <v>1</v>
      </c>
      <c r="BE371" s="271"/>
      <c r="BF371" s="271"/>
      <c r="BG371" s="271"/>
      <c r="BH371" s="271"/>
      <c r="BI371" s="271"/>
      <c r="BJ371" s="271"/>
      <c r="BK371" s="271"/>
      <c r="BL371" s="271"/>
    </row>
    <row r="372" spans="18:64" ht="21" customHeight="1" x14ac:dyDescent="0.25">
      <c r="R372" s="34" t="s">
        <v>6118</v>
      </c>
      <c r="S372" s="451"/>
      <c r="T372" s="30" t="s">
        <v>12</v>
      </c>
      <c r="V372" s="475">
        <v>9</v>
      </c>
      <c r="W372" s="475" t="str">
        <f>IF($AC$372="","",$W$360)</f>
        <v/>
      </c>
      <c r="X372" s="476" t="str">
        <f>IF($AC$372="","",$X$360)</f>
        <v/>
      </c>
      <c r="Y372" s="477" t="str">
        <f>IF($X$372="","",$Y$360)</f>
        <v/>
      </c>
      <c r="Z372" s="477" t="str">
        <f>IF($X$372="","",$Z$360)</f>
        <v/>
      </c>
      <c r="AA372" s="477" t="str">
        <f>IF($AC$372="","",ROW($A$372)-ROW($A$360))</f>
        <v/>
      </c>
      <c r="AB372" s="478"/>
      <c r="AC372" s="34"/>
      <c r="AD372" s="356"/>
      <c r="AE372" s="479"/>
      <c r="AF372" s="475"/>
      <c r="AG372" s="480" t="str">
        <f t="shared" si="100"/>
        <v/>
      </c>
      <c r="AH372" s="481" t="str">
        <f t="shared" si="101"/>
        <v/>
      </c>
      <c r="AI372" s="477" t="str">
        <f>IF($AC$372="","",IFERROR(INDEX($AZ$74:$AZ$119,MATCH($AH$372,$AY$74:$AY$119,0)),"AUTRE"))</f>
        <v/>
      </c>
      <c r="AJ372" s="482" t="str">
        <f>IF($AC$372="","",IFERROR(INDEX($BA$74:$BA$119,MATCH($AH$372,$AY$74:$AY$119,0)),1))</f>
        <v/>
      </c>
      <c r="AK372" s="482" t="str">
        <f t="shared" si="102"/>
        <v/>
      </c>
      <c r="AL372" s="477" t="str">
        <f>IF($AC$372="","",IFERROR(INDEX($BB$74:$BB$119,MATCH($AH$372,$AY$74:$AY$119,0)),$AH$372))</f>
        <v/>
      </c>
      <c r="AM372" s="483" t="str">
        <f t="shared" si="103"/>
        <v/>
      </c>
      <c r="AN372" s="484" t="str">
        <f t="shared" si="104"/>
        <v/>
      </c>
      <c r="AO372" s="473" t="str">
        <f t="shared" si="105"/>
        <v/>
      </c>
      <c r="AP372" s="473" t="str">
        <f t="shared" si="106"/>
        <v/>
      </c>
      <c r="AQ372" s="473" t="str">
        <f t="shared" si="107"/>
        <v/>
      </c>
      <c r="AR372" s="473" t="str">
        <f t="shared" si="108"/>
        <v/>
      </c>
      <c r="AS372" s="473" t="str">
        <f t="shared" si="109"/>
        <v/>
      </c>
      <c r="AT372" s="473" t="str">
        <f t="shared" si="110"/>
        <v/>
      </c>
      <c r="AU372" s="473" t="str">
        <f t="shared" si="111"/>
        <v/>
      </c>
      <c r="AZ372" s="32" t="s">
        <v>33</v>
      </c>
      <c r="BA372" s="34" t="s">
        <v>469</v>
      </c>
      <c r="BB372" s="499"/>
      <c r="BC372" s="271"/>
      <c r="BD372" s="279">
        <v>1</v>
      </c>
      <c r="BE372" s="271"/>
      <c r="BF372" s="271"/>
      <c r="BG372" s="271"/>
      <c r="BH372" s="271"/>
      <c r="BI372" s="271"/>
      <c r="BJ372" s="271"/>
      <c r="BK372" s="271"/>
      <c r="BL372" s="271"/>
    </row>
    <row r="373" spans="18:64" ht="21" customHeight="1" x14ac:dyDescent="0.25">
      <c r="R373" s="34" t="s">
        <v>492</v>
      </c>
      <c r="S373" s="451"/>
      <c r="T373" s="31" t="s">
        <v>16</v>
      </c>
      <c r="V373" s="475">
        <v>9</v>
      </c>
      <c r="W373" s="475" t="str">
        <f>IF($AC$373="","",$W$360)</f>
        <v/>
      </c>
      <c r="X373" s="476" t="str">
        <f>IF($AC$373="","",$X$360)</f>
        <v/>
      </c>
      <c r="Y373" s="477" t="str">
        <f>IF($X$373="","",$Y$360)</f>
        <v/>
      </c>
      <c r="Z373" s="477" t="str">
        <f>IF($X$373="","",$Z$360)</f>
        <v/>
      </c>
      <c r="AA373" s="477" t="str">
        <f>IF($AC$373="","",ROW($A$373)-ROW($A$360))</f>
        <v/>
      </c>
      <c r="AB373" s="478"/>
      <c r="AC373" s="34"/>
      <c r="AD373" s="356"/>
      <c r="AE373" s="479"/>
      <c r="AF373" s="475"/>
      <c r="AG373" s="480" t="str">
        <f t="shared" si="100"/>
        <v/>
      </c>
      <c r="AH373" s="481" t="str">
        <f t="shared" si="101"/>
        <v/>
      </c>
      <c r="AI373" s="477" t="str">
        <f>IF($AC$373="","",IFERROR(INDEX($AZ$74:$AZ$119,MATCH($AH$373,$AY$74:$AY$119,0)),"AUTRE"))</f>
        <v/>
      </c>
      <c r="AJ373" s="482" t="str">
        <f>IF($AC$373="","",IFERROR(INDEX($BA$74:$BA$119,MATCH($AH$373,$AY$74:$AY$119,0)),1))</f>
        <v/>
      </c>
      <c r="AK373" s="482" t="str">
        <f t="shared" si="102"/>
        <v/>
      </c>
      <c r="AL373" s="477" t="str">
        <f>IF($AC$373="","",IFERROR(INDEX($BB$74:$BB$119,MATCH($AH$373,$AY$74:$AY$119,0)),$AH$373))</f>
        <v/>
      </c>
      <c r="AM373" s="483" t="str">
        <f t="shared" si="103"/>
        <v/>
      </c>
      <c r="AN373" s="484" t="str">
        <f t="shared" si="104"/>
        <v/>
      </c>
      <c r="AO373" s="473" t="str">
        <f t="shared" si="105"/>
        <v/>
      </c>
      <c r="AP373" s="473" t="str">
        <f t="shared" si="106"/>
        <v/>
      </c>
      <c r="AQ373" s="473" t="str">
        <f t="shared" si="107"/>
        <v/>
      </c>
      <c r="AR373" s="473" t="str">
        <f t="shared" si="108"/>
        <v/>
      </c>
      <c r="AS373" s="473" t="str">
        <f t="shared" si="109"/>
        <v/>
      </c>
      <c r="AT373" s="473" t="str">
        <f t="shared" si="110"/>
        <v/>
      </c>
      <c r="AU373" s="473" t="str">
        <f t="shared" si="111"/>
        <v/>
      </c>
      <c r="AZ373" s="32" t="s">
        <v>8125</v>
      </c>
      <c r="BA373" s="34" t="s">
        <v>6118</v>
      </c>
      <c r="BB373" s="499"/>
      <c r="BC373" s="271"/>
      <c r="BD373" s="279">
        <v>1</v>
      </c>
      <c r="BE373" s="271"/>
      <c r="BF373" s="271"/>
      <c r="BG373" s="271"/>
      <c r="BH373" s="271"/>
      <c r="BI373" s="271"/>
      <c r="BJ373" s="271"/>
      <c r="BK373" s="271"/>
      <c r="BL373" s="271"/>
    </row>
    <row r="374" spans="18:64" ht="21" customHeight="1" x14ac:dyDescent="0.25">
      <c r="R374" s="34" t="s">
        <v>458</v>
      </c>
      <c r="S374" s="451"/>
      <c r="T374" s="31" t="s">
        <v>17</v>
      </c>
      <c r="V374" s="475">
        <v>9</v>
      </c>
      <c r="W374" s="475" t="str">
        <f>IF($AC$374="","",$W$360)</f>
        <v/>
      </c>
      <c r="X374" s="476" t="str">
        <f>IF($AC$374="","",$X$360)</f>
        <v/>
      </c>
      <c r="Y374" s="477" t="str">
        <f>IF($X$374="","",$Y$360)</f>
        <v/>
      </c>
      <c r="Z374" s="477" t="str">
        <f>IF($X$374="","",$Z$360)</f>
        <v/>
      </c>
      <c r="AA374" s="477" t="str">
        <f>IF($AC$374="","",ROW($A$374)-ROW($A$360))</f>
        <v/>
      </c>
      <c r="AB374" s="478"/>
      <c r="AC374" s="34"/>
      <c r="AD374" s="356"/>
      <c r="AE374" s="479"/>
      <c r="AF374" s="475"/>
      <c r="AG374" s="480" t="str">
        <f t="shared" si="100"/>
        <v/>
      </c>
      <c r="AH374" s="481" t="str">
        <f t="shared" si="101"/>
        <v/>
      </c>
      <c r="AI374" s="477" t="str">
        <f>IF($AC$374="","",IFERROR(INDEX($AZ$74:$AZ$119,MATCH($AH$374,$AY$74:$AY$119,0)),"AUTRE"))</f>
        <v/>
      </c>
      <c r="AJ374" s="482" t="str">
        <f>IF($AC$374="","",IFERROR(INDEX($BA$74:$BA$119,MATCH($AH$374,$AY$74:$AY$119,0)),1))</f>
        <v/>
      </c>
      <c r="AK374" s="482" t="str">
        <f t="shared" si="102"/>
        <v/>
      </c>
      <c r="AL374" s="477" t="str">
        <f>IF($AC$374="","",IFERROR(INDEX($BB$74:$BB$119,MATCH($AH$374,$AY$74:$AY$119,0)),$AH$374))</f>
        <v/>
      </c>
      <c r="AM374" s="483" t="str">
        <f t="shared" si="103"/>
        <v/>
      </c>
      <c r="AN374" s="484" t="str">
        <f t="shared" si="104"/>
        <v/>
      </c>
      <c r="AO374" s="473" t="str">
        <f t="shared" si="105"/>
        <v/>
      </c>
      <c r="AP374" s="473" t="str">
        <f t="shared" si="106"/>
        <v/>
      </c>
      <c r="AQ374" s="473" t="str">
        <f t="shared" si="107"/>
        <v/>
      </c>
      <c r="AR374" s="473" t="str">
        <f t="shared" si="108"/>
        <v/>
      </c>
      <c r="AS374" s="473" t="str">
        <f t="shared" si="109"/>
        <v/>
      </c>
      <c r="AT374" s="473" t="str">
        <f t="shared" si="110"/>
        <v/>
      </c>
      <c r="AU374" s="473" t="str">
        <f t="shared" si="111"/>
        <v/>
      </c>
      <c r="AZ374" s="32" t="s">
        <v>8127</v>
      </c>
      <c r="BA374" s="34" t="s">
        <v>492</v>
      </c>
      <c r="BB374" s="499"/>
      <c r="BC374" s="271"/>
      <c r="BD374" s="279">
        <v>1</v>
      </c>
      <c r="BE374" s="271"/>
      <c r="BF374" s="271"/>
      <c r="BG374" s="271"/>
      <c r="BH374" s="271"/>
      <c r="BI374" s="271"/>
      <c r="BJ374" s="271"/>
      <c r="BK374" s="271"/>
      <c r="BL374" s="271"/>
    </row>
    <row r="375" spans="18:64" ht="21" customHeight="1" x14ac:dyDescent="0.25">
      <c r="R375" s="490"/>
      <c r="S375" s="451"/>
      <c r="T375" s="31" t="s">
        <v>18</v>
      </c>
      <c r="V375" s="475">
        <v>9</v>
      </c>
      <c r="W375" s="475" t="str">
        <f>IF($AC$375="","",$W$360)</f>
        <v/>
      </c>
      <c r="X375" s="476" t="str">
        <f>IF($AC$375="","",$X$360)</f>
        <v/>
      </c>
      <c r="Y375" s="477" t="str">
        <f>IF($X$375="","",$Y$360)</f>
        <v/>
      </c>
      <c r="Z375" s="477" t="str">
        <f>IF($X$375="","",$Z$360)</f>
        <v/>
      </c>
      <c r="AA375" s="477" t="str">
        <f>IF($AC$375="","",ROW($A$375)-ROW($A$360))</f>
        <v/>
      </c>
      <c r="AB375" s="478"/>
      <c r="AC375" s="34"/>
      <c r="AD375" s="356"/>
      <c r="AE375" s="479"/>
      <c r="AF375" s="475"/>
      <c r="AG375" s="480" t="str">
        <f t="shared" si="100"/>
        <v/>
      </c>
      <c r="AH375" s="481" t="str">
        <f t="shared" si="101"/>
        <v/>
      </c>
      <c r="AI375" s="477" t="str">
        <f>IF($AC$375="","",IFERROR(INDEX($AZ$74:$AZ$119,MATCH($AH$375,$AY$74:$AY$119,0)),"AUTRE"))</f>
        <v/>
      </c>
      <c r="AJ375" s="482" t="str">
        <f>IF($AC$375="","",IFERROR(INDEX($BA$74:$BA$119,MATCH($AH$375,$AY$74:$AY$119,0)),1))</f>
        <v/>
      </c>
      <c r="AK375" s="482" t="str">
        <f t="shared" si="102"/>
        <v/>
      </c>
      <c r="AL375" s="477" t="str">
        <f>IF($AC$375="","",IFERROR(INDEX($BB$74:$BB$119,MATCH($AH$375,$AY$74:$AY$119,0)),$AH$375))</f>
        <v/>
      </c>
      <c r="AM375" s="483" t="str">
        <f t="shared" si="103"/>
        <v/>
      </c>
      <c r="AN375" s="484" t="str">
        <f t="shared" si="104"/>
        <v/>
      </c>
      <c r="AO375" s="473" t="str">
        <f t="shared" si="105"/>
        <v/>
      </c>
      <c r="AP375" s="473" t="str">
        <f t="shared" si="106"/>
        <v/>
      </c>
      <c r="AQ375" s="473" t="str">
        <f t="shared" si="107"/>
        <v/>
      </c>
      <c r="AR375" s="473" t="str">
        <f t="shared" si="108"/>
        <v/>
      </c>
      <c r="AS375" s="473" t="str">
        <f t="shared" si="109"/>
        <v/>
      </c>
      <c r="AT375" s="473" t="str">
        <f t="shared" si="110"/>
        <v/>
      </c>
      <c r="AU375" s="473" t="str">
        <f t="shared" si="111"/>
        <v/>
      </c>
      <c r="AZ375" s="32" t="s">
        <v>320</v>
      </c>
      <c r="BA375" s="34" t="s">
        <v>458</v>
      </c>
      <c r="BB375" s="499"/>
      <c r="BC375" s="271"/>
      <c r="BD375" s="279">
        <v>1</v>
      </c>
      <c r="BE375" s="271"/>
      <c r="BF375" s="271"/>
      <c r="BG375" s="271"/>
      <c r="BH375" s="271"/>
      <c r="BI375" s="271"/>
      <c r="BJ375" s="271"/>
      <c r="BK375" s="271"/>
      <c r="BL375" s="271"/>
    </row>
    <row r="376" spans="18:64" ht="21" customHeight="1" x14ac:dyDescent="0.25">
      <c r="R376" s="25" t="s">
        <v>6119</v>
      </c>
      <c r="S376" s="451"/>
      <c r="T376" s="31" t="s">
        <v>19</v>
      </c>
      <c r="V376" s="475">
        <v>9</v>
      </c>
      <c r="W376" s="475" t="str">
        <f>IF($AC$376="","",$W$360)</f>
        <v/>
      </c>
      <c r="X376" s="476" t="str">
        <f>IF($AC$376="","",$X$360)</f>
        <v/>
      </c>
      <c r="Y376" s="477" t="str">
        <f>IF($X$376="","",$Y$360)</f>
        <v/>
      </c>
      <c r="Z376" s="477" t="str">
        <f>IF($X$376="","",$Z$360)</f>
        <v/>
      </c>
      <c r="AA376" s="477" t="str">
        <f>IF($AC$376="","",ROW($A$376)-ROW($A$360))</f>
        <v/>
      </c>
      <c r="AB376" s="478"/>
      <c r="AC376" s="34"/>
      <c r="AD376" s="356"/>
      <c r="AE376" s="479"/>
      <c r="AF376" s="475"/>
      <c r="AG376" s="480" t="str">
        <f t="shared" si="100"/>
        <v/>
      </c>
      <c r="AH376" s="481" t="str">
        <f t="shared" si="101"/>
        <v/>
      </c>
      <c r="AI376" s="477" t="str">
        <f>IF($AC$376="","",IFERROR(INDEX($AZ$74:$AZ$119,MATCH($AH$376,$AY$74:$AY$119,0)),"AUTRE"))</f>
        <v/>
      </c>
      <c r="AJ376" s="482" t="str">
        <f>IF($AC$376="","",IFERROR(INDEX($BA$74:$BA$119,MATCH($AH$376,$AY$74:$AY$119,0)),1))</f>
        <v/>
      </c>
      <c r="AK376" s="482" t="str">
        <f t="shared" si="102"/>
        <v/>
      </c>
      <c r="AL376" s="477" t="str">
        <f>IF($AC$376="","",IFERROR(INDEX($BB$74:$BB$119,MATCH($AH$376,$AY$74:$AY$119,0)),$AH$376))</f>
        <v/>
      </c>
      <c r="AM376" s="483" t="str">
        <f t="shared" si="103"/>
        <v/>
      </c>
      <c r="AN376" s="484" t="str">
        <f t="shared" si="104"/>
        <v/>
      </c>
      <c r="AO376" s="473" t="str">
        <f t="shared" si="105"/>
        <v/>
      </c>
      <c r="AP376" s="473" t="str">
        <f t="shared" si="106"/>
        <v/>
      </c>
      <c r="AQ376" s="473" t="str">
        <f t="shared" si="107"/>
        <v/>
      </c>
      <c r="AR376" s="473" t="str">
        <f t="shared" si="108"/>
        <v/>
      </c>
      <c r="AS376" s="473" t="str">
        <f t="shared" si="109"/>
        <v/>
      </c>
      <c r="AT376" s="473" t="str">
        <f t="shared" si="110"/>
        <v/>
      </c>
      <c r="AU376" s="473" t="str">
        <f t="shared" si="111"/>
        <v/>
      </c>
      <c r="AZ376" s="32" t="s">
        <v>318</v>
      </c>
      <c r="BA376" s="490"/>
      <c r="BB376" s="499"/>
      <c r="BC376" s="271"/>
      <c r="BD376" s="279">
        <v>1</v>
      </c>
      <c r="BE376" s="271"/>
      <c r="BF376" s="271"/>
      <c r="BG376" s="271"/>
      <c r="BH376" s="271"/>
      <c r="BI376" s="271"/>
      <c r="BJ376" s="271"/>
      <c r="BK376" s="271"/>
      <c r="BL376" s="271"/>
    </row>
    <row r="377" spans="18:64" ht="21" customHeight="1" x14ac:dyDescent="0.25">
      <c r="R377" s="34" t="s">
        <v>6120</v>
      </c>
      <c r="S377" s="451"/>
      <c r="T377" s="31" t="s">
        <v>211</v>
      </c>
      <c r="V377" s="475">
        <v>9</v>
      </c>
      <c r="W377" s="475" t="str">
        <f>IF($AC$377="","",$W$360)</f>
        <v/>
      </c>
      <c r="X377" s="476" t="str">
        <f>IF($AC$377="","",$X$360)</f>
        <v/>
      </c>
      <c r="Y377" s="477" t="str">
        <f>IF($X$377="","",$Y$360)</f>
        <v/>
      </c>
      <c r="Z377" s="477" t="str">
        <f>IF($X$377="","",$Z$360)</f>
        <v/>
      </c>
      <c r="AA377" s="477" t="str">
        <f>IF($AC$377="","",ROW($A$377)-ROW($A$360))</f>
        <v/>
      </c>
      <c r="AB377" s="478"/>
      <c r="AC377" s="34"/>
      <c r="AD377" s="356"/>
      <c r="AE377" s="479"/>
      <c r="AF377" s="475"/>
      <c r="AG377" s="480" t="str">
        <f t="shared" si="100"/>
        <v/>
      </c>
      <c r="AH377" s="481" t="str">
        <f t="shared" si="101"/>
        <v/>
      </c>
      <c r="AI377" s="477" t="str">
        <f>IF($AC$377="","",IFERROR(INDEX($AZ$74:$AZ$119,MATCH($AH$377,$AY$74:$AY$119,0)),"AUTRE"))</f>
        <v/>
      </c>
      <c r="AJ377" s="482" t="str">
        <f>IF($AC$377="","",IFERROR(INDEX($BA$74:$BA$119,MATCH($AH$377,$AY$74:$AY$119,0)),1))</f>
        <v/>
      </c>
      <c r="AK377" s="482" t="str">
        <f t="shared" si="102"/>
        <v/>
      </c>
      <c r="AL377" s="477" t="str">
        <f>IF($AC$377="","",IFERROR(INDEX($BB$74:$BB$119,MATCH($AH$377,$AY$74:$AY$119,0)),$AH$377))</f>
        <v/>
      </c>
      <c r="AM377" s="483" t="str">
        <f t="shared" si="103"/>
        <v/>
      </c>
      <c r="AN377" s="484" t="str">
        <f t="shared" si="104"/>
        <v/>
      </c>
      <c r="AO377" s="473" t="str">
        <f t="shared" si="105"/>
        <v/>
      </c>
      <c r="AP377" s="473" t="str">
        <f t="shared" si="106"/>
        <v/>
      </c>
      <c r="AQ377" s="473" t="str">
        <f t="shared" si="107"/>
        <v/>
      </c>
      <c r="AR377" s="473" t="str">
        <f t="shared" si="108"/>
        <v/>
      </c>
      <c r="AS377" s="473" t="str">
        <f t="shared" si="109"/>
        <v/>
      </c>
      <c r="AT377" s="473" t="str">
        <f t="shared" si="110"/>
        <v/>
      </c>
      <c r="AU377" s="473" t="str">
        <f t="shared" si="111"/>
        <v/>
      </c>
      <c r="AZ377" s="32" t="s">
        <v>316</v>
      </c>
      <c r="BA377" s="25" t="s">
        <v>6119</v>
      </c>
      <c r="BB377" s="499"/>
      <c r="BC377" s="271"/>
      <c r="BD377" s="279">
        <v>1</v>
      </c>
      <c r="BE377" s="271"/>
      <c r="BF377" s="271"/>
      <c r="BG377" s="271"/>
      <c r="BH377" s="271"/>
      <c r="BI377" s="271"/>
      <c r="BJ377" s="271"/>
      <c r="BK377" s="271"/>
      <c r="BL377" s="271"/>
    </row>
    <row r="378" spans="18:64" ht="21" customHeight="1" x14ac:dyDescent="0.25">
      <c r="R378" s="34" t="s">
        <v>6121</v>
      </c>
      <c r="S378" s="451"/>
      <c r="T378" s="31" t="s">
        <v>20</v>
      </c>
      <c r="V378" s="475">
        <v>9</v>
      </c>
      <c r="W378" s="475" t="str">
        <f>IF($AC$378="","",$W$360)</f>
        <v/>
      </c>
      <c r="X378" s="476" t="str">
        <f>IF($AC$378="","",$X$360)</f>
        <v/>
      </c>
      <c r="Y378" s="477" t="str">
        <f>IF($X$378="","",$Y$360)</f>
        <v/>
      </c>
      <c r="Z378" s="477" t="str">
        <f>IF($X$378="","",$Z$360)</f>
        <v/>
      </c>
      <c r="AA378" s="477" t="str">
        <f>IF($AC$378="","",ROW($A$378)-ROW($A$360))</f>
        <v/>
      </c>
      <c r="AB378" s="478"/>
      <c r="AC378" s="34"/>
      <c r="AD378" s="356"/>
      <c r="AE378" s="479"/>
      <c r="AF378" s="475"/>
      <c r="AG378" s="480" t="str">
        <f t="shared" si="100"/>
        <v/>
      </c>
      <c r="AH378" s="481" t="str">
        <f t="shared" si="101"/>
        <v/>
      </c>
      <c r="AI378" s="477" t="str">
        <f>IF($AC$378="","",IFERROR(INDEX($AZ$74:$AZ$119,MATCH($AH$378,$AY$74:$AY$119,0)),"AUTRE"))</f>
        <v/>
      </c>
      <c r="AJ378" s="482" t="str">
        <f>IF($AC$378="","",IFERROR(INDEX($BA$74:$BA$119,MATCH($AH$378,$AY$74:$AY$119,0)),1))</f>
        <v/>
      </c>
      <c r="AK378" s="482" t="str">
        <f t="shared" si="102"/>
        <v/>
      </c>
      <c r="AL378" s="477" t="str">
        <f>IF($AC$378="","",IFERROR(INDEX($BB$74:$BB$119,MATCH($AH$378,$AY$74:$AY$119,0)),$AH$378))</f>
        <v/>
      </c>
      <c r="AM378" s="483" t="str">
        <f t="shared" si="103"/>
        <v/>
      </c>
      <c r="AN378" s="484" t="str">
        <f t="shared" si="104"/>
        <v/>
      </c>
      <c r="AO378" s="473" t="str">
        <f t="shared" si="105"/>
        <v/>
      </c>
      <c r="AP378" s="473" t="str">
        <f t="shared" si="106"/>
        <v/>
      </c>
      <c r="AQ378" s="473" t="str">
        <f t="shared" si="107"/>
        <v/>
      </c>
      <c r="AR378" s="473" t="str">
        <f t="shared" si="108"/>
        <v/>
      </c>
      <c r="AS378" s="473" t="str">
        <f t="shared" si="109"/>
        <v/>
      </c>
      <c r="AT378" s="473" t="str">
        <f t="shared" si="110"/>
        <v/>
      </c>
      <c r="AU378" s="473" t="str">
        <f t="shared" si="111"/>
        <v/>
      </c>
      <c r="AZ378" s="32" t="s">
        <v>313</v>
      </c>
      <c r="BA378" s="34" t="s">
        <v>6120</v>
      </c>
      <c r="BB378" s="499"/>
      <c r="BC378" s="271"/>
      <c r="BD378" s="279">
        <v>1</v>
      </c>
      <c r="BE378" s="271"/>
      <c r="BF378" s="271"/>
      <c r="BG378" s="271"/>
      <c r="BH378" s="271"/>
      <c r="BI378" s="271"/>
      <c r="BJ378" s="271"/>
      <c r="BK378" s="271"/>
      <c r="BL378" s="271"/>
    </row>
    <row r="379" spans="18:64" ht="21" customHeight="1" x14ac:dyDescent="0.25">
      <c r="R379" s="34" t="s">
        <v>6122</v>
      </c>
      <c r="S379" s="451"/>
      <c r="T379" s="31" t="s">
        <v>304</v>
      </c>
      <c r="V379" s="475">
        <v>9</v>
      </c>
      <c r="W379" s="475" t="str">
        <f>IF($AC$379="","",$W$360)</f>
        <v/>
      </c>
      <c r="X379" s="476" t="str">
        <f>IF($AC$379="","",$X$360)</f>
        <v/>
      </c>
      <c r="Y379" s="477" t="str">
        <f>IF($X$379="","",$Y$360)</f>
        <v/>
      </c>
      <c r="Z379" s="477" t="str">
        <f>IF($X$379="","",$Z$360)</f>
        <v/>
      </c>
      <c r="AA379" s="477" t="str">
        <f>IF($AC$379="","",ROW($A$379)-ROW($A$360))</f>
        <v/>
      </c>
      <c r="AB379" s="478"/>
      <c r="AC379" s="34"/>
      <c r="AD379" s="356"/>
      <c r="AE379" s="479"/>
      <c r="AF379" s="475"/>
      <c r="AG379" s="480" t="str">
        <f t="shared" si="100"/>
        <v/>
      </c>
      <c r="AH379" s="481" t="str">
        <f t="shared" si="101"/>
        <v/>
      </c>
      <c r="AI379" s="477" t="str">
        <f>IF($AC$379="","",IFERROR(INDEX($AZ$74:$AZ$119,MATCH($AH$379,$AY$74:$AY$119,0)),"AUTRE"))</f>
        <v/>
      </c>
      <c r="AJ379" s="482" t="str">
        <f>IF($AC$379="","",IFERROR(INDEX($BA$74:$BA$119,MATCH($AH$379,$AY$74:$AY$119,0)),1))</f>
        <v/>
      </c>
      <c r="AK379" s="482" t="str">
        <f t="shared" si="102"/>
        <v/>
      </c>
      <c r="AL379" s="477" t="str">
        <f>IF($AC$379="","",IFERROR(INDEX($BB$74:$BB$119,MATCH($AH$379,$AY$74:$AY$119,0)),$AH$379))</f>
        <v/>
      </c>
      <c r="AM379" s="483" t="str">
        <f t="shared" si="103"/>
        <v/>
      </c>
      <c r="AN379" s="484" t="str">
        <f t="shared" si="104"/>
        <v/>
      </c>
      <c r="AO379" s="473" t="str">
        <f t="shared" si="105"/>
        <v/>
      </c>
      <c r="AP379" s="473" t="str">
        <f t="shared" si="106"/>
        <v/>
      </c>
      <c r="AQ379" s="473" t="str">
        <f t="shared" si="107"/>
        <v/>
      </c>
      <c r="AR379" s="473" t="str">
        <f t="shared" si="108"/>
        <v/>
      </c>
      <c r="AS379" s="473" t="str">
        <f t="shared" si="109"/>
        <v/>
      </c>
      <c r="AT379" s="473" t="str">
        <f t="shared" si="110"/>
        <v/>
      </c>
      <c r="AU379" s="473" t="str">
        <f t="shared" si="111"/>
        <v/>
      </c>
      <c r="AZ379" s="32" t="s">
        <v>307</v>
      </c>
      <c r="BA379" s="34" t="s">
        <v>6121</v>
      </c>
      <c r="BB379" s="499"/>
      <c r="BC379" s="271"/>
      <c r="BD379" s="279">
        <v>1</v>
      </c>
      <c r="BE379" s="271"/>
      <c r="BF379" s="271"/>
      <c r="BG379" s="271"/>
      <c r="BH379" s="271"/>
      <c r="BI379" s="271"/>
      <c r="BJ379" s="271"/>
      <c r="BK379" s="271"/>
      <c r="BL379" s="271"/>
    </row>
    <row r="380" spans="18:64" ht="21" customHeight="1" x14ac:dyDescent="0.25">
      <c r="R380" s="34" t="s">
        <v>6123</v>
      </c>
      <c r="S380" s="451"/>
      <c r="T380" s="31" t="s">
        <v>352</v>
      </c>
      <c r="V380" s="475">
        <v>9</v>
      </c>
      <c r="W380" s="475" t="str">
        <f>IF($AC$380="","",$W$360)</f>
        <v/>
      </c>
      <c r="X380" s="476" t="str">
        <f>IF($AC$380="","",$X$360)</f>
        <v/>
      </c>
      <c r="Y380" s="477" t="str">
        <f>IF($X$380="","",$Y$360)</f>
        <v/>
      </c>
      <c r="Z380" s="477" t="str">
        <f>IF($X$380="","",$Z$360)</f>
        <v/>
      </c>
      <c r="AA380" s="477" t="str">
        <f>IF($AC$380="","",ROW($A$380)-ROW($A$360))</f>
        <v/>
      </c>
      <c r="AB380" s="478"/>
      <c r="AC380" s="34"/>
      <c r="AD380" s="356"/>
      <c r="AE380" s="479"/>
      <c r="AF380" s="475"/>
      <c r="AG380" s="480" t="str">
        <f t="shared" si="100"/>
        <v/>
      </c>
      <c r="AH380" s="481" t="str">
        <f t="shared" si="101"/>
        <v/>
      </c>
      <c r="AI380" s="477" t="str">
        <f>IF($AC$380="","",IFERROR(INDEX($AZ$74:$AZ$119,MATCH($AH$380,$AY$74:$AY$119,0)),"AUTRE"))</f>
        <v/>
      </c>
      <c r="AJ380" s="482" t="str">
        <f>IF($AC$380="","",IFERROR(INDEX($BA$74:$BA$119,MATCH($AH$380,$AY$74:$AY$119,0)),1))</f>
        <v/>
      </c>
      <c r="AK380" s="482" t="str">
        <f t="shared" si="102"/>
        <v/>
      </c>
      <c r="AL380" s="477" t="str">
        <f>IF($AC$380="","",IFERROR(INDEX($BB$74:$BB$119,MATCH($AH$380,$AY$74:$AY$119,0)),$AH$380))</f>
        <v/>
      </c>
      <c r="AM380" s="483" t="str">
        <f t="shared" si="103"/>
        <v/>
      </c>
      <c r="AN380" s="484" t="str">
        <f t="shared" si="104"/>
        <v/>
      </c>
      <c r="AO380" s="473" t="str">
        <f t="shared" si="105"/>
        <v/>
      </c>
      <c r="AP380" s="473" t="str">
        <f t="shared" si="106"/>
        <v/>
      </c>
      <c r="AQ380" s="473" t="str">
        <f t="shared" si="107"/>
        <v/>
      </c>
      <c r="AR380" s="473" t="str">
        <f t="shared" si="108"/>
        <v/>
      </c>
      <c r="AS380" s="473" t="str">
        <f t="shared" si="109"/>
        <v/>
      </c>
      <c r="AT380" s="473" t="str">
        <f t="shared" si="110"/>
        <v/>
      </c>
      <c r="AU380" s="473" t="str">
        <f t="shared" si="111"/>
        <v/>
      </c>
      <c r="AZ380" s="32" t="s">
        <v>322</v>
      </c>
      <c r="BA380" s="34" t="s">
        <v>6122</v>
      </c>
      <c r="BB380" s="499"/>
      <c r="BC380" s="271"/>
      <c r="BD380" s="279">
        <v>1</v>
      </c>
      <c r="BE380" s="271"/>
      <c r="BF380" s="271"/>
      <c r="BG380" s="271"/>
      <c r="BH380" s="271"/>
      <c r="BI380" s="271"/>
      <c r="BJ380" s="271"/>
      <c r="BK380" s="271"/>
      <c r="BL380" s="271"/>
    </row>
    <row r="381" spans="18:64" ht="21" customHeight="1" x14ac:dyDescent="0.25">
      <c r="R381" s="34" t="s">
        <v>6124</v>
      </c>
      <c r="S381" s="451"/>
      <c r="T381" s="31" t="s">
        <v>25</v>
      </c>
      <c r="V381" s="475">
        <v>9</v>
      </c>
      <c r="W381" s="475" t="str">
        <f>IF($AC$381="","",$W$360)</f>
        <v/>
      </c>
      <c r="X381" s="476" t="str">
        <f>IF($AC$381="","",$X$360)</f>
        <v/>
      </c>
      <c r="Y381" s="477" t="str">
        <f>IF($X$381="","",$Y$360)</f>
        <v/>
      </c>
      <c r="Z381" s="477" t="str">
        <f>IF($X$381="","",$Z$360)</f>
        <v/>
      </c>
      <c r="AA381" s="477" t="str">
        <f>IF($AC$381="","",ROW($A$381)-ROW($A$360))</f>
        <v/>
      </c>
      <c r="AB381" s="478"/>
      <c r="AC381" s="34"/>
      <c r="AD381" s="356"/>
      <c r="AE381" s="479"/>
      <c r="AF381" s="475"/>
      <c r="AG381" s="480" t="str">
        <f t="shared" si="100"/>
        <v/>
      </c>
      <c r="AH381" s="481" t="str">
        <f t="shared" si="101"/>
        <v/>
      </c>
      <c r="AI381" s="477" t="str">
        <f>IF($AC$381="","",IFERROR(INDEX($AZ$74:$AZ$119,MATCH($AH$381,$AY$74:$AY$119,0)),"AUTRE"))</f>
        <v/>
      </c>
      <c r="AJ381" s="482" t="str">
        <f>IF($AC$381="","",IFERROR(INDEX($BA$74:$BA$119,MATCH($AH$381,$AY$74:$AY$119,0)),1))</f>
        <v/>
      </c>
      <c r="AK381" s="482" t="str">
        <f t="shared" si="102"/>
        <v/>
      </c>
      <c r="AL381" s="477" t="str">
        <f>IF($AC$381="","",IFERROR(INDEX($BB$74:$BB$119,MATCH($AH$381,$AY$74:$AY$119,0)),$AH$381))</f>
        <v/>
      </c>
      <c r="AM381" s="483" t="str">
        <f t="shared" si="103"/>
        <v/>
      </c>
      <c r="AN381" s="484" t="str">
        <f t="shared" si="104"/>
        <v/>
      </c>
      <c r="AO381" s="473" t="str">
        <f t="shared" si="105"/>
        <v/>
      </c>
      <c r="AP381" s="473" t="str">
        <f t="shared" si="106"/>
        <v/>
      </c>
      <c r="AQ381" s="473" t="str">
        <f t="shared" si="107"/>
        <v/>
      </c>
      <c r="AR381" s="473" t="str">
        <f t="shared" si="108"/>
        <v/>
      </c>
      <c r="AS381" s="473" t="str">
        <f t="shared" si="109"/>
        <v/>
      </c>
      <c r="AT381" s="473" t="str">
        <f t="shared" si="110"/>
        <v/>
      </c>
      <c r="AU381" s="473" t="str">
        <f t="shared" si="111"/>
        <v/>
      </c>
      <c r="AZ381" s="32" t="s">
        <v>305</v>
      </c>
      <c r="BA381" s="34" t="s">
        <v>6123</v>
      </c>
      <c r="BB381" s="499"/>
      <c r="BC381" s="271"/>
      <c r="BD381" s="279">
        <v>1</v>
      </c>
      <c r="BE381" s="271"/>
      <c r="BF381" s="271"/>
      <c r="BG381" s="271"/>
      <c r="BH381" s="271"/>
      <c r="BI381" s="271"/>
      <c r="BJ381" s="271"/>
      <c r="BK381" s="271"/>
      <c r="BL381" s="271"/>
    </row>
    <row r="382" spans="18:64" ht="21" customHeight="1" x14ac:dyDescent="0.25">
      <c r="R382" s="34" t="s">
        <v>6125</v>
      </c>
      <c r="S382" s="451"/>
      <c r="T382" s="31" t="s">
        <v>26</v>
      </c>
      <c r="V382" s="475">
        <v>9</v>
      </c>
      <c r="W382" s="475" t="str">
        <f>IF($AC$382="","",$W$360)</f>
        <v/>
      </c>
      <c r="X382" s="476" t="str">
        <f>IF($AC$382="","",$X$360)</f>
        <v/>
      </c>
      <c r="Y382" s="477" t="str">
        <f>IF($X$382="","",$Y$360)</f>
        <v/>
      </c>
      <c r="Z382" s="477" t="str">
        <f>IF($X$382="","",$Z$360)</f>
        <v/>
      </c>
      <c r="AA382" s="477" t="str">
        <f>IF($AC$382="","",ROW($A$382)-ROW($A$360))</f>
        <v/>
      </c>
      <c r="AB382" s="478"/>
      <c r="AC382" s="34"/>
      <c r="AD382" s="356"/>
      <c r="AE382" s="479"/>
      <c r="AF382" s="475"/>
      <c r="AG382" s="480" t="str">
        <f t="shared" si="100"/>
        <v/>
      </c>
      <c r="AH382" s="481" t="str">
        <f t="shared" si="101"/>
        <v/>
      </c>
      <c r="AI382" s="477" t="str">
        <f>IF($AC$382="","",IFERROR(INDEX($AZ$74:$AZ$119,MATCH($AH$382,$AY$74:$AY$119,0)),"AUTRE"))</f>
        <v/>
      </c>
      <c r="AJ382" s="482" t="str">
        <f>IF($AC$382="","",IFERROR(INDEX($BA$74:$BA$119,MATCH($AH$382,$AY$74:$AY$119,0)),1))</f>
        <v/>
      </c>
      <c r="AK382" s="482" t="str">
        <f t="shared" si="102"/>
        <v/>
      </c>
      <c r="AL382" s="477" t="str">
        <f>IF($AC$382="","",IFERROR(INDEX($BB$74:$BB$119,MATCH($AH$382,$AY$74:$AY$119,0)),$AH$382))</f>
        <v/>
      </c>
      <c r="AM382" s="483" t="str">
        <f t="shared" si="103"/>
        <v/>
      </c>
      <c r="AN382" s="484" t="str">
        <f t="shared" si="104"/>
        <v/>
      </c>
      <c r="AO382" s="473" t="str">
        <f t="shared" si="105"/>
        <v/>
      </c>
      <c r="AP382" s="473" t="str">
        <f t="shared" si="106"/>
        <v/>
      </c>
      <c r="AQ382" s="473" t="str">
        <f t="shared" si="107"/>
        <v/>
      </c>
      <c r="AR382" s="473" t="str">
        <f t="shared" si="108"/>
        <v/>
      </c>
      <c r="AS382" s="473" t="str">
        <f t="shared" si="109"/>
        <v/>
      </c>
      <c r="AT382" s="473" t="str">
        <f t="shared" si="110"/>
        <v/>
      </c>
      <c r="AU382" s="473" t="str">
        <f t="shared" si="111"/>
        <v/>
      </c>
      <c r="AZ382" s="32" t="s">
        <v>8129</v>
      </c>
      <c r="BA382" s="34" t="s">
        <v>6124</v>
      </c>
      <c r="BB382" s="499"/>
      <c r="BC382" s="271"/>
      <c r="BD382" s="279">
        <v>1</v>
      </c>
      <c r="BE382" s="271"/>
      <c r="BF382" s="271"/>
      <c r="BG382" s="271"/>
      <c r="BH382" s="271"/>
      <c r="BI382" s="271"/>
      <c r="BJ382" s="271"/>
      <c r="BK382" s="271"/>
      <c r="BL382" s="271"/>
    </row>
    <row r="383" spans="18:64" ht="21" customHeight="1" x14ac:dyDescent="0.25">
      <c r="R383" s="34" t="s">
        <v>6126</v>
      </c>
      <c r="S383" s="451"/>
      <c r="T383" s="31" t="s">
        <v>27</v>
      </c>
      <c r="V383" s="475">
        <v>9</v>
      </c>
      <c r="W383" s="475" t="str">
        <f>IF($AC$383="","",$W$360)</f>
        <v/>
      </c>
      <c r="X383" s="476" t="str">
        <f>IF($AC$383="","",$X$360)</f>
        <v/>
      </c>
      <c r="Y383" s="477" t="str">
        <f>IF($X$383="","",$Y$360)</f>
        <v/>
      </c>
      <c r="Z383" s="477" t="str">
        <f>IF($X$383="","",$Z$360)</f>
        <v/>
      </c>
      <c r="AA383" s="477" t="str">
        <f>IF($AC$383="","",ROW($A$383)-ROW($A$360))</f>
        <v/>
      </c>
      <c r="AB383" s="478"/>
      <c r="AC383" s="34"/>
      <c r="AD383" s="356"/>
      <c r="AE383" s="479"/>
      <c r="AF383" s="475"/>
      <c r="AG383" s="480" t="str">
        <f t="shared" si="100"/>
        <v/>
      </c>
      <c r="AH383" s="481" t="str">
        <f t="shared" si="101"/>
        <v/>
      </c>
      <c r="AI383" s="477" t="str">
        <f>IF($AC$383="","",IFERROR(INDEX($AZ$74:$AZ$119,MATCH($AH$383,$AY$74:$AY$119,0)),"AUTRE"))</f>
        <v/>
      </c>
      <c r="AJ383" s="482" t="str">
        <f>IF($AC$383="","",IFERROR(INDEX($BA$74:$BA$119,MATCH($AH$383,$AY$74:$AY$119,0)),1))</f>
        <v/>
      </c>
      <c r="AK383" s="482" t="str">
        <f t="shared" si="102"/>
        <v/>
      </c>
      <c r="AL383" s="477" t="str">
        <f>IF($AC$383="","",IFERROR(INDEX($BB$74:$BB$119,MATCH($AH$383,$AY$74:$AY$119,0)),$AH$383))</f>
        <v/>
      </c>
      <c r="AM383" s="483" t="str">
        <f t="shared" si="103"/>
        <v/>
      </c>
      <c r="AN383" s="484" t="str">
        <f t="shared" si="104"/>
        <v/>
      </c>
      <c r="AO383" s="473" t="str">
        <f t="shared" si="105"/>
        <v/>
      </c>
      <c r="AP383" s="473" t="str">
        <f t="shared" si="106"/>
        <v/>
      </c>
      <c r="AQ383" s="473" t="str">
        <f t="shared" si="107"/>
        <v/>
      </c>
      <c r="AR383" s="473" t="str">
        <f t="shared" si="108"/>
        <v/>
      </c>
      <c r="AS383" s="473" t="str">
        <f t="shared" si="109"/>
        <v/>
      </c>
      <c r="AT383" s="473" t="str">
        <f t="shared" si="110"/>
        <v/>
      </c>
      <c r="AU383" s="473" t="str">
        <f t="shared" si="111"/>
        <v/>
      </c>
      <c r="AZ383" s="32" t="s">
        <v>8131</v>
      </c>
      <c r="BA383" s="34" t="s">
        <v>6125</v>
      </c>
      <c r="BB383" s="499"/>
      <c r="BC383" s="271"/>
      <c r="BD383" s="279">
        <v>1</v>
      </c>
      <c r="BE383" s="271"/>
      <c r="BF383" s="271"/>
      <c r="BG383" s="271"/>
      <c r="BH383" s="271"/>
      <c r="BI383" s="271"/>
      <c r="BJ383" s="271"/>
      <c r="BK383" s="271"/>
      <c r="BL383" s="271"/>
    </row>
    <row r="384" spans="18:64" ht="21" customHeight="1" x14ac:dyDescent="0.25">
      <c r="R384" s="34" t="s">
        <v>6127</v>
      </c>
      <c r="S384" s="451"/>
      <c r="T384" s="31" t="s">
        <v>28</v>
      </c>
      <c r="V384" s="475">
        <v>9</v>
      </c>
      <c r="W384" s="475" t="str">
        <f>IF($AC$384="","",$W$360)</f>
        <v/>
      </c>
      <c r="X384" s="476" t="str">
        <f>IF($AC$384="","",$X$360)</f>
        <v/>
      </c>
      <c r="Y384" s="477" t="str">
        <f>IF($X$384="","",$Y$360)</f>
        <v/>
      </c>
      <c r="Z384" s="477" t="str">
        <f>IF($X$384="","",$Z$360)</f>
        <v/>
      </c>
      <c r="AA384" s="477" t="str">
        <f>IF($AC$384="","",ROW($A$384)-ROW($A$360))</f>
        <v/>
      </c>
      <c r="AB384" s="478"/>
      <c r="AC384" s="34"/>
      <c r="AD384" s="356"/>
      <c r="AE384" s="479"/>
      <c r="AF384" s="475"/>
      <c r="AG384" s="480" t="str">
        <f t="shared" si="100"/>
        <v/>
      </c>
      <c r="AH384" s="481" t="str">
        <f t="shared" si="101"/>
        <v/>
      </c>
      <c r="AI384" s="477" t="str">
        <f>IF($AC$384="","",IFERROR(INDEX($AZ$74:$AZ$119,MATCH($AH$384,$AY$74:$AY$119,0)),"AUTRE"))</f>
        <v/>
      </c>
      <c r="AJ384" s="482" t="str">
        <f>IF($AC$384="","",IFERROR(INDEX($BA$74:$BA$119,MATCH($AH$384,$AY$74:$AY$119,0)),1))</f>
        <v/>
      </c>
      <c r="AK384" s="482" t="str">
        <f t="shared" si="102"/>
        <v/>
      </c>
      <c r="AL384" s="477" t="str">
        <f>IF($AC$384="","",IFERROR(INDEX($BB$74:$BB$119,MATCH($AH$384,$AY$74:$AY$119,0)),$AH$384))</f>
        <v/>
      </c>
      <c r="AM384" s="483" t="str">
        <f t="shared" si="103"/>
        <v/>
      </c>
      <c r="AN384" s="484" t="str">
        <f t="shared" si="104"/>
        <v/>
      </c>
      <c r="AO384" s="473" t="str">
        <f t="shared" si="105"/>
        <v/>
      </c>
      <c r="AP384" s="473" t="str">
        <f t="shared" si="106"/>
        <v/>
      </c>
      <c r="AQ384" s="473" t="str">
        <f t="shared" si="107"/>
        <v/>
      </c>
      <c r="AR384" s="473" t="str">
        <f t="shared" si="108"/>
        <v/>
      </c>
      <c r="AS384" s="473" t="str">
        <f t="shared" si="109"/>
        <v/>
      </c>
      <c r="AT384" s="473" t="str">
        <f t="shared" si="110"/>
        <v/>
      </c>
      <c r="AU384" s="473" t="str">
        <f t="shared" si="111"/>
        <v/>
      </c>
      <c r="AZ384" s="32" t="s">
        <v>309</v>
      </c>
      <c r="BA384" s="34" t="s">
        <v>6126</v>
      </c>
      <c r="BB384" s="499"/>
      <c r="BC384" s="271"/>
      <c r="BD384" s="279">
        <v>1</v>
      </c>
      <c r="BE384" s="271"/>
      <c r="BF384" s="271"/>
      <c r="BG384" s="271"/>
      <c r="BH384" s="271"/>
      <c r="BI384" s="271"/>
      <c r="BJ384" s="271"/>
      <c r="BK384" s="271"/>
      <c r="BL384" s="271"/>
    </row>
    <row r="385" spans="18:64" ht="21" customHeight="1" x14ac:dyDescent="0.25">
      <c r="R385" s="25" t="s">
        <v>6128</v>
      </c>
      <c r="S385" s="451"/>
      <c r="T385" s="31" t="s">
        <v>29</v>
      </c>
      <c r="V385" s="475">
        <v>9</v>
      </c>
      <c r="W385" s="475" t="str">
        <f>IF($AC$385="","",$W$360)</f>
        <v/>
      </c>
      <c r="X385" s="476" t="str">
        <f>IF($AC$385="","",$X$360)</f>
        <v/>
      </c>
      <c r="Y385" s="477" t="str">
        <f>IF($X$385="","",$Y$360)</f>
        <v/>
      </c>
      <c r="Z385" s="477" t="str">
        <f>IF($X$385="","",$Z$360)</f>
        <v/>
      </c>
      <c r="AA385" s="477" t="str">
        <f>IF($AC$385="","",ROW($A$385)-ROW($A$360))</f>
        <v/>
      </c>
      <c r="AB385" s="478"/>
      <c r="AC385" s="34"/>
      <c r="AD385" s="356"/>
      <c r="AE385" s="479"/>
      <c r="AF385" s="475"/>
      <c r="AG385" s="480" t="str">
        <f t="shared" si="100"/>
        <v/>
      </c>
      <c r="AH385" s="481" t="str">
        <f t="shared" si="101"/>
        <v/>
      </c>
      <c r="AI385" s="477" t="str">
        <f>IF($AC$385="","",IFERROR(INDEX($AZ$74:$AZ$119,MATCH($AH$385,$AY$74:$AY$119,0)),"AUTRE"))</f>
        <v/>
      </c>
      <c r="AJ385" s="482" t="str">
        <f>IF($AC$385="","",IFERROR(INDEX($BA$74:$BA$119,MATCH($AH$385,$AY$74:$AY$119,0)),1))</f>
        <v/>
      </c>
      <c r="AK385" s="482" t="str">
        <f t="shared" si="102"/>
        <v/>
      </c>
      <c r="AL385" s="477" t="str">
        <f>IF($AC$385="","",IFERROR(INDEX($BB$74:$BB$119,MATCH($AH$385,$AY$74:$AY$119,0)),$AH$385))</f>
        <v/>
      </c>
      <c r="AM385" s="483" t="str">
        <f t="shared" si="103"/>
        <v/>
      </c>
      <c r="AN385" s="484" t="str">
        <f t="shared" si="104"/>
        <v/>
      </c>
      <c r="AO385" s="473" t="str">
        <f t="shared" si="105"/>
        <v/>
      </c>
      <c r="AP385" s="473" t="str">
        <f t="shared" si="106"/>
        <v/>
      </c>
      <c r="AQ385" s="473" t="str">
        <f t="shared" si="107"/>
        <v/>
      </c>
      <c r="AR385" s="473" t="str">
        <f t="shared" si="108"/>
        <v/>
      </c>
      <c r="AS385" s="473" t="str">
        <f t="shared" si="109"/>
        <v/>
      </c>
      <c r="AT385" s="473" t="str">
        <f t="shared" si="110"/>
        <v/>
      </c>
      <c r="AU385" s="473" t="str">
        <f t="shared" si="111"/>
        <v/>
      </c>
      <c r="AZ385" s="32" t="s">
        <v>311</v>
      </c>
      <c r="BA385" s="34" t="s">
        <v>6127</v>
      </c>
      <c r="BB385" s="499"/>
      <c r="BC385" s="271"/>
      <c r="BD385" s="279">
        <v>1</v>
      </c>
      <c r="BE385" s="271"/>
      <c r="BF385" s="271"/>
      <c r="BG385" s="271"/>
      <c r="BH385" s="271"/>
      <c r="BI385" s="271"/>
      <c r="BJ385" s="271"/>
      <c r="BK385" s="271"/>
      <c r="BL385" s="271"/>
    </row>
    <row r="386" spans="18:64" ht="21" customHeight="1" x14ac:dyDescent="0.25">
      <c r="R386" s="34" t="s">
        <v>474</v>
      </c>
      <c r="S386" s="451"/>
      <c r="T386" s="31" t="s">
        <v>30</v>
      </c>
      <c r="V386" s="475">
        <v>9</v>
      </c>
      <c r="W386" s="475" t="str">
        <f>IF($AC$386="","",$W$360)</f>
        <v/>
      </c>
      <c r="X386" s="476" t="str">
        <f>IF($AC$386="","",$X$360)</f>
        <v/>
      </c>
      <c r="Y386" s="477" t="str">
        <f>IF($X$386="","",$Y$360)</f>
        <v/>
      </c>
      <c r="Z386" s="477" t="str">
        <f>IF($X$386="","",$Z$360)</f>
        <v/>
      </c>
      <c r="AA386" s="477" t="str">
        <f>IF($AC$386="","",ROW($A$386)-ROW($A$360))</f>
        <v/>
      </c>
      <c r="AB386" s="478"/>
      <c r="AC386" s="34"/>
      <c r="AD386" s="356"/>
      <c r="AE386" s="479"/>
      <c r="AF386" s="475"/>
      <c r="AG386" s="480" t="str">
        <f t="shared" si="100"/>
        <v/>
      </c>
      <c r="AH386" s="481" t="str">
        <f t="shared" si="101"/>
        <v/>
      </c>
      <c r="AI386" s="477" t="str">
        <f>IF($AC$386="","",IFERROR(INDEX($AZ$74:$AZ$119,MATCH($AH$386,$AY$74:$AY$119,0)),"AUTRE"))</f>
        <v/>
      </c>
      <c r="AJ386" s="482" t="str">
        <f>IF($AC$386="","",IFERROR(INDEX($BA$74:$BA$119,MATCH($AH$386,$AY$74:$AY$119,0)),1))</f>
        <v/>
      </c>
      <c r="AK386" s="482" t="str">
        <f t="shared" si="102"/>
        <v/>
      </c>
      <c r="AL386" s="477" t="str">
        <f>IF($AC$386="","",IFERROR(INDEX($BB$74:$BB$119,MATCH($AH$386,$AY$74:$AY$119,0)),$AH$386))</f>
        <v/>
      </c>
      <c r="AM386" s="483" t="str">
        <f t="shared" si="103"/>
        <v/>
      </c>
      <c r="AN386" s="484" t="str">
        <f t="shared" si="104"/>
        <v/>
      </c>
      <c r="AO386" s="473" t="str">
        <f t="shared" si="105"/>
        <v/>
      </c>
      <c r="AP386" s="473" t="str">
        <f t="shared" si="106"/>
        <v/>
      </c>
      <c r="AQ386" s="473" t="str">
        <f t="shared" si="107"/>
        <v/>
      </c>
      <c r="AR386" s="473" t="str">
        <f t="shared" si="108"/>
        <v/>
      </c>
      <c r="AS386" s="473" t="str">
        <f t="shared" si="109"/>
        <v/>
      </c>
      <c r="AT386" s="473" t="str">
        <f t="shared" si="110"/>
        <v/>
      </c>
      <c r="AU386" s="473" t="str">
        <f t="shared" si="111"/>
        <v/>
      </c>
      <c r="AZ386" s="32" t="s">
        <v>8135</v>
      </c>
      <c r="BA386" s="25" t="s">
        <v>6128</v>
      </c>
      <c r="BB386" s="499"/>
      <c r="BC386" s="271"/>
      <c r="BD386" s="279">
        <v>1</v>
      </c>
      <c r="BE386" s="271"/>
      <c r="BF386" s="271"/>
      <c r="BG386" s="271"/>
      <c r="BH386" s="271"/>
      <c r="BI386" s="271"/>
      <c r="BJ386" s="271"/>
      <c r="BK386" s="271"/>
      <c r="BL386" s="271"/>
    </row>
    <row r="387" spans="18:64" ht="21" customHeight="1" x14ac:dyDescent="0.25">
      <c r="R387" s="34" t="s">
        <v>490</v>
      </c>
      <c r="S387" s="451"/>
      <c r="T387" s="31" t="s">
        <v>31</v>
      </c>
      <c r="V387" s="475">
        <v>9</v>
      </c>
      <c r="W387" s="475" t="str">
        <f>IF($AC$387="","",$W$360)</f>
        <v/>
      </c>
      <c r="X387" s="476" t="str">
        <f>IF($AC$387="","",$X$360)</f>
        <v/>
      </c>
      <c r="Y387" s="477" t="str">
        <f>IF($X$387="","",$Y$360)</f>
        <v/>
      </c>
      <c r="Z387" s="477" t="str">
        <f>IF($X$387="","",$Z$360)</f>
        <v/>
      </c>
      <c r="AA387" s="477" t="str">
        <f>IF($AC$387="","",ROW($A$387)-ROW($A$360))</f>
        <v/>
      </c>
      <c r="AB387" s="478"/>
      <c r="AC387" s="34"/>
      <c r="AD387" s="356"/>
      <c r="AE387" s="479"/>
      <c r="AF387" s="475"/>
      <c r="AG387" s="480" t="str">
        <f t="shared" si="100"/>
        <v/>
      </c>
      <c r="AH387" s="481" t="str">
        <f t="shared" si="101"/>
        <v/>
      </c>
      <c r="AI387" s="477" t="str">
        <f>IF($AC$387="","",IFERROR(INDEX($AZ$74:$AZ$119,MATCH($AH$387,$AY$74:$AY$119,0)),"AUTRE"))</f>
        <v/>
      </c>
      <c r="AJ387" s="482" t="str">
        <f>IF($AC$387="","",IFERROR(INDEX($BA$74:$BA$119,MATCH($AH$387,$AY$74:$AY$119,0)),1))</f>
        <v/>
      </c>
      <c r="AK387" s="482" t="str">
        <f t="shared" si="102"/>
        <v/>
      </c>
      <c r="AL387" s="477" t="str">
        <f>IF($AC$387="","",IFERROR(INDEX($BB$74:$BB$119,MATCH($AH$387,$AY$74:$AY$119,0)),$AH$387))</f>
        <v/>
      </c>
      <c r="AM387" s="483" t="str">
        <f t="shared" si="103"/>
        <v/>
      </c>
      <c r="AN387" s="484" t="str">
        <f t="shared" si="104"/>
        <v/>
      </c>
      <c r="AO387" s="473" t="str">
        <f t="shared" si="105"/>
        <v/>
      </c>
      <c r="AP387" s="473" t="str">
        <f t="shared" si="106"/>
        <v/>
      </c>
      <c r="AQ387" s="473" t="str">
        <f t="shared" si="107"/>
        <v/>
      </c>
      <c r="AR387" s="473" t="str">
        <f t="shared" si="108"/>
        <v/>
      </c>
      <c r="AS387" s="473" t="str">
        <f t="shared" si="109"/>
        <v/>
      </c>
      <c r="AT387" s="473" t="str">
        <f t="shared" si="110"/>
        <v/>
      </c>
      <c r="AU387" s="473" t="str">
        <f t="shared" si="111"/>
        <v/>
      </c>
      <c r="AZ387" s="32" t="s">
        <v>8137</v>
      </c>
      <c r="BA387" s="34" t="s">
        <v>474</v>
      </c>
      <c r="BB387" s="499"/>
      <c r="BC387" s="271"/>
      <c r="BD387" s="279">
        <v>1</v>
      </c>
      <c r="BE387" s="271"/>
      <c r="BF387" s="271"/>
      <c r="BG387" s="271"/>
      <c r="BH387" s="271"/>
      <c r="BI387" s="271"/>
      <c r="BJ387" s="271"/>
      <c r="BK387" s="271"/>
      <c r="BL387" s="271"/>
    </row>
    <row r="388" spans="18:64" ht="21" customHeight="1" x14ac:dyDescent="0.25">
      <c r="R388" s="34" t="s">
        <v>6129</v>
      </c>
      <c r="S388" s="451"/>
      <c r="T388" s="32" t="s">
        <v>33</v>
      </c>
      <c r="V388" s="475">
        <v>9</v>
      </c>
      <c r="W388" s="475" t="str">
        <f>IF($AC$388="","",$W$360)</f>
        <v/>
      </c>
      <c r="X388" s="476" t="str">
        <f>IF($AC$388="","",$X$360)</f>
        <v/>
      </c>
      <c r="Y388" s="477" t="str">
        <f>IF($X$388="","",$Y$360)</f>
        <v/>
      </c>
      <c r="Z388" s="477" t="str">
        <f>IF($X$388="","",$Z$360)</f>
        <v/>
      </c>
      <c r="AA388" s="477" t="str">
        <f>IF($AC$388="","",ROW($A$388)-ROW($A$360))</f>
        <v/>
      </c>
      <c r="AB388" s="478"/>
      <c r="AC388" s="34"/>
      <c r="AD388" s="356"/>
      <c r="AE388" s="479"/>
      <c r="AF388" s="475"/>
      <c r="AG388" s="480" t="str">
        <f t="shared" si="100"/>
        <v/>
      </c>
      <c r="AH388" s="481" t="str">
        <f t="shared" si="101"/>
        <v/>
      </c>
      <c r="AI388" s="477" t="str">
        <f>IF($AC$388="","",IFERROR(INDEX($AZ$74:$AZ$119,MATCH($AH$388,$AY$74:$AY$119,0)),"AUTRE"))</f>
        <v/>
      </c>
      <c r="AJ388" s="482" t="str">
        <f>IF($AC$388="","",IFERROR(INDEX($BA$74:$BA$119,MATCH($AH$388,$AY$74:$AY$119,0)),1))</f>
        <v/>
      </c>
      <c r="AK388" s="482" t="str">
        <f t="shared" si="102"/>
        <v/>
      </c>
      <c r="AL388" s="477" t="str">
        <f>IF($AC$388="","",IFERROR(INDEX($BB$74:$BB$119,MATCH($AH$388,$AY$74:$AY$119,0)),$AH$388))</f>
        <v/>
      </c>
      <c r="AM388" s="483" t="str">
        <f t="shared" si="103"/>
        <v/>
      </c>
      <c r="AN388" s="484" t="str">
        <f t="shared" si="104"/>
        <v/>
      </c>
      <c r="AO388" s="473" t="str">
        <f t="shared" si="105"/>
        <v/>
      </c>
      <c r="AP388" s="473" t="str">
        <f t="shared" si="106"/>
        <v/>
      </c>
      <c r="AQ388" s="473" t="str">
        <f t="shared" si="107"/>
        <v/>
      </c>
      <c r="AR388" s="473" t="str">
        <f t="shared" si="108"/>
        <v/>
      </c>
      <c r="AS388" s="473" t="str">
        <f t="shared" si="109"/>
        <v/>
      </c>
      <c r="AT388" s="473" t="str">
        <f t="shared" si="110"/>
        <v/>
      </c>
      <c r="AU388" s="473" t="str">
        <f t="shared" si="111"/>
        <v/>
      </c>
      <c r="AY388" s="271"/>
      <c r="AZ388" s="32" t="s">
        <v>8139</v>
      </c>
      <c r="BA388" s="34" t="s">
        <v>490</v>
      </c>
      <c r="BB388" s="499"/>
      <c r="BC388" s="271"/>
      <c r="BD388" s="279">
        <v>1</v>
      </c>
      <c r="BE388" s="271"/>
      <c r="BF388" s="271"/>
      <c r="BG388" s="271"/>
      <c r="BH388" s="271"/>
      <c r="BI388" s="271"/>
      <c r="BJ388" s="271"/>
      <c r="BK388" s="271"/>
      <c r="BL388" s="271"/>
    </row>
    <row r="389" spans="18:64" ht="21" customHeight="1" x14ac:dyDescent="0.25">
      <c r="R389" s="34" t="s">
        <v>478</v>
      </c>
      <c r="S389" s="451"/>
      <c r="T389" s="32" t="s">
        <v>8125</v>
      </c>
      <c r="V389" s="475">
        <v>9</v>
      </c>
      <c r="W389" s="475" t="str">
        <f>IF($AC$389="","",$W$360)</f>
        <v/>
      </c>
      <c r="X389" s="476" t="str">
        <f>IF($AC$389="","",$X$360)</f>
        <v/>
      </c>
      <c r="Y389" s="477" t="str">
        <f>IF($X$389="","",$Y$360)</f>
        <v/>
      </c>
      <c r="Z389" s="477" t="str">
        <f>IF($X$389="","",$Z$360)</f>
        <v/>
      </c>
      <c r="AA389" s="477" t="str">
        <f>IF($AC$389="","",ROW($A$389)-ROW($A$360))</f>
        <v/>
      </c>
      <c r="AB389" s="478"/>
      <c r="AC389" s="34"/>
      <c r="AD389" s="356"/>
      <c r="AE389" s="479"/>
      <c r="AF389" s="475"/>
      <c r="AG389" s="480" t="str">
        <f t="shared" si="100"/>
        <v/>
      </c>
      <c r="AH389" s="481" t="str">
        <f t="shared" si="101"/>
        <v/>
      </c>
      <c r="AI389" s="477" t="str">
        <f>IF($AC$389="","",IFERROR(INDEX($AZ$74:$AZ$119,MATCH($AH$389,$AY$74:$AY$119,0)),"AUTRE"))</f>
        <v/>
      </c>
      <c r="AJ389" s="482" t="str">
        <f>IF($AC$389="","",IFERROR(INDEX($BA$74:$BA$119,MATCH($AH$389,$AY$74:$AY$119,0)),1))</f>
        <v/>
      </c>
      <c r="AK389" s="482" t="str">
        <f t="shared" si="102"/>
        <v/>
      </c>
      <c r="AL389" s="477" t="str">
        <f>IF($AC$389="","",IFERROR(INDEX($BB$74:$BB$119,MATCH($AH$389,$AY$74:$AY$119,0)),$AH$389))</f>
        <v/>
      </c>
      <c r="AM389" s="483" t="str">
        <f t="shared" si="103"/>
        <v/>
      </c>
      <c r="AN389" s="484" t="str">
        <f t="shared" si="104"/>
        <v/>
      </c>
      <c r="AO389" s="473" t="str">
        <f t="shared" si="105"/>
        <v/>
      </c>
      <c r="AP389" s="473" t="str">
        <f t="shared" si="106"/>
        <v/>
      </c>
      <c r="AQ389" s="473" t="str">
        <f t="shared" si="107"/>
        <v/>
      </c>
      <c r="AR389" s="473" t="str">
        <f t="shared" si="108"/>
        <v/>
      </c>
      <c r="AS389" s="473" t="str">
        <f t="shared" si="109"/>
        <v/>
      </c>
      <c r="AT389" s="473" t="str">
        <f t="shared" si="110"/>
        <v/>
      </c>
      <c r="AU389" s="473" t="str">
        <f t="shared" si="111"/>
        <v/>
      </c>
      <c r="AY389" s="497" t="s">
        <v>8145</v>
      </c>
      <c r="AZ389" s="32" t="s">
        <v>8141</v>
      </c>
      <c r="BA389" s="34" t="s">
        <v>6129</v>
      </c>
      <c r="BB389" s="499"/>
      <c r="BC389" s="271"/>
      <c r="BD389" s="279">
        <v>1</v>
      </c>
      <c r="BE389" s="271"/>
      <c r="BF389" s="271"/>
      <c r="BG389" s="271"/>
      <c r="BH389" s="271"/>
      <c r="BI389" s="271"/>
      <c r="BJ389" s="271"/>
      <c r="BK389" s="271"/>
      <c r="BL389" s="271"/>
    </row>
    <row r="390" spans="18:64" ht="21" customHeight="1" x14ac:dyDescent="0.25">
      <c r="R390" s="34" t="s">
        <v>6130</v>
      </c>
      <c r="S390" s="451"/>
      <c r="T390" s="32" t="s">
        <v>8127</v>
      </c>
      <c r="V390" s="475">
        <v>9</v>
      </c>
      <c r="W390" s="475" t="str">
        <f>IF($AC$390="","",$W$360)</f>
        <v/>
      </c>
      <c r="X390" s="476" t="str">
        <f>IF($AC$390="","",$X$360)</f>
        <v/>
      </c>
      <c r="Y390" s="477" t="str">
        <f>IF($X$390="","",$Y$360)</f>
        <v/>
      </c>
      <c r="Z390" s="477" t="str">
        <f>IF($X$390="","",$Z$360)</f>
        <v/>
      </c>
      <c r="AA390" s="477" t="str">
        <f>IF($AC$390="","",ROW($A$390)-ROW($A$360))</f>
        <v/>
      </c>
      <c r="AB390" s="478"/>
      <c r="AC390" s="34"/>
      <c r="AD390" s="356"/>
      <c r="AE390" s="479"/>
      <c r="AF390" s="475"/>
      <c r="AG390" s="480" t="str">
        <f t="shared" si="100"/>
        <v/>
      </c>
      <c r="AH390" s="481" t="str">
        <f t="shared" si="101"/>
        <v/>
      </c>
      <c r="AI390" s="477" t="str">
        <f>IF($AC$390="","",IFERROR(INDEX($AZ$74:$AZ$119,MATCH($AH$390,$AY$74:$AY$119,0)),"AUTRE"))</f>
        <v/>
      </c>
      <c r="AJ390" s="482" t="str">
        <f>IF($AC$390="","",IFERROR(INDEX($BA$74:$BA$119,MATCH($AH$390,$AY$74:$AY$119,0)),1))</f>
        <v/>
      </c>
      <c r="AK390" s="482" t="str">
        <f t="shared" si="102"/>
        <v/>
      </c>
      <c r="AL390" s="477" t="str">
        <f>IF($AC$390="","",IFERROR(INDEX($BB$74:$BB$119,MATCH($AH$390,$AY$74:$AY$119,0)),$AH$390))</f>
        <v/>
      </c>
      <c r="AM390" s="483" t="str">
        <f t="shared" si="103"/>
        <v/>
      </c>
      <c r="AN390" s="484" t="str">
        <f t="shared" si="104"/>
        <v/>
      </c>
      <c r="AO390" s="473" t="str">
        <f t="shared" si="105"/>
        <v/>
      </c>
      <c r="AP390" s="473" t="str">
        <f t="shared" si="106"/>
        <v/>
      </c>
      <c r="AQ390" s="473" t="str">
        <f t="shared" si="107"/>
        <v/>
      </c>
      <c r="AR390" s="473" t="str">
        <f t="shared" si="108"/>
        <v/>
      </c>
      <c r="AS390" s="473" t="str">
        <f t="shared" si="109"/>
        <v/>
      </c>
      <c r="AT390" s="473" t="str">
        <f t="shared" si="110"/>
        <v/>
      </c>
      <c r="AU390" s="473" t="str">
        <f t="shared" si="111"/>
        <v/>
      </c>
      <c r="AY390" s="497" t="s">
        <v>462</v>
      </c>
      <c r="AZ390" s="32" t="s">
        <v>8143</v>
      </c>
      <c r="BA390" s="34" t="s">
        <v>478</v>
      </c>
      <c r="BB390" s="499"/>
      <c r="BC390" s="271"/>
      <c r="BD390" s="279">
        <v>1</v>
      </c>
      <c r="BE390" s="271"/>
      <c r="BF390" s="271"/>
      <c r="BG390" s="271"/>
      <c r="BH390" s="271"/>
      <c r="BI390" s="271"/>
      <c r="BJ390" s="271"/>
      <c r="BK390" s="271"/>
      <c r="BL390" s="271"/>
    </row>
    <row r="391" spans="18:64" ht="21" customHeight="1" x14ac:dyDescent="0.25">
      <c r="R391" s="34" t="s">
        <v>486</v>
      </c>
      <c r="S391" s="451"/>
      <c r="T391" s="32" t="s">
        <v>320</v>
      </c>
      <c r="V391" s="475">
        <v>9</v>
      </c>
      <c r="W391" s="475" t="str">
        <f>IF($AC$391="","",$W$360)</f>
        <v/>
      </c>
      <c r="X391" s="476" t="str">
        <f>IF($AC$391="","",$X$360)</f>
        <v/>
      </c>
      <c r="Y391" s="477" t="str">
        <f>IF($X$391="","",$Y$360)</f>
        <v/>
      </c>
      <c r="Z391" s="477" t="str">
        <f>IF($X$391="","",$Z$360)</f>
        <v/>
      </c>
      <c r="AA391" s="477" t="str">
        <f>IF($AC$391="","",ROW($A$391)-ROW($A$360))</f>
        <v/>
      </c>
      <c r="AB391" s="478"/>
      <c r="AC391" s="34"/>
      <c r="AD391" s="356"/>
      <c r="AE391" s="479"/>
      <c r="AF391" s="475"/>
      <c r="AG391" s="480" t="str">
        <f t="shared" si="100"/>
        <v/>
      </c>
      <c r="AH391" s="481" t="str">
        <f t="shared" si="101"/>
        <v/>
      </c>
      <c r="AI391" s="477" t="str">
        <f>IF($AC$391="","",IFERROR(INDEX($AZ$74:$AZ$119,MATCH($AH$391,$AY$74:$AY$119,0)),"AUTRE"))</f>
        <v/>
      </c>
      <c r="AJ391" s="482" t="str">
        <f>IF($AC$391="","",IFERROR(INDEX($BA$74:$BA$119,MATCH($AH$391,$AY$74:$AY$119,0)),1))</f>
        <v/>
      </c>
      <c r="AK391" s="482" t="str">
        <f t="shared" si="102"/>
        <v/>
      </c>
      <c r="AL391" s="477" t="str">
        <f>IF($AC$391="","",IFERROR(INDEX($BB$74:$BB$119,MATCH($AH$391,$AY$74:$AY$119,0)),$AH$391))</f>
        <v/>
      </c>
      <c r="AM391" s="483" t="str">
        <f t="shared" si="103"/>
        <v/>
      </c>
      <c r="AN391" s="484" t="str">
        <f t="shared" si="104"/>
        <v/>
      </c>
      <c r="AO391" s="473" t="str">
        <f t="shared" si="105"/>
        <v/>
      </c>
      <c r="AP391" s="473" t="str">
        <f t="shared" si="106"/>
        <v/>
      </c>
      <c r="AQ391" s="473" t="str">
        <f t="shared" si="107"/>
        <v/>
      </c>
      <c r="AR391" s="473" t="str">
        <f t="shared" si="108"/>
        <v/>
      </c>
      <c r="AS391" s="473" t="str">
        <f t="shared" si="109"/>
        <v/>
      </c>
      <c r="AT391" s="473" t="str">
        <f t="shared" si="110"/>
        <v/>
      </c>
      <c r="AU391" s="473" t="str">
        <f t="shared" si="111"/>
        <v/>
      </c>
      <c r="AY391" s="497" t="s">
        <v>463</v>
      </c>
      <c r="AZ391" s="497" t="s">
        <v>8145</v>
      </c>
      <c r="BA391" s="34" t="s">
        <v>6130</v>
      </c>
      <c r="BB391" s="499"/>
      <c r="BC391" s="271"/>
      <c r="BD391" s="279">
        <v>1</v>
      </c>
      <c r="BE391" s="271"/>
      <c r="BF391" s="271"/>
      <c r="BG391" s="271"/>
      <c r="BH391" s="271"/>
      <c r="BI391" s="271"/>
      <c r="BJ391" s="271"/>
      <c r="BK391" s="271"/>
      <c r="BL391" s="271"/>
    </row>
    <row r="392" spans="18:64" ht="21" customHeight="1" x14ac:dyDescent="0.25">
      <c r="R392" s="34" t="s">
        <v>479</v>
      </c>
      <c r="S392" s="451"/>
      <c r="T392" s="32" t="s">
        <v>318</v>
      </c>
      <c r="V392" s="475">
        <v>9</v>
      </c>
      <c r="W392" s="475" t="str">
        <f>IF($AC$392="","",$W$360)</f>
        <v/>
      </c>
      <c r="X392" s="476" t="str">
        <f>IF($AC$392="","",$X$360)</f>
        <v/>
      </c>
      <c r="Y392" s="477" t="str">
        <f>IF($X$392="","",$Y$360)</f>
        <v/>
      </c>
      <c r="Z392" s="477" t="str">
        <f>IF($X$392="","",$Z$360)</f>
        <v/>
      </c>
      <c r="AA392" s="477" t="str">
        <f>IF($AC$392="","",ROW($A$392)-ROW($A$360))</f>
        <v/>
      </c>
      <c r="AB392" s="478"/>
      <c r="AC392" s="34"/>
      <c r="AD392" s="356"/>
      <c r="AE392" s="479"/>
      <c r="AF392" s="475"/>
      <c r="AG392" s="480" t="str">
        <f t="shared" si="100"/>
        <v/>
      </c>
      <c r="AH392" s="481" t="str">
        <f t="shared" si="101"/>
        <v/>
      </c>
      <c r="AI392" s="477" t="str">
        <f>IF($AC$392="","",IFERROR(INDEX($AZ$74:$AZ$119,MATCH($AH$392,$AY$74:$AY$119,0)),"AUTRE"))</f>
        <v/>
      </c>
      <c r="AJ392" s="482" t="str">
        <f>IF($AC$392="","",IFERROR(INDEX($BA$74:$BA$119,MATCH($AH$392,$AY$74:$AY$119,0)),1))</f>
        <v/>
      </c>
      <c r="AK392" s="482" t="str">
        <f t="shared" si="102"/>
        <v/>
      </c>
      <c r="AL392" s="477" t="str">
        <f>IF($AC$392="","",IFERROR(INDEX($BB$74:$BB$119,MATCH($AH$392,$AY$74:$AY$119,0)),$AH$392))</f>
        <v/>
      </c>
      <c r="AM392" s="483" t="str">
        <f t="shared" si="103"/>
        <v/>
      </c>
      <c r="AN392" s="484" t="str">
        <f t="shared" si="104"/>
        <v/>
      </c>
      <c r="AO392" s="473" t="str">
        <f t="shared" si="105"/>
        <v/>
      </c>
      <c r="AP392" s="473" t="str">
        <f t="shared" si="106"/>
        <v/>
      </c>
      <c r="AQ392" s="473" t="str">
        <f t="shared" si="107"/>
        <v/>
      </c>
      <c r="AR392" s="473" t="str">
        <f t="shared" si="108"/>
        <v/>
      </c>
      <c r="AS392" s="473" t="str">
        <f t="shared" si="109"/>
        <v/>
      </c>
      <c r="AT392" s="473" t="str">
        <f t="shared" si="110"/>
        <v/>
      </c>
      <c r="AU392" s="473" t="str">
        <f t="shared" si="111"/>
        <v/>
      </c>
      <c r="AY392" s="497" t="s">
        <v>8147</v>
      </c>
      <c r="AZ392" s="497" t="s">
        <v>462</v>
      </c>
      <c r="BA392" s="34" t="s">
        <v>486</v>
      </c>
      <c r="BB392" s="499"/>
      <c r="BC392" s="271"/>
      <c r="BD392" s="279">
        <v>1</v>
      </c>
      <c r="BE392" s="271"/>
      <c r="BF392" s="271"/>
      <c r="BG392" s="271"/>
      <c r="BH392" s="271"/>
      <c r="BI392" s="271"/>
      <c r="BJ392" s="271"/>
      <c r="BK392" s="271"/>
      <c r="BL392" s="271"/>
    </row>
    <row r="393" spans="18:64" ht="21" customHeight="1" x14ac:dyDescent="0.25">
      <c r="R393" s="34" t="s">
        <v>6131</v>
      </c>
      <c r="S393" s="451"/>
      <c r="T393" s="32" t="s">
        <v>316</v>
      </c>
      <c r="V393" s="475">
        <v>9</v>
      </c>
      <c r="W393" s="475" t="str">
        <f>IF($AC$393="","",$W$360)</f>
        <v/>
      </c>
      <c r="X393" s="476" t="str">
        <f>IF($AC$393="","",$X$360)</f>
        <v/>
      </c>
      <c r="Y393" s="477" t="str">
        <f>IF($X$393="","",$Y$360)</f>
        <v/>
      </c>
      <c r="Z393" s="477" t="str">
        <f>IF($X$393="","",$Z$360)</f>
        <v/>
      </c>
      <c r="AA393" s="477" t="str">
        <f>IF($AC$393="","",ROW($A$393)-ROW($A$360))</f>
        <v/>
      </c>
      <c r="AB393" s="478"/>
      <c r="AC393" s="34"/>
      <c r="AD393" s="356"/>
      <c r="AE393" s="479"/>
      <c r="AF393" s="475"/>
      <c r="AG393" s="480" t="str">
        <f t="shared" si="100"/>
        <v/>
      </c>
      <c r="AH393" s="481" t="str">
        <f t="shared" si="101"/>
        <v/>
      </c>
      <c r="AI393" s="477" t="str">
        <f>IF($AC$393="","",IFERROR(INDEX($AZ$74:$AZ$119,MATCH($AH$393,$AY$74:$AY$119,0)),"AUTRE"))</f>
        <v/>
      </c>
      <c r="AJ393" s="482" t="str">
        <f>IF($AC$393="","",IFERROR(INDEX($BA$74:$BA$119,MATCH($AH$393,$AY$74:$AY$119,0)),1))</f>
        <v/>
      </c>
      <c r="AK393" s="482" t="str">
        <f t="shared" si="102"/>
        <v/>
      </c>
      <c r="AL393" s="477" t="str">
        <f>IF($AC$393="","",IFERROR(INDEX($BB$74:$BB$119,MATCH($AH$393,$AY$74:$AY$119,0)),$AH$393))</f>
        <v/>
      </c>
      <c r="AM393" s="483" t="str">
        <f t="shared" si="103"/>
        <v/>
      </c>
      <c r="AN393" s="484" t="str">
        <f t="shared" si="104"/>
        <v/>
      </c>
      <c r="AO393" s="473" t="str">
        <f t="shared" si="105"/>
        <v/>
      </c>
      <c r="AP393" s="473" t="str">
        <f t="shared" si="106"/>
        <v/>
      </c>
      <c r="AQ393" s="473" t="str">
        <f t="shared" si="107"/>
        <v/>
      </c>
      <c r="AR393" s="473" t="str">
        <f t="shared" si="108"/>
        <v/>
      </c>
      <c r="AS393" s="473" t="str">
        <f t="shared" si="109"/>
        <v/>
      </c>
      <c r="AT393" s="473" t="str">
        <f t="shared" si="110"/>
        <v/>
      </c>
      <c r="AU393" s="473" t="str">
        <f t="shared" si="111"/>
        <v/>
      </c>
      <c r="AY393" s="497" t="s">
        <v>465</v>
      </c>
      <c r="AZ393" s="497" t="s">
        <v>463</v>
      </c>
      <c r="BA393" s="34" t="s">
        <v>479</v>
      </c>
      <c r="BB393" s="499"/>
      <c r="BC393" s="271"/>
      <c r="BD393" s="279">
        <v>1</v>
      </c>
      <c r="BE393" s="271"/>
      <c r="BF393" s="271"/>
      <c r="BG393" s="271"/>
      <c r="BH393" s="271"/>
      <c r="BI393" s="271"/>
      <c r="BJ393" s="271"/>
      <c r="BK393" s="271"/>
      <c r="BL393" s="271"/>
    </row>
    <row r="394" spans="18:64" ht="21" customHeight="1" x14ac:dyDescent="0.25">
      <c r="R394" s="34" t="s">
        <v>485</v>
      </c>
      <c r="S394" s="451"/>
      <c r="T394" s="32" t="s">
        <v>313</v>
      </c>
      <c r="V394" s="475">
        <v>9</v>
      </c>
      <c r="W394" s="475" t="str">
        <f>IF($AC$394="","",$W$360)</f>
        <v/>
      </c>
      <c r="X394" s="476" t="str">
        <f>IF($AC$394="","",$X$360)</f>
        <v/>
      </c>
      <c r="Y394" s="477" t="str">
        <f>IF($X$394="","",$Y$360)</f>
        <v/>
      </c>
      <c r="Z394" s="477" t="str">
        <f>IF($X$394="","",$Z$360)</f>
        <v/>
      </c>
      <c r="AA394" s="477" t="str">
        <f>IF($AC$394="","",ROW($A$394)-ROW($A$360))</f>
        <v/>
      </c>
      <c r="AB394" s="478"/>
      <c r="AC394" s="34"/>
      <c r="AD394" s="356"/>
      <c r="AE394" s="479"/>
      <c r="AF394" s="475"/>
      <c r="AG394" s="491" t="str">
        <f t="shared" si="100"/>
        <v/>
      </c>
      <c r="AH394" s="481" t="str">
        <f t="shared" si="101"/>
        <v/>
      </c>
      <c r="AI394" s="477" t="str">
        <f>IF($AC$394="","",IFERROR(INDEX($AZ$74:$AZ$119,MATCH($AH$394,$AY$74:$AY$119,0)),"AUTRE"))</f>
        <v/>
      </c>
      <c r="AJ394" s="482" t="str">
        <f>IF($AC$394="","",IFERROR(INDEX($BA$74:$BA$119,MATCH($AH$394,$AY$74:$AY$119,0)),1))</f>
        <v/>
      </c>
      <c r="AK394" s="482" t="str">
        <f t="shared" si="102"/>
        <v/>
      </c>
      <c r="AL394" s="477" t="str">
        <f>IF($AC$394="","",IFERROR(INDEX($BB$74:$BB$119,MATCH($AH$394,$AY$74:$AY$119,0)),$AH$394))</f>
        <v/>
      </c>
      <c r="AM394" s="483" t="str">
        <f t="shared" si="103"/>
        <v/>
      </c>
      <c r="AN394" s="484" t="str">
        <f t="shared" si="104"/>
        <v/>
      </c>
      <c r="AO394" s="473" t="str">
        <f t="shared" si="105"/>
        <v/>
      </c>
      <c r="AP394" s="473" t="str">
        <f t="shared" si="106"/>
        <v/>
      </c>
      <c r="AQ394" s="473" t="str">
        <f t="shared" si="107"/>
        <v/>
      </c>
      <c r="AR394" s="473" t="str">
        <f t="shared" si="108"/>
        <v/>
      </c>
      <c r="AS394" s="473" t="str">
        <f t="shared" si="109"/>
        <v/>
      </c>
      <c r="AT394" s="473" t="str">
        <f t="shared" si="110"/>
        <v/>
      </c>
      <c r="AU394" s="473" t="str">
        <f t="shared" si="111"/>
        <v/>
      </c>
      <c r="AY394" s="497" t="s">
        <v>466</v>
      </c>
      <c r="AZ394" s="497" t="s">
        <v>8147</v>
      </c>
      <c r="BA394" s="34" t="s">
        <v>6131</v>
      </c>
      <c r="BB394" s="499"/>
      <c r="BC394" s="271"/>
      <c r="BD394" s="279">
        <v>1</v>
      </c>
      <c r="BE394" s="271"/>
      <c r="BF394" s="271"/>
      <c r="BG394" s="271"/>
      <c r="BH394" s="271"/>
      <c r="BI394" s="271"/>
      <c r="BJ394" s="271"/>
      <c r="BK394" s="271"/>
      <c r="BL394" s="271"/>
    </row>
    <row r="395" spans="18:64" ht="30" customHeight="1" x14ac:dyDescent="0.25">
      <c r="R395" s="34" t="s">
        <v>6132</v>
      </c>
      <c r="S395" s="451"/>
      <c r="T395" s="32" t="s">
        <v>307</v>
      </c>
      <c r="V395" s="453" t="s">
        <v>324</v>
      </c>
      <c r="W395" s="453" t="s">
        <v>7912</v>
      </c>
      <c r="X395" s="453" t="s">
        <v>326</v>
      </c>
      <c r="Y395" s="453" t="s">
        <v>327</v>
      </c>
      <c r="Z395" s="454" t="s">
        <v>7930</v>
      </c>
      <c r="AA395" s="453" t="s">
        <v>7937</v>
      </c>
      <c r="AB395" s="501" t="s">
        <v>39</v>
      </c>
      <c r="AC395" s="501" t="s">
        <v>338</v>
      </c>
      <c r="AD395" s="501" t="s">
        <v>8114</v>
      </c>
      <c r="AE395" s="501" t="s">
        <v>339</v>
      </c>
      <c r="AF395" s="501" t="s">
        <v>7997</v>
      </c>
      <c r="AG395" s="453" t="s">
        <v>8018</v>
      </c>
      <c r="AH395" s="453" t="s">
        <v>8023</v>
      </c>
      <c r="AI395" s="453" t="s">
        <v>330</v>
      </c>
      <c r="AJ395" s="453" t="s">
        <v>8031</v>
      </c>
      <c r="AK395" s="453" t="s">
        <v>8037</v>
      </c>
      <c r="AL395" s="453" t="s">
        <v>8041</v>
      </c>
      <c r="AM395" s="453" t="s">
        <v>343</v>
      </c>
      <c r="AN395" s="457" t="s">
        <v>8115</v>
      </c>
      <c r="AO395" s="457" t="s">
        <v>8116</v>
      </c>
      <c r="AP395" s="656" t="s">
        <v>8117</v>
      </c>
      <c r="AQ395" s="656"/>
      <c r="AR395" s="656"/>
      <c r="AS395" s="656"/>
      <c r="AT395" s="656"/>
      <c r="AU395" s="657"/>
      <c r="AZ395" s="497" t="s">
        <v>465</v>
      </c>
      <c r="BA395" s="34" t="s">
        <v>485</v>
      </c>
      <c r="BB395" s="499"/>
      <c r="BC395" s="271"/>
      <c r="BD395" s="279">
        <v>1</v>
      </c>
      <c r="BE395" s="271"/>
      <c r="BF395" s="271"/>
      <c r="BG395" s="271"/>
      <c r="BH395" s="271"/>
      <c r="BI395" s="271"/>
      <c r="BJ395" s="271"/>
      <c r="BK395" s="271"/>
      <c r="BL395" s="271"/>
    </row>
    <row r="396" spans="18:64" ht="30" customHeight="1" x14ac:dyDescent="0.25">
      <c r="R396" s="25" t="s">
        <v>6133</v>
      </c>
      <c r="S396" s="451"/>
      <c r="T396" s="32" t="s">
        <v>322</v>
      </c>
      <c r="V396" s="459">
        <v>10</v>
      </c>
      <c r="W396" s="460" t="s">
        <v>8159</v>
      </c>
      <c r="X396" s="461" t="s">
        <v>8164</v>
      </c>
      <c r="Y396" s="502"/>
      <c r="Z396" s="463">
        <v>100</v>
      </c>
      <c r="AA396" s="464">
        <f>IF($AC$396="","",ROW($A$396)-ROW($A$396))</f>
        <v>0</v>
      </c>
      <c r="AB396" s="461"/>
      <c r="AC396" s="465" t="s">
        <v>8165</v>
      </c>
      <c r="AD396" s="390"/>
      <c r="AE396" s="390"/>
      <c r="AF396" s="466"/>
      <c r="AG396" s="467" t="str">
        <f t="shared" ref="AG396:AG430" si="112">IF($AC396="","",IF(LEN($AN396&amp;"")=0,"",$AN396))</f>
        <v/>
      </c>
      <c r="AH396" s="468" t="str">
        <f t="shared" ref="AH396:AH430" si="113">IF($AC396="","",IF($AF396&lt;&gt;"",UPPER(TRIM(SUBSTITUTE(SUBSTITUTE($AF396&amp;"",CHAR(160)," ")," "," "))),$AP396))</f>
        <v/>
      </c>
      <c r="AI396" s="469" t="str">
        <f>IF($AC$396="","",IFERROR(INDEX($AZ$74:$AZ$119,MATCH($AH$396,$AY$74:$AY$119,0)),"AUTRE"))</f>
        <v>AUTRE</v>
      </c>
      <c r="AJ396" s="470">
        <f>IF($AC$396="","",IFERROR(INDEX($BA$74:$BA$119,MATCH($AH$396,$AY$74:$AY$119,0)),1))</f>
        <v>1</v>
      </c>
      <c r="AK396" s="470" t="str">
        <f t="shared" ref="AK396:AK430" si="114">IF(OR(AG396="",AJ396=""),"",AG396*AJ396)</f>
        <v/>
      </c>
      <c r="AL396" s="469" t="str">
        <f>IF($AC$396="","",IFERROR(INDEX($BB$74:$BB$119,MATCH($AH$396,$AY$74:$AY$119,0)),$AH$396))</f>
        <v/>
      </c>
      <c r="AM396" s="471" t="str">
        <f t="shared" ref="AM396:AM430" si="115">IF($AC396="","",IF($AH396="QT. SUFFISANTE","OK",IF($AG396="","TEXTE",IF(NOT(ISNUMBER($AG396)),"QUANTITÉ À CONTRÔLER",IF(COUNTIF($AY$74:$AY$119,$AH396)=0,"UNITÉ À CONTRÔLER","OK")))))</f>
        <v>TEXTE</v>
      </c>
      <c r="AN396" s="474" t="str">
        <f t="shared" ref="AN396:AN430" si="116">IF($AE396&lt;&gt;"",$AE396,IF($AD396="","",IF(ISNUMBER($AD396),$AD396,IF($AO396="QT",0,IF($AO396="","",IFERROR(IF(ISNUMBER(SEARCH("/",$AO396)),VALUE(TRIM(LEFT($AO396,SEARCH("/",$AO396)-1)))/VALUE(TRIM(MID($AO396,SEARCH("/",$AO396)+1,99))),VALUE(SUBSTITUTE($AO396,".",","))),""))))))</f>
        <v/>
      </c>
      <c r="AO396" s="473" t="str">
        <f t="shared" ref="AO396:AO430" si="117">IF($AD396="","",IF(ISNUMBER($AD396),$AD396,IF(OR(LEFT($AQ396,3)="QT.",LEFT($AQ396,4)="QUAN"),"QT",IF($AR396=999,$AQ396,TRIM(LEFT($AQ396,$AR396-1))))))</f>
        <v/>
      </c>
      <c r="AP396" s="473" t="str">
        <f t="shared" ref="AP396:AP430" si="118">IF($AD396="","",IF(ISNUMBER($AD396),"",IF(OR(LEFT($AQ396,3)="QT.",LEFT($AQ396,4)="QUAN"),"QT. SUFFISANTE",IF($AO396="","",TRIM(MID($AQ396,LEN($AO396&amp;"")+1,999))))))</f>
        <v/>
      </c>
      <c r="AQ396" s="473" t="str">
        <f t="shared" ref="AQ396:AQ430" si="119">IF($AD396="","",UPPER(TRIM(SUBSTITUTE(SUBSTITUTE($AD396&amp;"",CHAR(160)," ")," "," "))))</f>
        <v/>
      </c>
      <c r="AR396" s="473" t="str">
        <f t="shared" ref="AR396:AR430" si="120">IF($AQ396="","",MIN($AS396,$AT396,$AU396))</f>
        <v/>
      </c>
      <c r="AS396" s="473" t="str">
        <f t="shared" ref="AS396:AS430" si="121">IF($AQ396="","",MIN(IFERROR(SEARCH("A",$AQ396),999),IFERROR(SEARCH("B",$AQ396),999),IFERROR(SEARCH("C",$AQ396),999),IFERROR(SEARCH("D",$AQ396),999),IFERROR(SEARCH("E",$AQ396),999),IFERROR(SEARCH("F",$AQ396),999),IFERROR(SEARCH("G",$AQ396),999),IFERROR(SEARCH("H",$AQ396),999),IFERROR(SEARCH("I",$AQ396),999)))</f>
        <v/>
      </c>
      <c r="AT396" s="473" t="str">
        <f t="shared" ref="AT396:AT430" si="122">IF($AQ396="","",MIN(IFERROR(SEARCH("J",$AQ396),999),IFERROR(SEARCH("K",$AQ396),999),IFERROR(SEARCH("L",$AQ396),999),IFERROR(SEARCH("M",$AQ396),999),IFERROR(SEARCH("N",$AQ396),999),IFERROR(SEARCH("O",$AQ396),999),IFERROR(SEARCH("P",$AQ396),999),IFERROR(SEARCH("Q",$AQ396),999),IFERROR(SEARCH("R",$AQ396),999)))</f>
        <v/>
      </c>
      <c r="AU396" s="473" t="str">
        <f t="shared" ref="AU396:AU430" si="123">IF($AQ396="","",MIN(IFERROR(SEARCH("S",$AQ396),999),IFERROR(SEARCH("T",$AQ396),999),IFERROR(SEARCH("U",$AQ396),999),IFERROR(SEARCH("V",$AQ396),999),IFERROR(SEARCH("W",$AQ396),999),IFERROR(SEARCH("X",$AQ396),999),IFERROR(SEARCH("Y",$AQ396),999),IFERROR(SEARCH("Z",$AQ396),999)))</f>
        <v/>
      </c>
      <c r="AZ396" s="497" t="s">
        <v>466</v>
      </c>
      <c r="BA396" s="34" t="s">
        <v>6132</v>
      </c>
      <c r="BB396" s="499"/>
      <c r="BC396" s="271"/>
      <c r="BD396" s="279">
        <v>1</v>
      </c>
      <c r="BE396" s="271"/>
      <c r="BF396" s="271"/>
      <c r="BG396" s="271"/>
      <c r="BH396" s="271"/>
      <c r="BI396" s="271"/>
      <c r="BJ396" s="271"/>
      <c r="BK396" s="271"/>
      <c r="BL396" s="271"/>
    </row>
    <row r="397" spans="18:64" ht="21" customHeight="1" x14ac:dyDescent="0.25">
      <c r="R397" s="34" t="s">
        <v>476</v>
      </c>
      <c r="S397" s="451"/>
      <c r="T397" s="32" t="s">
        <v>305</v>
      </c>
      <c r="V397" s="475">
        <f>$V$396</f>
        <v>10</v>
      </c>
      <c r="W397" s="475" t="str">
        <f>IF($AC$397="","",$W$396)</f>
        <v/>
      </c>
      <c r="X397" s="476" t="str">
        <f>IF($AC$397="","",$X$396)</f>
        <v/>
      </c>
      <c r="Y397" s="477" t="str">
        <f>IF($X$397="","",$Y$396)</f>
        <v/>
      </c>
      <c r="Z397" s="477" t="str">
        <f>IF($X$397="","",$Z$396)</f>
        <v/>
      </c>
      <c r="AA397" s="477" t="str">
        <f>IF($AC$397="","",ROW($A$397)-ROW($A$396))</f>
        <v/>
      </c>
      <c r="AB397" s="478"/>
      <c r="AC397" s="34"/>
      <c r="AD397" s="356"/>
      <c r="AE397" s="479"/>
      <c r="AF397" s="475"/>
      <c r="AG397" s="480" t="str">
        <f t="shared" si="112"/>
        <v/>
      </c>
      <c r="AH397" s="481" t="str">
        <f t="shared" si="113"/>
        <v/>
      </c>
      <c r="AI397" s="477" t="str">
        <f>IF($AC$397="","",IFERROR(INDEX($AZ$74:$AZ$119,MATCH($AH$397,$AY$74:$AY$119,0)),"AUTRE"))</f>
        <v/>
      </c>
      <c r="AJ397" s="482" t="str">
        <f>IF($AC$397="","",IFERROR(INDEX($BA$74:$BA$119,MATCH($AH$397,$AY$74:$AY$119,0)),1))</f>
        <v/>
      </c>
      <c r="AK397" s="482" t="str">
        <f t="shared" si="114"/>
        <v/>
      </c>
      <c r="AL397" s="477" t="str">
        <f>IF($AC$397="","",IFERROR(INDEX($BB$74:$BB$119,MATCH($AH$397,$AY$74:$AY$119,0)),$AH$397))</f>
        <v/>
      </c>
      <c r="AM397" s="483" t="str">
        <f t="shared" si="115"/>
        <v/>
      </c>
      <c r="AN397" s="484" t="str">
        <f t="shared" si="116"/>
        <v/>
      </c>
      <c r="AO397" s="473" t="str">
        <f t="shared" si="117"/>
        <v/>
      </c>
      <c r="AP397" s="473" t="str">
        <f t="shared" si="118"/>
        <v/>
      </c>
      <c r="AQ397" s="473" t="str">
        <f t="shared" si="119"/>
        <v/>
      </c>
      <c r="AR397" s="473" t="str">
        <f t="shared" si="120"/>
        <v/>
      </c>
      <c r="AS397" s="473" t="str">
        <f t="shared" si="121"/>
        <v/>
      </c>
      <c r="AT397" s="473" t="str">
        <f t="shared" si="122"/>
        <v/>
      </c>
      <c r="AU397" s="473" t="str">
        <f t="shared" si="123"/>
        <v/>
      </c>
      <c r="AZ397" s="14" t="s">
        <v>7</v>
      </c>
      <c r="BA397" s="25" t="s">
        <v>6133</v>
      </c>
      <c r="BB397" s="499"/>
      <c r="BC397" s="271"/>
      <c r="BD397" s="279">
        <v>1</v>
      </c>
      <c r="BE397" s="271"/>
      <c r="BF397" s="271"/>
      <c r="BG397" s="271"/>
      <c r="BH397" s="271"/>
      <c r="BI397" s="271"/>
      <c r="BJ397" s="271"/>
      <c r="BK397" s="271"/>
      <c r="BL397" s="271"/>
    </row>
    <row r="398" spans="18:64" ht="21" customHeight="1" x14ac:dyDescent="0.25">
      <c r="R398" s="34" t="s">
        <v>468</v>
      </c>
      <c r="S398" s="451"/>
      <c r="T398" s="32" t="s">
        <v>309</v>
      </c>
      <c r="V398" s="475">
        <v>10</v>
      </c>
      <c r="W398" s="475" t="str">
        <f>IF($AC$398="","",$W$396)</f>
        <v/>
      </c>
      <c r="X398" s="476" t="str">
        <f>IF($AC$398="","",$X$396)</f>
        <v/>
      </c>
      <c r="Y398" s="477" t="str">
        <f>IF($X$398="","",$Y$396)</f>
        <v/>
      </c>
      <c r="Z398" s="477" t="str">
        <f>IF($X$398="","",$Z$396)</f>
        <v/>
      </c>
      <c r="AA398" s="477" t="str">
        <f>IF($AC$398="","",ROW($A$398)-ROW($A$396))</f>
        <v/>
      </c>
      <c r="AB398" s="478"/>
      <c r="AC398" s="34"/>
      <c r="AD398" s="356"/>
      <c r="AE398" s="479"/>
      <c r="AF398" s="475"/>
      <c r="AG398" s="480" t="str">
        <f t="shared" si="112"/>
        <v/>
      </c>
      <c r="AH398" s="481" t="str">
        <f t="shared" si="113"/>
        <v/>
      </c>
      <c r="AI398" s="477" t="str">
        <f>IF($AC$398="","",IFERROR(INDEX($AZ$74:$AZ$119,MATCH($AH$398,$AY$74:$AY$119,0)),"AUTRE"))</f>
        <v/>
      </c>
      <c r="AJ398" s="482" t="str">
        <f>IF($AC$398="","",IFERROR(INDEX($BA$74:$BA$119,MATCH($AH$398,$AY$74:$AY$119,0)),1))</f>
        <v/>
      </c>
      <c r="AK398" s="482" t="str">
        <f t="shared" si="114"/>
        <v/>
      </c>
      <c r="AL398" s="477" t="str">
        <f>IF($AC$398="","",IFERROR(INDEX($BB$74:$BB$119,MATCH($AH$398,$AY$74:$AY$119,0)),$AH$398))</f>
        <v/>
      </c>
      <c r="AM398" s="483" t="str">
        <f t="shared" si="115"/>
        <v/>
      </c>
      <c r="AN398" s="484" t="str">
        <f t="shared" si="116"/>
        <v/>
      </c>
      <c r="AO398" s="473" t="str">
        <f t="shared" si="117"/>
        <v/>
      </c>
      <c r="AP398" s="473" t="str">
        <f t="shared" si="118"/>
        <v/>
      </c>
      <c r="AQ398" s="473" t="str">
        <f t="shared" si="119"/>
        <v/>
      </c>
      <c r="AR398" s="473" t="str">
        <f t="shared" si="120"/>
        <v/>
      </c>
      <c r="AS398" s="473" t="str">
        <f t="shared" si="121"/>
        <v/>
      </c>
      <c r="AT398" s="473" t="str">
        <f t="shared" si="122"/>
        <v/>
      </c>
      <c r="AU398" s="473" t="str">
        <f t="shared" si="123"/>
        <v/>
      </c>
      <c r="AZ398" s="27" t="s">
        <v>8</v>
      </c>
      <c r="BA398" s="34" t="s">
        <v>476</v>
      </c>
      <c r="BB398" s="499"/>
      <c r="BC398" s="271"/>
      <c r="BD398" s="279">
        <v>1</v>
      </c>
      <c r="BE398" s="271"/>
      <c r="BF398" s="271"/>
      <c r="BG398" s="271"/>
      <c r="BH398" s="271"/>
      <c r="BI398" s="271"/>
      <c r="BJ398" s="271"/>
      <c r="BK398" s="271"/>
      <c r="BL398" s="271"/>
    </row>
    <row r="399" spans="18:64" ht="21" customHeight="1" x14ac:dyDescent="0.25">
      <c r="R399" s="34" t="s">
        <v>473</v>
      </c>
      <c r="S399" s="451"/>
      <c r="T399" s="32" t="s">
        <v>311</v>
      </c>
      <c r="V399" s="475">
        <v>10</v>
      </c>
      <c r="W399" s="475" t="str">
        <f>IF($AC$399="","",$W$396)</f>
        <v/>
      </c>
      <c r="X399" s="476" t="str">
        <f>IF($AC$399="","",$X$396)</f>
        <v/>
      </c>
      <c r="Y399" s="477" t="str">
        <f>IF($X$399="","",$Y$396)</f>
        <v/>
      </c>
      <c r="Z399" s="477" t="str">
        <f>IF($X$399="","",$Z$396)</f>
        <v/>
      </c>
      <c r="AA399" s="477" t="str">
        <f>IF($AC$399="","",ROW($A$399)-ROW($A$396))</f>
        <v/>
      </c>
      <c r="AB399" s="478"/>
      <c r="AC399" s="34"/>
      <c r="AD399" s="356"/>
      <c r="AE399" s="479"/>
      <c r="AF399" s="475"/>
      <c r="AG399" s="480" t="str">
        <f t="shared" si="112"/>
        <v/>
      </c>
      <c r="AH399" s="481" t="str">
        <f t="shared" si="113"/>
        <v/>
      </c>
      <c r="AI399" s="477" t="str">
        <f>IF($AC$399="","",IFERROR(INDEX($AZ$74:$AZ$119,MATCH($AH$399,$AY$74:$AY$119,0)),"AUTRE"))</f>
        <v/>
      </c>
      <c r="AJ399" s="482" t="str">
        <f>IF($AC$399="","",IFERROR(INDEX($BA$74:$BA$119,MATCH($AH$399,$AY$74:$AY$119,0)),1))</f>
        <v/>
      </c>
      <c r="AK399" s="482" t="str">
        <f t="shared" si="114"/>
        <v/>
      </c>
      <c r="AL399" s="477" t="str">
        <f>IF($AC$399="","",IFERROR(INDEX($BB$74:$BB$119,MATCH($AH$399,$AY$74:$AY$119,0)),$AH$399))</f>
        <v/>
      </c>
      <c r="AM399" s="483" t="str">
        <f t="shared" si="115"/>
        <v/>
      </c>
      <c r="AN399" s="484" t="str">
        <f t="shared" si="116"/>
        <v/>
      </c>
      <c r="AO399" s="473" t="str">
        <f t="shared" si="117"/>
        <v/>
      </c>
      <c r="AP399" s="473" t="str">
        <f t="shared" si="118"/>
        <v/>
      </c>
      <c r="AQ399" s="473" t="str">
        <f t="shared" si="119"/>
        <v/>
      </c>
      <c r="AR399" s="473" t="str">
        <f t="shared" si="120"/>
        <v/>
      </c>
      <c r="AS399" s="473" t="str">
        <f t="shared" si="121"/>
        <v/>
      </c>
      <c r="AT399" s="473" t="str">
        <f t="shared" si="122"/>
        <v/>
      </c>
      <c r="AU399" s="473" t="str">
        <f t="shared" si="123"/>
        <v/>
      </c>
      <c r="AZ399" s="28" t="s">
        <v>13</v>
      </c>
      <c r="BA399" s="34" t="s">
        <v>468</v>
      </c>
      <c r="BB399" s="499"/>
      <c r="BC399" s="271"/>
      <c r="BD399" s="279">
        <v>1</v>
      </c>
      <c r="BE399" s="271"/>
      <c r="BF399" s="271"/>
      <c r="BG399" s="271"/>
      <c r="BH399" s="271"/>
      <c r="BI399" s="271"/>
      <c r="BJ399" s="271"/>
      <c r="BK399" s="271"/>
      <c r="BL399" s="271"/>
    </row>
    <row r="400" spans="18:64" ht="21" customHeight="1" x14ac:dyDescent="0.25">
      <c r="R400" s="34" t="s">
        <v>497</v>
      </c>
      <c r="S400" s="451"/>
      <c r="T400" s="32" t="s">
        <v>8135</v>
      </c>
      <c r="V400" s="475">
        <v>10</v>
      </c>
      <c r="W400" s="475" t="str">
        <f>IF($AC$400="","",$W$396)</f>
        <v/>
      </c>
      <c r="X400" s="476" t="str">
        <f>IF($AC$400="","",$X$396)</f>
        <v/>
      </c>
      <c r="Y400" s="477" t="str">
        <f>IF($X$400="","",$Y$396)</f>
        <v/>
      </c>
      <c r="Z400" s="477" t="str">
        <f>IF($X$400="","",$Z$396)</f>
        <v/>
      </c>
      <c r="AA400" s="477" t="str">
        <f>IF($AC$400="","",ROW($A$400)-ROW($A$396))</f>
        <v/>
      </c>
      <c r="AB400" s="478"/>
      <c r="AC400" s="34"/>
      <c r="AD400" s="356"/>
      <c r="AE400" s="479"/>
      <c r="AF400" s="475"/>
      <c r="AG400" s="480" t="str">
        <f t="shared" si="112"/>
        <v/>
      </c>
      <c r="AH400" s="481" t="str">
        <f t="shared" si="113"/>
        <v/>
      </c>
      <c r="AI400" s="477" t="str">
        <f>IF($AC$400="","",IFERROR(INDEX($AZ$74:$AZ$119,MATCH($AH$400,$AY$74:$AY$119,0)),"AUTRE"))</f>
        <v/>
      </c>
      <c r="AJ400" s="482" t="str">
        <f>IF($AC$400="","",IFERROR(INDEX($BA$74:$BA$119,MATCH($AH$400,$AY$74:$AY$119,0)),1))</f>
        <v/>
      </c>
      <c r="AK400" s="482" t="str">
        <f t="shared" si="114"/>
        <v/>
      </c>
      <c r="AL400" s="477" t="str">
        <f>IF($AC$400="","",IFERROR(INDEX($BB$74:$BB$119,MATCH($AH$400,$AY$74:$AY$119,0)),$AH$400))</f>
        <v/>
      </c>
      <c r="AM400" s="483" t="str">
        <f t="shared" si="115"/>
        <v/>
      </c>
      <c r="AN400" s="484" t="str">
        <f t="shared" si="116"/>
        <v/>
      </c>
      <c r="AO400" s="473" t="str">
        <f t="shared" si="117"/>
        <v/>
      </c>
      <c r="AP400" s="473" t="str">
        <f t="shared" si="118"/>
        <v/>
      </c>
      <c r="AQ400" s="473" t="str">
        <f t="shared" si="119"/>
        <v/>
      </c>
      <c r="AR400" s="473" t="str">
        <f t="shared" si="120"/>
        <v/>
      </c>
      <c r="AS400" s="473" t="str">
        <f t="shared" si="121"/>
        <v/>
      </c>
      <c r="AT400" s="473" t="str">
        <f t="shared" si="122"/>
        <v/>
      </c>
      <c r="AU400" s="473" t="str">
        <f t="shared" si="123"/>
        <v/>
      </c>
      <c r="AZ400" s="28" t="s">
        <v>14</v>
      </c>
      <c r="BA400" s="34" t="s">
        <v>473</v>
      </c>
      <c r="BB400" s="499"/>
      <c r="BC400" s="271"/>
      <c r="BD400" s="279">
        <v>1</v>
      </c>
      <c r="BE400" s="271"/>
      <c r="BF400" s="271"/>
      <c r="BG400" s="271"/>
      <c r="BH400" s="271"/>
      <c r="BI400" s="271"/>
      <c r="BJ400" s="271"/>
      <c r="BK400" s="271"/>
      <c r="BL400" s="271"/>
    </row>
    <row r="401" spans="18:64" ht="21" customHeight="1" x14ac:dyDescent="0.25">
      <c r="R401" s="34" t="s">
        <v>470</v>
      </c>
      <c r="S401" s="451"/>
      <c r="T401" s="497" t="s">
        <v>462</v>
      </c>
      <c r="V401" s="475">
        <v>10</v>
      </c>
      <c r="W401" s="475" t="str">
        <f>IF($AC$401="","",$W$396)</f>
        <v/>
      </c>
      <c r="X401" s="476" t="str">
        <f>IF($AC$401="","",$X$396)</f>
        <v/>
      </c>
      <c r="Y401" s="477" t="str">
        <f>IF($X$401="","",$Y$396)</f>
        <v/>
      </c>
      <c r="Z401" s="477" t="str">
        <f>IF($X$401="","",$Z$396)</f>
        <v/>
      </c>
      <c r="AA401" s="477" t="str">
        <f>IF($AC$401="","",ROW($A$401)-ROW($A$396))</f>
        <v/>
      </c>
      <c r="AB401" s="478"/>
      <c r="AC401" s="34"/>
      <c r="AD401" s="356"/>
      <c r="AE401" s="479"/>
      <c r="AF401" s="475"/>
      <c r="AG401" s="480" t="str">
        <f t="shared" si="112"/>
        <v/>
      </c>
      <c r="AH401" s="481" t="str">
        <f t="shared" si="113"/>
        <v/>
      </c>
      <c r="AI401" s="477" t="str">
        <f>IF($AC$401="","",IFERROR(INDEX($AZ$74:$AZ$119,MATCH($AH$401,$AY$74:$AY$119,0)),"AUTRE"))</f>
        <v/>
      </c>
      <c r="AJ401" s="482" t="str">
        <f>IF($AC$401="","",IFERROR(INDEX($BA$74:$BA$119,MATCH($AH$401,$AY$74:$AY$119,0)),1))</f>
        <v/>
      </c>
      <c r="AK401" s="482" t="str">
        <f t="shared" si="114"/>
        <v/>
      </c>
      <c r="AL401" s="477" t="str">
        <f>IF($AC$401="","",IFERROR(INDEX($BB$74:$BB$119,MATCH($AH$401,$AY$74:$AY$119,0)),$AH$401))</f>
        <v/>
      </c>
      <c r="AM401" s="483" t="str">
        <f t="shared" si="115"/>
        <v/>
      </c>
      <c r="AN401" s="484" t="str">
        <f t="shared" si="116"/>
        <v/>
      </c>
      <c r="AO401" s="473" t="str">
        <f t="shared" si="117"/>
        <v/>
      </c>
      <c r="AP401" s="473" t="str">
        <f t="shared" si="118"/>
        <v/>
      </c>
      <c r="AQ401" s="473" t="str">
        <f t="shared" si="119"/>
        <v/>
      </c>
      <c r="AR401" s="473" t="str">
        <f t="shared" si="120"/>
        <v/>
      </c>
      <c r="AS401" s="473" t="str">
        <f t="shared" si="121"/>
        <v/>
      </c>
      <c r="AT401" s="473" t="str">
        <f t="shared" si="122"/>
        <v/>
      </c>
      <c r="AU401" s="473" t="str">
        <f t="shared" si="123"/>
        <v/>
      </c>
      <c r="AZ401" s="28" t="s">
        <v>15</v>
      </c>
      <c r="BA401" s="34" t="s">
        <v>497</v>
      </c>
      <c r="BB401" s="499"/>
      <c r="BC401" s="271"/>
      <c r="BD401" s="279">
        <v>1</v>
      </c>
      <c r="BE401" s="271"/>
      <c r="BF401" s="271"/>
      <c r="BG401" s="271"/>
      <c r="BH401" s="271"/>
      <c r="BI401" s="271"/>
      <c r="BJ401" s="271"/>
      <c r="BK401" s="271"/>
      <c r="BL401" s="271"/>
    </row>
    <row r="402" spans="18:64" ht="21" customHeight="1" x14ac:dyDescent="0.25">
      <c r="R402" s="34" t="s">
        <v>477</v>
      </c>
      <c r="S402" s="451"/>
      <c r="T402" s="497" t="s">
        <v>463</v>
      </c>
      <c r="V402" s="475">
        <v>10</v>
      </c>
      <c r="W402" s="475" t="str">
        <f>IF($AC$402="","",$W$396)</f>
        <v/>
      </c>
      <c r="X402" s="476" t="str">
        <f>IF($AC$402="","",$X$396)</f>
        <v/>
      </c>
      <c r="Y402" s="477" t="str">
        <f>IF($X$402="","",$Y$396)</f>
        <v/>
      </c>
      <c r="Z402" s="477" t="str">
        <f>IF($X$402="","",$Z$396)</f>
        <v/>
      </c>
      <c r="AA402" s="477" t="str">
        <f>IF($AC$402="","",ROW($A$402)-ROW($A$396))</f>
        <v/>
      </c>
      <c r="AB402" s="478"/>
      <c r="AC402" s="34"/>
      <c r="AD402" s="356"/>
      <c r="AE402" s="479"/>
      <c r="AF402" s="475"/>
      <c r="AG402" s="480" t="str">
        <f t="shared" si="112"/>
        <v/>
      </c>
      <c r="AH402" s="481" t="str">
        <f t="shared" si="113"/>
        <v/>
      </c>
      <c r="AI402" s="477" t="str">
        <f>IF($AC$402="","",IFERROR(INDEX($AZ$74:$AZ$119,MATCH($AH$402,$AY$74:$AY$119,0)),"AUTRE"))</f>
        <v/>
      </c>
      <c r="AJ402" s="482" t="str">
        <f>IF($AC$402="","",IFERROR(INDEX($BA$74:$BA$119,MATCH($AH$402,$AY$74:$AY$119,0)),1))</f>
        <v/>
      </c>
      <c r="AK402" s="482" t="str">
        <f t="shared" si="114"/>
        <v/>
      </c>
      <c r="AL402" s="477" t="str">
        <f>IF($AC$402="","",IFERROR(INDEX($BB$74:$BB$119,MATCH($AH$402,$AY$74:$AY$119,0)),$AH$402))</f>
        <v/>
      </c>
      <c r="AM402" s="483" t="str">
        <f t="shared" si="115"/>
        <v/>
      </c>
      <c r="AN402" s="484" t="str">
        <f t="shared" si="116"/>
        <v/>
      </c>
      <c r="AO402" s="473" t="str">
        <f t="shared" si="117"/>
        <v/>
      </c>
      <c r="AP402" s="473" t="str">
        <f t="shared" si="118"/>
        <v/>
      </c>
      <c r="AQ402" s="473" t="str">
        <f t="shared" si="119"/>
        <v/>
      </c>
      <c r="AR402" s="473" t="str">
        <f t="shared" si="120"/>
        <v/>
      </c>
      <c r="AS402" s="473" t="str">
        <f t="shared" si="121"/>
        <v/>
      </c>
      <c r="AT402" s="473" t="str">
        <f t="shared" si="122"/>
        <v/>
      </c>
      <c r="AU402" s="473" t="str">
        <f t="shared" si="123"/>
        <v/>
      </c>
      <c r="AZ402" s="29" t="s">
        <v>9</v>
      </c>
      <c r="BA402" s="34" t="s">
        <v>470</v>
      </c>
      <c r="BB402" s="499"/>
      <c r="BC402" s="271"/>
      <c r="BD402" s="279">
        <v>1</v>
      </c>
      <c r="BE402" s="271"/>
      <c r="BF402" s="271"/>
      <c r="BG402" s="271"/>
      <c r="BH402" s="271"/>
      <c r="BI402" s="271"/>
      <c r="BJ402" s="271"/>
      <c r="BK402" s="271"/>
      <c r="BL402" s="271"/>
    </row>
    <row r="403" spans="18:64" ht="21" customHeight="1" x14ac:dyDescent="0.25">
      <c r="S403" s="451"/>
      <c r="T403" s="497" t="s">
        <v>8147</v>
      </c>
      <c r="V403" s="475">
        <v>10</v>
      </c>
      <c r="W403" s="475" t="str">
        <f>IF($AC$403="","",$W$396)</f>
        <v/>
      </c>
      <c r="X403" s="476" t="str">
        <f>IF($AC$403="","",$X$396)</f>
        <v/>
      </c>
      <c r="Y403" s="477" t="str">
        <f>IF($X$403="","",$Y$396)</f>
        <v/>
      </c>
      <c r="Z403" s="477" t="str">
        <f>IF($X$403="","",$Z$396)</f>
        <v/>
      </c>
      <c r="AA403" s="477" t="str">
        <f>IF($AC$403="","",ROW($A$403)-ROW($A$396))</f>
        <v/>
      </c>
      <c r="AB403" s="478"/>
      <c r="AC403" s="34"/>
      <c r="AD403" s="356"/>
      <c r="AE403" s="479"/>
      <c r="AF403" s="475"/>
      <c r="AG403" s="480" t="str">
        <f t="shared" si="112"/>
        <v/>
      </c>
      <c r="AH403" s="481" t="str">
        <f t="shared" si="113"/>
        <v/>
      </c>
      <c r="AI403" s="477" t="str">
        <f>IF($AC$403="","",IFERROR(INDEX($AZ$74:$AZ$119,MATCH($AH$403,$AY$74:$AY$119,0)),"AUTRE"))</f>
        <v/>
      </c>
      <c r="AJ403" s="482" t="str">
        <f>IF($AC$403="","",IFERROR(INDEX($BA$74:$BA$119,MATCH($AH$403,$AY$74:$AY$119,0)),1))</f>
        <v/>
      </c>
      <c r="AK403" s="482" t="str">
        <f t="shared" si="114"/>
        <v/>
      </c>
      <c r="AL403" s="477" t="str">
        <f>IF($AC$403="","",IFERROR(INDEX($BB$74:$BB$119,MATCH($AH$403,$AY$74:$AY$119,0)),$AH$403))</f>
        <v/>
      </c>
      <c r="AM403" s="483" t="str">
        <f t="shared" si="115"/>
        <v/>
      </c>
      <c r="AN403" s="484" t="str">
        <f t="shared" si="116"/>
        <v/>
      </c>
      <c r="AO403" s="473" t="str">
        <f t="shared" si="117"/>
        <v/>
      </c>
      <c r="AP403" s="473" t="str">
        <f t="shared" si="118"/>
        <v/>
      </c>
      <c r="AQ403" s="473" t="str">
        <f t="shared" si="119"/>
        <v/>
      </c>
      <c r="AR403" s="473" t="str">
        <f t="shared" si="120"/>
        <v/>
      </c>
      <c r="AS403" s="473" t="str">
        <f t="shared" si="121"/>
        <v/>
      </c>
      <c r="AT403" s="473" t="str">
        <f t="shared" si="122"/>
        <v/>
      </c>
      <c r="AU403" s="473" t="str">
        <f t="shared" si="123"/>
        <v/>
      </c>
      <c r="AZ403" s="30" t="s">
        <v>10</v>
      </c>
      <c r="BA403" s="34" t="s">
        <v>477</v>
      </c>
      <c r="BB403" s="499"/>
      <c r="BC403" s="271"/>
      <c r="BD403" s="279">
        <v>1</v>
      </c>
      <c r="BE403" s="271"/>
      <c r="BF403" s="271"/>
      <c r="BG403" s="271"/>
      <c r="BH403" s="271"/>
      <c r="BI403" s="271"/>
      <c r="BJ403" s="271"/>
      <c r="BK403" s="271"/>
      <c r="BL403" s="271"/>
    </row>
    <row r="404" spans="18:64" ht="21" customHeight="1" x14ac:dyDescent="0.25">
      <c r="R404" s="25" t="s">
        <v>6134</v>
      </c>
      <c r="S404" s="451"/>
      <c r="T404" s="497" t="s">
        <v>465</v>
      </c>
      <c r="V404" s="475">
        <v>10</v>
      </c>
      <c r="W404" s="475" t="str">
        <f>IF($AC$404="","",$W$396)</f>
        <v/>
      </c>
      <c r="X404" s="476" t="str">
        <f>IF($AC$404="","",$X$396)</f>
        <v/>
      </c>
      <c r="Y404" s="477" t="str">
        <f>IF($X$404="","",$Y$396)</f>
        <v/>
      </c>
      <c r="Z404" s="477" t="str">
        <f>IF($X$404="","",$Z$396)</f>
        <v/>
      </c>
      <c r="AA404" s="477" t="str">
        <f>IF($AC$404="","",ROW($A$404)-ROW($A$396))</f>
        <v/>
      </c>
      <c r="AB404" s="478"/>
      <c r="AC404" s="34"/>
      <c r="AD404" s="356"/>
      <c r="AE404" s="479"/>
      <c r="AF404" s="475"/>
      <c r="AG404" s="480" t="str">
        <f t="shared" si="112"/>
        <v/>
      </c>
      <c r="AH404" s="481" t="str">
        <f t="shared" si="113"/>
        <v/>
      </c>
      <c r="AI404" s="477" t="str">
        <f>IF($AC$404="","",IFERROR(INDEX($AZ$74:$AZ$119,MATCH($AH$404,$AY$74:$AY$119,0)),"AUTRE"))</f>
        <v/>
      </c>
      <c r="AJ404" s="482" t="str">
        <f>IF($AC$404="","",IFERROR(INDEX($BA$74:$BA$119,MATCH($AH$404,$AY$74:$AY$119,0)),1))</f>
        <v/>
      </c>
      <c r="AK404" s="482" t="str">
        <f t="shared" si="114"/>
        <v/>
      </c>
      <c r="AL404" s="477" t="str">
        <f>IF($AC$404="","",IFERROR(INDEX($BB$74:$BB$119,MATCH($AH$404,$AY$74:$AY$119,0)),$AH$404))</f>
        <v/>
      </c>
      <c r="AM404" s="483" t="str">
        <f t="shared" si="115"/>
        <v/>
      </c>
      <c r="AN404" s="484" t="str">
        <f t="shared" si="116"/>
        <v/>
      </c>
      <c r="AO404" s="473" t="str">
        <f t="shared" si="117"/>
        <v/>
      </c>
      <c r="AP404" s="473" t="str">
        <f t="shared" si="118"/>
        <v/>
      </c>
      <c r="AQ404" s="473" t="str">
        <f t="shared" si="119"/>
        <v/>
      </c>
      <c r="AR404" s="473" t="str">
        <f t="shared" si="120"/>
        <v/>
      </c>
      <c r="AS404" s="473" t="str">
        <f t="shared" si="121"/>
        <v/>
      </c>
      <c r="AT404" s="473" t="str">
        <f t="shared" si="122"/>
        <v/>
      </c>
      <c r="AU404" s="473" t="str">
        <f t="shared" si="123"/>
        <v/>
      </c>
      <c r="AZ404" s="30" t="s">
        <v>11</v>
      </c>
      <c r="BB404" s="499"/>
      <c r="BC404" s="271"/>
      <c r="BD404" s="279">
        <v>1</v>
      </c>
      <c r="BE404" s="271"/>
      <c r="BF404" s="271"/>
      <c r="BG404" s="271"/>
      <c r="BH404" s="271"/>
      <c r="BI404" s="271"/>
      <c r="BJ404" s="271"/>
      <c r="BK404" s="271"/>
      <c r="BL404" s="271"/>
    </row>
    <row r="405" spans="18:64" ht="21" customHeight="1" x14ac:dyDescent="0.25">
      <c r="R405" s="34" t="s">
        <v>481</v>
      </c>
      <c r="S405" s="451"/>
      <c r="T405" s="497" t="s">
        <v>466</v>
      </c>
      <c r="V405" s="475">
        <v>10</v>
      </c>
      <c r="W405" s="475" t="str">
        <f>IF($AC$405="","",$W$396)</f>
        <v/>
      </c>
      <c r="X405" s="476" t="str">
        <f>IF($AC$405="","",$X$396)</f>
        <v/>
      </c>
      <c r="Y405" s="477" t="str">
        <f>IF($X$405="","",$Y$396)</f>
        <v/>
      </c>
      <c r="Z405" s="477" t="str">
        <f>IF($X$405="","",$Z$396)</f>
        <v/>
      </c>
      <c r="AA405" s="477" t="str">
        <f>IF($AC$405="","",ROW($A$405)-ROW($A$396))</f>
        <v/>
      </c>
      <c r="AB405" s="478"/>
      <c r="AC405" s="34"/>
      <c r="AD405" s="356"/>
      <c r="AE405" s="479"/>
      <c r="AF405" s="475"/>
      <c r="AG405" s="480" t="str">
        <f t="shared" si="112"/>
        <v/>
      </c>
      <c r="AH405" s="481" t="str">
        <f t="shared" si="113"/>
        <v/>
      </c>
      <c r="AI405" s="477" t="str">
        <f>IF($AC$405="","",IFERROR(INDEX($AZ$74:$AZ$119,MATCH($AH$405,$AY$74:$AY$119,0)),"AUTRE"))</f>
        <v/>
      </c>
      <c r="AJ405" s="482" t="str">
        <f>IF($AC$405="","",IFERROR(INDEX($BA$74:$BA$119,MATCH($AH$405,$AY$74:$AY$119,0)),1))</f>
        <v/>
      </c>
      <c r="AK405" s="482" t="str">
        <f t="shared" si="114"/>
        <v/>
      </c>
      <c r="AL405" s="477" t="str">
        <f>IF($AC$405="","",IFERROR(INDEX($BB$74:$BB$119,MATCH($AH$405,$AY$74:$AY$119,0)),$AH$405))</f>
        <v/>
      </c>
      <c r="AM405" s="483" t="str">
        <f t="shared" si="115"/>
        <v/>
      </c>
      <c r="AN405" s="484" t="str">
        <f t="shared" si="116"/>
        <v/>
      </c>
      <c r="AO405" s="473" t="str">
        <f t="shared" si="117"/>
        <v/>
      </c>
      <c r="AP405" s="473" t="str">
        <f t="shared" si="118"/>
        <v/>
      </c>
      <c r="AQ405" s="473" t="str">
        <f t="shared" si="119"/>
        <v/>
      </c>
      <c r="AR405" s="473" t="str">
        <f t="shared" si="120"/>
        <v/>
      </c>
      <c r="AS405" s="473" t="str">
        <f t="shared" si="121"/>
        <v/>
      </c>
      <c r="AT405" s="473" t="str">
        <f t="shared" si="122"/>
        <v/>
      </c>
      <c r="AU405" s="473" t="str">
        <f t="shared" si="123"/>
        <v/>
      </c>
      <c r="AZ405" s="30" t="s">
        <v>12</v>
      </c>
      <c r="BA405" s="25" t="s">
        <v>6134</v>
      </c>
      <c r="BB405" s="499"/>
      <c r="BC405" s="271"/>
      <c r="BD405" s="279">
        <v>1</v>
      </c>
      <c r="BE405" s="271"/>
      <c r="BF405" s="271"/>
      <c r="BG405" s="271"/>
      <c r="BH405" s="271"/>
      <c r="BI405" s="271"/>
      <c r="BJ405" s="271"/>
      <c r="BK405" s="271"/>
      <c r="BL405" s="271"/>
    </row>
    <row r="406" spans="18:64" ht="21" customHeight="1" x14ac:dyDescent="0.25">
      <c r="R406" s="34" t="s">
        <v>475</v>
      </c>
      <c r="S406" s="451"/>
      <c r="T406" s="440" t="s">
        <v>8110</v>
      </c>
      <c r="V406" s="475">
        <v>10</v>
      </c>
      <c r="W406" s="475" t="str">
        <f>IF($AC$406="","",$W$396)</f>
        <v/>
      </c>
      <c r="X406" s="476" t="str">
        <f>IF($AC$406="","",$X$396)</f>
        <v/>
      </c>
      <c r="Y406" s="477" t="str">
        <f>IF($X$406="","",$Y$396)</f>
        <v/>
      </c>
      <c r="Z406" s="477" t="str">
        <f>IF($X$406="","",$Z$396)</f>
        <v/>
      </c>
      <c r="AA406" s="477" t="str">
        <f>IF($AC$406="","",ROW($A$406)-ROW($A$396))</f>
        <v/>
      </c>
      <c r="AB406" s="478"/>
      <c r="AC406" s="34"/>
      <c r="AD406" s="356"/>
      <c r="AE406" s="479"/>
      <c r="AF406" s="475"/>
      <c r="AG406" s="480" t="str">
        <f t="shared" si="112"/>
        <v/>
      </c>
      <c r="AH406" s="481" t="str">
        <f t="shared" si="113"/>
        <v/>
      </c>
      <c r="AI406" s="477" t="str">
        <f>IF($AC$406="","",IFERROR(INDEX($AZ$74:$AZ$119,MATCH($AH$406,$AY$74:$AY$119,0)),"AUTRE"))</f>
        <v/>
      </c>
      <c r="AJ406" s="482" t="str">
        <f>IF($AC$406="","",IFERROR(INDEX($BA$74:$BA$119,MATCH($AH$406,$AY$74:$AY$119,0)),1))</f>
        <v/>
      </c>
      <c r="AK406" s="482" t="str">
        <f t="shared" si="114"/>
        <v/>
      </c>
      <c r="AL406" s="477" t="str">
        <f>IF($AC$406="","",IFERROR(INDEX($BB$74:$BB$119,MATCH($AH$406,$AY$74:$AY$119,0)),$AH$406))</f>
        <v/>
      </c>
      <c r="AM406" s="483" t="str">
        <f t="shared" si="115"/>
        <v/>
      </c>
      <c r="AN406" s="484" t="str">
        <f t="shared" si="116"/>
        <v/>
      </c>
      <c r="AO406" s="473" t="str">
        <f t="shared" si="117"/>
        <v/>
      </c>
      <c r="AP406" s="473" t="str">
        <f t="shared" si="118"/>
        <v/>
      </c>
      <c r="AQ406" s="473" t="str">
        <f t="shared" si="119"/>
        <v/>
      </c>
      <c r="AR406" s="473" t="str">
        <f t="shared" si="120"/>
        <v/>
      </c>
      <c r="AS406" s="473" t="str">
        <f t="shared" si="121"/>
        <v/>
      </c>
      <c r="AT406" s="473" t="str">
        <f t="shared" si="122"/>
        <v/>
      </c>
      <c r="AU406" s="473" t="str">
        <f t="shared" si="123"/>
        <v/>
      </c>
      <c r="AZ406" s="31" t="s">
        <v>16</v>
      </c>
      <c r="BA406" s="34" t="s">
        <v>481</v>
      </c>
      <c r="BB406" s="499"/>
      <c r="BC406" s="271"/>
      <c r="BD406" s="279">
        <v>1</v>
      </c>
      <c r="BE406" s="271"/>
      <c r="BF406" s="271"/>
      <c r="BG406" s="271"/>
      <c r="BH406" s="271"/>
      <c r="BI406" s="271"/>
      <c r="BJ406" s="271"/>
      <c r="BK406" s="271"/>
      <c r="BL406" s="271"/>
    </row>
    <row r="407" spans="18:64" ht="21" customHeight="1" x14ac:dyDescent="0.25">
      <c r="R407" s="34" t="s">
        <v>457</v>
      </c>
      <c r="S407" s="451"/>
      <c r="T407" s="452" t="s">
        <v>8113</v>
      </c>
      <c r="V407" s="475">
        <v>10</v>
      </c>
      <c r="W407" s="475" t="str">
        <f>IF($AC$407="","",$W$396)</f>
        <v/>
      </c>
      <c r="X407" s="476" t="str">
        <f>IF($AC$407="","",$X$396)</f>
        <v/>
      </c>
      <c r="Y407" s="477" t="str">
        <f>IF($X$407="","",$Y$396)</f>
        <v/>
      </c>
      <c r="Z407" s="477" t="str">
        <f>IF($X$407="","",$Z$396)</f>
        <v/>
      </c>
      <c r="AA407" s="477" t="str">
        <f>IF($AC$407="","",ROW($A$407)-ROW($A$396))</f>
        <v/>
      </c>
      <c r="AB407" s="478"/>
      <c r="AC407" s="34"/>
      <c r="AD407" s="356"/>
      <c r="AE407" s="479"/>
      <c r="AF407" s="475"/>
      <c r="AG407" s="480" t="str">
        <f t="shared" si="112"/>
        <v/>
      </c>
      <c r="AH407" s="481" t="str">
        <f t="shared" si="113"/>
        <v/>
      </c>
      <c r="AI407" s="477" t="str">
        <f>IF($AC$407="","",IFERROR(INDEX($AZ$74:$AZ$119,MATCH($AH$407,$AY$74:$AY$119,0)),"AUTRE"))</f>
        <v/>
      </c>
      <c r="AJ407" s="482" t="str">
        <f>IF($AC$407="","",IFERROR(INDEX($BA$74:$BA$119,MATCH($AH$407,$AY$74:$AY$119,0)),1))</f>
        <v/>
      </c>
      <c r="AK407" s="482" t="str">
        <f t="shared" si="114"/>
        <v/>
      </c>
      <c r="AL407" s="477" t="str">
        <f>IF($AC$407="","",IFERROR(INDEX($BB$74:$BB$119,MATCH($AH$407,$AY$74:$AY$119,0)),$AH$407))</f>
        <v/>
      </c>
      <c r="AM407" s="483" t="str">
        <f t="shared" si="115"/>
        <v/>
      </c>
      <c r="AN407" s="484" t="str">
        <f t="shared" si="116"/>
        <v/>
      </c>
      <c r="AO407" s="473" t="str">
        <f t="shared" si="117"/>
        <v/>
      </c>
      <c r="AP407" s="473" t="str">
        <f t="shared" si="118"/>
        <v/>
      </c>
      <c r="AQ407" s="473" t="str">
        <f t="shared" si="119"/>
        <v/>
      </c>
      <c r="AR407" s="473" t="str">
        <f t="shared" si="120"/>
        <v/>
      </c>
      <c r="AS407" s="473" t="str">
        <f t="shared" si="121"/>
        <v/>
      </c>
      <c r="AT407" s="473" t="str">
        <f t="shared" si="122"/>
        <v/>
      </c>
      <c r="AU407" s="473" t="str">
        <f t="shared" si="123"/>
        <v/>
      </c>
      <c r="AZ407" s="31" t="s">
        <v>17</v>
      </c>
      <c r="BA407" s="34" t="s">
        <v>475</v>
      </c>
      <c r="BB407" s="499"/>
      <c r="BC407" s="271"/>
      <c r="BD407" s="279">
        <v>1</v>
      </c>
      <c r="BE407" s="271"/>
      <c r="BF407" s="271"/>
      <c r="BG407" s="271"/>
      <c r="BH407" s="271"/>
      <c r="BI407" s="271"/>
      <c r="BJ407" s="271"/>
      <c r="BK407" s="271"/>
      <c r="BL407" s="271"/>
    </row>
    <row r="408" spans="18:64" ht="21" customHeight="1" x14ac:dyDescent="0.25">
      <c r="R408" s="34" t="s">
        <v>482</v>
      </c>
      <c r="S408" s="451"/>
      <c r="T408" s="14" t="s">
        <v>7</v>
      </c>
      <c r="V408" s="475">
        <v>10</v>
      </c>
      <c r="W408" s="475" t="str">
        <f>IF($AC$408="","",$W$396)</f>
        <v/>
      </c>
      <c r="X408" s="476" t="str">
        <f>IF($AC$408="","",$X$396)</f>
        <v/>
      </c>
      <c r="Y408" s="477" t="str">
        <f>IF($X$408="","",$Y$396)</f>
        <v/>
      </c>
      <c r="Z408" s="477" t="str">
        <f>IF($X$408="","",$Z$396)</f>
        <v/>
      </c>
      <c r="AA408" s="477" t="str">
        <f>IF($AC$408="","",ROW($A$408)-ROW($A$396))</f>
        <v/>
      </c>
      <c r="AB408" s="478"/>
      <c r="AC408" s="34"/>
      <c r="AD408" s="356"/>
      <c r="AE408" s="479"/>
      <c r="AF408" s="475"/>
      <c r="AG408" s="480" t="str">
        <f t="shared" si="112"/>
        <v/>
      </c>
      <c r="AH408" s="481" t="str">
        <f t="shared" si="113"/>
        <v/>
      </c>
      <c r="AI408" s="477" t="str">
        <f>IF($AC$408="","",IFERROR(INDEX($AZ$74:$AZ$119,MATCH($AH$408,$AY$74:$AY$119,0)),"AUTRE"))</f>
        <v/>
      </c>
      <c r="AJ408" s="482" t="str">
        <f>IF($AC$408="","",IFERROR(INDEX($BA$74:$BA$119,MATCH($AH$408,$AY$74:$AY$119,0)),1))</f>
        <v/>
      </c>
      <c r="AK408" s="482" t="str">
        <f t="shared" si="114"/>
        <v/>
      </c>
      <c r="AL408" s="477" t="str">
        <f>IF($AC$408="","",IFERROR(INDEX($BB$74:$BB$119,MATCH($AH$408,$AY$74:$AY$119,0)),$AH$408))</f>
        <v/>
      </c>
      <c r="AM408" s="483" t="str">
        <f t="shared" si="115"/>
        <v/>
      </c>
      <c r="AN408" s="484" t="str">
        <f t="shared" si="116"/>
        <v/>
      </c>
      <c r="AO408" s="473" t="str">
        <f t="shared" si="117"/>
        <v/>
      </c>
      <c r="AP408" s="473" t="str">
        <f t="shared" si="118"/>
        <v/>
      </c>
      <c r="AQ408" s="473" t="str">
        <f t="shared" si="119"/>
        <v/>
      </c>
      <c r="AR408" s="473" t="str">
        <f t="shared" si="120"/>
        <v/>
      </c>
      <c r="AS408" s="473" t="str">
        <f t="shared" si="121"/>
        <v/>
      </c>
      <c r="AT408" s="473" t="str">
        <f t="shared" si="122"/>
        <v/>
      </c>
      <c r="AU408" s="473" t="str">
        <f t="shared" si="123"/>
        <v/>
      </c>
      <c r="AZ408" s="31" t="s">
        <v>18</v>
      </c>
      <c r="BA408" s="34" t="s">
        <v>457</v>
      </c>
      <c r="BB408" s="499"/>
      <c r="BC408" s="271"/>
      <c r="BD408" s="279">
        <v>1</v>
      </c>
      <c r="BE408" s="271"/>
      <c r="BF408" s="271"/>
      <c r="BG408" s="271"/>
      <c r="BH408" s="271"/>
      <c r="BI408" s="271"/>
      <c r="BJ408" s="271"/>
      <c r="BK408" s="271"/>
      <c r="BL408" s="271"/>
    </row>
    <row r="409" spans="18:64" ht="21" customHeight="1" x14ac:dyDescent="0.25">
      <c r="R409" s="34" t="s">
        <v>496</v>
      </c>
      <c r="S409" s="451"/>
      <c r="T409" s="27" t="s">
        <v>8</v>
      </c>
      <c r="V409" s="475">
        <v>10</v>
      </c>
      <c r="W409" s="475" t="str">
        <f>IF($AC$409="","",$W$396)</f>
        <v/>
      </c>
      <c r="X409" s="476" t="str">
        <f>IF($AC$409="","",$X$396)</f>
        <v/>
      </c>
      <c r="Y409" s="477" t="str">
        <f>IF($X$409="","",$Y$396)</f>
        <v/>
      </c>
      <c r="Z409" s="477" t="str">
        <f>IF($X$409="","",$Z$396)</f>
        <v/>
      </c>
      <c r="AA409" s="477" t="str">
        <f>IF($AC$409="","",ROW($A$409)-ROW($A$396))</f>
        <v/>
      </c>
      <c r="AB409" s="478"/>
      <c r="AC409" s="34"/>
      <c r="AD409" s="356"/>
      <c r="AE409" s="479"/>
      <c r="AF409" s="475"/>
      <c r="AG409" s="480" t="str">
        <f t="shared" si="112"/>
        <v/>
      </c>
      <c r="AH409" s="481" t="str">
        <f t="shared" si="113"/>
        <v/>
      </c>
      <c r="AI409" s="477" t="str">
        <f>IF($AC$409="","",IFERROR(INDEX($AZ$74:$AZ$119,MATCH($AH$409,$AY$74:$AY$119,0)),"AUTRE"))</f>
        <v/>
      </c>
      <c r="AJ409" s="482" t="str">
        <f>IF($AC$409="","",IFERROR(INDEX($BA$74:$BA$119,MATCH($AH$409,$AY$74:$AY$119,0)),1))</f>
        <v/>
      </c>
      <c r="AK409" s="482" t="str">
        <f t="shared" si="114"/>
        <v/>
      </c>
      <c r="AL409" s="477" t="str">
        <f>IF($AC$409="","",IFERROR(INDEX($BB$74:$BB$119,MATCH($AH$409,$AY$74:$AY$119,0)),$AH$409))</f>
        <v/>
      </c>
      <c r="AM409" s="483" t="str">
        <f t="shared" si="115"/>
        <v/>
      </c>
      <c r="AN409" s="484" t="str">
        <f t="shared" si="116"/>
        <v/>
      </c>
      <c r="AO409" s="473" t="str">
        <f t="shared" si="117"/>
        <v/>
      </c>
      <c r="AP409" s="473" t="str">
        <f t="shared" si="118"/>
        <v/>
      </c>
      <c r="AQ409" s="473" t="str">
        <f t="shared" si="119"/>
        <v/>
      </c>
      <c r="AR409" s="473" t="str">
        <f t="shared" si="120"/>
        <v/>
      </c>
      <c r="AS409" s="473" t="str">
        <f t="shared" si="121"/>
        <v/>
      </c>
      <c r="AT409" s="473" t="str">
        <f t="shared" si="122"/>
        <v/>
      </c>
      <c r="AU409" s="473" t="str">
        <f t="shared" si="123"/>
        <v/>
      </c>
      <c r="AZ409" s="31" t="s">
        <v>19</v>
      </c>
      <c r="BA409" s="34" t="s">
        <v>482</v>
      </c>
      <c r="BB409" s="499"/>
      <c r="BC409" s="271"/>
      <c r="BD409" s="279">
        <v>1</v>
      </c>
      <c r="BE409" s="271"/>
      <c r="BF409" s="271"/>
      <c r="BG409" s="271"/>
      <c r="BH409" s="271"/>
      <c r="BI409" s="271"/>
      <c r="BJ409" s="271"/>
      <c r="BK409" s="271"/>
      <c r="BL409" s="271"/>
    </row>
    <row r="410" spans="18:64" ht="21" customHeight="1" x14ac:dyDescent="0.25">
      <c r="R410" s="34" t="s">
        <v>483</v>
      </c>
      <c r="S410" s="451"/>
      <c r="T410" s="28" t="s">
        <v>13</v>
      </c>
      <c r="V410" s="475">
        <v>10</v>
      </c>
      <c r="W410" s="475" t="str">
        <f>IF($AC$410="","",$W$396)</f>
        <v/>
      </c>
      <c r="X410" s="476" t="str">
        <f>IF($AC$410="","",$X$396)</f>
        <v/>
      </c>
      <c r="Y410" s="477" t="str">
        <f>IF($X$410="","",$Y$396)</f>
        <v/>
      </c>
      <c r="Z410" s="477" t="str">
        <f>IF($X$410="","",$Z$396)</f>
        <v/>
      </c>
      <c r="AA410" s="477" t="str">
        <f>IF($AC$410="","",ROW($A$410)-ROW($A$396))</f>
        <v/>
      </c>
      <c r="AB410" s="478"/>
      <c r="AC410" s="34"/>
      <c r="AD410" s="356"/>
      <c r="AE410" s="479"/>
      <c r="AF410" s="475"/>
      <c r="AG410" s="480" t="str">
        <f t="shared" si="112"/>
        <v/>
      </c>
      <c r="AH410" s="481" t="str">
        <f t="shared" si="113"/>
        <v/>
      </c>
      <c r="AI410" s="477" t="str">
        <f>IF($AC$410="","",IFERROR(INDEX($AZ$74:$AZ$119,MATCH($AH$410,$AY$74:$AY$119,0)),"AUTRE"))</f>
        <v/>
      </c>
      <c r="AJ410" s="482" t="str">
        <f>IF($AC$410="","",IFERROR(INDEX($BA$74:$BA$119,MATCH($AH$410,$AY$74:$AY$119,0)),1))</f>
        <v/>
      </c>
      <c r="AK410" s="482" t="str">
        <f t="shared" si="114"/>
        <v/>
      </c>
      <c r="AL410" s="477" t="str">
        <f>IF($AC$410="","",IFERROR(INDEX($BB$74:$BB$119,MATCH($AH$410,$AY$74:$AY$119,0)),$AH$410))</f>
        <v/>
      </c>
      <c r="AM410" s="483" t="str">
        <f t="shared" si="115"/>
        <v/>
      </c>
      <c r="AN410" s="484" t="str">
        <f t="shared" si="116"/>
        <v/>
      </c>
      <c r="AO410" s="473" t="str">
        <f t="shared" si="117"/>
        <v/>
      </c>
      <c r="AP410" s="473" t="str">
        <f t="shared" si="118"/>
        <v/>
      </c>
      <c r="AQ410" s="473" t="str">
        <f t="shared" si="119"/>
        <v/>
      </c>
      <c r="AR410" s="473" t="str">
        <f t="shared" si="120"/>
        <v/>
      </c>
      <c r="AS410" s="473" t="str">
        <f t="shared" si="121"/>
        <v/>
      </c>
      <c r="AT410" s="473" t="str">
        <f t="shared" si="122"/>
        <v/>
      </c>
      <c r="AU410" s="473" t="str">
        <f t="shared" si="123"/>
        <v/>
      </c>
      <c r="AZ410" s="31" t="s">
        <v>211</v>
      </c>
      <c r="BA410" s="34" t="s">
        <v>496</v>
      </c>
      <c r="BB410" s="499"/>
      <c r="BC410" s="271"/>
      <c r="BD410" s="279">
        <v>1</v>
      </c>
      <c r="BE410" s="271"/>
      <c r="BF410" s="271"/>
      <c r="BG410" s="271"/>
      <c r="BH410" s="271"/>
      <c r="BI410" s="271"/>
      <c r="BJ410" s="271"/>
      <c r="BK410" s="271"/>
      <c r="BL410" s="271"/>
    </row>
    <row r="411" spans="18:64" ht="21" customHeight="1" x14ac:dyDescent="0.25">
      <c r="R411" s="34" t="s">
        <v>493</v>
      </c>
      <c r="S411" s="451"/>
      <c r="T411" s="28" t="s">
        <v>14</v>
      </c>
      <c r="V411" s="475">
        <v>10</v>
      </c>
      <c r="W411" s="475" t="str">
        <f>IF($AC$411="","",$W$396)</f>
        <v/>
      </c>
      <c r="X411" s="476" t="str">
        <f>IF($AC$411="","",$X$396)</f>
        <v/>
      </c>
      <c r="Y411" s="477" t="str">
        <f>IF($X$411="","",$Y$396)</f>
        <v/>
      </c>
      <c r="Z411" s="477" t="str">
        <f>IF($X$411="","",$Z$396)</f>
        <v/>
      </c>
      <c r="AA411" s="477" t="str">
        <f>IF($AC$411="","",ROW($A$411)-ROW($A$396))</f>
        <v/>
      </c>
      <c r="AB411" s="478"/>
      <c r="AC411" s="34"/>
      <c r="AD411" s="356"/>
      <c r="AE411" s="479"/>
      <c r="AF411" s="475"/>
      <c r="AG411" s="480" t="str">
        <f t="shared" si="112"/>
        <v/>
      </c>
      <c r="AH411" s="481" t="str">
        <f t="shared" si="113"/>
        <v/>
      </c>
      <c r="AI411" s="477" t="str">
        <f>IF($AC$411="","",IFERROR(INDEX($AZ$74:$AZ$119,MATCH($AH$411,$AY$74:$AY$119,0)),"AUTRE"))</f>
        <v/>
      </c>
      <c r="AJ411" s="482" t="str">
        <f>IF($AC$411="","",IFERROR(INDEX($BA$74:$BA$119,MATCH($AH$411,$AY$74:$AY$119,0)),1))</f>
        <v/>
      </c>
      <c r="AK411" s="482" t="str">
        <f t="shared" si="114"/>
        <v/>
      </c>
      <c r="AL411" s="477" t="str">
        <f>IF($AC$411="","",IFERROR(INDEX($BB$74:$BB$119,MATCH($AH$411,$AY$74:$AY$119,0)),$AH$411))</f>
        <v/>
      </c>
      <c r="AM411" s="483" t="str">
        <f t="shared" si="115"/>
        <v/>
      </c>
      <c r="AN411" s="484" t="str">
        <f t="shared" si="116"/>
        <v/>
      </c>
      <c r="AO411" s="473" t="str">
        <f t="shared" si="117"/>
        <v/>
      </c>
      <c r="AP411" s="473" t="str">
        <f t="shared" si="118"/>
        <v/>
      </c>
      <c r="AQ411" s="473" t="str">
        <f t="shared" si="119"/>
        <v/>
      </c>
      <c r="AR411" s="473" t="str">
        <f t="shared" si="120"/>
        <v/>
      </c>
      <c r="AS411" s="473" t="str">
        <f t="shared" si="121"/>
        <v/>
      </c>
      <c r="AT411" s="473" t="str">
        <f t="shared" si="122"/>
        <v/>
      </c>
      <c r="AU411" s="473" t="str">
        <f t="shared" si="123"/>
        <v/>
      </c>
      <c r="AZ411" s="31" t="s">
        <v>20</v>
      </c>
      <c r="BA411" s="34" t="s">
        <v>483</v>
      </c>
      <c r="BB411" s="499"/>
      <c r="BC411" s="271"/>
      <c r="BD411" s="279">
        <v>1</v>
      </c>
      <c r="BE411" s="271"/>
      <c r="BF411" s="271"/>
      <c r="BG411" s="271"/>
      <c r="BH411" s="271"/>
      <c r="BI411" s="271"/>
      <c r="BJ411" s="271"/>
      <c r="BK411" s="271"/>
      <c r="BL411" s="271"/>
    </row>
    <row r="412" spans="18:64" ht="21" customHeight="1" x14ac:dyDescent="0.25">
      <c r="R412" s="34" t="s">
        <v>494</v>
      </c>
      <c r="S412" s="451"/>
      <c r="T412" s="28" t="s">
        <v>15</v>
      </c>
      <c r="V412" s="475">
        <v>10</v>
      </c>
      <c r="W412" s="475" t="str">
        <f>IF($AC$412="","",$W$396)</f>
        <v/>
      </c>
      <c r="X412" s="476" t="str">
        <f>IF($AC$412="","",$X$396)</f>
        <v/>
      </c>
      <c r="Y412" s="477" t="str">
        <f>IF($X$412="","",$Y$396)</f>
        <v/>
      </c>
      <c r="Z412" s="477" t="str">
        <f>IF($X$412="","",$Z$396)</f>
        <v/>
      </c>
      <c r="AA412" s="477" t="str">
        <f>IF($AC$412="","",ROW($A$412)-ROW($A$396))</f>
        <v/>
      </c>
      <c r="AB412" s="478"/>
      <c r="AC412" s="34"/>
      <c r="AD412" s="356"/>
      <c r="AE412" s="479"/>
      <c r="AF412" s="475"/>
      <c r="AG412" s="480" t="str">
        <f t="shared" si="112"/>
        <v/>
      </c>
      <c r="AH412" s="481" t="str">
        <f t="shared" si="113"/>
        <v/>
      </c>
      <c r="AI412" s="477" t="str">
        <f>IF($AC$412="","",IFERROR(INDEX($AZ$74:$AZ$119,MATCH($AH$412,$AY$74:$AY$119,0)),"AUTRE"))</f>
        <v/>
      </c>
      <c r="AJ412" s="482" t="str">
        <f>IF($AC$412="","",IFERROR(INDEX($BA$74:$BA$119,MATCH($AH$412,$AY$74:$AY$119,0)),1))</f>
        <v/>
      </c>
      <c r="AK412" s="482" t="str">
        <f t="shared" si="114"/>
        <v/>
      </c>
      <c r="AL412" s="477" t="str">
        <f>IF($AC$412="","",IFERROR(INDEX($BB$74:$BB$119,MATCH($AH$412,$AY$74:$AY$119,0)),$AH$412))</f>
        <v/>
      </c>
      <c r="AM412" s="483" t="str">
        <f t="shared" si="115"/>
        <v/>
      </c>
      <c r="AN412" s="484" t="str">
        <f t="shared" si="116"/>
        <v/>
      </c>
      <c r="AO412" s="473" t="str">
        <f t="shared" si="117"/>
        <v/>
      </c>
      <c r="AP412" s="473" t="str">
        <f t="shared" si="118"/>
        <v/>
      </c>
      <c r="AQ412" s="473" t="str">
        <f t="shared" si="119"/>
        <v/>
      </c>
      <c r="AR412" s="473" t="str">
        <f t="shared" si="120"/>
        <v/>
      </c>
      <c r="AS412" s="473" t="str">
        <f t="shared" si="121"/>
        <v/>
      </c>
      <c r="AT412" s="473" t="str">
        <f t="shared" si="122"/>
        <v/>
      </c>
      <c r="AU412" s="473" t="str">
        <f t="shared" si="123"/>
        <v/>
      </c>
      <c r="AZ412" s="31" t="s">
        <v>304</v>
      </c>
      <c r="BA412" s="34" t="s">
        <v>493</v>
      </c>
      <c r="BB412" s="499"/>
      <c r="BC412" s="271"/>
      <c r="BD412" s="279">
        <v>1</v>
      </c>
      <c r="BE412" s="271"/>
      <c r="BF412" s="271"/>
      <c r="BG412" s="271"/>
      <c r="BH412" s="271"/>
      <c r="BI412" s="271"/>
      <c r="BJ412" s="271"/>
      <c r="BK412" s="271"/>
      <c r="BL412" s="271"/>
    </row>
    <row r="413" spans="18:64" ht="21" customHeight="1" x14ac:dyDescent="0.25">
      <c r="S413" s="451"/>
      <c r="T413" s="28" t="s">
        <v>21</v>
      </c>
      <c r="V413" s="475">
        <v>10</v>
      </c>
      <c r="W413" s="475" t="str">
        <f>IF($AC$413="","",$W$396)</f>
        <v/>
      </c>
      <c r="X413" s="476" t="str">
        <f>IF($AC$413="","",$X$396)</f>
        <v/>
      </c>
      <c r="Y413" s="477" t="str">
        <f>IF($X$413="","",$Y$396)</f>
        <v/>
      </c>
      <c r="Z413" s="477" t="str">
        <f>IF($X$413="","",$Z$396)</f>
        <v/>
      </c>
      <c r="AA413" s="477" t="str">
        <f>IF($AC$413="","",ROW($A$413)-ROW($A$396))</f>
        <v/>
      </c>
      <c r="AB413" s="478"/>
      <c r="AC413" s="34"/>
      <c r="AD413" s="356"/>
      <c r="AE413" s="479"/>
      <c r="AF413" s="475"/>
      <c r="AG413" s="480" t="str">
        <f t="shared" si="112"/>
        <v/>
      </c>
      <c r="AH413" s="481" t="str">
        <f t="shared" si="113"/>
        <v/>
      </c>
      <c r="AI413" s="477" t="str">
        <f>IF($AC$413="","",IFERROR(INDEX($AZ$74:$AZ$119,MATCH($AH$413,$AY$74:$AY$119,0)),"AUTRE"))</f>
        <v/>
      </c>
      <c r="AJ413" s="482" t="str">
        <f>IF($AC$413="","",IFERROR(INDEX($BA$74:$BA$119,MATCH($AH$413,$AY$74:$AY$119,0)),1))</f>
        <v/>
      </c>
      <c r="AK413" s="482" t="str">
        <f t="shared" si="114"/>
        <v/>
      </c>
      <c r="AL413" s="477" t="str">
        <f>IF($AC$413="","",IFERROR(INDEX($BB$74:$BB$119,MATCH($AH$413,$AY$74:$AY$119,0)),$AH$413))</f>
        <v/>
      </c>
      <c r="AM413" s="483" t="str">
        <f t="shared" si="115"/>
        <v/>
      </c>
      <c r="AN413" s="484" t="str">
        <f t="shared" si="116"/>
        <v/>
      </c>
      <c r="AO413" s="473" t="str">
        <f t="shared" si="117"/>
        <v/>
      </c>
      <c r="AP413" s="473" t="str">
        <f t="shared" si="118"/>
        <v/>
      </c>
      <c r="AQ413" s="473" t="str">
        <f t="shared" si="119"/>
        <v/>
      </c>
      <c r="AR413" s="473" t="str">
        <f t="shared" si="120"/>
        <v/>
      </c>
      <c r="AS413" s="473" t="str">
        <f t="shared" si="121"/>
        <v/>
      </c>
      <c r="AT413" s="473" t="str">
        <f t="shared" si="122"/>
        <v/>
      </c>
      <c r="AU413" s="473" t="str">
        <f t="shared" si="123"/>
        <v/>
      </c>
      <c r="AZ413" s="31" t="s">
        <v>352</v>
      </c>
      <c r="BA413" s="34" t="s">
        <v>494</v>
      </c>
      <c r="BB413" s="499"/>
      <c r="BC413" s="271"/>
      <c r="BD413" s="279">
        <v>1</v>
      </c>
      <c r="BE413" s="271"/>
      <c r="BF413" s="271"/>
      <c r="BG413" s="271"/>
      <c r="BH413" s="271"/>
      <c r="BI413" s="271"/>
      <c r="BJ413" s="271"/>
      <c r="BK413" s="271"/>
      <c r="BL413" s="271"/>
    </row>
    <row r="414" spans="18:64" ht="21" customHeight="1" x14ac:dyDescent="0.25">
      <c r="R414" s="25" t="s">
        <v>6115</v>
      </c>
      <c r="S414" s="451"/>
      <c r="T414" s="28" t="s">
        <v>22</v>
      </c>
      <c r="V414" s="475">
        <v>10</v>
      </c>
      <c r="W414" s="475" t="str">
        <f>IF($AC$414="","",$W$396)</f>
        <v/>
      </c>
      <c r="X414" s="476" t="str">
        <f>IF($AC$414="","",$X$396)</f>
        <v/>
      </c>
      <c r="Y414" s="477" t="str">
        <f>IF($X$414="","",$Y$396)</f>
        <v/>
      </c>
      <c r="Z414" s="477" t="str">
        <f>IF($X$414="","",$Z$396)</f>
        <v/>
      </c>
      <c r="AA414" s="477" t="str">
        <f>IF($AC$414="","",ROW($A$414)-ROW($A$396))</f>
        <v/>
      </c>
      <c r="AB414" s="478"/>
      <c r="AC414" s="34"/>
      <c r="AD414" s="356"/>
      <c r="AE414" s="479"/>
      <c r="AF414" s="475"/>
      <c r="AG414" s="480" t="str">
        <f t="shared" si="112"/>
        <v/>
      </c>
      <c r="AH414" s="481" t="str">
        <f t="shared" si="113"/>
        <v/>
      </c>
      <c r="AI414" s="477" t="str">
        <f>IF($AC$414="","",IFERROR(INDEX($AZ$74:$AZ$119,MATCH($AH$414,$AY$74:$AY$119,0)),"AUTRE"))</f>
        <v/>
      </c>
      <c r="AJ414" s="482" t="str">
        <f>IF($AC$414="","",IFERROR(INDEX($BA$74:$BA$119,MATCH($AH$414,$AY$74:$AY$119,0)),1))</f>
        <v/>
      </c>
      <c r="AK414" s="482" t="str">
        <f t="shared" si="114"/>
        <v/>
      </c>
      <c r="AL414" s="477" t="str">
        <f>IF($AC$414="","",IFERROR(INDEX($BB$74:$BB$119,MATCH($AH$414,$AY$74:$AY$119,0)),$AH$414))</f>
        <v/>
      </c>
      <c r="AM414" s="483" t="str">
        <f t="shared" si="115"/>
        <v/>
      </c>
      <c r="AN414" s="484" t="str">
        <f t="shared" si="116"/>
        <v/>
      </c>
      <c r="AO414" s="473" t="str">
        <f t="shared" si="117"/>
        <v/>
      </c>
      <c r="AP414" s="473" t="str">
        <f t="shared" si="118"/>
        <v/>
      </c>
      <c r="AQ414" s="473" t="str">
        <f t="shared" si="119"/>
        <v/>
      </c>
      <c r="AR414" s="473" t="str">
        <f t="shared" si="120"/>
        <v/>
      </c>
      <c r="AS414" s="473" t="str">
        <f t="shared" si="121"/>
        <v/>
      </c>
      <c r="AT414" s="473" t="str">
        <f t="shared" si="122"/>
        <v/>
      </c>
      <c r="AU414" s="473" t="str">
        <f t="shared" si="123"/>
        <v/>
      </c>
      <c r="AZ414" s="31" t="s">
        <v>27</v>
      </c>
      <c r="BB414" s="499"/>
      <c r="BC414" s="271"/>
      <c r="BD414" s="279">
        <v>1</v>
      </c>
      <c r="BE414" s="271"/>
      <c r="BF414" s="271"/>
      <c r="BG414" s="271"/>
      <c r="BH414" s="271"/>
      <c r="BI414" s="271"/>
      <c r="BJ414" s="271"/>
      <c r="BK414" s="271"/>
      <c r="BL414" s="271"/>
    </row>
    <row r="415" spans="18:64" ht="21" customHeight="1" x14ac:dyDescent="0.25">
      <c r="R415" s="34" t="s">
        <v>471</v>
      </c>
      <c r="S415" s="451"/>
      <c r="T415" s="28" t="s">
        <v>23</v>
      </c>
      <c r="V415" s="475">
        <v>10</v>
      </c>
      <c r="W415" s="475" t="str">
        <f>IF($AC$415="","",$W$396)</f>
        <v/>
      </c>
      <c r="X415" s="476" t="str">
        <f>IF($AC$415="","",$X$396)</f>
        <v/>
      </c>
      <c r="Y415" s="477" t="str">
        <f>IF($X$415="","",$Y$396)</f>
        <v/>
      </c>
      <c r="Z415" s="477" t="str">
        <f>IF($X$415="","",$Z$396)</f>
        <v/>
      </c>
      <c r="AA415" s="477" t="str">
        <f>IF($AC$415="","",ROW($A$415)-ROW($A$396))</f>
        <v/>
      </c>
      <c r="AB415" s="478"/>
      <c r="AC415" s="34"/>
      <c r="AD415" s="356"/>
      <c r="AE415" s="479"/>
      <c r="AF415" s="475"/>
      <c r="AG415" s="480" t="str">
        <f t="shared" si="112"/>
        <v/>
      </c>
      <c r="AH415" s="481" t="str">
        <f t="shared" si="113"/>
        <v/>
      </c>
      <c r="AI415" s="477" t="str">
        <f>IF($AC$415="","",IFERROR(INDEX($AZ$74:$AZ$119,MATCH($AH$415,$AY$74:$AY$119,0)),"AUTRE"))</f>
        <v/>
      </c>
      <c r="AJ415" s="482" t="str">
        <f>IF($AC$415="","",IFERROR(INDEX($BA$74:$BA$119,MATCH($AH$415,$AY$74:$AY$119,0)),1))</f>
        <v/>
      </c>
      <c r="AK415" s="482" t="str">
        <f t="shared" si="114"/>
        <v/>
      </c>
      <c r="AL415" s="477" t="str">
        <f>IF($AC$415="","",IFERROR(INDEX($BB$74:$BB$119,MATCH($AH$415,$AY$74:$AY$119,0)),$AH$415))</f>
        <v/>
      </c>
      <c r="AM415" s="483" t="str">
        <f t="shared" si="115"/>
        <v/>
      </c>
      <c r="AN415" s="484" t="str">
        <f t="shared" si="116"/>
        <v/>
      </c>
      <c r="AO415" s="473" t="str">
        <f t="shared" si="117"/>
        <v/>
      </c>
      <c r="AP415" s="473" t="str">
        <f t="shared" si="118"/>
        <v/>
      </c>
      <c r="AQ415" s="473" t="str">
        <f t="shared" si="119"/>
        <v/>
      </c>
      <c r="AR415" s="473" t="str">
        <f t="shared" si="120"/>
        <v/>
      </c>
      <c r="AS415" s="473" t="str">
        <f t="shared" si="121"/>
        <v/>
      </c>
      <c r="AT415" s="473" t="str">
        <f t="shared" si="122"/>
        <v/>
      </c>
      <c r="AU415" s="473" t="str">
        <f t="shared" si="123"/>
        <v/>
      </c>
      <c r="AZ415" s="31" t="s">
        <v>28</v>
      </c>
      <c r="BA415" s="25" t="s">
        <v>6115</v>
      </c>
      <c r="BB415" s="499"/>
      <c r="BC415" s="271"/>
      <c r="BD415" s="279">
        <v>1</v>
      </c>
      <c r="BE415" s="271"/>
      <c r="BF415" s="271"/>
      <c r="BG415" s="271"/>
      <c r="BH415" s="271"/>
      <c r="BI415" s="271"/>
      <c r="BJ415" s="271"/>
      <c r="BK415" s="271"/>
      <c r="BL415" s="271"/>
    </row>
    <row r="416" spans="18:64" ht="21" customHeight="1" x14ac:dyDescent="0.25">
      <c r="R416" s="34" t="s">
        <v>472</v>
      </c>
      <c r="S416" s="451"/>
      <c r="T416" s="28" t="s">
        <v>24</v>
      </c>
      <c r="V416" s="475">
        <v>10</v>
      </c>
      <c r="W416" s="475" t="str">
        <f>IF($AC$416="","",$W$396)</f>
        <v/>
      </c>
      <c r="X416" s="476" t="str">
        <f>IF($AC$416="","",$X$396)</f>
        <v/>
      </c>
      <c r="Y416" s="477" t="str">
        <f>IF($X$416="","",$Y$396)</f>
        <v/>
      </c>
      <c r="Z416" s="477" t="str">
        <f>IF($X$416="","",$Z$396)</f>
        <v/>
      </c>
      <c r="AA416" s="477" t="str">
        <f>IF($AC$416="","",ROW($A$416)-ROW($A$396))</f>
        <v/>
      </c>
      <c r="AB416" s="478"/>
      <c r="AC416" s="34"/>
      <c r="AD416" s="356"/>
      <c r="AE416" s="479"/>
      <c r="AF416" s="475"/>
      <c r="AG416" s="480" t="str">
        <f t="shared" si="112"/>
        <v/>
      </c>
      <c r="AH416" s="481" t="str">
        <f t="shared" si="113"/>
        <v/>
      </c>
      <c r="AI416" s="477" t="str">
        <f>IF($AC$416="","",IFERROR(INDEX($AZ$74:$AZ$119,MATCH($AH$416,$AY$74:$AY$119,0)),"AUTRE"))</f>
        <v/>
      </c>
      <c r="AJ416" s="482" t="str">
        <f>IF($AC$416="","",IFERROR(INDEX($BA$74:$BA$119,MATCH($AH$416,$AY$74:$AY$119,0)),1))</f>
        <v/>
      </c>
      <c r="AK416" s="482" t="str">
        <f t="shared" si="114"/>
        <v/>
      </c>
      <c r="AL416" s="477" t="str">
        <f>IF($AC$416="","",IFERROR(INDEX($BB$74:$BB$119,MATCH($AH$416,$AY$74:$AY$119,0)),$AH$416))</f>
        <v/>
      </c>
      <c r="AM416" s="483" t="str">
        <f t="shared" si="115"/>
        <v/>
      </c>
      <c r="AN416" s="484" t="str">
        <f t="shared" si="116"/>
        <v/>
      </c>
      <c r="AO416" s="473" t="str">
        <f t="shared" si="117"/>
        <v/>
      </c>
      <c r="AP416" s="473" t="str">
        <f t="shared" si="118"/>
        <v/>
      </c>
      <c r="AQ416" s="473" t="str">
        <f t="shared" si="119"/>
        <v/>
      </c>
      <c r="AR416" s="473" t="str">
        <f t="shared" si="120"/>
        <v/>
      </c>
      <c r="AS416" s="473" t="str">
        <f t="shared" si="121"/>
        <v/>
      </c>
      <c r="AT416" s="473" t="str">
        <f t="shared" si="122"/>
        <v/>
      </c>
      <c r="AU416" s="473" t="str">
        <f t="shared" si="123"/>
        <v/>
      </c>
      <c r="AZ416" s="31" t="s">
        <v>29</v>
      </c>
      <c r="BA416" s="34" t="s">
        <v>471</v>
      </c>
      <c r="BB416" s="499"/>
      <c r="BC416" s="271"/>
      <c r="BD416" s="279">
        <v>1</v>
      </c>
      <c r="BE416" s="271"/>
      <c r="BF416" s="271"/>
      <c r="BG416" s="271"/>
      <c r="BH416" s="271"/>
      <c r="BI416" s="271"/>
      <c r="BJ416" s="271"/>
      <c r="BK416" s="271"/>
      <c r="BL416" s="271"/>
    </row>
    <row r="417" spans="1:64" ht="21" customHeight="1" x14ac:dyDescent="0.25">
      <c r="R417" s="34" t="s">
        <v>6112</v>
      </c>
      <c r="S417" s="451"/>
      <c r="T417" s="29" t="s">
        <v>9</v>
      </c>
      <c r="V417" s="475">
        <v>10</v>
      </c>
      <c r="W417" s="475" t="str">
        <f>IF($AC$417="","",$W$396)</f>
        <v/>
      </c>
      <c r="X417" s="476" t="str">
        <f>IF($AC$417="","",$X$396)</f>
        <v/>
      </c>
      <c r="Y417" s="477" t="str">
        <f>IF($X$417="","",$Y$396)</f>
        <v/>
      </c>
      <c r="Z417" s="477" t="str">
        <f>IF($X$417="","",$Z$396)</f>
        <v/>
      </c>
      <c r="AA417" s="477" t="str">
        <f>IF($AC$417="","",ROW($A$417)-ROW($A$396))</f>
        <v/>
      </c>
      <c r="AB417" s="478"/>
      <c r="AC417" s="34"/>
      <c r="AD417" s="356"/>
      <c r="AE417" s="479"/>
      <c r="AF417" s="475"/>
      <c r="AG417" s="480" t="str">
        <f t="shared" si="112"/>
        <v/>
      </c>
      <c r="AH417" s="481" t="str">
        <f t="shared" si="113"/>
        <v/>
      </c>
      <c r="AI417" s="477" t="str">
        <f>IF($AC$417="","",IFERROR(INDEX($AZ$74:$AZ$119,MATCH($AH$417,$AY$74:$AY$119,0)),"AUTRE"))</f>
        <v/>
      </c>
      <c r="AJ417" s="482" t="str">
        <f>IF($AC$417="","",IFERROR(INDEX($BA$74:$BA$119,MATCH($AH$417,$AY$74:$AY$119,0)),1))</f>
        <v/>
      </c>
      <c r="AK417" s="482" t="str">
        <f t="shared" si="114"/>
        <v/>
      </c>
      <c r="AL417" s="477" t="str">
        <f>IF($AC$417="","",IFERROR(INDEX($BB$74:$BB$119,MATCH($AH$417,$AY$74:$AY$119,0)),$AH$417))</f>
        <v/>
      </c>
      <c r="AM417" s="483" t="str">
        <f t="shared" si="115"/>
        <v/>
      </c>
      <c r="AN417" s="484" t="str">
        <f t="shared" si="116"/>
        <v/>
      </c>
      <c r="AO417" s="473" t="str">
        <f t="shared" si="117"/>
        <v/>
      </c>
      <c r="AP417" s="473" t="str">
        <f t="shared" si="118"/>
        <v/>
      </c>
      <c r="AQ417" s="473" t="str">
        <f t="shared" si="119"/>
        <v/>
      </c>
      <c r="AR417" s="473" t="str">
        <f t="shared" si="120"/>
        <v/>
      </c>
      <c r="AS417" s="473" t="str">
        <f t="shared" si="121"/>
        <v/>
      </c>
      <c r="AT417" s="473" t="str">
        <f t="shared" si="122"/>
        <v/>
      </c>
      <c r="AU417" s="473" t="str">
        <f t="shared" si="123"/>
        <v/>
      </c>
      <c r="AZ417" s="31" t="s">
        <v>30</v>
      </c>
      <c r="BA417" s="34" t="s">
        <v>472</v>
      </c>
      <c r="BB417" s="499"/>
      <c r="BC417" s="271"/>
      <c r="BD417" s="279">
        <v>1</v>
      </c>
      <c r="BE417" s="271"/>
      <c r="BF417" s="271"/>
      <c r="BG417" s="271"/>
      <c r="BH417" s="271"/>
      <c r="BI417" s="271"/>
      <c r="BJ417" s="271"/>
      <c r="BK417" s="271"/>
      <c r="BL417" s="271"/>
    </row>
    <row r="418" spans="1:64" ht="21" customHeight="1" x14ac:dyDescent="0.25">
      <c r="R418" s="25" t="s">
        <v>6116</v>
      </c>
      <c r="S418" s="451"/>
      <c r="T418" s="30" t="s">
        <v>10</v>
      </c>
      <c r="V418" s="475">
        <v>10</v>
      </c>
      <c r="W418" s="475" t="str">
        <f>IF($AC$418="","",$W$396)</f>
        <v/>
      </c>
      <c r="X418" s="476" t="str">
        <f>IF($AC$418="","",$X$396)</f>
        <v/>
      </c>
      <c r="Y418" s="477" t="str">
        <f>IF($X$418="","",$Y$396)</f>
        <v/>
      </c>
      <c r="Z418" s="477" t="str">
        <f>IF($X$418="","",$Z$396)</f>
        <v/>
      </c>
      <c r="AA418" s="477" t="str">
        <f>IF($AC$418="","",ROW($A$418)-ROW($A$396))</f>
        <v/>
      </c>
      <c r="AB418" s="478"/>
      <c r="AC418" s="34"/>
      <c r="AD418" s="356"/>
      <c r="AE418" s="479"/>
      <c r="AF418" s="475"/>
      <c r="AG418" s="480" t="str">
        <f t="shared" si="112"/>
        <v/>
      </c>
      <c r="AH418" s="481" t="str">
        <f t="shared" si="113"/>
        <v/>
      </c>
      <c r="AI418" s="477" t="str">
        <f>IF($AC$418="","",IFERROR(INDEX($AZ$74:$AZ$119,MATCH($AH$418,$AY$74:$AY$119,0)),"AUTRE"))</f>
        <v/>
      </c>
      <c r="AJ418" s="482" t="str">
        <f>IF($AC$418="","",IFERROR(INDEX($BA$74:$BA$119,MATCH($AH$418,$AY$74:$AY$119,0)),1))</f>
        <v/>
      </c>
      <c r="AK418" s="482" t="str">
        <f t="shared" si="114"/>
        <v/>
      </c>
      <c r="AL418" s="477" t="str">
        <f>IF($AC$418="","",IFERROR(INDEX($BB$74:$BB$119,MATCH($AH$418,$AY$74:$AY$119,0)),$AH$418))</f>
        <v/>
      </c>
      <c r="AM418" s="483" t="str">
        <f t="shared" si="115"/>
        <v/>
      </c>
      <c r="AN418" s="484" t="str">
        <f t="shared" si="116"/>
        <v/>
      </c>
      <c r="AO418" s="473" t="str">
        <f t="shared" si="117"/>
        <v/>
      </c>
      <c r="AP418" s="473" t="str">
        <f t="shared" si="118"/>
        <v/>
      </c>
      <c r="AQ418" s="473" t="str">
        <f t="shared" si="119"/>
        <v/>
      </c>
      <c r="AR418" s="473" t="str">
        <f t="shared" si="120"/>
        <v/>
      </c>
      <c r="AS418" s="473" t="str">
        <f t="shared" si="121"/>
        <v/>
      </c>
      <c r="AT418" s="473" t="str">
        <f t="shared" si="122"/>
        <v/>
      </c>
      <c r="AU418" s="473" t="str">
        <f t="shared" si="123"/>
        <v/>
      </c>
      <c r="AZ418" s="32" t="s">
        <v>33</v>
      </c>
      <c r="BA418" s="34" t="s">
        <v>6112</v>
      </c>
      <c r="BB418" s="499"/>
      <c r="BC418" s="271"/>
      <c r="BD418" s="279">
        <v>1</v>
      </c>
      <c r="BE418" s="271"/>
      <c r="BF418" s="271"/>
      <c r="BG418" s="271"/>
      <c r="BH418" s="271"/>
      <c r="BI418" s="271"/>
      <c r="BJ418" s="271"/>
      <c r="BK418" s="271"/>
      <c r="BL418" s="271"/>
    </row>
    <row r="419" spans="1:64" ht="21" customHeight="1" x14ac:dyDescent="0.25">
      <c r="R419" s="34" t="s">
        <v>6117</v>
      </c>
      <c r="S419" s="451"/>
      <c r="T419" s="30" t="s">
        <v>11</v>
      </c>
      <c r="V419" s="475">
        <v>10</v>
      </c>
      <c r="W419" s="475" t="str">
        <f>IF($AC$419="","",$W$396)</f>
        <v/>
      </c>
      <c r="X419" s="476" t="str">
        <f>IF($AC$419="","",$X$396)</f>
        <v/>
      </c>
      <c r="Y419" s="477" t="str">
        <f>IF($X$419="","",$Y$396)</f>
        <v/>
      </c>
      <c r="Z419" s="477" t="str">
        <f>IF($X$419="","",$Z$396)</f>
        <v/>
      </c>
      <c r="AA419" s="477" t="str">
        <f>IF($AC$419="","",ROW($A$419)-ROW($A$396))</f>
        <v/>
      </c>
      <c r="AB419" s="478"/>
      <c r="AC419" s="34"/>
      <c r="AD419" s="356"/>
      <c r="AE419" s="479"/>
      <c r="AF419" s="475"/>
      <c r="AG419" s="480" t="str">
        <f t="shared" si="112"/>
        <v/>
      </c>
      <c r="AH419" s="481" t="str">
        <f t="shared" si="113"/>
        <v/>
      </c>
      <c r="AI419" s="477" t="str">
        <f>IF($AC$419="","",IFERROR(INDEX($AZ$74:$AZ$119,MATCH($AH$419,$AY$74:$AY$119,0)),"AUTRE"))</f>
        <v/>
      </c>
      <c r="AJ419" s="482" t="str">
        <f>IF($AC$419="","",IFERROR(INDEX($BA$74:$BA$119,MATCH($AH$419,$AY$74:$AY$119,0)),1))</f>
        <v/>
      </c>
      <c r="AK419" s="482" t="str">
        <f t="shared" si="114"/>
        <v/>
      </c>
      <c r="AL419" s="477" t="str">
        <f>IF($AC$419="","",IFERROR(INDEX($BB$74:$BB$119,MATCH($AH$419,$AY$74:$AY$119,0)),$AH$419))</f>
        <v/>
      </c>
      <c r="AM419" s="483" t="str">
        <f t="shared" si="115"/>
        <v/>
      </c>
      <c r="AN419" s="484" t="str">
        <f t="shared" si="116"/>
        <v/>
      </c>
      <c r="AO419" s="473" t="str">
        <f t="shared" si="117"/>
        <v/>
      </c>
      <c r="AP419" s="473" t="str">
        <f t="shared" si="118"/>
        <v/>
      </c>
      <c r="AQ419" s="473" t="str">
        <f t="shared" si="119"/>
        <v/>
      </c>
      <c r="AR419" s="473" t="str">
        <f t="shared" si="120"/>
        <v/>
      </c>
      <c r="AS419" s="473" t="str">
        <f t="shared" si="121"/>
        <v/>
      </c>
      <c r="AT419" s="473" t="str">
        <f t="shared" si="122"/>
        <v/>
      </c>
      <c r="AU419" s="473" t="str">
        <f t="shared" si="123"/>
        <v/>
      </c>
      <c r="AZ419" s="32" t="s">
        <v>8125</v>
      </c>
      <c r="BA419" s="25" t="s">
        <v>6116</v>
      </c>
      <c r="BB419" s="499"/>
      <c r="BC419" s="271"/>
      <c r="BD419" s="279">
        <v>1</v>
      </c>
      <c r="BE419" s="271"/>
      <c r="BF419" s="271"/>
      <c r="BG419" s="271"/>
      <c r="BH419" s="271"/>
      <c r="BI419" s="271"/>
      <c r="BJ419" s="271"/>
      <c r="BK419" s="271"/>
      <c r="BL419" s="271"/>
    </row>
    <row r="420" spans="1:64" ht="21" customHeight="1" x14ac:dyDescent="0.25">
      <c r="R420" s="34" t="s">
        <v>469</v>
      </c>
      <c r="S420" s="451"/>
      <c r="T420" s="30" t="s">
        <v>12</v>
      </c>
      <c r="V420" s="475">
        <v>10</v>
      </c>
      <c r="W420" s="475" t="str">
        <f>IF($AC$420="","",$W$396)</f>
        <v/>
      </c>
      <c r="X420" s="476" t="str">
        <f>IF($AC$420="","",$X$396)</f>
        <v/>
      </c>
      <c r="Y420" s="477" t="str">
        <f>IF($X$420="","",$Y$396)</f>
        <v/>
      </c>
      <c r="Z420" s="477" t="str">
        <f>IF($X$420="","",$Z$396)</f>
        <v/>
      </c>
      <c r="AA420" s="477" t="str">
        <f>IF($AC$420="","",ROW($A$420)-ROW($A$396))</f>
        <v/>
      </c>
      <c r="AB420" s="478"/>
      <c r="AC420" s="34"/>
      <c r="AD420" s="356"/>
      <c r="AE420" s="479"/>
      <c r="AF420" s="475"/>
      <c r="AG420" s="480" t="str">
        <f t="shared" si="112"/>
        <v/>
      </c>
      <c r="AH420" s="481" t="str">
        <f t="shared" si="113"/>
        <v/>
      </c>
      <c r="AI420" s="477" t="str">
        <f>IF($AC$420="","",IFERROR(INDEX($AZ$74:$AZ$119,MATCH($AH$420,$AY$74:$AY$119,0)),"AUTRE"))</f>
        <v/>
      </c>
      <c r="AJ420" s="482" t="str">
        <f>IF($AC$420="","",IFERROR(INDEX($BA$74:$BA$119,MATCH($AH$420,$AY$74:$AY$119,0)),1))</f>
        <v/>
      </c>
      <c r="AK420" s="482" t="str">
        <f t="shared" si="114"/>
        <v/>
      </c>
      <c r="AL420" s="477" t="str">
        <f>IF($AC$420="","",IFERROR(INDEX($BB$74:$BB$119,MATCH($AH$420,$AY$74:$AY$119,0)),$AH$420))</f>
        <v/>
      </c>
      <c r="AM420" s="483" t="str">
        <f t="shared" si="115"/>
        <v/>
      </c>
      <c r="AN420" s="484" t="str">
        <f t="shared" si="116"/>
        <v/>
      </c>
      <c r="AO420" s="473" t="str">
        <f t="shared" si="117"/>
        <v/>
      </c>
      <c r="AP420" s="473" t="str">
        <f t="shared" si="118"/>
        <v/>
      </c>
      <c r="AQ420" s="473" t="str">
        <f t="shared" si="119"/>
        <v/>
      </c>
      <c r="AR420" s="473" t="str">
        <f t="shared" si="120"/>
        <v/>
      </c>
      <c r="AS420" s="473" t="str">
        <f t="shared" si="121"/>
        <v/>
      </c>
      <c r="AT420" s="473" t="str">
        <f t="shared" si="122"/>
        <v/>
      </c>
      <c r="AU420" s="473" t="str">
        <f t="shared" si="123"/>
        <v/>
      </c>
      <c r="AZ420" s="32" t="s">
        <v>8127</v>
      </c>
      <c r="BA420" s="34" t="s">
        <v>6117</v>
      </c>
      <c r="BB420" s="499"/>
      <c r="BC420" s="271"/>
      <c r="BD420" s="279">
        <v>1</v>
      </c>
      <c r="BE420" s="271"/>
      <c r="BF420" s="271"/>
      <c r="BG420" s="271"/>
      <c r="BH420" s="271"/>
      <c r="BI420" s="271"/>
      <c r="BJ420" s="271"/>
      <c r="BK420" s="271"/>
      <c r="BL420" s="271"/>
    </row>
    <row r="421" spans="1:64" ht="21" customHeight="1" x14ac:dyDescent="0.25">
      <c r="R421" s="34" t="s">
        <v>6118</v>
      </c>
      <c r="S421" s="451"/>
      <c r="T421" s="31" t="s">
        <v>16</v>
      </c>
      <c r="V421" s="475">
        <v>10</v>
      </c>
      <c r="W421" s="475" t="str">
        <f>IF($AC$421="","",$W$396)</f>
        <v/>
      </c>
      <c r="X421" s="476" t="str">
        <f>IF($AC$421="","",$X$396)</f>
        <v/>
      </c>
      <c r="Y421" s="477" t="str">
        <f>IF($X$421="","",$Y$396)</f>
        <v/>
      </c>
      <c r="Z421" s="477" t="str">
        <f>IF($X$421="","",$Z$396)</f>
        <v/>
      </c>
      <c r="AA421" s="477" t="str">
        <f>IF($AC$421="","",ROW($A$421)-ROW($A$396))</f>
        <v/>
      </c>
      <c r="AB421" s="478"/>
      <c r="AC421" s="34"/>
      <c r="AD421" s="356"/>
      <c r="AE421" s="479"/>
      <c r="AF421" s="475"/>
      <c r="AG421" s="480" t="str">
        <f t="shared" si="112"/>
        <v/>
      </c>
      <c r="AH421" s="481" t="str">
        <f t="shared" si="113"/>
        <v/>
      </c>
      <c r="AI421" s="477" t="str">
        <f>IF($AC$421="","",IFERROR(INDEX($AZ$74:$AZ$119,MATCH($AH$421,$AY$74:$AY$119,0)),"AUTRE"))</f>
        <v/>
      </c>
      <c r="AJ421" s="482" t="str">
        <f>IF($AC$421="","",IFERROR(INDEX($BA$74:$BA$119,MATCH($AH$421,$AY$74:$AY$119,0)),1))</f>
        <v/>
      </c>
      <c r="AK421" s="482" t="str">
        <f t="shared" si="114"/>
        <v/>
      </c>
      <c r="AL421" s="477" t="str">
        <f>IF($AC$421="","",IFERROR(INDEX($BB$74:$BB$119,MATCH($AH$421,$AY$74:$AY$119,0)),$AH$421))</f>
        <v/>
      </c>
      <c r="AM421" s="483" t="str">
        <f t="shared" si="115"/>
        <v/>
      </c>
      <c r="AN421" s="484" t="str">
        <f t="shared" si="116"/>
        <v/>
      </c>
      <c r="AO421" s="473" t="str">
        <f t="shared" si="117"/>
        <v/>
      </c>
      <c r="AP421" s="473" t="str">
        <f t="shared" si="118"/>
        <v/>
      </c>
      <c r="AQ421" s="473" t="str">
        <f t="shared" si="119"/>
        <v/>
      </c>
      <c r="AR421" s="473" t="str">
        <f t="shared" si="120"/>
        <v/>
      </c>
      <c r="AS421" s="473" t="str">
        <f t="shared" si="121"/>
        <v/>
      </c>
      <c r="AT421" s="473" t="str">
        <f t="shared" si="122"/>
        <v/>
      </c>
      <c r="AU421" s="473" t="str">
        <f t="shared" si="123"/>
        <v/>
      </c>
      <c r="AZ421" s="32" t="s">
        <v>320</v>
      </c>
      <c r="BA421" s="34" t="s">
        <v>469</v>
      </c>
      <c r="BB421" s="499"/>
      <c r="BC421" s="271"/>
      <c r="BD421" s="279">
        <v>1</v>
      </c>
      <c r="BE421" s="271"/>
      <c r="BF421" s="271"/>
      <c r="BG421" s="271"/>
      <c r="BH421" s="271"/>
      <c r="BI421" s="271"/>
      <c r="BJ421" s="271"/>
      <c r="BK421" s="271"/>
      <c r="BL421" s="271"/>
    </row>
    <row r="422" spans="1:64" ht="21" customHeight="1" x14ac:dyDescent="0.25">
      <c r="R422" s="34" t="s">
        <v>492</v>
      </c>
      <c r="S422" s="451"/>
      <c r="T422" s="31" t="s">
        <v>17</v>
      </c>
      <c r="V422" s="475">
        <v>10</v>
      </c>
      <c r="W422" s="475" t="str">
        <f>IF($AC$422="","",$W$396)</f>
        <v/>
      </c>
      <c r="X422" s="476" t="str">
        <f>IF($AC$422="","",$X$396)</f>
        <v/>
      </c>
      <c r="Y422" s="477" t="str">
        <f>IF($X$422="","",$Y$396)</f>
        <v/>
      </c>
      <c r="Z422" s="477" t="str">
        <f>IF($X$422="","",$Z$396)</f>
        <v/>
      </c>
      <c r="AA422" s="477" t="str">
        <f>IF($AC$422="","",ROW($A$422)-ROW($A$396))</f>
        <v/>
      </c>
      <c r="AB422" s="478"/>
      <c r="AC422" s="34"/>
      <c r="AD422" s="356"/>
      <c r="AE422" s="479"/>
      <c r="AF422" s="475"/>
      <c r="AG422" s="480" t="str">
        <f t="shared" si="112"/>
        <v/>
      </c>
      <c r="AH422" s="481" t="str">
        <f t="shared" si="113"/>
        <v/>
      </c>
      <c r="AI422" s="477" t="str">
        <f>IF($AC$422="","",IFERROR(INDEX($AZ$74:$AZ$119,MATCH($AH$422,$AY$74:$AY$119,0)),"AUTRE"))</f>
        <v/>
      </c>
      <c r="AJ422" s="482" t="str">
        <f>IF($AC$422="","",IFERROR(INDEX($BA$74:$BA$119,MATCH($AH$422,$AY$74:$AY$119,0)),1))</f>
        <v/>
      </c>
      <c r="AK422" s="482" t="str">
        <f t="shared" si="114"/>
        <v/>
      </c>
      <c r="AL422" s="477" t="str">
        <f>IF($AC$422="","",IFERROR(INDEX($BB$74:$BB$119,MATCH($AH$422,$AY$74:$AY$119,0)),$AH$422))</f>
        <v/>
      </c>
      <c r="AM422" s="483" t="str">
        <f t="shared" si="115"/>
        <v/>
      </c>
      <c r="AN422" s="484" t="str">
        <f t="shared" si="116"/>
        <v/>
      </c>
      <c r="AO422" s="473" t="str">
        <f t="shared" si="117"/>
        <v/>
      </c>
      <c r="AP422" s="473" t="str">
        <f t="shared" si="118"/>
        <v/>
      </c>
      <c r="AQ422" s="473" t="str">
        <f t="shared" si="119"/>
        <v/>
      </c>
      <c r="AR422" s="473" t="str">
        <f t="shared" si="120"/>
        <v/>
      </c>
      <c r="AS422" s="473" t="str">
        <f t="shared" si="121"/>
        <v/>
      </c>
      <c r="AT422" s="473" t="str">
        <f t="shared" si="122"/>
        <v/>
      </c>
      <c r="AU422" s="473" t="str">
        <f t="shared" si="123"/>
        <v/>
      </c>
      <c r="AZ422" s="32" t="s">
        <v>318</v>
      </c>
      <c r="BA422" s="34" t="s">
        <v>6118</v>
      </c>
      <c r="BB422" s="499"/>
      <c r="BC422" s="271"/>
      <c r="BD422" s="279">
        <v>1</v>
      </c>
      <c r="BE422" s="271"/>
      <c r="BF422" s="271"/>
      <c r="BG422" s="271"/>
      <c r="BH422" s="271"/>
      <c r="BI422" s="271"/>
      <c r="BJ422" s="271"/>
      <c r="BK422" s="271"/>
      <c r="BL422" s="271"/>
    </row>
    <row r="423" spans="1:64" ht="21" customHeight="1" x14ac:dyDescent="0.25">
      <c r="R423" s="34" t="s">
        <v>458</v>
      </c>
      <c r="S423" s="451"/>
      <c r="T423" s="31" t="s">
        <v>18</v>
      </c>
      <c r="V423" s="475">
        <v>10</v>
      </c>
      <c r="W423" s="475" t="str">
        <f>IF($AC$423="","",$W$396)</f>
        <v/>
      </c>
      <c r="X423" s="476" t="str">
        <f>IF($AC$423="","",$X$396)</f>
        <v/>
      </c>
      <c r="Y423" s="477" t="str">
        <f>IF($X$423="","",$Y$396)</f>
        <v/>
      </c>
      <c r="Z423" s="477" t="str">
        <f>IF($X$423="","",$Z$396)</f>
        <v/>
      </c>
      <c r="AA423" s="477" t="str">
        <f>IF($AC$423="","",ROW($A$423)-ROW($A$396))</f>
        <v/>
      </c>
      <c r="AB423" s="478"/>
      <c r="AC423" s="34"/>
      <c r="AD423" s="356"/>
      <c r="AE423" s="479"/>
      <c r="AF423" s="475"/>
      <c r="AG423" s="480" t="str">
        <f t="shared" si="112"/>
        <v/>
      </c>
      <c r="AH423" s="481" t="str">
        <f t="shared" si="113"/>
        <v/>
      </c>
      <c r="AI423" s="477" t="str">
        <f>IF($AC$423="","",IFERROR(INDEX($AZ$74:$AZ$119,MATCH($AH$423,$AY$74:$AY$119,0)),"AUTRE"))</f>
        <v/>
      </c>
      <c r="AJ423" s="482" t="str">
        <f>IF($AC$423="","",IFERROR(INDEX($BA$74:$BA$119,MATCH($AH$423,$AY$74:$AY$119,0)),1))</f>
        <v/>
      </c>
      <c r="AK423" s="482" t="str">
        <f t="shared" si="114"/>
        <v/>
      </c>
      <c r="AL423" s="477" t="str">
        <f>IF($AC$423="","",IFERROR(INDEX($BB$74:$BB$119,MATCH($AH$423,$AY$74:$AY$119,0)),$AH$423))</f>
        <v/>
      </c>
      <c r="AM423" s="483" t="str">
        <f t="shared" si="115"/>
        <v/>
      </c>
      <c r="AN423" s="484" t="str">
        <f t="shared" si="116"/>
        <v/>
      </c>
      <c r="AO423" s="473" t="str">
        <f t="shared" si="117"/>
        <v/>
      </c>
      <c r="AP423" s="473" t="str">
        <f t="shared" si="118"/>
        <v/>
      </c>
      <c r="AQ423" s="473" t="str">
        <f t="shared" si="119"/>
        <v/>
      </c>
      <c r="AR423" s="473" t="str">
        <f t="shared" si="120"/>
        <v/>
      </c>
      <c r="AS423" s="473" t="str">
        <f t="shared" si="121"/>
        <v/>
      </c>
      <c r="AT423" s="473" t="str">
        <f t="shared" si="122"/>
        <v/>
      </c>
      <c r="AU423" s="473" t="str">
        <f t="shared" si="123"/>
        <v/>
      </c>
      <c r="AZ423" s="32" t="s">
        <v>316</v>
      </c>
      <c r="BA423" s="34" t="s">
        <v>492</v>
      </c>
      <c r="BB423" s="499"/>
      <c r="BC423" s="271"/>
      <c r="BD423" s="279">
        <v>1</v>
      </c>
      <c r="BE423" s="271"/>
      <c r="BF423" s="271"/>
      <c r="BG423" s="271"/>
      <c r="BH423" s="271"/>
      <c r="BI423" s="271"/>
      <c r="BJ423" s="271"/>
      <c r="BK423" s="271"/>
      <c r="BL423" s="271"/>
    </row>
    <row r="424" spans="1:64" ht="21" customHeight="1" x14ac:dyDescent="0.25">
      <c r="R424" s="490"/>
      <c r="S424" s="451"/>
      <c r="T424" s="31" t="s">
        <v>19</v>
      </c>
      <c r="V424" s="475">
        <v>10</v>
      </c>
      <c r="W424" s="475" t="str">
        <f>IF($AC$424="","",$W$396)</f>
        <v/>
      </c>
      <c r="X424" s="476" t="str">
        <f>IF($AC$424="","",$X$396)</f>
        <v/>
      </c>
      <c r="Y424" s="477" t="str">
        <f>IF($X$424="","",$Y$396)</f>
        <v/>
      </c>
      <c r="Z424" s="477" t="str">
        <f>IF($X$424="","",$Z$396)</f>
        <v/>
      </c>
      <c r="AA424" s="477" t="str">
        <f>IF($AC$424="","",ROW($A$424)-ROW($A$396))</f>
        <v/>
      </c>
      <c r="AB424" s="478"/>
      <c r="AC424" s="34"/>
      <c r="AD424" s="356"/>
      <c r="AE424" s="479"/>
      <c r="AF424" s="475"/>
      <c r="AG424" s="480" t="str">
        <f t="shared" si="112"/>
        <v/>
      </c>
      <c r="AH424" s="481" t="str">
        <f t="shared" si="113"/>
        <v/>
      </c>
      <c r="AI424" s="477" t="str">
        <f>IF($AC$424="","",IFERROR(INDEX($AZ$74:$AZ$119,MATCH($AH$424,$AY$74:$AY$119,0)),"AUTRE"))</f>
        <v/>
      </c>
      <c r="AJ424" s="482" t="str">
        <f>IF($AC$424="","",IFERROR(INDEX($BA$74:$BA$119,MATCH($AH$424,$AY$74:$AY$119,0)),1))</f>
        <v/>
      </c>
      <c r="AK424" s="482" t="str">
        <f t="shared" si="114"/>
        <v/>
      </c>
      <c r="AL424" s="477" t="str">
        <f>IF($AC$424="","",IFERROR(INDEX($BB$74:$BB$119,MATCH($AH$424,$AY$74:$AY$119,0)),$AH$424))</f>
        <v/>
      </c>
      <c r="AM424" s="483" t="str">
        <f t="shared" si="115"/>
        <v/>
      </c>
      <c r="AN424" s="484" t="str">
        <f t="shared" si="116"/>
        <v/>
      </c>
      <c r="AO424" s="473" t="str">
        <f t="shared" si="117"/>
        <v/>
      </c>
      <c r="AP424" s="473" t="str">
        <f t="shared" si="118"/>
        <v/>
      </c>
      <c r="AQ424" s="473" t="str">
        <f t="shared" si="119"/>
        <v/>
      </c>
      <c r="AR424" s="473" t="str">
        <f t="shared" si="120"/>
        <v/>
      </c>
      <c r="AS424" s="473" t="str">
        <f t="shared" si="121"/>
        <v/>
      </c>
      <c r="AT424" s="473" t="str">
        <f t="shared" si="122"/>
        <v/>
      </c>
      <c r="AU424" s="473" t="str">
        <f t="shared" si="123"/>
        <v/>
      </c>
      <c r="AY424" s="271"/>
      <c r="AZ424" s="32" t="s">
        <v>313</v>
      </c>
      <c r="BA424" s="34" t="s">
        <v>458</v>
      </c>
      <c r="BB424" s="499"/>
      <c r="BC424" s="271"/>
      <c r="BD424" s="279">
        <v>1</v>
      </c>
      <c r="BE424" s="271"/>
      <c r="BF424" s="271"/>
      <c r="BG424" s="271"/>
      <c r="BH424" s="271"/>
      <c r="BI424" s="271"/>
      <c r="BJ424" s="271"/>
      <c r="BK424" s="271"/>
      <c r="BL424" s="271"/>
    </row>
    <row r="425" spans="1:64" ht="21" customHeight="1" x14ac:dyDescent="0.25">
      <c r="R425" s="25" t="s">
        <v>6119</v>
      </c>
      <c r="S425" s="451"/>
      <c r="T425" s="31" t="s">
        <v>211</v>
      </c>
      <c r="V425" s="475">
        <v>10</v>
      </c>
      <c r="W425" s="475" t="str">
        <f>IF($AC$425="","",$W$396)</f>
        <v/>
      </c>
      <c r="X425" s="476" t="str">
        <f>IF($AC$425="","",$X$396)</f>
        <v/>
      </c>
      <c r="Y425" s="477" t="str">
        <f>IF($X$425="","",$Y$396)</f>
        <v/>
      </c>
      <c r="Z425" s="477" t="str">
        <f>IF($X$425="","",$Z$396)</f>
        <v/>
      </c>
      <c r="AA425" s="477" t="str">
        <f>IF($AC$425="","",ROW($A$425)-ROW($A$396))</f>
        <v/>
      </c>
      <c r="AB425" s="478"/>
      <c r="AC425" s="34"/>
      <c r="AD425" s="356"/>
      <c r="AE425" s="479"/>
      <c r="AF425" s="475"/>
      <c r="AG425" s="480" t="str">
        <f t="shared" si="112"/>
        <v/>
      </c>
      <c r="AH425" s="481" t="str">
        <f t="shared" si="113"/>
        <v/>
      </c>
      <c r="AI425" s="477" t="str">
        <f>IF($AC$425="","",IFERROR(INDEX($AZ$74:$AZ$119,MATCH($AH$425,$AY$74:$AY$119,0)),"AUTRE"))</f>
        <v/>
      </c>
      <c r="AJ425" s="482" t="str">
        <f>IF($AC$425="","",IFERROR(INDEX($BA$74:$BA$119,MATCH($AH$425,$AY$74:$AY$119,0)),1))</f>
        <v/>
      </c>
      <c r="AK425" s="482" t="str">
        <f t="shared" si="114"/>
        <v/>
      </c>
      <c r="AL425" s="477" t="str">
        <f>IF($AC$425="","",IFERROR(INDEX($BB$74:$BB$119,MATCH($AH$425,$AY$74:$AY$119,0)),$AH$425))</f>
        <v/>
      </c>
      <c r="AM425" s="483" t="str">
        <f t="shared" si="115"/>
        <v/>
      </c>
      <c r="AN425" s="484" t="str">
        <f t="shared" si="116"/>
        <v/>
      </c>
      <c r="AO425" s="473" t="str">
        <f t="shared" si="117"/>
        <v/>
      </c>
      <c r="AP425" s="473" t="str">
        <f t="shared" si="118"/>
        <v/>
      </c>
      <c r="AQ425" s="473" t="str">
        <f t="shared" si="119"/>
        <v/>
      </c>
      <c r="AR425" s="473" t="str">
        <f t="shared" si="120"/>
        <v/>
      </c>
      <c r="AS425" s="473" t="str">
        <f t="shared" si="121"/>
        <v/>
      </c>
      <c r="AT425" s="473" t="str">
        <f t="shared" si="122"/>
        <v/>
      </c>
      <c r="AU425" s="473" t="str">
        <f t="shared" si="123"/>
        <v/>
      </c>
      <c r="AY425" s="497" t="s">
        <v>8145</v>
      </c>
      <c r="AZ425" s="32" t="s">
        <v>307</v>
      </c>
      <c r="BA425" s="490"/>
      <c r="BB425" s="499"/>
      <c r="BC425" s="271"/>
      <c r="BD425" s="279">
        <v>1</v>
      </c>
      <c r="BE425" s="271"/>
      <c r="BF425" s="271"/>
      <c r="BG425" s="271"/>
      <c r="BH425" s="271"/>
      <c r="BI425" s="271"/>
      <c r="BJ425" s="271"/>
      <c r="BK425" s="271"/>
      <c r="BL425" s="271"/>
    </row>
    <row r="426" spans="1:64" ht="21" customHeight="1" x14ac:dyDescent="0.25">
      <c r="R426" s="34" t="s">
        <v>6120</v>
      </c>
      <c r="S426" s="451"/>
      <c r="T426" s="31" t="s">
        <v>20</v>
      </c>
      <c r="V426" s="475">
        <v>10</v>
      </c>
      <c r="W426" s="475" t="str">
        <f>IF($AC$426="","",$W$396)</f>
        <v/>
      </c>
      <c r="X426" s="476" t="str">
        <f>IF($AC$426="","",$X$396)</f>
        <v/>
      </c>
      <c r="Y426" s="477" t="str">
        <f>IF($X$426="","",$Y$396)</f>
        <v/>
      </c>
      <c r="Z426" s="477" t="str">
        <f>IF($X$426="","",$Z$396)</f>
        <v/>
      </c>
      <c r="AA426" s="477" t="str">
        <f>IF($AC$426="","",ROW($A$426)-ROW($A$396))</f>
        <v/>
      </c>
      <c r="AB426" s="478"/>
      <c r="AC426" s="34"/>
      <c r="AD426" s="356"/>
      <c r="AE426" s="479"/>
      <c r="AF426" s="475"/>
      <c r="AG426" s="480" t="str">
        <f t="shared" si="112"/>
        <v/>
      </c>
      <c r="AH426" s="481" t="str">
        <f t="shared" si="113"/>
        <v/>
      </c>
      <c r="AI426" s="477" t="str">
        <f>IF($AC$426="","",IFERROR(INDEX($AZ$74:$AZ$119,MATCH($AH$426,$AY$74:$AY$119,0)),"AUTRE"))</f>
        <v/>
      </c>
      <c r="AJ426" s="482" t="str">
        <f>IF($AC$426="","",IFERROR(INDEX($BA$74:$BA$119,MATCH($AH$426,$AY$74:$AY$119,0)),1))</f>
        <v/>
      </c>
      <c r="AK426" s="482" t="str">
        <f t="shared" si="114"/>
        <v/>
      </c>
      <c r="AL426" s="477" t="str">
        <f>IF($AC$426="","",IFERROR(INDEX($BB$74:$BB$119,MATCH($AH$426,$AY$74:$AY$119,0)),$AH$426))</f>
        <v/>
      </c>
      <c r="AM426" s="483" t="str">
        <f t="shared" si="115"/>
        <v/>
      </c>
      <c r="AN426" s="484" t="str">
        <f t="shared" si="116"/>
        <v/>
      </c>
      <c r="AO426" s="473" t="str">
        <f t="shared" si="117"/>
        <v/>
      </c>
      <c r="AP426" s="473" t="str">
        <f t="shared" si="118"/>
        <v/>
      </c>
      <c r="AQ426" s="473" t="str">
        <f t="shared" si="119"/>
        <v/>
      </c>
      <c r="AR426" s="473" t="str">
        <f t="shared" si="120"/>
        <v/>
      </c>
      <c r="AS426" s="473" t="str">
        <f t="shared" si="121"/>
        <v/>
      </c>
      <c r="AT426" s="473" t="str">
        <f t="shared" si="122"/>
        <v/>
      </c>
      <c r="AU426" s="473" t="str">
        <f t="shared" si="123"/>
        <v/>
      </c>
      <c r="AY426" s="497" t="s">
        <v>462</v>
      </c>
      <c r="AZ426" s="32" t="s">
        <v>322</v>
      </c>
      <c r="BA426" s="25" t="s">
        <v>6119</v>
      </c>
      <c r="BB426" s="499"/>
      <c r="BC426" s="271"/>
      <c r="BD426" s="279">
        <v>1</v>
      </c>
      <c r="BE426" s="271"/>
      <c r="BF426" s="271"/>
      <c r="BG426" s="271"/>
      <c r="BH426" s="271"/>
      <c r="BI426" s="271"/>
      <c r="BJ426" s="271"/>
      <c r="BK426" s="271"/>
      <c r="BL426" s="271"/>
    </row>
    <row r="427" spans="1:64" ht="21" customHeight="1" x14ac:dyDescent="0.25">
      <c r="R427" s="34" t="s">
        <v>6121</v>
      </c>
      <c r="S427" s="451"/>
      <c r="T427" s="31" t="s">
        <v>304</v>
      </c>
      <c r="V427" s="475">
        <v>10</v>
      </c>
      <c r="W427" s="475" t="str">
        <f>IF($AC$427="","",$W$396)</f>
        <v/>
      </c>
      <c r="X427" s="476" t="str">
        <f>IF($AC$427="","",$X$396)</f>
        <v/>
      </c>
      <c r="Y427" s="477" t="str">
        <f>IF($X$427="","",$Y$396)</f>
        <v/>
      </c>
      <c r="Z427" s="477" t="str">
        <f>IF($X$427="","",$Z$396)</f>
        <v/>
      </c>
      <c r="AA427" s="477" t="str">
        <f>IF($AC$427="","",ROW($A$427)-ROW($A$396))</f>
        <v/>
      </c>
      <c r="AB427" s="478"/>
      <c r="AC427" s="34"/>
      <c r="AD427" s="356"/>
      <c r="AE427" s="479"/>
      <c r="AF427" s="475"/>
      <c r="AG427" s="480" t="str">
        <f t="shared" si="112"/>
        <v/>
      </c>
      <c r="AH427" s="481" t="str">
        <f t="shared" si="113"/>
        <v/>
      </c>
      <c r="AI427" s="477" t="str">
        <f>IF($AC$427="","",IFERROR(INDEX($AZ$74:$AZ$119,MATCH($AH$427,$AY$74:$AY$119,0)),"AUTRE"))</f>
        <v/>
      </c>
      <c r="AJ427" s="482" t="str">
        <f>IF($AC$427="","",IFERROR(INDEX($BA$74:$BA$119,MATCH($AH$427,$AY$74:$AY$119,0)),1))</f>
        <v/>
      </c>
      <c r="AK427" s="482" t="str">
        <f t="shared" si="114"/>
        <v/>
      </c>
      <c r="AL427" s="477" t="str">
        <f>IF($AC$427="","",IFERROR(INDEX($BB$74:$BB$119,MATCH($AH$427,$AY$74:$AY$119,0)),$AH$427))</f>
        <v/>
      </c>
      <c r="AM427" s="483" t="str">
        <f t="shared" si="115"/>
        <v/>
      </c>
      <c r="AN427" s="484" t="str">
        <f t="shared" si="116"/>
        <v/>
      </c>
      <c r="AO427" s="473" t="str">
        <f t="shared" si="117"/>
        <v/>
      </c>
      <c r="AP427" s="473" t="str">
        <f t="shared" si="118"/>
        <v/>
      </c>
      <c r="AQ427" s="473" t="str">
        <f t="shared" si="119"/>
        <v/>
      </c>
      <c r="AR427" s="473" t="str">
        <f t="shared" si="120"/>
        <v/>
      </c>
      <c r="AS427" s="473" t="str">
        <f t="shared" si="121"/>
        <v/>
      </c>
      <c r="AT427" s="473" t="str">
        <f t="shared" si="122"/>
        <v/>
      </c>
      <c r="AU427" s="473" t="str">
        <f t="shared" si="123"/>
        <v/>
      </c>
      <c r="AY427" s="497" t="s">
        <v>463</v>
      </c>
      <c r="AZ427" s="32" t="s">
        <v>305</v>
      </c>
      <c r="BA427" s="34" t="s">
        <v>6120</v>
      </c>
      <c r="BB427" s="499"/>
      <c r="BC427" s="271"/>
      <c r="BD427" s="279">
        <v>1</v>
      </c>
      <c r="BE427" s="271"/>
      <c r="BF427" s="271"/>
      <c r="BG427" s="271"/>
      <c r="BH427" s="271"/>
      <c r="BI427" s="271"/>
      <c r="BJ427" s="271"/>
      <c r="BK427" s="271"/>
      <c r="BL427" s="271"/>
    </row>
    <row r="428" spans="1:64" ht="21" customHeight="1" x14ac:dyDescent="0.25">
      <c r="R428" s="34" t="s">
        <v>6122</v>
      </c>
      <c r="S428" s="451"/>
      <c r="T428" s="31" t="s">
        <v>352</v>
      </c>
      <c r="V428" s="475">
        <v>10</v>
      </c>
      <c r="W428" s="475" t="str">
        <f>IF($AC$428="","",$W$396)</f>
        <v/>
      </c>
      <c r="X428" s="476" t="str">
        <f>IF($AC$428="","",$X$396)</f>
        <v/>
      </c>
      <c r="Y428" s="477" t="str">
        <f>IF($X$428="","",$Y$396)</f>
        <v/>
      </c>
      <c r="Z428" s="477" t="str">
        <f>IF($X$428="","",$Z$396)</f>
        <v/>
      </c>
      <c r="AA428" s="477" t="str">
        <f>IF($AC$428="","",ROW($A$428)-ROW($A$396))</f>
        <v/>
      </c>
      <c r="AB428" s="478"/>
      <c r="AC428" s="34"/>
      <c r="AD428" s="356"/>
      <c r="AE428" s="479"/>
      <c r="AF428" s="475"/>
      <c r="AG428" s="480" t="str">
        <f t="shared" si="112"/>
        <v/>
      </c>
      <c r="AH428" s="481" t="str">
        <f t="shared" si="113"/>
        <v/>
      </c>
      <c r="AI428" s="477" t="str">
        <f>IF($AC$428="","",IFERROR(INDEX($AZ$74:$AZ$119,MATCH($AH$428,$AY$74:$AY$119,0)),"AUTRE"))</f>
        <v/>
      </c>
      <c r="AJ428" s="482" t="str">
        <f>IF($AC$428="","",IFERROR(INDEX($BA$74:$BA$119,MATCH($AH$428,$AY$74:$AY$119,0)),1))</f>
        <v/>
      </c>
      <c r="AK428" s="482" t="str">
        <f t="shared" si="114"/>
        <v/>
      </c>
      <c r="AL428" s="477" t="str">
        <f>IF($AC$428="","",IFERROR(INDEX($BB$74:$BB$119,MATCH($AH$428,$AY$74:$AY$119,0)),$AH$428))</f>
        <v/>
      </c>
      <c r="AM428" s="483" t="str">
        <f t="shared" si="115"/>
        <v/>
      </c>
      <c r="AN428" s="484" t="str">
        <f t="shared" si="116"/>
        <v/>
      </c>
      <c r="AO428" s="473" t="str">
        <f t="shared" si="117"/>
        <v/>
      </c>
      <c r="AP428" s="473" t="str">
        <f t="shared" si="118"/>
        <v/>
      </c>
      <c r="AQ428" s="473" t="str">
        <f t="shared" si="119"/>
        <v/>
      </c>
      <c r="AR428" s="473" t="str">
        <f t="shared" si="120"/>
        <v/>
      </c>
      <c r="AS428" s="473" t="str">
        <f t="shared" si="121"/>
        <v/>
      </c>
      <c r="AT428" s="473" t="str">
        <f t="shared" si="122"/>
        <v/>
      </c>
      <c r="AU428" s="473" t="str">
        <f t="shared" si="123"/>
        <v/>
      </c>
      <c r="AY428" s="497" t="s">
        <v>8147</v>
      </c>
      <c r="AZ428" s="32" t="s">
        <v>8129</v>
      </c>
      <c r="BA428" s="34" t="s">
        <v>6121</v>
      </c>
      <c r="BB428" s="499"/>
      <c r="BC428" s="271"/>
      <c r="BD428" s="279">
        <v>1</v>
      </c>
      <c r="BE428" s="271"/>
      <c r="BF428" s="271"/>
      <c r="BG428" s="271"/>
      <c r="BH428" s="271"/>
      <c r="BI428" s="271"/>
      <c r="BJ428" s="271"/>
      <c r="BK428" s="271"/>
      <c r="BL428" s="271"/>
    </row>
    <row r="429" spans="1:64" ht="21" customHeight="1" x14ac:dyDescent="0.25">
      <c r="R429" s="34" t="s">
        <v>6123</v>
      </c>
      <c r="S429" s="451"/>
      <c r="T429" s="31" t="s">
        <v>25</v>
      </c>
      <c r="V429" s="475">
        <v>10</v>
      </c>
      <c r="W429" s="475" t="str">
        <f>IF($AC$429="","",$W$396)</f>
        <v/>
      </c>
      <c r="X429" s="476" t="str">
        <f>IF($AC$429="","",$X$396)</f>
        <v/>
      </c>
      <c r="Y429" s="477" t="str">
        <f>IF($X$429="","",$Y$396)</f>
        <v/>
      </c>
      <c r="Z429" s="477" t="str">
        <f>IF($X$429="","",$Z$396)</f>
        <v/>
      </c>
      <c r="AA429" s="477" t="str">
        <f>IF($AC$429="","",ROW($A$429)-ROW($A$396))</f>
        <v/>
      </c>
      <c r="AB429" s="478"/>
      <c r="AC429" s="34"/>
      <c r="AD429" s="356"/>
      <c r="AE429" s="479"/>
      <c r="AF429" s="475"/>
      <c r="AG429" s="480" t="str">
        <f t="shared" si="112"/>
        <v/>
      </c>
      <c r="AH429" s="481" t="str">
        <f t="shared" si="113"/>
        <v/>
      </c>
      <c r="AI429" s="477" t="str">
        <f>IF($AC$429="","",IFERROR(INDEX($AZ$74:$AZ$119,MATCH($AH$429,$AY$74:$AY$119,0)),"AUTRE"))</f>
        <v/>
      </c>
      <c r="AJ429" s="482" t="str">
        <f>IF($AC$429="","",IFERROR(INDEX($BA$74:$BA$119,MATCH($AH$429,$AY$74:$AY$119,0)),1))</f>
        <v/>
      </c>
      <c r="AK429" s="482" t="str">
        <f t="shared" si="114"/>
        <v/>
      </c>
      <c r="AL429" s="477" t="str">
        <f>IF($AC$429="","",IFERROR(INDEX($BB$74:$BB$119,MATCH($AH$429,$AY$74:$AY$119,0)),$AH$429))</f>
        <v/>
      </c>
      <c r="AM429" s="483" t="str">
        <f t="shared" si="115"/>
        <v/>
      </c>
      <c r="AN429" s="484" t="str">
        <f t="shared" si="116"/>
        <v/>
      </c>
      <c r="AO429" s="473" t="str">
        <f t="shared" si="117"/>
        <v/>
      </c>
      <c r="AP429" s="473" t="str">
        <f t="shared" si="118"/>
        <v/>
      </c>
      <c r="AQ429" s="473" t="str">
        <f t="shared" si="119"/>
        <v/>
      </c>
      <c r="AR429" s="473" t="str">
        <f t="shared" si="120"/>
        <v/>
      </c>
      <c r="AS429" s="473" t="str">
        <f t="shared" si="121"/>
        <v/>
      </c>
      <c r="AT429" s="473" t="str">
        <f t="shared" si="122"/>
        <v/>
      </c>
      <c r="AU429" s="473" t="str">
        <f t="shared" si="123"/>
        <v/>
      </c>
      <c r="AY429" s="497" t="s">
        <v>465</v>
      </c>
      <c r="AZ429" s="32" t="s">
        <v>8131</v>
      </c>
      <c r="BA429" s="34" t="s">
        <v>6122</v>
      </c>
      <c r="BB429" s="499"/>
      <c r="BC429" s="271"/>
      <c r="BD429" s="279">
        <v>1</v>
      </c>
      <c r="BE429" s="271"/>
      <c r="BF429" s="271"/>
      <c r="BG429" s="271"/>
      <c r="BH429" s="271"/>
      <c r="BI429" s="271"/>
      <c r="BJ429" s="271"/>
      <c r="BK429" s="271"/>
      <c r="BL429" s="271"/>
    </row>
    <row r="430" spans="1:64" ht="21" customHeight="1" x14ac:dyDescent="0.25">
      <c r="R430" s="34" t="s">
        <v>6124</v>
      </c>
      <c r="S430" s="451"/>
      <c r="T430" s="31" t="s">
        <v>26</v>
      </c>
      <c r="V430" s="475">
        <v>10</v>
      </c>
      <c r="W430" s="475" t="str">
        <f>IF($AC$430="","",$W$396)</f>
        <v/>
      </c>
      <c r="X430" s="476" t="str">
        <f>IF($AC$430="","",$X$396)</f>
        <v/>
      </c>
      <c r="Y430" s="477" t="str">
        <f>IF($X$430="","",$Y$396)</f>
        <v/>
      </c>
      <c r="Z430" s="477" t="str">
        <f>IF($X$430="","",$Z$396)</f>
        <v/>
      </c>
      <c r="AA430" s="477" t="str">
        <f>IF($AC$430="","",ROW($A$430)-ROW($A$396))</f>
        <v/>
      </c>
      <c r="AB430" s="478"/>
      <c r="AC430" s="34"/>
      <c r="AD430" s="356"/>
      <c r="AE430" s="479"/>
      <c r="AF430" s="475"/>
      <c r="AG430" s="491" t="str">
        <f t="shared" si="112"/>
        <v/>
      </c>
      <c r="AH430" s="481" t="str">
        <f t="shared" si="113"/>
        <v/>
      </c>
      <c r="AI430" s="477" t="str">
        <f>IF($AC$430="","",IFERROR(INDEX($AZ$74:$AZ$119,MATCH($AH$430,$AY$74:$AY$119,0)),"AUTRE"))</f>
        <v/>
      </c>
      <c r="AJ430" s="482" t="str">
        <f>IF($AC$430="","",IFERROR(INDEX($BA$74:$BA$119,MATCH($AH$430,$AY$74:$AY$119,0)),1))</f>
        <v/>
      </c>
      <c r="AK430" s="482" t="str">
        <f t="shared" si="114"/>
        <v/>
      </c>
      <c r="AL430" s="477" t="str">
        <f>IF($AC$430="","",IFERROR(INDEX($BB$74:$BB$119,MATCH($AH$430,$AY$74:$AY$119,0)),$AH$430))</f>
        <v/>
      </c>
      <c r="AM430" s="483" t="str">
        <f t="shared" si="115"/>
        <v/>
      </c>
      <c r="AN430" s="484" t="str">
        <f t="shared" si="116"/>
        <v/>
      </c>
      <c r="AO430" s="473" t="str">
        <f t="shared" si="117"/>
        <v/>
      </c>
      <c r="AP430" s="473" t="str">
        <f t="shared" si="118"/>
        <v/>
      </c>
      <c r="AQ430" s="473" t="str">
        <f t="shared" si="119"/>
        <v/>
      </c>
      <c r="AR430" s="473" t="str">
        <f t="shared" si="120"/>
        <v/>
      </c>
      <c r="AS430" s="473" t="str">
        <f t="shared" si="121"/>
        <v/>
      </c>
      <c r="AT430" s="473" t="str">
        <f t="shared" si="122"/>
        <v/>
      </c>
      <c r="AU430" s="473" t="str">
        <f t="shared" si="123"/>
        <v/>
      </c>
      <c r="AY430" s="497" t="s">
        <v>466</v>
      </c>
      <c r="AZ430" s="32" t="s">
        <v>309</v>
      </c>
      <c r="BA430" s="34" t="s">
        <v>6123</v>
      </c>
      <c r="BB430" s="503" t="s">
        <v>8166</v>
      </c>
      <c r="BC430" s="271"/>
      <c r="BD430" s="279">
        <v>1</v>
      </c>
      <c r="BE430" s="271"/>
      <c r="BF430" s="271"/>
      <c r="BG430" s="271"/>
      <c r="BH430" s="271"/>
      <c r="BI430" s="271"/>
      <c r="BJ430" s="271"/>
      <c r="BK430" s="271"/>
      <c r="BL430" s="271"/>
    </row>
    <row r="431" spans="1:64" ht="21" customHeight="1" x14ac:dyDescent="0.25">
      <c r="R431" s="34" t="s">
        <v>6125</v>
      </c>
      <c r="S431" s="451"/>
      <c r="T431" s="31" t="s">
        <v>27</v>
      </c>
      <c r="V431" s="271"/>
      <c r="W431" s="271"/>
      <c r="X431" s="271"/>
      <c r="Y431" s="271"/>
      <c r="Z431" s="271"/>
      <c r="AA431" s="271"/>
      <c r="AB431" s="271"/>
      <c r="AC431" s="271"/>
      <c r="AD431" s="271"/>
      <c r="AE431" s="271"/>
      <c r="AF431" s="271"/>
      <c r="AG431" s="271"/>
      <c r="AH431" s="271"/>
      <c r="AI431" s="271"/>
      <c r="AJ431" s="271"/>
      <c r="AK431" s="271"/>
      <c r="AL431" s="271"/>
      <c r="AM431" s="271"/>
      <c r="AN431" s="271"/>
      <c r="AO431" s="271"/>
      <c r="AP431" s="271"/>
      <c r="AY431" s="271"/>
      <c r="AZ431" s="32" t="s">
        <v>311</v>
      </c>
      <c r="BA431" s="34" t="s">
        <v>6124</v>
      </c>
      <c r="BB431" s="271"/>
      <c r="BC431" s="271"/>
      <c r="BD431" s="504" t="s">
        <v>5889</v>
      </c>
      <c r="BE431" s="271"/>
      <c r="BF431" s="271"/>
      <c r="BG431" s="271"/>
      <c r="BH431" s="271"/>
      <c r="BI431" s="271"/>
      <c r="BJ431" s="271"/>
      <c r="BK431" s="271"/>
      <c r="BL431" s="271"/>
    </row>
    <row r="432" spans="1:64" ht="21" customHeight="1" x14ac:dyDescent="0.25">
      <c r="A432" s="279">
        <v>1</v>
      </c>
      <c r="B432" s="279">
        <v>1</v>
      </c>
      <c r="C432" s="279">
        <v>1</v>
      </c>
      <c r="D432" s="279">
        <v>1</v>
      </c>
      <c r="E432" s="279">
        <v>1</v>
      </c>
      <c r="F432" s="279">
        <v>1</v>
      </c>
      <c r="G432" s="279">
        <v>1</v>
      </c>
      <c r="H432" s="279">
        <v>1</v>
      </c>
      <c r="I432" s="279">
        <v>1</v>
      </c>
      <c r="J432" s="279">
        <v>1</v>
      </c>
      <c r="K432" s="279">
        <v>1</v>
      </c>
      <c r="L432" s="279">
        <v>1</v>
      </c>
      <c r="M432" s="279">
        <v>1</v>
      </c>
      <c r="N432" s="279">
        <v>1</v>
      </c>
      <c r="O432" s="279">
        <v>1</v>
      </c>
      <c r="P432" s="279">
        <v>1</v>
      </c>
      <c r="Q432" s="279">
        <v>1</v>
      </c>
      <c r="R432" s="279">
        <v>1</v>
      </c>
      <c r="S432" s="279">
        <v>1</v>
      </c>
      <c r="T432" s="279">
        <v>1</v>
      </c>
      <c r="U432" s="279">
        <v>1</v>
      </c>
      <c r="V432" s="279">
        <v>1</v>
      </c>
      <c r="W432" s="279">
        <v>1</v>
      </c>
      <c r="X432" s="279">
        <v>1</v>
      </c>
      <c r="Y432" s="279">
        <v>1</v>
      </c>
      <c r="Z432" s="279">
        <v>1</v>
      </c>
      <c r="AA432" s="279">
        <v>1</v>
      </c>
      <c r="AB432" s="279">
        <v>1</v>
      </c>
      <c r="AC432" s="279">
        <v>1</v>
      </c>
      <c r="AD432" s="279">
        <v>1</v>
      </c>
      <c r="AE432" s="279">
        <v>1</v>
      </c>
      <c r="AF432" s="279">
        <v>1</v>
      </c>
      <c r="AG432" s="279">
        <v>1</v>
      </c>
      <c r="AH432" s="279">
        <v>1</v>
      </c>
      <c r="AI432" s="279">
        <v>1</v>
      </c>
      <c r="AJ432" s="279">
        <v>1</v>
      </c>
      <c r="AK432" s="279"/>
      <c r="AL432" s="279">
        <v>1</v>
      </c>
      <c r="AM432" s="279">
        <v>1</v>
      </c>
      <c r="AN432" s="279">
        <v>1</v>
      </c>
      <c r="AO432" s="279">
        <v>1</v>
      </c>
      <c r="AP432" s="279">
        <v>1</v>
      </c>
      <c r="AQ432" s="279">
        <v>1</v>
      </c>
      <c r="AR432" s="279">
        <v>1</v>
      </c>
      <c r="AS432" s="279">
        <v>1</v>
      </c>
      <c r="AT432" s="279">
        <v>1</v>
      </c>
      <c r="AU432" s="279">
        <v>1</v>
      </c>
      <c r="AV432" s="279">
        <v>1</v>
      </c>
      <c r="AW432" s="279"/>
      <c r="AX432" s="279"/>
      <c r="AY432" s="279">
        <v>1</v>
      </c>
      <c r="AZ432" s="279">
        <v>1</v>
      </c>
      <c r="BA432" s="279">
        <v>1</v>
      </c>
      <c r="BB432" s="279">
        <v>1</v>
      </c>
      <c r="BC432" s="279">
        <v>1</v>
      </c>
      <c r="BD432" s="505" t="str">
        <f>ADDRESS(ROW(),COLUMN(),4)</f>
        <v>BD432</v>
      </c>
      <c r="BE432" s="271"/>
      <c r="BF432" s="271"/>
      <c r="BG432" s="271"/>
      <c r="BH432" s="271"/>
      <c r="BI432" s="271"/>
      <c r="BJ432" s="271"/>
      <c r="BK432" s="271"/>
      <c r="BL432" s="271"/>
    </row>
    <row r="433" spans="18:64" ht="21" customHeight="1" x14ac:dyDescent="0.25">
      <c r="S433" s="451"/>
      <c r="V433" s="271"/>
      <c r="W433" s="271"/>
      <c r="X433" s="271"/>
      <c r="Y433" s="271"/>
      <c r="Z433" s="271"/>
      <c r="AA433" s="271"/>
      <c r="AB433" s="271"/>
      <c r="AC433" s="271"/>
      <c r="AD433" s="271"/>
      <c r="AE433" s="271"/>
      <c r="AF433" s="271"/>
      <c r="AG433" s="271"/>
      <c r="AH433" s="271"/>
      <c r="AI433" s="271"/>
      <c r="AJ433" s="271"/>
      <c r="AK433" s="271"/>
      <c r="AL433" s="271"/>
      <c r="AM433" s="271"/>
      <c r="AN433" s="271"/>
      <c r="AO433" s="271"/>
      <c r="AP433" s="271"/>
      <c r="AY433" s="271"/>
      <c r="AZ433" s="271"/>
      <c r="BA433" s="271"/>
      <c r="BB433" s="271"/>
      <c r="BC433" s="271"/>
      <c r="BE433" s="271"/>
      <c r="BF433" s="271"/>
      <c r="BG433" s="271"/>
      <c r="BH433" s="271"/>
      <c r="BI433" s="271"/>
      <c r="BJ433" s="271"/>
      <c r="BK433" s="271"/>
      <c r="BL433" s="271"/>
    </row>
    <row r="434" spans="18:64" ht="21" customHeight="1" x14ac:dyDescent="0.25">
      <c r="S434" s="451"/>
      <c r="V434" s="271"/>
      <c r="W434" s="271"/>
      <c r="X434" s="271"/>
      <c r="Y434" s="271"/>
      <c r="Z434" s="271"/>
      <c r="AA434" s="271"/>
      <c r="AB434" s="271"/>
      <c r="AC434" s="271"/>
      <c r="AD434" s="271"/>
      <c r="AE434" s="271"/>
      <c r="AF434" s="271"/>
      <c r="AG434" s="271"/>
      <c r="AH434" s="271"/>
      <c r="AI434" s="271"/>
      <c r="AJ434" s="271"/>
      <c r="AK434" s="271"/>
      <c r="AL434" s="271"/>
      <c r="AM434" s="271"/>
      <c r="AN434" s="271"/>
      <c r="AO434" s="271"/>
      <c r="AP434" s="271"/>
      <c r="AY434" s="271"/>
      <c r="AZ434" s="271"/>
      <c r="BA434" s="271"/>
      <c r="BB434" s="271"/>
      <c r="BC434" s="271"/>
      <c r="BE434" s="271"/>
      <c r="BF434" s="271"/>
      <c r="BG434" s="271"/>
      <c r="BH434" s="271"/>
      <c r="BI434" s="271"/>
      <c r="BJ434" s="271"/>
      <c r="BK434" s="271"/>
      <c r="BL434" s="271"/>
    </row>
    <row r="435" spans="18:64" ht="21" customHeight="1" x14ac:dyDescent="0.25">
      <c r="S435" s="451"/>
    </row>
    <row r="436" spans="18:64" ht="21" customHeight="1" x14ac:dyDescent="0.25">
      <c r="S436" s="451"/>
    </row>
    <row r="437" spans="18:64" ht="21" customHeight="1" x14ac:dyDescent="0.25">
      <c r="S437" s="451"/>
    </row>
    <row r="438" spans="18:64" ht="21" customHeight="1" x14ac:dyDescent="0.25">
      <c r="S438" s="451"/>
    </row>
    <row r="439" spans="18:64" ht="21" customHeight="1" x14ac:dyDescent="0.25">
      <c r="S439" s="451"/>
    </row>
    <row r="440" spans="18:64" ht="21" customHeight="1" x14ac:dyDescent="0.25">
      <c r="R440" s="451"/>
      <c r="S440" s="451"/>
    </row>
    <row r="441" spans="18:64" ht="21" customHeight="1" x14ac:dyDescent="0.25">
      <c r="R441" s="451"/>
      <c r="S441" s="451"/>
    </row>
    <row r="442" spans="18:64" ht="21" customHeight="1" x14ac:dyDescent="0.25">
      <c r="R442" s="451"/>
      <c r="S442" s="451"/>
    </row>
    <row r="443" spans="18:64" ht="21" customHeight="1" x14ac:dyDescent="0.25"/>
    <row r="444" spans="18:64" ht="21" customHeight="1" x14ac:dyDescent="0.25"/>
    <row r="445" spans="18:64" ht="21" customHeight="1" x14ac:dyDescent="0.25"/>
    <row r="446" spans="18:64" ht="21" customHeight="1" x14ac:dyDescent="0.25"/>
    <row r="447" spans="18:64" ht="21" customHeight="1" x14ac:dyDescent="0.25"/>
    <row r="448" spans="18:64" ht="21" customHeight="1" x14ac:dyDescent="0.25"/>
    <row r="449" ht="21" customHeight="1" x14ac:dyDescent="0.25"/>
    <row r="450" ht="21" customHeight="1" x14ac:dyDescent="0.25"/>
    <row r="451" ht="21" customHeight="1" x14ac:dyDescent="0.25"/>
    <row r="452" ht="21" customHeight="1" x14ac:dyDescent="0.25"/>
    <row r="453" ht="21" customHeight="1" x14ac:dyDescent="0.25"/>
    <row r="454" ht="21" customHeight="1" x14ac:dyDescent="0.25"/>
  </sheetData>
  <mergeCells count="106">
    <mergeCell ref="A1:I1"/>
    <mergeCell ref="U1:AA1"/>
    <mergeCell ref="A2:I2"/>
    <mergeCell ref="U2:AA4"/>
    <mergeCell ref="AG3:AH3"/>
    <mergeCell ref="A4:I4"/>
    <mergeCell ref="R4:S5"/>
    <mergeCell ref="C5:I5"/>
    <mergeCell ref="AG5:AH5"/>
    <mergeCell ref="A9:I9"/>
    <mergeCell ref="AG9:AH9"/>
    <mergeCell ref="A10:D10"/>
    <mergeCell ref="F10:I10"/>
    <mergeCell ref="U10:AA11"/>
    <mergeCell ref="AG10:AH10"/>
    <mergeCell ref="B11:D11"/>
    <mergeCell ref="B6:I6"/>
    <mergeCell ref="U6:AA6"/>
    <mergeCell ref="AG6:AH6"/>
    <mergeCell ref="B7:C7"/>
    <mergeCell ref="E7:F7"/>
    <mergeCell ref="H7:I7"/>
    <mergeCell ref="U7:AA8"/>
    <mergeCell ref="AG7:AH7"/>
    <mergeCell ref="AG8:AH8"/>
    <mergeCell ref="A19:I19"/>
    <mergeCell ref="E20:F20"/>
    <mergeCell ref="G20:I20"/>
    <mergeCell ref="U20:U21"/>
    <mergeCell ref="V20:V21"/>
    <mergeCell ref="W20:AA21"/>
    <mergeCell ref="U12:AA13"/>
    <mergeCell ref="F13:I14"/>
    <mergeCell ref="A15:I15"/>
    <mergeCell ref="U15:AA15"/>
    <mergeCell ref="B16:I16"/>
    <mergeCell ref="U16:U17"/>
    <mergeCell ref="V16:V17"/>
    <mergeCell ref="W16:AA17"/>
    <mergeCell ref="B17:I17"/>
    <mergeCell ref="K17:Q21"/>
    <mergeCell ref="U22:U23"/>
    <mergeCell ref="V22:V23"/>
    <mergeCell ref="W22:AA23"/>
    <mergeCell ref="U24:U25"/>
    <mergeCell ref="V24:V25"/>
    <mergeCell ref="W24:AA25"/>
    <mergeCell ref="AG17:AH17"/>
    <mergeCell ref="U18:U19"/>
    <mergeCell ref="V18:V19"/>
    <mergeCell ref="W18:AA19"/>
    <mergeCell ref="U30:AA30"/>
    <mergeCell ref="AG30:AH30"/>
    <mergeCell ref="U31:V32"/>
    <mergeCell ref="W31:AA32"/>
    <mergeCell ref="AG31:AH31"/>
    <mergeCell ref="AG32:AH32"/>
    <mergeCell ref="U26:U27"/>
    <mergeCell ref="V26:V27"/>
    <mergeCell ref="W26:AA27"/>
    <mergeCell ref="AG26:AH26"/>
    <mergeCell ref="AG27:AH27"/>
    <mergeCell ref="U28:U29"/>
    <mergeCell ref="W28:AA29"/>
    <mergeCell ref="AG29:AH29"/>
    <mergeCell ref="U37:V38"/>
    <mergeCell ref="W37:AA38"/>
    <mergeCell ref="AG37:AH37"/>
    <mergeCell ref="AG38:AH38"/>
    <mergeCell ref="U39:V40"/>
    <mergeCell ref="W39:AA40"/>
    <mergeCell ref="AG39:AH39"/>
    <mergeCell ref="AG40:AH40"/>
    <mergeCell ref="U33:V34"/>
    <mergeCell ref="W33:AA34"/>
    <mergeCell ref="AG33:AH33"/>
    <mergeCell ref="AG34:AH34"/>
    <mergeCell ref="U35:V36"/>
    <mergeCell ref="W35:AA36"/>
    <mergeCell ref="AG35:AH35"/>
    <mergeCell ref="AG46:AH46"/>
    <mergeCell ref="AN55:BB65"/>
    <mergeCell ref="A58:I58"/>
    <mergeCell ref="A60:I60"/>
    <mergeCell ref="B61:I63"/>
    <mergeCell ref="AN66:BB67"/>
    <mergeCell ref="AB67:AC68"/>
    <mergeCell ref="U41:AA41"/>
    <mergeCell ref="AG41:AH41"/>
    <mergeCell ref="U42:V43"/>
    <mergeCell ref="W42:AA43"/>
    <mergeCell ref="AG43:AH43"/>
    <mergeCell ref="U44:V45"/>
    <mergeCell ref="W44:AA45"/>
    <mergeCell ref="AG44:AH44"/>
    <mergeCell ref="AG45:AH45"/>
    <mergeCell ref="AP287:AU287"/>
    <mergeCell ref="AP323:AU323"/>
    <mergeCell ref="AP359:AU359"/>
    <mergeCell ref="AP395:AU395"/>
    <mergeCell ref="AP71:AU71"/>
    <mergeCell ref="AP107:AU107"/>
    <mergeCell ref="AP143:AU143"/>
    <mergeCell ref="AP179:AU179"/>
    <mergeCell ref="AP215:AU215"/>
    <mergeCell ref="AP251:AU251"/>
  </mergeCells>
  <conditionalFormatting sqref="I22:I56">
    <cfRule type="expression" dxfId="15" priority="1">
      <formula>I22="A CONTROLER"</formula>
    </cfRule>
    <cfRule type="expression" dxfId="14" priority="2">
      <formula>I22="OK"</formula>
    </cfRule>
  </conditionalFormatting>
  <dataValidations count="1">
    <dataValidation type="list" sqref="B5" xr:uid="{9F67A6CC-EC4E-4F0F-A316-E31EC0C18CA3}">
      <formula1>"1,2,3,4,5,6,7,8,9,10"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F249E-AF3A-480B-909E-E557CB6259BD}">
  <dimension ref="A1:DG454"/>
  <sheetViews>
    <sheetView workbookViewId="0">
      <selection activeCell="Q30" sqref="Q30"/>
    </sheetView>
  </sheetViews>
  <sheetFormatPr baseColWidth="10" defaultColWidth="10.28515625" defaultRowHeight="15.75" x14ac:dyDescent="0.25"/>
  <cols>
    <col min="1" max="1" width="23.7109375" style="151" customWidth="1"/>
    <col min="2" max="2" width="40.28515625" style="151" customWidth="1"/>
    <col min="3" max="3" width="13.140625" style="151" customWidth="1"/>
    <col min="4" max="4" width="16.28515625" style="151" customWidth="1"/>
    <col min="5" max="5" width="15.140625" style="151" customWidth="1"/>
    <col min="6" max="6" width="18.85546875" style="151" customWidth="1"/>
    <col min="7" max="7" width="15.42578125" style="151" customWidth="1"/>
    <col min="8" max="8" width="13.140625" style="151" customWidth="1"/>
    <col min="9" max="9" width="19.7109375" style="151" customWidth="1"/>
    <col min="10" max="12" width="10.28515625" style="151"/>
    <col min="13" max="13" width="31.140625" style="151" customWidth="1"/>
    <col min="14" max="14" width="14.85546875" style="151" customWidth="1"/>
    <col min="15" max="15" width="10.28515625" style="151"/>
    <col min="16" max="17" width="14.85546875" style="151" customWidth="1"/>
    <col min="18" max="18" width="41.7109375" style="151" customWidth="1"/>
    <col min="19" max="19" width="10.5703125" style="151" customWidth="1"/>
    <col min="20" max="20" width="18.85546875" style="151" customWidth="1"/>
    <col min="21" max="21" width="7.42578125" style="151" customWidth="1"/>
    <col min="22" max="22" width="16.85546875" style="151" customWidth="1"/>
    <col min="23" max="23" width="17.7109375" style="151" customWidth="1"/>
    <col min="24" max="24" width="55.7109375" style="151" customWidth="1"/>
    <col min="25" max="25" width="12" style="151" customWidth="1"/>
    <col min="26" max="26" width="10.85546875" style="151" customWidth="1"/>
    <col min="27" max="27" width="11.42578125" style="151" customWidth="1"/>
    <col min="28" max="28" width="23.7109375" style="151" customWidth="1"/>
    <col min="29" max="29" width="46.5703125" style="151" customWidth="1"/>
    <col min="30" max="30" width="25.7109375" style="151" customWidth="1"/>
    <col min="31" max="31" width="18.5703125" style="151" customWidth="1"/>
    <col min="32" max="34" width="18.28515625" style="151" customWidth="1"/>
    <col min="35" max="35" width="16.85546875" style="151" customWidth="1"/>
    <col min="36" max="38" width="16" style="151" customWidth="1"/>
    <col min="39" max="39" width="32.28515625" style="151" customWidth="1"/>
    <col min="40" max="40" width="16" style="151" customWidth="1"/>
    <col min="41" max="41" width="24.5703125" style="151" customWidth="1"/>
    <col min="42" max="42" width="20.5703125" style="151" customWidth="1"/>
    <col min="43" max="50" width="10.28515625" style="151"/>
    <col min="51" max="51" width="20.28515625" style="151" customWidth="1"/>
    <col min="52" max="52" width="16" style="151" customWidth="1"/>
    <col min="53" max="53" width="35.42578125" style="151" customWidth="1"/>
    <col min="54" max="54" width="17.140625" style="151" customWidth="1"/>
    <col min="55" max="55" width="13.7109375" style="151" customWidth="1"/>
    <col min="56" max="56" width="10.28515625" style="92"/>
    <col min="57" max="57" width="11.42578125" style="151" customWidth="1"/>
    <col min="58" max="58" width="14.85546875" style="151" customWidth="1"/>
    <col min="59" max="59" width="3.42578125" style="151" customWidth="1"/>
    <col min="60" max="60" width="11.42578125" style="151" customWidth="1"/>
    <col min="61" max="61" width="13.7109375" style="151" customWidth="1"/>
    <col min="62" max="62" width="11.42578125" style="151" customWidth="1"/>
    <col min="63" max="64" width="14.85546875" style="151" customWidth="1"/>
    <col min="65" max="16384" width="10.28515625" style="151"/>
  </cols>
  <sheetData>
    <row r="1" spans="1:111" ht="48" customHeight="1" x14ac:dyDescent="0.25">
      <c r="A1" s="717" t="str">
        <f>"RECETTES DE COLLECTIVITÉ &gt; LES ENTRÉES - oeufs"&amp;" - "&amp;B6</f>
        <v>RECETTES DE COLLECTIVITÉ &gt; LES ENTRÉES - oeufs - OEUFS BROUILLÉS PORTUGAISE*</v>
      </c>
      <c r="B1" s="718"/>
      <c r="C1" s="718"/>
      <c r="D1" s="718"/>
      <c r="E1" s="718"/>
      <c r="F1" s="718"/>
      <c r="G1" s="718"/>
      <c r="H1" s="718"/>
      <c r="I1" s="719"/>
      <c r="J1" s="271"/>
      <c r="K1" s="272" t="s">
        <v>7897</v>
      </c>
      <c r="L1" s="273"/>
      <c r="M1" s="273"/>
      <c r="N1" s="273"/>
      <c r="O1" s="273"/>
      <c r="P1" s="274"/>
      <c r="Q1" s="274"/>
      <c r="R1" s="274"/>
      <c r="S1" s="274"/>
      <c r="T1" s="274"/>
      <c r="U1" s="538" t="s">
        <v>7898</v>
      </c>
      <c r="V1" s="539"/>
      <c r="W1" s="539"/>
      <c r="X1" s="539"/>
      <c r="Y1" s="539"/>
      <c r="Z1" s="539"/>
      <c r="AA1" s="540"/>
      <c r="AC1" s="275"/>
      <c r="AD1" s="276" t="s">
        <v>7899</v>
      </c>
      <c r="AE1" s="277"/>
      <c r="AF1" s="277"/>
      <c r="AG1" s="277"/>
      <c r="AH1" s="277"/>
      <c r="AI1" s="277"/>
      <c r="AJ1" s="277"/>
      <c r="AK1" s="277"/>
      <c r="AL1" s="277"/>
      <c r="AM1" s="277"/>
      <c r="AN1" s="277"/>
      <c r="AO1" s="277"/>
      <c r="AP1" s="277"/>
      <c r="AQ1" s="277"/>
      <c r="AS1" s="278" t="s">
        <v>0</v>
      </c>
      <c r="BB1" s="271"/>
      <c r="BC1" s="271"/>
      <c r="BD1" s="279">
        <v>1</v>
      </c>
      <c r="BE1" s="271"/>
      <c r="BF1" s="271"/>
      <c r="BG1" s="271"/>
      <c r="BH1" s="271"/>
      <c r="BI1" s="271"/>
      <c r="BJ1" s="271"/>
      <c r="BK1" s="271"/>
      <c r="BL1" s="271"/>
    </row>
    <row r="2" spans="1:111" ht="21.95" customHeight="1" x14ac:dyDescent="0.25">
      <c r="A2" s="705" t="s">
        <v>7900</v>
      </c>
      <c r="B2" s="706"/>
      <c r="C2" s="706"/>
      <c r="D2" s="706"/>
      <c r="E2" s="706"/>
      <c r="F2" s="706"/>
      <c r="G2" s="706"/>
      <c r="H2" s="706"/>
      <c r="I2" s="707"/>
      <c r="J2" s="271"/>
      <c r="K2" s="280"/>
      <c r="L2" s="280"/>
      <c r="M2" s="280"/>
      <c r="N2" s="281" t="s">
        <v>8218</v>
      </c>
      <c r="O2" s="280"/>
      <c r="P2" s="274"/>
      <c r="Q2" s="274"/>
      <c r="R2" s="274"/>
      <c r="S2" s="274"/>
      <c r="T2" s="274"/>
      <c r="U2" s="541" t="s">
        <v>7901</v>
      </c>
      <c r="V2" s="542"/>
      <c r="W2" s="542"/>
      <c r="X2" s="542"/>
      <c r="Y2" s="542"/>
      <c r="Z2" s="542"/>
      <c r="AA2" s="543"/>
      <c r="AC2" s="275"/>
      <c r="AD2" s="282" t="s">
        <v>7902</v>
      </c>
      <c r="AE2" s="283"/>
      <c r="AF2" s="283"/>
      <c r="AG2" s="283"/>
      <c r="AH2" s="283"/>
      <c r="AI2" s="283"/>
      <c r="AJ2" s="283"/>
      <c r="AK2" s="283"/>
      <c r="AL2" s="283"/>
      <c r="AM2" s="283"/>
      <c r="AN2" s="283"/>
      <c r="AO2" s="283"/>
      <c r="AP2" s="283"/>
      <c r="AQ2" s="283"/>
      <c r="BC2" s="271"/>
      <c r="BD2" s="279">
        <v>1</v>
      </c>
      <c r="BE2" s="271"/>
      <c r="BF2" s="271"/>
      <c r="BG2" s="271"/>
      <c r="BH2" s="271"/>
      <c r="BI2" s="271"/>
      <c r="BJ2" s="271"/>
      <c r="BK2" s="271"/>
      <c r="BL2" s="271"/>
    </row>
    <row r="3" spans="1:111" ht="21.95" customHeight="1" thickBot="1" x14ac:dyDescent="0.3">
      <c r="A3" s="152" t="s">
        <v>7903</v>
      </c>
      <c r="B3" s="284"/>
      <c r="C3" s="284"/>
      <c r="D3" s="284"/>
      <c r="E3" s="284"/>
      <c r="F3" s="284"/>
      <c r="G3" s="284"/>
      <c r="H3" s="284"/>
      <c r="I3" s="284"/>
      <c r="J3" s="271"/>
      <c r="K3" s="285" t="s">
        <v>344</v>
      </c>
      <c r="R3" s="274"/>
      <c r="S3" s="274"/>
      <c r="T3" s="274"/>
      <c r="U3" s="544"/>
      <c r="V3" s="545"/>
      <c r="W3" s="545"/>
      <c r="X3" s="545"/>
      <c r="Y3" s="545"/>
      <c r="Z3" s="545"/>
      <c r="AA3" s="546"/>
      <c r="AC3" s="275"/>
      <c r="AD3" s="286" t="s">
        <v>5975</v>
      </c>
      <c r="AE3" s="287" t="s">
        <v>7904</v>
      </c>
      <c r="AF3" s="287" t="s">
        <v>7905</v>
      </c>
      <c r="AG3" s="550" t="s">
        <v>7906</v>
      </c>
      <c r="AH3" s="550"/>
      <c r="AI3" s="288" t="s">
        <v>7907</v>
      </c>
      <c r="AJ3" s="289"/>
      <c r="AK3" s="289"/>
      <c r="AL3" s="289"/>
      <c r="AM3" s="290"/>
      <c r="AN3" s="290"/>
      <c r="AO3" s="290"/>
      <c r="AP3" s="290"/>
      <c r="AQ3" s="290"/>
      <c r="BC3" s="271"/>
      <c r="BD3" s="279">
        <v>1</v>
      </c>
      <c r="BE3" s="271"/>
      <c r="BF3" s="271"/>
      <c r="BG3" s="271"/>
      <c r="BH3" s="271"/>
      <c r="BI3" s="271"/>
      <c r="BJ3" s="271"/>
      <c r="BK3" s="271"/>
      <c r="BL3" s="271"/>
    </row>
    <row r="4" spans="1:111" ht="21.95" customHeight="1" x14ac:dyDescent="0.25">
      <c r="A4" s="720" t="s">
        <v>328</v>
      </c>
      <c r="B4" s="721"/>
      <c r="C4" s="721"/>
      <c r="D4" s="721"/>
      <c r="E4" s="721"/>
      <c r="F4" s="721"/>
      <c r="G4" s="721"/>
      <c r="H4" s="721"/>
      <c r="I4" s="722"/>
      <c r="J4" s="271"/>
      <c r="K4" s="291" t="s">
        <v>7908</v>
      </c>
      <c r="L4" s="292"/>
      <c r="M4" s="292"/>
      <c r="N4" s="292"/>
      <c r="O4" s="292"/>
      <c r="P4" s="292"/>
      <c r="Q4" s="292"/>
      <c r="R4" s="711" t="s">
        <v>5849</v>
      </c>
      <c r="S4" s="711"/>
      <c r="T4" s="293" t="str">
        <f>$BD$432</f>
        <v>BD432</v>
      </c>
      <c r="U4" s="547"/>
      <c r="V4" s="548"/>
      <c r="W4" s="548"/>
      <c r="X4" s="548"/>
      <c r="Y4" s="548"/>
      <c r="Z4" s="548"/>
      <c r="AA4" s="549"/>
      <c r="AC4" s="275"/>
      <c r="AD4" s="294" t="s">
        <v>7909</v>
      </c>
      <c r="AE4" s="295"/>
      <c r="AF4" s="296"/>
      <c r="AG4" s="295"/>
      <c r="AH4" s="295"/>
      <c r="AI4" s="295"/>
      <c r="AJ4" s="295"/>
      <c r="AK4" s="295"/>
      <c r="AL4" s="295"/>
      <c r="AM4" s="295"/>
      <c r="AN4" s="295"/>
      <c r="AO4" s="295"/>
      <c r="AP4" s="295"/>
      <c r="AQ4" s="295"/>
      <c r="BC4" s="271"/>
      <c r="BD4" s="279">
        <v>1</v>
      </c>
      <c r="BE4" s="271"/>
      <c r="BF4" s="271"/>
      <c r="BG4" s="271"/>
    </row>
    <row r="5" spans="1:111" ht="21.95" customHeight="1" x14ac:dyDescent="0.25">
      <c r="A5" s="297" t="s">
        <v>8170</v>
      </c>
      <c r="B5" s="153">
        <v>6</v>
      </c>
      <c r="C5" s="712" t="s">
        <v>7911</v>
      </c>
      <c r="D5" s="712"/>
      <c r="E5" s="712"/>
      <c r="F5" s="712"/>
      <c r="G5" s="712"/>
      <c r="H5" s="712"/>
      <c r="I5" s="713"/>
      <c r="J5" s="271"/>
      <c r="K5" s="298" t="s">
        <v>324</v>
      </c>
      <c r="L5" s="298" t="s">
        <v>7912</v>
      </c>
      <c r="M5" s="298" t="s">
        <v>326</v>
      </c>
      <c r="N5" s="298" t="s">
        <v>7913</v>
      </c>
      <c r="O5" s="298" t="s">
        <v>7914</v>
      </c>
      <c r="P5" s="298" t="s">
        <v>333</v>
      </c>
      <c r="Q5" s="298" t="s">
        <v>327</v>
      </c>
      <c r="R5" s="711"/>
      <c r="S5" s="711"/>
      <c r="U5" s="299"/>
      <c r="V5" s="271"/>
      <c r="W5" s="271"/>
      <c r="X5" s="271"/>
      <c r="Y5" s="271"/>
      <c r="Z5" s="271"/>
      <c r="AA5" s="300"/>
      <c r="AC5" s="275"/>
      <c r="AD5" s="301" t="s">
        <v>7858</v>
      </c>
      <c r="AE5" s="302" t="s">
        <v>7910</v>
      </c>
      <c r="AF5" s="303" t="s">
        <v>7915</v>
      </c>
      <c r="AG5" s="551" t="s">
        <v>281</v>
      </c>
      <c r="AH5" s="551"/>
      <c r="AI5" s="304" t="s">
        <v>7916</v>
      </c>
      <c r="AJ5" s="304"/>
      <c r="AK5" s="304"/>
      <c r="AL5" s="304"/>
      <c r="AM5" s="304"/>
      <c r="AN5" s="304"/>
      <c r="AO5" s="304"/>
      <c r="AP5" s="304"/>
      <c r="AQ5" s="304"/>
      <c r="BC5" s="271"/>
      <c r="BD5" s="279">
        <v>1</v>
      </c>
      <c r="BE5" s="271"/>
      <c r="BF5" s="271"/>
      <c r="BG5" s="271"/>
    </row>
    <row r="6" spans="1:111" ht="21.95" customHeight="1" x14ac:dyDescent="0.25">
      <c r="A6" s="305" t="s">
        <v>329</v>
      </c>
      <c r="B6" s="698" t="str" cm="1">
        <f t="array" ref="B6">IFERROR(INDEX($M$6:$M$15,$B$5),"")</f>
        <v>OEUFS BROUILLÉS PORTUGAISE*</v>
      </c>
      <c r="C6" s="698"/>
      <c r="D6" s="698"/>
      <c r="E6" s="698"/>
      <c r="F6" s="698"/>
      <c r="G6" s="698"/>
      <c r="H6" s="698"/>
      <c r="I6" s="699"/>
      <c r="J6" s="271"/>
      <c r="K6" s="154">
        <f>$V$72</f>
        <v>1</v>
      </c>
      <c r="L6" s="306" t="str">
        <f>$W$72</f>
        <v>N° 45</v>
      </c>
      <c r="M6" s="307" t="str">
        <f>$X$72</f>
        <v>ŒUFS EN MEURETTE*</v>
      </c>
      <c r="N6" s="308">
        <f>IF(AK72="","",AK72)</f>
        <v>200</v>
      </c>
      <c r="O6" s="308" t="str">
        <f>IF(AL72="","",AL72)</f>
        <v>œuf(s)</v>
      </c>
      <c r="P6" s="309">
        <f>$Z$72</f>
        <v>100</v>
      </c>
      <c r="Q6" s="310">
        <f>$Y$72</f>
        <v>62</v>
      </c>
      <c r="U6" s="558" t="s">
        <v>7917</v>
      </c>
      <c r="V6" s="559"/>
      <c r="W6" s="559"/>
      <c r="X6" s="559"/>
      <c r="Y6" s="559"/>
      <c r="Z6" s="559"/>
      <c r="AA6" s="560"/>
      <c r="AC6" s="275"/>
      <c r="AD6" s="301" t="s">
        <v>7858</v>
      </c>
      <c r="AE6" s="302" t="s">
        <v>7912</v>
      </c>
      <c r="AF6" s="303" t="s">
        <v>7918</v>
      </c>
      <c r="AG6" s="561" t="s">
        <v>7919</v>
      </c>
      <c r="AH6" s="561"/>
      <c r="AI6" s="311" t="s">
        <v>7920</v>
      </c>
      <c r="AJ6" s="311"/>
      <c r="AK6" s="311"/>
      <c r="AL6" s="311"/>
      <c r="AM6" s="311"/>
      <c r="AN6" s="311"/>
      <c r="AO6" s="311"/>
      <c r="AP6" s="311"/>
      <c r="AQ6" s="311"/>
      <c r="BC6" s="271"/>
      <c r="BD6" s="279">
        <v>1</v>
      </c>
      <c r="BE6" s="271"/>
      <c r="BF6" s="271"/>
      <c r="BG6" s="271"/>
    </row>
    <row r="7" spans="1:111" ht="15.75" customHeight="1" x14ac:dyDescent="0.25">
      <c r="A7" s="312" t="s">
        <v>325</v>
      </c>
      <c r="B7" s="700" t="str" cm="1">
        <f t="array" ref="B7">IFERROR(INDEX($L$6:$L$15,$B$5),"")</f>
        <v>N° 50</v>
      </c>
      <c r="C7" s="700"/>
      <c r="D7" s="313" t="s">
        <v>330</v>
      </c>
      <c r="E7" s="700" t="s">
        <v>3</v>
      </c>
      <c r="F7" s="700"/>
      <c r="G7" s="313" t="s">
        <v>327</v>
      </c>
      <c r="H7" s="700" cm="1">
        <f t="array" ref="H7">IFERROR(INDEX($Y$72:$Y$430,1+($B$5-1)*36),"")</f>
        <v>67</v>
      </c>
      <c r="I7" s="701"/>
      <c r="J7" s="271"/>
      <c r="K7" s="155">
        <f>$V$108</f>
        <v>2</v>
      </c>
      <c r="L7" s="306" t="str">
        <f>$W$108</f>
        <v>N° 46</v>
      </c>
      <c r="M7" s="307" t="str">
        <f>$X$108</f>
        <v>ŒUFS COCOTTE A LA CRÈME*</v>
      </c>
      <c r="N7" s="308">
        <f>IF(AK108="","",AK108)</f>
        <v>100</v>
      </c>
      <c r="O7" s="308" t="str">
        <f>IF(AL108="","",AL108)</f>
        <v>œuf(s)</v>
      </c>
      <c r="P7" s="309">
        <f>$Z$108</f>
        <v>100</v>
      </c>
      <c r="Q7" s="310">
        <f>$Y$108</f>
        <v>63</v>
      </c>
      <c r="U7" s="562" t="s">
        <v>7921</v>
      </c>
      <c r="V7" s="563"/>
      <c r="W7" s="563"/>
      <c r="X7" s="563"/>
      <c r="Y7" s="563"/>
      <c r="Z7" s="563"/>
      <c r="AA7" s="564"/>
      <c r="AC7" s="275"/>
      <c r="AD7" s="301" t="s">
        <v>7858</v>
      </c>
      <c r="AE7" s="302" t="s">
        <v>326</v>
      </c>
      <c r="AF7" s="303" t="s">
        <v>7922</v>
      </c>
      <c r="AG7" s="565" t="s">
        <v>7923</v>
      </c>
      <c r="AH7" s="565"/>
      <c r="AI7" s="311" t="s">
        <v>7924</v>
      </c>
      <c r="AJ7" s="311"/>
      <c r="AK7" s="311"/>
      <c r="AL7" s="311"/>
      <c r="AM7" s="311"/>
      <c r="AN7" s="311"/>
      <c r="AO7" s="311"/>
      <c r="AP7" s="311"/>
      <c r="AQ7" s="311"/>
      <c r="BC7" s="271"/>
      <c r="BD7" s="279">
        <v>1</v>
      </c>
      <c r="BE7" s="271"/>
      <c r="BF7" s="271"/>
      <c r="BG7" s="271"/>
    </row>
    <row r="8" spans="1:111" ht="23.1" customHeight="1" x14ac:dyDescent="0.25">
      <c r="A8" s="284"/>
      <c r="B8" s="284"/>
      <c r="C8" s="284"/>
      <c r="D8" s="284"/>
      <c r="E8" s="284"/>
      <c r="F8" s="284"/>
      <c r="G8" s="284"/>
      <c r="H8" s="284"/>
      <c r="I8" s="284"/>
      <c r="J8" s="271" t="s">
        <v>7925</v>
      </c>
      <c r="K8" s="155">
        <f>$V$144</f>
        <v>3</v>
      </c>
      <c r="L8" s="306" t="str">
        <f>$W$144</f>
        <v>N° 47</v>
      </c>
      <c r="M8" s="307" t="str">
        <f>$X$144</f>
        <v>ŒUFS EN PIPERADE (TCHATCHOUKA)*</v>
      </c>
      <c r="N8" s="308">
        <f>IF(AK144="","",AK144)</f>
        <v>200</v>
      </c>
      <c r="O8" s="308" t="str">
        <f>IF(AL144="","",AL144)</f>
        <v>œuf(s)</v>
      </c>
      <c r="P8" s="309">
        <f>$Z$144</f>
        <v>100</v>
      </c>
      <c r="Q8" s="310">
        <f>$Y$144</f>
        <v>64</v>
      </c>
      <c r="U8" s="553"/>
      <c r="V8" s="554"/>
      <c r="W8" s="554"/>
      <c r="X8" s="554"/>
      <c r="Y8" s="554"/>
      <c r="Z8" s="554"/>
      <c r="AA8" s="555"/>
      <c r="AC8" s="275"/>
      <c r="AD8" s="301" t="s">
        <v>7858</v>
      </c>
      <c r="AE8" s="302" t="s">
        <v>327</v>
      </c>
      <c r="AF8" s="303" t="s">
        <v>7926</v>
      </c>
      <c r="AG8" s="566" t="s">
        <v>7927</v>
      </c>
      <c r="AH8" s="566"/>
      <c r="AI8" s="311" t="s">
        <v>7928</v>
      </c>
      <c r="AJ8" s="311"/>
      <c r="AK8" s="311"/>
      <c r="AL8" s="311"/>
      <c r="AM8" s="311"/>
      <c r="AN8" s="311"/>
      <c r="AO8" s="311"/>
      <c r="AP8" s="311"/>
      <c r="AQ8" s="311"/>
      <c r="BC8" s="271"/>
      <c r="BD8" s="279">
        <v>1</v>
      </c>
      <c r="BE8" s="271"/>
      <c r="BF8" s="271"/>
      <c r="BG8" s="271"/>
    </row>
    <row r="9" spans="1:111" ht="23.1" customHeight="1" x14ac:dyDescent="0.25">
      <c r="A9" s="714" t="s">
        <v>331</v>
      </c>
      <c r="B9" s="715"/>
      <c r="C9" s="715"/>
      <c r="D9" s="715"/>
      <c r="E9" s="715"/>
      <c r="F9" s="715"/>
      <c r="G9" s="715"/>
      <c r="H9" s="715"/>
      <c r="I9" s="716"/>
      <c r="J9" s="271"/>
      <c r="K9" s="155">
        <f>$V$180</f>
        <v>4</v>
      </c>
      <c r="L9" s="306" t="str">
        <f>$W$180</f>
        <v>N° 48</v>
      </c>
      <c r="M9" s="307" t="str">
        <f>$X$180</f>
        <v>BROUILLADE D'ŒUFS FORESTIÈRE*</v>
      </c>
      <c r="N9" s="308">
        <f>IF(AK180="","",AK180)</f>
        <v>250</v>
      </c>
      <c r="O9" s="308" t="str">
        <f>IF(AL180="","",AL180)</f>
        <v>pièce(s)</v>
      </c>
      <c r="P9" s="309">
        <f>$Z$180</f>
        <v>100</v>
      </c>
      <c r="Q9" s="310">
        <f>$Y$180</f>
        <v>65</v>
      </c>
      <c r="U9" s="314" t="s">
        <v>7929</v>
      </c>
      <c r="V9" s="315"/>
      <c r="W9" s="315"/>
      <c r="X9" s="315"/>
      <c r="Y9" s="315"/>
      <c r="Z9" s="315"/>
      <c r="AA9" s="316"/>
      <c r="AC9" s="275"/>
      <c r="AD9" s="301" t="s">
        <v>7858</v>
      </c>
      <c r="AE9" s="317" t="s">
        <v>7930</v>
      </c>
      <c r="AF9" s="303" t="s">
        <v>7931</v>
      </c>
      <c r="AG9" s="552" t="s">
        <v>239</v>
      </c>
      <c r="AH9" s="551"/>
      <c r="AI9" s="304" t="s">
        <v>7932</v>
      </c>
      <c r="AJ9" s="304"/>
      <c r="AK9" s="304"/>
      <c r="AL9" s="304"/>
      <c r="AM9" s="304"/>
      <c r="AN9" s="304"/>
      <c r="AO9" s="304"/>
      <c r="AP9" s="304"/>
      <c r="AQ9" s="304"/>
      <c r="BC9" s="271"/>
      <c r="BD9" s="279">
        <v>1</v>
      </c>
      <c r="BE9" s="271"/>
      <c r="BF9" s="271"/>
      <c r="BG9" s="271"/>
      <c r="CL9" s="151">
        <v>1</v>
      </c>
      <c r="CM9" s="151">
        <v>2</v>
      </c>
      <c r="CN9" s="151">
        <v>3</v>
      </c>
      <c r="CO9" s="151">
        <v>4</v>
      </c>
      <c r="CP9" s="151">
        <v>5</v>
      </c>
      <c r="CQ9" s="151">
        <v>6</v>
      </c>
      <c r="CR9" s="151">
        <v>7</v>
      </c>
      <c r="CS9" s="151">
        <v>8</v>
      </c>
      <c r="CT9" s="151">
        <v>9</v>
      </c>
      <c r="CU9" s="151">
        <v>10</v>
      </c>
      <c r="CV9" s="151">
        <v>11</v>
      </c>
      <c r="CW9" s="151">
        <v>12</v>
      </c>
      <c r="CX9" s="151">
        <v>13</v>
      </c>
      <c r="CY9" s="151">
        <v>14</v>
      </c>
      <c r="CZ9" s="151">
        <v>15</v>
      </c>
      <c r="DA9" s="151">
        <v>16</v>
      </c>
      <c r="DB9" s="151">
        <v>17</v>
      </c>
      <c r="DC9" s="151">
        <v>18</v>
      </c>
      <c r="DD9" s="151">
        <v>19</v>
      </c>
      <c r="DE9" s="151">
        <v>20</v>
      </c>
      <c r="DF9" s="151">
        <v>21</v>
      </c>
      <c r="DG9" s="151">
        <v>22</v>
      </c>
    </row>
    <row r="10" spans="1:111" ht="23.1" customHeight="1" thickBot="1" x14ac:dyDescent="0.3">
      <c r="A10" s="690" t="s">
        <v>7933</v>
      </c>
      <c r="B10" s="691"/>
      <c r="C10" s="691"/>
      <c r="D10" s="692"/>
      <c r="E10" s="318"/>
      <c r="F10" s="693" t="s">
        <v>7934</v>
      </c>
      <c r="G10" s="694"/>
      <c r="H10" s="694"/>
      <c r="I10" s="695"/>
      <c r="J10" s="271"/>
      <c r="K10" s="155">
        <f>$V$216</f>
        <v>5</v>
      </c>
      <c r="L10" s="306" t="str">
        <f>$W$216</f>
        <v>N° 49</v>
      </c>
      <c r="M10" s="307" t="str">
        <f>$X$216</f>
        <v>ŒUFS A LA TRIPE*</v>
      </c>
      <c r="N10" s="308">
        <f>IF(AK216="","",AK216)</f>
        <v>200</v>
      </c>
      <c r="O10" s="308" t="str">
        <f>IF(AL216="","",AL216)</f>
        <v>pièce(s)</v>
      </c>
      <c r="P10" s="309">
        <f>$Z$216</f>
        <v>100</v>
      </c>
      <c r="Q10" s="310">
        <f>$Y$216</f>
        <v>66</v>
      </c>
      <c r="U10" s="553" t="s">
        <v>7935</v>
      </c>
      <c r="V10" s="554"/>
      <c r="W10" s="554"/>
      <c r="X10" s="554"/>
      <c r="Y10" s="554"/>
      <c r="Z10" s="554"/>
      <c r="AA10" s="555"/>
      <c r="AC10" s="275"/>
      <c r="AD10" s="319" t="s">
        <v>7936</v>
      </c>
      <c r="AE10" s="320" t="s">
        <v>7937</v>
      </c>
      <c r="AF10" s="321" t="s">
        <v>7938</v>
      </c>
      <c r="AG10" s="556" t="s">
        <v>7939</v>
      </c>
      <c r="AH10" s="557"/>
      <c r="AI10" s="311" t="s">
        <v>7940</v>
      </c>
      <c r="AJ10" s="311"/>
      <c r="AK10" s="311"/>
      <c r="AL10" s="311"/>
      <c r="AM10" s="311"/>
      <c r="AN10" s="311"/>
      <c r="AO10" s="311"/>
      <c r="AP10" s="311"/>
      <c r="AQ10" s="311"/>
      <c r="BC10" s="271"/>
      <c r="BD10" s="279">
        <v>1</v>
      </c>
      <c r="BE10" s="271"/>
      <c r="BF10" s="271"/>
      <c r="BG10" s="271"/>
    </row>
    <row r="11" spans="1:111" ht="23.1" customHeight="1" x14ac:dyDescent="0.25">
      <c r="A11" s="323" t="s">
        <v>332</v>
      </c>
      <c r="B11" s="696" t="str" cm="1">
        <f t="array" ref="B11">IFERROR(INDEX($AC$72:$AC$430,1+($B$5-1)*36),"")</f>
        <v>Œufs pasteurisés*</v>
      </c>
      <c r="C11" s="696"/>
      <c r="D11" s="697"/>
      <c r="E11" s="318"/>
      <c r="F11" s="324" t="s">
        <v>333</v>
      </c>
      <c r="G11" s="325" cm="1">
        <f t="array" ref="G11">IFERROR(INDEX($Z$72:$Z$430,1+($B$5-1)*36),"")</f>
        <v>100</v>
      </c>
      <c r="H11" s="326" t="s">
        <v>7941</v>
      </c>
      <c r="I11" s="327"/>
      <c r="J11" s="271"/>
      <c r="K11" s="155">
        <f>$V$252</f>
        <v>6</v>
      </c>
      <c r="L11" s="306" t="str">
        <f>$W$252</f>
        <v>N° 50</v>
      </c>
      <c r="M11" s="307" t="str">
        <f>$X$252</f>
        <v>OEUFS BROUILLÉS PORTUGAISE*</v>
      </c>
      <c r="N11" s="308">
        <f>IF(AK252="","",AK252)</f>
        <v>20</v>
      </c>
      <c r="O11" s="308" t="str">
        <f>IF(AL252="","",AL252)</f>
        <v>L</v>
      </c>
      <c r="P11" s="309">
        <f>$Z$252</f>
        <v>100</v>
      </c>
      <c r="Q11" s="310">
        <f>$Y$252</f>
        <v>67</v>
      </c>
      <c r="U11" s="553"/>
      <c r="V11" s="554"/>
      <c r="W11" s="554"/>
      <c r="X11" s="554"/>
      <c r="Y11" s="554"/>
      <c r="Z11" s="554"/>
      <c r="AA11" s="555"/>
      <c r="AC11" s="275"/>
      <c r="AD11" s="328" t="s">
        <v>7942</v>
      </c>
      <c r="AE11" s="329"/>
      <c r="AF11" s="330"/>
      <c r="AG11" s="329"/>
      <c r="AH11" s="329"/>
      <c r="AI11" s="329"/>
      <c r="AJ11" s="329"/>
      <c r="AK11" s="329"/>
      <c r="AL11" s="329"/>
      <c r="AM11" s="329"/>
      <c r="AN11" s="329"/>
      <c r="AO11" s="329"/>
      <c r="AP11" s="329"/>
      <c r="AQ11" s="329"/>
      <c r="BC11" s="271"/>
      <c r="BD11" s="279">
        <v>1</v>
      </c>
      <c r="BE11" s="271"/>
      <c r="BF11" s="271"/>
      <c r="BG11" s="271"/>
    </row>
    <row r="12" spans="1:111" ht="23.1" customHeight="1" x14ac:dyDescent="0.25">
      <c r="A12" s="305" t="s">
        <v>334</v>
      </c>
      <c r="B12" s="331" cm="1">
        <f t="array" ref="B12">IFERROR(INDEX($N$6:$N$15,$B$5),"")</f>
        <v>20</v>
      </c>
      <c r="C12" s="332" t="str" cm="1">
        <f t="array" ref="C12">IFERROR(INDEX($O$6:$O$15,$B$5),"")</f>
        <v>L</v>
      </c>
      <c r="D12" s="333"/>
      <c r="E12" s="506" t="s">
        <v>8169</v>
      </c>
      <c r="F12" s="334" t="s">
        <v>335</v>
      </c>
      <c r="G12" s="335">
        <v>200</v>
      </c>
      <c r="H12" s="336" t="s">
        <v>7941</v>
      </c>
      <c r="I12" s="337"/>
      <c r="J12" s="271"/>
      <c r="K12" s="155">
        <f>$V$288</f>
        <v>7</v>
      </c>
      <c r="L12" s="306" t="str">
        <f>$W$288</f>
        <v>N° 51</v>
      </c>
      <c r="M12" s="307" t="str">
        <f>$X$288</f>
        <v>OMELETTE CHÈVRE ET MENTHE *</v>
      </c>
      <c r="N12" s="308">
        <f>IF(AK288="","",AK288)</f>
        <v>15</v>
      </c>
      <c r="O12" s="308" t="str">
        <f>IF(AL288="","",AL288)</f>
        <v>L</v>
      </c>
      <c r="P12" s="309">
        <f>$Z$288</f>
        <v>100</v>
      </c>
      <c r="Q12" s="310">
        <f>$Y$288</f>
        <v>68</v>
      </c>
      <c r="U12" s="553" t="s">
        <v>7943</v>
      </c>
      <c r="V12" s="554"/>
      <c r="W12" s="554"/>
      <c r="X12" s="554"/>
      <c r="Y12" s="554"/>
      <c r="Z12" s="554"/>
      <c r="AA12" s="555"/>
      <c r="AC12" s="275"/>
      <c r="AD12" s="301" t="s">
        <v>7944</v>
      </c>
      <c r="AE12" s="311" t="s">
        <v>7945</v>
      </c>
      <c r="AF12" s="303" t="s">
        <v>7946</v>
      </c>
      <c r="AG12" s="17" t="s">
        <v>7947</v>
      </c>
      <c r="AH12" s="17"/>
      <c r="AI12" s="311" t="s">
        <v>7948</v>
      </c>
      <c r="AJ12" s="311"/>
      <c r="AK12" s="311"/>
      <c r="AL12" s="311"/>
      <c r="AM12" s="311"/>
      <c r="AN12" s="311"/>
      <c r="AO12" s="311"/>
      <c r="AP12" s="311"/>
      <c r="AQ12" s="311"/>
      <c r="BC12" s="271"/>
      <c r="BD12" s="279">
        <v>1</v>
      </c>
      <c r="BE12" s="271"/>
      <c r="BF12" s="271"/>
      <c r="BG12" s="271"/>
    </row>
    <row r="13" spans="1:111" ht="23.1" customHeight="1" x14ac:dyDescent="0.25">
      <c r="A13" s="338" t="s">
        <v>336</v>
      </c>
      <c r="B13" s="339">
        <v>2</v>
      </c>
      <c r="C13" s="340" t="s">
        <v>9</v>
      </c>
      <c r="D13" s="341"/>
      <c r="E13" s="318"/>
      <c r="F13" s="676" t="s">
        <v>7950</v>
      </c>
      <c r="G13" s="676"/>
      <c r="H13" s="676"/>
      <c r="I13" s="676"/>
      <c r="J13" s="271"/>
      <c r="K13" s="155">
        <f>$V$324</f>
        <v>8</v>
      </c>
      <c r="L13" s="306" t="str">
        <f>$W$324</f>
        <v>N° 52</v>
      </c>
      <c r="M13" s="307" t="str">
        <f>$X$324</f>
        <v>TOMATES FARCIES AUX ŒUFS AU PESTO*</v>
      </c>
      <c r="N13" s="308">
        <f>IF(AK324="","",AK324)</f>
        <v>200</v>
      </c>
      <c r="O13" s="308" t="str">
        <f>IF(AL324="","",AL324)</f>
        <v>pièce(s)</v>
      </c>
      <c r="P13" s="309">
        <f>$Z$324</f>
        <v>100</v>
      </c>
      <c r="Q13" s="310">
        <f>$Y$324</f>
        <v>0</v>
      </c>
      <c r="U13" s="567"/>
      <c r="V13" s="568"/>
      <c r="W13" s="568"/>
      <c r="X13" s="568"/>
      <c r="Y13" s="568"/>
      <c r="Z13" s="568"/>
      <c r="AA13" s="569"/>
      <c r="AC13" s="275"/>
      <c r="AD13" s="301" t="s">
        <v>7828</v>
      </c>
      <c r="AE13" s="322" t="s">
        <v>338</v>
      </c>
      <c r="AF13" s="303" t="s">
        <v>7951</v>
      </c>
      <c r="AG13" s="34" t="s">
        <v>7952</v>
      </c>
      <c r="AH13" s="34"/>
      <c r="AI13" s="311" t="s">
        <v>7953</v>
      </c>
      <c r="AJ13" s="311"/>
      <c r="AK13" s="311"/>
      <c r="AL13" s="311"/>
      <c r="AM13" s="311"/>
      <c r="AN13" s="311"/>
      <c r="AO13" s="311"/>
      <c r="AP13" s="311"/>
      <c r="AQ13" s="311"/>
      <c r="BC13" s="271"/>
      <c r="BD13" s="279">
        <v>1</v>
      </c>
      <c r="BE13" s="271"/>
      <c r="BF13" s="271"/>
      <c r="BG13" s="271"/>
    </row>
    <row r="14" spans="1:111" ht="23.1" customHeight="1" x14ac:dyDescent="0.25">
      <c r="A14" s="284"/>
      <c r="B14" s="507" t="s">
        <v>8167</v>
      </c>
      <c r="C14" s="507" t="s">
        <v>8168</v>
      </c>
      <c r="D14" s="284"/>
      <c r="E14" s="318"/>
      <c r="F14" s="677"/>
      <c r="G14" s="677"/>
      <c r="H14" s="677"/>
      <c r="I14" s="677"/>
      <c r="J14" s="271"/>
      <c r="K14" s="155">
        <f>$V$360</f>
        <v>9</v>
      </c>
      <c r="L14" s="306" t="str">
        <f>$W$360</f>
        <v>N°00 ?</v>
      </c>
      <c r="M14" s="307" t="str">
        <f>$X$360</f>
        <v>Saisissez votre recette X360</v>
      </c>
      <c r="N14" s="308" t="str">
        <f>IF(AK360="","",AK360)</f>
        <v/>
      </c>
      <c r="O14" s="308" t="str">
        <f>IF(AL360="","",AL360)</f>
        <v/>
      </c>
      <c r="P14" s="309">
        <f>$Z$360</f>
        <v>100</v>
      </c>
      <c r="Q14" s="310">
        <f>$Y$360</f>
        <v>0</v>
      </c>
      <c r="U14" s="299"/>
      <c r="V14" s="271"/>
      <c r="W14" s="271"/>
      <c r="X14" s="271"/>
      <c r="Y14" s="271"/>
      <c r="Z14" s="271"/>
      <c r="AA14" s="300"/>
      <c r="AC14" s="275"/>
      <c r="AD14" s="301" t="s">
        <v>7828</v>
      </c>
      <c r="AE14" s="322" t="s">
        <v>338</v>
      </c>
      <c r="AF14" s="303" t="s">
        <v>7951</v>
      </c>
      <c r="AG14" s="34" t="s">
        <v>7954</v>
      </c>
      <c r="AH14" s="34"/>
      <c r="AI14" s="311" t="s">
        <v>7955</v>
      </c>
      <c r="AJ14" s="311"/>
      <c r="AK14" s="311"/>
      <c r="AL14" s="311"/>
      <c r="AM14" s="311"/>
      <c r="AN14" s="311"/>
      <c r="AO14" s="311"/>
      <c r="AP14" s="311"/>
      <c r="AQ14" s="311"/>
      <c r="BC14" s="271"/>
      <c r="BD14" s="279">
        <v>1</v>
      </c>
      <c r="BE14" s="271"/>
      <c r="BF14" s="271"/>
      <c r="BG14" s="271"/>
    </row>
    <row r="15" spans="1:111" ht="23.1" customHeight="1" x14ac:dyDescent="0.25">
      <c r="A15" s="714" t="s">
        <v>7956</v>
      </c>
      <c r="B15" s="715"/>
      <c r="C15" s="715"/>
      <c r="D15" s="715"/>
      <c r="E15" s="715"/>
      <c r="F15" s="715"/>
      <c r="G15" s="715"/>
      <c r="H15" s="715"/>
      <c r="I15" s="716"/>
      <c r="J15" s="271"/>
      <c r="K15" s="157">
        <f>$V$396</f>
        <v>10</v>
      </c>
      <c r="L15" s="342" t="str">
        <f>$W$396</f>
        <v>N°00 ?</v>
      </c>
      <c r="M15" s="343" t="str">
        <f>$X$396</f>
        <v>Saisissez votre recette X396</v>
      </c>
      <c r="N15" s="344" t="str">
        <f>IF(AK396="","",AK396)</f>
        <v/>
      </c>
      <c r="O15" s="344" t="str">
        <f>IF(AL396="","",AL396)</f>
        <v/>
      </c>
      <c r="P15" s="345">
        <f>$Z$396</f>
        <v>100</v>
      </c>
      <c r="Q15" s="346">
        <f>$Y$396</f>
        <v>0</v>
      </c>
      <c r="U15" s="558" t="s">
        <v>7899</v>
      </c>
      <c r="V15" s="559"/>
      <c r="W15" s="559"/>
      <c r="X15" s="559"/>
      <c r="Y15" s="559"/>
      <c r="Z15" s="559"/>
      <c r="AA15" s="560"/>
      <c r="AC15" s="275"/>
      <c r="AD15" s="301" t="s">
        <v>7828</v>
      </c>
      <c r="AE15" s="322" t="s">
        <v>338</v>
      </c>
      <c r="AF15" s="303" t="s">
        <v>7951</v>
      </c>
      <c r="AG15" s="34" t="s">
        <v>139</v>
      </c>
      <c r="AH15" s="34"/>
      <c r="AI15" s="311" t="s">
        <v>7957</v>
      </c>
      <c r="AJ15" s="311"/>
      <c r="AK15" s="311"/>
      <c r="AL15" s="311"/>
      <c r="AM15" s="311"/>
      <c r="AN15" s="311"/>
      <c r="AO15" s="311"/>
      <c r="AP15" s="311"/>
      <c r="AQ15" s="311"/>
      <c r="BC15" s="271"/>
      <c r="BD15" s="279">
        <v>1</v>
      </c>
      <c r="BE15" s="271"/>
      <c r="BF15" s="271"/>
      <c r="BG15" s="271"/>
    </row>
    <row r="16" spans="1:111" ht="23.1" customHeight="1" x14ac:dyDescent="0.25">
      <c r="A16" s="347" t="s">
        <v>7958</v>
      </c>
      <c r="B16" s="678" t="str">
        <f>IF(AND($B$13&lt;&gt;"",$G$12&lt;&gt;""),"DEUX CALCULS ACTIFS — A ET B",IF($B$13&lt;&gt;"","MODE A ACTIF — ÉLÉMENT PRINCIPAL",IF($G$12&lt;&gt;"","MODE B ACTIF — COUVERTS","AUCUN CALCUL ACTIF")))</f>
        <v>DEUX CALCULS ACTIFS — A ET B</v>
      </c>
      <c r="C16" s="678"/>
      <c r="D16" s="678"/>
      <c r="E16" s="678"/>
      <c r="F16" s="678"/>
      <c r="G16" s="678"/>
      <c r="H16" s="678"/>
      <c r="I16" s="678"/>
      <c r="J16" s="271"/>
      <c r="K16" s="271"/>
      <c r="L16" s="271"/>
      <c r="M16" s="271"/>
      <c r="N16" s="271"/>
      <c r="O16" s="271"/>
      <c r="P16" s="271"/>
      <c r="Q16" s="271"/>
      <c r="U16" s="570" t="s">
        <v>281</v>
      </c>
      <c r="V16" s="572" t="s">
        <v>7959</v>
      </c>
      <c r="W16" s="574" t="s">
        <v>7911</v>
      </c>
      <c r="X16" s="574"/>
      <c r="Y16" s="574"/>
      <c r="Z16" s="574"/>
      <c r="AA16" s="575"/>
      <c r="AC16" s="275"/>
      <c r="AD16" s="301" t="s">
        <v>7828</v>
      </c>
      <c r="AE16" s="322" t="s">
        <v>7960</v>
      </c>
      <c r="AF16" s="303" t="s">
        <v>7951</v>
      </c>
      <c r="AG16" s="34" t="s">
        <v>7961</v>
      </c>
      <c r="AH16" s="34"/>
      <c r="AI16" s="311" t="s">
        <v>7962</v>
      </c>
      <c r="AJ16" s="311"/>
      <c r="AK16" s="311"/>
      <c r="AL16" s="311"/>
      <c r="AM16" s="311"/>
      <c r="AN16" s="311"/>
      <c r="AO16" s="311"/>
      <c r="AP16" s="311"/>
      <c r="AQ16" s="311"/>
      <c r="BC16" s="271"/>
      <c r="BD16" s="279">
        <v>1</v>
      </c>
      <c r="BE16" s="271"/>
      <c r="BF16" s="271"/>
      <c r="BG16" s="271"/>
    </row>
    <row r="17" spans="1:59" ht="23.1" customHeight="1" thickBot="1" x14ac:dyDescent="0.3">
      <c r="A17" s="348" t="s">
        <v>6113</v>
      </c>
      <c r="B17" s="679" t="str">
        <f>IF(AND(COUNTIF(B22:B57,"*~**")=0,COUNTIF(B22:B57,"*~?*")=0),"",IF(COUNTIF(B22:B57,"*~**")&gt;0,COUNTIF(B22:B57,"*~**")&amp;" allergène"&amp;IF(COUNTIF(B22:B57,"*~**")&gt;1,"s","")&amp;" repéré"&amp;IF(COUNTIF(B22:B57,"*~**")&gt;1,"s","")&amp;" par *","")&amp;IF(AND(COUNTIF(B22:B57,"*~**")&gt;0,COUNTIF(B22:B57,"*~?*")&gt;0)," | ","")&amp;IF(COUNTIF(B22:B57,"*~?*")&gt;0,COUNTIF(B22:B57,"*~?*")&amp;" produit"&amp;IF(COUNTIF(B22:B57,"*~?*")&gt;1,"s","")&amp;" à vérifier par ?",""))</f>
        <v>4 allergènes repérés par *</v>
      </c>
      <c r="C17" s="679"/>
      <c r="D17" s="679"/>
      <c r="E17" s="679"/>
      <c r="F17" s="679"/>
      <c r="G17" s="679"/>
      <c r="H17" s="679"/>
      <c r="I17" s="680"/>
      <c r="J17" s="271"/>
      <c r="K17" s="681" t="s">
        <v>7963</v>
      </c>
      <c r="L17" s="682"/>
      <c r="M17" s="682"/>
      <c r="N17" s="682"/>
      <c r="O17" s="682"/>
      <c r="P17" s="682"/>
      <c r="Q17" s="683"/>
      <c r="U17" s="571"/>
      <c r="V17" s="573"/>
      <c r="W17" s="576"/>
      <c r="X17" s="576"/>
      <c r="Y17" s="576"/>
      <c r="Z17" s="576"/>
      <c r="AA17" s="577"/>
      <c r="AC17" s="275"/>
      <c r="AD17" s="301" t="s">
        <v>7964</v>
      </c>
      <c r="AE17" s="322" t="s">
        <v>7965</v>
      </c>
      <c r="AF17" s="303" t="s">
        <v>7966</v>
      </c>
      <c r="AG17" s="578" t="s">
        <v>7967</v>
      </c>
      <c r="AH17" s="578"/>
      <c r="AI17" s="311" t="s">
        <v>7968</v>
      </c>
      <c r="AJ17" s="311"/>
      <c r="AK17" s="311"/>
      <c r="AL17" s="311"/>
      <c r="AM17" s="311"/>
      <c r="AN17" s="311"/>
      <c r="AO17" s="311"/>
      <c r="AP17" s="311"/>
      <c r="AQ17" s="311"/>
      <c r="BC17" s="271"/>
      <c r="BD17" s="279">
        <v>1</v>
      </c>
      <c r="BE17" s="271"/>
      <c r="BF17" s="271"/>
      <c r="BG17" s="271"/>
    </row>
    <row r="18" spans="1:59" ht="18.75" x14ac:dyDescent="0.25">
      <c r="A18" s="349"/>
      <c r="B18" s="350" t="s">
        <v>6114</v>
      </c>
      <c r="C18" s="351"/>
      <c r="D18" s="351"/>
      <c r="E18" s="351"/>
      <c r="F18" s="351"/>
      <c r="G18" s="351"/>
      <c r="H18" s="351"/>
      <c r="I18" s="351"/>
      <c r="J18" s="271"/>
      <c r="K18" s="684"/>
      <c r="L18" s="685"/>
      <c r="M18" s="685"/>
      <c r="N18" s="685"/>
      <c r="O18" s="685"/>
      <c r="P18" s="685"/>
      <c r="Q18" s="686"/>
      <c r="U18" s="579" t="s">
        <v>6154</v>
      </c>
      <c r="V18" s="581" t="s">
        <v>7969</v>
      </c>
      <c r="W18" s="583" t="s">
        <v>7970</v>
      </c>
      <c r="X18" s="583"/>
      <c r="Y18" s="583"/>
      <c r="Z18" s="583"/>
      <c r="AA18" s="584"/>
      <c r="AC18" s="275"/>
      <c r="AD18" s="352" t="s">
        <v>7971</v>
      </c>
      <c r="AE18" s="353"/>
      <c r="AF18" s="354"/>
      <c r="AG18" s="353"/>
      <c r="AH18" s="353"/>
      <c r="AI18" s="353"/>
      <c r="AJ18" s="353"/>
      <c r="AK18" s="353"/>
      <c r="AL18" s="353"/>
      <c r="AM18" s="353"/>
      <c r="AN18" s="353"/>
      <c r="AO18" s="353"/>
      <c r="AP18" s="353"/>
      <c r="AQ18" s="353"/>
      <c r="BC18" s="271"/>
      <c r="BD18" s="279">
        <v>1</v>
      </c>
      <c r="BE18" s="271"/>
      <c r="BF18" s="271"/>
      <c r="BG18" s="271"/>
    </row>
    <row r="19" spans="1:59" ht="23.1" customHeight="1" x14ac:dyDescent="0.25">
      <c r="A19" s="664" t="s">
        <v>7972</v>
      </c>
      <c r="B19" s="665"/>
      <c r="C19" s="665"/>
      <c r="D19" s="665"/>
      <c r="E19" s="665"/>
      <c r="F19" s="665"/>
      <c r="G19" s="665"/>
      <c r="H19" s="665"/>
      <c r="I19" s="666"/>
      <c r="J19" s="271"/>
      <c r="K19" s="684"/>
      <c r="L19" s="685"/>
      <c r="M19" s="685"/>
      <c r="N19" s="685"/>
      <c r="O19" s="685"/>
      <c r="P19" s="685"/>
      <c r="Q19" s="686"/>
      <c r="U19" s="580"/>
      <c r="V19" s="582"/>
      <c r="W19" s="585"/>
      <c r="X19" s="585"/>
      <c r="Y19" s="585"/>
      <c r="Z19" s="585"/>
      <c r="AA19" s="586"/>
      <c r="AC19" s="275"/>
      <c r="AD19" s="301" t="s">
        <v>7973</v>
      </c>
      <c r="AE19" s="355" t="s">
        <v>7974</v>
      </c>
      <c r="AF19" s="303" t="s">
        <v>7975</v>
      </c>
      <c r="AG19" s="356" t="s">
        <v>7976</v>
      </c>
      <c r="AH19" s="357"/>
      <c r="AI19" s="358" t="s">
        <v>7977</v>
      </c>
      <c r="AJ19" s="358"/>
      <c r="AK19" s="358"/>
      <c r="AL19" s="358"/>
      <c r="AM19" s="358"/>
      <c r="AN19" s="358"/>
      <c r="AO19" s="358"/>
      <c r="AP19" s="358"/>
      <c r="AQ19" s="358"/>
      <c r="BC19" s="271"/>
      <c r="BD19" s="279">
        <v>1</v>
      </c>
      <c r="BE19" s="271"/>
      <c r="BF19" s="271"/>
      <c r="BG19" s="271"/>
    </row>
    <row r="20" spans="1:59" ht="21.95" customHeight="1" x14ac:dyDescent="0.25">
      <c r="A20" s="359"/>
      <c r="B20" s="359"/>
      <c r="C20" s="360" cm="1">
        <f t="array" ref="C20">IFERROR(INDEX($P$6:$P$15,$B$5),"")</f>
        <v>100</v>
      </c>
      <c r="D20" s="361" t="s">
        <v>7941</v>
      </c>
      <c r="E20" s="673" t="str">
        <f>IF($B$13="","MODE A NON RENSEIGNÉ","MODE A — "&amp;$B$13&amp;" "&amp;$C$13)</f>
        <v>MODE A — 2 L</v>
      </c>
      <c r="F20" s="673"/>
      <c r="G20" s="674" t="str">
        <f>IF($G$12="","MODE B NON RENSEIGNÉ","MODE B — "&amp;$G$12&amp;" COUVERTS")</f>
        <v>MODE B — 200 COUVERTS</v>
      </c>
      <c r="H20" s="674"/>
      <c r="I20" s="675"/>
      <c r="J20" s="271"/>
      <c r="K20" s="684"/>
      <c r="L20" s="685"/>
      <c r="M20" s="685"/>
      <c r="N20" s="685"/>
      <c r="O20" s="685"/>
      <c r="P20" s="685"/>
      <c r="Q20" s="686"/>
      <c r="U20" s="587" t="s">
        <v>6146</v>
      </c>
      <c r="V20" s="589" t="s">
        <v>7978</v>
      </c>
      <c r="W20" s="591" t="s">
        <v>7979</v>
      </c>
      <c r="X20" s="591"/>
      <c r="Y20" s="591"/>
      <c r="Z20" s="591"/>
      <c r="AA20" s="592"/>
      <c r="AC20" s="275"/>
      <c r="AD20" s="301" t="s">
        <v>7973</v>
      </c>
      <c r="AE20" s="355" t="s">
        <v>7974</v>
      </c>
      <c r="AF20" s="303" t="s">
        <v>7975</v>
      </c>
      <c r="AG20" s="356" t="s">
        <v>7980</v>
      </c>
      <c r="AH20" s="357"/>
      <c r="AI20" s="362" t="s">
        <v>7981</v>
      </c>
      <c r="AJ20" s="362"/>
      <c r="AK20" s="362"/>
      <c r="AL20" s="362"/>
      <c r="AM20" s="362"/>
      <c r="AN20" s="362"/>
      <c r="AO20" s="362"/>
      <c r="AP20" s="362"/>
      <c r="AQ20" s="362"/>
      <c r="BC20" s="271"/>
      <c r="BD20" s="279">
        <v>1</v>
      </c>
      <c r="BE20" s="271"/>
      <c r="BF20" s="271"/>
      <c r="BG20" s="271"/>
    </row>
    <row r="21" spans="1:59" ht="21.95" customHeight="1" x14ac:dyDescent="0.25">
      <c r="A21" s="363" t="s">
        <v>337</v>
      </c>
      <c r="B21" s="364" t="s">
        <v>338</v>
      </c>
      <c r="C21" s="364" t="s">
        <v>339</v>
      </c>
      <c r="D21" s="364" t="s">
        <v>340</v>
      </c>
      <c r="E21" s="365" t="s">
        <v>7982</v>
      </c>
      <c r="F21" s="366" t="s">
        <v>341</v>
      </c>
      <c r="G21" s="367" t="s">
        <v>7983</v>
      </c>
      <c r="H21" s="368" t="s">
        <v>342</v>
      </c>
      <c r="I21" s="369" t="s">
        <v>343</v>
      </c>
      <c r="J21" s="271"/>
      <c r="K21" s="687"/>
      <c r="L21" s="688"/>
      <c r="M21" s="688"/>
      <c r="N21" s="688"/>
      <c r="O21" s="688"/>
      <c r="P21" s="688"/>
      <c r="Q21" s="689"/>
      <c r="U21" s="588"/>
      <c r="V21" s="590"/>
      <c r="W21" s="593"/>
      <c r="X21" s="593"/>
      <c r="Y21" s="593"/>
      <c r="Z21" s="593"/>
      <c r="AA21" s="594"/>
      <c r="AC21" s="275"/>
      <c r="AD21" s="370" t="s">
        <v>7984</v>
      </c>
      <c r="AE21" s="371" t="s">
        <v>7974</v>
      </c>
      <c r="AF21" s="372" t="s">
        <v>7975</v>
      </c>
      <c r="AG21" s="356" t="s">
        <v>7985</v>
      </c>
      <c r="AH21" s="357"/>
      <c r="AI21" s="373" t="s">
        <v>7986</v>
      </c>
      <c r="AJ21" s="373"/>
      <c r="AK21" s="373"/>
      <c r="AL21" s="373"/>
      <c r="AM21" s="373"/>
      <c r="AN21" s="373"/>
      <c r="AO21" s="373"/>
      <c r="AP21" s="373"/>
      <c r="AQ21" s="373"/>
      <c r="BC21" s="271"/>
      <c r="BD21" s="279">
        <v>1</v>
      </c>
      <c r="BE21" s="271"/>
      <c r="BF21" s="271"/>
      <c r="BG21" s="271"/>
    </row>
    <row r="22" spans="1:59" ht="21.95" customHeight="1" thickBot="1" x14ac:dyDescent="0.3">
      <c r="A22" s="374">
        <f>IF($B22="","",0)</f>
        <v>0</v>
      </c>
      <c r="B22" s="375" t="str" cm="1">
        <f t="array" ref="B22">IFERROR(IF(INDEX($AC$72:$AC$430,$K22)="","",INDEX($AC$72:$AC$430,$K22)),"")</f>
        <v>Œufs pasteurisés*</v>
      </c>
      <c r="C22" s="376" cm="1">
        <f t="array" ref="C22">IF($B22="","",INDEX($AG$72:$AG$430,$K22))</f>
        <v>20</v>
      </c>
      <c r="D22" s="377" t="str" cm="1">
        <f t="array" ref="D22">IF($B22="","",INDEX($AH$72:$AH$430,$K22))</f>
        <v>L</v>
      </c>
      <c r="E22" s="378">
        <f t="shared" ref="E22:E56" si="0">IF($B22="","",IF(UPPER(TRIM($D22))="QT. SUFFISANTE","",IF($N22="","",IF($L22="MASSE",IF($N22&gt;=1,ROUND($N22,2),ROUND($N22*1000,0)),IF($L22="VOLUME",IF($N22&gt;=1,ROUND($N22,2),ROUND($N22*100,0)),ROUND($N22,0))))))</f>
        <v>2</v>
      </c>
      <c r="F22" s="379" t="str" cm="1">
        <f t="array" ref="F22">IF($B22="","",IF(UPPER(TRIM($D22))="QT. SUFFISANTE","Qt. suffisante",IF($N22="","",IF($L22="MASSE",IF($N22&gt;=1,"Kg","g"),IF($L22="VOLUME",IF($N22&gt;=1,"L","cl"),INDEX($AL$72:$AL$430,$K22))))))</f>
        <v>L</v>
      </c>
      <c r="G22" s="380">
        <f t="shared" ref="G22:G56" si="1">IF($B22="","",IF(UPPER(TRIM($D22))="QT. SUFFISANTE","",IF($O22="","",IF($L22="MASSE",IF($O22&gt;=1,ROUND($O22,2),ROUND($O22*1000,0)),IF($L22="VOLUME",IF($O22&gt;=1,ROUND($O22,2),ROUND($O22*100,0)),ROUND($O22,0))))))</f>
        <v>40</v>
      </c>
      <c r="H22" s="381" t="str" cm="1">
        <f t="array" ref="H22">IF($B22="","",IF(UPPER(TRIM($D22))="QT. SUFFISANTE","Qt. suffisante",IF($O22="","",IF($L22="MASSE",IF($O22&gt;=1,"Kg","g"),IF($L22="VOLUME",IF($O22&gt;=1,"L","cl"),INDEX($AL$72:$AL$430,$K22))))))</f>
        <v>L</v>
      </c>
      <c r="I22" s="382" t="str" cm="1">
        <f t="array" ref="I22">IF($B22="","",INDEX($AM$72:$AM$430,$K22))</f>
        <v>OK</v>
      </c>
      <c r="J22" s="271"/>
      <c r="K22" s="383">
        <f>1+($B$5-1)*36+0</f>
        <v>181</v>
      </c>
      <c r="L22" s="383" t="str" cm="1">
        <f t="array" ref="L22">IF($B22="","",INDEX($AI$72:$AI$430,$K22))</f>
        <v>VOLUME</v>
      </c>
      <c r="M22" s="383" cm="1">
        <f t="array" ref="M22">IF($B22="","",INDEX($AJ$72:$AJ$430,$K22))</f>
        <v>1</v>
      </c>
      <c r="N22" s="384" cm="1">
        <f t="array" ref="N22">IF(OR($B22="",$B$13="",$B$12="",$B$12=0),"",IF($L$22="AUTRE",IFERROR(INDEX($AK$72:$AK$430,$K22)*($B$13/$B$12),""),IF(OR($C$12="",$C$13=""),"",IFERROR(INDEX($AK$72:$AK$430,$K22)*(($B$13*VLOOKUP($C$13,$AY$74:$BA$119,3,FALSE))/($B$12*VLOOKUP($C$12,$AY$74:$BA$119,3,FALSE))),""))))</f>
        <v>2</v>
      </c>
      <c r="O22" s="384" cm="1">
        <f t="array" ref="O22">IF(OR($B22="",$G$12="",$G$11="",$G$11=0),"",IFERROR(INDEX($AK$72:$AK$430,$K22)*($G$12/$G$11),""))</f>
        <v>40</v>
      </c>
      <c r="U22" s="602" t="s">
        <v>6174</v>
      </c>
      <c r="V22" s="604" t="s">
        <v>7987</v>
      </c>
      <c r="W22" s="606" t="s">
        <v>7988</v>
      </c>
      <c r="X22" s="606"/>
      <c r="Y22" s="606"/>
      <c r="Z22" s="606"/>
      <c r="AA22" s="607"/>
      <c r="AC22" s="275"/>
      <c r="AD22" s="370" t="s">
        <v>7984</v>
      </c>
      <c r="AE22" s="385" t="s">
        <v>7974</v>
      </c>
      <c r="AF22" s="372" t="s">
        <v>7975</v>
      </c>
      <c r="AG22" s="356" t="s">
        <v>7989</v>
      </c>
      <c r="AH22" s="357"/>
      <c r="AI22" s="373" t="s">
        <v>7990</v>
      </c>
      <c r="AJ22" s="373"/>
      <c r="AK22" s="373"/>
      <c r="AL22" s="373"/>
      <c r="AM22" s="373"/>
      <c r="AN22" s="373"/>
      <c r="AO22" s="373"/>
      <c r="AP22" s="373"/>
      <c r="AQ22" s="373"/>
      <c r="BC22" s="271"/>
      <c r="BD22" s="279">
        <v>1</v>
      </c>
      <c r="BE22" s="271"/>
      <c r="BF22" s="271"/>
      <c r="BG22" s="271"/>
    </row>
    <row r="23" spans="1:59" ht="21.95" customHeight="1" x14ac:dyDescent="0.25">
      <c r="A23" s="374">
        <f>IF($B23="","",1)</f>
        <v>1</v>
      </c>
      <c r="B23" s="375" t="str" cm="1">
        <f t="array" ref="B23">IFERROR(IF(INDEX($AC$72:$AC$430,$K23)="","",INDEX($AC$72:$AC$430,$K23)),"")</f>
        <v>Beurre pour la cuisson *</v>
      </c>
      <c r="C23" s="376" cm="1">
        <f t="array" ref="C23">IF($B23="","",INDEX($AG$72:$AG$430,$K23))</f>
        <v>750</v>
      </c>
      <c r="D23" s="377" t="str" cm="1">
        <f t="array" ref="D23">IF($B23="","",INDEX($AH$72:$AH$430,$K23))</f>
        <v>G</v>
      </c>
      <c r="E23" s="378">
        <f t="shared" si="0"/>
        <v>75</v>
      </c>
      <c r="F23" s="379" t="str" cm="1">
        <f t="array" ref="F23">IF($B23="","",IF(UPPER(TRIM($D23))="QT. SUFFISANTE","Qt. suffisante",IF($N23="","",IF($L23="MASSE",IF($N23&gt;=1,"Kg","g"),IF($L23="VOLUME",IF($N23&gt;=1,"L","cl"),INDEX($AL$72:$AL$430,$K23))))))</f>
        <v>g</v>
      </c>
      <c r="G23" s="380">
        <f t="shared" si="1"/>
        <v>1.5</v>
      </c>
      <c r="H23" s="381" t="str" cm="1">
        <f t="array" ref="H23">IF($B23="","",IF(UPPER(TRIM($D23))="QT. SUFFISANTE","Qt. suffisante",IF($O23="","",IF($L23="MASSE",IF($O23&gt;=1,"Kg","g"),IF($L23="VOLUME",IF($O23&gt;=1,"L","cl"),INDEX($AL$72:$AL$430,$K23))))))</f>
        <v>Kg</v>
      </c>
      <c r="I23" s="382" t="str" cm="1">
        <f t="array" ref="I23">IF($B23="","",INDEX($AM$72:$AM$430,$K23))</f>
        <v>OK</v>
      </c>
      <c r="J23" s="271"/>
      <c r="K23" s="383">
        <f>1+($B$5-1)*36+1</f>
        <v>182</v>
      </c>
      <c r="L23" s="383" t="str" cm="1">
        <f t="array" ref="L23">IF($B23="","",INDEX($AI$72:$AI$430,$K23))</f>
        <v>MASSE</v>
      </c>
      <c r="M23" s="383" cm="1">
        <f t="array" ref="M23">IF($B23="","",INDEX($AJ$72:$AJ$430,$K23))</f>
        <v>1E-3</v>
      </c>
      <c r="N23" s="384" cm="1">
        <f t="array" ref="N23">IF(OR($B23="",$B$13="",$B$12="",$B$12=0),"",IF($L$22="AUTRE",IFERROR(INDEX($AK$72:$AK$430,$K23)*($B$13/$B$12),""),IF(OR($C$12="",$C$13=""),"",IFERROR(INDEX($AK$72:$AK$430,$K23)*(($B$13*VLOOKUP($C$13,$AY$74:$BA$119,3,FALSE))/($B$12*VLOOKUP($C$12,$AY$74:$BA$119,3,FALSE))),""))))</f>
        <v>7.5000000000000011E-2</v>
      </c>
      <c r="O23" s="384" cm="1">
        <f t="array" ref="O23">IF(OR($B23="",$G$12="",$G$11="",$G$11=0),"",IFERROR(INDEX($AK$72:$AK$430,$K23)*($G$12/$G$11),""))</f>
        <v>1.5</v>
      </c>
      <c r="U23" s="603"/>
      <c r="V23" s="605"/>
      <c r="W23" s="608"/>
      <c r="X23" s="608"/>
      <c r="Y23" s="608"/>
      <c r="Z23" s="608"/>
      <c r="AA23" s="609"/>
      <c r="AC23" s="275"/>
      <c r="AD23" s="386" t="s">
        <v>7991</v>
      </c>
      <c r="AE23" s="387"/>
      <c r="AF23" s="388"/>
      <c r="AG23" s="387"/>
      <c r="AH23" s="387"/>
      <c r="AI23" s="387"/>
      <c r="AJ23" s="387"/>
      <c r="AK23" s="387"/>
      <c r="AL23" s="387"/>
      <c r="AM23" s="387"/>
      <c r="AN23" s="387"/>
      <c r="AO23" s="387"/>
      <c r="AP23" s="387"/>
      <c r="AQ23" s="387"/>
      <c r="BB23" s="271"/>
      <c r="BC23" s="271"/>
      <c r="BD23" s="279">
        <v>1</v>
      </c>
      <c r="BE23" s="271"/>
      <c r="BF23" s="271"/>
      <c r="BG23" s="271"/>
    </row>
    <row r="24" spans="1:59" ht="21.95" customHeight="1" x14ac:dyDescent="0.25">
      <c r="A24" s="374">
        <f>IF($B24="","",2)</f>
        <v>2</v>
      </c>
      <c r="B24" s="375" t="str" cm="1">
        <f t="array" ref="B24">IFERROR(IF(INDEX($AC$72:$AC$430,$K24)="","",INDEX($AC$72:$AC$430,$K24)),"")</f>
        <v>Beurre pour la fondue *</v>
      </c>
      <c r="C24" s="376" cm="1">
        <f t="array" ref="C24">IF($B24="","",INDEX($AG$72:$AG$430,$K24))</f>
        <v>300</v>
      </c>
      <c r="D24" s="377" t="str" cm="1">
        <f t="array" ref="D24">IF($B24="","",INDEX($AH$72:$AH$430,$K24))</f>
        <v>G</v>
      </c>
      <c r="E24" s="378">
        <f t="shared" si="0"/>
        <v>30</v>
      </c>
      <c r="F24" s="379" t="str" cm="1">
        <f t="array" ref="F24">IF($B24="","",IF(UPPER(TRIM($D24))="QT. SUFFISANTE","Qt. suffisante",IF($N24="","",IF($L24="MASSE",IF($N24&gt;=1,"Kg","g"),IF($L24="VOLUME",IF($N24&gt;=1,"L","cl"),INDEX($AL$72:$AL$430,$K24))))))</f>
        <v>g</v>
      </c>
      <c r="G24" s="380">
        <f t="shared" si="1"/>
        <v>600</v>
      </c>
      <c r="H24" s="381" t="str" cm="1">
        <f t="array" ref="H24">IF($B24="","",IF(UPPER(TRIM($D24))="QT. SUFFISANTE","Qt. suffisante",IF($O24="","",IF($L24="MASSE",IF($O24&gt;=1,"Kg","g"),IF($L24="VOLUME",IF($O24&gt;=1,"L","cl"),INDEX($AL$72:$AL$430,$K24))))))</f>
        <v>g</v>
      </c>
      <c r="I24" s="382" t="str" cm="1">
        <f t="array" ref="I24">IF($B24="","",INDEX($AM$72:$AM$430,$K24))</f>
        <v>OK</v>
      </c>
      <c r="J24" s="271"/>
      <c r="K24" s="383">
        <f>1+($B$5-1)*36+2</f>
        <v>183</v>
      </c>
      <c r="L24" s="383" t="str" cm="1">
        <f t="array" ref="L24">IF($B24="","",INDEX($AI$72:$AI$430,$K24))</f>
        <v>MASSE</v>
      </c>
      <c r="M24" s="383" cm="1">
        <f t="array" ref="M24">IF($B24="","",INDEX($AJ$72:$AJ$430,$K24))</f>
        <v>1E-3</v>
      </c>
      <c r="N24" s="384" cm="1">
        <f t="array" ref="N24">IF(OR($B24="",$B$13="",$B$12="",$B$12=0),"",IF($L$22="AUTRE",IFERROR(INDEX($AK$72:$AK$430,$K24)*($B$13/$B$12),""),IF(OR($C$12="",$C$13=""),"",IFERROR(INDEX($AK$72:$AK$430,$K24)*(($B$13*VLOOKUP($C$13,$AY$74:$BA$119,3,FALSE))/($B$12*VLOOKUP($C$12,$AY$74:$BA$119,3,FALSE))),""))))</f>
        <v>0.03</v>
      </c>
      <c r="O24" s="384" cm="1">
        <f t="array" ref="O24">IF(OR($B24="",$G$12="",$G$11="",$G$11=0),"",IFERROR(INDEX($AK$72:$AK$430,$K24)*($G$12/$G$11),""))</f>
        <v>0.6</v>
      </c>
      <c r="U24" s="610" t="s">
        <v>136</v>
      </c>
      <c r="V24" s="612" t="s">
        <v>7992</v>
      </c>
      <c r="W24" s="614" t="s">
        <v>7993</v>
      </c>
      <c r="X24" s="614"/>
      <c r="Y24" s="614"/>
      <c r="Z24" s="614"/>
      <c r="AA24" s="615"/>
      <c r="AC24" s="275"/>
      <c r="AD24" s="301" t="s">
        <v>7994</v>
      </c>
      <c r="AE24" s="322" t="s">
        <v>339</v>
      </c>
      <c r="AF24" s="303" t="s">
        <v>7995</v>
      </c>
      <c r="AG24" s="389" t="s">
        <v>136</v>
      </c>
      <c r="AH24" s="14"/>
      <c r="AI24" s="304" t="s">
        <v>7996</v>
      </c>
      <c r="AJ24" s="304"/>
      <c r="AK24" s="304"/>
      <c r="AL24" s="304"/>
      <c r="AM24" s="304"/>
      <c r="AN24" s="304"/>
      <c r="AO24" s="304"/>
      <c r="AP24" s="304"/>
      <c r="AQ24" s="304"/>
      <c r="BB24" s="271"/>
      <c r="BC24" s="271"/>
      <c r="BD24" s="279">
        <v>1</v>
      </c>
      <c r="BE24" s="271"/>
      <c r="BF24" s="271"/>
      <c r="BG24" s="271"/>
    </row>
    <row r="25" spans="1:59" ht="21.95" customHeight="1" x14ac:dyDescent="0.25">
      <c r="A25" s="374">
        <f>IF($B25="","",3)</f>
        <v>3</v>
      </c>
      <c r="B25" s="375" t="str" cm="1">
        <f t="array" ref="B25">IFERROR(IF(INDEX($AC$72:$AC$430,$K25)="","",INDEX($AC$72:$AC$430,$K25)),"")</f>
        <v>Crème fraîche *</v>
      </c>
      <c r="C25" s="376" cm="1">
        <f t="array" ref="C25">IF($B25="","",INDEX($AG$72:$AG$430,$K25))</f>
        <v>3</v>
      </c>
      <c r="D25" s="377" t="str" cm="1">
        <f t="array" ref="D25">IF($B25="","",INDEX($AH$72:$AH$430,$K25))</f>
        <v>L</v>
      </c>
      <c r="E25" s="378">
        <f t="shared" si="0"/>
        <v>30</v>
      </c>
      <c r="F25" s="379" t="str" cm="1">
        <f t="array" ref="F25">IF($B25="","",IF(UPPER(TRIM($D25))="QT. SUFFISANTE","Qt. suffisante",IF($N25="","",IF($L25="MASSE",IF($N25&gt;=1,"Kg","g"),IF($L25="VOLUME",IF($N25&gt;=1,"L","cl"),INDEX($AL$72:$AL$430,$K25))))))</f>
        <v>cl</v>
      </c>
      <c r="G25" s="380">
        <f t="shared" si="1"/>
        <v>6</v>
      </c>
      <c r="H25" s="381" t="str" cm="1">
        <f t="array" ref="H25">IF($B25="","",IF(UPPER(TRIM($D25))="QT. SUFFISANTE","Qt. suffisante",IF($O25="","",IF($L25="MASSE",IF($O25&gt;=1,"Kg","g"),IF($L25="VOLUME",IF($O25&gt;=1,"L","cl"),INDEX($AL$72:$AL$430,$K25))))))</f>
        <v>L</v>
      </c>
      <c r="I25" s="382" t="str" cm="1">
        <f t="array" ref="I25">IF($B25="","",INDEX($AM$72:$AM$430,$K25))</f>
        <v>OK</v>
      </c>
      <c r="J25" s="271"/>
      <c r="K25" s="383">
        <f>1+($B$5-1)*36+3</f>
        <v>184</v>
      </c>
      <c r="L25" s="383" t="str" cm="1">
        <f t="array" ref="L25">IF($B25="","",INDEX($AI$72:$AI$430,$K25))</f>
        <v>VOLUME</v>
      </c>
      <c r="M25" s="383" cm="1">
        <f t="array" ref="M25">IF($B25="","",INDEX($AJ$72:$AJ$430,$K25))</f>
        <v>1</v>
      </c>
      <c r="N25" s="384" cm="1">
        <f t="array" ref="N25">IF(OR($B25="",$B$13="",$B$12="",$B$12=0),"",IF($L$22="AUTRE",IFERROR(INDEX($AK$72:$AK$430,$K25)*($B$13/$B$12),""),IF(OR($C$12="",$C$13=""),"",IFERROR(INDEX($AK$72:$AK$430,$K25)*(($B$13*VLOOKUP($C$13,$AY$74:$BA$119,3,FALSE))/($B$12*VLOOKUP($C$12,$AY$74:$BA$119,3,FALSE))),""))))</f>
        <v>0.30000000000000004</v>
      </c>
      <c r="O25" s="384" cm="1">
        <f t="array" ref="O25">IF(OR($B25="",$G$12="",$G$11="",$G$11=0),"",IFERROR(INDEX($AK$72:$AK$430,$K25)*($G$12/$G$11),""))</f>
        <v>6</v>
      </c>
      <c r="U25" s="611"/>
      <c r="V25" s="613"/>
      <c r="W25" s="616"/>
      <c r="X25" s="616"/>
      <c r="Y25" s="616"/>
      <c r="Z25" s="616"/>
      <c r="AA25" s="617"/>
      <c r="AC25" s="275"/>
      <c r="AD25" s="301" t="s">
        <v>7994</v>
      </c>
      <c r="AE25" s="322" t="s">
        <v>7997</v>
      </c>
      <c r="AF25" s="303" t="s">
        <v>7998</v>
      </c>
      <c r="AG25" s="390"/>
      <c r="AH25" s="391" t="s">
        <v>7999</v>
      </c>
      <c r="AI25" s="311" t="s">
        <v>8000</v>
      </c>
      <c r="AJ25" s="311"/>
      <c r="AK25" s="311"/>
      <c r="AL25" s="311"/>
      <c r="AM25" s="311"/>
      <c r="AN25" s="311"/>
      <c r="AO25" s="311"/>
      <c r="AP25" s="311"/>
      <c r="AQ25" s="311"/>
      <c r="BB25" s="271"/>
      <c r="BC25" s="271"/>
      <c r="BD25" s="279">
        <v>1</v>
      </c>
      <c r="BE25" s="271"/>
      <c r="BF25" s="271"/>
      <c r="BG25" s="271"/>
    </row>
    <row r="26" spans="1:59" ht="21.95" customHeight="1" x14ac:dyDescent="0.25">
      <c r="A26" s="374">
        <f>IF($B26="","",4)</f>
        <v>4</v>
      </c>
      <c r="B26" s="375" t="str" cm="1">
        <f t="array" ref="B26">IFERROR(IF(INDEX($AC$72:$AC$430,$K26)="","",INDEX($AC$72:$AC$430,$K26)),"")</f>
        <v>Tomates en cubes congelées .</v>
      </c>
      <c r="C26" s="376" cm="1">
        <f t="array" ref="C26">IF($B26="","",INDEX($AG$72:$AG$430,$K26))</f>
        <v>12.5</v>
      </c>
      <c r="D26" s="377" t="str" cm="1">
        <f t="array" ref="D26">IF($B26="","",INDEX($AH$72:$AH$430,$K26))</f>
        <v>KG</v>
      </c>
      <c r="E26" s="378">
        <f t="shared" si="0"/>
        <v>1.25</v>
      </c>
      <c r="F26" s="379" t="str" cm="1">
        <f t="array" ref="F26">IF($B26="","",IF(UPPER(TRIM($D26))="QT. SUFFISANTE","Qt. suffisante",IF($N26="","",IF($L26="MASSE",IF($N26&gt;=1,"Kg","g"),IF($L26="VOLUME",IF($N26&gt;=1,"L","cl"),INDEX($AL$72:$AL$430,$K26))))))</f>
        <v>Kg</v>
      </c>
      <c r="G26" s="380">
        <f t="shared" si="1"/>
        <v>25</v>
      </c>
      <c r="H26" s="381" t="str" cm="1">
        <f t="array" ref="H26">IF($B26="","",IF(UPPER(TRIM($D26))="QT. SUFFISANTE","Qt. suffisante",IF($O26="","",IF($L26="MASSE",IF($O26&gt;=1,"Kg","g"),IF($L26="VOLUME",IF($O26&gt;=1,"L","cl"),INDEX($AL$72:$AL$430,$K26))))))</f>
        <v>Kg</v>
      </c>
      <c r="I26" s="382" t="str" cm="1">
        <f t="array" ref="I26">IF($B26="","",INDEX($AM$72:$AM$430,$K26))</f>
        <v>OK</v>
      </c>
      <c r="J26" s="271"/>
      <c r="K26" s="383">
        <f>1+($B$5-1)*36+4</f>
        <v>185</v>
      </c>
      <c r="L26" s="383" t="str" cm="1">
        <f t="array" ref="L26">IF($B26="","",INDEX($AI$72:$AI$430,$K26))</f>
        <v>MASSE</v>
      </c>
      <c r="M26" s="383" cm="1">
        <f t="array" ref="M26">IF($B26="","",INDEX($AJ$72:$AJ$430,$K26))</f>
        <v>1</v>
      </c>
      <c r="N26" s="384" cm="1">
        <f t="array" ref="N26">IF(OR($B26="",$B$13="",$B$12="",$B$12=0),"",IF($L$22="AUTRE",IFERROR(INDEX($AK$72:$AK$430,$K26)*($B$13/$B$12),""),IF(OR($C$12="",$C$13=""),"",IFERROR(INDEX($AK$72:$AK$430,$K26)*(($B$13*VLOOKUP($C$13,$AY$74:$BA$119,3,FALSE))/($B$12*VLOOKUP($C$12,$AY$74:$BA$119,3,FALSE))),""))))</f>
        <v>1.25</v>
      </c>
      <c r="O26" s="384" cm="1">
        <f t="array" ref="O26">IF(OR($B26="",$G$12="",$G$11="",$G$11=0),"",IFERROR(INDEX($AK$72:$AK$430,$K26)*($G$12/$G$11),""))</f>
        <v>25</v>
      </c>
      <c r="U26" s="618" t="s">
        <v>8001</v>
      </c>
      <c r="V26" s="619" t="s">
        <v>8002</v>
      </c>
      <c r="W26" s="620" t="s">
        <v>8003</v>
      </c>
      <c r="X26" s="620"/>
      <c r="Y26" s="620"/>
      <c r="Z26" s="620"/>
      <c r="AA26" s="621"/>
      <c r="AC26" s="275"/>
      <c r="AD26" s="301" t="s">
        <v>8004</v>
      </c>
      <c r="AE26" s="322" t="s">
        <v>8005</v>
      </c>
      <c r="AF26" s="303" t="s">
        <v>8006</v>
      </c>
      <c r="AG26" s="624" t="s">
        <v>8007</v>
      </c>
      <c r="AH26" s="624"/>
      <c r="AI26" s="311" t="s">
        <v>8008</v>
      </c>
      <c r="AJ26" s="311"/>
      <c r="AK26" s="311"/>
      <c r="AL26" s="311"/>
      <c r="AM26" s="311"/>
      <c r="AN26" s="311"/>
      <c r="AO26" s="311"/>
      <c r="AP26" s="311"/>
      <c r="AQ26" s="311"/>
      <c r="BB26" s="271"/>
      <c r="BC26" s="271"/>
      <c r="BD26" s="279">
        <v>1</v>
      </c>
      <c r="BE26" s="271"/>
      <c r="BF26" s="271"/>
      <c r="BG26" s="271"/>
    </row>
    <row r="27" spans="1:59" ht="21.95" customHeight="1" thickBot="1" x14ac:dyDescent="0.3">
      <c r="A27" s="374">
        <f>IF($B27="","",5)</f>
        <v>5</v>
      </c>
      <c r="B27" s="375" t="str" cm="1">
        <f t="array" ref="B27">IFERROR(IF(INDEX($AC$72:$AC$430,$K27)="","",INDEX($AC$72:$AC$430,$K27)),"")</f>
        <v>Echalote ciselée surgelée</v>
      </c>
      <c r="C27" s="376" cm="1">
        <f t="array" ref="C27">IF($B27="","",INDEX($AG$72:$AG$430,$K27))</f>
        <v>1</v>
      </c>
      <c r="D27" s="377" t="str" cm="1">
        <f t="array" ref="D27">IF($B27="","",INDEX($AH$72:$AH$430,$K27))</f>
        <v>KG</v>
      </c>
      <c r="E27" s="378">
        <f t="shared" si="0"/>
        <v>100</v>
      </c>
      <c r="F27" s="379" t="str" cm="1">
        <f t="array" ref="F27">IF($B27="","",IF(UPPER(TRIM($D27))="QT. SUFFISANTE","Qt. suffisante",IF($N27="","",IF($L27="MASSE",IF($N27&gt;=1,"Kg","g"),IF($L27="VOLUME",IF($N27&gt;=1,"L","cl"),INDEX($AL$72:$AL$430,$K27))))))</f>
        <v>g</v>
      </c>
      <c r="G27" s="380">
        <f t="shared" si="1"/>
        <v>2</v>
      </c>
      <c r="H27" s="381" t="str" cm="1">
        <f t="array" ref="H27">IF($B27="","",IF(UPPER(TRIM($D27))="QT. SUFFISANTE","Qt. suffisante",IF($O27="","",IF($L27="MASSE",IF($O27&gt;=1,"Kg","g"),IF($L27="VOLUME",IF($O27&gt;=1,"L","cl"),INDEX($AL$72:$AL$430,$K27))))))</f>
        <v>Kg</v>
      </c>
      <c r="I27" s="382" t="str" cm="1">
        <f t="array" ref="I27">IF($B27="","",INDEX($AM$72:$AM$430,$K27))</f>
        <v>OK</v>
      </c>
      <c r="J27" s="271"/>
      <c r="K27" s="383">
        <f>1+($B$5-1)*36+5</f>
        <v>186</v>
      </c>
      <c r="L27" s="383" t="str" cm="1">
        <f t="array" ref="L27">IF($B27="","",INDEX($AI$72:$AI$430,$K27))</f>
        <v>MASSE</v>
      </c>
      <c r="M27" s="383" cm="1">
        <f t="array" ref="M27">IF($B27="","",INDEX($AJ$72:$AJ$430,$K27))</f>
        <v>1</v>
      </c>
      <c r="N27" s="384" cm="1">
        <f t="array" ref="N27">IF(OR($B27="",$B$13="",$B$12="",$B$12=0),"",IF($L$22="AUTRE",IFERROR(INDEX($AK$72:$AK$430,$K27)*($B$13/$B$12),""),IF(OR($C$12="",$C$13=""),"",IFERROR(INDEX($AK$72:$AK$430,$K27)*(($B$13*VLOOKUP($C$13,$AY$74:$BA$119,3,FALSE))/($B$12*VLOOKUP($C$12,$AY$74:$BA$119,3,FALSE))),""))))</f>
        <v>0.1</v>
      </c>
      <c r="O27" s="384" cm="1">
        <f t="array" ref="O27">IF(OR($B27="",$G$12="",$G$11="",$G$11=0),"",IFERROR(INDEX($AK$72:$AK$430,$K27)*($G$12/$G$11),""))</f>
        <v>2</v>
      </c>
      <c r="U27" s="588"/>
      <c r="V27" s="590"/>
      <c r="W27" s="622"/>
      <c r="X27" s="622"/>
      <c r="Y27" s="622"/>
      <c r="Z27" s="622"/>
      <c r="AA27" s="623"/>
      <c r="AC27" s="275"/>
      <c r="AD27" s="301" t="s">
        <v>8009</v>
      </c>
      <c r="AE27" s="355" t="s">
        <v>8010</v>
      </c>
      <c r="AF27" s="303" t="s">
        <v>8011</v>
      </c>
      <c r="AG27" s="625" t="s">
        <v>8012</v>
      </c>
      <c r="AH27" s="625"/>
      <c r="AI27" s="304" t="s">
        <v>8013</v>
      </c>
      <c r="AJ27" s="304"/>
      <c r="AK27" s="304"/>
      <c r="AL27" s="304"/>
      <c r="AM27" s="304"/>
      <c r="AN27" s="304"/>
      <c r="AO27" s="304"/>
      <c r="AP27" s="304"/>
      <c r="AQ27" s="304"/>
      <c r="BB27" s="271"/>
      <c r="BC27" s="271"/>
      <c r="BD27" s="279">
        <v>1</v>
      </c>
      <c r="BE27" s="271"/>
      <c r="BF27" s="271"/>
      <c r="BG27" s="271"/>
    </row>
    <row r="28" spans="1:59" ht="21.95" customHeight="1" x14ac:dyDescent="0.25">
      <c r="A28" s="374">
        <f>IF($B28="","",6)</f>
        <v>6</v>
      </c>
      <c r="B28" s="375" t="str" cm="1">
        <f t="array" ref="B28">IFERROR(IF(INDEX($AC$72:$AC$430,$K28)="","",INDEX($AC$72:$AC$430,$K28)),"")</f>
        <v>Ail haché surgelé</v>
      </c>
      <c r="C28" s="376" cm="1">
        <f t="array" ref="C28">IF($B28="","",INDEX($AG$72:$AG$430,$K28))</f>
        <v>150</v>
      </c>
      <c r="D28" s="377" t="str" cm="1">
        <f t="array" ref="D28">IF($B28="","",INDEX($AH$72:$AH$430,$K28))</f>
        <v>G</v>
      </c>
      <c r="E28" s="378">
        <f t="shared" si="0"/>
        <v>15</v>
      </c>
      <c r="F28" s="379" t="str" cm="1">
        <f t="array" ref="F28">IF($B28="","",IF(UPPER(TRIM($D28))="QT. SUFFISANTE","Qt. suffisante",IF($N28="","",IF($L28="MASSE",IF($N28&gt;=1,"Kg","g"),IF($L28="VOLUME",IF($N28&gt;=1,"L","cl"),INDEX($AL$72:$AL$430,$K28))))))</f>
        <v>g</v>
      </c>
      <c r="G28" s="380">
        <f t="shared" si="1"/>
        <v>300</v>
      </c>
      <c r="H28" s="381" t="str" cm="1">
        <f t="array" ref="H28">IF($B28="","",IF(UPPER(TRIM($D28))="QT. SUFFISANTE","Qt. suffisante",IF($O28="","",IF($L28="MASSE",IF($O28&gt;=1,"Kg","g"),IF($L28="VOLUME",IF($O28&gt;=1,"L","cl"),INDEX($AL$72:$AL$430,$K28))))))</f>
        <v>g</v>
      </c>
      <c r="I28" s="382" t="str" cm="1">
        <f t="array" ref="I28">IF($B28="","",INDEX($AM$72:$AM$430,$K28))</f>
        <v>OK</v>
      </c>
      <c r="J28" s="271"/>
      <c r="K28" s="383">
        <f>1+($B$5-1)*36+6</f>
        <v>187</v>
      </c>
      <c r="L28" s="383" t="str" cm="1">
        <f t="array" ref="L28">IF($B28="","",INDEX($AI$72:$AI$430,$K28))</f>
        <v>MASSE</v>
      </c>
      <c r="M28" s="383" cm="1">
        <f t="array" ref="M28">IF($B28="","",INDEX($AJ$72:$AJ$430,$K28))</f>
        <v>1E-3</v>
      </c>
      <c r="N28" s="384" cm="1">
        <f t="array" ref="N28">IF(OR($B28="",$B$13="",$B$12="",$B$12=0),"",IF($L$22="AUTRE",IFERROR(INDEX($AK$72:$AK$430,$K28)*($B$13/$B$12),""),IF(OR($C$12="",$C$13=""),"",IFERROR(INDEX($AK$72:$AK$430,$K28)*(($B$13*VLOOKUP($C$13,$AY$74:$BA$119,3,FALSE))/($B$12*VLOOKUP($C$12,$AY$74:$BA$119,3,FALSE))),""))))</f>
        <v>1.4999999999999999E-2</v>
      </c>
      <c r="O28" s="384" cm="1">
        <f t="array" ref="O28">IF(OR($B28="",$G$12="",$G$11="",$G$11=0),"",IFERROR(INDEX($AK$72:$AK$430,$K28)*($G$12/$G$11),""))</f>
        <v>0.3</v>
      </c>
      <c r="U28" s="595" t="s">
        <v>8014</v>
      </c>
      <c r="V28" s="392" t="s">
        <v>4</v>
      </c>
      <c r="W28" s="597" t="s">
        <v>8015</v>
      </c>
      <c r="X28" s="597"/>
      <c r="Y28" s="597"/>
      <c r="Z28" s="597"/>
      <c r="AA28" s="598"/>
      <c r="AC28" s="275"/>
      <c r="AD28" s="328" t="s">
        <v>8016</v>
      </c>
      <c r="AE28" s="329"/>
      <c r="AF28" s="330"/>
      <c r="AG28" s="329"/>
      <c r="AH28" s="329"/>
      <c r="AI28" s="329"/>
      <c r="AJ28" s="329"/>
      <c r="AK28" s="329"/>
      <c r="AL28" s="329"/>
      <c r="AM28" s="329"/>
      <c r="AN28" s="329"/>
      <c r="AO28" s="329"/>
      <c r="AP28" s="329"/>
      <c r="AQ28" s="329"/>
      <c r="BB28" s="271"/>
      <c r="BC28" s="271"/>
      <c r="BD28" s="279">
        <v>1</v>
      </c>
      <c r="BE28" s="271"/>
      <c r="BF28" s="271"/>
      <c r="BG28" s="271"/>
    </row>
    <row r="29" spans="1:59" ht="21.95" customHeight="1" x14ac:dyDescent="0.25">
      <c r="A29" s="374">
        <f>IF($B29="","",7)</f>
        <v>7</v>
      </c>
      <c r="B29" s="375" t="str" cm="1">
        <f t="array" ref="B29">IFERROR(IF(INDEX($AC$72:$AC$430,$K29)="","",INDEX($AC$72:$AC$430,$K29)),"")</f>
        <v>Herbes de Provence</v>
      </c>
      <c r="C29" s="376" cm="1">
        <f t="array" ref="C29">IF($B29="","",INDEX($AG$72:$AG$430,$K29))</f>
        <v>10</v>
      </c>
      <c r="D29" s="377" t="str" cm="1">
        <f t="array" ref="D29">IF($B29="","",INDEX($AH$72:$AH$430,$K29))</f>
        <v>G</v>
      </c>
      <c r="E29" s="378">
        <f t="shared" si="0"/>
        <v>1</v>
      </c>
      <c r="F29" s="379" t="str" cm="1">
        <f t="array" ref="F29">IF($B29="","",IF(UPPER(TRIM($D29))="QT. SUFFISANTE","Qt. suffisante",IF($N29="","",IF($L29="MASSE",IF($N29&gt;=1,"Kg","g"),IF($L29="VOLUME",IF($N29&gt;=1,"L","cl"),INDEX($AL$72:$AL$430,$K29))))))</f>
        <v>g</v>
      </c>
      <c r="G29" s="380">
        <f t="shared" si="1"/>
        <v>20</v>
      </c>
      <c r="H29" s="381" t="str" cm="1">
        <f t="array" ref="H29">IF($B29="","",IF(UPPER(TRIM($D29))="QT. SUFFISANTE","Qt. suffisante",IF($O29="","",IF($L29="MASSE",IF($O29&gt;=1,"Kg","g"),IF($L29="VOLUME",IF($O29&gt;=1,"L","cl"),INDEX($AL$72:$AL$430,$K29))))))</f>
        <v>g</v>
      </c>
      <c r="I29" s="382" t="str" cm="1">
        <f t="array" ref="I29">IF($B29="","",INDEX($AM$72:$AM$430,$K29))</f>
        <v>OK</v>
      </c>
      <c r="J29" s="271"/>
      <c r="K29" s="383">
        <f>1+($B$5-1)*36+7</f>
        <v>188</v>
      </c>
      <c r="L29" s="383" t="str" cm="1">
        <f t="array" ref="L29">IF($B29="","",INDEX($AI$72:$AI$430,$K29))</f>
        <v>MASSE</v>
      </c>
      <c r="M29" s="383" cm="1">
        <f t="array" ref="M29">IF($B29="","",INDEX($AJ$72:$AJ$430,$K29))</f>
        <v>1E-3</v>
      </c>
      <c r="N29" s="384" cm="1">
        <f t="array" ref="N29">IF(OR($B29="",$B$13="",$B$12="",$B$12=0),"",IF($L$22="AUTRE",IFERROR(INDEX($AK$72:$AK$430,$K29)*($B$13/$B$12),""),IF(OR($C$12="",$C$13=""),"",IFERROR(INDEX($AK$72:$AK$430,$K29)*(($B$13*VLOOKUP($C$13,$AY$74:$BA$119,3,FALSE))/($B$12*VLOOKUP($C$12,$AY$74:$BA$119,3,FALSE))),""))))</f>
        <v>1E-3</v>
      </c>
      <c r="O29" s="384" cm="1">
        <f t="array" ref="O29">IF(OR($B29="",$G$12="",$G$11="",$G$11=0),"",IFERROR(INDEX($AK$72:$AK$430,$K29)*($G$12/$G$11),""))</f>
        <v>0.02</v>
      </c>
      <c r="U29" s="596"/>
      <c r="V29" s="393"/>
      <c r="W29" s="599"/>
      <c r="X29" s="599"/>
      <c r="Y29" s="599"/>
      <c r="Z29" s="599"/>
      <c r="AA29" s="600"/>
      <c r="AC29" s="275"/>
      <c r="AD29" s="319" t="s">
        <v>8017</v>
      </c>
      <c r="AE29" s="394" t="s">
        <v>8018</v>
      </c>
      <c r="AF29" s="395" t="s">
        <v>8019</v>
      </c>
      <c r="AG29" s="601" t="s">
        <v>8020</v>
      </c>
      <c r="AH29" s="601"/>
      <c r="AI29" s="304" t="s">
        <v>8021</v>
      </c>
      <c r="AJ29" s="304"/>
      <c r="AK29" s="304"/>
      <c r="AL29" s="304"/>
      <c r="AM29" s="304"/>
      <c r="AN29" s="304"/>
      <c r="AO29" s="304"/>
      <c r="AP29" s="304"/>
      <c r="AQ29" s="304"/>
      <c r="BB29" s="271"/>
      <c r="BC29" s="271"/>
      <c r="BD29" s="279">
        <v>1</v>
      </c>
      <c r="BE29" s="271"/>
      <c r="BF29" s="271"/>
      <c r="BG29" s="271"/>
    </row>
    <row r="30" spans="1:59" ht="21.95" customHeight="1" x14ac:dyDescent="0.25">
      <c r="A30" s="374">
        <f>IF($B30="","",8)</f>
        <v>8</v>
      </c>
      <c r="B30" s="375" t="str" cm="1">
        <f t="array" ref="B30">IFERROR(IF(INDEX($AC$72:$AC$430,$K30)="","",INDEX($AC$72:$AC$430,$K30)),"")</f>
        <v>Persil</v>
      </c>
      <c r="C30" s="376" cm="1">
        <f t="array" ref="C30">IF($B30="","",INDEX($AG$72:$AG$430,$K30))</f>
        <v>200</v>
      </c>
      <c r="D30" s="377" t="str" cm="1">
        <f t="array" ref="D30">IF($B30="","",INDEX($AH$72:$AH$430,$K30))</f>
        <v>G</v>
      </c>
      <c r="E30" s="378">
        <f t="shared" si="0"/>
        <v>20</v>
      </c>
      <c r="F30" s="379" t="str" cm="1">
        <f t="array" ref="F30">IF($B30="","",IF(UPPER(TRIM($D30))="QT. SUFFISANTE","Qt. suffisante",IF($N30="","",IF($L30="MASSE",IF($N30&gt;=1,"Kg","g"),IF($L30="VOLUME",IF($N30&gt;=1,"L","cl"),INDEX($AL$72:$AL$430,$K30))))))</f>
        <v>g</v>
      </c>
      <c r="G30" s="380">
        <f t="shared" si="1"/>
        <v>400</v>
      </c>
      <c r="H30" s="381" t="str" cm="1">
        <f t="array" ref="H30">IF($B30="","",IF(UPPER(TRIM($D30))="QT. SUFFISANTE","Qt. suffisante",IF($O30="","",IF($L30="MASSE",IF($O30&gt;=1,"Kg","g"),IF($L30="VOLUME",IF($O30&gt;=1,"L","cl"),INDEX($AL$72:$AL$430,$K30))))))</f>
        <v>g</v>
      </c>
      <c r="I30" s="382" t="str" cm="1">
        <f t="array" ref="I30">IF($B30="","",INDEX($AM$72:$AM$430,$K30))</f>
        <v>OK</v>
      </c>
      <c r="J30" s="271"/>
      <c r="K30" s="383">
        <f>1+($B$5-1)*36+8</f>
        <v>189</v>
      </c>
      <c r="L30" s="383" t="str" cm="1">
        <f t="array" ref="L30">IF($B30="","",INDEX($AI$72:$AI$430,$K30))</f>
        <v>MASSE</v>
      </c>
      <c r="M30" s="383" cm="1">
        <f t="array" ref="M30">IF($B30="","",INDEX($AJ$72:$AJ$430,$K30))</f>
        <v>1E-3</v>
      </c>
      <c r="N30" s="384" cm="1">
        <f t="array" ref="N30">IF(OR($B30="",$B$13="",$B$12="",$B$12=0),"",IF($L$22="AUTRE",IFERROR(INDEX($AK$72:$AK$430,$K30)*($B$13/$B$12),""),IF(OR($C$12="",$C$13=""),"",IFERROR(INDEX($AK$72:$AK$430,$K30)*(($B$13*VLOOKUP($C$13,$AY$74:$BA$119,3,FALSE))/($B$12*VLOOKUP($C$12,$AY$74:$BA$119,3,FALSE))),""))))</f>
        <v>2.0000000000000004E-2</v>
      </c>
      <c r="O30" s="384" cm="1">
        <f t="array" ref="O30">IF(OR($B30="",$G$12="",$G$11="",$G$11=0),"",IFERROR(INDEX($AK$72:$AK$430,$K30)*($G$12/$G$11),""))</f>
        <v>0.4</v>
      </c>
      <c r="U30" s="626" t="s">
        <v>8022</v>
      </c>
      <c r="V30" s="627"/>
      <c r="W30" s="627"/>
      <c r="X30" s="627"/>
      <c r="Y30" s="627"/>
      <c r="Z30" s="627"/>
      <c r="AA30" s="628"/>
      <c r="AC30" s="275"/>
      <c r="AD30" s="319" t="s">
        <v>8017</v>
      </c>
      <c r="AE30" s="320" t="s">
        <v>8023</v>
      </c>
      <c r="AF30" s="395" t="s">
        <v>8024</v>
      </c>
      <c r="AG30" s="629" t="s">
        <v>7</v>
      </c>
      <c r="AH30" s="629"/>
      <c r="AI30" s="304" t="s">
        <v>8025</v>
      </c>
      <c r="AJ30" s="304"/>
      <c r="AK30" s="304"/>
      <c r="AL30" s="304"/>
      <c r="AM30" s="304"/>
      <c r="AN30" s="304"/>
      <c r="AO30" s="304"/>
      <c r="AP30" s="304"/>
      <c r="AQ30" s="304"/>
      <c r="BB30" s="271"/>
      <c r="BC30" s="271"/>
      <c r="BD30" s="279">
        <v>1</v>
      </c>
      <c r="BE30" s="271"/>
      <c r="BF30" s="271"/>
      <c r="BG30" s="271"/>
    </row>
    <row r="31" spans="1:59" ht="21.95" customHeight="1" x14ac:dyDescent="0.25">
      <c r="A31" s="374">
        <f>IF($B31="","",9)</f>
        <v>9</v>
      </c>
      <c r="B31" s="375" t="str" cm="1">
        <f t="array" ref="B31">IFERROR(IF(INDEX($AC$72:$AC$430,$K31)="","",INDEX($AC$72:$AC$430,$K31)),"")</f>
        <v>Cerfeuil</v>
      </c>
      <c r="C31" s="376" cm="1">
        <f t="array" ref="C31">IF($B31="","",INDEX($AG$72:$AG$430,$K31))</f>
        <v>100</v>
      </c>
      <c r="D31" s="377" t="str" cm="1">
        <f t="array" ref="D31">IF($B31="","",INDEX($AH$72:$AH$430,$K31))</f>
        <v>G</v>
      </c>
      <c r="E31" s="378">
        <f t="shared" si="0"/>
        <v>10</v>
      </c>
      <c r="F31" s="379" t="str" cm="1">
        <f t="array" ref="F31">IF($B31="","",IF(UPPER(TRIM($D31))="QT. SUFFISANTE","Qt. suffisante",IF($N31="","",IF($L31="MASSE",IF($N31&gt;=1,"Kg","g"),IF($L31="VOLUME",IF($N31&gt;=1,"L","cl"),INDEX($AL$72:$AL$430,$K31))))))</f>
        <v>g</v>
      </c>
      <c r="G31" s="380">
        <f t="shared" si="1"/>
        <v>200</v>
      </c>
      <c r="H31" s="381" t="str" cm="1">
        <f t="array" ref="H31">IF($B31="","",IF(UPPER(TRIM($D31))="QT. SUFFISANTE","Qt. suffisante",IF($O31="","",IF($L31="MASSE",IF($O31&gt;=1,"Kg","g"),IF($L31="VOLUME",IF($O31&gt;=1,"L","cl"),INDEX($AL$72:$AL$430,$K31))))))</f>
        <v>g</v>
      </c>
      <c r="I31" s="382" t="str" cm="1">
        <f t="array" ref="I31">IF($B31="","",INDEX($AM$72:$AM$430,$K31))</f>
        <v>OK</v>
      </c>
      <c r="J31" s="271"/>
      <c r="K31" s="383">
        <f>1+($B$5-1)*36+9</f>
        <v>190</v>
      </c>
      <c r="L31" s="383" t="str" cm="1">
        <f t="array" ref="L31">IF($B31="","",INDEX($AI$72:$AI$430,$K31))</f>
        <v>MASSE</v>
      </c>
      <c r="M31" s="383" cm="1">
        <f t="array" ref="M31">IF($B31="","",INDEX($AJ$72:$AJ$430,$K31))</f>
        <v>1E-3</v>
      </c>
      <c r="N31" s="384" cm="1">
        <f t="array" ref="N31">IF(OR($B31="",$B$13="",$B$12="",$B$12=0),"",IF($L$22="AUTRE",IFERROR(INDEX($AK$72:$AK$430,$K31)*($B$13/$B$12),""),IF(OR($C$12="",$C$13=""),"",IFERROR(INDEX($AK$72:$AK$430,$K31)*(($B$13*VLOOKUP($C$13,$AY$74:$BA$119,3,FALSE))/($B$12*VLOOKUP($C$12,$AY$74:$BA$119,3,FALSE))),""))))</f>
        <v>1.0000000000000002E-2</v>
      </c>
      <c r="O31" s="384" cm="1">
        <f t="array" ref="O31">IF(OR($B31="",$G$12="",$G$11="",$G$11=0),"",IFERROR(INDEX($AK$72:$AK$430,$K31)*($G$12/$G$11),""))</f>
        <v>0.2</v>
      </c>
      <c r="U31" s="630" t="s">
        <v>8026</v>
      </c>
      <c r="V31" s="631"/>
      <c r="W31" s="632" t="s">
        <v>8027</v>
      </c>
      <c r="X31" s="632"/>
      <c r="Y31" s="632"/>
      <c r="Z31" s="632"/>
      <c r="AA31" s="633"/>
      <c r="AC31" s="275"/>
      <c r="AD31" s="319" t="s">
        <v>8017</v>
      </c>
      <c r="AE31" s="320" t="s">
        <v>330</v>
      </c>
      <c r="AF31" s="395" t="s">
        <v>8028</v>
      </c>
      <c r="AG31" s="634" t="s">
        <v>8029</v>
      </c>
      <c r="AH31" s="634"/>
      <c r="AI31" s="304" t="s">
        <v>8030</v>
      </c>
      <c r="AJ31" s="304"/>
      <c r="AK31" s="304"/>
      <c r="AL31" s="304"/>
      <c r="AM31" s="304"/>
      <c r="AN31" s="304"/>
      <c r="AO31" s="304"/>
      <c r="AP31" s="304"/>
      <c r="AQ31" s="304"/>
      <c r="BB31" s="271"/>
      <c r="BC31" s="271"/>
      <c r="BD31" s="279">
        <v>1</v>
      </c>
      <c r="BE31" s="271"/>
      <c r="BF31" s="271"/>
      <c r="BG31" s="271"/>
    </row>
    <row r="32" spans="1:59" ht="21.95" customHeight="1" x14ac:dyDescent="0.25">
      <c r="A32" s="374">
        <f>IF($B32="","",10)</f>
        <v>10</v>
      </c>
      <c r="B32" s="375" t="str" cm="1">
        <f t="array" ref="B32">IFERROR(IF(INDEX($AC$72:$AC$430,$K32)="","",INDEX($AC$72:$AC$430,$K32)),"")</f>
        <v xml:space="preserve">Sucre semoule </v>
      </c>
      <c r="C32" s="376" cm="1">
        <f t="array" ref="C32">IF($B32="","",INDEX($AG$72:$AG$430,$K32))</f>
        <v>15</v>
      </c>
      <c r="D32" s="377" t="str" cm="1">
        <f t="array" ref="D32">IF($B32="","",INDEX($AH$72:$AH$430,$K32))</f>
        <v>G</v>
      </c>
      <c r="E32" s="378">
        <f t="shared" si="0"/>
        <v>2</v>
      </c>
      <c r="F32" s="379" t="str" cm="1">
        <f t="array" ref="F32">IF($B32="","",IF(UPPER(TRIM($D32))="QT. SUFFISANTE","Qt. suffisante",IF($N32="","",IF($L32="MASSE",IF($N32&gt;=1,"Kg","g"),IF($L32="VOLUME",IF($N32&gt;=1,"L","cl"),INDEX($AL$72:$AL$430,$K32))))))</f>
        <v>g</v>
      </c>
      <c r="G32" s="380">
        <f t="shared" si="1"/>
        <v>30</v>
      </c>
      <c r="H32" s="381" t="str" cm="1">
        <f t="array" ref="H32">IF($B32="","",IF(UPPER(TRIM($D32))="QT. SUFFISANTE","Qt. suffisante",IF($O32="","",IF($L32="MASSE",IF($O32&gt;=1,"Kg","g"),IF($L32="VOLUME",IF($O32&gt;=1,"L","cl"),INDEX($AL$72:$AL$430,$K32))))))</f>
        <v>g</v>
      </c>
      <c r="I32" s="382" t="str" cm="1">
        <f t="array" ref="I32">IF($B32="","",INDEX($AM$72:$AM$430,$K32))</f>
        <v>OK</v>
      </c>
      <c r="J32" s="271"/>
      <c r="K32" s="383">
        <f>1+($B$5-1)*36+10</f>
        <v>191</v>
      </c>
      <c r="L32" s="383" t="str" cm="1">
        <f t="array" ref="L32">IF($B32="","",INDEX($AI$72:$AI$430,$K32))</f>
        <v>MASSE</v>
      </c>
      <c r="M32" s="383" cm="1">
        <f t="array" ref="M32">IF($B32="","",INDEX($AJ$72:$AJ$430,$K32))</f>
        <v>1E-3</v>
      </c>
      <c r="N32" s="384" cm="1">
        <f t="array" ref="N32">IF(OR($B32="",$B$13="",$B$12="",$B$12=0),"",IF($L$22="AUTRE",IFERROR(INDEX($AK$72:$AK$430,$K32)*($B$13/$B$12),""),IF(OR($C$12="",$C$13=""),"",IFERROR(INDEX($AK$72:$AK$430,$K32)*(($B$13*VLOOKUP($C$13,$AY$74:$BA$119,3,FALSE))/($B$12*VLOOKUP($C$12,$AY$74:$BA$119,3,FALSE))),""))))</f>
        <v>1.5E-3</v>
      </c>
      <c r="O32" s="384" cm="1">
        <f t="array" ref="O32">IF(OR($B32="",$G$12="",$G$11="",$G$11=0),"",IFERROR(INDEX($AK$72:$AK$430,$K32)*($G$12/$G$11),""))</f>
        <v>0.03</v>
      </c>
      <c r="U32" s="630"/>
      <c r="V32" s="631"/>
      <c r="W32" s="632"/>
      <c r="X32" s="632"/>
      <c r="Y32" s="632"/>
      <c r="Z32" s="632"/>
      <c r="AA32" s="633"/>
      <c r="AC32" s="275"/>
      <c r="AD32" s="319" t="s">
        <v>8017</v>
      </c>
      <c r="AE32" s="320" t="s">
        <v>8031</v>
      </c>
      <c r="AF32" s="395" t="s">
        <v>8032</v>
      </c>
      <c r="AG32" s="634" t="s">
        <v>8033</v>
      </c>
      <c r="AH32" s="634"/>
      <c r="AI32" s="311" t="s">
        <v>8034</v>
      </c>
      <c r="AJ32" s="311"/>
      <c r="AK32" s="311"/>
      <c r="AL32" s="311"/>
      <c r="AM32" s="311"/>
      <c r="AN32" s="311"/>
      <c r="AO32" s="311"/>
      <c r="AP32" s="311"/>
      <c r="AQ32" s="311"/>
      <c r="BB32" s="271"/>
      <c r="BC32" s="271"/>
      <c r="BD32" s="279">
        <v>1</v>
      </c>
      <c r="BE32" s="271"/>
      <c r="BF32" s="271"/>
      <c r="BG32" s="271"/>
    </row>
    <row r="33" spans="1:59" ht="21.95" customHeight="1" x14ac:dyDescent="0.25">
      <c r="A33" s="374">
        <f>IF($B33="","",11)</f>
        <v>11</v>
      </c>
      <c r="B33" s="375" t="str" cm="1">
        <f t="array" ref="B33">IFERROR(IF(INDEX($AC$72:$AC$430,$K33)="","",INDEX($AC$72:$AC$430,$K33)),"")</f>
        <v>Sel 1</v>
      </c>
      <c r="C33" s="376" cm="1">
        <f t="array" ref="C33">IF($B33="","",INDEX($AG$72:$AG$430,$K33))</f>
        <v>120</v>
      </c>
      <c r="D33" s="377" t="str" cm="1">
        <f t="array" ref="D33">IF($B33="","",INDEX($AH$72:$AH$430,$K33))</f>
        <v>G</v>
      </c>
      <c r="E33" s="378">
        <f t="shared" si="0"/>
        <v>12</v>
      </c>
      <c r="F33" s="379" t="str" cm="1">
        <f t="array" ref="F33">IF($B33="","",IF(UPPER(TRIM($D33))="QT. SUFFISANTE","Qt. suffisante",IF($N33="","",IF($L33="MASSE",IF($N33&gt;=1,"Kg","g"),IF($L33="VOLUME",IF($N33&gt;=1,"L","cl"),INDEX($AL$72:$AL$430,$K33))))))</f>
        <v>g</v>
      </c>
      <c r="G33" s="380">
        <f t="shared" si="1"/>
        <v>240</v>
      </c>
      <c r="H33" s="381" t="str" cm="1">
        <f t="array" ref="H33">IF($B33="","",IF(UPPER(TRIM($D33))="QT. SUFFISANTE","Qt. suffisante",IF($O33="","",IF($L33="MASSE",IF($O33&gt;=1,"Kg","g"),IF($L33="VOLUME",IF($O33&gt;=1,"L","cl"),INDEX($AL$72:$AL$430,$K33))))))</f>
        <v>g</v>
      </c>
      <c r="I33" s="382" t="str" cm="1">
        <f t="array" ref="I33">IF($B33="","",INDEX($AM$72:$AM$430,$K33))</f>
        <v>OK</v>
      </c>
      <c r="J33" s="271"/>
      <c r="K33" s="383">
        <f>1+($B$5-1)*36+11</f>
        <v>192</v>
      </c>
      <c r="L33" s="383" t="str" cm="1">
        <f t="array" ref="L33">IF($B33="","",INDEX($AI$72:$AI$430,$K33))</f>
        <v>MASSE</v>
      </c>
      <c r="M33" s="383" cm="1">
        <f t="array" ref="M33">IF($B33="","",INDEX($AJ$72:$AJ$430,$K33))</f>
        <v>1E-3</v>
      </c>
      <c r="N33" s="384" cm="1">
        <f t="array" ref="N33">IF(OR($B33="",$B$13="",$B$12="",$B$12=0),"",IF($L$22="AUTRE",IFERROR(INDEX($AK$72:$AK$430,$K33)*($B$13/$B$12),""),IF(OR($C$12="",$C$13=""),"",IFERROR(INDEX($AK$72:$AK$430,$K33)*(($B$13*VLOOKUP($C$13,$AY$74:$BA$119,3,FALSE))/($B$12*VLOOKUP($C$12,$AY$74:$BA$119,3,FALSE))),""))))</f>
        <v>1.2E-2</v>
      </c>
      <c r="O33" s="384" cm="1">
        <f t="array" ref="O33">IF(OR($B33="",$G$12="",$G$11="",$G$11=0),"",IFERROR(INDEX($AK$72:$AK$430,$K33)*($G$12/$G$11),""))</f>
        <v>0.24</v>
      </c>
      <c r="U33" s="635" t="s">
        <v>8035</v>
      </c>
      <c r="V33" s="636"/>
      <c r="W33" s="637" t="s">
        <v>8036</v>
      </c>
      <c r="X33" s="637"/>
      <c r="Y33" s="637"/>
      <c r="Z33" s="637"/>
      <c r="AA33" s="638"/>
      <c r="AC33" s="275"/>
      <c r="AD33" s="319" t="s">
        <v>8017</v>
      </c>
      <c r="AE33" s="394" t="s">
        <v>8037</v>
      </c>
      <c r="AF33" s="395" t="s">
        <v>8038</v>
      </c>
      <c r="AG33" s="634" t="s">
        <v>8039</v>
      </c>
      <c r="AH33" s="634"/>
      <c r="AI33" s="311" t="s">
        <v>8040</v>
      </c>
      <c r="AJ33" s="311"/>
      <c r="AK33" s="311"/>
      <c r="AL33" s="311"/>
      <c r="AM33" s="311"/>
      <c r="AN33" s="311"/>
      <c r="AO33" s="311"/>
      <c r="AP33" s="311"/>
      <c r="AQ33" s="311"/>
      <c r="BB33" s="271"/>
      <c r="BC33" s="271"/>
      <c r="BD33" s="279">
        <v>1</v>
      </c>
      <c r="BE33" s="271"/>
      <c r="BF33" s="271"/>
      <c r="BG33" s="271"/>
    </row>
    <row r="34" spans="1:59" ht="21.95" customHeight="1" x14ac:dyDescent="0.25">
      <c r="A34" s="374">
        <f>IF($B34="","",12)</f>
        <v>12</v>
      </c>
      <c r="B34" s="375" t="str" cm="1">
        <f t="array" ref="B34">IFERROR(IF(INDEX($AC$72:$AC$430,$K34)="","",INDEX($AC$72:$AC$430,$K34)),"")</f>
        <v>Sel 2</v>
      </c>
      <c r="C34" s="376" cm="1">
        <f t="array" ref="C34">IF($B34="","",INDEX($AG$72:$AG$430,$K34))</f>
        <v>125</v>
      </c>
      <c r="D34" s="377" t="str" cm="1">
        <f t="array" ref="D34">IF($B34="","",INDEX($AH$72:$AH$430,$K34))</f>
        <v>G</v>
      </c>
      <c r="E34" s="378">
        <f t="shared" si="0"/>
        <v>13</v>
      </c>
      <c r="F34" s="379" t="str" cm="1">
        <f t="array" ref="F34">IF($B34="","",IF(UPPER(TRIM($D34))="QT. SUFFISANTE","Qt. suffisante",IF($N34="","",IF($L34="MASSE",IF($N34&gt;=1,"Kg","g"),IF($L34="VOLUME",IF($N34&gt;=1,"L","cl"),INDEX($AL$72:$AL$430,$K34))))))</f>
        <v>g</v>
      </c>
      <c r="G34" s="380">
        <f t="shared" si="1"/>
        <v>250</v>
      </c>
      <c r="H34" s="381" t="str" cm="1">
        <f t="array" ref="H34">IF($B34="","",IF(UPPER(TRIM($D34))="QT. SUFFISANTE","Qt. suffisante",IF($O34="","",IF($L34="MASSE",IF($O34&gt;=1,"Kg","g"),IF($L34="VOLUME",IF($O34&gt;=1,"L","cl"),INDEX($AL$72:$AL$430,$K34))))))</f>
        <v>g</v>
      </c>
      <c r="I34" s="382" t="str" cm="1">
        <f t="array" ref="I34">IF($B34="","",INDEX($AM$72:$AM$430,$K34))</f>
        <v>OK</v>
      </c>
      <c r="J34" s="271"/>
      <c r="K34" s="383">
        <f>1+($B$5-1)*36+12</f>
        <v>193</v>
      </c>
      <c r="L34" s="383" t="str" cm="1">
        <f t="array" ref="L34">IF($B34="","",INDEX($AI$72:$AI$430,$K34))</f>
        <v>MASSE</v>
      </c>
      <c r="M34" s="383" cm="1">
        <f t="array" ref="M34">IF($B34="","",INDEX($AJ$72:$AJ$430,$K34))</f>
        <v>1E-3</v>
      </c>
      <c r="N34" s="384" cm="1">
        <f t="array" ref="N34">IF(OR($B34="",$B$13="",$B$12="",$B$12=0),"",IF($L$22="AUTRE",IFERROR(INDEX($AK$72:$AK$430,$K34)*($B$13/$B$12),""),IF(OR($C$12="",$C$13=""),"",IFERROR(INDEX($AK$72:$AK$430,$K34)*(($B$13*VLOOKUP($C$13,$AY$74:$BA$119,3,FALSE))/($B$12*VLOOKUP($C$12,$AY$74:$BA$119,3,FALSE))),""))))</f>
        <v>1.2500000000000001E-2</v>
      </c>
      <c r="O34" s="384" cm="1">
        <f t="array" ref="O34">IF(OR($B34="",$G$12="",$G$11="",$G$11=0),"",IFERROR(INDEX($AK$72:$AK$430,$K34)*($G$12/$G$11),""))</f>
        <v>0.25</v>
      </c>
      <c r="U34" s="635"/>
      <c r="V34" s="636"/>
      <c r="W34" s="637"/>
      <c r="X34" s="637"/>
      <c r="Y34" s="637"/>
      <c r="Z34" s="637"/>
      <c r="AA34" s="638"/>
      <c r="AC34" s="275"/>
      <c r="AD34" s="319" t="s">
        <v>8017</v>
      </c>
      <c r="AE34" s="320" t="s">
        <v>8041</v>
      </c>
      <c r="AF34" s="395" t="s">
        <v>8042</v>
      </c>
      <c r="AG34" s="634" t="s">
        <v>8043</v>
      </c>
      <c r="AH34" s="634"/>
      <c r="AI34" s="311" t="s">
        <v>8044</v>
      </c>
      <c r="AJ34" s="311"/>
      <c r="AK34" s="311"/>
      <c r="AL34" s="311"/>
      <c r="AM34" s="311"/>
      <c r="AN34" s="311"/>
      <c r="AO34" s="311"/>
      <c r="AP34" s="311"/>
      <c r="AQ34" s="311"/>
      <c r="BB34" s="271"/>
      <c r="BC34" s="271"/>
      <c r="BD34" s="279">
        <v>1</v>
      </c>
      <c r="BE34" s="271"/>
      <c r="BF34" s="271"/>
      <c r="BG34" s="271"/>
    </row>
    <row r="35" spans="1:59" ht="21.95" customHeight="1" thickBot="1" x14ac:dyDescent="0.3">
      <c r="A35" s="374">
        <f>IF($B35="","",13)</f>
        <v>13</v>
      </c>
      <c r="B35" s="375" t="str" cm="1">
        <f t="array" ref="B35">IFERROR(IF(INDEX($AC$72:$AC$430,$K35)="","",INDEX($AC$72:$AC$430,$K35)),"")</f>
        <v>Poivre 1</v>
      </c>
      <c r="C35" s="376" cm="1">
        <f t="array" ref="C35">IF($B35="","",INDEX($AG$72:$AG$430,$K35))</f>
        <v>15</v>
      </c>
      <c r="D35" s="377" t="str" cm="1">
        <f t="array" ref="D35">IF($B35="","",INDEX($AH$72:$AH$430,$K35))</f>
        <v>G</v>
      </c>
      <c r="E35" s="378">
        <f t="shared" si="0"/>
        <v>2</v>
      </c>
      <c r="F35" s="379" t="str" cm="1">
        <f t="array" ref="F35">IF($B35="","",IF(UPPER(TRIM($D35))="QT. SUFFISANTE","Qt. suffisante",IF($N35="","",IF($L35="MASSE",IF($N35&gt;=1,"Kg","g"),IF($L35="VOLUME",IF($N35&gt;=1,"L","cl"),INDEX($AL$72:$AL$430,$K35))))))</f>
        <v>g</v>
      </c>
      <c r="G35" s="380">
        <f t="shared" si="1"/>
        <v>30</v>
      </c>
      <c r="H35" s="381" t="str" cm="1">
        <f t="array" ref="H35">IF($B35="","",IF(UPPER(TRIM($D35))="QT. SUFFISANTE","Qt. suffisante",IF($O35="","",IF($L35="MASSE",IF($O35&gt;=1,"Kg","g"),IF($L35="VOLUME",IF($O35&gt;=1,"L","cl"),INDEX($AL$72:$AL$430,$K35))))))</f>
        <v>g</v>
      </c>
      <c r="I35" s="382" t="str" cm="1">
        <f t="array" ref="I35">IF($B35="","",INDEX($AM$72:$AM$430,$K35))</f>
        <v>OK</v>
      </c>
      <c r="J35" s="271"/>
      <c r="K35" s="383">
        <f>1+($B$5-1)*36+13</f>
        <v>194</v>
      </c>
      <c r="L35" s="383" t="str" cm="1">
        <f t="array" ref="L35">IF($B35="","",INDEX($AI$72:$AI$430,$K35))</f>
        <v>MASSE</v>
      </c>
      <c r="M35" s="383" cm="1">
        <f t="array" ref="M35">IF($B35="","",INDEX($AJ$72:$AJ$430,$K35))</f>
        <v>1E-3</v>
      </c>
      <c r="N35" s="384" cm="1">
        <f t="array" ref="N35">IF(OR($B35="",$B$13="",$B$12="",$B$12=0),"",IF($L$22="AUTRE",IFERROR(INDEX($AK$72:$AK$430,$K35)*($B$13/$B$12),""),IF(OR($C$12="",$C$13=""),"",IFERROR(INDEX($AK$72:$AK$430,$K35)*(($B$13*VLOOKUP($C$13,$AY$74:$BA$119,3,FALSE))/($B$12*VLOOKUP($C$12,$AY$74:$BA$119,3,FALSE))),""))))</f>
        <v>1.5E-3</v>
      </c>
      <c r="O35" s="384" cm="1">
        <f t="array" ref="O35">IF(OR($B35="",$G$12="",$G$11="",$G$11=0),"",IFERROR(INDEX($AK$72:$AK$430,$K35)*($G$12/$G$11),""))</f>
        <v>0.03</v>
      </c>
      <c r="U35" s="635" t="s">
        <v>8045</v>
      </c>
      <c r="V35" s="636"/>
      <c r="W35" s="637" t="s">
        <v>8046</v>
      </c>
      <c r="X35" s="637"/>
      <c r="Y35" s="637"/>
      <c r="Z35" s="637"/>
      <c r="AA35" s="638"/>
      <c r="AC35" s="275"/>
      <c r="AD35" s="301" t="s">
        <v>343</v>
      </c>
      <c r="AE35" s="322" t="s">
        <v>343</v>
      </c>
      <c r="AF35" s="396" t="s">
        <v>8047</v>
      </c>
      <c r="AG35" s="639" t="s">
        <v>8048</v>
      </c>
      <c r="AH35" s="639"/>
      <c r="AI35" s="311" t="s">
        <v>8049</v>
      </c>
      <c r="AJ35" s="311"/>
      <c r="AK35" s="311"/>
      <c r="AL35" s="311"/>
      <c r="AM35" s="311"/>
      <c r="AN35" s="311"/>
      <c r="AO35" s="311"/>
      <c r="AP35" s="311"/>
      <c r="AQ35" s="311"/>
      <c r="BB35" s="271"/>
      <c r="BC35" s="271"/>
      <c r="BD35" s="279">
        <v>1</v>
      </c>
      <c r="BE35" s="271"/>
      <c r="BF35" s="271"/>
      <c r="BG35" s="271"/>
    </row>
    <row r="36" spans="1:59" ht="20.100000000000001" customHeight="1" x14ac:dyDescent="0.25">
      <c r="A36" s="374">
        <f>IF($B36="","",14)</f>
        <v>14</v>
      </c>
      <c r="B36" s="375" t="str" cm="1">
        <f t="array" ref="B36">IFERROR(IF(INDEX($AC$72:$AC$430,$K36)="","",INDEX($AC$72:$AC$430,$K36)),"")</f>
        <v>Poivre 2</v>
      </c>
      <c r="C36" s="376" cm="1">
        <f t="array" ref="C36">IF($B36="","",INDEX($AG$72:$AG$430,$K36))</f>
        <v>10</v>
      </c>
      <c r="D36" s="377" t="str" cm="1">
        <f t="array" ref="D36">IF($B36="","",INDEX($AH$72:$AH$430,$K36))</f>
        <v>G</v>
      </c>
      <c r="E36" s="378">
        <f t="shared" si="0"/>
        <v>1</v>
      </c>
      <c r="F36" s="379" t="str" cm="1">
        <f t="array" ref="F36">IF($B36="","",IF(UPPER(TRIM($D36))="QT. SUFFISANTE","Qt. suffisante",IF($N36="","",IF($L36="MASSE",IF($N36&gt;=1,"Kg","g"),IF($L36="VOLUME",IF($N36&gt;=1,"L","cl"),INDEX($AL$72:$AL$430,$K36))))))</f>
        <v>g</v>
      </c>
      <c r="G36" s="380">
        <f t="shared" si="1"/>
        <v>20</v>
      </c>
      <c r="H36" s="381" t="str" cm="1">
        <f t="array" ref="H36">IF($B36="","",IF(UPPER(TRIM($D36))="QT. SUFFISANTE","Qt. suffisante",IF($O36="","",IF($L36="MASSE",IF($O36&gt;=1,"Kg","g"),IF($L36="VOLUME",IF($O36&gt;=1,"L","cl"),INDEX($AL$72:$AL$430,$K36))))))</f>
        <v>g</v>
      </c>
      <c r="I36" s="382" t="str" cm="1">
        <f t="array" ref="I36">IF($B36="","",INDEX($AM$72:$AM$430,$K36))</f>
        <v>OK</v>
      </c>
      <c r="J36" s="271"/>
      <c r="K36" s="383">
        <f>1+($B$5-1)*36+14</f>
        <v>195</v>
      </c>
      <c r="L36" s="383" t="str" cm="1">
        <f t="array" ref="L36">IF($B36="","",INDEX($AI$72:$AI$430,$K36))</f>
        <v>MASSE</v>
      </c>
      <c r="M36" s="383" cm="1">
        <f t="array" ref="M36">IF($B36="","",INDEX($AJ$72:$AJ$430,$K36))</f>
        <v>1E-3</v>
      </c>
      <c r="N36" s="384" cm="1">
        <f t="array" ref="N36">IF(OR($B36="",$B$13="",$B$12="",$B$12=0),"",IF($L$22="AUTRE",IFERROR(INDEX($AK$72:$AK$430,$K36)*($B$13/$B$12),""),IF(OR($C$12="",$C$13=""),"",IFERROR(INDEX($AK$72:$AK$430,$K36)*(($B$13*VLOOKUP($C$13,$AY$74:$BA$119,3,FALSE))/($B$12*VLOOKUP($C$12,$AY$74:$BA$119,3,FALSE))),""))))</f>
        <v>1E-3</v>
      </c>
      <c r="O36" s="384" cm="1">
        <f t="array" ref="O36">IF(OR($B36="",$G$12="",$G$11="",$G$11=0),"",IFERROR(INDEX($AK$72:$AK$430,$K36)*($G$12/$G$11),""))</f>
        <v>0.02</v>
      </c>
      <c r="U36" s="635"/>
      <c r="V36" s="636"/>
      <c r="W36" s="637"/>
      <c r="X36" s="637"/>
      <c r="Y36" s="637"/>
      <c r="Z36" s="637"/>
      <c r="AA36" s="638"/>
      <c r="AC36" s="275"/>
      <c r="AD36" s="352" t="s">
        <v>8050</v>
      </c>
      <c r="AE36" s="353"/>
      <c r="AF36" s="354"/>
      <c r="AG36" s="353"/>
      <c r="AH36" s="353"/>
      <c r="AI36" s="353"/>
      <c r="AJ36" s="353"/>
      <c r="AK36" s="353"/>
      <c r="AL36" s="353"/>
      <c r="AM36" s="353"/>
      <c r="AN36" s="353"/>
      <c r="AO36" s="353"/>
      <c r="AP36" s="353"/>
      <c r="AQ36" s="353"/>
      <c r="BB36" s="271"/>
      <c r="BC36" s="271"/>
      <c r="BD36" s="279">
        <v>1</v>
      </c>
      <c r="BE36" s="271"/>
      <c r="BF36" s="271"/>
      <c r="BG36" s="271"/>
    </row>
    <row r="37" spans="1:59" ht="23.1" customHeight="1" x14ac:dyDescent="0.25">
      <c r="A37" s="374">
        <f>IF($B37="","",15)</f>
        <v>15</v>
      </c>
      <c r="B37" s="375" t="str" cm="1">
        <f t="array" ref="B37">IFERROR(IF(INDEX($AC$72:$AC$430,$K37)="","",INDEX($AC$72:$AC$430,$K37)),"")</f>
        <v>Huile</v>
      </c>
      <c r="C37" s="376" cm="1">
        <f t="array" ref="C37">IF($B37="","",INDEX($AG$72:$AG$430,$K37))</f>
        <v>25</v>
      </c>
      <c r="D37" s="377" t="str" cm="1">
        <f t="array" ref="D37">IF($B37="","",INDEX($AH$72:$AH$430,$K37))</f>
        <v>CL</v>
      </c>
      <c r="E37" s="378">
        <f t="shared" si="0"/>
        <v>3</v>
      </c>
      <c r="F37" s="379" t="str" cm="1">
        <f t="array" ref="F37">IF($B37="","",IF(UPPER(TRIM($D37))="QT. SUFFISANTE","Qt. suffisante",IF($N37="","",IF($L37="MASSE",IF($N37&gt;=1,"Kg","g"),IF($L37="VOLUME",IF($N37&gt;=1,"L","cl"),INDEX($AL$72:$AL$430,$K37))))))</f>
        <v>cl</v>
      </c>
      <c r="G37" s="380">
        <f t="shared" si="1"/>
        <v>50</v>
      </c>
      <c r="H37" s="381" t="str" cm="1">
        <f t="array" ref="H37">IF($B37="","",IF(UPPER(TRIM($D37))="QT. SUFFISANTE","Qt. suffisante",IF($O37="","",IF($L37="MASSE",IF($O37&gt;=1,"Kg","g"),IF($L37="VOLUME",IF($O37&gt;=1,"L","cl"),INDEX($AL$72:$AL$430,$K37))))))</f>
        <v>cl</v>
      </c>
      <c r="I37" s="382" t="str" cm="1">
        <f t="array" ref="I37">IF($B37="","",INDEX($AM$72:$AM$430,$K37))</f>
        <v>OK</v>
      </c>
      <c r="J37" s="271"/>
      <c r="K37" s="383">
        <f>1+($B$5-1)*36+15</f>
        <v>196</v>
      </c>
      <c r="L37" s="383" t="str" cm="1">
        <f t="array" ref="L37">IF($B37="","",INDEX($AI$72:$AI$430,$K37))</f>
        <v>VOLUME</v>
      </c>
      <c r="M37" s="383" cm="1">
        <f t="array" ref="M37">IF($B37="","",INDEX($AJ$72:$AJ$430,$K37))</f>
        <v>0.01</v>
      </c>
      <c r="N37" s="384" cm="1">
        <f t="array" ref="N37">IF(OR($B37="",$B$13="",$B$12="",$B$12=0),"",IF($L$22="AUTRE",IFERROR(INDEX($AK$72:$AK$430,$K37)*($B$13/$B$12),""),IF(OR($C$12="",$C$13=""),"",IFERROR(INDEX($AK$72:$AK$430,$K37)*(($B$13*VLOOKUP($C$13,$AY$74:$BA$119,3,FALSE))/($B$12*VLOOKUP($C$12,$AY$74:$BA$119,3,FALSE))),""))))</f>
        <v>2.5000000000000001E-2</v>
      </c>
      <c r="O37" s="384" cm="1">
        <f t="array" ref="O37">IF(OR($B37="",$G$12="",$G$11="",$G$11=0),"",IFERROR(INDEX($AK$72:$AK$430,$K37)*($G$12/$G$11),""))</f>
        <v>0.5</v>
      </c>
      <c r="U37" s="635" t="s">
        <v>8051</v>
      </c>
      <c r="V37" s="636"/>
      <c r="W37" s="637" t="s">
        <v>8052</v>
      </c>
      <c r="X37" s="637"/>
      <c r="Y37" s="637"/>
      <c r="Z37" s="637"/>
      <c r="AA37" s="638"/>
      <c r="AC37" s="275"/>
      <c r="AD37" s="398" t="s">
        <v>343</v>
      </c>
      <c r="AE37" s="397" t="s">
        <v>8048</v>
      </c>
      <c r="AF37" s="396" t="s">
        <v>8047</v>
      </c>
      <c r="AG37" s="639" t="s">
        <v>8048</v>
      </c>
      <c r="AH37" s="639"/>
      <c r="AI37" s="399" t="s">
        <v>8053</v>
      </c>
      <c r="AJ37" s="399"/>
      <c r="AK37" s="399"/>
      <c r="AL37" s="399"/>
      <c r="AM37" s="399"/>
      <c r="AN37" s="399"/>
      <c r="AO37" s="399"/>
      <c r="AP37" s="399"/>
      <c r="AQ37" s="399"/>
      <c r="BB37" s="271"/>
      <c r="BC37" s="271"/>
      <c r="BD37" s="279">
        <v>1</v>
      </c>
      <c r="BE37" s="271"/>
      <c r="BF37" s="271"/>
      <c r="BG37" s="271"/>
    </row>
    <row r="38" spans="1:59" ht="20.100000000000001" customHeight="1" x14ac:dyDescent="0.25">
      <c r="A38" s="374" t="str">
        <f>IF($B38="","",16)</f>
        <v/>
      </c>
      <c r="B38" s="375" t="str" cm="1">
        <f t="array" ref="B38">IFERROR(IF(INDEX($AC$72:$AC$430,$K38)="","",INDEX($AC$72:$AC$430,$K38)),"")</f>
        <v/>
      </c>
      <c r="C38" s="376" t="str" cm="1">
        <f t="array" ref="C38">IF($B38="","",INDEX($AG$72:$AG$430,$K38))</f>
        <v/>
      </c>
      <c r="D38" s="377" t="str" cm="1">
        <f t="array" ref="D38">IF($B38="","",INDEX($AH$72:$AH$430,$K38))</f>
        <v/>
      </c>
      <c r="E38" s="378" t="str">
        <f t="shared" si="0"/>
        <v/>
      </c>
      <c r="F38" s="379" t="str" cm="1">
        <f t="array" ref="F38">IF($B38="","",IF(UPPER(TRIM($D38))="QT. SUFFISANTE","Qt. suffisante",IF($N38="","",IF($L38="MASSE",IF($N38&gt;=1,"Kg","g"),IF($L38="VOLUME",IF($N38&gt;=1,"L","cl"),INDEX($AL$72:$AL$430,$K38))))))</f>
        <v/>
      </c>
      <c r="G38" s="380" t="str">
        <f t="shared" si="1"/>
        <v/>
      </c>
      <c r="H38" s="381" t="str" cm="1">
        <f t="array" ref="H38">IF($B38="","",IF(UPPER(TRIM($D38))="QT. SUFFISANTE","Qt. suffisante",IF($O38="","",IF($L38="MASSE",IF($O38&gt;=1,"Kg","g"),IF($L38="VOLUME",IF($O38&gt;=1,"L","cl"),INDEX($AL$72:$AL$430,$K38))))))</f>
        <v/>
      </c>
      <c r="I38" s="382" t="str" cm="1">
        <f t="array" ref="I38">IF($B38="","",INDEX($AM$72:$AM$430,$K38))</f>
        <v/>
      </c>
      <c r="J38" s="271"/>
      <c r="K38" s="383">
        <f>1+($B$5-1)*36+16</f>
        <v>197</v>
      </c>
      <c r="L38" s="383" t="str" cm="1">
        <f t="array" ref="L38">IF($B38="","",INDEX($AI$72:$AI$430,$K38))</f>
        <v/>
      </c>
      <c r="M38" s="383" t="str" cm="1">
        <f t="array" ref="M38">IF($B38="","",INDEX($AJ$72:$AJ$430,$K38))</f>
        <v/>
      </c>
      <c r="N38" s="384" t="str" cm="1">
        <f t="array" ref="N38">IF(OR($B38="",$B$13="",$B$12="",$B$12=0),"",IF($L$22="AUTRE",IFERROR(INDEX($AK$72:$AK$430,$K38)*($B$13/$B$12),""),IF(OR($C$12="",$C$13=""),"",IFERROR(INDEX($AK$72:$AK$430,$K38)*(($B$13*VLOOKUP($C$13,$AY$74:$BA$119,3,FALSE))/($B$12*VLOOKUP($C$12,$AY$74:$BA$119,3,FALSE))),""))))</f>
        <v/>
      </c>
      <c r="O38" s="384" t="str" cm="1">
        <f t="array" ref="O38">IF(OR($B38="",$G$12="",$G$11="",$G$11=0),"",IFERROR(INDEX($AK$72:$AK$430,$K38)*($G$12/$G$11),""))</f>
        <v/>
      </c>
      <c r="U38" s="635"/>
      <c r="V38" s="636"/>
      <c r="W38" s="637"/>
      <c r="X38" s="637"/>
      <c r="Y38" s="637"/>
      <c r="Z38" s="637"/>
      <c r="AA38" s="638"/>
      <c r="AC38" s="275"/>
      <c r="AD38" s="400" t="s">
        <v>343</v>
      </c>
      <c r="AE38" s="401" t="s">
        <v>8054</v>
      </c>
      <c r="AF38" s="396" t="s">
        <v>8047</v>
      </c>
      <c r="AG38" s="644" t="s">
        <v>8054</v>
      </c>
      <c r="AH38" s="644"/>
      <c r="AI38" s="402" t="s">
        <v>8055</v>
      </c>
      <c r="AJ38" s="403"/>
      <c r="AK38" s="403"/>
      <c r="AL38" s="403"/>
      <c r="AM38" s="403"/>
      <c r="AN38" s="403"/>
      <c r="AO38" s="403"/>
      <c r="AP38" s="403"/>
      <c r="AQ38" s="403"/>
      <c r="BB38" s="271"/>
      <c r="BC38" s="271"/>
      <c r="BD38" s="279">
        <v>1</v>
      </c>
      <c r="BE38" s="271"/>
      <c r="BF38" s="271"/>
      <c r="BG38" s="271"/>
    </row>
    <row r="39" spans="1:59" ht="20.100000000000001" customHeight="1" x14ac:dyDescent="0.25">
      <c r="A39" s="374" t="str">
        <f>IF($B39="","",17)</f>
        <v/>
      </c>
      <c r="B39" s="375" t="str" cm="1">
        <f t="array" ref="B39">IFERROR(IF(INDEX($AC$72:$AC$430,$K39)="","",INDEX($AC$72:$AC$430,$K39)),"")</f>
        <v/>
      </c>
      <c r="C39" s="376" t="str" cm="1">
        <f t="array" ref="C39">IF($B39="","",INDEX($AG$72:$AG$430,$K39))</f>
        <v/>
      </c>
      <c r="D39" s="377" t="str" cm="1">
        <f t="array" ref="D39">IF($B39="","",INDEX($AH$72:$AH$430,$K39))</f>
        <v/>
      </c>
      <c r="E39" s="378" t="str">
        <f t="shared" si="0"/>
        <v/>
      </c>
      <c r="F39" s="379" t="str" cm="1">
        <f t="array" ref="F39">IF($B39="","",IF(UPPER(TRIM($D39))="QT. SUFFISANTE","Qt. suffisante",IF($N39="","",IF($L39="MASSE",IF($N39&gt;=1,"Kg","g"),IF($L39="VOLUME",IF($N39&gt;=1,"L","cl"),INDEX($AL$72:$AL$430,$K39))))))</f>
        <v/>
      </c>
      <c r="G39" s="380" t="str">
        <f t="shared" si="1"/>
        <v/>
      </c>
      <c r="H39" s="381" t="str" cm="1">
        <f t="array" ref="H39">IF($B39="","",IF(UPPER(TRIM($D39))="QT. SUFFISANTE","Qt. suffisante",IF($O39="","",IF($L39="MASSE",IF($O39&gt;=1,"Kg","g"),IF($L39="VOLUME",IF($O39&gt;=1,"L","cl"),INDEX($AL$72:$AL$430,$K39))))))</f>
        <v/>
      </c>
      <c r="I39" s="382" t="str" cm="1">
        <f t="array" ref="I39">IF($B39="","",INDEX($AM$72:$AM$430,$K39))</f>
        <v/>
      </c>
      <c r="J39" s="271"/>
      <c r="K39" s="383">
        <f>1+($B$5-1)*36+17</f>
        <v>198</v>
      </c>
      <c r="L39" s="383" t="str" cm="1">
        <f t="array" ref="L39">IF($B39="","",INDEX($AI$72:$AI$430,$K39))</f>
        <v/>
      </c>
      <c r="M39" s="383" t="str" cm="1">
        <f t="array" ref="M39">IF($B39="","",INDEX($AJ$72:$AJ$430,$K39))</f>
        <v/>
      </c>
      <c r="N39" s="384" t="str" cm="1">
        <f t="array" ref="N39">IF(OR($B39="",$B$13="",$B$12="",$B$12=0),"",IF($L$22="AUTRE",IFERROR(INDEX($AK$72:$AK$430,$K39)*($B$13/$B$12),""),IF(OR($C$12="",$C$13=""),"",IFERROR(INDEX($AK$72:$AK$430,$K39)*(($B$13*VLOOKUP($C$13,$AY$74:$BA$119,3,FALSE))/($B$12*VLOOKUP($C$12,$AY$74:$BA$119,3,FALSE))),""))))</f>
        <v/>
      </c>
      <c r="O39" s="384" t="str" cm="1">
        <f t="array" ref="O39">IF(OR($B39="",$G$12="",$G$11="",$G$11=0),"",IFERROR(INDEX($AK$72:$AK$430,$K39)*($G$12/$G$11),""))</f>
        <v/>
      </c>
      <c r="U39" s="635" t="s">
        <v>8056</v>
      </c>
      <c r="V39" s="636"/>
      <c r="W39" s="637" t="s">
        <v>8057</v>
      </c>
      <c r="X39" s="637"/>
      <c r="Y39" s="637"/>
      <c r="Z39" s="637"/>
      <c r="AA39" s="638"/>
      <c r="AC39" s="275"/>
      <c r="AD39" s="370" t="s">
        <v>343</v>
      </c>
      <c r="AE39" s="404" t="s">
        <v>8058</v>
      </c>
      <c r="AF39" s="396" t="s">
        <v>8047</v>
      </c>
      <c r="AG39" s="645" t="s">
        <v>8058</v>
      </c>
      <c r="AH39" s="645"/>
      <c r="AI39" s="405" t="s">
        <v>8059</v>
      </c>
      <c r="AJ39" s="406"/>
      <c r="AK39" s="406"/>
      <c r="AL39" s="406"/>
      <c r="AM39" s="406"/>
      <c r="AN39" s="406"/>
      <c r="AO39" s="406"/>
      <c r="AP39" s="406"/>
      <c r="AQ39" s="406"/>
      <c r="BB39" s="271"/>
      <c r="BC39" s="271"/>
      <c r="BD39" s="279">
        <v>1</v>
      </c>
      <c r="BE39" s="271"/>
      <c r="BF39" s="271"/>
      <c r="BG39" s="271"/>
    </row>
    <row r="40" spans="1:59" ht="20.100000000000001" customHeight="1" x14ac:dyDescent="0.25">
      <c r="A40" s="374" t="str">
        <f>IF($B40="","",18)</f>
        <v/>
      </c>
      <c r="B40" s="375" t="str" cm="1">
        <f t="array" ref="B40">IFERROR(IF(INDEX($AC$72:$AC$430,$K40)="","",INDEX($AC$72:$AC$430,$K40)),"")</f>
        <v/>
      </c>
      <c r="C40" s="376" t="str" cm="1">
        <f t="array" ref="C40">IF($B40="","",INDEX($AG$72:$AG$430,$K40))</f>
        <v/>
      </c>
      <c r="D40" s="377" t="str" cm="1">
        <f t="array" ref="D40">IF($B40="","",INDEX($AH$72:$AH$430,$K40))</f>
        <v/>
      </c>
      <c r="E40" s="378" t="str">
        <f t="shared" si="0"/>
        <v/>
      </c>
      <c r="F40" s="379" t="str" cm="1">
        <f t="array" ref="F40">IF($B40="","",IF(UPPER(TRIM($D40))="QT. SUFFISANTE","Qt. suffisante",IF($N40="","",IF($L40="MASSE",IF($N40&gt;=1,"Kg","g"),IF($L40="VOLUME",IF($N40&gt;=1,"L","cl"),INDEX($AL$72:$AL$430,$K40))))))</f>
        <v/>
      </c>
      <c r="G40" s="380" t="str">
        <f t="shared" si="1"/>
        <v/>
      </c>
      <c r="H40" s="381" t="str" cm="1">
        <f t="array" ref="H40">IF($B40="","",IF(UPPER(TRIM($D40))="QT. SUFFISANTE","Qt. suffisante",IF($O40="","",IF($L40="MASSE",IF($O40&gt;=1,"Kg","g"),IF($L40="VOLUME",IF($O40&gt;=1,"L","cl"),INDEX($AL$72:$AL$430,$K40))))))</f>
        <v/>
      </c>
      <c r="I40" s="382" t="str" cm="1">
        <f t="array" ref="I40">IF($B40="","",INDEX($AM$72:$AM$430,$K40))</f>
        <v/>
      </c>
      <c r="J40" s="271"/>
      <c r="K40" s="383">
        <f>1+($B$5-1)*36+18</f>
        <v>199</v>
      </c>
      <c r="L40" s="383" t="str" cm="1">
        <f t="array" ref="L40">IF($B40="","",INDEX($AI$72:$AI$430,$K40))</f>
        <v/>
      </c>
      <c r="M40" s="383" t="str" cm="1">
        <f t="array" ref="M40">IF($B40="","",INDEX($AJ$72:$AJ$430,$K40))</f>
        <v/>
      </c>
      <c r="N40" s="384" t="str" cm="1">
        <f t="array" ref="N40">IF(OR($B40="",$B$13="",$B$12="",$B$12=0),"",IF($L$22="AUTRE",IFERROR(INDEX($AK$72:$AK$430,$K40)*($B$13/$B$12),""),IF(OR($C$12="",$C$13=""),"",IFERROR(INDEX($AK$72:$AK$430,$K40)*(($B$13*VLOOKUP($C$13,$AY$74:$BA$119,3,FALSE))/($B$12*VLOOKUP($C$12,$AY$74:$BA$119,3,FALSE))),""))))</f>
        <v/>
      </c>
      <c r="O40" s="384" t="str" cm="1">
        <f t="array" ref="O40">IF(OR($B40="",$G$12="",$G$11="",$G$11=0),"",IFERROR(INDEX($AK$72:$AK$430,$K40)*($G$12/$G$11),""))</f>
        <v/>
      </c>
      <c r="U40" s="635"/>
      <c r="V40" s="636"/>
      <c r="W40" s="637"/>
      <c r="X40" s="637"/>
      <c r="Y40" s="637"/>
      <c r="Z40" s="637"/>
      <c r="AA40" s="638"/>
      <c r="AC40" s="275"/>
      <c r="AD40" s="370" t="s">
        <v>343</v>
      </c>
      <c r="AE40" s="407" t="s">
        <v>8060</v>
      </c>
      <c r="AF40" s="396" t="s">
        <v>8047</v>
      </c>
      <c r="AG40" s="646" t="s">
        <v>8060</v>
      </c>
      <c r="AH40" s="646"/>
      <c r="AI40" s="406" t="s">
        <v>8061</v>
      </c>
      <c r="AJ40" s="406"/>
      <c r="AK40" s="406"/>
      <c r="AL40" s="406"/>
      <c r="AM40" s="406"/>
      <c r="AN40" s="406"/>
      <c r="AO40" s="406"/>
      <c r="AP40" s="406"/>
      <c r="AQ40" s="406"/>
      <c r="BB40" s="271"/>
      <c r="BC40" s="271"/>
      <c r="BD40" s="279">
        <v>1</v>
      </c>
      <c r="BE40" s="271"/>
      <c r="BF40" s="271"/>
      <c r="BG40" s="271"/>
    </row>
    <row r="41" spans="1:59" ht="20.100000000000001" customHeight="1" thickBot="1" x14ac:dyDescent="0.3">
      <c r="A41" s="374" t="str">
        <f>IF($B41="","",19)</f>
        <v/>
      </c>
      <c r="B41" s="375" t="str" cm="1">
        <f t="array" ref="B41">IFERROR(IF(INDEX($AC$72:$AC$430,$K41)="","",INDEX($AC$72:$AC$430,$K41)),"")</f>
        <v/>
      </c>
      <c r="C41" s="376" t="str" cm="1">
        <f t="array" ref="C41">IF($B41="","",INDEX($AG$72:$AG$430,$K41))</f>
        <v/>
      </c>
      <c r="D41" s="377" t="str" cm="1">
        <f t="array" ref="D41">IF($B41="","",INDEX($AH$72:$AH$430,$K41))</f>
        <v/>
      </c>
      <c r="E41" s="378" t="str">
        <f t="shared" si="0"/>
        <v/>
      </c>
      <c r="F41" s="379" t="str" cm="1">
        <f t="array" ref="F41">IF($B41="","",IF(UPPER(TRIM($D41))="QT. SUFFISANTE","Qt. suffisante",IF($N41="","",IF($L41="MASSE",IF($N41&gt;=1,"Kg","g"),IF($L41="VOLUME",IF($N41&gt;=1,"L","cl"),INDEX($AL$72:$AL$430,$K41))))))</f>
        <v/>
      </c>
      <c r="G41" s="380" t="str">
        <f t="shared" si="1"/>
        <v/>
      </c>
      <c r="H41" s="381" t="str" cm="1">
        <f t="array" ref="H41">IF($B41="","",IF(UPPER(TRIM($D41))="QT. SUFFISANTE","Qt. suffisante",IF($O41="","",IF($L41="MASSE",IF($O41&gt;=1,"Kg","g"),IF($L41="VOLUME",IF($O41&gt;=1,"L","cl"),INDEX($AL$72:$AL$430,$K41))))))</f>
        <v/>
      </c>
      <c r="I41" s="382" t="str" cm="1">
        <f t="array" ref="I41">IF($B41="","",INDEX($AM$72:$AM$430,$K41))</f>
        <v/>
      </c>
      <c r="J41" s="271"/>
      <c r="K41" s="383">
        <f>1+($B$5-1)*36+19</f>
        <v>200</v>
      </c>
      <c r="L41" s="383" t="str" cm="1">
        <f t="array" ref="L41">IF($B41="","",INDEX($AI$72:$AI$430,$K41))</f>
        <v/>
      </c>
      <c r="M41" s="383" t="str" cm="1">
        <f t="array" ref="M41">IF($B41="","",INDEX($AJ$72:$AJ$430,$K41))</f>
        <v/>
      </c>
      <c r="N41" s="384" t="str" cm="1">
        <f t="array" ref="N41">IF(OR($B41="",$B$13="",$B$12="",$B$12=0),"",IF($L$22="AUTRE",IFERROR(INDEX($AK$72:$AK$430,$K41)*($B$13/$B$12),""),IF(OR($C$12="",$C$13=""),"",IFERROR(INDEX($AK$72:$AK$430,$K41)*(($B$13*VLOOKUP($C$13,$AY$74:$BA$119,3,FALSE))/($B$12*VLOOKUP($C$12,$AY$74:$BA$119,3,FALSE))),""))))</f>
        <v/>
      </c>
      <c r="O41" s="384" t="str" cm="1">
        <f t="array" ref="O41">IF(OR($B41="",$G$12="",$G$11="",$G$11=0),"",IFERROR(INDEX($AK$72:$AK$430,$K41)*($G$12/$G$11),""))</f>
        <v/>
      </c>
      <c r="U41" s="647" t="s">
        <v>8062</v>
      </c>
      <c r="V41" s="648"/>
      <c r="W41" s="648"/>
      <c r="X41" s="648"/>
      <c r="Y41" s="648"/>
      <c r="Z41" s="648"/>
      <c r="AA41" s="649"/>
      <c r="AD41" s="408" t="s">
        <v>8063</v>
      </c>
      <c r="AE41" s="409" t="s">
        <v>8064</v>
      </c>
      <c r="AF41" s="410" t="s">
        <v>8065</v>
      </c>
      <c r="AG41" s="650" t="s">
        <v>8066</v>
      </c>
      <c r="AH41" s="650"/>
      <c r="AI41" s="411" t="s">
        <v>8067</v>
      </c>
      <c r="AJ41" s="411"/>
      <c r="AK41" s="411"/>
      <c r="AL41" s="411"/>
      <c r="AM41" s="411"/>
      <c r="AN41" s="411"/>
      <c r="AO41" s="411"/>
      <c r="AP41" s="411"/>
      <c r="AQ41" s="411"/>
      <c r="BB41" s="271"/>
      <c r="BC41" s="271"/>
      <c r="BD41" s="279">
        <v>1</v>
      </c>
      <c r="BE41" s="271"/>
      <c r="BF41" s="271"/>
      <c r="BG41" s="271"/>
    </row>
    <row r="42" spans="1:59" ht="20.100000000000001" customHeight="1" x14ac:dyDescent="0.25">
      <c r="A42" s="374" t="str">
        <f>IF($B42="","",20)</f>
        <v/>
      </c>
      <c r="B42" s="375" t="str" cm="1">
        <f t="array" ref="B42">IFERROR(IF(INDEX($AC$72:$AC$430,$K42)="","",INDEX($AC$72:$AC$430,$K42)),"")</f>
        <v/>
      </c>
      <c r="C42" s="376" t="str" cm="1">
        <f t="array" ref="C42">IF($B42="","",INDEX($AG$72:$AG$430,$K42))</f>
        <v/>
      </c>
      <c r="D42" s="377" t="str" cm="1">
        <f t="array" ref="D42">IF($B42="","",INDEX($AH$72:$AH$430,$K42))</f>
        <v/>
      </c>
      <c r="E42" s="378" t="str">
        <f t="shared" si="0"/>
        <v/>
      </c>
      <c r="F42" s="379" t="str" cm="1">
        <f t="array" ref="F42">IF($B42="","",IF(UPPER(TRIM($D42))="QT. SUFFISANTE","Qt. suffisante",IF($N42="","",IF($L42="MASSE",IF($N42&gt;=1,"Kg","g"),IF($L42="VOLUME",IF($N42&gt;=1,"L","cl"),INDEX($AL$72:$AL$430,$K42))))))</f>
        <v/>
      </c>
      <c r="G42" s="380" t="str">
        <f t="shared" si="1"/>
        <v/>
      </c>
      <c r="H42" s="381" t="str" cm="1">
        <f t="array" ref="H42">IF($B42="","",IF(UPPER(TRIM($D42))="QT. SUFFISANTE","Qt. suffisante",IF($O42="","",IF($L42="MASSE",IF($O42&gt;=1,"Kg","g"),IF($L42="VOLUME",IF($O42&gt;=1,"L","cl"),INDEX($AL$72:$AL$430,$K42))))))</f>
        <v/>
      </c>
      <c r="I42" s="382" t="str" cm="1">
        <f t="array" ref="I42">IF($B42="","",INDEX($AM$72:$AM$430,$K42))</f>
        <v/>
      </c>
      <c r="J42" s="271"/>
      <c r="K42" s="383">
        <f>1+($B$5-1)*36+20</f>
        <v>201</v>
      </c>
      <c r="L42" s="383" t="str" cm="1">
        <f t="array" ref="L42">IF($B42="","",INDEX($AI$72:$AI$430,$K42))</f>
        <v/>
      </c>
      <c r="M42" s="383" t="str" cm="1">
        <f t="array" ref="M42">IF($B42="","",INDEX($AJ$72:$AJ$430,$K42))</f>
        <v/>
      </c>
      <c r="N42" s="384" t="str" cm="1">
        <f t="array" ref="N42">IF(OR($B42="",$B$13="",$B$12="",$B$12=0),"",IF($L$22="AUTRE",IFERROR(INDEX($AK$72:$AK$430,$K42)*($B$13/$B$12),""),IF(OR($C$12="",$C$13=""),"",IFERROR(INDEX($AK$72:$AK$430,$K42)*(($B$13*VLOOKUP($C$13,$AY$74:$BA$119,3,FALSE))/($B$12*VLOOKUP($C$12,$AY$74:$BA$119,3,FALSE))),""))))</f>
        <v/>
      </c>
      <c r="O42" s="384" t="str" cm="1">
        <f t="array" ref="O42">IF(OR($B42="",$G$12="",$G$11="",$G$11=0),"",IFERROR(INDEX($AK$72:$AK$430,$K42)*($G$12/$G$11),""))</f>
        <v/>
      </c>
      <c r="U42" s="651" t="s">
        <v>8068</v>
      </c>
      <c r="V42" s="652"/>
      <c r="W42" s="653" t="s">
        <v>8069</v>
      </c>
      <c r="X42" s="653"/>
      <c r="Y42" s="653"/>
      <c r="Z42" s="653"/>
      <c r="AA42" s="654"/>
      <c r="AD42" s="294" t="s">
        <v>8070</v>
      </c>
      <c r="AE42" s="295"/>
      <c r="AF42" s="296"/>
      <c r="AG42" s="295"/>
      <c r="AH42" s="295"/>
      <c r="AI42" s="295"/>
      <c r="AJ42" s="295"/>
      <c r="AK42" s="295"/>
      <c r="AL42" s="295"/>
      <c r="AM42" s="295"/>
      <c r="AN42" s="295"/>
      <c r="AO42" s="295"/>
      <c r="AP42" s="295"/>
      <c r="AQ42" s="295"/>
      <c r="BB42" s="271"/>
      <c r="BC42" s="271"/>
      <c r="BD42" s="279">
        <v>1</v>
      </c>
      <c r="BE42" s="271"/>
      <c r="BF42" s="271"/>
      <c r="BG42" s="271"/>
    </row>
    <row r="43" spans="1:59" ht="20.100000000000001" customHeight="1" x14ac:dyDescent="0.25">
      <c r="A43" s="374" t="str">
        <f>IF($B43="","",21)</f>
        <v/>
      </c>
      <c r="B43" s="375" t="str" cm="1">
        <f t="array" ref="B43">IFERROR(IF(INDEX($AC$72:$AC$430,$K43)="","",INDEX($AC$72:$AC$430,$K43)),"")</f>
        <v/>
      </c>
      <c r="C43" s="376" t="str" cm="1">
        <f t="array" ref="C43">IF($B43="","",INDEX($AG$72:$AG$430,$K43))</f>
        <v/>
      </c>
      <c r="D43" s="377" t="str" cm="1">
        <f t="array" ref="D43">IF($B43="","",INDEX($AH$72:$AH$430,$K43))</f>
        <v/>
      </c>
      <c r="E43" s="378" t="str">
        <f t="shared" si="0"/>
        <v/>
      </c>
      <c r="F43" s="379" t="str" cm="1">
        <f t="array" ref="F43">IF($B43="","",IF(UPPER(TRIM($D43))="QT. SUFFISANTE","Qt. suffisante",IF($N43="","",IF($L43="MASSE",IF($N43&gt;=1,"Kg","g"),IF($L43="VOLUME",IF($N43&gt;=1,"L","cl"),INDEX($AL$72:$AL$430,$K43))))))</f>
        <v/>
      </c>
      <c r="G43" s="380" t="str">
        <f t="shared" si="1"/>
        <v/>
      </c>
      <c r="H43" s="381" t="str" cm="1">
        <f t="array" ref="H43">IF($B43="","",IF(UPPER(TRIM($D43))="QT. SUFFISANTE","Qt. suffisante",IF($O43="","",IF($L43="MASSE",IF($O43&gt;=1,"Kg","g"),IF($L43="VOLUME",IF($O43&gt;=1,"L","cl"),INDEX($AL$72:$AL$430,$K43))))))</f>
        <v/>
      </c>
      <c r="I43" s="382" t="str" cm="1">
        <f t="array" ref="I43">IF($B43="","",INDEX($AM$72:$AM$430,$K43))</f>
        <v/>
      </c>
      <c r="J43" s="271"/>
      <c r="K43" s="383">
        <f>1+($B$5-1)*36+21</f>
        <v>202</v>
      </c>
      <c r="L43" s="383" t="str" cm="1">
        <f t="array" ref="L43">IF($B43="","",INDEX($AI$72:$AI$430,$K43))</f>
        <v/>
      </c>
      <c r="M43" s="383" t="str" cm="1">
        <f t="array" ref="M43">IF($B43="","",INDEX($AJ$72:$AJ$430,$K43))</f>
        <v/>
      </c>
      <c r="N43" s="384" t="str" cm="1">
        <f t="array" ref="N43">IF(OR($B43="",$B$13="",$B$12="",$B$12=0),"",IF($L$22="AUTRE",IFERROR(INDEX($AK$72:$AK$430,$K43)*($B$13/$B$12),""),IF(OR($C$12="",$C$13=""),"",IFERROR(INDEX($AK$72:$AK$430,$K43)*(($B$13*VLOOKUP($C$13,$AY$74:$BA$119,3,FALSE))/($B$12*VLOOKUP($C$12,$AY$74:$BA$119,3,FALSE))),""))))</f>
        <v/>
      </c>
      <c r="O43" s="384" t="str" cm="1">
        <f t="array" ref="O43">IF(OR($B43="",$G$12="",$G$11="",$G$11=0),"",IFERROR(INDEX($AK$72:$AK$430,$K43)*($G$12/$G$11),""))</f>
        <v/>
      </c>
      <c r="U43" s="651"/>
      <c r="V43" s="652"/>
      <c r="W43" s="653"/>
      <c r="X43" s="653"/>
      <c r="Y43" s="653"/>
      <c r="Z43" s="653"/>
      <c r="AA43" s="654"/>
      <c r="AD43" s="301" t="s">
        <v>8071</v>
      </c>
      <c r="AE43" s="322" t="s">
        <v>8072</v>
      </c>
      <c r="AF43" s="303"/>
      <c r="AG43" s="557" t="s">
        <v>8073</v>
      </c>
      <c r="AH43" s="557"/>
      <c r="AI43" s="311" t="s">
        <v>8074</v>
      </c>
      <c r="AJ43" s="311"/>
      <c r="AK43" s="311"/>
      <c r="AL43" s="311"/>
      <c r="AM43" s="311"/>
      <c r="AN43" s="311"/>
      <c r="AO43" s="311"/>
      <c r="AP43" s="311"/>
      <c r="AQ43" s="311"/>
      <c r="BB43" s="271"/>
      <c r="BC43" s="271"/>
      <c r="BD43" s="279">
        <v>1</v>
      </c>
      <c r="BE43" s="271"/>
      <c r="BF43" s="271"/>
      <c r="BG43" s="271"/>
    </row>
    <row r="44" spans="1:59" ht="20.100000000000001" customHeight="1" x14ac:dyDescent="0.25">
      <c r="A44" s="374" t="str">
        <f>IF($B44="","",22)</f>
        <v/>
      </c>
      <c r="B44" s="375" t="str" cm="1">
        <f t="array" ref="B44">IFERROR(IF(INDEX($AC$72:$AC$430,$K44)="","",INDEX($AC$72:$AC$430,$K44)),"")</f>
        <v/>
      </c>
      <c r="C44" s="376" t="str" cm="1">
        <f t="array" ref="C44">IF($B44="","",INDEX($AG$72:$AG$430,$K44))</f>
        <v/>
      </c>
      <c r="D44" s="377" t="str" cm="1">
        <f t="array" ref="D44">IF($B44="","",INDEX($AH$72:$AH$430,$K44))</f>
        <v/>
      </c>
      <c r="E44" s="378" t="str">
        <f t="shared" si="0"/>
        <v/>
      </c>
      <c r="F44" s="379" t="str" cm="1">
        <f t="array" ref="F44">IF($B44="","",IF(UPPER(TRIM($D44))="QT. SUFFISANTE","Qt. suffisante",IF($N44="","",IF($L44="MASSE",IF($N44&gt;=1,"Kg","g"),IF($L44="VOLUME",IF($N44&gt;=1,"L","cl"),INDEX($AL$72:$AL$430,$K44))))))</f>
        <v/>
      </c>
      <c r="G44" s="380" t="str">
        <f t="shared" si="1"/>
        <v/>
      </c>
      <c r="H44" s="381" t="str" cm="1">
        <f t="array" ref="H44">IF($B44="","",IF(UPPER(TRIM($D44))="QT. SUFFISANTE","Qt. suffisante",IF($O44="","",IF($L44="MASSE",IF($O44&gt;=1,"Kg","g"),IF($L44="VOLUME",IF($O44&gt;=1,"L","cl"),INDEX($AL$72:$AL$430,$K44))))))</f>
        <v/>
      </c>
      <c r="I44" s="382" t="str" cm="1">
        <f t="array" ref="I44">IF($B44="","",INDEX($AM$72:$AM$430,$K44))</f>
        <v/>
      </c>
      <c r="J44" s="271"/>
      <c r="K44" s="383">
        <f>1+($B$5-1)*36+22</f>
        <v>203</v>
      </c>
      <c r="L44" s="383" t="str" cm="1">
        <f t="array" ref="L44">IF($B44="","",INDEX($AI$72:$AI$430,$K44))</f>
        <v/>
      </c>
      <c r="M44" s="383" t="str" cm="1">
        <f t="array" ref="M44">IF($B44="","",INDEX($AJ$72:$AJ$430,$K44))</f>
        <v/>
      </c>
      <c r="N44" s="384" t="str" cm="1">
        <f t="array" ref="N44">IF(OR($B44="",$B$13="",$B$12="",$B$12=0),"",IF($L$22="AUTRE",IFERROR(INDEX($AK$72:$AK$430,$K44)*($B$13/$B$12),""),IF(OR($C$12="",$C$13=""),"",IFERROR(INDEX($AK$72:$AK$430,$K44)*(($B$13*VLOOKUP($C$13,$AY$74:$BA$119,3,FALSE))/($B$12*VLOOKUP($C$12,$AY$74:$BA$119,3,FALSE))),""))))</f>
        <v/>
      </c>
      <c r="O44" s="384" t="str" cm="1">
        <f t="array" ref="O44">IF(OR($B44="",$G$12="",$G$11="",$G$11=0),"",IFERROR(INDEX($AK$72:$AK$430,$K44)*($G$12/$G$11),""))</f>
        <v/>
      </c>
      <c r="U44" s="640" t="s">
        <v>343</v>
      </c>
      <c r="V44" s="641"/>
      <c r="W44" s="642" t="s">
        <v>8075</v>
      </c>
      <c r="X44" s="642"/>
      <c r="Y44" s="642"/>
      <c r="Z44" s="642"/>
      <c r="AA44" s="643"/>
      <c r="AD44" s="301" t="s">
        <v>8071</v>
      </c>
      <c r="AE44" s="322" t="s">
        <v>8076</v>
      </c>
      <c r="AF44" s="303"/>
      <c r="AG44" s="557" t="s">
        <v>8077</v>
      </c>
      <c r="AH44" s="557"/>
      <c r="AI44" s="311" t="s">
        <v>8078</v>
      </c>
      <c r="AJ44" s="311"/>
      <c r="AK44" s="311"/>
      <c r="AL44" s="311"/>
      <c r="AM44" s="311"/>
      <c r="AN44" s="311"/>
      <c r="AO44" s="311"/>
      <c r="AP44" s="311"/>
      <c r="AQ44" s="311"/>
      <c r="BB44" s="271"/>
      <c r="BC44" s="271"/>
      <c r="BD44" s="279">
        <v>1</v>
      </c>
      <c r="BE44" s="271"/>
      <c r="BF44" s="271"/>
      <c r="BG44" s="271"/>
    </row>
    <row r="45" spans="1:59" ht="20.100000000000001" customHeight="1" x14ac:dyDescent="0.25">
      <c r="A45" s="374" t="str">
        <f>IF($B45="","",23)</f>
        <v/>
      </c>
      <c r="B45" s="375" t="str" cm="1">
        <f t="array" ref="B45">IFERROR(IF(INDEX($AC$72:$AC$430,$K45)="","",INDEX($AC$72:$AC$430,$K45)),"")</f>
        <v/>
      </c>
      <c r="C45" s="376" t="str" cm="1">
        <f t="array" ref="C45">IF($B45="","",INDEX($AG$72:$AG$430,$K45))</f>
        <v/>
      </c>
      <c r="D45" s="377" t="str" cm="1">
        <f t="array" ref="D45">IF($B45="","",INDEX($AH$72:$AH$430,$K45))</f>
        <v/>
      </c>
      <c r="E45" s="378" t="str">
        <f t="shared" si="0"/>
        <v/>
      </c>
      <c r="F45" s="379" t="str" cm="1">
        <f t="array" ref="F45">IF($B45="","",IF(UPPER(TRIM($D45))="QT. SUFFISANTE","Qt. suffisante",IF($N45="","",IF($L45="MASSE",IF($N45&gt;=1,"Kg","g"),IF($L45="VOLUME",IF($N45&gt;=1,"L","cl"),INDEX($AL$72:$AL$430,$K45))))))</f>
        <v/>
      </c>
      <c r="G45" s="380" t="str">
        <f t="shared" si="1"/>
        <v/>
      </c>
      <c r="H45" s="381" t="str" cm="1">
        <f t="array" ref="H45">IF($B45="","",IF(UPPER(TRIM($D45))="QT. SUFFISANTE","Qt. suffisante",IF($O45="","",IF($L45="MASSE",IF($O45&gt;=1,"Kg","g"),IF($L45="VOLUME",IF($O45&gt;=1,"L","cl"),INDEX($AL$72:$AL$430,$K45))))))</f>
        <v/>
      </c>
      <c r="I45" s="382" t="str" cm="1">
        <f t="array" ref="I45">IF($B45="","",INDEX($AM$72:$AM$430,$K45))</f>
        <v/>
      </c>
      <c r="J45" s="271"/>
      <c r="K45" s="383">
        <f>1+($B$5-1)*36+23</f>
        <v>204</v>
      </c>
      <c r="L45" s="383" t="str" cm="1">
        <f t="array" ref="L45">IF($B45="","",INDEX($AI$72:$AI$430,$K45))</f>
        <v/>
      </c>
      <c r="M45" s="383" t="str" cm="1">
        <f t="array" ref="M45">IF($B45="","",INDEX($AJ$72:$AJ$430,$K45))</f>
        <v/>
      </c>
      <c r="N45" s="384" t="str" cm="1">
        <f t="array" ref="N45">IF(OR($B45="",$B$13="",$B$12="",$B$12=0),"",IF($L$22="AUTRE",IFERROR(INDEX($AK$72:$AK$430,$K45)*($B$13/$B$12),""),IF(OR($C$12="",$C$13=""),"",IFERROR(INDEX($AK$72:$AK$430,$K45)*(($B$13*VLOOKUP($C$13,$AY$74:$BA$119,3,FALSE))/($B$12*VLOOKUP($C$12,$AY$74:$BA$119,3,FALSE))),""))))</f>
        <v/>
      </c>
      <c r="O45" s="384" t="str" cm="1">
        <f t="array" ref="O45">IF(OR($B45="",$G$12="",$G$11="",$G$11=0),"",IFERROR(INDEX($AK$72:$AK$430,$K45)*($G$12/$G$11),""))</f>
        <v/>
      </c>
      <c r="U45" s="640"/>
      <c r="V45" s="641"/>
      <c r="W45" s="642"/>
      <c r="X45" s="642"/>
      <c r="Y45" s="642"/>
      <c r="Z45" s="642"/>
      <c r="AA45" s="643"/>
      <c r="AD45" s="301" t="s">
        <v>8071</v>
      </c>
      <c r="AE45" s="322" t="s">
        <v>8079</v>
      </c>
      <c r="AF45" s="303"/>
      <c r="AG45" s="557" t="s">
        <v>8080</v>
      </c>
      <c r="AH45" s="557"/>
      <c r="AI45" s="311" t="s">
        <v>8081</v>
      </c>
      <c r="AJ45" s="311"/>
      <c r="AK45" s="311"/>
      <c r="AL45" s="311"/>
      <c r="AM45" s="311"/>
      <c r="AN45" s="311"/>
      <c r="AO45" s="311"/>
      <c r="AP45" s="311"/>
      <c r="AQ45" s="311"/>
      <c r="BB45" s="271"/>
      <c r="BC45" s="271"/>
      <c r="BD45" s="279">
        <v>1</v>
      </c>
      <c r="BE45" s="271"/>
      <c r="BF45" s="271"/>
      <c r="BG45" s="271"/>
    </row>
    <row r="46" spans="1:59" ht="20.100000000000001" customHeight="1" x14ac:dyDescent="0.25">
      <c r="A46" s="374" t="str">
        <f>IF($B46="","",24)</f>
        <v/>
      </c>
      <c r="B46" s="375" t="str" cm="1">
        <f t="array" ref="B46">IFERROR(IF(INDEX($AC$72:$AC$430,$K46)="","",INDEX($AC$72:$AC$430,$K46)),"")</f>
        <v/>
      </c>
      <c r="C46" s="376" t="str" cm="1">
        <f t="array" ref="C46">IF($B46="","",INDEX($AG$72:$AG$430,$K46))</f>
        <v/>
      </c>
      <c r="D46" s="377" t="str" cm="1">
        <f t="array" ref="D46">IF($B46="","",INDEX($AH$72:$AH$430,$K46))</f>
        <v/>
      </c>
      <c r="E46" s="378" t="str">
        <f t="shared" si="0"/>
        <v/>
      </c>
      <c r="F46" s="379" t="str" cm="1">
        <f t="array" ref="F46">IF($B46="","",IF(UPPER(TRIM($D46))="QT. SUFFISANTE","Qt. suffisante",IF($N46="","",IF($L46="MASSE",IF($N46&gt;=1,"Kg","g"),IF($L46="VOLUME",IF($N46&gt;=1,"L","cl"),INDEX($AL$72:$AL$430,$K46))))))</f>
        <v/>
      </c>
      <c r="G46" s="380" t="str">
        <f t="shared" si="1"/>
        <v/>
      </c>
      <c r="H46" s="381" t="str" cm="1">
        <f t="array" ref="H46">IF($B46="","",IF(UPPER(TRIM($D46))="QT. SUFFISANTE","Qt. suffisante",IF($O46="","",IF($L46="MASSE",IF($O46&gt;=1,"Kg","g"),IF($L46="VOLUME",IF($O46&gt;=1,"L","cl"),INDEX($AL$72:$AL$430,$K46))))))</f>
        <v/>
      </c>
      <c r="I46" s="382" t="str" cm="1">
        <f t="array" ref="I46">IF($B46="","",INDEX($AM$72:$AM$430,$K46))</f>
        <v/>
      </c>
      <c r="J46" s="271"/>
      <c r="K46" s="383">
        <f>1+($B$5-1)*36+24</f>
        <v>205</v>
      </c>
      <c r="L46" s="383" t="str" cm="1">
        <f t="array" ref="L46">IF($B46="","",INDEX($AI$72:$AI$430,$K46))</f>
        <v/>
      </c>
      <c r="M46" s="383" t="str" cm="1">
        <f t="array" ref="M46">IF($B46="","",INDEX($AJ$72:$AJ$430,$K46))</f>
        <v/>
      </c>
      <c r="N46" s="384" t="str" cm="1">
        <f t="array" ref="N46">IF(OR($B46="",$B$13="",$B$12="",$B$12=0),"",IF($L$22="AUTRE",IFERROR(INDEX($AK$72:$AK$430,$K46)*($B$13/$B$12),""),IF(OR($C$12="",$C$13=""),"",IFERROR(INDEX($AK$72:$AK$430,$K46)*(($B$13*VLOOKUP($C$13,$AY$74:$BA$119,3,FALSE))/($B$12*VLOOKUP($C$12,$AY$74:$BA$119,3,FALSE))),""))))</f>
        <v/>
      </c>
      <c r="O46" s="384" t="str" cm="1">
        <f t="array" ref="O46">IF(OR($B46="",$G$12="",$G$11="",$G$11=0),"",IFERROR(INDEX($AK$72:$AK$430,$K46)*($G$12/$G$11),""))</f>
        <v/>
      </c>
      <c r="U46" s="156"/>
      <c r="V46" s="156"/>
      <c r="W46" s="156"/>
      <c r="X46" s="156"/>
      <c r="Y46" s="156"/>
      <c r="Z46" s="156"/>
      <c r="AA46" s="156"/>
      <c r="AD46" s="412" t="s">
        <v>8082</v>
      </c>
      <c r="AE46" s="413" t="s">
        <v>8035</v>
      </c>
      <c r="AF46" s="414"/>
      <c r="AG46" s="658" t="s">
        <v>33</v>
      </c>
      <c r="AH46" s="658"/>
      <c r="AI46" s="415" t="s">
        <v>8083</v>
      </c>
      <c r="AJ46" s="415"/>
      <c r="AK46" s="415"/>
      <c r="AL46" s="415"/>
      <c r="AM46" s="415"/>
      <c r="AN46" s="415"/>
      <c r="AO46" s="415"/>
      <c r="AP46" s="415"/>
      <c r="AQ46" s="415"/>
      <c r="AY46" s="416" t="s">
        <v>8084</v>
      </c>
      <c r="AZ46" s="220"/>
      <c r="BA46" s="220"/>
      <c r="BB46" s="220"/>
      <c r="BC46" s="271"/>
      <c r="BD46" s="279">
        <v>1</v>
      </c>
      <c r="BE46" s="271"/>
      <c r="BF46" s="271"/>
      <c r="BG46" s="271"/>
    </row>
    <row r="47" spans="1:59" ht="20.100000000000001" customHeight="1" x14ac:dyDescent="0.25">
      <c r="A47" s="374" t="str">
        <f>IF($B47="","",25)</f>
        <v/>
      </c>
      <c r="B47" s="375" t="str" cm="1">
        <f t="array" ref="B47">IFERROR(IF(INDEX($AC$72:$AC$430,$K47)="","",INDEX($AC$72:$AC$430,$K47)),"")</f>
        <v/>
      </c>
      <c r="C47" s="376" t="str" cm="1">
        <f t="array" ref="C47">IF($B47="","",INDEX($AG$72:$AG$430,$K47))</f>
        <v/>
      </c>
      <c r="D47" s="377" t="str" cm="1">
        <f t="array" ref="D47">IF($B47="","",INDEX($AH$72:$AH$430,$K47))</f>
        <v/>
      </c>
      <c r="E47" s="378" t="str">
        <f t="shared" si="0"/>
        <v/>
      </c>
      <c r="F47" s="379" t="str" cm="1">
        <f t="array" ref="F47">IF($B47="","",IF(UPPER(TRIM($D47))="QT. SUFFISANTE","Qt. suffisante",IF($N47="","",IF($L47="MASSE",IF($N47&gt;=1,"Kg","g"),IF($L47="VOLUME",IF($N47&gt;=1,"L","cl"),INDEX($AL$72:$AL$430,$K47))))))</f>
        <v/>
      </c>
      <c r="G47" s="380" t="str">
        <f t="shared" si="1"/>
        <v/>
      </c>
      <c r="H47" s="381" t="str" cm="1">
        <f t="array" ref="H47">IF($B47="","",IF(UPPER(TRIM($D47))="QT. SUFFISANTE","Qt. suffisante",IF($O47="","",IF($L47="MASSE",IF($O47&gt;=1,"Kg","g"),IF($L47="VOLUME",IF($O47&gt;=1,"L","cl"),INDEX($AL$72:$AL$430,$K47))))))</f>
        <v/>
      </c>
      <c r="I47" s="382" t="str" cm="1">
        <f t="array" ref="I47">IF($B47="","",INDEX($AM$72:$AM$430,$K47))</f>
        <v/>
      </c>
      <c r="J47" s="271"/>
      <c r="K47" s="383">
        <f>1+($B$5-1)*36+25</f>
        <v>206</v>
      </c>
      <c r="L47" s="383" t="str" cm="1">
        <f t="array" ref="L47">IF($B47="","",INDEX($AI$72:$AI$430,$K47))</f>
        <v/>
      </c>
      <c r="M47" s="383" t="str" cm="1">
        <f t="array" ref="M47">IF($B47="","",INDEX($AJ$72:$AJ$430,$K47))</f>
        <v/>
      </c>
      <c r="N47" s="384" t="str" cm="1">
        <f t="array" ref="N47">IF(OR($B47="",$B$13="",$B$12="",$B$12=0),"",IF($L$22="AUTRE",IFERROR(INDEX($AK$72:$AK$430,$K47)*($B$13/$B$12),""),IF(OR($C$12="",$C$13=""),"",IFERROR(INDEX($AK$72:$AK$430,$K47)*(($B$13*VLOOKUP($C$13,$AY$74:$BA$119,3,FALSE))/($B$12*VLOOKUP($C$12,$AY$74:$BA$119,3,FALSE))),""))))</f>
        <v/>
      </c>
      <c r="O47" s="384" t="str" cm="1">
        <f t="array" ref="O47">IF(OR($B47="",$G$12="",$G$11="",$G$11=0),"",IFERROR(INDEX($AK$72:$AK$430,$K47)*($G$12/$G$11),""))</f>
        <v/>
      </c>
      <c r="U47" s="156"/>
      <c r="V47" s="156"/>
      <c r="W47" s="156"/>
      <c r="X47" s="156"/>
      <c r="Y47" s="156"/>
      <c r="Z47" s="156"/>
      <c r="AA47" s="156"/>
      <c r="AY47" s="28" t="s">
        <v>21</v>
      </c>
      <c r="AZ47" s="417" t="s">
        <v>35</v>
      </c>
      <c r="BA47" s="418">
        <v>2.835E-2</v>
      </c>
      <c r="BB47" s="419" t="s">
        <v>36</v>
      </c>
      <c r="BC47" s="271"/>
      <c r="BD47" s="279">
        <v>1</v>
      </c>
      <c r="BE47" s="271"/>
      <c r="BF47" s="271"/>
      <c r="BG47" s="271"/>
    </row>
    <row r="48" spans="1:59" ht="20.100000000000001" customHeight="1" x14ac:dyDescent="0.25">
      <c r="A48" s="374" t="str">
        <f>IF($B48="","",26)</f>
        <v/>
      </c>
      <c r="B48" s="375" t="str" cm="1">
        <f t="array" ref="B48">IFERROR(IF(INDEX($AC$72:$AC$430,$K48)="","",INDEX($AC$72:$AC$430,$K48)),"")</f>
        <v/>
      </c>
      <c r="C48" s="376" t="str" cm="1">
        <f t="array" ref="C48">IF($B48="","",INDEX($AG$72:$AG$430,$K48))</f>
        <v/>
      </c>
      <c r="D48" s="377" t="str" cm="1">
        <f t="array" ref="D48">IF($B48="","",INDEX($AH$72:$AH$430,$K48))</f>
        <v/>
      </c>
      <c r="E48" s="378" t="str">
        <f t="shared" si="0"/>
        <v/>
      </c>
      <c r="F48" s="379" t="str" cm="1">
        <f t="array" ref="F48">IF($B48="","",IF(UPPER(TRIM($D48))="QT. SUFFISANTE","Qt. suffisante",IF($N48="","",IF($L48="MASSE",IF($N48&gt;=1,"Kg","g"),IF($L48="VOLUME",IF($N48&gt;=1,"L","cl"),INDEX($AL$72:$AL$430,$K48))))))</f>
        <v/>
      </c>
      <c r="G48" s="380" t="str">
        <f t="shared" si="1"/>
        <v/>
      </c>
      <c r="H48" s="381" t="str" cm="1">
        <f t="array" ref="H48">IF($B48="","",IF(UPPER(TRIM($D48))="QT. SUFFISANTE","Qt. suffisante",IF($O48="","",IF($L48="MASSE",IF($O48&gt;=1,"Kg","g"),IF($L48="VOLUME",IF($O48&gt;=1,"L","cl"),INDEX($AL$72:$AL$430,$K48))))))</f>
        <v/>
      </c>
      <c r="I48" s="382" t="str" cm="1">
        <f t="array" ref="I48">IF($B48="","",INDEX($AM$72:$AM$430,$K48))</f>
        <v/>
      </c>
      <c r="J48" s="271"/>
      <c r="K48" s="383">
        <f>1+($B$5-1)*36+26</f>
        <v>207</v>
      </c>
      <c r="L48" s="383" t="str" cm="1">
        <f t="array" ref="L48">IF($B48="","",INDEX($AI$72:$AI$430,$K48))</f>
        <v/>
      </c>
      <c r="M48" s="383" t="str" cm="1">
        <f t="array" ref="M48">IF($B48="","",INDEX($AJ$72:$AJ$430,$K48))</f>
        <v/>
      </c>
      <c r="N48" s="384" t="str" cm="1">
        <f t="array" ref="N48">IF(OR($B48="",$B$13="",$B$12="",$B$12=0),"",IF($L$22="AUTRE",IFERROR(INDEX($AK$72:$AK$430,$K48)*($B$13/$B$12),""),IF(OR($C$12="",$C$13=""),"",IFERROR(INDEX($AK$72:$AK$430,$K48)*(($B$13*VLOOKUP($C$13,$AY$74:$BA$119,3,FALSE))/($B$12*VLOOKUP($C$12,$AY$74:$BA$119,3,FALSE))),""))))</f>
        <v/>
      </c>
      <c r="O48" s="384" t="str" cm="1">
        <f t="array" ref="O48">IF(OR($B48="",$G$12="",$G$11="",$G$11=0),"",IFERROR(INDEX($AK$72:$AK$430,$K48)*($G$12/$G$11),""))</f>
        <v/>
      </c>
      <c r="U48" s="156"/>
      <c r="V48" s="156"/>
      <c r="W48" s="156"/>
      <c r="X48" s="156"/>
      <c r="Y48" s="156"/>
      <c r="Z48" s="156"/>
      <c r="AA48" s="156"/>
      <c r="AD48" s="10" t="s">
        <v>8171</v>
      </c>
      <c r="AY48" s="28" t="s">
        <v>22</v>
      </c>
      <c r="AZ48" s="417" t="s">
        <v>35</v>
      </c>
      <c r="BA48" s="418">
        <v>0.13</v>
      </c>
      <c r="BB48" s="419" t="s">
        <v>36</v>
      </c>
      <c r="BC48" s="271"/>
      <c r="BD48" s="279">
        <v>1</v>
      </c>
      <c r="BE48" s="271"/>
      <c r="BF48" s="271"/>
      <c r="BG48" s="271"/>
    </row>
    <row r="49" spans="1:64" ht="20.100000000000001" customHeight="1" x14ac:dyDescent="0.25">
      <c r="A49" s="374" t="str">
        <f>IF($B49="","",27)</f>
        <v/>
      </c>
      <c r="B49" s="375" t="str" cm="1">
        <f t="array" ref="B49">IFERROR(IF(INDEX($AC$72:$AC$430,$K49)="","",INDEX($AC$72:$AC$430,$K49)),"")</f>
        <v/>
      </c>
      <c r="C49" s="376" t="str" cm="1">
        <f t="array" ref="C49">IF($B49="","",INDEX($AG$72:$AG$430,$K49))</f>
        <v/>
      </c>
      <c r="D49" s="377" t="str" cm="1">
        <f t="array" ref="D49">IF($B49="","",INDEX($AH$72:$AH$430,$K49))</f>
        <v/>
      </c>
      <c r="E49" s="378" t="str">
        <f t="shared" si="0"/>
        <v/>
      </c>
      <c r="F49" s="379" t="str" cm="1">
        <f t="array" ref="F49">IF($B49="","",IF(UPPER(TRIM($D49))="QT. SUFFISANTE","Qt. suffisante",IF($N49="","",IF($L49="MASSE",IF($N49&gt;=1,"Kg","g"),IF($L49="VOLUME",IF($N49&gt;=1,"L","cl"),INDEX($AL$72:$AL$430,$K49))))))</f>
        <v/>
      </c>
      <c r="G49" s="380" t="str">
        <f t="shared" si="1"/>
        <v/>
      </c>
      <c r="H49" s="381" t="str" cm="1">
        <f t="array" ref="H49">IF($B49="","",IF(UPPER(TRIM($D49))="QT. SUFFISANTE","Qt. suffisante",IF($O49="","",IF($L49="MASSE",IF($O49&gt;=1,"Kg","g"),IF($L49="VOLUME",IF($O49&gt;=1,"L","cl"),INDEX($AL$72:$AL$430,$K49))))))</f>
        <v/>
      </c>
      <c r="I49" s="382" t="str" cm="1">
        <f t="array" ref="I49">IF($B49="","",INDEX($AM$72:$AM$430,$K49))</f>
        <v/>
      </c>
      <c r="J49" s="271"/>
      <c r="K49" s="383">
        <f>1+($B$5-1)*36+27</f>
        <v>208</v>
      </c>
      <c r="L49" s="383" t="str" cm="1">
        <f t="array" ref="L49">IF($B49="","",INDEX($AI$72:$AI$430,$K49))</f>
        <v/>
      </c>
      <c r="M49" s="383" t="str" cm="1">
        <f t="array" ref="M49">IF($B49="","",INDEX($AJ$72:$AJ$430,$K49))</f>
        <v/>
      </c>
      <c r="N49" s="384" t="str" cm="1">
        <f t="array" ref="N49">IF(OR($B49="",$B$13="",$B$12="",$B$12=0),"",IF($L$22="AUTRE",IFERROR(INDEX($AK$72:$AK$430,$K49)*($B$13/$B$12),""),IF(OR($C$12="",$C$13=""),"",IFERROR(INDEX($AK$72:$AK$430,$K49)*(($B$13*VLOOKUP($C$13,$AY$74:$BA$119,3,FALSE))/($B$12*VLOOKUP($C$12,$AY$74:$BA$119,3,FALSE))),""))))</f>
        <v/>
      </c>
      <c r="O49" s="384" t="str" cm="1">
        <f t="array" ref="O49">IF(OR($B49="",$G$12="",$G$11="",$G$11=0),"",IFERROR(INDEX($AK$72:$AK$430,$K49)*($G$12/$G$11),""))</f>
        <v/>
      </c>
      <c r="U49" s="156"/>
      <c r="V49" s="156"/>
      <c r="W49" s="156"/>
      <c r="X49" s="156"/>
      <c r="Y49" s="156"/>
      <c r="Z49" s="156"/>
      <c r="AA49" s="156"/>
      <c r="AD49" s="2" t="s">
        <v>1</v>
      </c>
      <c r="AY49" s="28" t="s">
        <v>23</v>
      </c>
      <c r="AZ49" s="417" t="s">
        <v>35</v>
      </c>
      <c r="BA49" s="418">
        <v>0.2</v>
      </c>
      <c r="BB49" s="419" t="s">
        <v>36</v>
      </c>
      <c r="BC49" s="271"/>
      <c r="BD49" s="279">
        <v>1</v>
      </c>
      <c r="BE49" s="271"/>
      <c r="BF49" s="271"/>
      <c r="BG49" s="271"/>
    </row>
    <row r="50" spans="1:64" ht="20.100000000000001" customHeight="1" x14ac:dyDescent="0.25">
      <c r="A50" s="374" t="str">
        <f>IF($B50="","",28)</f>
        <v/>
      </c>
      <c r="B50" s="375" t="str" cm="1">
        <f t="array" ref="B50">IFERROR(IF(INDEX($AC$72:$AC$430,$K50)="","",INDEX($AC$72:$AC$430,$K50)),"")</f>
        <v/>
      </c>
      <c r="C50" s="376" t="str" cm="1">
        <f t="array" ref="C50">IF($B50="","",INDEX($AG$72:$AG$430,$K50))</f>
        <v/>
      </c>
      <c r="D50" s="377" t="str" cm="1">
        <f t="array" ref="D50">IF($B50="","",INDEX($AH$72:$AH$430,$K50))</f>
        <v/>
      </c>
      <c r="E50" s="378" t="str">
        <f t="shared" si="0"/>
        <v/>
      </c>
      <c r="F50" s="379" t="str" cm="1">
        <f t="array" ref="F50">IF($B50="","",IF(UPPER(TRIM($D50))="QT. SUFFISANTE","Qt. suffisante",IF($N50="","",IF($L50="MASSE",IF($N50&gt;=1,"Kg","g"),IF($L50="VOLUME",IF($N50&gt;=1,"L","cl"),INDEX($AL$72:$AL$430,$K50))))))</f>
        <v/>
      </c>
      <c r="G50" s="380" t="str">
        <f t="shared" si="1"/>
        <v/>
      </c>
      <c r="H50" s="381" t="str" cm="1">
        <f t="array" ref="H50">IF($B50="","",IF(UPPER(TRIM($D50))="QT. SUFFISANTE","Qt. suffisante",IF($O50="","",IF($L50="MASSE",IF($O50&gt;=1,"Kg","g"),IF($L50="VOLUME",IF($O50&gt;=1,"L","cl"),INDEX($AL$72:$AL$430,$K50))))))</f>
        <v/>
      </c>
      <c r="I50" s="382" t="str" cm="1">
        <f t="array" ref="I50">IF($B50="","",INDEX($AM$72:$AM$430,$K50))</f>
        <v/>
      </c>
      <c r="J50" s="271"/>
      <c r="K50" s="383">
        <f>1+($B$5-1)*36+28</f>
        <v>209</v>
      </c>
      <c r="L50" s="383" t="str" cm="1">
        <f t="array" ref="L50">IF($B50="","",INDEX($AI$72:$AI$430,$K50))</f>
        <v/>
      </c>
      <c r="M50" s="383" t="str" cm="1">
        <f t="array" ref="M50">IF($B50="","",INDEX($AJ$72:$AJ$430,$K50))</f>
        <v/>
      </c>
      <c r="N50" s="384" t="str" cm="1">
        <f t="array" ref="N50">IF(OR($B50="",$B$13="",$B$12="",$B$12=0),"",IF($L$22="AUTRE",IFERROR(INDEX($AK$72:$AK$430,$K50)*($B$13/$B$12),""),IF(OR($C$12="",$C$13=""),"",IFERROR(INDEX($AK$72:$AK$430,$K50)*(($B$13*VLOOKUP($C$13,$AY$74:$BA$119,3,FALSE))/($B$12*VLOOKUP($C$12,$AY$74:$BA$119,3,FALSE))),""))))</f>
        <v/>
      </c>
      <c r="O50" s="384" t="str" cm="1">
        <f t="array" ref="O50">IF(OR($B50="",$G$12="",$G$11="",$G$11=0),"",IFERROR(INDEX($AK$72:$AK$430,$K50)*($G$12/$G$11),""))</f>
        <v/>
      </c>
      <c r="U50" s="156"/>
      <c r="V50" s="156"/>
      <c r="W50" s="156"/>
      <c r="X50" s="156"/>
      <c r="Y50" s="156"/>
      <c r="Z50" s="156"/>
      <c r="AA50" s="156"/>
      <c r="AD50" s="2" t="s">
        <v>8219</v>
      </c>
      <c r="AY50" s="28" t="s">
        <v>24</v>
      </c>
      <c r="AZ50" s="417" t="s">
        <v>35</v>
      </c>
      <c r="BA50" s="418">
        <v>0.23</v>
      </c>
      <c r="BB50" s="419" t="s">
        <v>36</v>
      </c>
      <c r="BC50" s="271"/>
      <c r="BD50" s="279">
        <v>1</v>
      </c>
      <c r="BE50" s="271"/>
      <c r="BF50" s="271"/>
      <c r="BG50" s="271"/>
    </row>
    <row r="51" spans="1:64" ht="23.1" customHeight="1" x14ac:dyDescent="0.25">
      <c r="A51" s="374" t="str">
        <f>IF($B51="","",29)</f>
        <v/>
      </c>
      <c r="B51" s="375" t="str" cm="1">
        <f t="array" ref="B51">IFERROR(IF(INDEX($AC$72:$AC$430,$K51)="","",INDEX($AC$72:$AC$430,$K51)),"")</f>
        <v/>
      </c>
      <c r="C51" s="376" t="str" cm="1">
        <f t="array" ref="C51">IF($B51="","",INDEX($AG$72:$AG$430,$K51))</f>
        <v/>
      </c>
      <c r="D51" s="377" t="str" cm="1">
        <f t="array" ref="D51">IF($B51="","",INDEX($AH$72:$AH$430,$K51))</f>
        <v/>
      </c>
      <c r="E51" s="378" t="str">
        <f t="shared" si="0"/>
        <v/>
      </c>
      <c r="F51" s="379" t="str" cm="1">
        <f t="array" ref="F51">IF($B51="","",IF(UPPER(TRIM($D51))="QT. SUFFISANTE","Qt. suffisante",IF($N51="","",IF($L51="MASSE",IF($N51&gt;=1,"Kg","g"),IF($L51="VOLUME",IF($N51&gt;=1,"L","cl"),INDEX($AL$72:$AL$430,$K51))))))</f>
        <v/>
      </c>
      <c r="G51" s="380" t="str">
        <f t="shared" si="1"/>
        <v/>
      </c>
      <c r="H51" s="381" t="str" cm="1">
        <f t="array" ref="H51">IF($B51="","",IF(UPPER(TRIM($D51))="QT. SUFFISANTE","Qt. suffisante",IF($O51="","",IF($L51="MASSE",IF($O51&gt;=1,"Kg","g"),IF($L51="VOLUME",IF($O51&gt;=1,"L","cl"),INDEX($AL$72:$AL$430,$K51))))))</f>
        <v/>
      </c>
      <c r="I51" s="382" t="str" cm="1">
        <f t="array" ref="I51">IF($B51="","",INDEX($AM$72:$AM$430,$K51))</f>
        <v/>
      </c>
      <c r="J51" s="271"/>
      <c r="K51" s="383">
        <f>1+($B$5-1)*36+29</f>
        <v>210</v>
      </c>
      <c r="L51" s="383" t="str" cm="1">
        <f t="array" ref="L51">IF($B51="","",INDEX($AI$72:$AI$430,$K51))</f>
        <v/>
      </c>
      <c r="M51" s="383" t="str" cm="1">
        <f t="array" ref="M51">IF($B51="","",INDEX($AJ$72:$AJ$430,$K51))</f>
        <v/>
      </c>
      <c r="N51" s="384" t="str" cm="1">
        <f t="array" ref="N51">IF(OR($B51="",$B$13="",$B$12="",$B$12=0),"",IF($L$22="AUTRE",IFERROR(INDEX($AK$72:$AK$430,$K51)*($B$13/$B$12),""),IF(OR($C$12="",$C$13=""),"",IFERROR(INDEX($AK$72:$AK$430,$K51)*(($B$13*VLOOKUP($C$13,$AY$74:$BA$119,3,FALSE))/($B$12*VLOOKUP($C$12,$AY$74:$BA$119,3,FALSE))),""))))</f>
        <v/>
      </c>
      <c r="O51" s="384" t="str" cm="1">
        <f t="array" ref="O51">IF(OR($B51="",$G$12="",$G$11="",$G$11=0),"",IFERROR(INDEX($AK$72:$AK$430,$K51)*($G$12/$G$11),""))</f>
        <v/>
      </c>
      <c r="U51" s="156"/>
      <c r="V51" s="156"/>
      <c r="W51" s="156"/>
      <c r="X51" s="156"/>
      <c r="Y51" s="156"/>
      <c r="Z51" s="156"/>
      <c r="AA51" s="156"/>
      <c r="AY51" s="31" t="s">
        <v>25</v>
      </c>
      <c r="AZ51" s="417" t="s">
        <v>37</v>
      </c>
      <c r="BA51" s="418">
        <v>0.22500000000000001</v>
      </c>
      <c r="BB51" s="419" t="s">
        <v>9</v>
      </c>
      <c r="BC51" s="271"/>
      <c r="BD51" s="279">
        <v>1</v>
      </c>
      <c r="BE51" s="271"/>
      <c r="BF51" s="271"/>
      <c r="BG51" s="271"/>
    </row>
    <row r="52" spans="1:64" ht="21" customHeight="1" x14ac:dyDescent="0.25">
      <c r="A52" s="374" t="str">
        <f>IF($B52="","",30)</f>
        <v/>
      </c>
      <c r="B52" s="375" t="str" cm="1">
        <f t="array" ref="B52">IFERROR(IF(INDEX($AC$72:$AC$430,$K52)="","",INDEX($AC$72:$AC$430,$K52)),"")</f>
        <v/>
      </c>
      <c r="C52" s="376" t="str" cm="1">
        <f t="array" ref="C52">IF($B52="","",INDEX($AG$72:$AG$430,$K52))</f>
        <v/>
      </c>
      <c r="D52" s="377" t="str" cm="1">
        <f t="array" ref="D52">IF($B52="","",INDEX($AH$72:$AH$430,$K52))</f>
        <v/>
      </c>
      <c r="E52" s="378" t="str">
        <f t="shared" si="0"/>
        <v/>
      </c>
      <c r="F52" s="379" t="str" cm="1">
        <f t="array" ref="F52">IF($B52="","",IF(UPPER(TRIM($D52))="QT. SUFFISANTE","Qt. suffisante",IF($N52="","",IF($L52="MASSE",IF($N52&gt;=1,"Kg","g"),IF($L52="VOLUME",IF($N52&gt;=1,"L","cl"),INDEX($AL$72:$AL$430,$K52))))))</f>
        <v/>
      </c>
      <c r="G52" s="380" t="str">
        <f t="shared" si="1"/>
        <v/>
      </c>
      <c r="H52" s="381" t="str" cm="1">
        <f t="array" ref="H52">IF($B52="","",IF(UPPER(TRIM($D52))="QT. SUFFISANTE","Qt. suffisante",IF($O52="","",IF($L52="MASSE",IF($O52&gt;=1,"Kg","g"),IF($L52="VOLUME",IF($O52&gt;=1,"L","cl"),INDEX($AL$72:$AL$430,$K52))))))</f>
        <v/>
      </c>
      <c r="I52" s="382" t="str" cm="1">
        <f t="array" ref="I52">IF($B52="","",INDEX($AM$72:$AM$430,$K52))</f>
        <v/>
      </c>
      <c r="J52" s="271"/>
      <c r="K52" s="383">
        <f>1+($B$5-1)*36+30</f>
        <v>211</v>
      </c>
      <c r="L52" s="383" t="str" cm="1">
        <f t="array" ref="L52">IF($B52="","",INDEX($AI$72:$AI$430,$K52))</f>
        <v/>
      </c>
      <c r="M52" s="383" t="str" cm="1">
        <f t="array" ref="M52">IF($B52="","",INDEX($AJ$72:$AJ$430,$K52))</f>
        <v/>
      </c>
      <c r="N52" s="384" t="str" cm="1">
        <f t="array" ref="N52">IF(OR($B52="",$B$13="",$B$12="",$B$12=0),"",IF($L$22="AUTRE",IFERROR(INDEX($AK$72:$AK$430,$K52)*($B$13/$B$12),""),IF(OR($C$12="",$C$13=""),"",IFERROR(INDEX($AK$72:$AK$430,$K52)*(($B$13*VLOOKUP($C$13,$AY$74:$BA$119,3,FALSE))/($B$12*VLOOKUP($C$12,$AY$74:$BA$119,3,FALSE))),""))))</f>
        <v/>
      </c>
      <c r="O52" s="384" t="str" cm="1">
        <f t="array" ref="O52">IF(OR($B52="",$G$12="",$G$11="",$G$11=0),"",IFERROR(INDEX($AK$72:$AK$430,$K52)*($G$12/$G$11),""))</f>
        <v/>
      </c>
      <c r="U52" s="156"/>
      <c r="V52" s="156"/>
      <c r="W52" s="156"/>
      <c r="X52" s="156"/>
      <c r="Y52" s="156"/>
      <c r="Z52" s="156"/>
      <c r="AA52" s="156"/>
      <c r="AY52" s="31" t="s">
        <v>26</v>
      </c>
      <c r="AZ52" s="417" t="s">
        <v>37</v>
      </c>
      <c r="BA52" s="418">
        <v>0.35</v>
      </c>
      <c r="BB52" s="419" t="s">
        <v>9</v>
      </c>
      <c r="BC52" s="271"/>
      <c r="BD52" s="279">
        <v>1</v>
      </c>
      <c r="BE52" s="271"/>
      <c r="BF52" s="271"/>
      <c r="BG52" s="271"/>
    </row>
    <row r="53" spans="1:64" ht="21" customHeight="1" x14ac:dyDescent="0.25">
      <c r="A53" s="374" t="str">
        <f>IF($B53="","",31)</f>
        <v/>
      </c>
      <c r="B53" s="375" t="str" cm="1">
        <f t="array" ref="B53">IFERROR(IF(INDEX($AC$72:$AC$430,$K53)="","",INDEX($AC$72:$AC$430,$K53)),"")</f>
        <v/>
      </c>
      <c r="C53" s="376" t="str" cm="1">
        <f t="array" ref="C53">IF($B53="","",INDEX($AG$72:$AG$430,$K53))</f>
        <v/>
      </c>
      <c r="D53" s="377" t="str" cm="1">
        <f t="array" ref="D53">IF($B53="","",INDEX($AH$72:$AH$430,$K53))</f>
        <v/>
      </c>
      <c r="E53" s="378" t="str">
        <f t="shared" si="0"/>
        <v/>
      </c>
      <c r="F53" s="379" t="str" cm="1">
        <f t="array" ref="F53">IF($B53="","",IF(UPPER(TRIM($D53))="QT. SUFFISANTE","Qt. suffisante",IF($N53="","",IF($L53="MASSE",IF($N53&gt;=1,"Kg","g"),IF($L53="VOLUME",IF($N53&gt;=1,"L","cl"),INDEX($AL$72:$AL$430,$K53))))))</f>
        <v/>
      </c>
      <c r="G53" s="380" t="str">
        <f t="shared" si="1"/>
        <v/>
      </c>
      <c r="H53" s="381" t="str" cm="1">
        <f t="array" ref="H53">IF($B53="","",IF(UPPER(TRIM($D53))="QT. SUFFISANTE","Qt. suffisante",IF($O53="","",IF($L53="MASSE",IF($O53&gt;=1,"Kg","g"),IF($L53="VOLUME",IF($O53&gt;=1,"L","cl"),INDEX($AL$72:$AL$430,$K53))))))</f>
        <v/>
      </c>
      <c r="I53" s="382" t="str" cm="1">
        <f t="array" ref="I53">IF($B53="","",INDEX($AM$72:$AM$430,$K53))</f>
        <v/>
      </c>
      <c r="J53" s="271"/>
      <c r="K53" s="383">
        <f>1+($B$5-1)*36+31</f>
        <v>212</v>
      </c>
      <c r="L53" s="383" t="str" cm="1">
        <f t="array" ref="L53">IF($B53="","",INDEX($AI$72:$AI$430,$K53))</f>
        <v/>
      </c>
      <c r="M53" s="383" t="str" cm="1">
        <f t="array" ref="M53">IF($B53="","",INDEX($AJ$72:$AJ$430,$K53))</f>
        <v/>
      </c>
      <c r="N53" s="384" t="str" cm="1">
        <f t="array" ref="N53">IF(OR($B53="",$B$13="",$B$12="",$B$12=0),"",IF($L$22="AUTRE",IFERROR(INDEX($AK$72:$AK$430,$K53)*($B$13/$B$12),""),IF(OR($C$12="",$C$13=""),"",IFERROR(INDEX($AK$72:$AK$430,$K53)*(($B$13*VLOOKUP($C$13,$AY$74:$BA$119,3,FALSE))/($B$12*VLOOKUP($C$12,$AY$74:$BA$119,3,FALSE))),""))))</f>
        <v/>
      </c>
      <c r="O53" s="384" t="str" cm="1">
        <f t="array" ref="O53">IF(OR($B53="",$G$12="",$G$11="",$G$11=0),"",IFERROR(INDEX($AK$72:$AK$430,$K53)*($G$12/$G$11),""))</f>
        <v/>
      </c>
      <c r="U53" s="420" t="s">
        <v>7905</v>
      </c>
      <c r="V53" s="421"/>
      <c r="W53" s="421" t="s">
        <v>8085</v>
      </c>
      <c r="X53" s="421"/>
      <c r="Y53" s="421"/>
      <c r="Z53" s="421"/>
      <c r="AA53" s="421"/>
      <c r="AY53" s="31" t="s">
        <v>31</v>
      </c>
      <c r="AZ53" s="417" t="s">
        <v>37</v>
      </c>
      <c r="BA53" s="418">
        <v>0.22500000000000001</v>
      </c>
      <c r="BB53" s="419" t="s">
        <v>9</v>
      </c>
      <c r="BC53" s="271"/>
      <c r="BD53" s="279">
        <v>1</v>
      </c>
      <c r="BE53" s="271"/>
      <c r="BF53" s="271"/>
      <c r="BG53" s="271"/>
    </row>
    <row r="54" spans="1:64" ht="21" customHeight="1" x14ac:dyDescent="0.25">
      <c r="A54" s="374">
        <f>IF($B54="","",32)</f>
        <v>32</v>
      </c>
      <c r="B54" s="375" t="str" cm="1">
        <f t="array" ref="B54">IFERROR(IF(INDEX($AC$72:$AC$430,$K54)="","",INDEX($AC$72:$AC$430,$K54)),"")</f>
        <v>bac(s) GN 1/1 H 100 perforé(s)</v>
      </c>
      <c r="C54" s="376" cm="1">
        <f t="array" ref="C54">IF($B54="","",INDEX($AG$72:$AG$430,$K54))</f>
        <v>1</v>
      </c>
      <c r="D54" s="377" t="str" cm="1">
        <f t="array" ref="D54">IF($B54="","",INDEX($AH$72:$AH$430,$K54))</f>
        <v>BAC(S)</v>
      </c>
      <c r="E54" s="378">
        <f t="shared" si="0"/>
        <v>0</v>
      </c>
      <c r="F54" s="379" t="str" cm="1">
        <f t="array" ref="F54">IF($B54="","",IF(UPPER(TRIM($D54))="QT. SUFFISANTE","Qt. suffisante",IF($N54="","",IF($L54="MASSE",IF($N54&gt;=1,"Kg","g"),IF($L54="VOLUME",IF($N54&gt;=1,"L","cl"),INDEX($AL$72:$AL$430,$K54))))))</f>
        <v>bac(s)</v>
      </c>
      <c r="G54" s="380">
        <f t="shared" si="1"/>
        <v>2</v>
      </c>
      <c r="H54" s="381" t="str" cm="1">
        <f t="array" ref="H54">IF($B54="","",IF(UPPER(TRIM($D54))="QT. SUFFISANTE","Qt. suffisante",IF($O54="","",IF($L54="MASSE",IF($O54&gt;=1,"Kg","g"),IF($L54="VOLUME",IF($O54&gt;=1,"L","cl"),INDEX($AL$72:$AL$430,$K54))))))</f>
        <v>bac(s)</v>
      </c>
      <c r="I54" s="382" t="str" cm="1">
        <f t="array" ref="I54">IF($B54="","",INDEX($AM$72:$AM$430,$K54))</f>
        <v>OK</v>
      </c>
      <c r="J54" s="271"/>
      <c r="K54" s="383">
        <f>1+($B$5-1)*36+32</f>
        <v>213</v>
      </c>
      <c r="L54" s="383" t="str" cm="1">
        <f t="array" ref="L54">IF($B54="","",INDEX($AI$72:$AI$430,$K54))</f>
        <v>AUTRE</v>
      </c>
      <c r="M54" s="383" cm="1">
        <f t="array" ref="M54">IF($B54="","",INDEX($AJ$72:$AJ$430,$K54))</f>
        <v>1</v>
      </c>
      <c r="N54" s="384" cm="1">
        <f t="array" ref="N54">IF(OR($B54="",$B$13="",$B$12="",$B$12=0),"",IF($L$22="AUTRE",IFERROR(INDEX($AK$72:$AK$430,$K54)*($B$13/$B$12),""),IF(OR($C$12="",$C$13=""),"",IFERROR(INDEX($AK$72:$AK$430,$K54)*(($B$13*VLOOKUP($C$13,$AY$74:$BA$119,3,FALSE))/($B$12*VLOOKUP($C$12,$AY$74:$BA$119,3,FALSE))),""))))</f>
        <v>0.1</v>
      </c>
      <c r="O54" s="384" cm="1">
        <f t="array" ref="O54">IF(OR($B54="",$G$12="",$G$11="",$G$11=0),"",IFERROR(INDEX($AK$72:$AK$430,$K54)*($G$12/$G$11),""))</f>
        <v>2</v>
      </c>
      <c r="U54" s="422" t="s">
        <v>7915</v>
      </c>
      <c r="V54" s="423" t="s">
        <v>8086</v>
      </c>
      <c r="W54" s="156"/>
      <c r="X54" s="156"/>
      <c r="Y54" s="156"/>
      <c r="Z54" s="156"/>
      <c r="AA54" s="156"/>
      <c r="AN54" s="424" t="s">
        <v>8087</v>
      </c>
      <c r="BD54" s="279">
        <v>1</v>
      </c>
    </row>
    <row r="55" spans="1:64" ht="21" customHeight="1" x14ac:dyDescent="0.25">
      <c r="A55" s="374">
        <f>IF($B55="","",33)</f>
        <v>33</v>
      </c>
      <c r="B55" s="375" t="str" cm="1">
        <f t="array" ref="B55">IFERROR(IF(INDEX($AC$72:$AC$430,$K55)="","",INDEX($AC$72:$AC$430,$K55)),"")</f>
        <v>bac(s) GN 1/1 H 45 plein(s)</v>
      </c>
      <c r="C55" s="376" cm="1">
        <f t="array" ref="C55">IF($B55="","",INDEX($AG$72:$AG$430,$K55))</f>
        <v>1</v>
      </c>
      <c r="D55" s="377" t="str" cm="1">
        <f t="array" ref="D55">IF($B55="","",INDEX($AH$72:$AH$430,$K55))</f>
        <v>BAC(S)</v>
      </c>
      <c r="E55" s="378">
        <f t="shared" si="0"/>
        <v>0</v>
      </c>
      <c r="F55" s="379" t="str" cm="1">
        <f t="array" ref="F55">IF($B55="","",IF(UPPER(TRIM($D55))="QT. SUFFISANTE","Qt. suffisante",IF($N55="","",IF($L55="MASSE",IF($N55&gt;=1,"Kg","g"),IF($L55="VOLUME",IF($N55&gt;=1,"L","cl"),INDEX($AL$72:$AL$430,$K55))))))</f>
        <v>bac(s)</v>
      </c>
      <c r="G55" s="380">
        <f t="shared" si="1"/>
        <v>2</v>
      </c>
      <c r="H55" s="381" t="str" cm="1">
        <f t="array" ref="H55">IF($B55="","",IF(UPPER(TRIM($D55))="QT. SUFFISANTE","Qt. suffisante",IF($O55="","",IF($L55="MASSE",IF($O55&gt;=1,"Kg","g"),IF($L55="VOLUME",IF($O55&gt;=1,"L","cl"),INDEX($AL$72:$AL$430,$K55))))))</f>
        <v>bac(s)</v>
      </c>
      <c r="I55" s="382" t="str" cm="1">
        <f t="array" ref="I55">IF($B55="","",INDEX($AM$72:$AM$430,$K55))</f>
        <v>OK</v>
      </c>
      <c r="J55" s="271"/>
      <c r="K55" s="383">
        <f>1+($B$5-1)*36+33</f>
        <v>214</v>
      </c>
      <c r="L55" s="383" t="str" cm="1">
        <f t="array" ref="L55">IF($B55="","",INDEX($AI$72:$AI$430,$K55))</f>
        <v>AUTRE</v>
      </c>
      <c r="M55" s="383" cm="1">
        <f t="array" ref="M55">IF($B55="","",INDEX($AJ$72:$AJ$430,$K55))</f>
        <v>1</v>
      </c>
      <c r="N55" s="384" cm="1">
        <f t="array" ref="N55">IF(OR($B55="",$B$13="",$B$12="",$B$12=0),"",IF($L$22="AUTRE",IFERROR(INDEX($AK$72:$AK$430,$K55)*($B$13/$B$12),""),IF(OR($C$12="",$C$13=""),"",IFERROR(INDEX($AK$72:$AK$430,$K55)*(($B$13*VLOOKUP($C$13,$AY$74:$BA$119,3,FALSE))/($B$12*VLOOKUP($C$12,$AY$74:$BA$119,3,FALSE))),""))))</f>
        <v>0.1</v>
      </c>
      <c r="O55" s="384" cm="1">
        <f t="array" ref="O55">IF(OR($B55="",$G$12="",$G$11="",$G$11=0),"",IFERROR(INDEX($AK$72:$AK$430,$K55)*($G$12/$G$11),""))</f>
        <v>2</v>
      </c>
      <c r="U55" s="422" t="s">
        <v>7918</v>
      </c>
      <c r="V55" s="423" t="s">
        <v>8088</v>
      </c>
      <c r="W55" s="156"/>
      <c r="X55" s="156"/>
      <c r="Y55" s="156"/>
      <c r="Z55" s="156"/>
      <c r="AA55" s="156"/>
      <c r="AN55" s="659" t="s">
        <v>8089</v>
      </c>
      <c r="AO55" s="659"/>
      <c r="AP55" s="659"/>
      <c r="AQ55" s="659"/>
      <c r="AR55" s="659"/>
      <c r="AS55" s="659"/>
      <c r="AT55" s="659"/>
      <c r="AU55" s="659"/>
      <c r="AV55" s="659"/>
      <c r="AW55" s="659"/>
      <c r="AX55" s="659"/>
      <c r="AY55" s="659"/>
      <c r="AZ55" s="659"/>
      <c r="BA55" s="659"/>
      <c r="BB55" s="659"/>
      <c r="BD55" s="279">
        <v>1</v>
      </c>
    </row>
    <row r="56" spans="1:64" ht="21" customHeight="1" x14ac:dyDescent="0.25">
      <c r="A56" s="374">
        <f>IF($B56="","",34)</f>
        <v>34</v>
      </c>
      <c r="B56" s="375" t="str" cm="1">
        <f t="array" ref="B56">IFERROR(IF(INDEX($AC$72:$AC$430,$K56)="","",INDEX($AC$72:$AC$430,$K56)),"")</f>
        <v>bac(s) GN 1/1 H 100 plein(s)</v>
      </c>
      <c r="C56" s="376" cm="1">
        <f t="array" ref="C56">IF($B56="","",INDEX($AG$72:$AG$430,$K56))</f>
        <v>4</v>
      </c>
      <c r="D56" s="377" t="str" cm="1">
        <f t="array" ref="D56">IF($B56="","",INDEX($AH$72:$AH$430,$K56))</f>
        <v>BAC(S)</v>
      </c>
      <c r="E56" s="378">
        <f t="shared" si="0"/>
        <v>0</v>
      </c>
      <c r="F56" s="379" t="str" cm="1">
        <f t="array" ref="F56">IF($B56="","",IF(UPPER(TRIM($D56))="QT. SUFFISANTE","Qt. suffisante",IF($N56="","",IF($L56="MASSE",IF($N56&gt;=1,"Kg","g"),IF($L56="VOLUME",IF($N56&gt;=1,"L","cl"),INDEX($AL$72:$AL$430,$K56))))))</f>
        <v>bac(s)</v>
      </c>
      <c r="G56" s="380">
        <f t="shared" si="1"/>
        <v>8</v>
      </c>
      <c r="H56" s="381" t="str" cm="1">
        <f t="array" ref="H56">IF($B56="","",IF(UPPER(TRIM($D56))="QT. SUFFISANTE","Qt. suffisante",IF($O56="","",IF($L56="MASSE",IF($O56&gt;=1,"Kg","g"),IF($L56="VOLUME",IF($O56&gt;=1,"L","cl"),INDEX($AL$72:$AL$430,$K56))))))</f>
        <v>bac(s)</v>
      </c>
      <c r="I56" s="382" t="str" cm="1">
        <f t="array" ref="I56">IF($B56="","",INDEX($AM$72:$AM$430,$K56))</f>
        <v>OK</v>
      </c>
      <c r="J56" s="271"/>
      <c r="K56" s="383">
        <f>1+($B$5-1)*36+34</f>
        <v>215</v>
      </c>
      <c r="L56" s="383" t="str" cm="1">
        <f t="array" ref="L56">IF($B56="","",INDEX($AI$72:$AI$430,$K56))</f>
        <v>AUTRE</v>
      </c>
      <c r="M56" s="383" cm="1">
        <f t="array" ref="M56">IF($B56="","",INDEX($AJ$72:$AJ$430,$K56))</f>
        <v>1</v>
      </c>
      <c r="N56" s="384" cm="1">
        <f t="array" ref="N56">IF(OR($B56="",$B$13="",$B$12="",$B$12=0),"",IF($L$22="AUTRE",IFERROR(INDEX($AK$72:$AK$430,$K56)*($B$13/$B$12),""),IF(OR($C$12="",$C$13=""),"",IFERROR(INDEX($AK$72:$AK$430,$K56)*(($B$13*VLOOKUP($C$13,$AY$74:$BA$119,3,FALSE))/($B$12*VLOOKUP($C$12,$AY$74:$BA$119,3,FALSE))),""))))</f>
        <v>0.4</v>
      </c>
      <c r="O56" s="384" cm="1">
        <f t="array" ref="O56">IF(OR($B56="",$G$12="",$G$11="",$G$11=0),"",IFERROR(INDEX($AK$72:$AK$430,$K56)*($G$12/$G$11),""))</f>
        <v>8</v>
      </c>
      <c r="U56" s="422" t="s">
        <v>7922</v>
      </c>
      <c r="V56" s="423" t="s">
        <v>8090</v>
      </c>
      <c r="W56" s="156"/>
      <c r="X56" s="156"/>
      <c r="Y56" s="156"/>
      <c r="Z56" s="156"/>
      <c r="AA56" s="156"/>
      <c r="AN56" s="659"/>
      <c r="AO56" s="659"/>
      <c r="AP56" s="659"/>
      <c r="AQ56" s="659"/>
      <c r="AR56" s="659"/>
      <c r="AS56" s="659"/>
      <c r="AT56" s="659"/>
      <c r="AU56" s="659"/>
      <c r="AV56" s="659"/>
      <c r="AW56" s="659"/>
      <c r="AX56" s="659"/>
      <c r="AY56" s="659"/>
      <c r="AZ56" s="659"/>
      <c r="BA56" s="659"/>
      <c r="BB56" s="659"/>
      <c r="BD56" s="279">
        <v>1</v>
      </c>
    </row>
    <row r="57" spans="1:64" ht="21" customHeight="1" x14ac:dyDescent="0.25">
      <c r="A57" s="284"/>
      <c r="B57" s="425"/>
      <c r="C57" s="426"/>
      <c r="D57" s="426"/>
      <c r="E57" s="427"/>
      <c r="F57" s="427"/>
      <c r="G57" s="427"/>
      <c r="H57" s="427"/>
      <c r="I57" s="284"/>
      <c r="J57" s="271"/>
      <c r="U57" s="422" t="s">
        <v>7926</v>
      </c>
      <c r="V57" s="423" t="s">
        <v>8091</v>
      </c>
      <c r="W57" s="156"/>
      <c r="X57" s="156"/>
      <c r="Y57" s="156"/>
      <c r="Z57" s="156"/>
      <c r="AA57" s="156"/>
      <c r="AN57" s="659"/>
      <c r="AO57" s="659"/>
      <c r="AP57" s="659"/>
      <c r="AQ57" s="659"/>
      <c r="AR57" s="659"/>
      <c r="AS57" s="659"/>
      <c r="AT57" s="659"/>
      <c r="AU57" s="659"/>
      <c r="AV57" s="659"/>
      <c r="AW57" s="659"/>
      <c r="AX57" s="659"/>
      <c r="AY57" s="659"/>
      <c r="AZ57" s="659"/>
      <c r="BA57" s="659"/>
      <c r="BB57" s="659"/>
      <c r="BD57" s="279">
        <v>1</v>
      </c>
      <c r="BI57" s="271"/>
      <c r="BJ57" s="271"/>
      <c r="BK57" s="271"/>
      <c r="BL57" s="271"/>
    </row>
    <row r="58" spans="1:64" ht="21" customHeight="1" x14ac:dyDescent="0.25">
      <c r="A58" s="661" t="s">
        <v>8092</v>
      </c>
      <c r="B58" s="662"/>
      <c r="C58" s="662"/>
      <c r="D58" s="662"/>
      <c r="E58" s="662"/>
      <c r="F58" s="662"/>
      <c r="G58" s="662"/>
      <c r="H58" s="662"/>
      <c r="I58" s="663"/>
      <c r="J58" s="271"/>
      <c r="U58" s="422" t="s">
        <v>7931</v>
      </c>
      <c r="V58" s="423" t="s">
        <v>8093</v>
      </c>
      <c r="W58" s="156"/>
      <c r="X58" s="156"/>
      <c r="Y58" s="156"/>
      <c r="Z58" s="156"/>
      <c r="AA58" s="156"/>
      <c r="AN58" s="659"/>
      <c r="AO58" s="659"/>
      <c r="AP58" s="659"/>
      <c r="AQ58" s="659"/>
      <c r="AR58" s="659"/>
      <c r="AS58" s="659"/>
      <c r="AT58" s="659"/>
      <c r="AU58" s="659"/>
      <c r="AV58" s="659"/>
      <c r="AW58" s="659"/>
      <c r="AX58" s="659"/>
      <c r="AY58" s="659"/>
      <c r="AZ58" s="659"/>
      <c r="BA58" s="659"/>
      <c r="BB58" s="659"/>
      <c r="BD58" s="279">
        <v>1</v>
      </c>
      <c r="BI58" s="271"/>
      <c r="BJ58" s="271"/>
      <c r="BK58" s="271"/>
      <c r="BL58" s="271"/>
    </row>
    <row r="59" spans="1:64" ht="21" customHeight="1" x14ac:dyDescent="0.25">
      <c r="A59" s="284"/>
      <c r="B59" s="284"/>
      <c r="C59" s="284"/>
      <c r="D59" s="284"/>
      <c r="E59" s="284"/>
      <c r="F59" s="284"/>
      <c r="G59" s="284"/>
      <c r="H59" s="284"/>
      <c r="I59" s="284"/>
      <c r="J59" s="271"/>
      <c r="U59" s="422" t="s">
        <v>7938</v>
      </c>
      <c r="V59" s="423" t="s">
        <v>8094</v>
      </c>
      <c r="W59" s="156"/>
      <c r="X59" s="156"/>
      <c r="Y59" s="156"/>
      <c r="Z59" s="156"/>
      <c r="AA59" s="156"/>
      <c r="AN59" s="659"/>
      <c r="AO59" s="659"/>
      <c r="AP59" s="659"/>
      <c r="AQ59" s="659"/>
      <c r="AR59" s="659"/>
      <c r="AS59" s="659"/>
      <c r="AT59" s="659"/>
      <c r="AU59" s="659"/>
      <c r="AV59" s="659"/>
      <c r="AW59" s="659"/>
      <c r="AX59" s="659"/>
      <c r="AY59" s="659"/>
      <c r="AZ59" s="659"/>
      <c r="BA59" s="659"/>
      <c r="BB59" s="659"/>
      <c r="BD59" s="279">
        <v>1</v>
      </c>
      <c r="BI59" s="271"/>
      <c r="BJ59" s="271"/>
      <c r="BK59" s="271"/>
      <c r="BL59" s="271"/>
    </row>
    <row r="60" spans="1:64" ht="21" customHeight="1" x14ac:dyDescent="0.25">
      <c r="A60" s="714" t="s">
        <v>8095</v>
      </c>
      <c r="B60" s="715"/>
      <c r="C60" s="715"/>
      <c r="D60" s="715"/>
      <c r="E60" s="715"/>
      <c r="F60" s="715"/>
      <c r="G60" s="715"/>
      <c r="H60" s="715"/>
      <c r="I60" s="716"/>
      <c r="J60" s="271"/>
      <c r="U60" s="422" t="s">
        <v>7946</v>
      </c>
      <c r="V60" s="423" t="s">
        <v>8096</v>
      </c>
      <c r="W60" s="156"/>
      <c r="X60" s="156"/>
      <c r="Y60" s="156"/>
      <c r="Z60" s="156"/>
      <c r="AA60" s="156"/>
      <c r="AN60" s="659"/>
      <c r="AO60" s="659"/>
      <c r="AP60" s="659"/>
      <c r="AQ60" s="659"/>
      <c r="AR60" s="659"/>
      <c r="AS60" s="659"/>
      <c r="AT60" s="659"/>
      <c r="AU60" s="659"/>
      <c r="AV60" s="659"/>
      <c r="AW60" s="659"/>
      <c r="AX60" s="659"/>
      <c r="AY60" s="659"/>
      <c r="AZ60" s="659"/>
      <c r="BA60" s="659"/>
      <c r="BB60" s="659"/>
      <c r="BD60" s="279">
        <v>1</v>
      </c>
      <c r="BI60" s="271"/>
      <c r="BJ60" s="271"/>
      <c r="BK60" s="271"/>
      <c r="BL60" s="271"/>
    </row>
    <row r="61" spans="1:64" ht="21" customHeight="1" x14ac:dyDescent="0.25">
      <c r="A61" s="428"/>
      <c r="B61" s="667" t="s">
        <v>8097</v>
      </c>
      <c r="C61" s="667"/>
      <c r="D61" s="667"/>
      <c r="E61" s="667"/>
      <c r="F61" s="667"/>
      <c r="G61" s="667"/>
      <c r="H61" s="667"/>
      <c r="I61" s="668"/>
      <c r="J61" s="271"/>
      <c r="U61" s="422" t="s">
        <v>7951</v>
      </c>
      <c r="V61" s="423" t="s">
        <v>8098</v>
      </c>
      <c r="W61" s="156"/>
      <c r="X61" s="156"/>
      <c r="Y61" s="156"/>
      <c r="Z61" s="156"/>
      <c r="AA61" s="156"/>
      <c r="AN61" s="659"/>
      <c r="AO61" s="659"/>
      <c r="AP61" s="659"/>
      <c r="AQ61" s="659"/>
      <c r="AR61" s="659"/>
      <c r="AS61" s="659"/>
      <c r="AT61" s="659"/>
      <c r="AU61" s="659"/>
      <c r="AV61" s="659"/>
      <c r="AW61" s="659"/>
      <c r="AX61" s="659"/>
      <c r="AY61" s="659"/>
      <c r="AZ61" s="659"/>
      <c r="BA61" s="659"/>
      <c r="BB61" s="659"/>
      <c r="BD61" s="279">
        <v>1</v>
      </c>
      <c r="BI61" s="271"/>
      <c r="BJ61" s="271"/>
      <c r="BK61" s="271"/>
      <c r="BL61" s="271"/>
    </row>
    <row r="62" spans="1:64" ht="21" customHeight="1" x14ac:dyDescent="0.25">
      <c r="A62" s="429"/>
      <c r="B62" s="669"/>
      <c r="C62" s="669"/>
      <c r="D62" s="669"/>
      <c r="E62" s="669"/>
      <c r="F62" s="669"/>
      <c r="G62" s="669"/>
      <c r="H62" s="669"/>
      <c r="I62" s="670"/>
      <c r="J62" s="271"/>
      <c r="U62" s="422" t="s">
        <v>7975</v>
      </c>
      <c r="V62" s="430" t="s">
        <v>8099</v>
      </c>
      <c r="W62" s="156"/>
      <c r="X62" s="156"/>
      <c r="Y62" s="156"/>
      <c r="Z62" s="156"/>
      <c r="AA62" s="156"/>
      <c r="AN62" s="659"/>
      <c r="AO62" s="659"/>
      <c r="AP62" s="659"/>
      <c r="AQ62" s="659"/>
      <c r="AR62" s="659"/>
      <c r="AS62" s="659"/>
      <c r="AT62" s="659"/>
      <c r="AU62" s="659"/>
      <c r="AV62" s="659"/>
      <c r="AW62" s="659"/>
      <c r="AX62" s="659"/>
      <c r="AY62" s="659"/>
      <c r="AZ62" s="659"/>
      <c r="BA62" s="659"/>
      <c r="BB62" s="659"/>
      <c r="BD62" s="279">
        <v>1</v>
      </c>
      <c r="BI62" s="271"/>
      <c r="BJ62" s="271"/>
      <c r="BK62" s="271"/>
      <c r="BL62" s="271"/>
    </row>
    <row r="63" spans="1:64" ht="21" customHeight="1" x14ac:dyDescent="0.25">
      <c r="A63" s="431"/>
      <c r="B63" s="671"/>
      <c r="C63" s="671"/>
      <c r="D63" s="671"/>
      <c r="E63" s="671"/>
      <c r="F63" s="671"/>
      <c r="G63" s="671"/>
      <c r="H63" s="671"/>
      <c r="I63" s="672"/>
      <c r="J63" s="271"/>
      <c r="U63" s="422" t="s">
        <v>7995</v>
      </c>
      <c r="V63" s="423" t="s">
        <v>8100</v>
      </c>
      <c r="W63" s="156"/>
      <c r="X63" s="156"/>
      <c r="Y63" s="156"/>
      <c r="Z63" s="156"/>
      <c r="AA63" s="156"/>
      <c r="AN63" s="659"/>
      <c r="AO63" s="659"/>
      <c r="AP63" s="659"/>
      <c r="AQ63" s="659"/>
      <c r="AR63" s="659"/>
      <c r="AS63" s="659"/>
      <c r="AT63" s="659"/>
      <c r="AU63" s="659"/>
      <c r="AV63" s="659"/>
      <c r="AW63" s="659"/>
      <c r="AX63" s="659"/>
      <c r="AY63" s="659"/>
      <c r="AZ63" s="659"/>
      <c r="BA63" s="659"/>
      <c r="BB63" s="659"/>
      <c r="BC63" s="271"/>
      <c r="BD63" s="279">
        <v>1</v>
      </c>
      <c r="BE63" s="271"/>
      <c r="BF63" s="271"/>
      <c r="BG63" s="271"/>
      <c r="BH63" s="271"/>
      <c r="BI63" s="271"/>
      <c r="BJ63" s="271"/>
      <c r="BK63" s="271"/>
      <c r="BL63" s="271"/>
    </row>
    <row r="64" spans="1:64" ht="15.75" customHeight="1" x14ac:dyDescent="0.25">
      <c r="A64" s="432" t="s">
        <v>2</v>
      </c>
      <c r="B64" s="433" t="str" cm="1">
        <f t="array" aca="1" ref="B64" ca="1">CELL("nomfichier")</f>
        <v>D:\Données\1.UPRT\0-UPRT.fait\1-UPRT.FR-SITE-WEB\ff-fiches-fabrications\ff.fiches.fabrication.2023\ffr-restaurant-2026\[02-06-recettes-entrees-cuisine-collective-fiches-techniques.xlsx]H.O.FROIDS.11.à.20</v>
      </c>
      <c r="C64" s="271"/>
      <c r="D64" s="271"/>
      <c r="E64" s="271"/>
      <c r="F64" s="271"/>
      <c r="G64" s="271"/>
      <c r="H64" s="271"/>
      <c r="I64" s="271"/>
      <c r="J64" s="271"/>
      <c r="K64" s="271"/>
      <c r="L64" s="271"/>
      <c r="M64" s="271"/>
      <c r="N64" s="271"/>
      <c r="O64" s="271"/>
      <c r="P64" s="271"/>
      <c r="Q64" s="271"/>
      <c r="R64" s="271"/>
      <c r="S64" s="271"/>
      <c r="U64" s="422" t="s">
        <v>7998</v>
      </c>
      <c r="V64" s="423" t="s">
        <v>8101</v>
      </c>
      <c r="W64" s="156"/>
      <c r="X64" s="156"/>
      <c r="Y64" s="156"/>
      <c r="Z64" s="156"/>
      <c r="AA64" s="156"/>
      <c r="AB64" s="220"/>
      <c r="AC64" s="220"/>
      <c r="AD64" s="220"/>
      <c r="AE64" s="220"/>
      <c r="AF64" s="220"/>
      <c r="AG64" s="220"/>
      <c r="AH64" s="220"/>
      <c r="AI64" s="220"/>
      <c r="AJ64" s="220"/>
      <c r="AK64" s="220"/>
      <c r="AL64" s="220"/>
      <c r="AN64" s="659"/>
      <c r="AO64" s="659"/>
      <c r="AP64" s="659"/>
      <c r="AQ64" s="659"/>
      <c r="AR64" s="659"/>
      <c r="AS64" s="659"/>
      <c r="AT64" s="659"/>
      <c r="AU64" s="659"/>
      <c r="AV64" s="659"/>
      <c r="AW64" s="659"/>
      <c r="AX64" s="659"/>
      <c r="AY64" s="659"/>
      <c r="AZ64" s="659"/>
      <c r="BA64" s="659"/>
      <c r="BB64" s="659"/>
      <c r="BC64" s="271"/>
      <c r="BD64" s="279">
        <v>1</v>
      </c>
      <c r="BE64" s="271"/>
      <c r="BF64" s="271"/>
      <c r="BG64" s="271"/>
      <c r="BH64" s="271"/>
      <c r="BI64" s="271"/>
      <c r="BJ64" s="271"/>
      <c r="BK64" s="271"/>
      <c r="BL64" s="271"/>
    </row>
    <row r="65" spans="1:111" x14ac:dyDescent="0.25">
      <c r="A65" s="271"/>
      <c r="B65" s="271"/>
      <c r="C65" s="271"/>
      <c r="D65" s="271"/>
      <c r="E65" s="271"/>
      <c r="F65" s="271"/>
      <c r="G65" s="271"/>
      <c r="H65" s="271"/>
      <c r="I65" s="271"/>
      <c r="J65" s="271"/>
      <c r="K65" s="271"/>
      <c r="L65" s="271"/>
      <c r="M65" s="271"/>
      <c r="N65" s="271"/>
      <c r="O65" s="271"/>
      <c r="P65" s="271"/>
      <c r="Q65" s="271"/>
      <c r="R65" s="271"/>
      <c r="S65" s="271"/>
      <c r="T65" s="271"/>
      <c r="U65" s="422" t="s">
        <v>8102</v>
      </c>
      <c r="V65" s="434" t="s">
        <v>8103</v>
      </c>
      <c r="W65" s="156"/>
      <c r="X65" s="156"/>
      <c r="Y65" s="156"/>
      <c r="Z65" s="156"/>
      <c r="AA65" s="156"/>
      <c r="AB65" s="220"/>
      <c r="AC65" s="220"/>
      <c r="AD65" s="220"/>
      <c r="AE65" s="220"/>
      <c r="AF65" s="220"/>
      <c r="AG65" s="220"/>
      <c r="AH65" s="220"/>
      <c r="AI65" s="220"/>
      <c r="AJ65" s="220"/>
      <c r="AK65" s="271"/>
      <c r="AL65" s="271"/>
      <c r="AN65" s="659"/>
      <c r="AO65" s="659"/>
      <c r="AP65" s="659"/>
      <c r="AQ65" s="659"/>
      <c r="AR65" s="659"/>
      <c r="AS65" s="659"/>
      <c r="AT65" s="659"/>
      <c r="AU65" s="659"/>
      <c r="AV65" s="659"/>
      <c r="AW65" s="659"/>
      <c r="AX65" s="659"/>
      <c r="AY65" s="659"/>
      <c r="AZ65" s="659"/>
      <c r="BA65" s="659"/>
      <c r="BB65" s="659"/>
      <c r="BC65" s="271"/>
      <c r="BD65" s="279">
        <v>1</v>
      </c>
      <c r="BE65" s="271"/>
      <c r="BF65" s="271"/>
      <c r="BG65" s="271"/>
      <c r="BH65" s="271"/>
      <c r="BI65" s="271"/>
      <c r="BJ65" s="271"/>
      <c r="BK65" s="271"/>
      <c r="BL65" s="271"/>
      <c r="BM65" s="271"/>
      <c r="BN65" s="271"/>
      <c r="BO65" s="271"/>
      <c r="BP65" s="271"/>
      <c r="BQ65" s="271"/>
      <c r="BR65" s="271"/>
      <c r="BS65" s="271"/>
      <c r="BT65" s="271"/>
      <c r="BU65" s="271"/>
      <c r="BV65" s="271"/>
      <c r="BW65" s="271"/>
      <c r="BX65" s="271"/>
      <c r="BY65" s="271"/>
      <c r="BZ65" s="271"/>
      <c r="CA65" s="271"/>
      <c r="CB65" s="271"/>
      <c r="CC65" s="271"/>
      <c r="CD65" s="271"/>
      <c r="CE65" s="271"/>
      <c r="CF65" s="271"/>
      <c r="CG65" s="271"/>
      <c r="CH65" s="271"/>
      <c r="CI65" s="271"/>
      <c r="CJ65" s="271"/>
      <c r="CK65" s="271"/>
      <c r="CL65" s="271"/>
      <c r="CM65" s="271"/>
      <c r="CN65" s="271"/>
      <c r="CO65" s="271"/>
      <c r="CP65" s="271"/>
      <c r="CQ65" s="271"/>
      <c r="CR65" s="271"/>
      <c r="CS65" s="271"/>
      <c r="CT65" s="271"/>
      <c r="CU65" s="271"/>
      <c r="CV65" s="271"/>
      <c r="CW65" s="271"/>
      <c r="CX65" s="271"/>
      <c r="CY65" s="271"/>
      <c r="CZ65" s="271"/>
      <c r="DA65" s="271"/>
      <c r="DB65" s="271"/>
      <c r="DC65" s="271"/>
      <c r="DD65" s="271"/>
      <c r="DE65" s="271"/>
      <c r="DF65" s="271"/>
      <c r="DG65" s="271"/>
    </row>
    <row r="66" spans="1:111" ht="15.75" customHeight="1" x14ac:dyDescent="0.25">
      <c r="U66" s="422" t="s">
        <v>8047</v>
      </c>
      <c r="V66" s="434" t="s">
        <v>8104</v>
      </c>
      <c r="W66" s="435"/>
      <c r="X66" s="435"/>
      <c r="Y66" s="435"/>
      <c r="Z66" s="435"/>
      <c r="AA66" s="435"/>
      <c r="AB66" s="271"/>
      <c r="AC66" s="271"/>
      <c r="AD66" s="220"/>
      <c r="AE66" s="220"/>
      <c r="AF66" s="220"/>
      <c r="AG66" s="220"/>
      <c r="AH66" s="220"/>
      <c r="AI66" s="220"/>
      <c r="AJ66" s="220"/>
      <c r="AK66" s="271"/>
      <c r="AL66" s="271"/>
      <c r="AM66" s="271"/>
      <c r="AN66" s="660" t="s">
        <v>8105</v>
      </c>
      <c r="AO66" s="660"/>
      <c r="AP66" s="660"/>
      <c r="AQ66" s="660"/>
      <c r="AR66" s="660"/>
      <c r="AS66" s="660"/>
      <c r="AT66" s="660"/>
      <c r="AU66" s="660"/>
      <c r="AV66" s="660"/>
      <c r="AW66" s="660"/>
      <c r="AX66" s="660"/>
      <c r="AY66" s="660"/>
      <c r="AZ66" s="660"/>
      <c r="BA66" s="660"/>
      <c r="BB66" s="660"/>
      <c r="BC66" s="271"/>
      <c r="BD66" s="279">
        <v>1</v>
      </c>
      <c r="BE66" s="271"/>
      <c r="BF66" s="271"/>
      <c r="BG66" s="271"/>
      <c r="BH66" s="271"/>
      <c r="BI66" s="271"/>
      <c r="BJ66" s="271"/>
      <c r="BK66" s="271"/>
      <c r="BL66" s="271"/>
    </row>
    <row r="67" spans="1:111" ht="15.75" customHeight="1" x14ac:dyDescent="0.25">
      <c r="U67" s="156"/>
      <c r="V67" s="435"/>
      <c r="W67" s="435"/>
      <c r="X67" s="435"/>
      <c r="Y67" s="435"/>
      <c r="Z67" s="435"/>
      <c r="AA67" s="435"/>
      <c r="AB67" s="655" t="str">
        <f>IF(AND(COUNTIF(AC72:AC430,"*~**")=0,COUNTIF(AC72:AC430,"*~?*")=0),"",IF(COUNTIF(AC72:AC430,"*~**")&gt;0,COUNTIF(AC72:AC430,"*~**")&amp;" allergène"&amp;IF(COUNTIF(AC72:AC430,"*~**")&gt;1,"s","")&amp;" repéré"&amp;IF(COUNTIF(AC72:AC430,"*~**")&gt;1,"s","")&amp;" par *","")&amp;IF(AND(COUNTIF(AC72:AC430,"*~**")&gt;0,COUNTIF(AC72:AC430,"*~?*")&gt;0)," | ","")&amp;IF(COUNTIF(AC72:AC430,"*~?*")&gt;0,COUNTIF(AC72:AC430,"*~?*")&amp;" produit"&amp;IF(COUNTIF(AC72:AC430,"*~?*")&gt;1,"s","")&amp;" à vérifier par ?",""))</f>
        <v>27 allergènes repérés par * | 2 produits à vérifier par ?</v>
      </c>
      <c r="AC67" s="655"/>
      <c r="AD67" s="436" t="s">
        <v>8106</v>
      </c>
      <c r="AE67" s="436"/>
      <c r="AF67" s="436"/>
      <c r="AG67" s="271"/>
      <c r="AH67" s="271"/>
      <c r="AI67" s="271"/>
      <c r="AJ67" s="271"/>
      <c r="AK67" s="271"/>
      <c r="AL67" s="271"/>
      <c r="AM67" s="271"/>
      <c r="AN67" s="660"/>
      <c r="AO67" s="660"/>
      <c r="AP67" s="660"/>
      <c r="AQ67" s="660"/>
      <c r="AR67" s="660"/>
      <c r="AS67" s="660"/>
      <c r="AT67" s="660"/>
      <c r="AU67" s="660"/>
      <c r="AV67" s="660"/>
      <c r="AW67" s="660"/>
      <c r="AX67" s="660"/>
      <c r="AY67" s="660"/>
      <c r="AZ67" s="660"/>
      <c r="BA67" s="660"/>
      <c r="BB67" s="660"/>
      <c r="BC67" s="271"/>
      <c r="BD67" s="279"/>
      <c r="BE67" s="271"/>
      <c r="BF67" s="271"/>
      <c r="BG67" s="271"/>
      <c r="BH67" s="271"/>
      <c r="BI67" s="271"/>
      <c r="BJ67" s="271"/>
      <c r="BK67" s="271"/>
      <c r="BL67" s="271"/>
    </row>
    <row r="68" spans="1:111" ht="15.75" customHeight="1" x14ac:dyDescent="0.25">
      <c r="R68" s="437" t="s">
        <v>8107</v>
      </c>
      <c r="U68" s="156"/>
      <c r="V68" s="435"/>
      <c r="W68" s="435"/>
      <c r="X68" s="435"/>
      <c r="Y68" s="435"/>
      <c r="Z68" s="435"/>
      <c r="AA68" s="435"/>
      <c r="AB68" s="655"/>
      <c r="AC68" s="655"/>
      <c r="AD68" s="436" t="s">
        <v>8108</v>
      </c>
      <c r="AE68" s="436"/>
      <c r="AF68" s="436"/>
      <c r="AG68" s="271"/>
      <c r="AH68" s="271"/>
      <c r="AI68" s="271"/>
      <c r="AJ68" s="271"/>
      <c r="AK68" s="271"/>
      <c r="AL68" s="271"/>
      <c r="AM68" s="271"/>
      <c r="AN68" s="438" t="s">
        <v>8109</v>
      </c>
      <c r="AO68" s="438"/>
      <c r="AP68" s="271"/>
      <c r="BC68" s="271"/>
      <c r="BD68" s="279">
        <v>1</v>
      </c>
      <c r="BE68" s="271"/>
      <c r="BF68" s="271"/>
      <c r="BG68" s="271"/>
      <c r="BH68" s="271"/>
      <c r="BI68" s="271"/>
      <c r="BJ68" s="271"/>
      <c r="BK68" s="271"/>
      <c r="BL68" s="271"/>
    </row>
    <row r="69" spans="1:111" x14ac:dyDescent="0.25">
      <c r="R69" s="422" t="str">
        <f>SUBSTITUTE(ADDRESS(1,COLUMN(),4),"1","")</f>
        <v>R</v>
      </c>
      <c r="T69" s="422" t="str">
        <f>SUBSTITUTE(ADDRESS(1,COLUMN(),4),"1","")</f>
        <v>T</v>
      </c>
      <c r="V69" s="422" t="str">
        <f t="shared" ref="V69:AF69" si="2">SUBSTITUTE(ADDRESS(1,COLUMN(),4),"1","")</f>
        <v>V</v>
      </c>
      <c r="W69" s="422" t="str">
        <f t="shared" si="2"/>
        <v>W</v>
      </c>
      <c r="X69" s="422" t="str">
        <f t="shared" si="2"/>
        <v>X</v>
      </c>
      <c r="Y69" s="422" t="str">
        <f t="shared" si="2"/>
        <v>Y</v>
      </c>
      <c r="Z69" s="422" t="str">
        <f t="shared" si="2"/>
        <v>Z</v>
      </c>
      <c r="AA69" s="422" t="str">
        <f t="shared" si="2"/>
        <v>AA</v>
      </c>
      <c r="AB69" s="422" t="str">
        <f t="shared" si="2"/>
        <v>AB</v>
      </c>
      <c r="AC69" s="422" t="str">
        <f t="shared" si="2"/>
        <v>AC</v>
      </c>
      <c r="AD69" s="422" t="str">
        <f t="shared" si="2"/>
        <v>AD</v>
      </c>
      <c r="AE69" s="422" t="str">
        <f t="shared" si="2"/>
        <v>AE</v>
      </c>
      <c r="AF69" s="422" t="str">
        <f t="shared" si="2"/>
        <v>AF</v>
      </c>
      <c r="AG69" s="395"/>
      <c r="AH69" s="395"/>
      <c r="AI69" s="395"/>
      <c r="AJ69" s="395"/>
      <c r="AK69" s="395"/>
      <c r="AL69" s="395"/>
      <c r="AM69" s="439" t="str">
        <f>SUBSTITUTE(ADDRESS(1,COLUMN(),4),"1","")</f>
        <v>AM</v>
      </c>
      <c r="AN69" s="395" t="str">
        <f>SUBSTITUTE(ADDRESS(1,COLUMN(),4),"1","")</f>
        <v>AN</v>
      </c>
      <c r="AO69" s="395" t="str">
        <f>SUBSTITUTE(ADDRESS(1,COLUMN(),4),"1","")</f>
        <v>AO</v>
      </c>
      <c r="AP69" s="395" t="str">
        <f t="shared" ref="AP69:AU69" si="3">SUBSTITUTE(ADDRESS(1,COLUMN(),4),"1","")</f>
        <v>AP</v>
      </c>
      <c r="AQ69" s="395" t="str">
        <f t="shared" si="3"/>
        <v>AQ</v>
      </c>
      <c r="AR69" s="395" t="str">
        <f t="shared" si="3"/>
        <v>AR</v>
      </c>
      <c r="AS69" s="395" t="str">
        <f t="shared" si="3"/>
        <v>AS</v>
      </c>
      <c r="AT69" s="395" t="str">
        <f t="shared" si="3"/>
        <v>AT</v>
      </c>
      <c r="AU69" s="395" t="str">
        <f t="shared" si="3"/>
        <v>AU</v>
      </c>
      <c r="BC69" s="271"/>
      <c r="BD69" s="279">
        <v>1</v>
      </c>
      <c r="BE69" s="271"/>
      <c r="BF69" s="271"/>
      <c r="BG69" s="271"/>
      <c r="BH69" s="271"/>
      <c r="BI69" s="271"/>
      <c r="BJ69" s="271"/>
      <c r="BK69" s="271"/>
      <c r="BL69" s="271"/>
    </row>
    <row r="70" spans="1:111" ht="35.25" customHeight="1" x14ac:dyDescent="0.25">
      <c r="R70" s="440" t="s">
        <v>484</v>
      </c>
      <c r="T70" s="440" t="s">
        <v>8110</v>
      </c>
      <c r="V70" s="441" t="s">
        <v>8111</v>
      </c>
      <c r="W70" s="442"/>
      <c r="X70" s="442"/>
      <c r="Y70" s="442"/>
      <c r="Z70" s="442"/>
      <c r="AA70" s="442"/>
      <c r="AB70" s="442"/>
      <c r="AC70" s="442"/>
      <c r="AD70" s="443"/>
      <c r="AE70" s="442"/>
      <c r="AF70" s="442"/>
      <c r="AG70" s="444" t="s">
        <v>8112</v>
      </c>
      <c r="AH70" s="445"/>
      <c r="AI70" s="445"/>
      <c r="AJ70" s="445"/>
      <c r="AK70" s="445"/>
      <c r="AL70" s="445"/>
      <c r="AM70" s="446"/>
      <c r="AN70" s="444" t="s">
        <v>8112</v>
      </c>
      <c r="AO70" s="447"/>
      <c r="AP70" s="447"/>
      <c r="AQ70" s="447"/>
      <c r="AR70" s="447"/>
      <c r="AS70" s="447"/>
      <c r="AT70" s="447"/>
      <c r="AU70" s="447"/>
      <c r="AY70" s="448" t="str">
        <f>ADDRESS(ROW(),COLUMN(),4)</f>
        <v>AY70</v>
      </c>
      <c r="AZ70" s="449"/>
      <c r="BA70" s="449"/>
      <c r="BB70" s="450"/>
      <c r="BD70" s="279">
        <v>1</v>
      </c>
      <c r="BG70" s="271"/>
      <c r="BH70" s="271"/>
      <c r="BI70" s="271"/>
      <c r="BJ70" s="271"/>
      <c r="BK70" s="271"/>
      <c r="BL70" s="271"/>
    </row>
    <row r="71" spans="1:111" ht="34.5" customHeight="1" x14ac:dyDescent="0.25">
      <c r="R71" s="25" t="s">
        <v>6115</v>
      </c>
      <c r="S71" s="451"/>
      <c r="T71" s="452" t="s">
        <v>8113</v>
      </c>
      <c r="V71" s="453" t="s">
        <v>324</v>
      </c>
      <c r="W71" s="453" t="s">
        <v>7912</v>
      </c>
      <c r="X71" s="453" t="s">
        <v>326</v>
      </c>
      <c r="Y71" s="453" t="s">
        <v>327</v>
      </c>
      <c r="Z71" s="454" t="s">
        <v>7930</v>
      </c>
      <c r="AA71" s="453" t="s">
        <v>7937</v>
      </c>
      <c r="AB71" s="455" t="s">
        <v>39</v>
      </c>
      <c r="AC71" s="455" t="s">
        <v>338</v>
      </c>
      <c r="AD71" s="455" t="s">
        <v>8114</v>
      </c>
      <c r="AE71" s="455" t="s">
        <v>339</v>
      </c>
      <c r="AF71" s="455" t="s">
        <v>7997</v>
      </c>
      <c r="AG71" s="456" t="s">
        <v>8018</v>
      </c>
      <c r="AH71" s="456" t="s">
        <v>8023</v>
      </c>
      <c r="AI71" s="456" t="s">
        <v>330</v>
      </c>
      <c r="AJ71" s="456" t="s">
        <v>8031</v>
      </c>
      <c r="AK71" s="453" t="s">
        <v>8037</v>
      </c>
      <c r="AL71" s="453" t="s">
        <v>8041</v>
      </c>
      <c r="AM71" s="456" t="s">
        <v>343</v>
      </c>
      <c r="AN71" s="457" t="s">
        <v>8115</v>
      </c>
      <c r="AO71" s="457" t="s">
        <v>8116</v>
      </c>
      <c r="AP71" s="656" t="s">
        <v>8117</v>
      </c>
      <c r="AQ71" s="656"/>
      <c r="AR71" s="656"/>
      <c r="AS71" s="656"/>
      <c r="AT71" s="656"/>
      <c r="AU71" s="657"/>
      <c r="AY71" s="448" t="s">
        <v>8118</v>
      </c>
      <c r="AZ71" s="448" t="s">
        <v>8119</v>
      </c>
      <c r="BA71" s="448"/>
      <c r="BB71" s="458"/>
      <c r="BD71" s="279">
        <v>1</v>
      </c>
      <c r="BG71" s="271"/>
      <c r="BH71" s="271"/>
      <c r="BI71" s="271"/>
      <c r="BJ71" s="271"/>
      <c r="BK71" s="271"/>
      <c r="BL71" s="271"/>
    </row>
    <row r="72" spans="1:111" ht="30" customHeight="1" x14ac:dyDescent="0.25">
      <c r="R72" s="34" t="s">
        <v>471</v>
      </c>
      <c r="S72" s="451"/>
      <c r="T72" s="14" t="s">
        <v>7</v>
      </c>
      <c r="V72" s="459">
        <v>1</v>
      </c>
      <c r="W72" s="460" t="s">
        <v>274</v>
      </c>
      <c r="X72" s="461" t="s">
        <v>379</v>
      </c>
      <c r="Y72" s="462">
        <v>62</v>
      </c>
      <c r="Z72" s="463">
        <v>100</v>
      </c>
      <c r="AA72" s="464">
        <f>IF($AC$396="","",ROW($A$396)-ROW($A$396))</f>
        <v>0</v>
      </c>
      <c r="AB72" s="461"/>
      <c r="AC72" s="465" t="s">
        <v>380</v>
      </c>
      <c r="AD72" s="390"/>
      <c r="AE72" s="13" t="s">
        <v>280</v>
      </c>
      <c r="AF72" s="26" t="s">
        <v>305</v>
      </c>
      <c r="AG72" s="467" t="str">
        <f t="shared" ref="AG72:AG106" si="4">IF($AC72="","",IF(LEN($AN72&amp;"")=0,"",$AN72))</f>
        <v>200</v>
      </c>
      <c r="AH72" s="468" t="str">
        <f t="shared" ref="AH72:AH106" si="5">IF($AC72="","",IF($AF72&lt;&gt;"",UPPER(TRIM(SUBSTITUTE(SUBSTITUTE($AF72&amp;"",CHAR(160)," ")," "," "))),$AP72))</f>
        <v>ŒUF(S)</v>
      </c>
      <c r="AI72" s="469" t="str">
        <f>IF($AC$72="","",IFERROR(INDEX($AZ$74:$AZ$119,MATCH($AH$72,$AY$74:$AY$119,0)),"AUTRE"))</f>
        <v>AUTRE</v>
      </c>
      <c r="AJ72" s="470">
        <f>IF($AC$72="","",IFERROR(INDEX($BA$74:$BA$119,MATCH($AH$72,$AY$74:$AY$119,0)),1))</f>
        <v>1</v>
      </c>
      <c r="AK72" s="470">
        <f t="shared" ref="AK72:AK106" si="6">IF(OR(AG72="",AJ72=""),"",AG72*AJ72)</f>
        <v>200</v>
      </c>
      <c r="AL72" s="469" t="str">
        <f>IF($AC$72="","",IFERROR(INDEX($BB$74:$BB$119,MATCH($AH$72,$AY$74:$AY$119,0)),$AH$72))</f>
        <v>œuf(s)</v>
      </c>
      <c r="AM72" s="471" t="str">
        <f t="shared" ref="AM72:AM106" si="7">IF($AC72="","",IF($AH72="QT. SUFFISANTE","OK",IF($AG72="","TEXTE",IF(NOT(ISNUMBER($AG72)),"QUANTITÉ À CONTRÔLER",IF(COUNTIF($AY$74:$AY$119,$AH72)=0,"UNITÉ À CONTRÔLER","OK")))))</f>
        <v>QUANTITÉ À CONTRÔLER</v>
      </c>
      <c r="AN72" s="472" t="str">
        <f>IF($AE72&lt;&gt;"",$AE72,IF($AD72="","",IF(ISNUMBER($AD72),$AD72,IF($AO72="QT",0,IF($AO72="","",IFERROR(IF(ISNUMBER(SEARCH("/",$AO72)),VALUE(TRIM(LEFT($AO72,SEARCH("/",$AO72)-1)))/VALUE(TRIM(MID($AO72,SEARCH("/",$AO72)+1,99))),VALUE(SUBSTITUTE($AO72,".",","))),""))))))</f>
        <v>200</v>
      </c>
      <c r="AO72" s="473" t="str">
        <f t="shared" ref="AO72:AO106" si="8">IF($AD72="","",IF(ISNUMBER($AD72),$AD72,IF(OR(LEFT($AQ72,3)="QT.",LEFT($AQ72,4)="QUAN"),"QT",IF($AR72=999,$AQ72,TRIM(LEFT($AQ72,$AR72-1))))))</f>
        <v/>
      </c>
      <c r="AP72" s="473" t="str">
        <f t="shared" ref="AP72:AP106" si="9">IF($AD72="","",IF(ISNUMBER($AD72),"",IF(OR(LEFT($AQ72,3)="QT.",LEFT($AQ72,4)="QUAN"),"QT. SUFFISANTE",IF($AO72="","",TRIM(MID($AQ72,LEN($AO72&amp;"")+1,999))))))</f>
        <v/>
      </c>
      <c r="AQ72" s="474" t="str">
        <f t="shared" ref="AQ72:AQ106" si="10">IF($AD72="","",UPPER(TRIM(SUBSTITUTE(SUBSTITUTE($AD72&amp;"",CHAR(160)," ")," "," "))))</f>
        <v/>
      </c>
      <c r="AR72" s="474" t="str">
        <f t="shared" ref="AR72:AR106" si="11">IF($AQ72="","",MIN($AS72,$AT72,$AU72))</f>
        <v/>
      </c>
      <c r="AS72" s="474" t="str">
        <f t="shared" ref="AS72:AS106" si="12">IF($AQ72="","",MIN(IFERROR(SEARCH("A",$AQ72),999),IFERROR(SEARCH("B",$AQ72),999),IFERROR(SEARCH("C",$AQ72),999),IFERROR(SEARCH("D",$AQ72),999),IFERROR(SEARCH("E",$AQ72),999),IFERROR(SEARCH("F",$AQ72),999),IFERROR(SEARCH("G",$AQ72),999),IFERROR(SEARCH("H",$AQ72),999),IFERROR(SEARCH("I",$AQ72),999)))</f>
        <v/>
      </c>
      <c r="AT72" s="474" t="str">
        <f t="shared" ref="AT72:AT106" si="13">IF($AQ72="","",MIN(IFERROR(SEARCH("J",$AQ72),999),IFERROR(SEARCH("K",$AQ72),999),IFERROR(SEARCH("L",$AQ72),999),IFERROR(SEARCH("M",$AQ72),999),IFERROR(SEARCH("N",$AQ72),999),IFERROR(SEARCH("O",$AQ72),999),IFERROR(SEARCH("P",$AQ72),999),IFERROR(SEARCH("Q",$AQ72),999),IFERROR(SEARCH("R",$AQ72),999)))</f>
        <v/>
      </c>
      <c r="AU72" s="474" t="str">
        <f t="shared" ref="AU72:AU106" si="14">IF($AQ72="","",MIN(IFERROR(SEARCH("S",$AQ72),999),IFERROR(SEARCH("T",$AQ72),999),IFERROR(SEARCH("U",$AQ72),999),IFERROR(SEARCH("V",$AQ72),999),IFERROR(SEARCH("W",$AQ72),999),IFERROR(SEARCH("X",$AQ72),999),IFERROR(SEARCH("Y",$AQ72),999),IFERROR(SEARCH("Z",$AQ72),999)))</f>
        <v/>
      </c>
      <c r="AY72" s="418"/>
      <c r="AZ72" s="418"/>
      <c r="BA72" s="418"/>
      <c r="BB72" s="419"/>
      <c r="BD72" s="279">
        <v>1</v>
      </c>
      <c r="BG72" s="271"/>
      <c r="BH72" s="271"/>
      <c r="BI72" s="271"/>
      <c r="BJ72" s="271"/>
      <c r="BK72" s="271"/>
      <c r="BL72" s="271"/>
    </row>
    <row r="73" spans="1:111" ht="21" customHeight="1" x14ac:dyDescent="0.25">
      <c r="R73" s="34" t="s">
        <v>472</v>
      </c>
      <c r="S73" s="451"/>
      <c r="T73" s="27" t="s">
        <v>8</v>
      </c>
      <c r="V73" s="475">
        <f>$V$72</f>
        <v>1</v>
      </c>
      <c r="W73" s="475" t="str">
        <f>IF($AC$73="","",$W$72)</f>
        <v/>
      </c>
      <c r="X73" s="476" t="str">
        <f>IF($AC$73="","",$X$72)</f>
        <v/>
      </c>
      <c r="Y73" s="477" t="str">
        <f>IF($X$73="","",$Y$72)</f>
        <v/>
      </c>
      <c r="Z73" s="477" t="str">
        <f>IF($X$73="","",$Z$72)</f>
        <v/>
      </c>
      <c r="AA73" s="477" t="str">
        <f>IF($AC$73="","",ROW($A$73)-ROW($A$72))</f>
        <v/>
      </c>
      <c r="AB73" s="478"/>
      <c r="AC73" s="34"/>
      <c r="AD73" s="356"/>
      <c r="AE73" s="18"/>
      <c r="AF73" s="19"/>
      <c r="AG73" s="480" t="str">
        <f t="shared" si="4"/>
        <v/>
      </c>
      <c r="AH73" s="481" t="str">
        <f t="shared" si="5"/>
        <v/>
      </c>
      <c r="AI73" s="477" t="str">
        <f>IF($AC$73="","",IFERROR(INDEX($AZ$74:$AZ$119,MATCH($AH$73,$AY$74:$AY$119,0)),"AUTRE"))</f>
        <v/>
      </c>
      <c r="AJ73" s="482" t="str">
        <f>IF($AC$73="","",IFERROR(INDEX($BA$74:$BA$119,MATCH($AH$73,$AY$74:$AY$119,0)),1))</f>
        <v/>
      </c>
      <c r="AK73" s="482" t="str">
        <f t="shared" si="6"/>
        <v/>
      </c>
      <c r="AL73" s="477" t="str">
        <f>IF($AC$73="","",IFERROR(INDEX($BB$74:$BB$119,MATCH($AH$73,$AY$74:$AY$119,0)),$AH$73))</f>
        <v/>
      </c>
      <c r="AM73" s="483" t="str">
        <f t="shared" si="7"/>
        <v/>
      </c>
      <c r="AN73" s="484" t="str">
        <f t="shared" ref="AN73:AN106" si="15">IF($AE73&lt;&gt;"",$AE73,IF($AD73="","",IF(ISNUMBER($AD73),$AD73,IF($AO73="QT",0,IF($AO73="","",IFERROR(IF(ISNUMBER(SEARCH("/",$AO73)),VALUE(TRIM(LEFT($AO73,SEARCH("/",$AO73)-1)))/VALUE(TRIM(MID($AO73,SEARCH("/",$AO73)+1,99))),VALUE(SUBSTITUTE($AO73,".",","))),""))))))</f>
        <v/>
      </c>
      <c r="AO73" s="473" t="str">
        <f t="shared" si="8"/>
        <v/>
      </c>
      <c r="AP73" s="473" t="str">
        <f t="shared" si="9"/>
        <v/>
      </c>
      <c r="AQ73" s="473" t="str">
        <f t="shared" si="10"/>
        <v/>
      </c>
      <c r="AR73" s="473" t="str">
        <f t="shared" si="11"/>
        <v/>
      </c>
      <c r="AS73" s="473" t="str">
        <f t="shared" si="12"/>
        <v/>
      </c>
      <c r="AT73" s="473" t="str">
        <f t="shared" si="13"/>
        <v/>
      </c>
      <c r="AU73" s="473" t="str">
        <f t="shared" si="14"/>
        <v/>
      </c>
      <c r="AY73" s="440" t="s">
        <v>8110</v>
      </c>
      <c r="AZ73" s="485" t="s">
        <v>34</v>
      </c>
      <c r="BA73" s="485" t="s">
        <v>8123</v>
      </c>
      <c r="BB73" s="486" t="s">
        <v>8124</v>
      </c>
      <c r="BD73" s="279">
        <v>1</v>
      </c>
      <c r="BG73" s="271"/>
      <c r="BH73" s="271"/>
      <c r="BI73" s="271"/>
      <c r="BJ73" s="271"/>
      <c r="BK73" s="271"/>
      <c r="BL73" s="271"/>
    </row>
    <row r="74" spans="1:111" ht="21" customHeight="1" x14ac:dyDescent="0.25">
      <c r="R74" s="34" t="s">
        <v>6112</v>
      </c>
      <c r="S74" s="451"/>
      <c r="T74" s="28" t="s">
        <v>13</v>
      </c>
      <c r="V74" s="475">
        <v>1</v>
      </c>
      <c r="W74" s="475" t="str">
        <f>IF($AC$74="","",$W$72)</f>
        <v>N° 45</v>
      </c>
      <c r="X74" s="476" t="str">
        <f>IF($AC$74="","",$X$72)</f>
        <v>ŒUFS EN MEURETTE*</v>
      </c>
      <c r="Y74" s="477">
        <f>IF($X$74="","",$Y$72)</f>
        <v>62</v>
      </c>
      <c r="Z74" s="477">
        <f>IF($X$74="","",$Z$72)</f>
        <v>100</v>
      </c>
      <c r="AA74" s="477">
        <f>IF($AC$74="","",ROW($A$74)-ROW($A$72))</f>
        <v>2</v>
      </c>
      <c r="AB74" s="487"/>
      <c r="AC74" s="34" t="s">
        <v>381</v>
      </c>
      <c r="AD74" s="356"/>
      <c r="AE74" s="18">
        <v>12</v>
      </c>
      <c r="AF74" s="6" t="s">
        <v>9</v>
      </c>
      <c r="AG74" s="480">
        <f t="shared" si="4"/>
        <v>12</v>
      </c>
      <c r="AH74" s="481" t="str">
        <f t="shared" si="5"/>
        <v>L</v>
      </c>
      <c r="AI74" s="477" t="str">
        <f>IF($AC$74="","",IFERROR(INDEX($AZ$74:$AZ$119,MATCH($AH$74,$AY$74:$AY$119,0)),"AUTRE"))</f>
        <v>VOLUME</v>
      </c>
      <c r="AJ74" s="482">
        <f>IF($AC$74="","",IFERROR(INDEX($BA$74:$BA$119,MATCH($AH$74,$AY$74:$AY$119,0)),1))</f>
        <v>1</v>
      </c>
      <c r="AK74" s="482">
        <f t="shared" si="6"/>
        <v>12</v>
      </c>
      <c r="AL74" s="477" t="str">
        <f>IF($AC$74="","",IFERROR(INDEX($BB$74:$BB$119,MATCH($AH$74,$AY$74:$AY$119,0)),$AH$74))</f>
        <v>L</v>
      </c>
      <c r="AM74" s="483" t="str">
        <f t="shared" si="7"/>
        <v>OK</v>
      </c>
      <c r="AN74" s="484">
        <f t="shared" si="15"/>
        <v>12</v>
      </c>
      <c r="AO74" s="473" t="str">
        <f t="shared" si="8"/>
        <v/>
      </c>
      <c r="AP74" s="473" t="str">
        <f t="shared" si="9"/>
        <v/>
      </c>
      <c r="AQ74" s="473" t="str">
        <f t="shared" si="10"/>
        <v/>
      </c>
      <c r="AR74" s="473" t="str">
        <f t="shared" si="11"/>
        <v/>
      </c>
      <c r="AS74" s="473" t="str">
        <f t="shared" si="12"/>
        <v/>
      </c>
      <c r="AT74" s="473" t="str">
        <f t="shared" si="13"/>
        <v/>
      </c>
      <c r="AU74" s="473" t="str">
        <f t="shared" si="14"/>
        <v/>
      </c>
      <c r="AY74" s="14" t="s">
        <v>7</v>
      </c>
      <c r="AZ74" s="488" t="s">
        <v>35</v>
      </c>
      <c r="BA74" s="418">
        <v>1</v>
      </c>
      <c r="BB74" s="419" t="s">
        <v>36</v>
      </c>
      <c r="BD74" s="279">
        <v>1</v>
      </c>
      <c r="BG74" s="271"/>
      <c r="BH74" s="271"/>
      <c r="BI74" s="271"/>
      <c r="BJ74" s="271"/>
      <c r="BK74" s="271"/>
      <c r="BL74" s="271"/>
    </row>
    <row r="75" spans="1:111" ht="21" customHeight="1" x14ac:dyDescent="0.25">
      <c r="R75" s="25" t="s">
        <v>6116</v>
      </c>
      <c r="S75" s="451"/>
      <c r="T75" s="28" t="s">
        <v>14</v>
      </c>
      <c r="V75" s="475">
        <v>1</v>
      </c>
      <c r="W75" s="475" t="str">
        <f>IF($AC$75="","",$W$72)</f>
        <v>N° 45</v>
      </c>
      <c r="X75" s="476" t="str">
        <f>IF($AC$75="","",$X$72)</f>
        <v>ŒUFS EN MEURETTE*</v>
      </c>
      <c r="Y75" s="477">
        <f>IF($X$75="","",$Y$72)</f>
        <v>62</v>
      </c>
      <c r="Z75" s="477">
        <f>IF($X$75="","",$Z$72)</f>
        <v>100</v>
      </c>
      <c r="AA75" s="477">
        <f>IF($AC$75="","",ROW($A$75)-ROW($A$72))</f>
        <v>3</v>
      </c>
      <c r="AB75" s="478"/>
      <c r="AC75" s="34" t="s">
        <v>122</v>
      </c>
      <c r="AD75" s="356"/>
      <c r="AE75" s="18">
        <v>1</v>
      </c>
      <c r="AF75" s="3" t="s">
        <v>7</v>
      </c>
      <c r="AG75" s="480">
        <f t="shared" si="4"/>
        <v>1</v>
      </c>
      <c r="AH75" s="481" t="str">
        <f t="shared" si="5"/>
        <v>KG</v>
      </c>
      <c r="AI75" s="477" t="str">
        <f>IF($AC$75="","",IFERROR(INDEX($AZ$74:$AZ$119,MATCH($AH$75,$AY$74:$AY$119,0)),"AUTRE"))</f>
        <v>MASSE</v>
      </c>
      <c r="AJ75" s="482">
        <f>IF($AC$75="","",IFERROR(INDEX($BA$74:$BA$119,MATCH($AH$75,$AY$74:$AY$119,0)),1))</f>
        <v>1</v>
      </c>
      <c r="AK75" s="482">
        <f t="shared" si="6"/>
        <v>1</v>
      </c>
      <c r="AL75" s="477" t="str">
        <f>IF($AC$75="","",IFERROR(INDEX($BB$74:$BB$119,MATCH($AH$75,$AY$74:$AY$119,0)),$AH$75))</f>
        <v>kg</v>
      </c>
      <c r="AM75" s="483" t="str">
        <f t="shared" si="7"/>
        <v>OK</v>
      </c>
      <c r="AN75" s="484">
        <f t="shared" si="15"/>
        <v>1</v>
      </c>
      <c r="AO75" s="473" t="str">
        <f t="shared" si="8"/>
        <v/>
      </c>
      <c r="AP75" s="473" t="str">
        <f t="shared" si="9"/>
        <v/>
      </c>
      <c r="AQ75" s="473" t="str">
        <f t="shared" si="10"/>
        <v/>
      </c>
      <c r="AR75" s="473" t="str">
        <f t="shared" si="11"/>
        <v/>
      </c>
      <c r="AS75" s="473" t="str">
        <f t="shared" si="12"/>
        <v/>
      </c>
      <c r="AT75" s="473" t="str">
        <f t="shared" si="13"/>
        <v/>
      </c>
      <c r="AU75" s="473" t="str">
        <f t="shared" si="14"/>
        <v/>
      </c>
      <c r="AY75" s="27" t="s">
        <v>8</v>
      </c>
      <c r="AZ75" s="488" t="s">
        <v>35</v>
      </c>
      <c r="BA75" s="489">
        <v>1E-3</v>
      </c>
      <c r="BB75" s="419" t="s">
        <v>36</v>
      </c>
      <c r="BD75" s="279">
        <v>1</v>
      </c>
      <c r="BG75" s="271"/>
      <c r="BH75" s="271"/>
      <c r="BI75" s="271"/>
      <c r="BJ75" s="271"/>
      <c r="BK75" s="271"/>
      <c r="BL75" s="271"/>
    </row>
    <row r="76" spans="1:111" ht="21" customHeight="1" x14ac:dyDescent="0.25">
      <c r="R76" s="34" t="s">
        <v>6117</v>
      </c>
      <c r="S76" s="451"/>
      <c r="T76" s="28" t="s">
        <v>15</v>
      </c>
      <c r="V76" s="475">
        <v>1</v>
      </c>
      <c r="W76" s="475" t="str">
        <f>IF($AC$76="","",$W$72)</f>
        <v>N° 45</v>
      </c>
      <c r="X76" s="476" t="str">
        <f>IF($AC$76="","",$X$72)</f>
        <v>ŒUFS EN MEURETTE*</v>
      </c>
      <c r="Y76" s="477">
        <f>IF($X$76="","",$Y$72)</f>
        <v>62</v>
      </c>
      <c r="Z76" s="477">
        <f>IF($X$76="","",$Z$72)</f>
        <v>100</v>
      </c>
      <c r="AA76" s="477">
        <f>IF($AC$76="","",ROW($A$76)-ROW($A$72))</f>
        <v>4</v>
      </c>
      <c r="AB76" s="478"/>
      <c r="AC76" s="34" t="s">
        <v>275</v>
      </c>
      <c r="AD76" s="356"/>
      <c r="AE76" s="18">
        <v>1</v>
      </c>
      <c r="AF76" s="3" t="s">
        <v>7</v>
      </c>
      <c r="AG76" s="480">
        <f t="shared" si="4"/>
        <v>1</v>
      </c>
      <c r="AH76" s="481" t="str">
        <f t="shared" si="5"/>
        <v>KG</v>
      </c>
      <c r="AI76" s="477" t="str">
        <f>IF($AC$76="","",IFERROR(INDEX($AZ$74:$AZ$119,MATCH($AH$76,$AY$74:$AY$119,0)),"AUTRE"))</f>
        <v>MASSE</v>
      </c>
      <c r="AJ76" s="482">
        <f>IF($AC$76="","",IFERROR(INDEX($BA$74:$BA$119,MATCH($AH$76,$AY$74:$AY$119,0)),1))</f>
        <v>1</v>
      </c>
      <c r="AK76" s="482">
        <f t="shared" si="6"/>
        <v>1</v>
      </c>
      <c r="AL76" s="477" t="str">
        <f>IF($AC$76="","",IFERROR(INDEX($BB$74:$BB$119,MATCH($AH$76,$AY$74:$AY$119,0)),$AH$76))</f>
        <v>kg</v>
      </c>
      <c r="AM76" s="483" t="str">
        <f t="shared" si="7"/>
        <v>OK</v>
      </c>
      <c r="AN76" s="484">
        <f t="shared" si="15"/>
        <v>1</v>
      </c>
      <c r="AO76" s="473" t="str">
        <f t="shared" si="8"/>
        <v/>
      </c>
      <c r="AP76" s="473" t="str">
        <f t="shared" si="9"/>
        <v/>
      </c>
      <c r="AQ76" s="473" t="str">
        <f t="shared" si="10"/>
        <v/>
      </c>
      <c r="AR76" s="473" t="str">
        <f t="shared" si="11"/>
        <v/>
      </c>
      <c r="AS76" s="473" t="str">
        <f t="shared" si="12"/>
        <v/>
      </c>
      <c r="AT76" s="473" t="str">
        <f t="shared" si="13"/>
        <v/>
      </c>
      <c r="AU76" s="473" t="str">
        <f t="shared" si="14"/>
        <v/>
      </c>
      <c r="AY76" s="28" t="s">
        <v>13</v>
      </c>
      <c r="AZ76" s="488" t="s">
        <v>35</v>
      </c>
      <c r="BA76" s="489">
        <v>0.25</v>
      </c>
      <c r="BB76" s="419" t="s">
        <v>36</v>
      </c>
      <c r="BD76" s="279">
        <v>1</v>
      </c>
      <c r="BG76" s="271"/>
      <c r="BH76" s="271"/>
      <c r="BI76" s="271"/>
      <c r="BJ76" s="271"/>
      <c r="BK76" s="271"/>
      <c r="BL76" s="271"/>
    </row>
    <row r="77" spans="1:111" ht="21" customHeight="1" x14ac:dyDescent="0.25">
      <c r="R77" s="34" t="s">
        <v>469</v>
      </c>
      <c r="S77" s="451"/>
      <c r="T77" s="28" t="s">
        <v>21</v>
      </c>
      <c r="V77" s="475">
        <v>1</v>
      </c>
      <c r="W77" s="475" t="str">
        <f>IF($AC$77="","",$W$72)</f>
        <v>N° 45</v>
      </c>
      <c r="X77" s="476" t="str">
        <f>IF($AC$77="","",$X$72)</f>
        <v>ŒUFS EN MEURETTE*</v>
      </c>
      <c r="Y77" s="477">
        <f>IF($X$77="","",$Y$72)</f>
        <v>62</v>
      </c>
      <c r="Z77" s="477">
        <f>IF($X$77="","",$Z$72)</f>
        <v>100</v>
      </c>
      <c r="AA77" s="477">
        <f>IF($AC$77="","",ROW($A$77)-ROW($A$72))</f>
        <v>5</v>
      </c>
      <c r="AB77" s="478"/>
      <c r="AC77" s="34" t="s">
        <v>41</v>
      </c>
      <c r="AD77" s="356"/>
      <c r="AE77" s="18">
        <v>200</v>
      </c>
      <c r="AF77" s="5" t="s">
        <v>8</v>
      </c>
      <c r="AG77" s="480">
        <f t="shared" si="4"/>
        <v>200</v>
      </c>
      <c r="AH77" s="481" t="str">
        <f t="shared" si="5"/>
        <v>G</v>
      </c>
      <c r="AI77" s="477" t="str">
        <f>IF($AC$77="","",IFERROR(INDEX($AZ$74:$AZ$119,MATCH($AH$77,$AY$74:$AY$119,0)),"AUTRE"))</f>
        <v>MASSE</v>
      </c>
      <c r="AJ77" s="482">
        <f>IF($AC$77="","",IFERROR(INDEX($BA$74:$BA$119,MATCH($AH$77,$AY$74:$AY$119,0)),1))</f>
        <v>1E-3</v>
      </c>
      <c r="AK77" s="482">
        <f t="shared" si="6"/>
        <v>0.2</v>
      </c>
      <c r="AL77" s="477" t="str">
        <f>IF($AC$77="","",IFERROR(INDEX($BB$74:$BB$119,MATCH($AH$77,$AY$74:$AY$119,0)),$AH$77))</f>
        <v>kg</v>
      </c>
      <c r="AM77" s="483" t="str">
        <f t="shared" si="7"/>
        <v>OK</v>
      </c>
      <c r="AN77" s="484">
        <f t="shared" si="15"/>
        <v>200</v>
      </c>
      <c r="AO77" s="473" t="str">
        <f t="shared" si="8"/>
        <v/>
      </c>
      <c r="AP77" s="473" t="str">
        <f t="shared" si="9"/>
        <v/>
      </c>
      <c r="AQ77" s="473" t="str">
        <f t="shared" si="10"/>
        <v/>
      </c>
      <c r="AR77" s="473" t="str">
        <f t="shared" si="11"/>
        <v/>
      </c>
      <c r="AS77" s="473" t="str">
        <f t="shared" si="12"/>
        <v/>
      </c>
      <c r="AT77" s="473" t="str">
        <f t="shared" si="13"/>
        <v/>
      </c>
      <c r="AU77" s="473" t="str">
        <f t="shared" si="14"/>
        <v/>
      </c>
      <c r="AY77" s="28" t="s">
        <v>14</v>
      </c>
      <c r="AZ77" s="488" t="s">
        <v>35</v>
      </c>
      <c r="BA77" s="489">
        <v>0.33333333300000001</v>
      </c>
      <c r="BB77" s="419" t="s">
        <v>36</v>
      </c>
      <c r="BD77" s="279">
        <v>1</v>
      </c>
      <c r="BG77" s="271"/>
      <c r="BH77" s="271"/>
      <c r="BI77" s="271"/>
      <c r="BJ77" s="271"/>
      <c r="BK77" s="271"/>
      <c r="BL77" s="271"/>
    </row>
    <row r="78" spans="1:111" ht="21" customHeight="1" x14ac:dyDescent="0.25">
      <c r="R78" s="34" t="s">
        <v>6118</v>
      </c>
      <c r="S78" s="451"/>
      <c r="T78" s="28" t="s">
        <v>22</v>
      </c>
      <c r="V78" s="475">
        <v>1</v>
      </c>
      <c r="W78" s="475" t="str">
        <f>IF($AC$78="","",$W$72)</f>
        <v>N° 45</v>
      </c>
      <c r="X78" s="476" t="str">
        <f>IF($AC$78="","",$X$72)</f>
        <v>ŒUFS EN MEURETTE*</v>
      </c>
      <c r="Y78" s="477">
        <f>IF($X$78="","",$Y$72)</f>
        <v>62</v>
      </c>
      <c r="Z78" s="477">
        <f>IF($X$78="","",$Z$72)</f>
        <v>100</v>
      </c>
      <c r="AA78" s="477">
        <f>IF($AC$78="","",ROW($A$78)-ROW($A$72))</f>
        <v>6</v>
      </c>
      <c r="AB78" s="478"/>
      <c r="AC78" s="34" t="s">
        <v>83</v>
      </c>
      <c r="AD78" s="356"/>
      <c r="AE78" s="18" t="s">
        <v>281</v>
      </c>
      <c r="AF78" s="23" t="s">
        <v>309</v>
      </c>
      <c r="AG78" s="480" t="str">
        <f t="shared" si="4"/>
        <v>1</v>
      </c>
      <c r="AH78" s="481" t="str">
        <f t="shared" si="5"/>
        <v>PIÈCE(S)</v>
      </c>
      <c r="AI78" s="477" t="str">
        <f>IF($AC$78="","",IFERROR(INDEX($AZ$74:$AZ$119,MATCH($AH$78,$AY$74:$AY$119,0)),"AUTRE"))</f>
        <v>AUTRE</v>
      </c>
      <c r="AJ78" s="482">
        <f>IF($AC$78="","",IFERROR(INDEX($BA$74:$BA$119,MATCH($AH$78,$AY$74:$AY$119,0)),1))</f>
        <v>1</v>
      </c>
      <c r="AK78" s="482">
        <f t="shared" si="6"/>
        <v>1</v>
      </c>
      <c r="AL78" s="477" t="str">
        <f>IF($AC$78="","",IFERROR(INDEX($BB$74:$BB$119,MATCH($AH$78,$AY$74:$AY$119,0)),$AH$78))</f>
        <v>pièce(s)</v>
      </c>
      <c r="AM78" s="483" t="str">
        <f t="shared" si="7"/>
        <v>QUANTITÉ À CONTRÔLER</v>
      </c>
      <c r="AN78" s="484" t="str">
        <f t="shared" si="15"/>
        <v>1</v>
      </c>
      <c r="AO78" s="473" t="str">
        <f t="shared" si="8"/>
        <v/>
      </c>
      <c r="AP78" s="473" t="str">
        <f t="shared" si="9"/>
        <v/>
      </c>
      <c r="AQ78" s="473" t="str">
        <f t="shared" si="10"/>
        <v/>
      </c>
      <c r="AR78" s="473" t="str">
        <f t="shared" si="11"/>
        <v/>
      </c>
      <c r="AS78" s="473" t="str">
        <f t="shared" si="12"/>
        <v/>
      </c>
      <c r="AT78" s="473" t="str">
        <f t="shared" si="13"/>
        <v/>
      </c>
      <c r="AU78" s="473" t="str">
        <f t="shared" si="14"/>
        <v/>
      </c>
      <c r="AY78" s="28" t="s">
        <v>15</v>
      </c>
      <c r="AZ78" s="488" t="s">
        <v>35</v>
      </c>
      <c r="BA78" s="489">
        <v>0.5</v>
      </c>
      <c r="BB78" s="419" t="s">
        <v>36</v>
      </c>
      <c r="BD78" s="279">
        <v>1</v>
      </c>
      <c r="BG78" s="271"/>
      <c r="BH78" s="271"/>
      <c r="BI78" s="271"/>
      <c r="BJ78" s="271"/>
      <c r="BK78" s="271"/>
      <c r="BL78" s="271"/>
    </row>
    <row r="79" spans="1:111" ht="21" customHeight="1" x14ac:dyDescent="0.25">
      <c r="R79" s="34" t="s">
        <v>492</v>
      </c>
      <c r="S79" s="451"/>
      <c r="T79" s="28" t="s">
        <v>23</v>
      </c>
      <c r="V79" s="475">
        <v>1</v>
      </c>
      <c r="W79" s="475" t="str">
        <f>IF($AC$79="","",$W$72)</f>
        <v>N° 45</v>
      </c>
      <c r="X79" s="476" t="str">
        <f>IF($AC$79="","",$X$72)</f>
        <v>ŒUFS EN MEURETTE*</v>
      </c>
      <c r="Y79" s="477">
        <f>IF($X$79="","",$Y$72)</f>
        <v>62</v>
      </c>
      <c r="Z79" s="477">
        <f>IF($X$79="","",$Z$72)</f>
        <v>100</v>
      </c>
      <c r="AA79" s="477">
        <f>IF($AC$79="","",ROW($A$79)-ROW($A$72))</f>
        <v>7</v>
      </c>
      <c r="AB79" s="478"/>
      <c r="AC79" s="34" t="s">
        <v>276</v>
      </c>
      <c r="AD79" s="356"/>
      <c r="AE79" s="18">
        <v>15</v>
      </c>
      <c r="AF79" s="5" t="s">
        <v>8</v>
      </c>
      <c r="AG79" s="480">
        <f t="shared" si="4"/>
        <v>15</v>
      </c>
      <c r="AH79" s="481" t="str">
        <f t="shared" si="5"/>
        <v>G</v>
      </c>
      <c r="AI79" s="477" t="str">
        <f>IF($AC$79="","",IFERROR(INDEX($AZ$74:$AZ$119,MATCH($AH$79,$AY$74:$AY$119,0)),"AUTRE"))</f>
        <v>MASSE</v>
      </c>
      <c r="AJ79" s="482">
        <f>IF($AC$79="","",IFERROR(INDEX($BA$74:$BA$119,MATCH($AH$79,$AY$74:$AY$119,0)),1))</f>
        <v>1E-3</v>
      </c>
      <c r="AK79" s="482">
        <f t="shared" si="6"/>
        <v>1.4999999999999999E-2</v>
      </c>
      <c r="AL79" s="477" t="str">
        <f>IF($AC$79="","",IFERROR(INDEX($BB$74:$BB$119,MATCH($AH$79,$AY$74:$AY$119,0)),$AH$79))</f>
        <v>kg</v>
      </c>
      <c r="AM79" s="483" t="str">
        <f t="shared" si="7"/>
        <v>OK</v>
      </c>
      <c r="AN79" s="484">
        <f t="shared" si="15"/>
        <v>15</v>
      </c>
      <c r="AO79" s="473" t="str">
        <f t="shared" si="8"/>
        <v/>
      </c>
      <c r="AP79" s="473" t="str">
        <f t="shared" si="9"/>
        <v/>
      </c>
      <c r="AQ79" s="473" t="str">
        <f t="shared" si="10"/>
        <v/>
      </c>
      <c r="AR79" s="473" t="str">
        <f t="shared" si="11"/>
        <v/>
      </c>
      <c r="AS79" s="473" t="str">
        <f t="shared" si="12"/>
        <v/>
      </c>
      <c r="AT79" s="473" t="str">
        <f t="shared" si="13"/>
        <v/>
      </c>
      <c r="AU79" s="473" t="str">
        <f t="shared" si="14"/>
        <v/>
      </c>
      <c r="AY79" s="29" t="s">
        <v>9</v>
      </c>
      <c r="AZ79" s="488" t="s">
        <v>37</v>
      </c>
      <c r="BA79" s="489">
        <v>1</v>
      </c>
      <c r="BB79" s="419" t="s">
        <v>9</v>
      </c>
      <c r="BD79" s="279">
        <v>1</v>
      </c>
      <c r="BG79" s="271"/>
      <c r="BH79" s="271"/>
      <c r="BI79" s="271"/>
      <c r="BJ79" s="271"/>
      <c r="BK79" s="271"/>
      <c r="BL79" s="271"/>
    </row>
    <row r="80" spans="1:111" ht="21" customHeight="1" x14ac:dyDescent="0.25">
      <c r="R80" s="34" t="s">
        <v>458</v>
      </c>
      <c r="S80" s="451"/>
      <c r="T80" s="28" t="s">
        <v>24</v>
      </c>
      <c r="V80" s="475">
        <v>1</v>
      </c>
      <c r="W80" s="475" t="str">
        <f>IF($AC$80="","",$W$72)</f>
        <v>N° 45</v>
      </c>
      <c r="X80" s="476" t="str">
        <f>IF($AC$80="","",$X$72)</f>
        <v>ŒUFS EN MEURETTE*</v>
      </c>
      <c r="Y80" s="477">
        <f>IF($X$80="","",$Y$72)</f>
        <v>62</v>
      </c>
      <c r="Z80" s="477">
        <f>IF($X$80="","",$Z$72)</f>
        <v>100</v>
      </c>
      <c r="AA80" s="477">
        <f>IF($AC$80="","",ROW($A$80)-ROW($A$72))</f>
        <v>8</v>
      </c>
      <c r="AB80" s="478"/>
      <c r="AC80" s="34" t="s">
        <v>277</v>
      </c>
      <c r="AD80" s="356"/>
      <c r="AE80" s="18" t="s">
        <v>136</v>
      </c>
      <c r="AF80" s="23" t="s">
        <v>309</v>
      </c>
      <c r="AG80" s="480" t="str">
        <f t="shared" si="4"/>
        <v>5</v>
      </c>
      <c r="AH80" s="481" t="str">
        <f t="shared" si="5"/>
        <v>PIÈCE(S)</v>
      </c>
      <c r="AI80" s="477" t="str">
        <f>IF($AC$80="","",IFERROR(INDEX($AZ$74:$AZ$119,MATCH($AH$80,$AY$74:$AY$119,0)),"AUTRE"))</f>
        <v>AUTRE</v>
      </c>
      <c r="AJ80" s="482">
        <f>IF($AC$80="","",IFERROR(INDEX($BA$74:$BA$119,MATCH($AH$80,$AY$74:$AY$119,0)),1))</f>
        <v>1</v>
      </c>
      <c r="AK80" s="482">
        <f t="shared" si="6"/>
        <v>5</v>
      </c>
      <c r="AL80" s="477" t="str">
        <f>IF($AC$80="","",IFERROR(INDEX($BB$74:$BB$119,MATCH($AH$80,$AY$74:$AY$119,0)),$AH$80))</f>
        <v>pièce(s)</v>
      </c>
      <c r="AM80" s="483" t="str">
        <f t="shared" si="7"/>
        <v>QUANTITÉ À CONTRÔLER</v>
      </c>
      <c r="AN80" s="484" t="str">
        <f t="shared" si="15"/>
        <v>5</v>
      </c>
      <c r="AO80" s="473" t="str">
        <f t="shared" si="8"/>
        <v/>
      </c>
      <c r="AP80" s="473" t="str">
        <f t="shared" si="9"/>
        <v/>
      </c>
      <c r="AQ80" s="473" t="str">
        <f t="shared" si="10"/>
        <v/>
      </c>
      <c r="AR80" s="473" t="str">
        <f t="shared" si="11"/>
        <v/>
      </c>
      <c r="AS80" s="473" t="str">
        <f t="shared" si="12"/>
        <v/>
      </c>
      <c r="AT80" s="473" t="str">
        <f t="shared" si="13"/>
        <v/>
      </c>
      <c r="AU80" s="473" t="str">
        <f t="shared" si="14"/>
        <v/>
      </c>
      <c r="AY80" s="30" t="s">
        <v>10</v>
      </c>
      <c r="AZ80" s="488" t="s">
        <v>37</v>
      </c>
      <c r="BA80" s="489">
        <v>0.1</v>
      </c>
      <c r="BB80" s="419" t="s">
        <v>9</v>
      </c>
      <c r="BD80" s="279">
        <v>1</v>
      </c>
      <c r="BG80" s="271"/>
      <c r="BH80" s="271"/>
      <c r="BI80" s="271"/>
      <c r="BJ80" s="271"/>
      <c r="BK80" s="271"/>
      <c r="BL80" s="271"/>
    </row>
    <row r="81" spans="18:64" ht="21" customHeight="1" x14ac:dyDescent="0.25">
      <c r="R81" s="490"/>
      <c r="S81" s="451"/>
      <c r="T81" s="29" t="s">
        <v>9</v>
      </c>
      <c r="V81" s="475">
        <v>1</v>
      </c>
      <c r="W81" s="475" t="str">
        <f>IF($AC$81="","",$W$72)</f>
        <v/>
      </c>
      <c r="X81" s="476" t="str">
        <f>IF($AC$81="","",$X$72)</f>
        <v/>
      </c>
      <c r="Y81" s="477" t="str">
        <f>IF($X$81="","",$Y$72)</f>
        <v/>
      </c>
      <c r="Z81" s="477" t="str">
        <f>IF($X$81="","",$Z$72)</f>
        <v/>
      </c>
      <c r="AA81" s="477" t="str">
        <f>IF($AC$81="","",ROW($A$81)-ROW($A$72))</f>
        <v/>
      </c>
      <c r="AB81" s="478"/>
      <c r="AC81" s="34" t="s">
        <v>345</v>
      </c>
      <c r="AD81" s="356"/>
      <c r="AE81" s="18"/>
      <c r="AF81" s="19"/>
      <c r="AG81" s="480" t="str">
        <f t="shared" si="4"/>
        <v/>
      </c>
      <c r="AH81" s="481" t="str">
        <f t="shared" si="5"/>
        <v/>
      </c>
      <c r="AI81" s="477" t="str">
        <f>IF($AC$81="","",IFERROR(INDEX($AZ$74:$AZ$119,MATCH($AH$81,$AY$74:$AY$119,0)),"AUTRE"))</f>
        <v/>
      </c>
      <c r="AJ81" s="482" t="str">
        <f>IF($AC$81="","",IFERROR(INDEX($BA$74:$BA$119,MATCH($AH$81,$AY$74:$AY$119,0)),1))</f>
        <v/>
      </c>
      <c r="AK81" s="482" t="str">
        <f t="shared" si="6"/>
        <v/>
      </c>
      <c r="AL81" s="477" t="str">
        <f>IF($AC$81="","",IFERROR(INDEX($BB$74:$BB$119,MATCH($AH$81,$AY$74:$AY$119,0)),$AH$81))</f>
        <v/>
      </c>
      <c r="AM81" s="483" t="str">
        <f t="shared" si="7"/>
        <v/>
      </c>
      <c r="AN81" s="484" t="str">
        <f t="shared" si="15"/>
        <v/>
      </c>
      <c r="AO81" s="473" t="str">
        <f t="shared" si="8"/>
        <v/>
      </c>
      <c r="AP81" s="473" t="str">
        <f t="shared" si="9"/>
        <v/>
      </c>
      <c r="AQ81" s="473" t="str">
        <f t="shared" si="10"/>
        <v/>
      </c>
      <c r="AR81" s="473" t="str">
        <f t="shared" si="11"/>
        <v/>
      </c>
      <c r="AS81" s="473" t="str">
        <f t="shared" si="12"/>
        <v/>
      </c>
      <c r="AT81" s="473" t="str">
        <f t="shared" si="13"/>
        <v/>
      </c>
      <c r="AU81" s="473" t="str">
        <f t="shared" si="14"/>
        <v/>
      </c>
      <c r="AY81" s="30" t="s">
        <v>11</v>
      </c>
      <c r="AZ81" s="488" t="s">
        <v>37</v>
      </c>
      <c r="BA81" s="489">
        <v>0.01</v>
      </c>
      <c r="BB81" s="419" t="s">
        <v>9</v>
      </c>
      <c r="BD81" s="279">
        <v>1</v>
      </c>
      <c r="BG81" s="271"/>
      <c r="BH81" s="271"/>
      <c r="BI81" s="271"/>
      <c r="BJ81" s="271"/>
      <c r="BK81" s="271"/>
      <c r="BL81" s="271"/>
    </row>
    <row r="82" spans="18:64" ht="21" customHeight="1" x14ac:dyDescent="0.25">
      <c r="R82" s="25" t="s">
        <v>6119</v>
      </c>
      <c r="S82" s="451"/>
      <c r="T82" s="30" t="s">
        <v>10</v>
      </c>
      <c r="V82" s="475">
        <v>1</v>
      </c>
      <c r="W82" s="475" t="str">
        <f>IF($AC$82="","",$W$72)</f>
        <v>N° 45</v>
      </c>
      <c r="X82" s="476" t="str">
        <f>IF($AC$82="","",$X$72)</f>
        <v>ŒUFS EN MEURETTE*</v>
      </c>
      <c r="Y82" s="477">
        <f>IF($X$82="","",$Y$72)</f>
        <v>62</v>
      </c>
      <c r="Z82" s="477">
        <f>IF($X$82="","",$Z$72)</f>
        <v>100</v>
      </c>
      <c r="AA82" s="477">
        <f>IF($AC$82="","",ROW($A$82)-ROW($A$72))</f>
        <v>10</v>
      </c>
      <c r="AB82" s="478"/>
      <c r="AC82" s="34" t="s">
        <v>372</v>
      </c>
      <c r="AD82" s="356"/>
      <c r="AE82" s="18">
        <v>550</v>
      </c>
      <c r="AF82" s="5" t="s">
        <v>8</v>
      </c>
      <c r="AG82" s="480">
        <f t="shared" si="4"/>
        <v>550</v>
      </c>
      <c r="AH82" s="481" t="str">
        <f t="shared" si="5"/>
        <v>G</v>
      </c>
      <c r="AI82" s="477" t="str">
        <f>IF($AC$82="","",IFERROR(INDEX($AZ$74:$AZ$119,MATCH($AH$82,$AY$74:$AY$119,0)),"AUTRE"))</f>
        <v>MASSE</v>
      </c>
      <c r="AJ82" s="482">
        <f>IF($AC$82="","",IFERROR(INDEX($BA$74:$BA$119,MATCH($AH$82,$AY$74:$AY$119,0)),1))</f>
        <v>1E-3</v>
      </c>
      <c r="AK82" s="482">
        <f t="shared" si="6"/>
        <v>0.55000000000000004</v>
      </c>
      <c r="AL82" s="477" t="str">
        <f>IF($AC$82="","",IFERROR(INDEX($BB$74:$BB$119,MATCH($AH$82,$AY$74:$AY$119,0)),$AH$82))</f>
        <v>kg</v>
      </c>
      <c r="AM82" s="483" t="str">
        <f t="shared" si="7"/>
        <v>OK</v>
      </c>
      <c r="AN82" s="484">
        <f t="shared" si="15"/>
        <v>550</v>
      </c>
      <c r="AO82" s="473" t="str">
        <f t="shared" si="8"/>
        <v/>
      </c>
      <c r="AP82" s="473" t="str">
        <f t="shared" si="9"/>
        <v/>
      </c>
      <c r="AQ82" s="473" t="str">
        <f t="shared" si="10"/>
        <v/>
      </c>
      <c r="AR82" s="473" t="str">
        <f t="shared" si="11"/>
        <v/>
      </c>
      <c r="AS82" s="473" t="str">
        <f t="shared" si="12"/>
        <v/>
      </c>
      <c r="AT82" s="473" t="str">
        <f t="shared" si="13"/>
        <v/>
      </c>
      <c r="AU82" s="473" t="str">
        <f t="shared" si="14"/>
        <v/>
      </c>
      <c r="AY82" s="30" t="s">
        <v>12</v>
      </c>
      <c r="AZ82" s="488" t="s">
        <v>37</v>
      </c>
      <c r="BA82" s="489">
        <v>1E-3</v>
      </c>
      <c r="BB82" s="419" t="s">
        <v>9</v>
      </c>
      <c r="BD82" s="279">
        <v>1</v>
      </c>
      <c r="BG82" s="271"/>
      <c r="BH82" s="271"/>
      <c r="BI82" s="271"/>
      <c r="BJ82" s="271"/>
      <c r="BK82" s="271"/>
      <c r="BL82" s="271"/>
    </row>
    <row r="83" spans="18:64" ht="21" customHeight="1" x14ac:dyDescent="0.25">
      <c r="R83" s="34" t="s">
        <v>6120</v>
      </c>
      <c r="S83" s="451"/>
      <c r="T83" s="30" t="s">
        <v>11</v>
      </c>
      <c r="V83" s="475">
        <v>1</v>
      </c>
      <c r="W83" s="475" t="str">
        <f>IF($AC$83="","",$W$72)</f>
        <v>N° 45</v>
      </c>
      <c r="X83" s="476" t="str">
        <f>IF($AC$83="","",$X$72)</f>
        <v>ŒUFS EN MEURETTE*</v>
      </c>
      <c r="Y83" s="477">
        <f>IF($X$83="","",$Y$72)</f>
        <v>62</v>
      </c>
      <c r="Z83" s="477">
        <f>IF($X$83="","",$Z$72)</f>
        <v>100</v>
      </c>
      <c r="AA83" s="477">
        <f>IF($AC$83="","",ROW($A$83)-ROW($A$72))</f>
        <v>11</v>
      </c>
      <c r="AB83" s="478"/>
      <c r="AC83" s="34" t="s">
        <v>382</v>
      </c>
      <c r="AD83" s="356"/>
      <c r="AE83" s="18">
        <v>550</v>
      </c>
      <c r="AF83" s="5" t="s">
        <v>8</v>
      </c>
      <c r="AG83" s="480">
        <f t="shared" si="4"/>
        <v>550</v>
      </c>
      <c r="AH83" s="481" t="str">
        <f t="shared" si="5"/>
        <v>G</v>
      </c>
      <c r="AI83" s="477" t="str">
        <f>IF($AC$83="","",IFERROR(INDEX($AZ$74:$AZ$119,MATCH($AH$83,$AY$74:$AY$119,0)),"AUTRE"))</f>
        <v>MASSE</v>
      </c>
      <c r="AJ83" s="482">
        <f>IF($AC$83="","",IFERROR(INDEX($BA$74:$BA$119,MATCH($AH$83,$AY$74:$AY$119,0)),1))</f>
        <v>1E-3</v>
      </c>
      <c r="AK83" s="482">
        <f t="shared" si="6"/>
        <v>0.55000000000000004</v>
      </c>
      <c r="AL83" s="477" t="str">
        <f>IF($AC$83="","",IFERROR(INDEX($BB$74:$BB$119,MATCH($AH$83,$AY$74:$AY$119,0)),$AH$83))</f>
        <v>kg</v>
      </c>
      <c r="AM83" s="483" t="str">
        <f t="shared" si="7"/>
        <v>OK</v>
      </c>
      <c r="AN83" s="484">
        <f t="shared" si="15"/>
        <v>550</v>
      </c>
      <c r="AO83" s="473" t="str">
        <f t="shared" si="8"/>
        <v/>
      </c>
      <c r="AP83" s="473" t="str">
        <f t="shared" si="9"/>
        <v/>
      </c>
      <c r="AQ83" s="473" t="str">
        <f t="shared" si="10"/>
        <v/>
      </c>
      <c r="AR83" s="473" t="str">
        <f t="shared" si="11"/>
        <v/>
      </c>
      <c r="AS83" s="473" t="str">
        <f t="shared" si="12"/>
        <v/>
      </c>
      <c r="AT83" s="473" t="str">
        <f t="shared" si="13"/>
        <v/>
      </c>
      <c r="AU83" s="473" t="str">
        <f t="shared" si="14"/>
        <v/>
      </c>
      <c r="AY83" s="31" t="s">
        <v>16</v>
      </c>
      <c r="AZ83" s="488" t="s">
        <v>37</v>
      </c>
      <c r="BA83" s="489">
        <v>0.5</v>
      </c>
      <c r="BB83" s="419" t="s">
        <v>9</v>
      </c>
      <c r="BD83" s="279">
        <v>1</v>
      </c>
      <c r="BG83" s="271"/>
      <c r="BH83" s="271"/>
      <c r="BI83" s="271"/>
      <c r="BJ83" s="271"/>
      <c r="BK83" s="271"/>
      <c r="BL83" s="271"/>
    </row>
    <row r="84" spans="18:64" ht="21" customHeight="1" x14ac:dyDescent="0.25">
      <c r="R84" s="34" t="s">
        <v>6121</v>
      </c>
      <c r="S84" s="451"/>
      <c r="T84" s="30" t="s">
        <v>12</v>
      </c>
      <c r="V84" s="475">
        <v>1</v>
      </c>
      <c r="W84" s="475" t="str">
        <f>IF($AC$84="","",$W$72)</f>
        <v>N° 45</v>
      </c>
      <c r="X84" s="476" t="str">
        <f>IF($AC$84="","",$X$72)</f>
        <v>ŒUFS EN MEURETTE*</v>
      </c>
      <c r="Y84" s="477">
        <f>IF($X$84="","",$Y$72)</f>
        <v>62</v>
      </c>
      <c r="Z84" s="477">
        <f>IF($X$84="","",$Z$72)</f>
        <v>100</v>
      </c>
      <c r="AA84" s="477">
        <f>IF($AC$84="","",ROW($A$84)-ROW($A$72))</f>
        <v>12</v>
      </c>
      <c r="AB84" s="478"/>
      <c r="AC84" s="34" t="s">
        <v>67</v>
      </c>
      <c r="AD84" s="356"/>
      <c r="AE84" s="18">
        <v>50</v>
      </c>
      <c r="AF84" s="5" t="s">
        <v>8</v>
      </c>
      <c r="AG84" s="480">
        <f t="shared" si="4"/>
        <v>50</v>
      </c>
      <c r="AH84" s="481" t="str">
        <f t="shared" si="5"/>
        <v>G</v>
      </c>
      <c r="AI84" s="477" t="str">
        <f>IF($AC$84="","",IFERROR(INDEX($AZ$74:$AZ$119,MATCH($AH$84,$AY$74:$AY$119,0)),"AUTRE"))</f>
        <v>MASSE</v>
      </c>
      <c r="AJ84" s="482">
        <f>IF($AC$84="","",IFERROR(INDEX($BA$74:$BA$119,MATCH($AH$84,$AY$74:$AY$119,0)),1))</f>
        <v>1E-3</v>
      </c>
      <c r="AK84" s="482">
        <f t="shared" si="6"/>
        <v>0.05</v>
      </c>
      <c r="AL84" s="477" t="str">
        <f>IF($AC$84="","",IFERROR(INDEX($BB$74:$BB$119,MATCH($AH$84,$AY$74:$AY$119,0)),$AH$84))</f>
        <v>kg</v>
      </c>
      <c r="AM84" s="483" t="str">
        <f t="shared" si="7"/>
        <v>OK</v>
      </c>
      <c r="AN84" s="484">
        <f t="shared" si="15"/>
        <v>50</v>
      </c>
      <c r="AO84" s="473" t="str">
        <f t="shared" si="8"/>
        <v/>
      </c>
      <c r="AP84" s="473" t="str">
        <f t="shared" si="9"/>
        <v/>
      </c>
      <c r="AQ84" s="473" t="str">
        <f t="shared" si="10"/>
        <v/>
      </c>
      <c r="AR84" s="473" t="str">
        <f t="shared" si="11"/>
        <v/>
      </c>
      <c r="AS84" s="473" t="str">
        <f t="shared" si="12"/>
        <v/>
      </c>
      <c r="AT84" s="473" t="str">
        <f t="shared" si="13"/>
        <v/>
      </c>
      <c r="AU84" s="473" t="str">
        <f t="shared" si="14"/>
        <v/>
      </c>
      <c r="AY84" s="31" t="s">
        <v>17</v>
      </c>
      <c r="AZ84" s="488" t="s">
        <v>37</v>
      </c>
      <c r="BA84" s="489">
        <v>0.25</v>
      </c>
      <c r="BB84" s="419" t="s">
        <v>9</v>
      </c>
      <c r="BD84" s="279">
        <v>1</v>
      </c>
      <c r="BG84" s="271"/>
      <c r="BH84" s="271"/>
      <c r="BI84" s="271"/>
      <c r="BJ84" s="271"/>
      <c r="BK84" s="271"/>
      <c r="BL84" s="271"/>
    </row>
    <row r="85" spans="18:64" ht="21" customHeight="1" x14ac:dyDescent="0.25">
      <c r="R85" s="34" t="s">
        <v>6122</v>
      </c>
      <c r="S85" s="451"/>
      <c r="T85" s="31" t="s">
        <v>16</v>
      </c>
      <c r="V85" s="475">
        <v>1</v>
      </c>
      <c r="W85" s="475" t="str">
        <f>IF($AC$85="","",$W$72)</f>
        <v>N° 45</v>
      </c>
      <c r="X85" s="476" t="str">
        <f>IF($AC$85="","",$X$72)</f>
        <v>ŒUFS EN MEURETTE*</v>
      </c>
      <c r="Y85" s="477">
        <f>IF($X$85="","",$Y$72)</f>
        <v>62</v>
      </c>
      <c r="Z85" s="477">
        <f>IF($X$85="","",$Z$72)</f>
        <v>100</v>
      </c>
      <c r="AA85" s="477">
        <f>IF($AC$85="","",ROW($A$85)-ROW($A$72))</f>
        <v>13</v>
      </c>
      <c r="AB85" s="478"/>
      <c r="AC85" s="34" t="s">
        <v>44</v>
      </c>
      <c r="AD85" s="356"/>
      <c r="AE85" s="18">
        <v>10</v>
      </c>
      <c r="AF85" s="5" t="s">
        <v>8</v>
      </c>
      <c r="AG85" s="480">
        <f t="shared" si="4"/>
        <v>10</v>
      </c>
      <c r="AH85" s="481" t="str">
        <f t="shared" si="5"/>
        <v>G</v>
      </c>
      <c r="AI85" s="477" t="str">
        <f>IF($AC$85="","",IFERROR(INDEX($AZ$74:$AZ$119,MATCH($AH$85,$AY$74:$AY$119,0)),"AUTRE"))</f>
        <v>MASSE</v>
      </c>
      <c r="AJ85" s="482">
        <f>IF($AC$85="","",IFERROR(INDEX($BA$74:$BA$119,MATCH($AH$85,$AY$74:$AY$119,0)),1))</f>
        <v>1E-3</v>
      </c>
      <c r="AK85" s="482">
        <f t="shared" si="6"/>
        <v>0.01</v>
      </c>
      <c r="AL85" s="477" t="str">
        <f>IF($AC$85="","",IFERROR(INDEX($BB$74:$BB$119,MATCH($AH$85,$AY$74:$AY$119,0)),$AH$85))</f>
        <v>kg</v>
      </c>
      <c r="AM85" s="483" t="str">
        <f t="shared" si="7"/>
        <v>OK</v>
      </c>
      <c r="AN85" s="484">
        <f t="shared" si="15"/>
        <v>10</v>
      </c>
      <c r="AO85" s="473" t="str">
        <f t="shared" si="8"/>
        <v/>
      </c>
      <c r="AP85" s="473" t="str">
        <f t="shared" si="9"/>
        <v/>
      </c>
      <c r="AQ85" s="473" t="str">
        <f t="shared" si="10"/>
        <v/>
      </c>
      <c r="AR85" s="473" t="str">
        <f t="shared" si="11"/>
        <v/>
      </c>
      <c r="AS85" s="473" t="str">
        <f t="shared" si="12"/>
        <v/>
      </c>
      <c r="AT85" s="473" t="str">
        <f t="shared" si="13"/>
        <v/>
      </c>
      <c r="AU85" s="473" t="str">
        <f t="shared" si="14"/>
        <v/>
      </c>
      <c r="AY85" s="31" t="s">
        <v>18</v>
      </c>
      <c r="AZ85" s="488" t="s">
        <v>37</v>
      </c>
      <c r="BA85" s="489">
        <v>0.75</v>
      </c>
      <c r="BB85" s="419" t="s">
        <v>9</v>
      </c>
      <c r="BD85" s="279">
        <v>1</v>
      </c>
      <c r="BG85" s="271"/>
      <c r="BH85" s="271"/>
      <c r="BI85" s="271"/>
      <c r="BJ85" s="271"/>
      <c r="BK85" s="271"/>
      <c r="BL85" s="271"/>
    </row>
    <row r="86" spans="18:64" ht="21" customHeight="1" x14ac:dyDescent="0.25">
      <c r="R86" s="34" t="s">
        <v>6123</v>
      </c>
      <c r="S86" s="451"/>
      <c r="T86" s="31" t="s">
        <v>17</v>
      </c>
      <c r="V86" s="475">
        <v>1</v>
      </c>
      <c r="W86" s="475" t="str">
        <f>IF($AC$86="","",$W$72)</f>
        <v>N° 45</v>
      </c>
      <c r="X86" s="476" t="str">
        <f>IF($AC$86="","",$X$72)</f>
        <v>ŒUFS EN MEURETTE*</v>
      </c>
      <c r="Y86" s="477">
        <f>IF($X$86="","",$Y$72)</f>
        <v>62</v>
      </c>
      <c r="Z86" s="477">
        <f>IF($X$86="","",$Z$72)</f>
        <v>100</v>
      </c>
      <c r="AA86" s="477">
        <f>IF($AC$86="","",ROW($A$86)-ROW($A$72))</f>
        <v>14</v>
      </c>
      <c r="AB86" s="478"/>
      <c r="AC86" s="34" t="s">
        <v>61</v>
      </c>
      <c r="AD86" s="356"/>
      <c r="AE86" s="18">
        <v>1</v>
      </c>
      <c r="AF86" s="5" t="s">
        <v>8</v>
      </c>
      <c r="AG86" s="480">
        <f t="shared" si="4"/>
        <v>1</v>
      </c>
      <c r="AH86" s="481" t="str">
        <f t="shared" si="5"/>
        <v>G</v>
      </c>
      <c r="AI86" s="477" t="str">
        <f>IF($AC$86="","",IFERROR(INDEX($AZ$74:$AZ$119,MATCH($AH$86,$AY$74:$AY$119,0)),"AUTRE"))</f>
        <v>MASSE</v>
      </c>
      <c r="AJ86" s="482">
        <f>IF($AC$86="","",IFERROR(INDEX($BA$74:$BA$119,MATCH($AH$86,$AY$74:$AY$119,0)),1))</f>
        <v>1E-3</v>
      </c>
      <c r="AK86" s="482">
        <f t="shared" si="6"/>
        <v>1E-3</v>
      </c>
      <c r="AL86" s="477" t="str">
        <f>IF($AC$86="","",IFERROR(INDEX($BB$74:$BB$119,MATCH($AH$86,$AY$74:$AY$119,0)),$AH$86))</f>
        <v>kg</v>
      </c>
      <c r="AM86" s="483" t="str">
        <f t="shared" si="7"/>
        <v>OK</v>
      </c>
      <c r="AN86" s="484">
        <f t="shared" si="15"/>
        <v>1</v>
      </c>
      <c r="AO86" s="473" t="str">
        <f t="shared" si="8"/>
        <v/>
      </c>
      <c r="AP86" s="473" t="str">
        <f t="shared" si="9"/>
        <v/>
      </c>
      <c r="AQ86" s="473" t="str">
        <f t="shared" si="10"/>
        <v/>
      </c>
      <c r="AR86" s="473" t="str">
        <f t="shared" si="11"/>
        <v/>
      </c>
      <c r="AS86" s="473" t="str">
        <f t="shared" si="12"/>
        <v/>
      </c>
      <c r="AT86" s="473" t="str">
        <f t="shared" si="13"/>
        <v/>
      </c>
      <c r="AU86" s="473" t="str">
        <f t="shared" si="14"/>
        <v/>
      </c>
      <c r="AY86" s="31" t="s">
        <v>19</v>
      </c>
      <c r="AZ86" s="488" t="s">
        <v>37</v>
      </c>
      <c r="BA86" s="489">
        <v>0.33333333300000001</v>
      </c>
      <c r="BB86" s="419" t="s">
        <v>9</v>
      </c>
      <c r="BD86" s="279">
        <v>1</v>
      </c>
      <c r="BG86" s="271"/>
      <c r="BH86" s="271"/>
      <c r="BI86" s="271"/>
      <c r="BJ86" s="271"/>
      <c r="BK86" s="271"/>
      <c r="BL86" s="271"/>
    </row>
    <row r="87" spans="18:64" ht="21" customHeight="1" x14ac:dyDescent="0.25">
      <c r="R87" s="34" t="s">
        <v>6124</v>
      </c>
      <c r="S87" s="451"/>
      <c r="T87" s="31" t="s">
        <v>18</v>
      </c>
      <c r="V87" s="475">
        <v>1</v>
      </c>
      <c r="W87" s="475" t="str">
        <f>IF($AC$87="","",$W$72)</f>
        <v>N° 45</v>
      </c>
      <c r="X87" s="476" t="str">
        <f>IF($AC$87="","",$X$72)</f>
        <v>ŒUFS EN MEURETTE*</v>
      </c>
      <c r="Y87" s="477">
        <f>IF($X$87="","",$Y$72)</f>
        <v>62</v>
      </c>
      <c r="Z87" s="477">
        <f>IF($X$87="","",$Z$72)</f>
        <v>100</v>
      </c>
      <c r="AA87" s="477">
        <f>IF($AC$87="","",ROW($A$87)-ROW($A$72))</f>
        <v>15</v>
      </c>
      <c r="AB87" s="478"/>
      <c r="AC87" s="34" t="s">
        <v>383</v>
      </c>
      <c r="AD87" s="356"/>
      <c r="AE87" s="18">
        <v>1</v>
      </c>
      <c r="AF87" s="6" t="s">
        <v>9</v>
      </c>
      <c r="AG87" s="480">
        <f t="shared" si="4"/>
        <v>1</v>
      </c>
      <c r="AH87" s="481" t="str">
        <f t="shared" si="5"/>
        <v>L</v>
      </c>
      <c r="AI87" s="477" t="str">
        <f>IF($AC$87="","",IFERROR(INDEX($AZ$74:$AZ$119,MATCH($AH$87,$AY$74:$AY$119,0)),"AUTRE"))</f>
        <v>VOLUME</v>
      </c>
      <c r="AJ87" s="482">
        <f>IF($AC$87="","",IFERROR(INDEX($BA$74:$BA$119,MATCH($AH$87,$AY$74:$AY$119,0)),1))</f>
        <v>1</v>
      </c>
      <c r="AK87" s="482">
        <f t="shared" si="6"/>
        <v>1</v>
      </c>
      <c r="AL87" s="477" t="str">
        <f>IF($AC$87="","",IFERROR(INDEX($BB$74:$BB$119,MATCH($AH$87,$AY$74:$AY$119,0)),$AH$87))</f>
        <v>L</v>
      </c>
      <c r="AM87" s="483" t="str">
        <f t="shared" si="7"/>
        <v>OK</v>
      </c>
      <c r="AN87" s="484">
        <f t="shared" si="15"/>
        <v>1</v>
      </c>
      <c r="AO87" s="473" t="str">
        <f t="shared" si="8"/>
        <v/>
      </c>
      <c r="AP87" s="473" t="str">
        <f t="shared" si="9"/>
        <v/>
      </c>
      <c r="AQ87" s="473" t="str">
        <f t="shared" si="10"/>
        <v/>
      </c>
      <c r="AR87" s="473" t="str">
        <f t="shared" si="11"/>
        <v/>
      </c>
      <c r="AS87" s="473" t="str">
        <f t="shared" si="12"/>
        <v/>
      </c>
      <c r="AT87" s="473" t="str">
        <f t="shared" si="13"/>
        <v/>
      </c>
      <c r="AU87" s="473" t="str">
        <f t="shared" si="14"/>
        <v/>
      </c>
      <c r="AY87" s="31" t="s">
        <v>211</v>
      </c>
      <c r="AZ87" s="488" t="s">
        <v>37</v>
      </c>
      <c r="BA87" s="489">
        <v>0.66666666699999999</v>
      </c>
      <c r="BB87" s="419" t="s">
        <v>9</v>
      </c>
      <c r="BD87" s="279">
        <v>1</v>
      </c>
      <c r="BG87" s="271"/>
      <c r="BH87" s="271"/>
      <c r="BI87" s="271"/>
      <c r="BJ87" s="271"/>
      <c r="BK87" s="271"/>
      <c r="BL87" s="271"/>
    </row>
    <row r="88" spans="18:64" ht="21" customHeight="1" x14ac:dyDescent="0.25">
      <c r="R88" s="34" t="s">
        <v>6125</v>
      </c>
      <c r="S88" s="451"/>
      <c r="T88" s="31" t="s">
        <v>19</v>
      </c>
      <c r="V88" s="475">
        <v>1</v>
      </c>
      <c r="W88" s="475" t="str">
        <f>IF($AC$88="","",$W$72)</f>
        <v>N° 45</v>
      </c>
      <c r="X88" s="476" t="str">
        <f>IF($AC$88="","",$X$72)</f>
        <v>ŒUFS EN MEURETTE*</v>
      </c>
      <c r="Y88" s="477">
        <f>IF($X$88="","",$Y$72)</f>
        <v>62</v>
      </c>
      <c r="Z88" s="477">
        <f>IF($X$88="","",$Z$72)</f>
        <v>100</v>
      </c>
      <c r="AA88" s="477">
        <f>IF($AC$88="","",ROW($A$88)-ROW($A$72))</f>
        <v>16</v>
      </c>
      <c r="AB88" s="478"/>
      <c r="AC88" s="34" t="s">
        <v>384</v>
      </c>
      <c r="AD88" s="356"/>
      <c r="AE88" s="18">
        <v>100</v>
      </c>
      <c r="AF88" s="5" t="s">
        <v>8</v>
      </c>
      <c r="AG88" s="480">
        <f t="shared" si="4"/>
        <v>100</v>
      </c>
      <c r="AH88" s="481" t="str">
        <f t="shared" si="5"/>
        <v>G</v>
      </c>
      <c r="AI88" s="477" t="str">
        <f>IF($AC$88="","",IFERROR(INDEX($AZ$74:$AZ$119,MATCH($AH$88,$AY$74:$AY$119,0)),"AUTRE"))</f>
        <v>MASSE</v>
      </c>
      <c r="AJ88" s="482">
        <f>IF($AC$88="","",IFERROR(INDEX($BA$74:$BA$119,MATCH($AH$88,$AY$74:$AY$119,0)),1))</f>
        <v>1E-3</v>
      </c>
      <c r="AK88" s="482">
        <f t="shared" si="6"/>
        <v>0.1</v>
      </c>
      <c r="AL88" s="477" t="str">
        <f>IF($AC$88="","",IFERROR(INDEX($BB$74:$BB$119,MATCH($AH$88,$AY$74:$AY$119,0)),$AH$88))</f>
        <v>kg</v>
      </c>
      <c r="AM88" s="483" t="str">
        <f t="shared" si="7"/>
        <v>OK</v>
      </c>
      <c r="AN88" s="484">
        <f t="shared" si="15"/>
        <v>100</v>
      </c>
      <c r="AO88" s="473" t="str">
        <f t="shared" si="8"/>
        <v/>
      </c>
      <c r="AP88" s="473" t="str">
        <f t="shared" si="9"/>
        <v/>
      </c>
      <c r="AQ88" s="473" t="str">
        <f t="shared" si="10"/>
        <v/>
      </c>
      <c r="AR88" s="473" t="str">
        <f t="shared" si="11"/>
        <v/>
      </c>
      <c r="AS88" s="473" t="str">
        <f t="shared" si="12"/>
        <v/>
      </c>
      <c r="AT88" s="473" t="str">
        <f t="shared" si="13"/>
        <v/>
      </c>
      <c r="AU88" s="473" t="str">
        <f t="shared" si="14"/>
        <v/>
      </c>
      <c r="AY88" s="31" t="s">
        <v>20</v>
      </c>
      <c r="AZ88" s="488" t="s">
        <v>37</v>
      </c>
      <c r="BA88" s="489">
        <v>0.2</v>
      </c>
      <c r="BB88" s="419" t="s">
        <v>9</v>
      </c>
      <c r="BD88" s="279">
        <v>1</v>
      </c>
      <c r="BG88" s="271"/>
      <c r="BH88" s="271"/>
      <c r="BI88" s="271"/>
      <c r="BJ88" s="271"/>
      <c r="BK88" s="271"/>
      <c r="BL88" s="271"/>
    </row>
    <row r="89" spans="18:64" ht="21" customHeight="1" x14ac:dyDescent="0.25">
      <c r="R89" s="34" t="s">
        <v>6126</v>
      </c>
      <c r="S89" s="451"/>
      <c r="T89" s="31" t="s">
        <v>211</v>
      </c>
      <c r="V89" s="475">
        <v>1</v>
      </c>
      <c r="W89" s="475" t="str">
        <f>IF($AC$89="","",$W$72)</f>
        <v>N° 45</v>
      </c>
      <c r="X89" s="476" t="str">
        <f>IF($AC$89="","",$X$72)</f>
        <v>ŒUFS EN MEURETTE*</v>
      </c>
      <c r="Y89" s="477">
        <f>IF($X$89="","",$Y$72)</f>
        <v>62</v>
      </c>
      <c r="Z89" s="477">
        <f>IF($X$89="","",$Z$72)</f>
        <v>100</v>
      </c>
      <c r="AA89" s="477">
        <f>IF($AC$89="","",ROW($A$89)-ROW($A$72))</f>
        <v>17</v>
      </c>
      <c r="AB89" s="478"/>
      <c r="AC89" s="34" t="s">
        <v>172</v>
      </c>
      <c r="AD89" s="356"/>
      <c r="AE89" s="26" t="s">
        <v>33</v>
      </c>
      <c r="AF89" s="19"/>
      <c r="AG89" s="480" t="str">
        <f t="shared" si="4"/>
        <v>QT. SUFFISANTE</v>
      </c>
      <c r="AH89" s="481" t="str">
        <f t="shared" si="5"/>
        <v/>
      </c>
      <c r="AI89" s="477" t="str">
        <f>IF($AC$89="","",IFERROR(INDEX($AZ$74:$AZ$119,MATCH($AH$89,$AY$74:$AY$119,0)),"AUTRE"))</f>
        <v>AUTRE</v>
      </c>
      <c r="AJ89" s="482">
        <f>IF($AC$89="","",IFERROR(INDEX($BA$74:$BA$119,MATCH($AH$89,$AY$74:$AY$119,0)),1))</f>
        <v>1</v>
      </c>
      <c r="AK89" s="482" t="e">
        <f t="shared" si="6"/>
        <v>#VALUE!</v>
      </c>
      <c r="AL89" s="477" t="str">
        <f>IF($AC$89="","",IFERROR(INDEX($BB$74:$BB$119,MATCH($AH$89,$AY$74:$AY$119,0)),$AH$89))</f>
        <v/>
      </c>
      <c r="AM89" s="483" t="str">
        <f t="shared" si="7"/>
        <v>QUANTITÉ À CONTRÔLER</v>
      </c>
      <c r="AN89" s="484" t="str">
        <f t="shared" si="15"/>
        <v>QT. SUFFISANTE</v>
      </c>
      <c r="AO89" s="473" t="str">
        <f t="shared" si="8"/>
        <v/>
      </c>
      <c r="AP89" s="473" t="str">
        <f t="shared" si="9"/>
        <v/>
      </c>
      <c r="AQ89" s="473" t="str">
        <f t="shared" si="10"/>
        <v/>
      </c>
      <c r="AR89" s="473" t="str">
        <f t="shared" si="11"/>
        <v/>
      </c>
      <c r="AS89" s="473" t="str">
        <f t="shared" si="12"/>
        <v/>
      </c>
      <c r="AT89" s="473" t="str">
        <f t="shared" si="13"/>
        <v/>
      </c>
      <c r="AU89" s="473" t="str">
        <f t="shared" si="14"/>
        <v/>
      </c>
      <c r="AY89" s="31" t="s">
        <v>304</v>
      </c>
      <c r="AZ89" s="488" t="s">
        <v>37</v>
      </c>
      <c r="BA89" s="489">
        <v>0.125</v>
      </c>
      <c r="BB89" s="419" t="s">
        <v>9</v>
      </c>
      <c r="BC89" s="271"/>
      <c r="BD89" s="279">
        <v>1</v>
      </c>
      <c r="BG89" s="271"/>
      <c r="BH89" s="271"/>
      <c r="BI89" s="271"/>
      <c r="BJ89" s="271"/>
      <c r="BK89" s="271"/>
      <c r="BL89" s="271"/>
    </row>
    <row r="90" spans="18:64" ht="21" customHeight="1" x14ac:dyDescent="0.25">
      <c r="R90" s="34" t="s">
        <v>6127</v>
      </c>
      <c r="S90" s="451"/>
      <c r="T90" s="31" t="s">
        <v>20</v>
      </c>
      <c r="V90" s="475">
        <v>1</v>
      </c>
      <c r="W90" s="475" t="str">
        <f>IF($AC$90="","",$W$72)</f>
        <v/>
      </c>
      <c r="X90" s="476" t="str">
        <f>IF($AC$90="","",$X$72)</f>
        <v/>
      </c>
      <c r="Y90" s="477" t="str">
        <f>IF($X$90="","",$Y$72)</f>
        <v/>
      </c>
      <c r="Z90" s="477" t="str">
        <f>IF($X$90="","",$Z$72)</f>
        <v/>
      </c>
      <c r="AA90" s="477" t="str">
        <f>IF($AC$90="","",ROW($A$90)-ROW($A$72))</f>
        <v/>
      </c>
      <c r="AB90" s="478"/>
      <c r="AC90" s="34" t="s">
        <v>345</v>
      </c>
      <c r="AD90" s="356"/>
      <c r="AE90" s="18"/>
      <c r="AF90" s="19"/>
      <c r="AG90" s="480" t="str">
        <f t="shared" si="4"/>
        <v/>
      </c>
      <c r="AH90" s="481" t="str">
        <f t="shared" si="5"/>
        <v/>
      </c>
      <c r="AI90" s="477" t="str">
        <f>IF($AC$90="","",IFERROR(INDEX($AZ$74:$AZ$119,MATCH($AH$90,$AY$74:$AY$119,0)),"AUTRE"))</f>
        <v/>
      </c>
      <c r="AJ90" s="482" t="str">
        <f>IF($AC$90="","",IFERROR(INDEX($BA$74:$BA$119,MATCH($AH$90,$AY$74:$AY$119,0)),1))</f>
        <v/>
      </c>
      <c r="AK90" s="482" t="str">
        <f t="shared" si="6"/>
        <v/>
      </c>
      <c r="AL90" s="477" t="str">
        <f>IF($AC$90="","",IFERROR(INDEX($BB$74:$BB$119,MATCH($AH$90,$AY$74:$AY$119,0)),$AH$90))</f>
        <v/>
      </c>
      <c r="AM90" s="483" t="str">
        <f t="shared" si="7"/>
        <v/>
      </c>
      <c r="AN90" s="484" t="str">
        <f t="shared" si="15"/>
        <v/>
      </c>
      <c r="AO90" s="473" t="str">
        <f t="shared" si="8"/>
        <v/>
      </c>
      <c r="AP90" s="473" t="str">
        <f t="shared" si="9"/>
        <v/>
      </c>
      <c r="AQ90" s="473" t="str">
        <f t="shared" si="10"/>
        <v/>
      </c>
      <c r="AR90" s="473" t="str">
        <f t="shared" si="11"/>
        <v/>
      </c>
      <c r="AS90" s="473" t="str">
        <f t="shared" si="12"/>
        <v/>
      </c>
      <c r="AT90" s="473" t="str">
        <f t="shared" si="13"/>
        <v/>
      </c>
      <c r="AU90" s="473" t="str">
        <f t="shared" si="14"/>
        <v/>
      </c>
      <c r="AY90" s="31" t="s">
        <v>352</v>
      </c>
      <c r="AZ90" s="488" t="s">
        <v>37</v>
      </c>
      <c r="BA90" s="489">
        <v>0.125</v>
      </c>
      <c r="BB90" s="419" t="s">
        <v>9</v>
      </c>
      <c r="BC90" s="271"/>
      <c r="BD90" s="279">
        <v>1</v>
      </c>
      <c r="BG90" s="271"/>
      <c r="BH90" s="271"/>
      <c r="BI90" s="271"/>
      <c r="BJ90" s="271"/>
      <c r="BK90" s="271"/>
      <c r="BL90" s="271"/>
    </row>
    <row r="91" spans="18:64" ht="21" customHeight="1" x14ac:dyDescent="0.25">
      <c r="R91" s="25" t="s">
        <v>6128</v>
      </c>
      <c r="S91" s="451"/>
      <c r="T91" s="31" t="s">
        <v>304</v>
      </c>
      <c r="V91" s="475">
        <v>1</v>
      </c>
      <c r="W91" s="475" t="str">
        <f>IF($AC$91="","",$W$72)</f>
        <v>N° 45</v>
      </c>
      <c r="X91" s="476" t="str">
        <f>IF($AC$91="","",$X$72)</f>
        <v>ŒUFS EN MEURETTE*</v>
      </c>
      <c r="Y91" s="477">
        <f>IF($X$91="","",$Y$72)</f>
        <v>62</v>
      </c>
      <c r="Z91" s="477">
        <f>IF($X$91="","",$Z$72)</f>
        <v>100</v>
      </c>
      <c r="AA91" s="477">
        <f>IF($AC$91="","",ROW($A$91)-ROW($A$72))</f>
        <v>19</v>
      </c>
      <c r="AB91" s="478"/>
      <c r="AC91" s="34" t="s">
        <v>385</v>
      </c>
      <c r="AD91" s="356"/>
      <c r="AE91" s="18">
        <v>3</v>
      </c>
      <c r="AF91" s="3" t="s">
        <v>7</v>
      </c>
      <c r="AG91" s="480">
        <f t="shared" si="4"/>
        <v>3</v>
      </c>
      <c r="AH91" s="481" t="str">
        <f t="shared" si="5"/>
        <v>KG</v>
      </c>
      <c r="AI91" s="477" t="str">
        <f>IF($AC$91="","",IFERROR(INDEX($AZ$74:$AZ$119,MATCH($AH$91,$AY$74:$AY$119,0)),"AUTRE"))</f>
        <v>MASSE</v>
      </c>
      <c r="AJ91" s="482">
        <f>IF($AC$91="","",IFERROR(INDEX($BA$74:$BA$119,MATCH($AH$91,$AY$74:$AY$119,0)),1))</f>
        <v>1</v>
      </c>
      <c r="AK91" s="482">
        <f t="shared" si="6"/>
        <v>3</v>
      </c>
      <c r="AL91" s="477" t="str">
        <f>IF($AC$91="","",IFERROR(INDEX($BB$74:$BB$119,MATCH($AH$91,$AY$74:$AY$119,0)),$AH$91))</f>
        <v>kg</v>
      </c>
      <c r="AM91" s="483" t="str">
        <f t="shared" si="7"/>
        <v>OK</v>
      </c>
      <c r="AN91" s="484">
        <f t="shared" si="15"/>
        <v>3</v>
      </c>
      <c r="AO91" s="473" t="str">
        <f t="shared" si="8"/>
        <v/>
      </c>
      <c r="AP91" s="473" t="str">
        <f t="shared" si="9"/>
        <v/>
      </c>
      <c r="AQ91" s="473" t="str">
        <f t="shared" si="10"/>
        <v/>
      </c>
      <c r="AR91" s="473" t="str">
        <f t="shared" si="11"/>
        <v/>
      </c>
      <c r="AS91" s="473" t="str">
        <f t="shared" si="12"/>
        <v/>
      </c>
      <c r="AT91" s="473" t="str">
        <f t="shared" si="13"/>
        <v/>
      </c>
      <c r="AU91" s="473" t="str">
        <f t="shared" si="14"/>
        <v/>
      </c>
      <c r="AY91" s="31" t="s">
        <v>27</v>
      </c>
      <c r="AZ91" s="488" t="s">
        <v>37</v>
      </c>
      <c r="BA91" s="489">
        <v>5.0000000000000001E-3</v>
      </c>
      <c r="BB91" s="419" t="s">
        <v>9</v>
      </c>
      <c r="BC91" s="271"/>
      <c r="BD91" s="279">
        <v>1</v>
      </c>
      <c r="BG91" s="271"/>
      <c r="BH91" s="271"/>
      <c r="BI91" s="271"/>
      <c r="BJ91" s="271"/>
      <c r="BK91" s="271"/>
      <c r="BL91" s="271"/>
    </row>
    <row r="92" spans="18:64" ht="21" customHeight="1" x14ac:dyDescent="0.25">
      <c r="R92" s="34" t="s">
        <v>474</v>
      </c>
      <c r="S92" s="451"/>
      <c r="T92" s="31" t="s">
        <v>352</v>
      </c>
      <c r="V92" s="475">
        <v>1</v>
      </c>
      <c r="W92" s="475" t="str">
        <f>IF($AC$92="","",$W$72)</f>
        <v>N° 45</v>
      </c>
      <c r="X92" s="476" t="str">
        <f>IF($AC$92="","",$X$72)</f>
        <v>ŒUFS EN MEURETTE*</v>
      </c>
      <c r="Y92" s="477">
        <f>IF($X$92="","",$Y$72)</f>
        <v>62</v>
      </c>
      <c r="Z92" s="477">
        <f>IF($X$92="","",$Z$72)</f>
        <v>100</v>
      </c>
      <c r="AA92" s="477">
        <f>IF($AC$92="","",ROW($A$92)-ROW($A$72))</f>
        <v>20</v>
      </c>
      <c r="AB92" s="478"/>
      <c r="AC92" s="34" t="s">
        <v>41</v>
      </c>
      <c r="AD92" s="356"/>
      <c r="AE92" s="18">
        <v>150</v>
      </c>
      <c r="AF92" s="5" t="s">
        <v>8</v>
      </c>
      <c r="AG92" s="480">
        <f t="shared" si="4"/>
        <v>150</v>
      </c>
      <c r="AH92" s="481" t="str">
        <f t="shared" si="5"/>
        <v>G</v>
      </c>
      <c r="AI92" s="477" t="str">
        <f>IF($AC$92="","",IFERROR(INDEX($AZ$74:$AZ$119,MATCH($AH$92,$AY$74:$AY$119,0)),"AUTRE"))</f>
        <v>MASSE</v>
      </c>
      <c r="AJ92" s="482">
        <f>IF($AC$92="","",IFERROR(INDEX($BA$74:$BA$119,MATCH($AH$92,$AY$74:$AY$119,0)),1))</f>
        <v>1E-3</v>
      </c>
      <c r="AK92" s="482">
        <f t="shared" si="6"/>
        <v>0.15</v>
      </c>
      <c r="AL92" s="477" t="str">
        <f>IF($AC$92="","",IFERROR(INDEX($BB$74:$BB$119,MATCH($AH$92,$AY$74:$AY$119,0)),$AH$92))</f>
        <v>kg</v>
      </c>
      <c r="AM92" s="483" t="str">
        <f t="shared" si="7"/>
        <v>OK</v>
      </c>
      <c r="AN92" s="484">
        <f t="shared" si="15"/>
        <v>150</v>
      </c>
      <c r="AO92" s="473" t="str">
        <f t="shared" si="8"/>
        <v/>
      </c>
      <c r="AP92" s="473" t="str">
        <f t="shared" si="9"/>
        <v/>
      </c>
      <c r="AQ92" s="473" t="str">
        <f t="shared" si="10"/>
        <v/>
      </c>
      <c r="AR92" s="473" t="str">
        <f t="shared" si="11"/>
        <v/>
      </c>
      <c r="AS92" s="473" t="str">
        <f t="shared" si="12"/>
        <v/>
      </c>
      <c r="AT92" s="473" t="str">
        <f t="shared" si="13"/>
        <v/>
      </c>
      <c r="AU92" s="473" t="str">
        <f t="shared" si="14"/>
        <v/>
      </c>
      <c r="AY92" s="31" t="s">
        <v>28</v>
      </c>
      <c r="AZ92" s="488" t="s">
        <v>37</v>
      </c>
      <c r="BA92" s="489">
        <v>5.0000000000000001E-3</v>
      </c>
      <c r="BB92" s="419" t="s">
        <v>9</v>
      </c>
      <c r="BC92" s="271"/>
      <c r="BD92" s="279">
        <v>1</v>
      </c>
      <c r="BG92" s="271"/>
      <c r="BH92" s="271"/>
      <c r="BI92" s="271"/>
      <c r="BJ92" s="271"/>
      <c r="BK92" s="271"/>
      <c r="BL92" s="271"/>
    </row>
    <row r="93" spans="18:64" ht="21" customHeight="1" x14ac:dyDescent="0.25">
      <c r="R93" s="34" t="s">
        <v>490</v>
      </c>
      <c r="S93" s="451"/>
      <c r="T93" s="31" t="s">
        <v>25</v>
      </c>
      <c r="V93" s="475">
        <v>1</v>
      </c>
      <c r="W93" s="475" t="str">
        <f>IF($AC$93="","",$W$72)</f>
        <v>N° 45</v>
      </c>
      <c r="X93" s="476" t="str">
        <f>IF($AC$93="","",$X$72)</f>
        <v>ŒUFS EN MEURETTE*</v>
      </c>
      <c r="Y93" s="477">
        <f>IF($X$93="","",$Y$72)</f>
        <v>62</v>
      </c>
      <c r="Z93" s="477">
        <f>IF($X$93="","",$Z$72)</f>
        <v>100</v>
      </c>
      <c r="AA93" s="477">
        <f>IF($AC$93="","",ROW($A$93)-ROW($A$72))</f>
        <v>21</v>
      </c>
      <c r="AB93" s="478"/>
      <c r="AC93" s="34" t="s">
        <v>278</v>
      </c>
      <c r="AD93" s="356"/>
      <c r="AE93" s="18">
        <v>2</v>
      </c>
      <c r="AF93" s="3" t="s">
        <v>7</v>
      </c>
      <c r="AG93" s="480">
        <f t="shared" si="4"/>
        <v>2</v>
      </c>
      <c r="AH93" s="481" t="str">
        <f t="shared" si="5"/>
        <v>KG</v>
      </c>
      <c r="AI93" s="477" t="str">
        <f>IF($AC$93="","",IFERROR(INDEX($AZ$74:$AZ$119,MATCH($AH$93,$AY$74:$AY$119,0)),"AUTRE"))</f>
        <v>MASSE</v>
      </c>
      <c r="AJ93" s="482">
        <f>IF($AC$93="","",IFERROR(INDEX($BA$74:$BA$119,MATCH($AH$93,$AY$74:$AY$119,0)),1))</f>
        <v>1</v>
      </c>
      <c r="AK93" s="482">
        <f t="shared" si="6"/>
        <v>2</v>
      </c>
      <c r="AL93" s="477" t="str">
        <f>IF($AC$93="","",IFERROR(INDEX($BB$74:$BB$119,MATCH($AH$93,$AY$74:$AY$119,0)),$AH$93))</f>
        <v>kg</v>
      </c>
      <c r="AM93" s="483" t="str">
        <f t="shared" si="7"/>
        <v>OK</v>
      </c>
      <c r="AN93" s="484">
        <f t="shared" si="15"/>
        <v>2</v>
      </c>
      <c r="AO93" s="473" t="str">
        <f t="shared" si="8"/>
        <v/>
      </c>
      <c r="AP93" s="473" t="str">
        <f t="shared" si="9"/>
        <v/>
      </c>
      <c r="AQ93" s="473" t="str">
        <f t="shared" si="10"/>
        <v/>
      </c>
      <c r="AR93" s="473" t="str">
        <f t="shared" si="11"/>
        <v/>
      </c>
      <c r="AS93" s="473" t="str">
        <f t="shared" si="12"/>
        <v/>
      </c>
      <c r="AT93" s="473" t="str">
        <f t="shared" si="13"/>
        <v/>
      </c>
      <c r="AU93" s="473" t="str">
        <f t="shared" si="14"/>
        <v/>
      </c>
      <c r="AY93" s="31" t="s">
        <v>29</v>
      </c>
      <c r="AZ93" s="488" t="s">
        <v>37</v>
      </c>
      <c r="BA93" s="489">
        <v>1.4999999999999999E-2</v>
      </c>
      <c r="BB93" s="419" t="s">
        <v>9</v>
      </c>
      <c r="BC93" s="271"/>
      <c r="BD93" s="279">
        <v>1</v>
      </c>
      <c r="BG93" s="271"/>
      <c r="BH93" s="271"/>
      <c r="BI93" s="271"/>
      <c r="BJ93" s="271"/>
      <c r="BK93" s="271"/>
      <c r="BL93" s="271"/>
    </row>
    <row r="94" spans="18:64" ht="21" customHeight="1" x14ac:dyDescent="0.25">
      <c r="R94" s="34" t="s">
        <v>6129</v>
      </c>
      <c r="S94" s="451"/>
      <c r="T94" s="31" t="s">
        <v>26</v>
      </c>
      <c r="V94" s="475">
        <v>1</v>
      </c>
      <c r="W94" s="475" t="str">
        <f>IF($AC$94="","",$W$72)</f>
        <v>N° 45</v>
      </c>
      <c r="X94" s="476" t="str">
        <f>IF($AC$94="","",$X$72)</f>
        <v>ŒUFS EN MEURETTE*</v>
      </c>
      <c r="Y94" s="477">
        <f>IF($X$94="","",$Y$72)</f>
        <v>62</v>
      </c>
      <c r="Z94" s="477">
        <f>IF($X$94="","",$Z$72)</f>
        <v>100</v>
      </c>
      <c r="AA94" s="477">
        <f>IF($AC$94="","",ROW($A$94)-ROW($A$72))</f>
        <v>22</v>
      </c>
      <c r="AB94" s="478"/>
      <c r="AC94" s="34" t="s">
        <v>200</v>
      </c>
      <c r="AD94" s="356"/>
      <c r="AE94" s="18">
        <v>2</v>
      </c>
      <c r="AF94" s="3" t="s">
        <v>7</v>
      </c>
      <c r="AG94" s="480">
        <f t="shared" si="4"/>
        <v>2</v>
      </c>
      <c r="AH94" s="481" t="str">
        <f t="shared" si="5"/>
        <v>KG</v>
      </c>
      <c r="AI94" s="477" t="str">
        <f>IF($AC$94="","",IFERROR(INDEX($AZ$74:$AZ$119,MATCH($AH$94,$AY$74:$AY$119,0)),"AUTRE"))</f>
        <v>MASSE</v>
      </c>
      <c r="AJ94" s="482">
        <f>IF($AC$94="","",IFERROR(INDEX($BA$74:$BA$119,MATCH($AH$94,$AY$74:$AY$119,0)),1))</f>
        <v>1</v>
      </c>
      <c r="AK94" s="482">
        <f t="shared" si="6"/>
        <v>2</v>
      </c>
      <c r="AL94" s="477" t="str">
        <f>IF($AC$94="","",IFERROR(INDEX($BB$74:$BB$119,MATCH($AH$94,$AY$74:$AY$119,0)),$AH$94))</f>
        <v>kg</v>
      </c>
      <c r="AM94" s="483" t="str">
        <f t="shared" si="7"/>
        <v>OK</v>
      </c>
      <c r="AN94" s="484">
        <f t="shared" si="15"/>
        <v>2</v>
      </c>
      <c r="AO94" s="473" t="str">
        <f t="shared" si="8"/>
        <v/>
      </c>
      <c r="AP94" s="473" t="str">
        <f t="shared" si="9"/>
        <v/>
      </c>
      <c r="AQ94" s="473" t="str">
        <f t="shared" si="10"/>
        <v/>
      </c>
      <c r="AR94" s="473" t="str">
        <f t="shared" si="11"/>
        <v/>
      </c>
      <c r="AS94" s="473" t="str">
        <f t="shared" si="12"/>
        <v/>
      </c>
      <c r="AT94" s="473" t="str">
        <f t="shared" si="13"/>
        <v/>
      </c>
      <c r="AU94" s="473" t="str">
        <f t="shared" si="14"/>
        <v/>
      </c>
      <c r="AY94" s="31" t="s">
        <v>30</v>
      </c>
      <c r="AZ94" s="488" t="s">
        <v>37</v>
      </c>
      <c r="BA94" s="489">
        <v>0.1</v>
      </c>
      <c r="BB94" s="419" t="s">
        <v>9</v>
      </c>
      <c r="BC94" s="271"/>
      <c r="BD94" s="279">
        <v>1</v>
      </c>
      <c r="BG94" s="271"/>
      <c r="BH94" s="271"/>
      <c r="BI94" s="271"/>
      <c r="BJ94" s="271"/>
      <c r="BK94" s="271"/>
      <c r="BL94" s="271"/>
    </row>
    <row r="95" spans="18:64" ht="21" customHeight="1" x14ac:dyDescent="0.25">
      <c r="R95" s="34" t="s">
        <v>478</v>
      </c>
      <c r="S95" s="451"/>
      <c r="T95" s="31" t="s">
        <v>27</v>
      </c>
      <c r="V95" s="475">
        <v>1</v>
      </c>
      <c r="W95" s="475" t="str">
        <f>IF($AC$95="","",$W$72)</f>
        <v>N° 45</v>
      </c>
      <c r="X95" s="476" t="str">
        <f>IF($AC$95="","",$X$72)</f>
        <v>ŒUFS EN MEURETTE*</v>
      </c>
      <c r="Y95" s="477">
        <f>IF($X$95="","",$Y$72)</f>
        <v>62</v>
      </c>
      <c r="Z95" s="477">
        <f>IF($X$95="","",$Z$72)</f>
        <v>100</v>
      </c>
      <c r="AA95" s="477">
        <f>IF($AC$95="","",ROW($A$95)-ROW($A$72))</f>
        <v>23</v>
      </c>
      <c r="AB95" s="478"/>
      <c r="AC95" s="34" t="s">
        <v>279</v>
      </c>
      <c r="AD95" s="356"/>
      <c r="AE95" s="18">
        <v>1</v>
      </c>
      <c r="AF95" s="26" t="s">
        <v>32</v>
      </c>
      <c r="AG95" s="480">
        <f t="shared" si="4"/>
        <v>1</v>
      </c>
      <c r="AH95" s="481" t="str">
        <f t="shared" si="5"/>
        <v>BTE 5/1</v>
      </c>
      <c r="AI95" s="477" t="str">
        <f>IF($AC$95="","",IFERROR(INDEX($AZ$74:$AZ$119,MATCH($AH$95,$AY$74:$AY$119,0)),"AUTRE"))</f>
        <v>AUTRE</v>
      </c>
      <c r="AJ95" s="482">
        <f>IF($AC$95="","",IFERROR(INDEX($BA$74:$BA$119,MATCH($AH$95,$AY$74:$AY$119,0)),1))</f>
        <v>1</v>
      </c>
      <c r="AK95" s="482">
        <f t="shared" si="6"/>
        <v>1</v>
      </c>
      <c r="AL95" s="477" t="str">
        <f>IF($AC$95="","",IFERROR(INDEX($BB$74:$BB$119,MATCH($AH$95,$AY$74:$AY$119,0)),$AH$95))</f>
        <v>BTE 5/1</v>
      </c>
      <c r="AM95" s="483" t="str">
        <f t="shared" si="7"/>
        <v>UNITÉ À CONTRÔLER</v>
      </c>
      <c r="AN95" s="484">
        <f t="shared" si="15"/>
        <v>1</v>
      </c>
      <c r="AO95" s="473" t="str">
        <f t="shared" si="8"/>
        <v/>
      </c>
      <c r="AP95" s="473" t="str">
        <f t="shared" si="9"/>
        <v/>
      </c>
      <c r="AQ95" s="473" t="str">
        <f t="shared" si="10"/>
        <v/>
      </c>
      <c r="AR95" s="473" t="str">
        <f t="shared" si="11"/>
        <v/>
      </c>
      <c r="AS95" s="473" t="str">
        <f t="shared" si="12"/>
        <v/>
      </c>
      <c r="AT95" s="473" t="str">
        <f t="shared" si="13"/>
        <v/>
      </c>
      <c r="AU95" s="473" t="str">
        <f t="shared" si="14"/>
        <v/>
      </c>
      <c r="AY95" s="32" t="s">
        <v>33</v>
      </c>
      <c r="AZ95" s="488" t="s">
        <v>38</v>
      </c>
      <c r="BA95" s="489">
        <v>1</v>
      </c>
      <c r="BB95" s="419" t="s">
        <v>8035</v>
      </c>
      <c r="BC95" s="271"/>
      <c r="BD95" s="279">
        <v>1</v>
      </c>
      <c r="BG95" s="271"/>
      <c r="BH95" s="271"/>
      <c r="BI95" s="271"/>
      <c r="BJ95" s="271"/>
      <c r="BK95" s="271"/>
      <c r="BL95" s="271"/>
    </row>
    <row r="96" spans="18:64" ht="21" customHeight="1" x14ac:dyDescent="0.25">
      <c r="R96" s="34" t="s">
        <v>6130</v>
      </c>
      <c r="S96" s="451"/>
      <c r="T96" s="31" t="s">
        <v>28</v>
      </c>
      <c r="V96" s="475">
        <v>1</v>
      </c>
      <c r="W96" s="475" t="str">
        <f>IF($AC$96="","",$W$72)</f>
        <v/>
      </c>
      <c r="X96" s="476" t="str">
        <f>IF($AC$96="","",$X$72)</f>
        <v/>
      </c>
      <c r="Y96" s="477" t="str">
        <f>IF($X$96="","",$Y$72)</f>
        <v/>
      </c>
      <c r="Z96" s="477" t="str">
        <f>IF($X$96="","",$Z$72)</f>
        <v/>
      </c>
      <c r="AA96" s="477" t="str">
        <f>IF($AC$96="","",ROW($A$96)-ROW($A$72))</f>
        <v/>
      </c>
      <c r="AB96" s="478"/>
      <c r="AC96" s="34"/>
      <c r="AD96" s="356"/>
      <c r="AE96" s="18"/>
      <c r="AF96" s="19"/>
      <c r="AG96" s="480" t="str">
        <f t="shared" si="4"/>
        <v/>
      </c>
      <c r="AH96" s="481" t="str">
        <f t="shared" si="5"/>
        <v/>
      </c>
      <c r="AI96" s="477" t="str">
        <f>IF($AC$96="","",IFERROR(INDEX($AZ$74:$AZ$119,MATCH($AH$96,$AY$74:$AY$119,0)),"AUTRE"))</f>
        <v/>
      </c>
      <c r="AJ96" s="482" t="str">
        <f>IF($AC$96="","",IFERROR(INDEX($BA$74:$BA$119,MATCH($AH$96,$AY$74:$AY$119,0)),1))</f>
        <v/>
      </c>
      <c r="AK96" s="482" t="str">
        <f t="shared" si="6"/>
        <v/>
      </c>
      <c r="AL96" s="477" t="str">
        <f>IF($AC$96="","",IFERROR(INDEX($BB$74:$BB$119,MATCH($AH$96,$AY$74:$AY$119,0)),$AH$96))</f>
        <v/>
      </c>
      <c r="AM96" s="483" t="str">
        <f t="shared" si="7"/>
        <v/>
      </c>
      <c r="AN96" s="484" t="str">
        <f t="shared" si="15"/>
        <v/>
      </c>
      <c r="AO96" s="473" t="str">
        <f t="shared" si="8"/>
        <v/>
      </c>
      <c r="AP96" s="473" t="str">
        <f t="shared" si="9"/>
        <v/>
      </c>
      <c r="AQ96" s="473" t="str">
        <f t="shared" si="10"/>
        <v/>
      </c>
      <c r="AR96" s="473" t="str">
        <f t="shared" si="11"/>
        <v/>
      </c>
      <c r="AS96" s="473" t="str">
        <f t="shared" si="12"/>
        <v/>
      </c>
      <c r="AT96" s="473" t="str">
        <f t="shared" si="13"/>
        <v/>
      </c>
      <c r="AU96" s="473" t="str">
        <f t="shared" si="14"/>
        <v/>
      </c>
      <c r="AY96" s="32" t="s">
        <v>8125</v>
      </c>
      <c r="AZ96" s="488" t="s">
        <v>38</v>
      </c>
      <c r="BA96" s="489">
        <v>1</v>
      </c>
      <c r="BB96" s="419" t="s">
        <v>8126</v>
      </c>
      <c r="BC96" s="271"/>
      <c r="BD96" s="279">
        <v>1</v>
      </c>
      <c r="BG96" s="271"/>
      <c r="BH96" s="271"/>
      <c r="BI96" s="271"/>
      <c r="BJ96" s="271"/>
      <c r="BK96" s="271"/>
      <c r="BL96" s="271"/>
    </row>
    <row r="97" spans="18:64" ht="21" customHeight="1" x14ac:dyDescent="0.25">
      <c r="R97" s="34" t="s">
        <v>486</v>
      </c>
      <c r="S97" s="451"/>
      <c r="T97" s="31" t="s">
        <v>29</v>
      </c>
      <c r="V97" s="475">
        <v>1</v>
      </c>
      <c r="W97" s="475" t="str">
        <f>IF($AC$97="","",$W$72)</f>
        <v/>
      </c>
      <c r="X97" s="476" t="str">
        <f>IF($AC$97="","",$X$72)</f>
        <v/>
      </c>
      <c r="Y97" s="477" t="str">
        <f>IF($X$97="","",$Y$72)</f>
        <v/>
      </c>
      <c r="Z97" s="477" t="str">
        <f>IF($X$97="","",$Z$72)</f>
        <v/>
      </c>
      <c r="AA97" s="477" t="str">
        <f>IF($AC$97="","",ROW($A$97)-ROW($A$72))</f>
        <v/>
      </c>
      <c r="AB97" s="478"/>
      <c r="AC97" s="34"/>
      <c r="AD97" s="356"/>
      <c r="AE97" s="18"/>
      <c r="AF97" s="19"/>
      <c r="AG97" s="480" t="str">
        <f t="shared" si="4"/>
        <v/>
      </c>
      <c r="AH97" s="481" t="str">
        <f t="shared" si="5"/>
        <v/>
      </c>
      <c r="AI97" s="477" t="str">
        <f>IF($AC$97="","",IFERROR(INDEX($AZ$74:$AZ$119,MATCH($AH$97,$AY$74:$AY$119,0)),"AUTRE"))</f>
        <v/>
      </c>
      <c r="AJ97" s="482" t="str">
        <f>IF($AC$97="","",IFERROR(INDEX($BA$74:$BA$119,MATCH($AH$97,$AY$74:$AY$119,0)),1))</f>
        <v/>
      </c>
      <c r="AK97" s="482" t="str">
        <f t="shared" si="6"/>
        <v/>
      </c>
      <c r="AL97" s="477" t="str">
        <f>IF($AC$97="","",IFERROR(INDEX($BB$74:$BB$119,MATCH($AH$97,$AY$74:$AY$119,0)),$AH$97))</f>
        <v/>
      </c>
      <c r="AM97" s="483" t="str">
        <f t="shared" si="7"/>
        <v/>
      </c>
      <c r="AN97" s="484" t="str">
        <f t="shared" si="15"/>
        <v/>
      </c>
      <c r="AO97" s="473" t="str">
        <f t="shared" si="8"/>
        <v/>
      </c>
      <c r="AP97" s="473" t="str">
        <f t="shared" si="9"/>
        <v/>
      </c>
      <c r="AQ97" s="473" t="str">
        <f t="shared" si="10"/>
        <v/>
      </c>
      <c r="AR97" s="473" t="str">
        <f t="shared" si="11"/>
        <v/>
      </c>
      <c r="AS97" s="473" t="str">
        <f t="shared" si="12"/>
        <v/>
      </c>
      <c r="AT97" s="473" t="str">
        <f t="shared" si="13"/>
        <v/>
      </c>
      <c r="AU97" s="473" t="str">
        <f t="shared" si="14"/>
        <v/>
      </c>
      <c r="AY97" s="32" t="s">
        <v>8127</v>
      </c>
      <c r="AZ97" s="488" t="s">
        <v>38</v>
      </c>
      <c r="BA97" s="489">
        <v>1</v>
      </c>
      <c r="BB97" s="419" t="s">
        <v>8128</v>
      </c>
      <c r="BC97" s="271"/>
      <c r="BD97" s="279">
        <v>1</v>
      </c>
      <c r="BG97" s="271"/>
      <c r="BH97" s="271"/>
      <c r="BI97" s="271"/>
      <c r="BJ97" s="271"/>
      <c r="BK97" s="271"/>
      <c r="BL97" s="271"/>
    </row>
    <row r="98" spans="18:64" ht="21" customHeight="1" x14ac:dyDescent="0.25">
      <c r="R98" s="34" t="s">
        <v>479</v>
      </c>
      <c r="S98" s="451"/>
      <c r="T98" s="31" t="s">
        <v>30</v>
      </c>
      <c r="V98" s="475">
        <v>1</v>
      </c>
      <c r="W98" s="475" t="str">
        <f>IF($AC$98="","",$W$72)</f>
        <v/>
      </c>
      <c r="X98" s="476" t="str">
        <f>IF($AC$98="","",$X$72)</f>
        <v/>
      </c>
      <c r="Y98" s="477" t="str">
        <f>IF($X$98="","",$Y$72)</f>
        <v/>
      </c>
      <c r="Z98" s="477" t="str">
        <f>IF($X$98="","",$Z$72)</f>
        <v/>
      </c>
      <c r="AA98" s="477" t="str">
        <f>IF($AC$98="","",ROW($A$98)-ROW($A$72))</f>
        <v/>
      </c>
      <c r="AB98" s="478"/>
      <c r="AC98" s="34"/>
      <c r="AD98" s="356"/>
      <c r="AE98" s="18"/>
      <c r="AF98" s="19"/>
      <c r="AG98" s="480" t="str">
        <f t="shared" si="4"/>
        <v/>
      </c>
      <c r="AH98" s="481" t="str">
        <f t="shared" si="5"/>
        <v/>
      </c>
      <c r="AI98" s="477" t="str">
        <f>IF($AC$98="","",IFERROR(INDEX($AZ$74:$AZ$119,MATCH($AH$98,$AY$74:$AY$119,0)),"AUTRE"))</f>
        <v/>
      </c>
      <c r="AJ98" s="482" t="str">
        <f>IF($AC$98="","",IFERROR(INDEX($BA$74:$BA$119,MATCH($AH$98,$AY$74:$AY$119,0)),1))</f>
        <v/>
      </c>
      <c r="AK98" s="482" t="str">
        <f t="shared" si="6"/>
        <v/>
      </c>
      <c r="AL98" s="477" t="str">
        <f>IF($AC$98="","",IFERROR(INDEX($BB$74:$BB$119,MATCH($AH$98,$AY$74:$AY$119,0)),$AH$98))</f>
        <v/>
      </c>
      <c r="AM98" s="483" t="str">
        <f t="shared" si="7"/>
        <v/>
      </c>
      <c r="AN98" s="484" t="str">
        <f t="shared" si="15"/>
        <v/>
      </c>
      <c r="AO98" s="473" t="str">
        <f t="shared" si="8"/>
        <v/>
      </c>
      <c r="AP98" s="473" t="str">
        <f t="shared" si="9"/>
        <v/>
      </c>
      <c r="AQ98" s="473" t="str">
        <f t="shared" si="10"/>
        <v/>
      </c>
      <c r="AR98" s="473" t="str">
        <f t="shared" si="11"/>
        <v/>
      </c>
      <c r="AS98" s="473" t="str">
        <f t="shared" si="12"/>
        <v/>
      </c>
      <c r="AT98" s="473" t="str">
        <f t="shared" si="13"/>
        <v/>
      </c>
      <c r="AU98" s="473" t="str">
        <f t="shared" si="14"/>
        <v/>
      </c>
      <c r="AY98" s="32" t="s">
        <v>320</v>
      </c>
      <c r="AZ98" s="488" t="s">
        <v>38</v>
      </c>
      <c r="BA98" s="489">
        <v>1</v>
      </c>
      <c r="BB98" s="419" t="s">
        <v>321</v>
      </c>
      <c r="BC98" s="271"/>
      <c r="BD98" s="279">
        <v>1</v>
      </c>
      <c r="BG98" s="271"/>
      <c r="BH98" s="271"/>
      <c r="BI98" s="271"/>
      <c r="BJ98" s="271"/>
      <c r="BK98" s="271"/>
      <c r="BL98" s="271"/>
    </row>
    <row r="99" spans="18:64" ht="21" customHeight="1" x14ac:dyDescent="0.25">
      <c r="R99" s="34" t="s">
        <v>6131</v>
      </c>
      <c r="S99" s="451"/>
      <c r="T99" s="31" t="s">
        <v>31</v>
      </c>
      <c r="V99" s="475">
        <v>1</v>
      </c>
      <c r="W99" s="475" t="str">
        <f>IF($AC$99="","",$W$72)</f>
        <v/>
      </c>
      <c r="X99" s="476" t="str">
        <f>IF($AC$99="","",$X$72)</f>
        <v/>
      </c>
      <c r="Y99" s="477" t="str">
        <f>IF($X$99="","",$Y$72)</f>
        <v/>
      </c>
      <c r="Z99" s="477" t="str">
        <f>IF($X$99="","",$Z$72)</f>
        <v/>
      </c>
      <c r="AA99" s="477" t="str">
        <f>IF($AC$99="","",ROW($A$99)-ROW($A$72))</f>
        <v/>
      </c>
      <c r="AB99" s="478"/>
      <c r="AC99" s="34"/>
      <c r="AD99" s="356"/>
      <c r="AE99" s="18"/>
      <c r="AF99" s="19"/>
      <c r="AG99" s="480" t="str">
        <f t="shared" si="4"/>
        <v/>
      </c>
      <c r="AH99" s="481" t="str">
        <f t="shared" si="5"/>
        <v/>
      </c>
      <c r="AI99" s="477" t="str">
        <f>IF($AC$99="","",IFERROR(INDEX($AZ$74:$AZ$119,MATCH($AH$99,$AY$74:$AY$119,0)),"AUTRE"))</f>
        <v/>
      </c>
      <c r="AJ99" s="482" t="str">
        <f>IF($AC$99="","",IFERROR(INDEX($BA$74:$BA$119,MATCH($AH$99,$AY$74:$AY$119,0)),1))</f>
        <v/>
      </c>
      <c r="AK99" s="482" t="str">
        <f t="shared" si="6"/>
        <v/>
      </c>
      <c r="AL99" s="477" t="str">
        <f>IF($AC$99="","",IFERROR(INDEX($BB$74:$BB$119,MATCH($AH$99,$AY$74:$AY$119,0)),$AH$99))</f>
        <v/>
      </c>
      <c r="AM99" s="483" t="str">
        <f t="shared" si="7"/>
        <v/>
      </c>
      <c r="AN99" s="484" t="str">
        <f t="shared" si="15"/>
        <v/>
      </c>
      <c r="AO99" s="473" t="str">
        <f t="shared" si="8"/>
        <v/>
      </c>
      <c r="AP99" s="473" t="str">
        <f t="shared" si="9"/>
        <v/>
      </c>
      <c r="AQ99" s="473" t="str">
        <f t="shared" si="10"/>
        <v/>
      </c>
      <c r="AR99" s="473" t="str">
        <f t="shared" si="11"/>
        <v/>
      </c>
      <c r="AS99" s="473" t="str">
        <f t="shared" si="12"/>
        <v/>
      </c>
      <c r="AT99" s="473" t="str">
        <f t="shared" si="13"/>
        <v/>
      </c>
      <c r="AU99" s="473" t="str">
        <f t="shared" si="14"/>
        <v/>
      </c>
      <c r="AY99" s="32" t="s">
        <v>318</v>
      </c>
      <c r="AZ99" s="488" t="s">
        <v>38</v>
      </c>
      <c r="BA99" s="489">
        <v>1</v>
      </c>
      <c r="BB99" s="419" t="s">
        <v>319</v>
      </c>
      <c r="BC99" s="271"/>
      <c r="BD99" s="279">
        <v>1</v>
      </c>
      <c r="BG99" s="271"/>
      <c r="BH99" s="271"/>
      <c r="BI99" s="271"/>
      <c r="BJ99" s="271"/>
      <c r="BK99" s="271"/>
      <c r="BL99" s="271"/>
    </row>
    <row r="100" spans="18:64" ht="21" customHeight="1" x14ac:dyDescent="0.25">
      <c r="R100" s="34" t="s">
        <v>485</v>
      </c>
      <c r="S100" s="451"/>
      <c r="T100" s="32" t="s">
        <v>33</v>
      </c>
      <c r="V100" s="475">
        <v>1</v>
      </c>
      <c r="W100" s="475" t="str">
        <f>IF($AC$100="","",$W$72)</f>
        <v/>
      </c>
      <c r="X100" s="476" t="str">
        <f>IF($AC$100="","",$X$72)</f>
        <v/>
      </c>
      <c r="Y100" s="477" t="str">
        <f>IF($X$100="","",$Y$72)</f>
        <v/>
      </c>
      <c r="Z100" s="477" t="str">
        <f>IF($X$100="","",$Z$72)</f>
        <v/>
      </c>
      <c r="AA100" s="477" t="str">
        <f>IF($AC$100="","",ROW($A$100)-ROW($A$72))</f>
        <v/>
      </c>
      <c r="AB100" s="478"/>
      <c r="AC100" s="34"/>
      <c r="AD100" s="356"/>
      <c r="AE100" s="18"/>
      <c r="AF100" s="19"/>
      <c r="AG100" s="480" t="str">
        <f t="shared" si="4"/>
        <v/>
      </c>
      <c r="AH100" s="481" t="str">
        <f t="shared" si="5"/>
        <v/>
      </c>
      <c r="AI100" s="477" t="str">
        <f>IF($AC$100="","",IFERROR(INDEX($AZ$74:$AZ$119,MATCH($AH$100,$AY$74:$AY$119,0)),"AUTRE"))</f>
        <v/>
      </c>
      <c r="AJ100" s="482" t="str">
        <f>IF($AC$100="","",IFERROR(INDEX($BA$74:$BA$119,MATCH($AH$100,$AY$74:$AY$119,0)),1))</f>
        <v/>
      </c>
      <c r="AK100" s="482" t="str">
        <f t="shared" si="6"/>
        <v/>
      </c>
      <c r="AL100" s="477" t="str">
        <f>IF($AC$100="","",IFERROR(INDEX($BB$74:$BB$119,MATCH($AH$100,$AY$74:$AY$119,0)),$AH$100))</f>
        <v/>
      </c>
      <c r="AM100" s="483" t="str">
        <f t="shared" si="7"/>
        <v/>
      </c>
      <c r="AN100" s="484" t="str">
        <f t="shared" si="15"/>
        <v/>
      </c>
      <c r="AO100" s="473" t="str">
        <f t="shared" si="8"/>
        <v/>
      </c>
      <c r="AP100" s="473" t="str">
        <f t="shared" si="9"/>
        <v/>
      </c>
      <c r="AQ100" s="473" t="str">
        <f t="shared" si="10"/>
        <v/>
      </c>
      <c r="AR100" s="473" t="str">
        <f t="shared" si="11"/>
        <v/>
      </c>
      <c r="AS100" s="473" t="str">
        <f t="shared" si="12"/>
        <v/>
      </c>
      <c r="AT100" s="473" t="str">
        <f t="shared" si="13"/>
        <v/>
      </c>
      <c r="AU100" s="473" t="str">
        <f t="shared" si="14"/>
        <v/>
      </c>
      <c r="AY100" s="32" t="s">
        <v>316</v>
      </c>
      <c r="AZ100" s="488" t="s">
        <v>38</v>
      </c>
      <c r="BA100" s="489">
        <v>1</v>
      </c>
      <c r="BB100" s="419" t="s">
        <v>317</v>
      </c>
      <c r="BC100" s="271"/>
      <c r="BD100" s="279">
        <v>1</v>
      </c>
      <c r="BG100" s="271"/>
      <c r="BH100" s="271"/>
      <c r="BI100" s="271"/>
      <c r="BJ100" s="271"/>
      <c r="BK100" s="271"/>
      <c r="BL100" s="271"/>
    </row>
    <row r="101" spans="18:64" ht="21" customHeight="1" x14ac:dyDescent="0.25">
      <c r="R101" s="34" t="s">
        <v>6132</v>
      </c>
      <c r="S101" s="451"/>
      <c r="T101" s="32" t="s">
        <v>8125</v>
      </c>
      <c r="V101" s="475">
        <v>1</v>
      </c>
      <c r="W101" s="475" t="str">
        <f>IF($AC$101="","",$W$72)</f>
        <v/>
      </c>
      <c r="X101" s="476" t="str">
        <f>IF($AC$101="","",$X$72)</f>
        <v/>
      </c>
      <c r="Y101" s="477" t="str">
        <f>IF($X$101="","",$Y$72)</f>
        <v/>
      </c>
      <c r="Z101" s="477" t="str">
        <f>IF($X$101="","",$Z$72)</f>
        <v/>
      </c>
      <c r="AA101" s="477" t="str">
        <f>IF($AC$101="","",ROW($A$101)-ROW($A$72))</f>
        <v/>
      </c>
      <c r="AB101" s="478"/>
      <c r="AC101" s="34"/>
      <c r="AD101" s="356"/>
      <c r="AE101" s="18"/>
      <c r="AF101" s="19"/>
      <c r="AG101" s="480" t="str">
        <f t="shared" si="4"/>
        <v/>
      </c>
      <c r="AH101" s="481" t="str">
        <f t="shared" si="5"/>
        <v/>
      </c>
      <c r="AI101" s="477" t="str">
        <f>IF($AC$101="","",IFERROR(INDEX($AZ$74:$AZ$119,MATCH($AH$101,$AY$74:$AY$119,0)),"AUTRE"))</f>
        <v/>
      </c>
      <c r="AJ101" s="482" t="str">
        <f>IF($AC$101="","",IFERROR(INDEX($BA$74:$BA$119,MATCH($AH$101,$AY$74:$AY$119,0)),1))</f>
        <v/>
      </c>
      <c r="AK101" s="482" t="str">
        <f t="shared" si="6"/>
        <v/>
      </c>
      <c r="AL101" s="477" t="str">
        <f>IF($AC$101="","",IFERROR(INDEX($BB$74:$BB$119,MATCH($AH$101,$AY$74:$AY$119,0)),$AH$101))</f>
        <v/>
      </c>
      <c r="AM101" s="483" t="str">
        <f t="shared" si="7"/>
        <v/>
      </c>
      <c r="AN101" s="484" t="str">
        <f t="shared" si="15"/>
        <v/>
      </c>
      <c r="AO101" s="473" t="str">
        <f t="shared" si="8"/>
        <v/>
      </c>
      <c r="AP101" s="473" t="str">
        <f t="shared" si="9"/>
        <v/>
      </c>
      <c r="AQ101" s="473" t="str">
        <f t="shared" si="10"/>
        <v/>
      </c>
      <c r="AR101" s="473" t="str">
        <f t="shared" si="11"/>
        <v/>
      </c>
      <c r="AS101" s="473" t="str">
        <f t="shared" si="12"/>
        <v/>
      </c>
      <c r="AT101" s="473" t="str">
        <f t="shared" si="13"/>
        <v/>
      </c>
      <c r="AU101" s="473" t="str">
        <f t="shared" si="14"/>
        <v/>
      </c>
      <c r="AY101" s="32" t="s">
        <v>313</v>
      </c>
      <c r="AZ101" s="488" t="s">
        <v>38</v>
      </c>
      <c r="BA101" s="489">
        <v>1</v>
      </c>
      <c r="BB101" s="419" t="s">
        <v>314</v>
      </c>
      <c r="BC101" s="271"/>
      <c r="BD101" s="279">
        <v>1</v>
      </c>
      <c r="BG101" s="271"/>
      <c r="BH101" s="271"/>
      <c r="BI101" s="271"/>
      <c r="BJ101" s="271"/>
      <c r="BK101" s="271"/>
      <c r="BL101" s="271"/>
    </row>
    <row r="102" spans="18:64" ht="21" customHeight="1" x14ac:dyDescent="0.25">
      <c r="R102" s="25" t="s">
        <v>6133</v>
      </c>
      <c r="S102" s="451"/>
      <c r="T102" s="32" t="s">
        <v>8127</v>
      </c>
      <c r="V102" s="475">
        <v>1</v>
      </c>
      <c r="W102" s="475" t="str">
        <f>IF($AC$102="","",$W$72)</f>
        <v/>
      </c>
      <c r="X102" s="476" t="str">
        <f>IF($AC$102="","",$X$72)</f>
        <v/>
      </c>
      <c r="Y102" s="477" t="str">
        <f>IF($X$102="","",$Y$72)</f>
        <v/>
      </c>
      <c r="Z102" s="477" t="str">
        <f>IF($X$102="","",$Z$72)</f>
        <v/>
      </c>
      <c r="AA102" s="477" t="str">
        <f>IF($AC$102="","",ROW($A$102)-ROW($A$72))</f>
        <v/>
      </c>
      <c r="AB102" s="478"/>
      <c r="AC102" s="34"/>
      <c r="AD102" s="356"/>
      <c r="AE102" s="18"/>
      <c r="AF102" s="19"/>
      <c r="AG102" s="480" t="str">
        <f t="shared" si="4"/>
        <v/>
      </c>
      <c r="AH102" s="481" t="str">
        <f t="shared" si="5"/>
        <v/>
      </c>
      <c r="AI102" s="477" t="str">
        <f>IF($AC$102="","",IFERROR(INDEX($AZ$74:$AZ$119,MATCH($AH$102,$AY$74:$AY$119,0)),"AUTRE"))</f>
        <v/>
      </c>
      <c r="AJ102" s="482" t="str">
        <f>IF($AC$102="","",IFERROR(INDEX($BA$74:$BA$119,MATCH($AH$102,$AY$74:$AY$119,0)),1))</f>
        <v/>
      </c>
      <c r="AK102" s="482" t="str">
        <f t="shared" si="6"/>
        <v/>
      </c>
      <c r="AL102" s="477" t="str">
        <f>IF($AC$102="","",IFERROR(INDEX($BB$74:$BB$119,MATCH($AH$102,$AY$74:$AY$119,0)),$AH$102))</f>
        <v/>
      </c>
      <c r="AM102" s="483" t="str">
        <f t="shared" si="7"/>
        <v/>
      </c>
      <c r="AN102" s="484" t="str">
        <f t="shared" si="15"/>
        <v/>
      </c>
      <c r="AO102" s="473" t="str">
        <f t="shared" si="8"/>
        <v/>
      </c>
      <c r="AP102" s="473" t="str">
        <f t="shared" si="9"/>
        <v/>
      </c>
      <c r="AQ102" s="473" t="str">
        <f t="shared" si="10"/>
        <v/>
      </c>
      <c r="AR102" s="473" t="str">
        <f t="shared" si="11"/>
        <v/>
      </c>
      <c r="AS102" s="473" t="str">
        <f t="shared" si="12"/>
        <v/>
      </c>
      <c r="AT102" s="473" t="str">
        <f t="shared" si="13"/>
        <v/>
      </c>
      <c r="AU102" s="473" t="str">
        <f t="shared" si="14"/>
        <v/>
      </c>
      <c r="AY102" s="32" t="s">
        <v>307</v>
      </c>
      <c r="AZ102" s="488" t="s">
        <v>38</v>
      </c>
      <c r="BA102" s="489">
        <v>1</v>
      </c>
      <c r="BB102" s="419" t="s">
        <v>308</v>
      </c>
      <c r="BC102" s="271"/>
      <c r="BD102" s="279">
        <v>1</v>
      </c>
      <c r="BG102" s="271"/>
      <c r="BH102" s="271"/>
      <c r="BI102" s="271"/>
      <c r="BJ102" s="271"/>
      <c r="BK102" s="271"/>
      <c r="BL102" s="271"/>
    </row>
    <row r="103" spans="18:64" ht="21" customHeight="1" x14ac:dyDescent="0.25">
      <c r="R103" s="34" t="s">
        <v>476</v>
      </c>
      <c r="S103" s="451"/>
      <c r="T103" s="32" t="s">
        <v>320</v>
      </c>
      <c r="V103" s="475">
        <v>1</v>
      </c>
      <c r="W103" s="475" t="str">
        <f>IF($AC$103="","",$W$72)</f>
        <v/>
      </c>
      <c r="X103" s="476" t="str">
        <f>IF($AC$103="","",$X$72)</f>
        <v/>
      </c>
      <c r="Y103" s="477" t="str">
        <f>IF($X$103="","",$Y$72)</f>
        <v/>
      </c>
      <c r="Z103" s="477" t="str">
        <f>IF($X$103="","",$Z$72)</f>
        <v/>
      </c>
      <c r="AA103" s="477" t="str">
        <f>IF($AC$103="","",ROW($A$103)-ROW($A$72))</f>
        <v/>
      </c>
      <c r="AB103" s="478"/>
      <c r="AC103" s="34"/>
      <c r="AD103" s="356"/>
      <c r="AE103" s="18"/>
      <c r="AF103" s="19"/>
      <c r="AG103" s="480" t="str">
        <f t="shared" si="4"/>
        <v/>
      </c>
      <c r="AH103" s="481" t="str">
        <f t="shared" si="5"/>
        <v/>
      </c>
      <c r="AI103" s="477" t="str">
        <f>IF($AC$103="","",IFERROR(INDEX($AZ$74:$AZ$119,MATCH($AH$103,$AY$74:$AY$119,0)),"AUTRE"))</f>
        <v/>
      </c>
      <c r="AJ103" s="482" t="str">
        <f>IF($AC$103="","",IFERROR(INDEX($BA$74:$BA$119,MATCH($AH$103,$AY$74:$AY$119,0)),1))</f>
        <v/>
      </c>
      <c r="AK103" s="482" t="str">
        <f t="shared" si="6"/>
        <v/>
      </c>
      <c r="AL103" s="477" t="str">
        <f>IF($AC$103="","",IFERROR(INDEX($BB$74:$BB$119,MATCH($AH$103,$AY$74:$AY$119,0)),$AH$103))</f>
        <v/>
      </c>
      <c r="AM103" s="483" t="str">
        <f t="shared" si="7"/>
        <v/>
      </c>
      <c r="AN103" s="484" t="str">
        <f t="shared" si="15"/>
        <v/>
      </c>
      <c r="AO103" s="473" t="str">
        <f t="shared" si="8"/>
        <v/>
      </c>
      <c r="AP103" s="473" t="str">
        <f t="shared" si="9"/>
        <v/>
      </c>
      <c r="AQ103" s="473" t="str">
        <f t="shared" si="10"/>
        <v/>
      </c>
      <c r="AR103" s="473" t="str">
        <f t="shared" si="11"/>
        <v/>
      </c>
      <c r="AS103" s="473" t="str">
        <f t="shared" si="12"/>
        <v/>
      </c>
      <c r="AT103" s="473" t="str">
        <f t="shared" si="13"/>
        <v/>
      </c>
      <c r="AU103" s="473" t="str">
        <f t="shared" si="14"/>
        <v/>
      </c>
      <c r="AY103" s="32" t="s">
        <v>322</v>
      </c>
      <c r="AZ103" s="488" t="s">
        <v>38</v>
      </c>
      <c r="BA103" s="489">
        <v>1</v>
      </c>
      <c r="BB103" s="419" t="s">
        <v>323</v>
      </c>
      <c r="BC103" s="271"/>
      <c r="BD103" s="279">
        <v>1</v>
      </c>
      <c r="BG103" s="271"/>
      <c r="BH103" s="271"/>
      <c r="BI103" s="271"/>
      <c r="BJ103" s="271"/>
      <c r="BK103" s="271"/>
      <c r="BL103" s="271"/>
    </row>
    <row r="104" spans="18:64" ht="21" customHeight="1" x14ac:dyDescent="0.25">
      <c r="R104" s="34" t="s">
        <v>468</v>
      </c>
      <c r="S104" s="451"/>
      <c r="T104" s="32" t="s">
        <v>318</v>
      </c>
      <c r="V104" s="475">
        <v>1</v>
      </c>
      <c r="W104" s="475" t="str">
        <f>IF($AC$104="","",$W$72)</f>
        <v/>
      </c>
      <c r="X104" s="476" t="str">
        <f>IF($AC$104="","",$X$72)</f>
        <v/>
      </c>
      <c r="Y104" s="477" t="str">
        <f>IF($X$104="","",$Y$72)</f>
        <v/>
      </c>
      <c r="Z104" s="477" t="str">
        <f>IF($X$104="","",$Z$72)</f>
        <v/>
      </c>
      <c r="AA104" s="477" t="str">
        <f>IF($AC$104="","",ROW($A$104)-ROW($A$72))</f>
        <v/>
      </c>
      <c r="AB104" s="478"/>
      <c r="AC104" s="34"/>
      <c r="AD104" s="356"/>
      <c r="AE104" s="18"/>
      <c r="AF104" s="19"/>
      <c r="AG104" s="480" t="str">
        <f t="shared" si="4"/>
        <v/>
      </c>
      <c r="AH104" s="481" t="str">
        <f t="shared" si="5"/>
        <v/>
      </c>
      <c r="AI104" s="477" t="str">
        <f>IF($AC$104="","",IFERROR(INDEX($AZ$74:$AZ$119,MATCH($AH$104,$AY$74:$AY$119,0)),"AUTRE"))</f>
        <v/>
      </c>
      <c r="AJ104" s="482" t="str">
        <f>IF($AC$104="","",IFERROR(INDEX($BA$74:$BA$119,MATCH($AH$104,$AY$74:$AY$119,0)),1))</f>
        <v/>
      </c>
      <c r="AK104" s="482" t="str">
        <f t="shared" si="6"/>
        <v/>
      </c>
      <c r="AL104" s="477" t="str">
        <f>IF($AC$104="","",IFERROR(INDEX($BB$74:$BB$119,MATCH($AH$104,$AY$74:$AY$119,0)),$AH$104))</f>
        <v/>
      </c>
      <c r="AM104" s="483" t="str">
        <f t="shared" si="7"/>
        <v/>
      </c>
      <c r="AN104" s="484" t="str">
        <f t="shared" si="15"/>
        <v/>
      </c>
      <c r="AO104" s="473" t="str">
        <f t="shared" si="8"/>
        <v/>
      </c>
      <c r="AP104" s="473" t="str">
        <f t="shared" si="9"/>
        <v/>
      </c>
      <c r="AQ104" s="473" t="str">
        <f t="shared" si="10"/>
        <v/>
      </c>
      <c r="AR104" s="473" t="str">
        <f t="shared" si="11"/>
        <v/>
      </c>
      <c r="AS104" s="473" t="str">
        <f t="shared" si="12"/>
        <v/>
      </c>
      <c r="AT104" s="473" t="str">
        <f t="shared" si="13"/>
        <v/>
      </c>
      <c r="AU104" s="473" t="str">
        <f t="shared" si="14"/>
        <v/>
      </c>
      <c r="AY104" s="32" t="s">
        <v>305</v>
      </c>
      <c r="AZ104" s="488" t="s">
        <v>38</v>
      </c>
      <c r="BA104" s="489">
        <v>1</v>
      </c>
      <c r="BB104" s="419" t="s">
        <v>306</v>
      </c>
      <c r="BC104" s="271"/>
      <c r="BD104" s="279">
        <v>1</v>
      </c>
      <c r="BG104" s="271"/>
      <c r="BH104" s="271"/>
      <c r="BI104" s="271"/>
      <c r="BJ104" s="271"/>
      <c r="BK104" s="271"/>
      <c r="BL104" s="271"/>
    </row>
    <row r="105" spans="18:64" ht="21" customHeight="1" x14ac:dyDescent="0.25">
      <c r="R105" s="34" t="s">
        <v>473</v>
      </c>
      <c r="S105" s="451"/>
      <c r="T105" s="32" t="s">
        <v>316</v>
      </c>
      <c r="V105" s="475">
        <v>1</v>
      </c>
      <c r="W105" s="475" t="str">
        <f>IF($AC$105="","",$W$72)</f>
        <v>N° 45</v>
      </c>
      <c r="X105" s="476" t="str">
        <f>IF($AC$105="","",$X$72)</f>
        <v>ŒUFS EN MEURETTE*</v>
      </c>
      <c r="Y105" s="477">
        <f>IF($X$105="","",$Y$72)</f>
        <v>62</v>
      </c>
      <c r="Z105" s="477">
        <f>IF($X$105="","",$Z$72)</f>
        <v>100</v>
      </c>
      <c r="AA105" s="477">
        <f>IF($AC$105="","",ROW($A$105)-ROW($A$72))</f>
        <v>33</v>
      </c>
      <c r="AB105" s="478"/>
      <c r="AC105" s="34" t="s">
        <v>468</v>
      </c>
      <c r="AD105" s="356"/>
      <c r="AE105" s="18">
        <v>9</v>
      </c>
      <c r="AF105" s="33" t="s">
        <v>462</v>
      </c>
      <c r="AG105" s="480">
        <f t="shared" si="4"/>
        <v>9</v>
      </c>
      <c r="AH105" s="481" t="str">
        <f t="shared" si="5"/>
        <v>BAC(S)</v>
      </c>
      <c r="AI105" s="477" t="str">
        <f>IF($AC$105="","",IFERROR(INDEX($AZ$74:$AZ$119,MATCH($AH$105,$AY$74:$AY$119,0)),"AUTRE"))</f>
        <v>AUTRE</v>
      </c>
      <c r="AJ105" s="482">
        <f>IF($AC$105="","",IFERROR(INDEX($BA$74:$BA$119,MATCH($AH$105,$AY$74:$AY$119,0)),1))</f>
        <v>1</v>
      </c>
      <c r="AK105" s="482">
        <f t="shared" si="6"/>
        <v>9</v>
      </c>
      <c r="AL105" s="477" t="str">
        <f>IF($AC$105="","",IFERROR(INDEX($BB$74:$BB$119,MATCH($AH$105,$AY$74:$AY$119,0)),$AH$105))</f>
        <v>bac(s)</v>
      </c>
      <c r="AM105" s="483" t="str">
        <f t="shared" si="7"/>
        <v>OK</v>
      </c>
      <c r="AN105" s="484">
        <f t="shared" si="15"/>
        <v>9</v>
      </c>
      <c r="AO105" s="473" t="str">
        <f t="shared" si="8"/>
        <v/>
      </c>
      <c r="AP105" s="473" t="str">
        <f t="shared" si="9"/>
        <v/>
      </c>
      <c r="AQ105" s="473" t="str">
        <f t="shared" si="10"/>
        <v/>
      </c>
      <c r="AR105" s="473" t="str">
        <f t="shared" si="11"/>
        <v/>
      </c>
      <c r="AS105" s="473" t="str">
        <f t="shared" si="12"/>
        <v/>
      </c>
      <c r="AT105" s="473" t="str">
        <f t="shared" si="13"/>
        <v/>
      </c>
      <c r="AU105" s="473" t="str">
        <f t="shared" si="14"/>
        <v/>
      </c>
      <c r="AY105" s="32" t="s">
        <v>8129</v>
      </c>
      <c r="AZ105" s="488" t="s">
        <v>38</v>
      </c>
      <c r="BA105" s="489">
        <v>1</v>
      </c>
      <c r="BB105" s="419" t="s">
        <v>8130</v>
      </c>
      <c r="BC105" s="271"/>
      <c r="BD105" s="279">
        <v>1</v>
      </c>
      <c r="BG105" s="271"/>
      <c r="BH105" s="271"/>
      <c r="BI105" s="271"/>
      <c r="BJ105" s="271"/>
      <c r="BK105" s="271"/>
      <c r="BL105" s="271"/>
    </row>
    <row r="106" spans="18:64" ht="21" customHeight="1" x14ac:dyDescent="0.25">
      <c r="R106" s="34" t="s">
        <v>497</v>
      </c>
      <c r="S106" s="451"/>
      <c r="T106" s="32" t="s">
        <v>313</v>
      </c>
      <c r="V106" s="475">
        <v>1</v>
      </c>
      <c r="W106" s="475" t="str">
        <f>IF($AC$106="","",$W$72)</f>
        <v>N° 45</v>
      </c>
      <c r="X106" s="476" t="str">
        <f>IF($AC$106="","",$X$72)</f>
        <v>ŒUFS EN MEURETTE*</v>
      </c>
      <c r="Y106" s="477">
        <f>IF($X$106="","",$Y$72)</f>
        <v>62</v>
      </c>
      <c r="Z106" s="477">
        <f>IF($X$106="","",$Z$72)</f>
        <v>100</v>
      </c>
      <c r="AA106" s="477">
        <f>IF($AC$106="","",ROW($A$106)-ROW($A$72))</f>
        <v>34</v>
      </c>
      <c r="AB106" s="478"/>
      <c r="AC106" s="34" t="s">
        <v>457</v>
      </c>
      <c r="AD106" s="356"/>
      <c r="AE106" s="18">
        <v>4</v>
      </c>
      <c r="AF106" s="33" t="s">
        <v>465</v>
      </c>
      <c r="AG106" s="491">
        <f t="shared" si="4"/>
        <v>4</v>
      </c>
      <c r="AH106" s="481" t="str">
        <f t="shared" si="5"/>
        <v>GRILLE(S)</v>
      </c>
      <c r="AI106" s="477" t="str">
        <f>IF($AC$106="","",IFERROR(INDEX($AZ$74:$AZ$119,MATCH($AH$106,$AY$74:$AY$119,0)),"AUTRE"))</f>
        <v>AUTRE</v>
      </c>
      <c r="AJ106" s="482">
        <f>IF($AC$106="","",IFERROR(INDEX($BA$74:$BA$119,MATCH($AH$106,$AY$74:$AY$119,0)),1))</f>
        <v>1</v>
      </c>
      <c r="AK106" s="482">
        <f t="shared" si="6"/>
        <v>4</v>
      </c>
      <c r="AL106" s="477" t="str">
        <f>IF($AC$106="","",IFERROR(INDEX($BB$74:$BB$119,MATCH($AH$106,$AY$74:$AY$119,0)),$AH$106))</f>
        <v>grille(s)</v>
      </c>
      <c r="AM106" s="483" t="str">
        <f t="shared" si="7"/>
        <v>OK</v>
      </c>
      <c r="AN106" s="484">
        <f t="shared" si="15"/>
        <v>4</v>
      </c>
      <c r="AO106" s="473" t="str">
        <f t="shared" si="8"/>
        <v/>
      </c>
      <c r="AP106" s="473" t="str">
        <f t="shared" si="9"/>
        <v/>
      </c>
      <c r="AQ106" s="473" t="str">
        <f t="shared" si="10"/>
        <v/>
      </c>
      <c r="AR106" s="473" t="str">
        <f t="shared" si="11"/>
        <v/>
      </c>
      <c r="AS106" s="473" t="str">
        <f t="shared" si="12"/>
        <v/>
      </c>
      <c r="AT106" s="473" t="str">
        <f t="shared" si="13"/>
        <v/>
      </c>
      <c r="AU106" s="473" t="str">
        <f t="shared" si="14"/>
        <v/>
      </c>
      <c r="AY106" s="32" t="s">
        <v>8131</v>
      </c>
      <c r="AZ106" s="488" t="s">
        <v>38</v>
      </c>
      <c r="BA106" s="489">
        <v>1</v>
      </c>
      <c r="BB106" s="419" t="s">
        <v>8132</v>
      </c>
      <c r="BC106" s="271"/>
      <c r="BD106" s="279">
        <v>1</v>
      </c>
      <c r="BE106" s="271"/>
      <c r="BF106" s="271"/>
      <c r="BG106" s="271"/>
      <c r="BH106" s="271"/>
      <c r="BI106" s="271"/>
      <c r="BJ106" s="271"/>
      <c r="BK106" s="271"/>
      <c r="BL106" s="271"/>
    </row>
    <row r="107" spans="18:64" ht="30" customHeight="1" x14ac:dyDescent="0.25">
      <c r="R107" s="34" t="s">
        <v>470</v>
      </c>
      <c r="S107" s="451"/>
      <c r="T107" s="32" t="s">
        <v>307</v>
      </c>
      <c r="V107" s="453" t="s">
        <v>324</v>
      </c>
      <c r="W107" s="453" t="s">
        <v>7912</v>
      </c>
      <c r="X107" s="453" t="s">
        <v>326</v>
      </c>
      <c r="Y107" s="453" t="s">
        <v>327</v>
      </c>
      <c r="Z107" s="454" t="s">
        <v>7930</v>
      </c>
      <c r="AA107" s="453" t="s">
        <v>7937</v>
      </c>
      <c r="AB107" s="455" t="s">
        <v>39</v>
      </c>
      <c r="AC107" s="455" t="s">
        <v>338</v>
      </c>
      <c r="AD107" s="455" t="s">
        <v>8114</v>
      </c>
      <c r="AE107" s="455" t="s">
        <v>339</v>
      </c>
      <c r="AF107" s="455" t="s">
        <v>7997</v>
      </c>
      <c r="AG107" s="453" t="s">
        <v>8018</v>
      </c>
      <c r="AH107" s="453" t="s">
        <v>8023</v>
      </c>
      <c r="AI107" s="453" t="s">
        <v>330</v>
      </c>
      <c r="AJ107" s="453" t="s">
        <v>8031</v>
      </c>
      <c r="AK107" s="453" t="s">
        <v>8037</v>
      </c>
      <c r="AL107" s="453" t="s">
        <v>8041</v>
      </c>
      <c r="AM107" s="453" t="s">
        <v>343</v>
      </c>
      <c r="AN107" s="457" t="s">
        <v>8115</v>
      </c>
      <c r="AO107" s="457" t="s">
        <v>8116</v>
      </c>
      <c r="AP107" s="656" t="s">
        <v>8117</v>
      </c>
      <c r="AQ107" s="656"/>
      <c r="AR107" s="656"/>
      <c r="AS107" s="656"/>
      <c r="AT107" s="656"/>
      <c r="AU107" s="657"/>
      <c r="AY107" s="32" t="s">
        <v>309</v>
      </c>
      <c r="AZ107" s="488" t="s">
        <v>38</v>
      </c>
      <c r="BA107" s="489">
        <v>1</v>
      </c>
      <c r="BB107" s="419" t="s">
        <v>310</v>
      </c>
      <c r="BC107" s="271"/>
      <c r="BD107" s="279">
        <v>1</v>
      </c>
      <c r="BE107" s="271"/>
      <c r="BF107" s="271"/>
      <c r="BG107" s="271"/>
      <c r="BH107" s="271"/>
      <c r="BI107" s="271"/>
      <c r="BJ107" s="271"/>
      <c r="BK107" s="271"/>
      <c r="BL107" s="271"/>
    </row>
    <row r="108" spans="18:64" ht="30" customHeight="1" x14ac:dyDescent="0.25">
      <c r="R108" s="34" t="s">
        <v>477</v>
      </c>
      <c r="S108" s="451"/>
      <c r="T108" s="32" t="s">
        <v>322</v>
      </c>
      <c r="V108" s="459">
        <v>2</v>
      </c>
      <c r="W108" s="12" t="s">
        <v>282</v>
      </c>
      <c r="X108" s="492" t="s">
        <v>386</v>
      </c>
      <c r="Y108" s="15">
        <v>63</v>
      </c>
      <c r="Z108" s="463">
        <v>100</v>
      </c>
      <c r="AA108" s="464">
        <v>0</v>
      </c>
      <c r="AB108" s="493"/>
      <c r="AC108" s="494" t="s">
        <v>387</v>
      </c>
      <c r="AD108" s="495"/>
      <c r="AE108" s="13" t="s">
        <v>239</v>
      </c>
      <c r="AF108" s="26" t="s">
        <v>305</v>
      </c>
      <c r="AG108" s="467" t="str">
        <f t="shared" ref="AG108:AG142" si="16">IF($AC108="","",IF(LEN($AN108&amp;"")=0,"",$AN108))</f>
        <v>100</v>
      </c>
      <c r="AH108" s="468" t="str">
        <f t="shared" ref="AH108:AH142" si="17">IF($AC108="","",IF($AF108&lt;&gt;"",UPPER(TRIM(SUBSTITUTE(SUBSTITUTE($AF108&amp;"",CHAR(160)," ")," "," "))),$AP108))</f>
        <v>ŒUF(S)</v>
      </c>
      <c r="AI108" s="469" t="str">
        <f>IF($AC$108="","",IFERROR(INDEX($AZ$74:$AZ$119,MATCH($AH$108,$AY$74:$AY$119,0)),"AUTRE"))</f>
        <v>AUTRE</v>
      </c>
      <c r="AJ108" s="470">
        <f>IF($AC$108="","",IFERROR(INDEX($BA$74:$BA$119,MATCH($AH$108,$AY$74:$AY$119,0)),1))</f>
        <v>1</v>
      </c>
      <c r="AK108" s="470">
        <f t="shared" ref="AK108:AK142" si="18">IF(OR(AG108="",AJ108=""),"",AG108*AJ108)</f>
        <v>100</v>
      </c>
      <c r="AL108" s="469" t="str">
        <f>IF($AC$108="","",IFERROR(INDEX($BB$74:$BB$119,MATCH($AH$108,$AY$74:$AY$119,0)),$AH$108))</f>
        <v>œuf(s)</v>
      </c>
      <c r="AM108" s="471" t="str">
        <f t="shared" ref="AM108:AM142" si="19">IF($AC108="","",IF($AH108="QT. SUFFISANTE","OK",IF($AG108="","TEXTE",IF(NOT(ISNUMBER($AG108)),"QUANTITÉ À CONTRÔLER",IF(COUNTIF($AY$74:$AY$119,$AH108)=0,"UNITÉ À CONTRÔLER","OK")))))</f>
        <v>QUANTITÉ À CONTRÔLER</v>
      </c>
      <c r="AN108" s="474" t="str">
        <f t="shared" ref="AN108:AN142" si="20">IF($AE108&lt;&gt;"",$AE108,IF($AD108="","",IF(ISNUMBER($AD108),$AD108,IF($AO108="QT",0,IF($AO108="","",IFERROR(IF(ISNUMBER(SEARCH("/",$AO108)),VALUE(TRIM(LEFT($AO108,SEARCH("/",$AO108)-1)))/VALUE(TRIM(MID($AO108,SEARCH("/",$AO108)+1,99))),VALUE(SUBSTITUTE($AO108,".",","))),""))))))</f>
        <v>100</v>
      </c>
      <c r="AO108" s="473" t="str">
        <f t="shared" ref="AO108:AO142" si="21">IF($AD108="","",IF(ISNUMBER($AD108),$AD108,IF(OR(LEFT($AQ108,3)="QT.",LEFT($AQ108,4)="QUAN"),"QT",IF($AR108=999,$AQ108,TRIM(LEFT($AQ108,$AR108-1))))))</f>
        <v/>
      </c>
      <c r="AP108" s="473" t="str">
        <f t="shared" ref="AP108:AP142" si="22">IF($AD108="","",IF(ISNUMBER($AD108),"",IF(OR(LEFT($AQ108,3)="QT.",LEFT($AQ108,4)="QUAN"),"QT. SUFFISANTE",IF($AO108="","",TRIM(MID($AQ108,LEN($AO108&amp;"")+1,999))))))</f>
        <v/>
      </c>
      <c r="AQ108" s="473" t="str">
        <f t="shared" ref="AQ108:AQ142" si="23">IF($AD108="","",UPPER(TRIM(SUBSTITUTE(SUBSTITUTE($AD108&amp;"",CHAR(160)," ")," "," "))))</f>
        <v/>
      </c>
      <c r="AR108" s="473" t="str">
        <f t="shared" ref="AR108:AR142" si="24">IF($AQ108="","",MIN($AS108,$AT108,$AU108))</f>
        <v/>
      </c>
      <c r="AS108" s="473" t="str">
        <f t="shared" ref="AS108:AS142" si="25">IF($AQ108="","",MIN(IFERROR(SEARCH("A",$AQ108),999),IFERROR(SEARCH("B",$AQ108),999),IFERROR(SEARCH("C",$AQ108),999),IFERROR(SEARCH("D",$AQ108),999),IFERROR(SEARCH("E",$AQ108),999),IFERROR(SEARCH("F",$AQ108),999),IFERROR(SEARCH("G",$AQ108),999),IFERROR(SEARCH("H",$AQ108),999),IFERROR(SEARCH("I",$AQ108),999)))</f>
        <v/>
      </c>
      <c r="AT108" s="473" t="str">
        <f t="shared" ref="AT108:AT142" si="26">IF($AQ108="","",MIN(IFERROR(SEARCH("J",$AQ108),999),IFERROR(SEARCH("K",$AQ108),999),IFERROR(SEARCH("L",$AQ108),999),IFERROR(SEARCH("M",$AQ108),999),IFERROR(SEARCH("N",$AQ108),999),IFERROR(SEARCH("O",$AQ108),999),IFERROR(SEARCH("P",$AQ108),999),IFERROR(SEARCH("Q",$AQ108),999),IFERROR(SEARCH("R",$AQ108),999)))</f>
        <v/>
      </c>
      <c r="AU108" s="473" t="str">
        <f t="shared" ref="AU108:AU142" si="27">IF($AQ108="","",MIN(IFERROR(SEARCH("S",$AQ108),999),IFERROR(SEARCH("T",$AQ108),999),IFERROR(SEARCH("U",$AQ108),999),IFERROR(SEARCH("V",$AQ108),999),IFERROR(SEARCH("W",$AQ108),999),IFERROR(SEARCH("X",$AQ108),999),IFERROR(SEARCH("Y",$AQ108),999),IFERROR(SEARCH("Z",$AQ108),999)))</f>
        <v/>
      </c>
      <c r="AY108" s="32" t="s">
        <v>311</v>
      </c>
      <c r="AZ108" s="488" t="s">
        <v>38</v>
      </c>
      <c r="BA108" s="489">
        <v>1</v>
      </c>
      <c r="BB108" s="419" t="s">
        <v>312</v>
      </c>
      <c r="BC108" s="271"/>
      <c r="BD108" s="279">
        <v>1</v>
      </c>
      <c r="BE108" s="271"/>
      <c r="BF108" s="271"/>
      <c r="BG108" s="271"/>
      <c r="BH108" s="271"/>
      <c r="BI108" s="271"/>
      <c r="BJ108" s="271"/>
      <c r="BK108" s="271"/>
      <c r="BL108" s="271"/>
    </row>
    <row r="109" spans="18:64" ht="21" customHeight="1" x14ac:dyDescent="0.25">
      <c r="S109" s="451"/>
      <c r="T109" s="32" t="s">
        <v>305</v>
      </c>
      <c r="V109" s="475">
        <f>$V$108</f>
        <v>2</v>
      </c>
      <c r="W109" s="475" t="str">
        <f>IF($AC$109="","",$W$108)</f>
        <v>N° 46</v>
      </c>
      <c r="X109" s="476" t="str">
        <f>IF($AC$109="","",$X$108)</f>
        <v>ŒUFS COCOTTE A LA CRÈME*</v>
      </c>
      <c r="Y109" s="477">
        <f>IF($X$109="","",$Y$108)</f>
        <v>63</v>
      </c>
      <c r="Z109" s="477">
        <f>IF($X$109="","",$Z$108)</f>
        <v>100</v>
      </c>
      <c r="AA109" s="477">
        <f>IF($AC$109="","",ROW($A$109)-ROW($A$108))</f>
        <v>1</v>
      </c>
      <c r="AB109" s="478"/>
      <c r="AC109" s="34" t="s">
        <v>377</v>
      </c>
      <c r="AD109" s="356"/>
      <c r="AE109" s="18">
        <v>2</v>
      </c>
      <c r="AF109" s="6" t="s">
        <v>9</v>
      </c>
      <c r="AG109" s="480">
        <f t="shared" si="16"/>
        <v>2</v>
      </c>
      <c r="AH109" s="481" t="str">
        <f t="shared" si="17"/>
        <v>L</v>
      </c>
      <c r="AI109" s="477" t="str">
        <f>IF($AC$109="","",IFERROR(INDEX($AZ$74:$AZ$119,MATCH($AH$109,$AY$74:$AY$119,0)),"AUTRE"))</f>
        <v>VOLUME</v>
      </c>
      <c r="AJ109" s="482">
        <f>IF($AC$109="","",IFERROR(INDEX($BA$74:$BA$119,MATCH($AH$109,$AY$74:$AY$119,0)),1))</f>
        <v>1</v>
      </c>
      <c r="AK109" s="482">
        <f t="shared" si="18"/>
        <v>2</v>
      </c>
      <c r="AL109" s="477" t="str">
        <f>IF($AC$109="","",IFERROR(INDEX($BB$74:$BB$119,MATCH($AH$109,$AY$74:$AY$119,0)),$AH$109))</f>
        <v>L</v>
      </c>
      <c r="AM109" s="483" t="str">
        <f t="shared" si="19"/>
        <v>OK</v>
      </c>
      <c r="AN109" s="484">
        <f t="shared" si="20"/>
        <v>2</v>
      </c>
      <c r="AO109" s="473" t="str">
        <f t="shared" si="21"/>
        <v/>
      </c>
      <c r="AP109" s="473" t="str">
        <f t="shared" si="22"/>
        <v/>
      </c>
      <c r="AQ109" s="473" t="str">
        <f t="shared" si="23"/>
        <v/>
      </c>
      <c r="AR109" s="473" t="str">
        <f t="shared" si="24"/>
        <v/>
      </c>
      <c r="AS109" s="473" t="str">
        <f t="shared" si="25"/>
        <v/>
      </c>
      <c r="AT109" s="473" t="str">
        <f t="shared" si="26"/>
        <v/>
      </c>
      <c r="AU109" s="473" t="str">
        <f t="shared" si="27"/>
        <v/>
      </c>
      <c r="AY109" s="32" t="s">
        <v>8135</v>
      </c>
      <c r="AZ109" s="488" t="s">
        <v>38</v>
      </c>
      <c r="BA109" s="489">
        <v>1</v>
      </c>
      <c r="BB109" s="419" t="s">
        <v>8136</v>
      </c>
      <c r="BC109" s="271"/>
      <c r="BD109" s="279">
        <v>1</v>
      </c>
      <c r="BE109" s="271"/>
      <c r="BF109" s="271"/>
      <c r="BG109" s="271"/>
      <c r="BH109" s="271"/>
      <c r="BI109" s="271"/>
      <c r="BJ109" s="271"/>
      <c r="BK109" s="271"/>
      <c r="BL109" s="271"/>
    </row>
    <row r="110" spans="18:64" ht="21" customHeight="1" x14ac:dyDescent="0.25">
      <c r="R110" s="25" t="s">
        <v>6134</v>
      </c>
      <c r="S110" s="451"/>
      <c r="T110" s="32" t="s">
        <v>309</v>
      </c>
      <c r="V110" s="475">
        <v>2</v>
      </c>
      <c r="W110" s="475" t="str">
        <f>IF($AC$110="","",$W$108)</f>
        <v>N° 46</v>
      </c>
      <c r="X110" s="476" t="str">
        <f>IF($AC$110="","",$X$108)</f>
        <v>ŒUFS COCOTTE A LA CRÈME*</v>
      </c>
      <c r="Y110" s="477">
        <f>IF($X$110="","",$Y$108)</f>
        <v>63</v>
      </c>
      <c r="Z110" s="477">
        <f>IF($X$110="","",$Z$108)</f>
        <v>100</v>
      </c>
      <c r="AA110" s="477">
        <f>IF($AC$110="","",ROW($A$110)-ROW($A$108))</f>
        <v>2</v>
      </c>
      <c r="AB110" s="478"/>
      <c r="AC110" s="34" t="s">
        <v>372</v>
      </c>
      <c r="AD110" s="356"/>
      <c r="AE110" s="18">
        <v>150</v>
      </c>
      <c r="AF110" s="5" t="s">
        <v>8</v>
      </c>
      <c r="AG110" s="480">
        <f t="shared" si="16"/>
        <v>150</v>
      </c>
      <c r="AH110" s="481" t="str">
        <f t="shared" si="17"/>
        <v>G</v>
      </c>
      <c r="AI110" s="477" t="str">
        <f>IF($AC$110="","",IFERROR(INDEX($AZ$74:$AZ$119,MATCH($AH$110,$AY$74:$AY$119,0)),"AUTRE"))</f>
        <v>MASSE</v>
      </c>
      <c r="AJ110" s="482">
        <f>IF($AC$110="","",IFERROR(INDEX($BA$74:$BA$119,MATCH($AH$110,$AY$74:$AY$119,0)),1))</f>
        <v>1E-3</v>
      </c>
      <c r="AK110" s="482">
        <f t="shared" si="18"/>
        <v>0.15</v>
      </c>
      <c r="AL110" s="477" t="str">
        <f>IF($AC$110="","",IFERROR(INDEX($BB$74:$BB$119,MATCH($AH$110,$AY$74:$AY$119,0)),$AH$110))</f>
        <v>kg</v>
      </c>
      <c r="AM110" s="483" t="str">
        <f t="shared" si="19"/>
        <v>OK</v>
      </c>
      <c r="AN110" s="484">
        <f t="shared" si="20"/>
        <v>150</v>
      </c>
      <c r="AO110" s="473" t="str">
        <f t="shared" si="21"/>
        <v/>
      </c>
      <c r="AP110" s="473" t="str">
        <f t="shared" si="22"/>
        <v/>
      </c>
      <c r="AQ110" s="473" t="str">
        <f t="shared" si="23"/>
        <v/>
      </c>
      <c r="AR110" s="473" t="str">
        <f t="shared" si="24"/>
        <v/>
      </c>
      <c r="AS110" s="473" t="str">
        <f t="shared" si="25"/>
        <v/>
      </c>
      <c r="AT110" s="473" t="str">
        <f t="shared" si="26"/>
        <v/>
      </c>
      <c r="AU110" s="473" t="str">
        <f t="shared" si="27"/>
        <v/>
      </c>
      <c r="AY110" s="32" t="s">
        <v>8137</v>
      </c>
      <c r="AZ110" s="488" t="s">
        <v>38</v>
      </c>
      <c r="BA110" s="489">
        <v>1</v>
      </c>
      <c r="BB110" s="419" t="s">
        <v>8138</v>
      </c>
      <c r="BC110" s="271"/>
      <c r="BD110" s="279">
        <v>1</v>
      </c>
      <c r="BE110" s="271"/>
      <c r="BF110" s="271"/>
      <c r="BG110" s="271"/>
      <c r="BH110" s="271"/>
      <c r="BI110" s="271"/>
      <c r="BJ110" s="271"/>
      <c r="BK110" s="271"/>
      <c r="BL110" s="271"/>
    </row>
    <row r="111" spans="18:64" ht="21" customHeight="1" x14ac:dyDescent="0.25">
      <c r="R111" s="34" t="s">
        <v>481</v>
      </c>
      <c r="S111" s="451"/>
      <c r="T111" s="32" t="s">
        <v>311</v>
      </c>
      <c r="V111" s="475">
        <v>2</v>
      </c>
      <c r="W111" s="475" t="str">
        <f>IF($AC$111="","",$W$108)</f>
        <v>N° 46</v>
      </c>
      <c r="X111" s="476" t="str">
        <f>IF($AC$111="","",$X$108)</f>
        <v>ŒUFS COCOTTE A LA CRÈME*</v>
      </c>
      <c r="Y111" s="477">
        <f>IF($X$111="","",$Y$108)</f>
        <v>63</v>
      </c>
      <c r="Z111" s="477">
        <f>IF($X$111="","",$Z$108)</f>
        <v>100</v>
      </c>
      <c r="AA111" s="477">
        <f>IF($AC$111="","",ROW($A$111)-ROW($A$108))</f>
        <v>3</v>
      </c>
      <c r="AB111" s="478"/>
      <c r="AC111" s="34" t="s">
        <v>43</v>
      </c>
      <c r="AD111" s="356"/>
      <c r="AE111" s="26" t="s">
        <v>33</v>
      </c>
      <c r="AF111" s="19"/>
      <c r="AG111" s="480" t="str">
        <f t="shared" si="16"/>
        <v>QT. SUFFISANTE</v>
      </c>
      <c r="AH111" s="481" t="str">
        <f t="shared" si="17"/>
        <v/>
      </c>
      <c r="AI111" s="477" t="str">
        <f>IF($AC$111="","",IFERROR(INDEX($AZ$74:$AZ$119,MATCH($AH$111,$AY$74:$AY$119,0)),"AUTRE"))</f>
        <v>AUTRE</v>
      </c>
      <c r="AJ111" s="482">
        <f>IF($AC$111="","",IFERROR(INDEX($BA$74:$BA$119,MATCH($AH$111,$AY$74:$AY$119,0)),1))</f>
        <v>1</v>
      </c>
      <c r="AK111" s="482" t="e">
        <f t="shared" si="18"/>
        <v>#VALUE!</v>
      </c>
      <c r="AL111" s="477" t="str">
        <f>IF($AC$111="","",IFERROR(INDEX($BB$74:$BB$119,MATCH($AH$111,$AY$74:$AY$119,0)),$AH$111))</f>
        <v/>
      </c>
      <c r="AM111" s="483" t="str">
        <f t="shared" si="19"/>
        <v>QUANTITÉ À CONTRÔLER</v>
      </c>
      <c r="AN111" s="484" t="str">
        <f t="shared" si="20"/>
        <v>QT. SUFFISANTE</v>
      </c>
      <c r="AO111" s="473" t="str">
        <f t="shared" si="21"/>
        <v/>
      </c>
      <c r="AP111" s="473" t="str">
        <f t="shared" si="22"/>
        <v/>
      </c>
      <c r="AQ111" s="473" t="str">
        <f t="shared" si="23"/>
        <v/>
      </c>
      <c r="AR111" s="473" t="str">
        <f t="shared" si="24"/>
        <v/>
      </c>
      <c r="AS111" s="473" t="str">
        <f t="shared" si="25"/>
        <v/>
      </c>
      <c r="AT111" s="473" t="str">
        <f t="shared" si="26"/>
        <v/>
      </c>
      <c r="AU111" s="473" t="str">
        <f t="shared" si="27"/>
        <v/>
      </c>
      <c r="AY111" s="32" t="s">
        <v>8139</v>
      </c>
      <c r="AZ111" s="488" t="s">
        <v>38</v>
      </c>
      <c r="BA111" s="489">
        <v>1</v>
      </c>
      <c r="BB111" s="419" t="s">
        <v>8140</v>
      </c>
      <c r="BC111" s="271"/>
      <c r="BD111" s="279">
        <v>1</v>
      </c>
      <c r="BE111" s="271"/>
      <c r="BF111" s="271"/>
      <c r="BG111" s="271"/>
      <c r="BH111" s="271"/>
      <c r="BI111" s="271"/>
      <c r="BJ111" s="271"/>
      <c r="BK111" s="271"/>
      <c r="BL111" s="271"/>
    </row>
    <row r="112" spans="18:64" ht="21" customHeight="1" x14ac:dyDescent="0.25">
      <c r="R112" s="34" t="s">
        <v>475</v>
      </c>
      <c r="S112" s="451"/>
      <c r="T112" s="32" t="s">
        <v>8135</v>
      </c>
      <c r="V112" s="475">
        <v>2</v>
      </c>
      <c r="W112" s="475" t="str">
        <f>IF($AC$112="","",$W$108)</f>
        <v>N° 46</v>
      </c>
      <c r="X112" s="476" t="str">
        <f>IF($AC$112="","",$X$108)</f>
        <v>ŒUFS COCOTTE A LA CRÈME*</v>
      </c>
      <c r="Y112" s="477">
        <f>IF($X$112="","",$Y$108)</f>
        <v>63</v>
      </c>
      <c r="Z112" s="477">
        <f>IF($X$112="","",$Z$108)</f>
        <v>100</v>
      </c>
      <c r="AA112" s="477">
        <f>IF($AC$112="","",ROW($A$112)-ROW($A$108))</f>
        <v>4</v>
      </c>
      <c r="AB112" s="478"/>
      <c r="AC112" s="34" t="s">
        <v>283</v>
      </c>
      <c r="AD112" s="356"/>
      <c r="AE112" s="26" t="s">
        <v>33</v>
      </c>
      <c r="AF112" s="19"/>
      <c r="AG112" s="480" t="str">
        <f t="shared" si="16"/>
        <v>QT. SUFFISANTE</v>
      </c>
      <c r="AH112" s="481" t="str">
        <f t="shared" si="17"/>
        <v/>
      </c>
      <c r="AI112" s="477" t="str">
        <f>IF($AC$112="","",IFERROR(INDEX($AZ$74:$AZ$119,MATCH($AH$112,$AY$74:$AY$119,0)),"AUTRE"))</f>
        <v>AUTRE</v>
      </c>
      <c r="AJ112" s="482">
        <f>IF($AC$112="","",IFERROR(INDEX($BA$74:$BA$119,MATCH($AH$112,$AY$74:$AY$119,0)),1))</f>
        <v>1</v>
      </c>
      <c r="AK112" s="482" t="e">
        <f t="shared" si="18"/>
        <v>#VALUE!</v>
      </c>
      <c r="AL112" s="477" t="str">
        <f>IF($AC$112="","",IFERROR(INDEX($BB$74:$BB$119,MATCH($AH$112,$AY$74:$AY$119,0)),$AH$112))</f>
        <v/>
      </c>
      <c r="AM112" s="483" t="str">
        <f t="shared" si="19"/>
        <v>QUANTITÉ À CONTRÔLER</v>
      </c>
      <c r="AN112" s="484" t="str">
        <f t="shared" si="20"/>
        <v>QT. SUFFISANTE</v>
      </c>
      <c r="AO112" s="473" t="str">
        <f t="shared" si="21"/>
        <v/>
      </c>
      <c r="AP112" s="473" t="str">
        <f t="shared" si="22"/>
        <v/>
      </c>
      <c r="AQ112" s="473" t="str">
        <f t="shared" si="23"/>
        <v/>
      </c>
      <c r="AR112" s="473" t="str">
        <f t="shared" si="24"/>
        <v/>
      </c>
      <c r="AS112" s="473" t="str">
        <f t="shared" si="25"/>
        <v/>
      </c>
      <c r="AT112" s="473" t="str">
        <f t="shared" si="26"/>
        <v/>
      </c>
      <c r="AU112" s="473" t="str">
        <f t="shared" si="27"/>
        <v/>
      </c>
      <c r="AY112" s="32" t="s">
        <v>8141</v>
      </c>
      <c r="AZ112" s="488" t="s">
        <v>38</v>
      </c>
      <c r="BA112" s="489">
        <v>1</v>
      </c>
      <c r="BB112" s="419" t="s">
        <v>8142</v>
      </c>
      <c r="BC112" s="271"/>
      <c r="BD112" s="279">
        <v>1</v>
      </c>
      <c r="BE112" s="271"/>
      <c r="BF112" s="271"/>
      <c r="BG112" s="271"/>
      <c r="BH112" s="271"/>
      <c r="BI112" s="271"/>
      <c r="BJ112" s="271"/>
      <c r="BK112" s="271"/>
      <c r="BL112" s="271"/>
    </row>
    <row r="113" spans="18:64" ht="21" customHeight="1" x14ac:dyDescent="0.25">
      <c r="R113" s="34" t="s">
        <v>457</v>
      </c>
      <c r="S113" s="451"/>
      <c r="T113" s="497" t="s">
        <v>462</v>
      </c>
      <c r="V113" s="475">
        <v>2</v>
      </c>
      <c r="W113" s="475" t="str">
        <f>IF($AC$113="","",$W$108)</f>
        <v/>
      </c>
      <c r="X113" s="476" t="str">
        <f>IF($AC$113="","",$X$108)</f>
        <v/>
      </c>
      <c r="Y113" s="477" t="str">
        <f>IF($X$113="","",$Y$108)</f>
        <v/>
      </c>
      <c r="Z113" s="477" t="str">
        <f>IF($X$113="","",$Z$108)</f>
        <v/>
      </c>
      <c r="AA113" s="477" t="str">
        <f>IF($AC$113="","",ROW($A$113)-ROW($A$108))</f>
        <v/>
      </c>
      <c r="AB113" s="478"/>
      <c r="AC113" s="34"/>
      <c r="AD113" s="356"/>
      <c r="AE113" s="4"/>
      <c r="AF113" s="19"/>
      <c r="AG113" s="480" t="str">
        <f t="shared" si="16"/>
        <v/>
      </c>
      <c r="AH113" s="481" t="str">
        <f t="shared" si="17"/>
        <v/>
      </c>
      <c r="AI113" s="477" t="str">
        <f>IF($AC$113="","",IFERROR(INDEX($AZ$74:$AZ$119,MATCH($AH$113,$AY$74:$AY$119,0)),"AUTRE"))</f>
        <v/>
      </c>
      <c r="AJ113" s="482" t="str">
        <f>IF($AC$113="","",IFERROR(INDEX($BA$74:$BA$119,MATCH($AH$113,$AY$74:$AY$119,0)),1))</f>
        <v/>
      </c>
      <c r="AK113" s="482" t="str">
        <f t="shared" si="18"/>
        <v/>
      </c>
      <c r="AL113" s="477" t="str">
        <f>IF($AC$113="","",IFERROR(INDEX($BB$74:$BB$119,MATCH($AH$113,$AY$74:$AY$119,0)),$AH$113))</f>
        <v/>
      </c>
      <c r="AM113" s="483" t="str">
        <f t="shared" si="19"/>
        <v/>
      </c>
      <c r="AN113" s="484" t="str">
        <f t="shared" si="20"/>
        <v/>
      </c>
      <c r="AO113" s="473" t="str">
        <f t="shared" si="21"/>
        <v/>
      </c>
      <c r="AP113" s="473" t="str">
        <f t="shared" si="22"/>
        <v/>
      </c>
      <c r="AQ113" s="473" t="str">
        <f t="shared" si="23"/>
        <v/>
      </c>
      <c r="AR113" s="473" t="str">
        <f t="shared" si="24"/>
        <v/>
      </c>
      <c r="AS113" s="473" t="str">
        <f t="shared" si="25"/>
        <v/>
      </c>
      <c r="AT113" s="473" t="str">
        <f t="shared" si="26"/>
        <v/>
      </c>
      <c r="AU113" s="473" t="str">
        <f t="shared" si="27"/>
        <v/>
      </c>
      <c r="AY113" s="32" t="s">
        <v>8143</v>
      </c>
      <c r="AZ113" s="488" t="s">
        <v>38</v>
      </c>
      <c r="BA113" s="489">
        <v>1</v>
      </c>
      <c r="BB113" s="419" t="s">
        <v>8144</v>
      </c>
      <c r="BC113" s="271"/>
      <c r="BD113" s="279">
        <v>1</v>
      </c>
      <c r="BE113" s="271"/>
      <c r="BF113" s="271"/>
      <c r="BG113" s="271"/>
      <c r="BH113" s="271"/>
      <c r="BI113" s="271"/>
      <c r="BJ113" s="271"/>
      <c r="BK113" s="271"/>
      <c r="BL113" s="271"/>
    </row>
    <row r="114" spans="18:64" ht="21" customHeight="1" x14ac:dyDescent="0.25">
      <c r="R114" s="34" t="s">
        <v>482</v>
      </c>
      <c r="S114" s="451"/>
      <c r="T114" s="497" t="s">
        <v>463</v>
      </c>
      <c r="V114" s="475">
        <v>2</v>
      </c>
      <c r="W114" s="475" t="str">
        <f>IF($AC$114="","",$W$108)</f>
        <v/>
      </c>
      <c r="X114" s="476" t="str">
        <f>IF($AC$114="","",$X$108)</f>
        <v/>
      </c>
      <c r="Y114" s="477" t="str">
        <f>IF($X$114="","",$Y$108)</f>
        <v/>
      </c>
      <c r="Z114" s="477" t="str">
        <f>IF($X$114="","",$Z$108)</f>
        <v/>
      </c>
      <c r="AA114" s="477" t="str">
        <f>IF($AC$114="","",ROW($A$114)-ROW($A$108))</f>
        <v/>
      </c>
      <c r="AB114" s="478"/>
      <c r="AC114" s="34"/>
      <c r="AD114" s="356"/>
      <c r="AE114" s="18"/>
      <c r="AF114" s="19"/>
      <c r="AG114" s="480" t="str">
        <f t="shared" si="16"/>
        <v/>
      </c>
      <c r="AH114" s="481" t="str">
        <f t="shared" si="17"/>
        <v/>
      </c>
      <c r="AI114" s="477" t="str">
        <f>IF($AC$114="","",IFERROR(INDEX($AZ$74:$AZ$119,MATCH($AH$114,$AY$74:$AY$119,0)),"AUTRE"))</f>
        <v/>
      </c>
      <c r="AJ114" s="482" t="str">
        <f>IF($AC$114="","",IFERROR(INDEX($BA$74:$BA$119,MATCH($AH$114,$AY$74:$AY$119,0)),1))</f>
        <v/>
      </c>
      <c r="AK114" s="482" t="str">
        <f t="shared" si="18"/>
        <v/>
      </c>
      <c r="AL114" s="477" t="str">
        <f>IF($AC$114="","",IFERROR(INDEX($BB$74:$BB$119,MATCH($AH$114,$AY$74:$AY$119,0)),$AH$114))</f>
        <v/>
      </c>
      <c r="AM114" s="483" t="str">
        <f t="shared" si="19"/>
        <v/>
      </c>
      <c r="AN114" s="484" t="str">
        <f t="shared" si="20"/>
        <v/>
      </c>
      <c r="AO114" s="473" t="str">
        <f t="shared" si="21"/>
        <v/>
      </c>
      <c r="AP114" s="473" t="str">
        <f t="shared" si="22"/>
        <v/>
      </c>
      <c r="AQ114" s="473" t="str">
        <f t="shared" si="23"/>
        <v/>
      </c>
      <c r="AR114" s="473" t="str">
        <f t="shared" si="24"/>
        <v/>
      </c>
      <c r="AS114" s="473" t="str">
        <f t="shared" si="25"/>
        <v/>
      </c>
      <c r="AT114" s="473" t="str">
        <f t="shared" si="26"/>
        <v/>
      </c>
      <c r="AU114" s="473" t="str">
        <f t="shared" si="27"/>
        <v/>
      </c>
      <c r="AY114" s="497" t="s">
        <v>8145</v>
      </c>
      <c r="AZ114" s="488" t="s">
        <v>38</v>
      </c>
      <c r="BA114" s="489">
        <v>1</v>
      </c>
      <c r="BB114" s="419" t="s">
        <v>8146</v>
      </c>
      <c r="BC114" s="271"/>
      <c r="BD114" s="279">
        <v>1</v>
      </c>
      <c r="BE114" s="271"/>
      <c r="BF114" s="271"/>
      <c r="BG114" s="271"/>
      <c r="BH114" s="271"/>
      <c r="BI114" s="271"/>
      <c r="BJ114" s="271"/>
      <c r="BK114" s="271"/>
      <c r="BL114" s="271"/>
    </row>
    <row r="115" spans="18:64" ht="21" customHeight="1" x14ac:dyDescent="0.25">
      <c r="R115" s="34" t="s">
        <v>496</v>
      </c>
      <c r="S115" s="451"/>
      <c r="T115" s="497" t="s">
        <v>8147</v>
      </c>
      <c r="V115" s="475">
        <v>2</v>
      </c>
      <c r="W115" s="475" t="str">
        <f>IF($AC$115="","",$W$108)</f>
        <v/>
      </c>
      <c r="X115" s="476" t="str">
        <f>IF($AC$115="","",$X$108)</f>
        <v/>
      </c>
      <c r="Y115" s="477" t="str">
        <f>IF($X$115="","",$Y$108)</f>
        <v/>
      </c>
      <c r="Z115" s="477" t="str">
        <f>IF($X$115="","",$Z$108)</f>
        <v/>
      </c>
      <c r="AA115" s="477" t="str">
        <f>IF($AC$115="","",ROW($A$115)-ROW($A$108))</f>
        <v/>
      </c>
      <c r="AB115" s="478"/>
      <c r="AC115" s="34"/>
      <c r="AD115" s="356"/>
      <c r="AE115" s="18"/>
      <c r="AF115" s="19"/>
      <c r="AG115" s="480" t="str">
        <f t="shared" si="16"/>
        <v/>
      </c>
      <c r="AH115" s="481" t="str">
        <f t="shared" si="17"/>
        <v/>
      </c>
      <c r="AI115" s="477" t="str">
        <f>IF($AC$115="","",IFERROR(INDEX($AZ$74:$AZ$119,MATCH($AH$115,$AY$74:$AY$119,0)),"AUTRE"))</f>
        <v/>
      </c>
      <c r="AJ115" s="482" t="str">
        <f>IF($AC$115="","",IFERROR(INDEX($BA$74:$BA$119,MATCH($AH$115,$AY$74:$AY$119,0)),1))</f>
        <v/>
      </c>
      <c r="AK115" s="482" t="str">
        <f t="shared" si="18"/>
        <v/>
      </c>
      <c r="AL115" s="477" t="str">
        <f>IF($AC$115="","",IFERROR(INDEX($BB$74:$BB$119,MATCH($AH$115,$AY$74:$AY$119,0)),$AH$115))</f>
        <v/>
      </c>
      <c r="AM115" s="483" t="str">
        <f t="shared" si="19"/>
        <v/>
      </c>
      <c r="AN115" s="484" t="str">
        <f t="shared" si="20"/>
        <v/>
      </c>
      <c r="AO115" s="473" t="str">
        <f t="shared" si="21"/>
        <v/>
      </c>
      <c r="AP115" s="473" t="str">
        <f t="shared" si="22"/>
        <v/>
      </c>
      <c r="AQ115" s="473" t="str">
        <f t="shared" si="23"/>
        <v/>
      </c>
      <c r="AR115" s="473" t="str">
        <f t="shared" si="24"/>
        <v/>
      </c>
      <c r="AS115" s="473" t="str">
        <f t="shared" si="25"/>
        <v/>
      </c>
      <c r="AT115" s="473" t="str">
        <f t="shared" si="26"/>
        <v/>
      </c>
      <c r="AU115" s="473" t="str">
        <f t="shared" si="27"/>
        <v/>
      </c>
      <c r="AY115" s="497" t="s">
        <v>462</v>
      </c>
      <c r="AZ115" s="488" t="s">
        <v>38</v>
      </c>
      <c r="BA115" s="489">
        <v>1</v>
      </c>
      <c r="BB115" s="419" t="s">
        <v>461</v>
      </c>
      <c r="BC115" s="271"/>
      <c r="BD115" s="279">
        <v>1</v>
      </c>
      <c r="BE115" s="271"/>
      <c r="BF115" s="271"/>
      <c r="BG115" s="271"/>
      <c r="BH115" s="271"/>
      <c r="BI115" s="271"/>
      <c r="BJ115" s="271"/>
      <c r="BK115" s="271"/>
      <c r="BL115" s="271"/>
    </row>
    <row r="116" spans="18:64" ht="21" customHeight="1" x14ac:dyDescent="0.25">
      <c r="R116" s="34" t="s">
        <v>483</v>
      </c>
      <c r="S116" s="451"/>
      <c r="T116" s="497" t="s">
        <v>465</v>
      </c>
      <c r="V116" s="475">
        <v>2</v>
      </c>
      <c r="W116" s="475" t="str">
        <f>IF($AC$116="","",$W$108)</f>
        <v/>
      </c>
      <c r="X116" s="476" t="str">
        <f>IF($AC$116="","",$X$108)</f>
        <v/>
      </c>
      <c r="Y116" s="477" t="str">
        <f>IF($X$116="","",$Y$108)</f>
        <v/>
      </c>
      <c r="Z116" s="477" t="str">
        <f>IF($X$116="","",$Z$108)</f>
        <v/>
      </c>
      <c r="AA116" s="477" t="str">
        <f>IF($AC$116="","",ROW($A$116)-ROW($A$108))</f>
        <v/>
      </c>
      <c r="AB116" s="478"/>
      <c r="AC116" s="34"/>
      <c r="AD116" s="356"/>
      <c r="AE116" s="18"/>
      <c r="AF116" s="19"/>
      <c r="AG116" s="480" t="str">
        <f t="shared" si="16"/>
        <v/>
      </c>
      <c r="AH116" s="481" t="str">
        <f t="shared" si="17"/>
        <v/>
      </c>
      <c r="AI116" s="477" t="str">
        <f>IF($AC$116="","",IFERROR(INDEX($AZ$74:$AZ$119,MATCH($AH$116,$AY$74:$AY$119,0)),"AUTRE"))</f>
        <v/>
      </c>
      <c r="AJ116" s="482" t="str">
        <f>IF($AC$116="","",IFERROR(INDEX($BA$74:$BA$119,MATCH($AH$116,$AY$74:$AY$119,0)),1))</f>
        <v/>
      </c>
      <c r="AK116" s="482" t="str">
        <f t="shared" si="18"/>
        <v/>
      </c>
      <c r="AL116" s="477" t="str">
        <f>IF($AC$116="","",IFERROR(INDEX($BB$74:$BB$119,MATCH($AH$116,$AY$74:$AY$119,0)),$AH$116))</f>
        <v/>
      </c>
      <c r="AM116" s="483" t="str">
        <f t="shared" si="19"/>
        <v/>
      </c>
      <c r="AN116" s="484" t="str">
        <f t="shared" si="20"/>
        <v/>
      </c>
      <c r="AO116" s="473" t="str">
        <f t="shared" si="21"/>
        <v/>
      </c>
      <c r="AP116" s="473" t="str">
        <f t="shared" si="22"/>
        <v/>
      </c>
      <c r="AQ116" s="473" t="str">
        <f t="shared" si="23"/>
        <v/>
      </c>
      <c r="AR116" s="473" t="str">
        <f t="shared" si="24"/>
        <v/>
      </c>
      <c r="AS116" s="473" t="str">
        <f t="shared" si="25"/>
        <v/>
      </c>
      <c r="AT116" s="473" t="str">
        <f t="shared" si="26"/>
        <v/>
      </c>
      <c r="AU116" s="473" t="str">
        <f t="shared" si="27"/>
        <v/>
      </c>
      <c r="AY116" s="497" t="s">
        <v>463</v>
      </c>
      <c r="AZ116" s="488" t="s">
        <v>38</v>
      </c>
      <c r="BA116" s="489">
        <v>1</v>
      </c>
      <c r="BB116" s="419" t="s">
        <v>464</v>
      </c>
      <c r="BC116" s="271"/>
      <c r="BD116" s="279">
        <v>1</v>
      </c>
      <c r="BE116" s="271"/>
      <c r="BF116" s="271"/>
      <c r="BG116" s="271"/>
      <c r="BH116" s="271"/>
      <c r="BI116" s="271"/>
      <c r="BJ116" s="271"/>
      <c r="BK116" s="271"/>
      <c r="BL116" s="271"/>
    </row>
    <row r="117" spans="18:64" ht="21" customHeight="1" x14ac:dyDescent="0.25">
      <c r="R117" s="34" t="s">
        <v>493</v>
      </c>
      <c r="S117" s="451"/>
      <c r="T117" s="497" t="s">
        <v>466</v>
      </c>
      <c r="V117" s="475">
        <v>2</v>
      </c>
      <c r="W117" s="475" t="str">
        <f>IF($AC$117="","",$W$108)</f>
        <v/>
      </c>
      <c r="X117" s="476" t="str">
        <f>IF($AC$117="","",$X$108)</f>
        <v/>
      </c>
      <c r="Y117" s="477" t="str">
        <f>IF($X$117="","",$Y$108)</f>
        <v/>
      </c>
      <c r="Z117" s="477" t="str">
        <f>IF($X$117="","",$Z$108)</f>
        <v/>
      </c>
      <c r="AA117" s="477" t="str">
        <f>IF($AC$117="","",ROW($A$117)-ROW($A$108))</f>
        <v/>
      </c>
      <c r="AB117" s="478"/>
      <c r="AC117" s="34"/>
      <c r="AD117" s="356"/>
      <c r="AE117" s="18"/>
      <c r="AF117" s="19"/>
      <c r="AG117" s="480" t="str">
        <f t="shared" si="16"/>
        <v/>
      </c>
      <c r="AH117" s="481" t="str">
        <f t="shared" si="17"/>
        <v/>
      </c>
      <c r="AI117" s="477" t="str">
        <f>IF($AC$117="","",IFERROR(INDEX($AZ$74:$AZ$119,MATCH($AH$117,$AY$74:$AY$119,0)),"AUTRE"))</f>
        <v/>
      </c>
      <c r="AJ117" s="482" t="str">
        <f>IF($AC$117="","",IFERROR(INDEX($BA$74:$BA$119,MATCH($AH$117,$AY$74:$AY$119,0)),1))</f>
        <v/>
      </c>
      <c r="AK117" s="482" t="str">
        <f t="shared" si="18"/>
        <v/>
      </c>
      <c r="AL117" s="477" t="str">
        <f>IF($AC$117="","",IFERROR(INDEX($BB$74:$BB$119,MATCH($AH$117,$AY$74:$AY$119,0)),$AH$117))</f>
        <v/>
      </c>
      <c r="AM117" s="483" t="str">
        <f t="shared" si="19"/>
        <v/>
      </c>
      <c r="AN117" s="484" t="str">
        <f t="shared" si="20"/>
        <v/>
      </c>
      <c r="AO117" s="473" t="str">
        <f t="shared" si="21"/>
        <v/>
      </c>
      <c r="AP117" s="473" t="str">
        <f t="shared" si="22"/>
        <v/>
      </c>
      <c r="AQ117" s="473" t="str">
        <f t="shared" si="23"/>
        <v/>
      </c>
      <c r="AR117" s="473" t="str">
        <f t="shared" si="24"/>
        <v/>
      </c>
      <c r="AS117" s="473" t="str">
        <f t="shared" si="25"/>
        <v/>
      </c>
      <c r="AT117" s="473" t="str">
        <f t="shared" si="26"/>
        <v/>
      </c>
      <c r="AU117" s="473" t="str">
        <f t="shared" si="27"/>
        <v/>
      </c>
      <c r="AY117" s="497" t="s">
        <v>8147</v>
      </c>
      <c r="AZ117" s="488" t="s">
        <v>38</v>
      </c>
      <c r="BA117" s="489">
        <v>1</v>
      </c>
      <c r="BB117" s="419" t="s">
        <v>8148</v>
      </c>
      <c r="BC117" s="271"/>
      <c r="BD117" s="279">
        <v>1</v>
      </c>
      <c r="BE117" s="271"/>
      <c r="BF117" s="271"/>
      <c r="BG117" s="271"/>
      <c r="BH117" s="271"/>
      <c r="BI117" s="271"/>
      <c r="BJ117" s="271"/>
      <c r="BK117" s="271"/>
      <c r="BL117" s="271"/>
    </row>
    <row r="118" spans="18:64" ht="21" customHeight="1" x14ac:dyDescent="0.25">
      <c r="R118" s="34" t="s">
        <v>494</v>
      </c>
      <c r="S118" s="451"/>
      <c r="T118" s="440" t="s">
        <v>8110</v>
      </c>
      <c r="V118" s="475">
        <v>2</v>
      </c>
      <c r="W118" s="475" t="str">
        <f>IF($AC$118="","",$W$108)</f>
        <v/>
      </c>
      <c r="X118" s="476" t="str">
        <f>IF($AC$118="","",$X$108)</f>
        <v/>
      </c>
      <c r="Y118" s="477" t="str">
        <f>IF($X$118="","",$Y$108)</f>
        <v/>
      </c>
      <c r="Z118" s="477" t="str">
        <f>IF($X$118="","",$Z$108)</f>
        <v/>
      </c>
      <c r="AA118" s="477" t="str">
        <f>IF($AC$118="","",ROW($A$118)-ROW($A$108))</f>
        <v/>
      </c>
      <c r="AB118" s="478"/>
      <c r="AC118" s="34"/>
      <c r="AD118" s="356"/>
      <c r="AE118" s="18"/>
      <c r="AF118" s="19"/>
      <c r="AG118" s="480" t="str">
        <f t="shared" si="16"/>
        <v/>
      </c>
      <c r="AH118" s="481" t="str">
        <f t="shared" si="17"/>
        <v/>
      </c>
      <c r="AI118" s="477" t="str">
        <f>IF($AC$118="","",IFERROR(INDEX($AZ$74:$AZ$119,MATCH($AH$118,$AY$74:$AY$119,0)),"AUTRE"))</f>
        <v/>
      </c>
      <c r="AJ118" s="482" t="str">
        <f>IF($AC$118="","",IFERROR(INDEX($BA$74:$BA$119,MATCH($AH$118,$AY$74:$AY$119,0)),1))</f>
        <v/>
      </c>
      <c r="AK118" s="482" t="str">
        <f t="shared" si="18"/>
        <v/>
      </c>
      <c r="AL118" s="477" t="str">
        <f>IF($AC$118="","",IFERROR(INDEX($BB$74:$BB$119,MATCH($AH$118,$AY$74:$AY$119,0)),$AH$118))</f>
        <v/>
      </c>
      <c r="AM118" s="483" t="str">
        <f t="shared" si="19"/>
        <v/>
      </c>
      <c r="AN118" s="484" t="str">
        <f t="shared" si="20"/>
        <v/>
      </c>
      <c r="AO118" s="473" t="str">
        <f t="shared" si="21"/>
        <v/>
      </c>
      <c r="AP118" s="473" t="str">
        <f t="shared" si="22"/>
        <v/>
      </c>
      <c r="AQ118" s="473" t="str">
        <f t="shared" si="23"/>
        <v/>
      </c>
      <c r="AR118" s="473" t="str">
        <f t="shared" si="24"/>
        <v/>
      </c>
      <c r="AS118" s="473" t="str">
        <f t="shared" si="25"/>
        <v/>
      </c>
      <c r="AT118" s="473" t="str">
        <f t="shared" si="26"/>
        <v/>
      </c>
      <c r="AU118" s="473" t="str">
        <f t="shared" si="27"/>
        <v/>
      </c>
      <c r="AY118" s="497" t="s">
        <v>465</v>
      </c>
      <c r="AZ118" s="488" t="s">
        <v>38</v>
      </c>
      <c r="BA118" s="489">
        <v>1</v>
      </c>
      <c r="BB118" s="419" t="s">
        <v>460</v>
      </c>
      <c r="BC118" s="271"/>
      <c r="BD118" s="279">
        <v>1</v>
      </c>
      <c r="BE118" s="271"/>
      <c r="BF118" s="271"/>
      <c r="BG118" s="271"/>
      <c r="BH118" s="271"/>
      <c r="BI118" s="271"/>
      <c r="BJ118" s="271"/>
      <c r="BK118" s="271"/>
      <c r="BL118" s="271"/>
    </row>
    <row r="119" spans="18:64" ht="21" customHeight="1" x14ac:dyDescent="0.25">
      <c r="S119" s="451"/>
      <c r="T119" s="452" t="s">
        <v>8113</v>
      </c>
      <c r="V119" s="475">
        <v>2</v>
      </c>
      <c r="W119" s="475" t="str">
        <f>IF($AC$119="","",$W$108)</f>
        <v/>
      </c>
      <c r="X119" s="476" t="str">
        <f>IF($AC$119="","",$X$108)</f>
        <v/>
      </c>
      <c r="Y119" s="477" t="str">
        <f>IF($X$119="","",$Y$108)</f>
        <v/>
      </c>
      <c r="Z119" s="477" t="str">
        <f>IF($X$119="","",$Z$108)</f>
        <v/>
      </c>
      <c r="AA119" s="477" t="str">
        <f>IF($AC$119="","",ROW($A$119)-ROW($A$108))</f>
        <v/>
      </c>
      <c r="AB119" s="478"/>
      <c r="AC119" s="34"/>
      <c r="AD119" s="356"/>
      <c r="AE119" s="18"/>
      <c r="AF119" s="19"/>
      <c r="AG119" s="480" t="str">
        <f t="shared" si="16"/>
        <v/>
      </c>
      <c r="AH119" s="481" t="str">
        <f t="shared" si="17"/>
        <v/>
      </c>
      <c r="AI119" s="477" t="str">
        <f>IF($AC$119="","",IFERROR(INDEX($AZ$74:$AZ$119,MATCH($AH$119,$AY$74:$AY$119,0)),"AUTRE"))</f>
        <v/>
      </c>
      <c r="AJ119" s="482" t="str">
        <f>IF($AC$119="","",IFERROR(INDEX($BA$74:$BA$119,MATCH($AH$119,$AY$74:$AY$119,0)),1))</f>
        <v/>
      </c>
      <c r="AK119" s="482" t="str">
        <f t="shared" si="18"/>
        <v/>
      </c>
      <c r="AL119" s="477" t="str">
        <f>IF($AC$119="","",IFERROR(INDEX($BB$74:$BB$119,MATCH($AH$119,$AY$74:$AY$119,0)),$AH$119))</f>
        <v/>
      </c>
      <c r="AM119" s="483" t="str">
        <f t="shared" si="19"/>
        <v/>
      </c>
      <c r="AN119" s="484" t="str">
        <f t="shared" si="20"/>
        <v/>
      </c>
      <c r="AO119" s="473" t="str">
        <f t="shared" si="21"/>
        <v/>
      </c>
      <c r="AP119" s="473" t="str">
        <f t="shared" si="22"/>
        <v/>
      </c>
      <c r="AQ119" s="473" t="str">
        <f t="shared" si="23"/>
        <v/>
      </c>
      <c r="AR119" s="473" t="str">
        <f t="shared" si="24"/>
        <v/>
      </c>
      <c r="AS119" s="473" t="str">
        <f t="shared" si="25"/>
        <v/>
      </c>
      <c r="AT119" s="473" t="str">
        <f t="shared" si="26"/>
        <v/>
      </c>
      <c r="AU119" s="473" t="str">
        <f t="shared" si="27"/>
        <v/>
      </c>
      <c r="AY119" s="497" t="s">
        <v>466</v>
      </c>
      <c r="AZ119" s="488" t="s">
        <v>38</v>
      </c>
      <c r="BA119" s="489">
        <v>1</v>
      </c>
      <c r="BB119" s="419" t="s">
        <v>467</v>
      </c>
      <c r="BC119" s="271"/>
      <c r="BD119" s="279">
        <v>1</v>
      </c>
      <c r="BE119" s="271"/>
      <c r="BF119" s="271"/>
      <c r="BG119" s="271"/>
      <c r="BH119" s="271"/>
      <c r="BI119" s="271"/>
      <c r="BJ119" s="271"/>
      <c r="BK119" s="271"/>
      <c r="BL119" s="271"/>
    </row>
    <row r="120" spans="18:64" ht="21" customHeight="1" x14ac:dyDescent="0.25">
      <c r="R120" s="25" t="s">
        <v>6115</v>
      </c>
      <c r="S120" s="451"/>
      <c r="T120" s="14" t="s">
        <v>7</v>
      </c>
      <c r="V120" s="475">
        <v>2</v>
      </c>
      <c r="W120" s="475" t="str">
        <f>IF($AC$120="","",$W$108)</f>
        <v/>
      </c>
      <c r="X120" s="476" t="str">
        <f>IF($AC$120="","",$X$108)</f>
        <v/>
      </c>
      <c r="Y120" s="477" t="str">
        <f>IF($X$120="","",$Y$108)</f>
        <v/>
      </c>
      <c r="Z120" s="477" t="str">
        <f>IF($X$120="","",$Z$108)</f>
        <v/>
      </c>
      <c r="AA120" s="477" t="str">
        <f>IF($AC$120="","",ROW($A$120)-ROW($A$108))</f>
        <v/>
      </c>
      <c r="AB120" s="478"/>
      <c r="AC120" s="34"/>
      <c r="AD120" s="356"/>
      <c r="AE120" s="18"/>
      <c r="AF120" s="19"/>
      <c r="AG120" s="480" t="str">
        <f t="shared" si="16"/>
        <v/>
      </c>
      <c r="AH120" s="481" t="str">
        <f t="shared" si="17"/>
        <v/>
      </c>
      <c r="AI120" s="477" t="str">
        <f>IF($AC$120="","",IFERROR(INDEX($AZ$74:$AZ$119,MATCH($AH$120,$AY$74:$AY$119,0)),"AUTRE"))</f>
        <v/>
      </c>
      <c r="AJ120" s="482" t="str">
        <f>IF($AC$120="","",IFERROR(INDEX($BA$74:$BA$119,MATCH($AH$120,$AY$74:$AY$119,0)),1))</f>
        <v/>
      </c>
      <c r="AK120" s="482" t="str">
        <f t="shared" si="18"/>
        <v/>
      </c>
      <c r="AL120" s="477" t="str">
        <f>IF($AC$120="","",IFERROR(INDEX($BB$74:$BB$119,MATCH($AH$120,$AY$74:$AY$119,0)),$AH$120))</f>
        <v/>
      </c>
      <c r="AM120" s="483" t="str">
        <f t="shared" si="19"/>
        <v/>
      </c>
      <c r="AN120" s="484" t="str">
        <f t="shared" si="20"/>
        <v/>
      </c>
      <c r="AO120" s="473" t="str">
        <f t="shared" si="21"/>
        <v/>
      </c>
      <c r="AP120" s="473" t="str">
        <f t="shared" si="22"/>
        <v/>
      </c>
      <c r="AQ120" s="473" t="str">
        <f t="shared" si="23"/>
        <v/>
      </c>
      <c r="AR120" s="473" t="str">
        <f t="shared" si="24"/>
        <v/>
      </c>
      <c r="AS120" s="473" t="str">
        <f t="shared" si="25"/>
        <v/>
      </c>
      <c r="AT120" s="473" t="str">
        <f t="shared" si="26"/>
        <v/>
      </c>
      <c r="AU120" s="473" t="str">
        <f t="shared" si="27"/>
        <v/>
      </c>
      <c r="AY120" s="498"/>
      <c r="AZ120" s="498"/>
      <c r="BA120" s="498"/>
      <c r="BB120" s="448" t="str">
        <f>ADDRESS(ROW(),COLUMN(),4)</f>
        <v>BB120</v>
      </c>
      <c r="BC120" s="271"/>
      <c r="BD120" s="279">
        <v>1</v>
      </c>
      <c r="BE120" s="271"/>
      <c r="BF120" s="271"/>
      <c r="BG120" s="271"/>
      <c r="BH120" s="271"/>
      <c r="BI120" s="271"/>
      <c r="BJ120" s="271"/>
      <c r="BK120" s="271"/>
      <c r="BL120" s="271"/>
    </row>
    <row r="121" spans="18:64" ht="21" customHeight="1" x14ac:dyDescent="0.25">
      <c r="R121" s="34" t="s">
        <v>471</v>
      </c>
      <c r="S121" s="451"/>
      <c r="T121" s="27" t="s">
        <v>8</v>
      </c>
      <c r="V121" s="475">
        <v>2</v>
      </c>
      <c r="W121" s="475" t="str">
        <f>IF($AC$121="","",$W$108)</f>
        <v/>
      </c>
      <c r="X121" s="476" t="str">
        <f>IF($AC$121="","",$X$108)</f>
        <v/>
      </c>
      <c r="Y121" s="477" t="str">
        <f>IF($X$121="","",$Y$108)</f>
        <v/>
      </c>
      <c r="Z121" s="477" t="str">
        <f>IF($X$121="","",$Z$108)</f>
        <v/>
      </c>
      <c r="AA121" s="477" t="str">
        <f>IF($AC$121="","",ROW($A$121)-ROW($A$108))</f>
        <v/>
      </c>
      <c r="AB121" s="478"/>
      <c r="AC121" s="34"/>
      <c r="AD121" s="356"/>
      <c r="AE121" s="18"/>
      <c r="AF121" s="19"/>
      <c r="AG121" s="480" t="str">
        <f t="shared" si="16"/>
        <v/>
      </c>
      <c r="AH121" s="481" t="str">
        <f t="shared" si="17"/>
        <v/>
      </c>
      <c r="AI121" s="477" t="str">
        <f>IF($AC$121="","",IFERROR(INDEX($AZ$74:$AZ$119,MATCH($AH$121,$AY$74:$AY$119,0)),"AUTRE"))</f>
        <v/>
      </c>
      <c r="AJ121" s="482" t="str">
        <f>IF($AC$121="","",IFERROR(INDEX($BA$74:$BA$119,MATCH($AH$121,$AY$74:$AY$119,0)),1))</f>
        <v/>
      </c>
      <c r="AK121" s="482" t="str">
        <f t="shared" si="18"/>
        <v/>
      </c>
      <c r="AL121" s="477" t="str">
        <f>IF($AC$121="","",IFERROR(INDEX($BB$74:$BB$119,MATCH($AH$121,$AY$74:$AY$119,0)),$AH$121))</f>
        <v/>
      </c>
      <c r="AM121" s="483" t="str">
        <f t="shared" si="19"/>
        <v/>
      </c>
      <c r="AN121" s="484" t="str">
        <f t="shared" si="20"/>
        <v/>
      </c>
      <c r="AO121" s="473" t="str">
        <f t="shared" si="21"/>
        <v/>
      </c>
      <c r="AP121" s="473" t="str">
        <f t="shared" si="22"/>
        <v/>
      </c>
      <c r="AQ121" s="473" t="str">
        <f t="shared" si="23"/>
        <v/>
      </c>
      <c r="AR121" s="473" t="str">
        <f t="shared" si="24"/>
        <v/>
      </c>
      <c r="AS121" s="473" t="str">
        <f t="shared" si="25"/>
        <v/>
      </c>
      <c r="AT121" s="473" t="str">
        <f t="shared" si="26"/>
        <v/>
      </c>
      <c r="AU121" s="473" t="str">
        <f t="shared" si="27"/>
        <v/>
      </c>
      <c r="AY121" s="271"/>
      <c r="AZ121" s="14" t="s">
        <v>7</v>
      </c>
      <c r="BA121" s="25" t="s">
        <v>6115</v>
      </c>
      <c r="BB121" s="499"/>
      <c r="BC121" s="271"/>
      <c r="BD121" s="279">
        <v>1</v>
      </c>
      <c r="BE121" s="271"/>
      <c r="BF121" s="271"/>
      <c r="BG121" s="271"/>
      <c r="BH121" s="271"/>
      <c r="BI121" s="271"/>
      <c r="BJ121" s="271"/>
      <c r="BK121" s="271"/>
      <c r="BL121" s="271"/>
    </row>
    <row r="122" spans="18:64" ht="21" customHeight="1" x14ac:dyDescent="0.25">
      <c r="R122" s="34" t="s">
        <v>472</v>
      </c>
      <c r="S122" s="451"/>
      <c r="T122" s="28" t="s">
        <v>13</v>
      </c>
      <c r="V122" s="475">
        <v>2</v>
      </c>
      <c r="W122" s="475" t="str">
        <f>IF($AC$122="","",$W$108)</f>
        <v/>
      </c>
      <c r="X122" s="476" t="str">
        <f>IF($AC$122="","",$X$108)</f>
        <v/>
      </c>
      <c r="Y122" s="477" t="str">
        <f>IF($X$122="","",$Y$108)</f>
        <v/>
      </c>
      <c r="Z122" s="477" t="str">
        <f>IF($X$122="","",$Z$108)</f>
        <v/>
      </c>
      <c r="AA122" s="477" t="str">
        <f>IF($AC$122="","",ROW($A$122)-ROW($A$108))</f>
        <v/>
      </c>
      <c r="AB122" s="478"/>
      <c r="AC122" s="34"/>
      <c r="AD122" s="356"/>
      <c r="AE122" s="18"/>
      <c r="AF122" s="19"/>
      <c r="AG122" s="480" t="str">
        <f t="shared" si="16"/>
        <v/>
      </c>
      <c r="AH122" s="481" t="str">
        <f t="shared" si="17"/>
        <v/>
      </c>
      <c r="AI122" s="477" t="str">
        <f>IF($AC$122="","",IFERROR(INDEX($AZ$74:$AZ$119,MATCH($AH$122,$AY$74:$AY$119,0)),"AUTRE"))</f>
        <v/>
      </c>
      <c r="AJ122" s="482" t="str">
        <f>IF($AC$122="","",IFERROR(INDEX($BA$74:$BA$119,MATCH($AH$122,$AY$74:$AY$119,0)),1))</f>
        <v/>
      </c>
      <c r="AK122" s="482" t="str">
        <f t="shared" si="18"/>
        <v/>
      </c>
      <c r="AL122" s="477" t="str">
        <f>IF($AC$122="","",IFERROR(INDEX($BB$74:$BB$119,MATCH($AH$122,$AY$74:$AY$119,0)),$AH$122))</f>
        <v/>
      </c>
      <c r="AM122" s="483" t="str">
        <f t="shared" si="19"/>
        <v/>
      </c>
      <c r="AN122" s="484" t="str">
        <f t="shared" si="20"/>
        <v/>
      </c>
      <c r="AO122" s="473" t="str">
        <f t="shared" si="21"/>
        <v/>
      </c>
      <c r="AP122" s="473" t="str">
        <f t="shared" si="22"/>
        <v/>
      </c>
      <c r="AQ122" s="473" t="str">
        <f t="shared" si="23"/>
        <v/>
      </c>
      <c r="AR122" s="473" t="str">
        <f t="shared" si="24"/>
        <v/>
      </c>
      <c r="AS122" s="473" t="str">
        <f t="shared" si="25"/>
        <v/>
      </c>
      <c r="AT122" s="473" t="str">
        <f t="shared" si="26"/>
        <v/>
      </c>
      <c r="AU122" s="473" t="str">
        <f t="shared" si="27"/>
        <v/>
      </c>
      <c r="AZ122" s="27" t="s">
        <v>8</v>
      </c>
      <c r="BA122" s="34" t="s">
        <v>471</v>
      </c>
      <c r="BB122" s="500"/>
      <c r="BC122" s="271"/>
      <c r="BD122" s="279">
        <v>1</v>
      </c>
      <c r="BE122" s="271"/>
      <c r="BF122" s="271"/>
      <c r="BG122" s="271"/>
      <c r="BH122" s="271"/>
      <c r="BI122" s="271"/>
      <c r="BJ122" s="271"/>
      <c r="BK122" s="271"/>
      <c r="BL122" s="271"/>
    </row>
    <row r="123" spans="18:64" ht="21" customHeight="1" x14ac:dyDescent="0.25">
      <c r="R123" s="34" t="s">
        <v>6112</v>
      </c>
      <c r="S123" s="451"/>
      <c r="T123" s="28" t="s">
        <v>14</v>
      </c>
      <c r="V123" s="475">
        <v>2</v>
      </c>
      <c r="W123" s="475" t="str">
        <f>IF($AC$123="","",$W$108)</f>
        <v/>
      </c>
      <c r="X123" s="476" t="str">
        <f>IF($AC$123="","",$X$108)</f>
        <v/>
      </c>
      <c r="Y123" s="477" t="str">
        <f>IF($X$123="","",$Y$108)</f>
        <v/>
      </c>
      <c r="Z123" s="477" t="str">
        <f>IF($X$123="","",$Z$108)</f>
        <v/>
      </c>
      <c r="AA123" s="477" t="str">
        <f>IF($AC$123="","",ROW($A$123)-ROW($A$108))</f>
        <v/>
      </c>
      <c r="AB123" s="478"/>
      <c r="AC123" s="34"/>
      <c r="AD123" s="356"/>
      <c r="AE123" s="18"/>
      <c r="AF123" s="19"/>
      <c r="AG123" s="480" t="str">
        <f t="shared" si="16"/>
        <v/>
      </c>
      <c r="AH123" s="481" t="str">
        <f t="shared" si="17"/>
        <v/>
      </c>
      <c r="AI123" s="477" t="str">
        <f>IF($AC$123="","",IFERROR(INDEX($AZ$74:$AZ$119,MATCH($AH$123,$AY$74:$AY$119,0)),"AUTRE"))</f>
        <v/>
      </c>
      <c r="AJ123" s="482" t="str">
        <f>IF($AC$123="","",IFERROR(INDEX($BA$74:$BA$119,MATCH($AH$123,$AY$74:$AY$119,0)),1))</f>
        <v/>
      </c>
      <c r="AK123" s="482" t="str">
        <f t="shared" si="18"/>
        <v/>
      </c>
      <c r="AL123" s="477" t="str">
        <f>IF($AC$123="","",IFERROR(INDEX($BB$74:$BB$119,MATCH($AH$123,$AY$74:$AY$119,0)),$AH$123))</f>
        <v/>
      </c>
      <c r="AM123" s="483" t="str">
        <f t="shared" si="19"/>
        <v/>
      </c>
      <c r="AN123" s="484" t="str">
        <f t="shared" si="20"/>
        <v/>
      </c>
      <c r="AO123" s="473" t="str">
        <f t="shared" si="21"/>
        <v/>
      </c>
      <c r="AP123" s="473" t="str">
        <f t="shared" si="22"/>
        <v/>
      </c>
      <c r="AQ123" s="473" t="str">
        <f t="shared" si="23"/>
        <v/>
      </c>
      <c r="AR123" s="473" t="str">
        <f t="shared" si="24"/>
        <v/>
      </c>
      <c r="AS123" s="473" t="str">
        <f t="shared" si="25"/>
        <v/>
      </c>
      <c r="AT123" s="473" t="str">
        <f t="shared" si="26"/>
        <v/>
      </c>
      <c r="AU123" s="473" t="str">
        <f t="shared" si="27"/>
        <v/>
      </c>
      <c r="AZ123" s="28" t="s">
        <v>13</v>
      </c>
      <c r="BA123" s="34" t="s">
        <v>472</v>
      </c>
      <c r="BB123" s="500"/>
      <c r="BC123" s="271"/>
      <c r="BD123" s="279">
        <v>1</v>
      </c>
      <c r="BE123" s="271"/>
      <c r="BF123" s="271"/>
      <c r="BG123" s="271"/>
      <c r="BH123" s="271"/>
      <c r="BI123" s="271"/>
      <c r="BJ123" s="271"/>
      <c r="BK123" s="271"/>
      <c r="BL123" s="271"/>
    </row>
    <row r="124" spans="18:64" ht="21" customHeight="1" x14ac:dyDescent="0.25">
      <c r="R124" s="25" t="s">
        <v>6116</v>
      </c>
      <c r="S124" s="451"/>
      <c r="T124" s="28" t="s">
        <v>15</v>
      </c>
      <c r="V124" s="475">
        <v>2</v>
      </c>
      <c r="W124" s="475" t="str">
        <f>IF($AC$124="","",$W$108)</f>
        <v/>
      </c>
      <c r="X124" s="476" t="str">
        <f>IF($AC$124="","",$X$108)</f>
        <v/>
      </c>
      <c r="Y124" s="477" t="str">
        <f>IF($X$124="","",$Y$108)</f>
        <v/>
      </c>
      <c r="Z124" s="477" t="str">
        <f>IF($X$124="","",$Z$108)</f>
        <v/>
      </c>
      <c r="AA124" s="477" t="str">
        <f>IF($AC$124="","",ROW($A$124)-ROW($A$108))</f>
        <v/>
      </c>
      <c r="AB124" s="478"/>
      <c r="AC124" s="34"/>
      <c r="AD124" s="356"/>
      <c r="AE124" s="18"/>
      <c r="AF124" s="19"/>
      <c r="AG124" s="480" t="str">
        <f t="shared" si="16"/>
        <v/>
      </c>
      <c r="AH124" s="481" t="str">
        <f t="shared" si="17"/>
        <v/>
      </c>
      <c r="AI124" s="477" t="str">
        <f>IF($AC$124="","",IFERROR(INDEX($AZ$74:$AZ$119,MATCH($AH$124,$AY$74:$AY$119,0)),"AUTRE"))</f>
        <v/>
      </c>
      <c r="AJ124" s="482" t="str">
        <f>IF($AC$124="","",IFERROR(INDEX($BA$74:$BA$119,MATCH($AH$124,$AY$74:$AY$119,0)),1))</f>
        <v/>
      </c>
      <c r="AK124" s="482" t="str">
        <f t="shared" si="18"/>
        <v/>
      </c>
      <c r="AL124" s="477" t="str">
        <f>IF($AC$124="","",IFERROR(INDEX($BB$74:$BB$119,MATCH($AH$124,$AY$74:$AY$119,0)),$AH$124))</f>
        <v/>
      </c>
      <c r="AM124" s="483" t="str">
        <f t="shared" si="19"/>
        <v/>
      </c>
      <c r="AN124" s="484" t="str">
        <f t="shared" si="20"/>
        <v/>
      </c>
      <c r="AO124" s="473" t="str">
        <f t="shared" si="21"/>
        <v/>
      </c>
      <c r="AP124" s="473" t="str">
        <f t="shared" si="22"/>
        <v/>
      </c>
      <c r="AQ124" s="473" t="str">
        <f t="shared" si="23"/>
        <v/>
      </c>
      <c r="AR124" s="473" t="str">
        <f t="shared" si="24"/>
        <v/>
      </c>
      <c r="AS124" s="473" t="str">
        <f t="shared" si="25"/>
        <v/>
      </c>
      <c r="AT124" s="473" t="str">
        <f t="shared" si="26"/>
        <v/>
      </c>
      <c r="AU124" s="473" t="str">
        <f t="shared" si="27"/>
        <v/>
      </c>
      <c r="AZ124" s="28" t="s">
        <v>14</v>
      </c>
      <c r="BA124" s="34" t="s">
        <v>6112</v>
      </c>
      <c r="BB124" s="500"/>
      <c r="BC124" s="271"/>
      <c r="BD124" s="279">
        <v>1</v>
      </c>
      <c r="BE124" s="271"/>
      <c r="BF124" s="271"/>
      <c r="BG124" s="271"/>
      <c r="BH124" s="271"/>
      <c r="BI124" s="271"/>
      <c r="BJ124" s="271"/>
      <c r="BK124" s="271"/>
      <c r="BL124" s="271"/>
    </row>
    <row r="125" spans="18:64" ht="21" customHeight="1" x14ac:dyDescent="0.25">
      <c r="R125" s="34" t="s">
        <v>6117</v>
      </c>
      <c r="S125" s="451"/>
      <c r="T125" s="28" t="s">
        <v>21</v>
      </c>
      <c r="V125" s="475">
        <v>2</v>
      </c>
      <c r="W125" s="475" t="str">
        <f>IF($AC$125="","",$W$108)</f>
        <v/>
      </c>
      <c r="X125" s="476" t="str">
        <f>IF($AC$125="","",$X$108)</f>
        <v/>
      </c>
      <c r="Y125" s="477" t="str">
        <f>IF($X$125="","",$Y$108)</f>
        <v/>
      </c>
      <c r="Z125" s="477" t="str">
        <f>IF($X$125="","",$Z$108)</f>
        <v/>
      </c>
      <c r="AA125" s="477" t="str">
        <f>IF($AC$125="","",ROW($A$125)-ROW($A$108))</f>
        <v/>
      </c>
      <c r="AB125" s="478"/>
      <c r="AC125" s="34"/>
      <c r="AD125" s="356"/>
      <c r="AE125" s="18"/>
      <c r="AF125" s="19"/>
      <c r="AG125" s="480" t="str">
        <f t="shared" si="16"/>
        <v/>
      </c>
      <c r="AH125" s="481" t="str">
        <f t="shared" si="17"/>
        <v/>
      </c>
      <c r="AI125" s="477" t="str">
        <f>IF($AC$125="","",IFERROR(INDEX($AZ$74:$AZ$119,MATCH($AH$125,$AY$74:$AY$119,0)),"AUTRE"))</f>
        <v/>
      </c>
      <c r="AJ125" s="482" t="str">
        <f>IF($AC$125="","",IFERROR(INDEX($BA$74:$BA$119,MATCH($AH$125,$AY$74:$AY$119,0)),1))</f>
        <v/>
      </c>
      <c r="AK125" s="482" t="str">
        <f t="shared" si="18"/>
        <v/>
      </c>
      <c r="AL125" s="477" t="str">
        <f>IF($AC$125="","",IFERROR(INDEX($BB$74:$BB$119,MATCH($AH$125,$AY$74:$AY$119,0)),$AH$125))</f>
        <v/>
      </c>
      <c r="AM125" s="483" t="str">
        <f t="shared" si="19"/>
        <v/>
      </c>
      <c r="AN125" s="484" t="str">
        <f t="shared" si="20"/>
        <v/>
      </c>
      <c r="AO125" s="473" t="str">
        <f t="shared" si="21"/>
        <v/>
      </c>
      <c r="AP125" s="473" t="str">
        <f t="shared" si="22"/>
        <v/>
      </c>
      <c r="AQ125" s="473" t="str">
        <f t="shared" si="23"/>
        <v/>
      </c>
      <c r="AR125" s="473" t="str">
        <f t="shared" si="24"/>
        <v/>
      </c>
      <c r="AS125" s="473" t="str">
        <f t="shared" si="25"/>
        <v/>
      </c>
      <c r="AT125" s="473" t="str">
        <f t="shared" si="26"/>
        <v/>
      </c>
      <c r="AU125" s="473" t="str">
        <f t="shared" si="27"/>
        <v/>
      </c>
      <c r="AZ125" s="28" t="s">
        <v>15</v>
      </c>
      <c r="BA125" s="25" t="s">
        <v>6116</v>
      </c>
      <c r="BB125" s="500"/>
      <c r="BC125" s="271"/>
      <c r="BD125" s="279">
        <v>1</v>
      </c>
      <c r="BE125" s="271"/>
      <c r="BF125" s="271"/>
      <c r="BG125" s="271"/>
      <c r="BH125" s="271"/>
      <c r="BI125" s="271"/>
      <c r="BJ125" s="271"/>
      <c r="BK125" s="271"/>
      <c r="BL125" s="271"/>
    </row>
    <row r="126" spans="18:64" ht="21" customHeight="1" x14ac:dyDescent="0.25">
      <c r="R126" s="34" t="s">
        <v>469</v>
      </c>
      <c r="S126" s="451"/>
      <c r="T126" s="28" t="s">
        <v>22</v>
      </c>
      <c r="V126" s="475">
        <v>2</v>
      </c>
      <c r="W126" s="475" t="str">
        <f>IF($AC$126="","",$W$108)</f>
        <v/>
      </c>
      <c r="X126" s="476" t="str">
        <f>IF($AC$126="","",$X$108)</f>
        <v/>
      </c>
      <c r="Y126" s="477" t="str">
        <f>IF($X$126="","",$Y$108)</f>
        <v/>
      </c>
      <c r="Z126" s="477" t="str">
        <f>IF($X$126="","",$Z$108)</f>
        <v/>
      </c>
      <c r="AA126" s="477" t="str">
        <f>IF($AC$126="","",ROW($A$126)-ROW($A$108))</f>
        <v/>
      </c>
      <c r="AB126" s="478"/>
      <c r="AC126" s="34"/>
      <c r="AD126" s="356"/>
      <c r="AE126" s="18"/>
      <c r="AF126" s="19"/>
      <c r="AG126" s="480" t="str">
        <f t="shared" si="16"/>
        <v/>
      </c>
      <c r="AH126" s="481" t="str">
        <f t="shared" si="17"/>
        <v/>
      </c>
      <c r="AI126" s="477" t="str">
        <f>IF($AC$126="","",IFERROR(INDEX($AZ$74:$AZ$119,MATCH($AH$126,$AY$74:$AY$119,0)),"AUTRE"))</f>
        <v/>
      </c>
      <c r="AJ126" s="482" t="str">
        <f>IF($AC$126="","",IFERROR(INDEX($BA$74:$BA$119,MATCH($AH$126,$AY$74:$AY$119,0)),1))</f>
        <v/>
      </c>
      <c r="AK126" s="482" t="str">
        <f t="shared" si="18"/>
        <v/>
      </c>
      <c r="AL126" s="477" t="str">
        <f>IF($AC$126="","",IFERROR(INDEX($BB$74:$BB$119,MATCH($AH$126,$AY$74:$AY$119,0)),$AH$126))</f>
        <v/>
      </c>
      <c r="AM126" s="483" t="str">
        <f t="shared" si="19"/>
        <v/>
      </c>
      <c r="AN126" s="484" t="str">
        <f t="shared" si="20"/>
        <v/>
      </c>
      <c r="AO126" s="473" t="str">
        <f t="shared" si="21"/>
        <v/>
      </c>
      <c r="AP126" s="473" t="str">
        <f t="shared" si="22"/>
        <v/>
      </c>
      <c r="AQ126" s="473" t="str">
        <f t="shared" si="23"/>
        <v/>
      </c>
      <c r="AR126" s="473" t="str">
        <f t="shared" si="24"/>
        <v/>
      </c>
      <c r="AS126" s="473" t="str">
        <f t="shared" si="25"/>
        <v/>
      </c>
      <c r="AT126" s="473" t="str">
        <f t="shared" si="26"/>
        <v/>
      </c>
      <c r="AU126" s="473" t="str">
        <f t="shared" si="27"/>
        <v/>
      </c>
      <c r="AZ126" s="29" t="s">
        <v>9</v>
      </c>
      <c r="BA126" s="34" t="s">
        <v>6117</v>
      </c>
      <c r="BB126" s="500"/>
      <c r="BC126" s="271"/>
      <c r="BD126" s="279">
        <v>1</v>
      </c>
      <c r="BE126" s="271"/>
      <c r="BF126" s="271"/>
      <c r="BG126" s="271"/>
      <c r="BH126" s="271"/>
      <c r="BI126" s="271"/>
      <c r="BJ126" s="271"/>
      <c r="BK126" s="271"/>
      <c r="BL126" s="271"/>
    </row>
    <row r="127" spans="18:64" ht="21" customHeight="1" x14ac:dyDescent="0.25">
      <c r="R127" s="34" t="s">
        <v>6118</v>
      </c>
      <c r="S127" s="451"/>
      <c r="T127" s="28" t="s">
        <v>23</v>
      </c>
      <c r="V127" s="475">
        <v>2</v>
      </c>
      <c r="W127" s="475" t="str">
        <f>IF($AC$127="","",$W$108)</f>
        <v/>
      </c>
      <c r="X127" s="476" t="str">
        <f>IF($AC$127="","",$X$108)</f>
        <v/>
      </c>
      <c r="Y127" s="477" t="str">
        <f>IF($X$127="","",$Y$108)</f>
        <v/>
      </c>
      <c r="Z127" s="477" t="str">
        <f>IF($X$127="","",$Z$108)</f>
        <v/>
      </c>
      <c r="AA127" s="477" t="str">
        <f>IF($AC$127="","",ROW($A$127)-ROW($A$108))</f>
        <v/>
      </c>
      <c r="AB127" s="478"/>
      <c r="AC127" s="34"/>
      <c r="AD127" s="356"/>
      <c r="AE127" s="18"/>
      <c r="AF127" s="19"/>
      <c r="AG127" s="480" t="str">
        <f t="shared" si="16"/>
        <v/>
      </c>
      <c r="AH127" s="481" t="str">
        <f t="shared" si="17"/>
        <v/>
      </c>
      <c r="AI127" s="477" t="str">
        <f>IF($AC$127="","",IFERROR(INDEX($AZ$74:$AZ$119,MATCH($AH$127,$AY$74:$AY$119,0)),"AUTRE"))</f>
        <v/>
      </c>
      <c r="AJ127" s="482" t="str">
        <f>IF($AC$127="","",IFERROR(INDEX($BA$74:$BA$119,MATCH($AH$127,$AY$74:$AY$119,0)),1))</f>
        <v/>
      </c>
      <c r="AK127" s="482" t="str">
        <f t="shared" si="18"/>
        <v/>
      </c>
      <c r="AL127" s="477" t="str">
        <f>IF($AC$127="","",IFERROR(INDEX($BB$74:$BB$119,MATCH($AH$127,$AY$74:$AY$119,0)),$AH$127))</f>
        <v/>
      </c>
      <c r="AM127" s="483" t="str">
        <f t="shared" si="19"/>
        <v/>
      </c>
      <c r="AN127" s="484" t="str">
        <f t="shared" si="20"/>
        <v/>
      </c>
      <c r="AO127" s="473" t="str">
        <f t="shared" si="21"/>
        <v/>
      </c>
      <c r="AP127" s="473" t="str">
        <f t="shared" si="22"/>
        <v/>
      </c>
      <c r="AQ127" s="473" t="str">
        <f t="shared" si="23"/>
        <v/>
      </c>
      <c r="AR127" s="473" t="str">
        <f t="shared" si="24"/>
        <v/>
      </c>
      <c r="AS127" s="473" t="str">
        <f t="shared" si="25"/>
        <v/>
      </c>
      <c r="AT127" s="473" t="str">
        <f t="shared" si="26"/>
        <v/>
      </c>
      <c r="AU127" s="473" t="str">
        <f t="shared" si="27"/>
        <v/>
      </c>
      <c r="AZ127" s="30" t="s">
        <v>10</v>
      </c>
      <c r="BA127" s="34" t="s">
        <v>469</v>
      </c>
      <c r="BB127" s="500"/>
      <c r="BC127" s="271"/>
      <c r="BD127" s="279">
        <v>1</v>
      </c>
      <c r="BE127" s="271"/>
      <c r="BF127" s="271"/>
      <c r="BG127" s="271"/>
      <c r="BH127" s="271"/>
      <c r="BI127" s="271"/>
      <c r="BJ127" s="271"/>
      <c r="BK127" s="271"/>
      <c r="BL127" s="271"/>
    </row>
    <row r="128" spans="18:64" ht="21" customHeight="1" x14ac:dyDescent="0.25">
      <c r="R128" s="34" t="s">
        <v>492</v>
      </c>
      <c r="S128" s="451"/>
      <c r="T128" s="28" t="s">
        <v>24</v>
      </c>
      <c r="V128" s="475">
        <v>2</v>
      </c>
      <c r="W128" s="475" t="str">
        <f>IF($AC$128="","",$W$108)</f>
        <v/>
      </c>
      <c r="X128" s="476" t="str">
        <f>IF($AC$128="","",$X$108)</f>
        <v/>
      </c>
      <c r="Y128" s="477" t="str">
        <f>IF($X$128="","",$Y$108)</f>
        <v/>
      </c>
      <c r="Z128" s="477" t="str">
        <f>IF($X$128="","",$Z$108)</f>
        <v/>
      </c>
      <c r="AA128" s="477" t="str">
        <f>IF($AC$128="","",ROW($A$128)-ROW($A$108))</f>
        <v/>
      </c>
      <c r="AB128" s="478"/>
      <c r="AC128" s="34"/>
      <c r="AD128" s="356"/>
      <c r="AE128" s="18"/>
      <c r="AF128" s="19"/>
      <c r="AG128" s="480" t="str">
        <f t="shared" si="16"/>
        <v/>
      </c>
      <c r="AH128" s="481" t="str">
        <f t="shared" si="17"/>
        <v/>
      </c>
      <c r="AI128" s="477" t="str">
        <f>IF($AC$128="","",IFERROR(INDEX($AZ$74:$AZ$119,MATCH($AH$128,$AY$74:$AY$119,0)),"AUTRE"))</f>
        <v/>
      </c>
      <c r="AJ128" s="482" t="str">
        <f>IF($AC$128="","",IFERROR(INDEX($BA$74:$BA$119,MATCH($AH$128,$AY$74:$AY$119,0)),1))</f>
        <v/>
      </c>
      <c r="AK128" s="482" t="str">
        <f t="shared" si="18"/>
        <v/>
      </c>
      <c r="AL128" s="477" t="str">
        <f>IF($AC$128="","",IFERROR(INDEX($BB$74:$BB$119,MATCH($AH$128,$AY$74:$AY$119,0)),$AH$128))</f>
        <v/>
      </c>
      <c r="AM128" s="483" t="str">
        <f t="shared" si="19"/>
        <v/>
      </c>
      <c r="AN128" s="484" t="str">
        <f t="shared" si="20"/>
        <v/>
      </c>
      <c r="AO128" s="473" t="str">
        <f t="shared" si="21"/>
        <v/>
      </c>
      <c r="AP128" s="473" t="str">
        <f t="shared" si="22"/>
        <v/>
      </c>
      <c r="AQ128" s="473" t="str">
        <f t="shared" si="23"/>
        <v/>
      </c>
      <c r="AR128" s="473" t="str">
        <f t="shared" si="24"/>
        <v/>
      </c>
      <c r="AS128" s="473" t="str">
        <f t="shared" si="25"/>
        <v/>
      </c>
      <c r="AT128" s="473" t="str">
        <f t="shared" si="26"/>
        <v/>
      </c>
      <c r="AU128" s="473" t="str">
        <f t="shared" si="27"/>
        <v/>
      </c>
      <c r="AZ128" s="30" t="s">
        <v>11</v>
      </c>
      <c r="BA128" s="34" t="s">
        <v>6118</v>
      </c>
      <c r="BB128" s="500"/>
      <c r="BC128" s="271"/>
      <c r="BD128" s="279">
        <v>1</v>
      </c>
      <c r="BE128" s="271"/>
      <c r="BF128" s="271"/>
      <c r="BG128" s="271"/>
      <c r="BH128" s="271"/>
      <c r="BI128" s="271"/>
      <c r="BJ128" s="271"/>
      <c r="BK128" s="271"/>
      <c r="BL128" s="271"/>
    </row>
    <row r="129" spans="18:64" ht="21" customHeight="1" x14ac:dyDescent="0.25">
      <c r="R129" s="34" t="s">
        <v>458</v>
      </c>
      <c r="S129" s="451"/>
      <c r="T129" s="29" t="s">
        <v>9</v>
      </c>
      <c r="V129" s="475">
        <v>2</v>
      </c>
      <c r="W129" s="475" t="str">
        <f>IF($AC$129="","",$W$108)</f>
        <v/>
      </c>
      <c r="X129" s="476" t="str">
        <f>IF($AC$129="","",$X$108)</f>
        <v/>
      </c>
      <c r="Y129" s="477" t="str">
        <f>IF($X$129="","",$Y$108)</f>
        <v/>
      </c>
      <c r="Z129" s="477" t="str">
        <f>IF($X$129="","",$Z$108)</f>
        <v/>
      </c>
      <c r="AA129" s="477" t="str">
        <f>IF($AC$129="","",ROW($A$129)-ROW($A$108))</f>
        <v/>
      </c>
      <c r="AB129" s="478"/>
      <c r="AC129" s="34"/>
      <c r="AD129" s="356"/>
      <c r="AE129" s="18"/>
      <c r="AF129" s="19"/>
      <c r="AG129" s="480" t="str">
        <f t="shared" si="16"/>
        <v/>
      </c>
      <c r="AH129" s="481" t="str">
        <f t="shared" si="17"/>
        <v/>
      </c>
      <c r="AI129" s="477" t="str">
        <f>IF($AC$129="","",IFERROR(INDEX($AZ$74:$AZ$119,MATCH($AH$129,$AY$74:$AY$119,0)),"AUTRE"))</f>
        <v/>
      </c>
      <c r="AJ129" s="482" t="str">
        <f>IF($AC$129="","",IFERROR(INDEX($BA$74:$BA$119,MATCH($AH$129,$AY$74:$AY$119,0)),1))</f>
        <v/>
      </c>
      <c r="AK129" s="482" t="str">
        <f t="shared" si="18"/>
        <v/>
      </c>
      <c r="AL129" s="477" t="str">
        <f>IF($AC$129="","",IFERROR(INDEX($BB$74:$BB$119,MATCH($AH$129,$AY$74:$AY$119,0)),$AH$129))</f>
        <v/>
      </c>
      <c r="AM129" s="483" t="str">
        <f t="shared" si="19"/>
        <v/>
      </c>
      <c r="AN129" s="484" t="str">
        <f t="shared" si="20"/>
        <v/>
      </c>
      <c r="AO129" s="473" t="str">
        <f t="shared" si="21"/>
        <v/>
      </c>
      <c r="AP129" s="473" t="str">
        <f t="shared" si="22"/>
        <v/>
      </c>
      <c r="AQ129" s="473" t="str">
        <f t="shared" si="23"/>
        <v/>
      </c>
      <c r="AR129" s="473" t="str">
        <f t="shared" si="24"/>
        <v/>
      </c>
      <c r="AS129" s="473" t="str">
        <f t="shared" si="25"/>
        <v/>
      </c>
      <c r="AT129" s="473" t="str">
        <f t="shared" si="26"/>
        <v/>
      </c>
      <c r="AU129" s="473" t="str">
        <f t="shared" si="27"/>
        <v/>
      </c>
      <c r="AZ129" s="30" t="s">
        <v>12</v>
      </c>
      <c r="BA129" s="34" t="s">
        <v>492</v>
      </c>
      <c r="BB129" s="500"/>
      <c r="BC129" s="271"/>
      <c r="BD129" s="279">
        <v>1</v>
      </c>
      <c r="BE129" s="271"/>
      <c r="BF129" s="271"/>
      <c r="BG129" s="271"/>
      <c r="BH129" s="271"/>
      <c r="BI129" s="271"/>
      <c r="BJ129" s="271"/>
      <c r="BK129" s="271"/>
      <c r="BL129" s="271"/>
    </row>
    <row r="130" spans="18:64" ht="21" customHeight="1" x14ac:dyDescent="0.25">
      <c r="R130" s="490"/>
      <c r="S130" s="451"/>
      <c r="T130" s="30" t="s">
        <v>10</v>
      </c>
      <c r="V130" s="475">
        <v>2</v>
      </c>
      <c r="W130" s="475" t="str">
        <f>IF($AC$130="","",$W$108)</f>
        <v/>
      </c>
      <c r="X130" s="476" t="str">
        <f>IF($AC$130="","",$X$108)</f>
        <v/>
      </c>
      <c r="Y130" s="477" t="str">
        <f>IF($X$130="","",$Y$108)</f>
        <v/>
      </c>
      <c r="Z130" s="477" t="str">
        <f>IF($X$130="","",$Z$108)</f>
        <v/>
      </c>
      <c r="AA130" s="477" t="str">
        <f>IF($AC$130="","",ROW($A$130)-ROW($A$108))</f>
        <v/>
      </c>
      <c r="AB130" s="478"/>
      <c r="AC130" s="34"/>
      <c r="AD130" s="356"/>
      <c r="AE130" s="18"/>
      <c r="AF130" s="19"/>
      <c r="AG130" s="480" t="str">
        <f t="shared" si="16"/>
        <v/>
      </c>
      <c r="AH130" s="481" t="str">
        <f t="shared" si="17"/>
        <v/>
      </c>
      <c r="AI130" s="477" t="str">
        <f>IF($AC$130="","",IFERROR(INDEX($AZ$74:$AZ$119,MATCH($AH$130,$AY$74:$AY$119,0)),"AUTRE"))</f>
        <v/>
      </c>
      <c r="AJ130" s="482" t="str">
        <f>IF($AC$130="","",IFERROR(INDEX($BA$74:$BA$119,MATCH($AH$130,$AY$74:$AY$119,0)),1))</f>
        <v/>
      </c>
      <c r="AK130" s="482" t="str">
        <f t="shared" si="18"/>
        <v/>
      </c>
      <c r="AL130" s="477" t="str">
        <f>IF($AC$130="","",IFERROR(INDEX($BB$74:$BB$119,MATCH($AH$130,$AY$74:$AY$119,0)),$AH$130))</f>
        <v/>
      </c>
      <c r="AM130" s="483" t="str">
        <f t="shared" si="19"/>
        <v/>
      </c>
      <c r="AN130" s="484" t="str">
        <f t="shared" si="20"/>
        <v/>
      </c>
      <c r="AO130" s="473" t="str">
        <f t="shared" si="21"/>
        <v/>
      </c>
      <c r="AP130" s="473" t="str">
        <f t="shared" si="22"/>
        <v/>
      </c>
      <c r="AQ130" s="473" t="str">
        <f t="shared" si="23"/>
        <v/>
      </c>
      <c r="AR130" s="473" t="str">
        <f t="shared" si="24"/>
        <v/>
      </c>
      <c r="AS130" s="473" t="str">
        <f t="shared" si="25"/>
        <v/>
      </c>
      <c r="AT130" s="473" t="str">
        <f t="shared" si="26"/>
        <v/>
      </c>
      <c r="AU130" s="473" t="str">
        <f t="shared" si="27"/>
        <v/>
      </c>
      <c r="AZ130" s="31" t="s">
        <v>16</v>
      </c>
      <c r="BA130" s="34" t="s">
        <v>458</v>
      </c>
      <c r="BB130" s="500"/>
      <c r="BC130" s="271"/>
      <c r="BD130" s="279">
        <v>1</v>
      </c>
      <c r="BE130" s="271"/>
      <c r="BF130" s="271"/>
      <c r="BG130" s="271"/>
      <c r="BH130" s="271"/>
      <c r="BI130" s="271"/>
      <c r="BJ130" s="271"/>
      <c r="BK130" s="271"/>
      <c r="BL130" s="271"/>
    </row>
    <row r="131" spans="18:64" ht="21" customHeight="1" x14ac:dyDescent="0.25">
      <c r="R131" s="25" t="s">
        <v>6119</v>
      </c>
      <c r="S131" s="451"/>
      <c r="T131" s="30" t="s">
        <v>11</v>
      </c>
      <c r="V131" s="475">
        <v>2</v>
      </c>
      <c r="W131" s="475" t="str">
        <f>IF($AC$131="","",$W$108)</f>
        <v/>
      </c>
      <c r="X131" s="476" t="str">
        <f>IF($AC$131="","",$X$108)</f>
        <v/>
      </c>
      <c r="Y131" s="477" t="str">
        <f>IF($X$131="","",$Y$108)</f>
        <v/>
      </c>
      <c r="Z131" s="477" t="str">
        <f>IF($X$131="","",$Z$108)</f>
        <v/>
      </c>
      <c r="AA131" s="477" t="str">
        <f>IF($AC$131="","",ROW($A$131)-ROW($A$108))</f>
        <v/>
      </c>
      <c r="AB131" s="478"/>
      <c r="AC131" s="34"/>
      <c r="AD131" s="356"/>
      <c r="AE131" s="18"/>
      <c r="AF131" s="19"/>
      <c r="AG131" s="480" t="str">
        <f t="shared" si="16"/>
        <v/>
      </c>
      <c r="AH131" s="481" t="str">
        <f t="shared" si="17"/>
        <v/>
      </c>
      <c r="AI131" s="477" t="str">
        <f>IF($AC$131="","",IFERROR(INDEX($AZ$74:$AZ$119,MATCH($AH$131,$AY$74:$AY$119,0)),"AUTRE"))</f>
        <v/>
      </c>
      <c r="AJ131" s="482" t="str">
        <f>IF($AC$131="","",IFERROR(INDEX($BA$74:$BA$119,MATCH($AH$131,$AY$74:$AY$119,0)),1))</f>
        <v/>
      </c>
      <c r="AK131" s="482" t="str">
        <f t="shared" si="18"/>
        <v/>
      </c>
      <c r="AL131" s="477" t="str">
        <f>IF($AC$131="","",IFERROR(INDEX($BB$74:$BB$119,MATCH($AH$131,$AY$74:$AY$119,0)),$AH$131))</f>
        <v/>
      </c>
      <c r="AM131" s="483" t="str">
        <f t="shared" si="19"/>
        <v/>
      </c>
      <c r="AN131" s="484" t="str">
        <f t="shared" si="20"/>
        <v/>
      </c>
      <c r="AO131" s="473" t="str">
        <f t="shared" si="21"/>
        <v/>
      </c>
      <c r="AP131" s="473" t="str">
        <f t="shared" si="22"/>
        <v/>
      </c>
      <c r="AQ131" s="473" t="str">
        <f t="shared" si="23"/>
        <v/>
      </c>
      <c r="AR131" s="473" t="str">
        <f t="shared" si="24"/>
        <v/>
      </c>
      <c r="AS131" s="473" t="str">
        <f t="shared" si="25"/>
        <v/>
      </c>
      <c r="AT131" s="473" t="str">
        <f t="shared" si="26"/>
        <v/>
      </c>
      <c r="AU131" s="473" t="str">
        <f t="shared" si="27"/>
        <v/>
      </c>
      <c r="AZ131" s="31" t="s">
        <v>17</v>
      </c>
      <c r="BA131" s="490"/>
      <c r="BB131" s="500"/>
      <c r="BC131" s="271"/>
      <c r="BD131" s="279">
        <v>1</v>
      </c>
      <c r="BE131" s="271"/>
      <c r="BF131" s="271"/>
      <c r="BG131" s="271"/>
      <c r="BH131" s="271"/>
      <c r="BI131" s="271"/>
      <c r="BJ131" s="271"/>
      <c r="BK131" s="271"/>
      <c r="BL131" s="271"/>
    </row>
    <row r="132" spans="18:64" ht="21" customHeight="1" x14ac:dyDescent="0.25">
      <c r="R132" s="34" t="s">
        <v>6120</v>
      </c>
      <c r="S132" s="451"/>
      <c r="T132" s="30" t="s">
        <v>12</v>
      </c>
      <c r="V132" s="475">
        <v>2</v>
      </c>
      <c r="W132" s="475" t="str">
        <f>IF($AC$132="","",$W$108)</f>
        <v/>
      </c>
      <c r="X132" s="476" t="str">
        <f>IF($AC$132="","",$X$108)</f>
        <v/>
      </c>
      <c r="Y132" s="477" t="str">
        <f>IF($X$132="","",$Y$108)</f>
        <v/>
      </c>
      <c r="Z132" s="477" t="str">
        <f>IF($X$132="","",$Z$108)</f>
        <v/>
      </c>
      <c r="AA132" s="477" t="str">
        <f>IF($AC$132="","",ROW($A$132)-ROW($A$108))</f>
        <v/>
      </c>
      <c r="AB132" s="478"/>
      <c r="AC132" s="34"/>
      <c r="AD132" s="356"/>
      <c r="AE132" s="18"/>
      <c r="AF132" s="19"/>
      <c r="AG132" s="480" t="str">
        <f t="shared" si="16"/>
        <v/>
      </c>
      <c r="AH132" s="481" t="str">
        <f t="shared" si="17"/>
        <v/>
      </c>
      <c r="AI132" s="477" t="str">
        <f>IF($AC$132="","",IFERROR(INDEX($AZ$74:$AZ$119,MATCH($AH$132,$AY$74:$AY$119,0)),"AUTRE"))</f>
        <v/>
      </c>
      <c r="AJ132" s="482" t="str">
        <f>IF($AC$132="","",IFERROR(INDEX($BA$74:$BA$119,MATCH($AH$132,$AY$74:$AY$119,0)),1))</f>
        <v/>
      </c>
      <c r="AK132" s="482" t="str">
        <f t="shared" si="18"/>
        <v/>
      </c>
      <c r="AL132" s="477" t="str">
        <f>IF($AC$132="","",IFERROR(INDEX($BB$74:$BB$119,MATCH($AH$132,$AY$74:$AY$119,0)),$AH$132))</f>
        <v/>
      </c>
      <c r="AM132" s="483" t="str">
        <f t="shared" si="19"/>
        <v/>
      </c>
      <c r="AN132" s="484" t="str">
        <f t="shared" si="20"/>
        <v/>
      </c>
      <c r="AO132" s="473" t="str">
        <f t="shared" si="21"/>
        <v/>
      </c>
      <c r="AP132" s="473" t="str">
        <f t="shared" si="22"/>
        <v/>
      </c>
      <c r="AQ132" s="473" t="str">
        <f t="shared" si="23"/>
        <v/>
      </c>
      <c r="AR132" s="473" t="str">
        <f t="shared" si="24"/>
        <v/>
      </c>
      <c r="AS132" s="473" t="str">
        <f t="shared" si="25"/>
        <v/>
      </c>
      <c r="AT132" s="473" t="str">
        <f t="shared" si="26"/>
        <v/>
      </c>
      <c r="AU132" s="473" t="str">
        <f t="shared" si="27"/>
        <v/>
      </c>
      <c r="AZ132" s="31" t="s">
        <v>18</v>
      </c>
      <c r="BA132" s="25" t="s">
        <v>6119</v>
      </c>
      <c r="BB132" s="500"/>
      <c r="BC132" s="271"/>
      <c r="BD132" s="279">
        <v>1</v>
      </c>
      <c r="BE132" s="271"/>
      <c r="BF132" s="271"/>
      <c r="BG132" s="271"/>
      <c r="BH132" s="271"/>
      <c r="BI132" s="271"/>
      <c r="BJ132" s="271"/>
      <c r="BK132" s="271"/>
      <c r="BL132" s="271"/>
    </row>
    <row r="133" spans="18:64" ht="21" customHeight="1" x14ac:dyDescent="0.25">
      <c r="R133" s="34" t="s">
        <v>6121</v>
      </c>
      <c r="S133" s="451"/>
      <c r="T133" s="31" t="s">
        <v>16</v>
      </c>
      <c r="V133" s="475">
        <v>2</v>
      </c>
      <c r="W133" s="475" t="str">
        <f>IF($AC$133="","",$W$108)</f>
        <v/>
      </c>
      <c r="X133" s="476" t="str">
        <f>IF($AC$133="","",$X$108)</f>
        <v/>
      </c>
      <c r="Y133" s="477" t="str">
        <f>IF($X$133="","",$Y$108)</f>
        <v/>
      </c>
      <c r="Z133" s="477" t="str">
        <f>IF($X$133="","",$Z$108)</f>
        <v/>
      </c>
      <c r="AA133" s="477" t="str">
        <f>IF($AC$133="","",ROW($A$133)-ROW($A$108))</f>
        <v/>
      </c>
      <c r="AB133" s="478"/>
      <c r="AC133" s="34"/>
      <c r="AD133" s="356"/>
      <c r="AE133" s="18"/>
      <c r="AF133" s="19"/>
      <c r="AG133" s="480" t="str">
        <f t="shared" si="16"/>
        <v/>
      </c>
      <c r="AH133" s="481" t="str">
        <f t="shared" si="17"/>
        <v/>
      </c>
      <c r="AI133" s="477" t="str">
        <f>IF($AC$133="","",IFERROR(INDEX($AZ$74:$AZ$119,MATCH($AH$133,$AY$74:$AY$119,0)),"AUTRE"))</f>
        <v/>
      </c>
      <c r="AJ133" s="482" t="str">
        <f>IF($AC$133="","",IFERROR(INDEX($BA$74:$BA$119,MATCH($AH$133,$AY$74:$AY$119,0)),1))</f>
        <v/>
      </c>
      <c r="AK133" s="482" t="str">
        <f t="shared" si="18"/>
        <v/>
      </c>
      <c r="AL133" s="477" t="str">
        <f>IF($AC$133="","",IFERROR(INDEX($BB$74:$BB$119,MATCH($AH$133,$AY$74:$AY$119,0)),$AH$133))</f>
        <v/>
      </c>
      <c r="AM133" s="483" t="str">
        <f t="shared" si="19"/>
        <v/>
      </c>
      <c r="AN133" s="484" t="str">
        <f t="shared" si="20"/>
        <v/>
      </c>
      <c r="AO133" s="473" t="str">
        <f t="shared" si="21"/>
        <v/>
      </c>
      <c r="AP133" s="473" t="str">
        <f t="shared" si="22"/>
        <v/>
      </c>
      <c r="AQ133" s="473" t="str">
        <f t="shared" si="23"/>
        <v/>
      </c>
      <c r="AR133" s="473" t="str">
        <f t="shared" si="24"/>
        <v/>
      </c>
      <c r="AS133" s="473" t="str">
        <f t="shared" si="25"/>
        <v/>
      </c>
      <c r="AT133" s="473" t="str">
        <f t="shared" si="26"/>
        <v/>
      </c>
      <c r="AU133" s="473" t="str">
        <f t="shared" si="27"/>
        <v/>
      </c>
      <c r="AZ133" s="31" t="s">
        <v>19</v>
      </c>
      <c r="BA133" s="34" t="s">
        <v>6120</v>
      </c>
      <c r="BB133" s="500"/>
      <c r="BC133" s="271"/>
      <c r="BD133" s="279">
        <v>1</v>
      </c>
      <c r="BE133" s="271"/>
      <c r="BF133" s="271"/>
      <c r="BG133" s="271"/>
      <c r="BH133" s="271"/>
      <c r="BI133" s="271"/>
      <c r="BJ133" s="271"/>
      <c r="BK133" s="271"/>
      <c r="BL133" s="271"/>
    </row>
    <row r="134" spans="18:64" ht="21" customHeight="1" x14ac:dyDescent="0.25">
      <c r="R134" s="34" t="s">
        <v>6122</v>
      </c>
      <c r="S134" s="451"/>
      <c r="T134" s="31" t="s">
        <v>17</v>
      </c>
      <c r="V134" s="475">
        <v>2</v>
      </c>
      <c r="W134" s="475" t="str">
        <f>IF($AC$134="","",$W$108)</f>
        <v/>
      </c>
      <c r="X134" s="476" t="str">
        <f>IF($AC$134="","",$X$108)</f>
        <v/>
      </c>
      <c r="Y134" s="477" t="str">
        <f>IF($X$134="","",$Y$108)</f>
        <v/>
      </c>
      <c r="Z134" s="477" t="str">
        <f>IF($X$134="","",$Z$108)</f>
        <v/>
      </c>
      <c r="AA134" s="477" t="str">
        <f>IF($AC$134="","",ROW($A$134)-ROW($A$108))</f>
        <v/>
      </c>
      <c r="AB134" s="478"/>
      <c r="AC134" s="34"/>
      <c r="AD134" s="356"/>
      <c r="AE134" s="18"/>
      <c r="AF134" s="19"/>
      <c r="AG134" s="480" t="str">
        <f t="shared" si="16"/>
        <v/>
      </c>
      <c r="AH134" s="481" t="str">
        <f t="shared" si="17"/>
        <v/>
      </c>
      <c r="AI134" s="477" t="str">
        <f>IF($AC$134="","",IFERROR(INDEX($AZ$74:$AZ$119,MATCH($AH$134,$AY$74:$AY$119,0)),"AUTRE"))</f>
        <v/>
      </c>
      <c r="AJ134" s="482" t="str">
        <f>IF($AC$134="","",IFERROR(INDEX($BA$74:$BA$119,MATCH($AH$134,$AY$74:$AY$119,0)),1))</f>
        <v/>
      </c>
      <c r="AK134" s="482" t="str">
        <f t="shared" si="18"/>
        <v/>
      </c>
      <c r="AL134" s="477" t="str">
        <f>IF($AC$134="","",IFERROR(INDEX($BB$74:$BB$119,MATCH($AH$134,$AY$74:$AY$119,0)),$AH$134))</f>
        <v/>
      </c>
      <c r="AM134" s="483" t="str">
        <f t="shared" si="19"/>
        <v/>
      </c>
      <c r="AN134" s="484" t="str">
        <f t="shared" si="20"/>
        <v/>
      </c>
      <c r="AO134" s="473" t="str">
        <f t="shared" si="21"/>
        <v/>
      </c>
      <c r="AP134" s="473" t="str">
        <f t="shared" si="22"/>
        <v/>
      </c>
      <c r="AQ134" s="473" t="str">
        <f t="shared" si="23"/>
        <v/>
      </c>
      <c r="AR134" s="473" t="str">
        <f t="shared" si="24"/>
        <v/>
      </c>
      <c r="AS134" s="473" t="str">
        <f t="shared" si="25"/>
        <v/>
      </c>
      <c r="AT134" s="473" t="str">
        <f t="shared" si="26"/>
        <v/>
      </c>
      <c r="AU134" s="473" t="str">
        <f t="shared" si="27"/>
        <v/>
      </c>
      <c r="AZ134" s="31" t="s">
        <v>211</v>
      </c>
      <c r="BA134" s="34" t="s">
        <v>6121</v>
      </c>
      <c r="BB134" s="500"/>
      <c r="BC134" s="271"/>
      <c r="BD134" s="279">
        <v>1</v>
      </c>
      <c r="BE134" s="271"/>
      <c r="BF134" s="271"/>
      <c r="BG134" s="271"/>
      <c r="BH134" s="271"/>
      <c r="BI134" s="271"/>
      <c r="BJ134" s="271"/>
      <c r="BK134" s="271"/>
      <c r="BL134" s="271"/>
    </row>
    <row r="135" spans="18:64" ht="21" customHeight="1" x14ac:dyDescent="0.25">
      <c r="R135" s="34" t="s">
        <v>6123</v>
      </c>
      <c r="S135" s="451"/>
      <c r="T135" s="31" t="s">
        <v>18</v>
      </c>
      <c r="V135" s="475">
        <v>2</v>
      </c>
      <c r="W135" s="475" t="str">
        <f>IF($AC$135="","",$W$108)</f>
        <v/>
      </c>
      <c r="X135" s="476" t="str">
        <f>IF($AC$135="","",$X$108)</f>
        <v/>
      </c>
      <c r="Y135" s="477" t="str">
        <f>IF($X$135="","",$Y$108)</f>
        <v/>
      </c>
      <c r="Z135" s="477" t="str">
        <f>IF($X$135="","",$Z$108)</f>
        <v/>
      </c>
      <c r="AA135" s="477" t="str">
        <f>IF($AC$135="","",ROW($A$135)-ROW($A$108))</f>
        <v/>
      </c>
      <c r="AB135" s="478"/>
      <c r="AC135" s="34"/>
      <c r="AD135" s="356"/>
      <c r="AE135" s="18"/>
      <c r="AF135" s="19"/>
      <c r="AG135" s="480" t="str">
        <f t="shared" si="16"/>
        <v/>
      </c>
      <c r="AH135" s="481" t="str">
        <f t="shared" si="17"/>
        <v/>
      </c>
      <c r="AI135" s="477" t="str">
        <f>IF($AC$135="","",IFERROR(INDEX($AZ$74:$AZ$119,MATCH($AH$135,$AY$74:$AY$119,0)),"AUTRE"))</f>
        <v/>
      </c>
      <c r="AJ135" s="482" t="str">
        <f>IF($AC$135="","",IFERROR(INDEX($BA$74:$BA$119,MATCH($AH$135,$AY$74:$AY$119,0)),1))</f>
        <v/>
      </c>
      <c r="AK135" s="482" t="str">
        <f t="shared" si="18"/>
        <v/>
      </c>
      <c r="AL135" s="477" t="str">
        <f>IF($AC$135="","",IFERROR(INDEX($BB$74:$BB$119,MATCH($AH$135,$AY$74:$AY$119,0)),$AH$135))</f>
        <v/>
      </c>
      <c r="AM135" s="483" t="str">
        <f t="shared" si="19"/>
        <v/>
      </c>
      <c r="AN135" s="484" t="str">
        <f t="shared" si="20"/>
        <v/>
      </c>
      <c r="AO135" s="473" t="str">
        <f t="shared" si="21"/>
        <v/>
      </c>
      <c r="AP135" s="473" t="str">
        <f t="shared" si="22"/>
        <v/>
      </c>
      <c r="AQ135" s="473" t="str">
        <f t="shared" si="23"/>
        <v/>
      </c>
      <c r="AR135" s="473" t="str">
        <f t="shared" si="24"/>
        <v/>
      </c>
      <c r="AS135" s="473" t="str">
        <f t="shared" si="25"/>
        <v/>
      </c>
      <c r="AT135" s="473" t="str">
        <f t="shared" si="26"/>
        <v/>
      </c>
      <c r="AU135" s="473" t="str">
        <f t="shared" si="27"/>
        <v/>
      </c>
      <c r="AZ135" s="31" t="s">
        <v>20</v>
      </c>
      <c r="BA135" s="34" t="s">
        <v>6122</v>
      </c>
      <c r="BB135" s="500"/>
      <c r="BC135" s="271"/>
      <c r="BD135" s="279">
        <v>1</v>
      </c>
      <c r="BE135" s="271"/>
      <c r="BF135" s="271"/>
      <c r="BG135" s="271"/>
      <c r="BH135" s="271"/>
      <c r="BI135" s="271"/>
      <c r="BJ135" s="271"/>
      <c r="BK135" s="271"/>
      <c r="BL135" s="271"/>
    </row>
    <row r="136" spans="18:64" ht="21" customHeight="1" x14ac:dyDescent="0.25">
      <c r="R136" s="34" t="s">
        <v>6124</v>
      </c>
      <c r="S136" s="451"/>
      <c r="T136" s="31" t="s">
        <v>19</v>
      </c>
      <c r="V136" s="475">
        <v>2</v>
      </c>
      <c r="W136" s="475" t="str">
        <f>IF($AC$136="","",$W$108)</f>
        <v/>
      </c>
      <c r="X136" s="476" t="str">
        <f>IF($AC$136="","",$X$108)</f>
        <v/>
      </c>
      <c r="Y136" s="477" t="str">
        <f>IF($X$136="","",$Y$108)</f>
        <v/>
      </c>
      <c r="Z136" s="477" t="str">
        <f>IF($X$136="","",$Z$108)</f>
        <v/>
      </c>
      <c r="AA136" s="477" t="str">
        <f>IF($AC$136="","",ROW($A$136)-ROW($A$108))</f>
        <v/>
      </c>
      <c r="AB136" s="478"/>
      <c r="AC136" s="34"/>
      <c r="AD136" s="356"/>
      <c r="AE136" s="18"/>
      <c r="AF136" s="19"/>
      <c r="AG136" s="480" t="str">
        <f t="shared" si="16"/>
        <v/>
      </c>
      <c r="AH136" s="481" t="str">
        <f t="shared" si="17"/>
        <v/>
      </c>
      <c r="AI136" s="477" t="str">
        <f>IF($AC$136="","",IFERROR(INDEX($AZ$74:$AZ$119,MATCH($AH$136,$AY$74:$AY$119,0)),"AUTRE"))</f>
        <v/>
      </c>
      <c r="AJ136" s="482" t="str">
        <f>IF($AC$136="","",IFERROR(INDEX($BA$74:$BA$119,MATCH($AH$136,$AY$74:$AY$119,0)),1))</f>
        <v/>
      </c>
      <c r="AK136" s="482" t="str">
        <f t="shared" si="18"/>
        <v/>
      </c>
      <c r="AL136" s="477" t="str">
        <f>IF($AC$136="","",IFERROR(INDEX($BB$74:$BB$119,MATCH($AH$136,$AY$74:$AY$119,0)),$AH$136))</f>
        <v/>
      </c>
      <c r="AM136" s="483" t="str">
        <f t="shared" si="19"/>
        <v/>
      </c>
      <c r="AN136" s="484" t="str">
        <f t="shared" si="20"/>
        <v/>
      </c>
      <c r="AO136" s="473" t="str">
        <f t="shared" si="21"/>
        <v/>
      </c>
      <c r="AP136" s="473" t="str">
        <f t="shared" si="22"/>
        <v/>
      </c>
      <c r="AQ136" s="473" t="str">
        <f t="shared" si="23"/>
        <v/>
      </c>
      <c r="AR136" s="473" t="str">
        <f t="shared" si="24"/>
        <v/>
      </c>
      <c r="AS136" s="473" t="str">
        <f t="shared" si="25"/>
        <v/>
      </c>
      <c r="AT136" s="473" t="str">
        <f t="shared" si="26"/>
        <v/>
      </c>
      <c r="AU136" s="473" t="str">
        <f t="shared" si="27"/>
        <v/>
      </c>
      <c r="AZ136" s="31" t="s">
        <v>304</v>
      </c>
      <c r="BA136" s="34" t="s">
        <v>6123</v>
      </c>
      <c r="BB136" s="500"/>
      <c r="BC136" s="271"/>
      <c r="BD136" s="279">
        <v>1</v>
      </c>
      <c r="BE136" s="271"/>
      <c r="BF136" s="271"/>
      <c r="BG136" s="271"/>
      <c r="BH136" s="271"/>
      <c r="BI136" s="271"/>
      <c r="BJ136" s="271"/>
      <c r="BK136" s="271"/>
      <c r="BL136" s="271"/>
    </row>
    <row r="137" spans="18:64" ht="21" customHeight="1" x14ac:dyDescent="0.25">
      <c r="R137" s="34" t="s">
        <v>6125</v>
      </c>
      <c r="S137" s="451"/>
      <c r="T137" s="31" t="s">
        <v>211</v>
      </c>
      <c r="V137" s="475">
        <v>2</v>
      </c>
      <c r="W137" s="475" t="str">
        <f>IF($AC$137="","",$W$108)</f>
        <v/>
      </c>
      <c r="X137" s="476" t="str">
        <f>IF($AC$137="","",$X$108)</f>
        <v/>
      </c>
      <c r="Y137" s="477" t="str">
        <f>IF($X$137="","",$Y$108)</f>
        <v/>
      </c>
      <c r="Z137" s="477" t="str">
        <f>IF($X$137="","",$Z$108)</f>
        <v/>
      </c>
      <c r="AA137" s="477" t="str">
        <f>IF($AC$137="","",ROW($A$137)-ROW($A$108))</f>
        <v/>
      </c>
      <c r="AB137" s="478"/>
      <c r="AC137" s="34"/>
      <c r="AD137" s="356"/>
      <c r="AE137" s="18"/>
      <c r="AF137" s="19"/>
      <c r="AG137" s="480" t="str">
        <f t="shared" si="16"/>
        <v/>
      </c>
      <c r="AH137" s="481" t="str">
        <f t="shared" si="17"/>
        <v/>
      </c>
      <c r="AI137" s="477" t="str">
        <f>IF($AC$137="","",IFERROR(INDEX($AZ$74:$AZ$119,MATCH($AH$137,$AY$74:$AY$119,0)),"AUTRE"))</f>
        <v/>
      </c>
      <c r="AJ137" s="482" t="str">
        <f>IF($AC$137="","",IFERROR(INDEX($BA$74:$BA$119,MATCH($AH$137,$AY$74:$AY$119,0)),1))</f>
        <v/>
      </c>
      <c r="AK137" s="482" t="str">
        <f t="shared" si="18"/>
        <v/>
      </c>
      <c r="AL137" s="477" t="str">
        <f>IF($AC$137="","",IFERROR(INDEX($BB$74:$BB$119,MATCH($AH$137,$AY$74:$AY$119,0)),$AH$137))</f>
        <v/>
      </c>
      <c r="AM137" s="483" t="str">
        <f t="shared" si="19"/>
        <v/>
      </c>
      <c r="AN137" s="484" t="str">
        <f t="shared" si="20"/>
        <v/>
      </c>
      <c r="AO137" s="473" t="str">
        <f t="shared" si="21"/>
        <v/>
      </c>
      <c r="AP137" s="473" t="str">
        <f t="shared" si="22"/>
        <v/>
      </c>
      <c r="AQ137" s="473" t="str">
        <f t="shared" si="23"/>
        <v/>
      </c>
      <c r="AR137" s="473" t="str">
        <f t="shared" si="24"/>
        <v/>
      </c>
      <c r="AS137" s="473" t="str">
        <f t="shared" si="25"/>
        <v/>
      </c>
      <c r="AT137" s="473" t="str">
        <f t="shared" si="26"/>
        <v/>
      </c>
      <c r="AU137" s="473" t="str">
        <f t="shared" si="27"/>
        <v/>
      </c>
      <c r="AY137" s="497" t="s">
        <v>8145</v>
      </c>
      <c r="AZ137" s="31" t="s">
        <v>352</v>
      </c>
      <c r="BA137" s="34" t="s">
        <v>6124</v>
      </c>
      <c r="BB137" s="500"/>
      <c r="BC137" s="271"/>
      <c r="BD137" s="279">
        <v>1</v>
      </c>
      <c r="BE137" s="271"/>
      <c r="BF137" s="271"/>
      <c r="BG137" s="271"/>
      <c r="BH137" s="271"/>
      <c r="BI137" s="271"/>
      <c r="BJ137" s="271"/>
      <c r="BK137" s="271"/>
      <c r="BL137" s="271"/>
    </row>
    <row r="138" spans="18:64" ht="21" customHeight="1" x14ac:dyDescent="0.25">
      <c r="R138" s="34" t="s">
        <v>6126</v>
      </c>
      <c r="S138" s="451"/>
      <c r="T138" s="31" t="s">
        <v>20</v>
      </c>
      <c r="V138" s="475">
        <v>2</v>
      </c>
      <c r="W138" s="475" t="str">
        <f>IF($AC$138="","",$W$108)</f>
        <v/>
      </c>
      <c r="X138" s="476" t="str">
        <f>IF($AC$138="","",$X$108)</f>
        <v/>
      </c>
      <c r="Y138" s="477" t="str">
        <f>IF($X$138="","",$Y$108)</f>
        <v/>
      </c>
      <c r="Z138" s="477" t="str">
        <f>IF($X$138="","",$Z$108)</f>
        <v/>
      </c>
      <c r="AA138" s="477" t="str">
        <f>IF($AC$138="","",ROW($A$138)-ROW($A$108))</f>
        <v/>
      </c>
      <c r="AB138" s="478"/>
      <c r="AC138" s="34"/>
      <c r="AD138" s="356"/>
      <c r="AE138" s="18"/>
      <c r="AF138" s="19"/>
      <c r="AG138" s="480" t="str">
        <f t="shared" si="16"/>
        <v/>
      </c>
      <c r="AH138" s="481" t="str">
        <f t="shared" si="17"/>
        <v/>
      </c>
      <c r="AI138" s="477" t="str">
        <f>IF($AC$138="","",IFERROR(INDEX($AZ$74:$AZ$119,MATCH($AH$138,$AY$74:$AY$119,0)),"AUTRE"))</f>
        <v/>
      </c>
      <c r="AJ138" s="482" t="str">
        <f>IF($AC$138="","",IFERROR(INDEX($BA$74:$BA$119,MATCH($AH$138,$AY$74:$AY$119,0)),1))</f>
        <v/>
      </c>
      <c r="AK138" s="482" t="str">
        <f t="shared" si="18"/>
        <v/>
      </c>
      <c r="AL138" s="477" t="str">
        <f>IF($AC$138="","",IFERROR(INDEX($BB$74:$BB$119,MATCH($AH$138,$AY$74:$AY$119,0)),$AH$138))</f>
        <v/>
      </c>
      <c r="AM138" s="483" t="str">
        <f t="shared" si="19"/>
        <v/>
      </c>
      <c r="AN138" s="484" t="str">
        <f t="shared" si="20"/>
        <v/>
      </c>
      <c r="AO138" s="473" t="str">
        <f t="shared" si="21"/>
        <v/>
      </c>
      <c r="AP138" s="473" t="str">
        <f t="shared" si="22"/>
        <v/>
      </c>
      <c r="AQ138" s="473" t="str">
        <f t="shared" si="23"/>
        <v/>
      </c>
      <c r="AR138" s="473" t="str">
        <f t="shared" si="24"/>
        <v/>
      </c>
      <c r="AS138" s="473" t="str">
        <f t="shared" si="25"/>
        <v/>
      </c>
      <c r="AT138" s="473" t="str">
        <f t="shared" si="26"/>
        <v/>
      </c>
      <c r="AU138" s="473" t="str">
        <f t="shared" si="27"/>
        <v/>
      </c>
      <c r="AY138" s="497" t="s">
        <v>462</v>
      </c>
      <c r="AZ138" s="31" t="s">
        <v>27</v>
      </c>
      <c r="BA138" s="34" t="s">
        <v>6125</v>
      </c>
      <c r="BB138" s="500"/>
      <c r="BC138" s="271"/>
      <c r="BD138" s="279">
        <v>1</v>
      </c>
      <c r="BE138" s="271"/>
      <c r="BF138" s="271"/>
      <c r="BG138" s="271"/>
      <c r="BH138" s="271"/>
      <c r="BI138" s="271"/>
      <c r="BJ138" s="271"/>
      <c r="BK138" s="271"/>
      <c r="BL138" s="271"/>
    </row>
    <row r="139" spans="18:64" ht="21" customHeight="1" x14ac:dyDescent="0.25">
      <c r="R139" s="34" t="s">
        <v>6127</v>
      </c>
      <c r="S139" s="451"/>
      <c r="T139" s="31" t="s">
        <v>304</v>
      </c>
      <c r="V139" s="475">
        <v>2</v>
      </c>
      <c r="W139" s="475" t="str">
        <f>IF($AC$139="","",$W$108)</f>
        <v/>
      </c>
      <c r="X139" s="476" t="str">
        <f>IF($AC$139="","",$X$108)</f>
        <v/>
      </c>
      <c r="Y139" s="477" t="str">
        <f>IF($X$139="","",$Y$108)</f>
        <v/>
      </c>
      <c r="Z139" s="477" t="str">
        <f>IF($X$139="","",$Z$108)</f>
        <v/>
      </c>
      <c r="AA139" s="477" t="str">
        <f>IF($AC$139="","",ROW($A$139)-ROW($A$108))</f>
        <v/>
      </c>
      <c r="AB139" s="478"/>
      <c r="AC139" s="34"/>
      <c r="AD139" s="356"/>
      <c r="AE139" s="18"/>
      <c r="AF139" s="19"/>
      <c r="AG139" s="480" t="str">
        <f t="shared" si="16"/>
        <v/>
      </c>
      <c r="AH139" s="481" t="str">
        <f t="shared" si="17"/>
        <v/>
      </c>
      <c r="AI139" s="477" t="str">
        <f>IF($AC$139="","",IFERROR(INDEX($AZ$74:$AZ$119,MATCH($AH$139,$AY$74:$AY$119,0)),"AUTRE"))</f>
        <v/>
      </c>
      <c r="AJ139" s="482" t="str">
        <f>IF($AC$139="","",IFERROR(INDEX($BA$74:$BA$119,MATCH($AH$139,$AY$74:$AY$119,0)),1))</f>
        <v/>
      </c>
      <c r="AK139" s="482" t="str">
        <f t="shared" si="18"/>
        <v/>
      </c>
      <c r="AL139" s="477" t="str">
        <f>IF($AC$139="","",IFERROR(INDEX($BB$74:$BB$119,MATCH($AH$139,$AY$74:$AY$119,0)),$AH$139))</f>
        <v/>
      </c>
      <c r="AM139" s="483" t="str">
        <f t="shared" si="19"/>
        <v/>
      </c>
      <c r="AN139" s="484" t="str">
        <f t="shared" si="20"/>
        <v/>
      </c>
      <c r="AO139" s="473" t="str">
        <f t="shared" si="21"/>
        <v/>
      </c>
      <c r="AP139" s="473" t="str">
        <f t="shared" si="22"/>
        <v/>
      </c>
      <c r="AQ139" s="473" t="str">
        <f t="shared" si="23"/>
        <v/>
      </c>
      <c r="AR139" s="473" t="str">
        <f t="shared" si="24"/>
        <v/>
      </c>
      <c r="AS139" s="473" t="str">
        <f t="shared" si="25"/>
        <v/>
      </c>
      <c r="AT139" s="473" t="str">
        <f t="shared" si="26"/>
        <v/>
      </c>
      <c r="AU139" s="473" t="str">
        <f t="shared" si="27"/>
        <v/>
      </c>
      <c r="AY139" s="497" t="s">
        <v>463</v>
      </c>
      <c r="AZ139" s="31" t="s">
        <v>28</v>
      </c>
      <c r="BA139" s="34" t="s">
        <v>6126</v>
      </c>
      <c r="BB139" s="500"/>
      <c r="BC139" s="271"/>
      <c r="BD139" s="279">
        <v>1</v>
      </c>
      <c r="BE139" s="271"/>
      <c r="BF139" s="271"/>
      <c r="BG139" s="271"/>
      <c r="BH139" s="271"/>
      <c r="BI139" s="271"/>
      <c r="BJ139" s="271"/>
      <c r="BK139" s="271"/>
      <c r="BL139" s="271"/>
    </row>
    <row r="140" spans="18:64" ht="21" customHeight="1" x14ac:dyDescent="0.25">
      <c r="R140" s="25" t="s">
        <v>6128</v>
      </c>
      <c r="S140" s="451"/>
      <c r="T140" s="31" t="s">
        <v>352</v>
      </c>
      <c r="V140" s="475">
        <v>2</v>
      </c>
      <c r="W140" s="475" t="str">
        <f>IF($AC$140="","",$W$108)</f>
        <v/>
      </c>
      <c r="X140" s="476" t="str">
        <f>IF($AC$140="","",$X$108)</f>
        <v/>
      </c>
      <c r="Y140" s="477" t="str">
        <f>IF($X$140="","",$Y$108)</f>
        <v/>
      </c>
      <c r="Z140" s="477" t="str">
        <f>IF($X$140="","",$Z$108)</f>
        <v/>
      </c>
      <c r="AA140" s="477" t="str">
        <f>IF($AC$140="","",ROW($A$140)-ROW($A$108))</f>
        <v/>
      </c>
      <c r="AB140" s="478"/>
      <c r="AC140" s="34"/>
      <c r="AD140" s="356"/>
      <c r="AE140" s="18"/>
      <c r="AF140" s="19"/>
      <c r="AG140" s="480" t="str">
        <f t="shared" si="16"/>
        <v/>
      </c>
      <c r="AH140" s="481" t="str">
        <f t="shared" si="17"/>
        <v/>
      </c>
      <c r="AI140" s="477" t="str">
        <f>IF($AC$140="","",IFERROR(INDEX($AZ$74:$AZ$119,MATCH($AH$140,$AY$74:$AY$119,0)),"AUTRE"))</f>
        <v/>
      </c>
      <c r="AJ140" s="482" t="str">
        <f>IF($AC$140="","",IFERROR(INDEX($BA$74:$BA$119,MATCH($AH$140,$AY$74:$AY$119,0)),1))</f>
        <v/>
      </c>
      <c r="AK140" s="482" t="str">
        <f t="shared" si="18"/>
        <v/>
      </c>
      <c r="AL140" s="477" t="str">
        <f>IF($AC$140="","",IFERROR(INDEX($BB$74:$BB$119,MATCH($AH$140,$AY$74:$AY$119,0)),$AH$140))</f>
        <v/>
      </c>
      <c r="AM140" s="483" t="str">
        <f t="shared" si="19"/>
        <v/>
      </c>
      <c r="AN140" s="484" t="str">
        <f t="shared" si="20"/>
        <v/>
      </c>
      <c r="AO140" s="473" t="str">
        <f t="shared" si="21"/>
        <v/>
      </c>
      <c r="AP140" s="473" t="str">
        <f t="shared" si="22"/>
        <v/>
      </c>
      <c r="AQ140" s="473" t="str">
        <f t="shared" si="23"/>
        <v/>
      </c>
      <c r="AR140" s="473" t="str">
        <f t="shared" si="24"/>
        <v/>
      </c>
      <c r="AS140" s="473" t="str">
        <f t="shared" si="25"/>
        <v/>
      </c>
      <c r="AT140" s="473" t="str">
        <f t="shared" si="26"/>
        <v/>
      </c>
      <c r="AU140" s="473" t="str">
        <f t="shared" si="27"/>
        <v/>
      </c>
      <c r="AY140" s="497" t="s">
        <v>8147</v>
      </c>
      <c r="AZ140" s="31" t="s">
        <v>29</v>
      </c>
      <c r="BA140" s="34" t="s">
        <v>6127</v>
      </c>
      <c r="BB140" s="500"/>
      <c r="BC140" s="271"/>
      <c r="BD140" s="279">
        <v>1</v>
      </c>
      <c r="BE140" s="271"/>
      <c r="BF140" s="271"/>
      <c r="BG140" s="271"/>
      <c r="BH140" s="271"/>
      <c r="BI140" s="271"/>
      <c r="BJ140" s="271"/>
      <c r="BK140" s="271"/>
      <c r="BL140" s="271"/>
    </row>
    <row r="141" spans="18:64" ht="21" customHeight="1" x14ac:dyDescent="0.25">
      <c r="R141" s="34" t="s">
        <v>474</v>
      </c>
      <c r="S141" s="451"/>
      <c r="T141" s="31" t="s">
        <v>25</v>
      </c>
      <c r="V141" s="475">
        <v>2</v>
      </c>
      <c r="W141" s="475" t="str">
        <f>IF($AC$141="","",$W$108)</f>
        <v/>
      </c>
      <c r="X141" s="476" t="str">
        <f>IF($AC$141="","",$X$108)</f>
        <v/>
      </c>
      <c r="Y141" s="477" t="str">
        <f>IF($X$141="","",$Y$108)</f>
        <v/>
      </c>
      <c r="Z141" s="477" t="str">
        <f>IF($X$141="","",$Z$108)</f>
        <v/>
      </c>
      <c r="AA141" s="477" t="str">
        <f>IF($AC$141="","",ROW($A$141)-ROW($A$108))</f>
        <v/>
      </c>
      <c r="AB141" s="478"/>
      <c r="AC141" s="34"/>
      <c r="AD141" s="356"/>
      <c r="AE141" s="18"/>
      <c r="AF141" s="19"/>
      <c r="AG141" s="480" t="str">
        <f t="shared" si="16"/>
        <v/>
      </c>
      <c r="AH141" s="481" t="str">
        <f t="shared" si="17"/>
        <v/>
      </c>
      <c r="AI141" s="477" t="str">
        <f>IF($AC$141="","",IFERROR(INDEX($AZ$74:$AZ$119,MATCH($AH$141,$AY$74:$AY$119,0)),"AUTRE"))</f>
        <v/>
      </c>
      <c r="AJ141" s="482" t="str">
        <f>IF($AC$141="","",IFERROR(INDEX($BA$74:$BA$119,MATCH($AH$141,$AY$74:$AY$119,0)),1))</f>
        <v/>
      </c>
      <c r="AK141" s="482" t="str">
        <f t="shared" si="18"/>
        <v/>
      </c>
      <c r="AL141" s="477" t="str">
        <f>IF($AC$141="","",IFERROR(INDEX($BB$74:$BB$119,MATCH($AH$141,$AY$74:$AY$119,0)),$AH$141))</f>
        <v/>
      </c>
      <c r="AM141" s="483" t="str">
        <f t="shared" si="19"/>
        <v/>
      </c>
      <c r="AN141" s="484" t="str">
        <f t="shared" si="20"/>
        <v/>
      </c>
      <c r="AO141" s="473" t="str">
        <f t="shared" si="21"/>
        <v/>
      </c>
      <c r="AP141" s="473" t="str">
        <f t="shared" si="22"/>
        <v/>
      </c>
      <c r="AQ141" s="473" t="str">
        <f t="shared" si="23"/>
        <v/>
      </c>
      <c r="AR141" s="473" t="str">
        <f t="shared" si="24"/>
        <v/>
      </c>
      <c r="AS141" s="473" t="str">
        <f t="shared" si="25"/>
        <v/>
      </c>
      <c r="AT141" s="473" t="str">
        <f t="shared" si="26"/>
        <v/>
      </c>
      <c r="AU141" s="473" t="str">
        <f t="shared" si="27"/>
        <v/>
      </c>
      <c r="AY141" s="497" t="s">
        <v>465</v>
      </c>
      <c r="AZ141" s="31" t="s">
        <v>30</v>
      </c>
      <c r="BA141" s="25" t="s">
        <v>6128</v>
      </c>
      <c r="BB141" s="500"/>
      <c r="BC141" s="271"/>
      <c r="BD141" s="279">
        <v>1</v>
      </c>
      <c r="BE141" s="271"/>
      <c r="BF141" s="271"/>
      <c r="BG141" s="271"/>
      <c r="BH141" s="271"/>
      <c r="BI141" s="271"/>
      <c r="BJ141" s="271"/>
      <c r="BK141" s="271"/>
      <c r="BL141" s="271"/>
    </row>
    <row r="142" spans="18:64" ht="21" customHeight="1" x14ac:dyDescent="0.25">
      <c r="R142" s="34" t="s">
        <v>490</v>
      </c>
      <c r="S142" s="451"/>
      <c r="T142" s="31" t="s">
        <v>26</v>
      </c>
      <c r="V142" s="475">
        <v>2</v>
      </c>
      <c r="W142" s="475" t="str">
        <f>IF($AC$142="","",$W$108)</f>
        <v>N° 46</v>
      </c>
      <c r="X142" s="476" t="str">
        <f>IF($AC$142="","",$X$108)</f>
        <v>ŒUFS COCOTTE A LA CRÈME*</v>
      </c>
      <c r="Y142" s="477">
        <f>IF($X$142="","",$Y$108)</f>
        <v>63</v>
      </c>
      <c r="Z142" s="477">
        <f>IF($X$142="","",$Z$108)</f>
        <v>100</v>
      </c>
      <c r="AA142" s="477">
        <f>IF($AC$142="","",ROW($A$142)-ROW($A$108))</f>
        <v>34</v>
      </c>
      <c r="AB142" s="478"/>
      <c r="AC142" s="34" t="s">
        <v>486</v>
      </c>
      <c r="AD142" s="356"/>
      <c r="AE142" s="18">
        <v>4</v>
      </c>
      <c r="AF142" s="33" t="s">
        <v>462</v>
      </c>
      <c r="AG142" s="491">
        <f t="shared" si="16"/>
        <v>4</v>
      </c>
      <c r="AH142" s="481" t="str">
        <f t="shared" si="17"/>
        <v>BAC(S)</v>
      </c>
      <c r="AI142" s="477" t="str">
        <f>IF($AC$142="","",IFERROR(INDEX($AZ$74:$AZ$119,MATCH($AH$142,$AY$74:$AY$119,0)),"AUTRE"))</f>
        <v>AUTRE</v>
      </c>
      <c r="AJ142" s="482">
        <f>IF($AC$142="","",IFERROR(INDEX($BA$74:$BA$119,MATCH($AH$142,$AY$74:$AY$119,0)),1))</f>
        <v>1</v>
      </c>
      <c r="AK142" s="482">
        <f t="shared" si="18"/>
        <v>4</v>
      </c>
      <c r="AL142" s="477" t="str">
        <f>IF($AC$142="","",IFERROR(INDEX($BB$74:$BB$119,MATCH($AH$142,$AY$74:$AY$119,0)),$AH$142))</f>
        <v>bac(s)</v>
      </c>
      <c r="AM142" s="483" t="str">
        <f t="shared" si="19"/>
        <v>OK</v>
      </c>
      <c r="AN142" s="484">
        <f t="shared" si="20"/>
        <v>4</v>
      </c>
      <c r="AO142" s="473" t="str">
        <f t="shared" si="21"/>
        <v/>
      </c>
      <c r="AP142" s="473" t="str">
        <f t="shared" si="22"/>
        <v/>
      </c>
      <c r="AQ142" s="473" t="str">
        <f t="shared" si="23"/>
        <v/>
      </c>
      <c r="AR142" s="473" t="str">
        <f t="shared" si="24"/>
        <v/>
      </c>
      <c r="AS142" s="473" t="str">
        <f t="shared" si="25"/>
        <v/>
      </c>
      <c r="AT142" s="473" t="str">
        <f t="shared" si="26"/>
        <v/>
      </c>
      <c r="AU142" s="473" t="str">
        <f t="shared" si="27"/>
        <v/>
      </c>
      <c r="AY142" s="497" t="s">
        <v>466</v>
      </c>
      <c r="AZ142" s="32" t="s">
        <v>33</v>
      </c>
      <c r="BA142" s="34" t="s">
        <v>474</v>
      </c>
      <c r="BB142" s="500"/>
      <c r="BC142" s="271"/>
      <c r="BD142" s="279">
        <v>1</v>
      </c>
      <c r="BE142" s="271"/>
      <c r="BF142" s="271"/>
      <c r="BG142" s="271"/>
      <c r="BH142" s="271"/>
      <c r="BI142" s="271"/>
      <c r="BJ142" s="271"/>
      <c r="BK142" s="271"/>
      <c r="BL142" s="271"/>
    </row>
    <row r="143" spans="18:64" ht="30" customHeight="1" x14ac:dyDescent="0.25">
      <c r="R143" s="34" t="s">
        <v>6129</v>
      </c>
      <c r="S143" s="451"/>
      <c r="T143" s="31" t="s">
        <v>27</v>
      </c>
      <c r="V143" s="453" t="s">
        <v>324</v>
      </c>
      <c r="W143" s="453" t="s">
        <v>7912</v>
      </c>
      <c r="X143" s="453" t="s">
        <v>326</v>
      </c>
      <c r="Y143" s="453" t="s">
        <v>327</v>
      </c>
      <c r="Z143" s="453" t="s">
        <v>7930</v>
      </c>
      <c r="AA143" s="453" t="s">
        <v>7937</v>
      </c>
      <c r="AB143" s="455" t="s">
        <v>39</v>
      </c>
      <c r="AC143" s="455" t="s">
        <v>338</v>
      </c>
      <c r="AD143" s="455" t="s">
        <v>8114</v>
      </c>
      <c r="AE143" s="455" t="s">
        <v>339</v>
      </c>
      <c r="AF143" s="455" t="s">
        <v>7997</v>
      </c>
      <c r="AG143" s="453" t="s">
        <v>8018</v>
      </c>
      <c r="AH143" s="453" t="s">
        <v>8023</v>
      </c>
      <c r="AI143" s="453" t="s">
        <v>330</v>
      </c>
      <c r="AJ143" s="453" t="s">
        <v>8031</v>
      </c>
      <c r="AK143" s="453" t="s">
        <v>8037</v>
      </c>
      <c r="AL143" s="453" t="s">
        <v>8041</v>
      </c>
      <c r="AM143" s="453" t="s">
        <v>343</v>
      </c>
      <c r="AN143" s="457" t="s">
        <v>8115</v>
      </c>
      <c r="AO143" s="457" t="s">
        <v>8116</v>
      </c>
      <c r="AP143" s="656" t="s">
        <v>8117</v>
      </c>
      <c r="AQ143" s="656"/>
      <c r="AR143" s="656"/>
      <c r="AS143" s="656"/>
      <c r="AT143" s="656"/>
      <c r="AU143" s="657"/>
      <c r="AZ143" s="32" t="s">
        <v>8125</v>
      </c>
      <c r="BA143" s="34" t="s">
        <v>490</v>
      </c>
      <c r="BB143" s="500"/>
      <c r="BC143" s="271"/>
      <c r="BD143" s="279">
        <v>1</v>
      </c>
      <c r="BE143" s="271"/>
      <c r="BF143" s="271"/>
      <c r="BG143" s="271"/>
      <c r="BH143" s="271"/>
      <c r="BI143" s="271"/>
      <c r="BJ143" s="271"/>
      <c r="BK143" s="271"/>
      <c r="BL143" s="271"/>
    </row>
    <row r="144" spans="18:64" ht="30" customHeight="1" x14ac:dyDescent="0.25">
      <c r="R144" s="34" t="s">
        <v>478</v>
      </c>
      <c r="S144" s="451"/>
      <c r="T144" s="31" t="s">
        <v>28</v>
      </c>
      <c r="V144" s="459">
        <v>3</v>
      </c>
      <c r="W144" s="460" t="s">
        <v>284</v>
      </c>
      <c r="X144" s="461" t="s">
        <v>388</v>
      </c>
      <c r="Y144" s="462">
        <v>64</v>
      </c>
      <c r="Z144" s="463">
        <v>100</v>
      </c>
      <c r="AA144" s="464">
        <f>IF($AC$396="","",ROW($A$396)-ROW($A$396))</f>
        <v>0</v>
      </c>
      <c r="AB144" s="461"/>
      <c r="AC144" s="465" t="s">
        <v>387</v>
      </c>
      <c r="AD144" s="390"/>
      <c r="AE144" s="13">
        <v>200</v>
      </c>
      <c r="AF144" s="26" t="s">
        <v>305</v>
      </c>
      <c r="AG144" s="467">
        <f t="shared" ref="AG144:AG178" si="28">IF($AC144="","",IF(LEN($AN144&amp;"")=0,"",$AN144))</f>
        <v>200</v>
      </c>
      <c r="AH144" s="468" t="str">
        <f t="shared" ref="AH144:AH178" si="29">IF($AC144="","",IF($AF144&lt;&gt;"",UPPER(TRIM(SUBSTITUTE(SUBSTITUTE($AF144&amp;"",CHAR(160)," ")," "," "))),$AP144))</f>
        <v>ŒUF(S)</v>
      </c>
      <c r="AI144" s="469" t="str">
        <f>IF($AC$144="","",IFERROR(INDEX($AZ$74:$AZ$119,MATCH($AH$144,$AY$74:$AY$119,0)),"AUTRE"))</f>
        <v>AUTRE</v>
      </c>
      <c r="AJ144" s="470">
        <f>IF($AC$144="","",IFERROR(INDEX($BA$74:$BA$119,MATCH($AH$144,$AY$74:$AY$119,0)),1))</f>
        <v>1</v>
      </c>
      <c r="AK144" s="470">
        <f t="shared" ref="AK144:AK178" si="30">IF(OR(AG144="",AJ144=""),"",AG144*AJ144)</f>
        <v>200</v>
      </c>
      <c r="AL144" s="469" t="str">
        <f>IF($AC$144="","",IFERROR(INDEX($BB$74:$BB$119,MATCH($AH$144,$AY$74:$AY$119,0)),$AH$144))</f>
        <v>œuf(s)</v>
      </c>
      <c r="AM144" s="471" t="str">
        <f t="shared" ref="AM144:AM178" si="31">IF($AC144="","",IF($AH144="QT. SUFFISANTE","OK",IF($AG144="","TEXTE",IF(NOT(ISNUMBER($AG144)),"QUANTITÉ À CONTRÔLER",IF(COUNTIF($AY$74:$AY$119,$AH144)=0,"UNITÉ À CONTRÔLER","OK")))))</f>
        <v>OK</v>
      </c>
      <c r="AN144" s="474">
        <f t="shared" ref="AN144:AN178" si="32">IF($AE144&lt;&gt;"",$AE144,IF($AD144="","",IF(ISNUMBER($AD144),$AD144,IF($AO144="QT",0,IF($AO144="","",IFERROR(IF(ISNUMBER(SEARCH("/",$AO144)),VALUE(TRIM(LEFT($AO144,SEARCH("/",$AO144)-1)))/VALUE(TRIM(MID($AO144,SEARCH("/",$AO144)+1,99))),VALUE(SUBSTITUTE($AO144,".",","))),""))))))</f>
        <v>200</v>
      </c>
      <c r="AO144" s="473" t="str">
        <f t="shared" ref="AO144:AO178" si="33">IF($AD144="","",IF(ISNUMBER($AD144),$AD144,IF(OR(LEFT($AQ144,3)="QT.",LEFT($AQ144,4)="QUAN"),"QT",IF($AR144=999,$AQ144,TRIM(LEFT($AQ144,$AR144-1))))))</f>
        <v/>
      </c>
      <c r="AP144" s="473" t="str">
        <f t="shared" ref="AP144:AP178" si="34">IF($AD144="","",IF(ISNUMBER($AD144),"",IF(OR(LEFT($AQ144,3)="QT.",LEFT($AQ144,4)="QUAN"),"QT. SUFFISANTE",IF($AO144="","",TRIM(MID($AQ144,LEN($AO144&amp;"")+1,999))))))</f>
        <v/>
      </c>
      <c r="AQ144" s="473" t="str">
        <f t="shared" ref="AQ144:AQ178" si="35">IF($AD144="","",UPPER(TRIM(SUBSTITUTE(SUBSTITUTE($AD144&amp;"",CHAR(160)," ")," "," "))))</f>
        <v/>
      </c>
      <c r="AR144" s="473" t="str">
        <f t="shared" ref="AR144:AR178" si="36">IF($AQ144="","",MIN($AS144,$AT144,$AU144))</f>
        <v/>
      </c>
      <c r="AS144" s="473" t="str">
        <f t="shared" ref="AS144:AS178" si="37">IF($AQ144="","",MIN(IFERROR(SEARCH("A",$AQ144),999),IFERROR(SEARCH("B",$AQ144),999),IFERROR(SEARCH("C",$AQ144),999),IFERROR(SEARCH("D",$AQ144),999),IFERROR(SEARCH("E",$AQ144),999),IFERROR(SEARCH("F",$AQ144),999),IFERROR(SEARCH("G",$AQ144),999),IFERROR(SEARCH("H",$AQ144),999),IFERROR(SEARCH("I",$AQ144),999)))</f>
        <v/>
      </c>
      <c r="AT144" s="473" t="str">
        <f t="shared" ref="AT144:AT178" si="38">IF($AQ144="","",MIN(IFERROR(SEARCH("J",$AQ144),999),IFERROR(SEARCH("K",$AQ144),999),IFERROR(SEARCH("L",$AQ144),999),IFERROR(SEARCH("M",$AQ144),999),IFERROR(SEARCH("N",$AQ144),999),IFERROR(SEARCH("O",$AQ144),999),IFERROR(SEARCH("P",$AQ144),999),IFERROR(SEARCH("Q",$AQ144),999),IFERROR(SEARCH("R",$AQ144),999)))</f>
        <v/>
      </c>
      <c r="AU144" s="473" t="str">
        <f t="shared" ref="AU144:AU178" si="39">IF($AQ144="","",MIN(IFERROR(SEARCH("S",$AQ144),999),IFERROR(SEARCH("T",$AQ144),999),IFERROR(SEARCH("U",$AQ144),999),IFERROR(SEARCH("V",$AQ144),999),IFERROR(SEARCH("W",$AQ144),999),IFERROR(SEARCH("X",$AQ144),999),IFERROR(SEARCH("Y",$AQ144),999),IFERROR(SEARCH("Z",$AQ144),999)))</f>
        <v/>
      </c>
      <c r="AZ144" s="32" t="s">
        <v>8127</v>
      </c>
      <c r="BA144" s="34" t="s">
        <v>6129</v>
      </c>
      <c r="BB144" s="500"/>
      <c r="BC144" s="271"/>
      <c r="BD144" s="279">
        <v>1</v>
      </c>
      <c r="BE144" s="271"/>
      <c r="BF144" s="271"/>
      <c r="BG144" s="271"/>
      <c r="BH144" s="271"/>
      <c r="BI144" s="271"/>
      <c r="BJ144" s="271"/>
      <c r="BK144" s="271"/>
      <c r="BL144" s="271"/>
    </row>
    <row r="145" spans="18:64" ht="21" customHeight="1" x14ac:dyDescent="0.25">
      <c r="R145" s="34" t="s">
        <v>6130</v>
      </c>
      <c r="S145" s="451"/>
      <c r="T145" s="31" t="s">
        <v>29</v>
      </c>
      <c r="V145" s="475">
        <f>$V$144</f>
        <v>3</v>
      </c>
      <c r="W145" s="475" t="str">
        <f>IF($AC$145="","",$W$144)</f>
        <v>N° 47</v>
      </c>
      <c r="X145" s="476" t="str">
        <f>IF($AC$145="","",$X$144)</f>
        <v>ŒUFS EN PIPERADE (TCHATCHOUKA)*</v>
      </c>
      <c r="Y145" s="477">
        <f>IF($X$145="","",$Y$144)</f>
        <v>64</v>
      </c>
      <c r="Z145" s="477">
        <f>IF($X$145="","",$Z$144)</f>
        <v>100</v>
      </c>
      <c r="AA145" s="477">
        <f>IF($AC$145="","",ROW($A$145)-ROW($A$144))</f>
        <v>1</v>
      </c>
      <c r="AB145" s="478"/>
      <c r="AC145" s="34" t="s">
        <v>389</v>
      </c>
      <c r="AD145" s="356"/>
      <c r="AE145" s="18">
        <v>10</v>
      </c>
      <c r="AF145" s="6" t="s">
        <v>9</v>
      </c>
      <c r="AG145" s="480">
        <f t="shared" si="28"/>
        <v>10</v>
      </c>
      <c r="AH145" s="481" t="str">
        <f t="shared" si="29"/>
        <v>L</v>
      </c>
      <c r="AI145" s="477" t="str">
        <f>IF($AC$145="","",IFERROR(INDEX($AZ$74:$AZ$119,MATCH($AH$145,$AY$74:$AY$119,0)),"AUTRE"))</f>
        <v>VOLUME</v>
      </c>
      <c r="AJ145" s="482">
        <f>IF($AC$145="","",IFERROR(INDEX($BA$74:$BA$119,MATCH($AH$145,$AY$74:$AY$119,0)),1))</f>
        <v>1</v>
      </c>
      <c r="AK145" s="482">
        <f t="shared" si="30"/>
        <v>10</v>
      </c>
      <c r="AL145" s="477" t="str">
        <f>IF($AC$145="","",IFERROR(INDEX($BB$74:$BB$119,MATCH($AH$145,$AY$74:$AY$119,0)),$AH$145))</f>
        <v>L</v>
      </c>
      <c r="AM145" s="483" t="str">
        <f t="shared" si="31"/>
        <v>OK</v>
      </c>
      <c r="AN145" s="484">
        <f t="shared" si="32"/>
        <v>10</v>
      </c>
      <c r="AO145" s="473" t="str">
        <f t="shared" si="33"/>
        <v/>
      </c>
      <c r="AP145" s="473" t="str">
        <f t="shared" si="34"/>
        <v/>
      </c>
      <c r="AQ145" s="473" t="str">
        <f t="shared" si="35"/>
        <v/>
      </c>
      <c r="AR145" s="473" t="str">
        <f t="shared" si="36"/>
        <v/>
      </c>
      <c r="AS145" s="473" t="str">
        <f t="shared" si="37"/>
        <v/>
      </c>
      <c r="AT145" s="473" t="str">
        <f t="shared" si="38"/>
        <v/>
      </c>
      <c r="AU145" s="473" t="str">
        <f t="shared" si="39"/>
        <v/>
      </c>
      <c r="AZ145" s="32" t="s">
        <v>320</v>
      </c>
      <c r="BA145" s="34" t="s">
        <v>478</v>
      </c>
      <c r="BB145" s="500"/>
      <c r="BC145" s="271"/>
      <c r="BD145" s="279">
        <v>1</v>
      </c>
      <c r="BE145" s="271"/>
      <c r="BF145" s="271"/>
      <c r="BG145" s="271"/>
      <c r="BH145" s="271"/>
      <c r="BI145" s="271"/>
      <c r="BJ145" s="271"/>
      <c r="BK145" s="271"/>
      <c r="BL145" s="271"/>
    </row>
    <row r="146" spans="18:64" ht="21" customHeight="1" x14ac:dyDescent="0.25">
      <c r="R146" s="34" t="s">
        <v>486</v>
      </c>
      <c r="S146" s="451"/>
      <c r="T146" s="31" t="s">
        <v>30</v>
      </c>
      <c r="V146" s="475">
        <v>3</v>
      </c>
      <c r="W146" s="475" t="str">
        <f>IF($AC$146="","",$W$144)</f>
        <v>N° 47</v>
      </c>
      <c r="X146" s="476" t="str">
        <f>IF($AC$146="","",$X$144)</f>
        <v>ŒUFS EN PIPERADE (TCHATCHOUKA)*</v>
      </c>
      <c r="Y146" s="477">
        <f>IF($X$146="","",$Y$144)</f>
        <v>64</v>
      </c>
      <c r="Z146" s="477">
        <f>IF($X$146="","",$Z$144)</f>
        <v>100</v>
      </c>
      <c r="AA146" s="477">
        <f>IF($AC$146="","",ROW($A$146)-ROW($A$144))</f>
        <v>2</v>
      </c>
      <c r="AB146" s="478"/>
      <c r="AC146" s="34" t="s">
        <v>286</v>
      </c>
      <c r="AD146" s="356"/>
      <c r="AE146" s="18">
        <v>20</v>
      </c>
      <c r="AF146" s="3" t="s">
        <v>7</v>
      </c>
      <c r="AG146" s="480">
        <f t="shared" si="28"/>
        <v>20</v>
      </c>
      <c r="AH146" s="481" t="str">
        <f t="shared" si="29"/>
        <v>KG</v>
      </c>
      <c r="AI146" s="477" t="str">
        <f>IF($AC$146="","",IFERROR(INDEX($AZ$74:$AZ$119,MATCH($AH$146,$AY$74:$AY$119,0)),"AUTRE"))</f>
        <v>MASSE</v>
      </c>
      <c r="AJ146" s="482">
        <f>IF($AC$146="","",IFERROR(INDEX($BA$74:$BA$119,MATCH($AH$146,$AY$74:$AY$119,0)),1))</f>
        <v>1</v>
      </c>
      <c r="AK146" s="482">
        <f t="shared" si="30"/>
        <v>20</v>
      </c>
      <c r="AL146" s="477" t="str">
        <f>IF($AC$146="","",IFERROR(INDEX($BB$74:$BB$119,MATCH($AH$146,$AY$74:$AY$119,0)),$AH$146))</f>
        <v>kg</v>
      </c>
      <c r="AM146" s="483" t="str">
        <f t="shared" si="31"/>
        <v>OK</v>
      </c>
      <c r="AN146" s="484">
        <f t="shared" si="32"/>
        <v>20</v>
      </c>
      <c r="AO146" s="473" t="str">
        <f t="shared" si="33"/>
        <v/>
      </c>
      <c r="AP146" s="473" t="str">
        <f t="shared" si="34"/>
        <v/>
      </c>
      <c r="AQ146" s="473" t="str">
        <f t="shared" si="35"/>
        <v/>
      </c>
      <c r="AR146" s="473" t="str">
        <f t="shared" si="36"/>
        <v/>
      </c>
      <c r="AS146" s="473" t="str">
        <f t="shared" si="37"/>
        <v/>
      </c>
      <c r="AT146" s="473" t="str">
        <f t="shared" si="38"/>
        <v/>
      </c>
      <c r="AU146" s="473" t="str">
        <f t="shared" si="39"/>
        <v/>
      </c>
      <c r="AZ146" s="32" t="s">
        <v>318</v>
      </c>
      <c r="BA146" s="34" t="s">
        <v>6130</v>
      </c>
      <c r="BB146" s="500"/>
      <c r="BC146" s="271"/>
      <c r="BD146" s="279">
        <v>1</v>
      </c>
      <c r="BE146" s="271"/>
      <c r="BF146" s="271"/>
      <c r="BG146" s="271"/>
      <c r="BH146" s="271"/>
      <c r="BI146" s="271"/>
      <c r="BJ146" s="271"/>
      <c r="BK146" s="271"/>
      <c r="BL146" s="271"/>
    </row>
    <row r="147" spans="18:64" ht="21" customHeight="1" x14ac:dyDescent="0.25">
      <c r="R147" s="34" t="s">
        <v>479</v>
      </c>
      <c r="S147" s="451"/>
      <c r="T147" s="31" t="s">
        <v>31</v>
      </c>
      <c r="V147" s="475">
        <v>3</v>
      </c>
      <c r="W147" s="475" t="str">
        <f>IF($AC$147="","",$W$144)</f>
        <v>N° 47</v>
      </c>
      <c r="X147" s="476" t="str">
        <f>IF($AC$147="","",$X$144)</f>
        <v>ŒUFS EN PIPERADE (TCHATCHOUKA)*</v>
      </c>
      <c r="Y147" s="477">
        <f>IF($X$147="","",$Y$144)</f>
        <v>64</v>
      </c>
      <c r="Z147" s="477">
        <f>IF($X$147="","",$Z$144)</f>
        <v>100</v>
      </c>
      <c r="AA147" s="477">
        <f>IF($AC$147="","",ROW($A$147)-ROW($A$144))</f>
        <v>3</v>
      </c>
      <c r="AB147" s="478"/>
      <c r="AC147" s="34" t="s">
        <v>74</v>
      </c>
      <c r="AD147" s="356"/>
      <c r="AE147" s="18">
        <v>1</v>
      </c>
      <c r="AF147" s="6" t="s">
        <v>9</v>
      </c>
      <c r="AG147" s="480">
        <f t="shared" si="28"/>
        <v>1</v>
      </c>
      <c r="AH147" s="481" t="str">
        <f t="shared" si="29"/>
        <v>L</v>
      </c>
      <c r="AI147" s="477" t="str">
        <f>IF($AC$147="","",IFERROR(INDEX($AZ$74:$AZ$119,MATCH($AH$147,$AY$74:$AY$119,0)),"AUTRE"))</f>
        <v>VOLUME</v>
      </c>
      <c r="AJ147" s="482">
        <f>IF($AC$147="","",IFERROR(INDEX($BA$74:$BA$119,MATCH($AH$147,$AY$74:$AY$119,0)),1))</f>
        <v>1</v>
      </c>
      <c r="AK147" s="482">
        <f t="shared" si="30"/>
        <v>1</v>
      </c>
      <c r="AL147" s="477" t="str">
        <f>IF($AC$147="","",IFERROR(INDEX($BB$74:$BB$119,MATCH($AH$147,$AY$74:$AY$119,0)),$AH$147))</f>
        <v>L</v>
      </c>
      <c r="AM147" s="483" t="str">
        <f t="shared" si="31"/>
        <v>OK</v>
      </c>
      <c r="AN147" s="484">
        <f t="shared" si="32"/>
        <v>1</v>
      </c>
      <c r="AO147" s="473" t="str">
        <f t="shared" si="33"/>
        <v/>
      </c>
      <c r="AP147" s="473" t="str">
        <f t="shared" si="34"/>
        <v/>
      </c>
      <c r="AQ147" s="473" t="str">
        <f t="shared" si="35"/>
        <v/>
      </c>
      <c r="AR147" s="473" t="str">
        <f t="shared" si="36"/>
        <v/>
      </c>
      <c r="AS147" s="473" t="str">
        <f t="shared" si="37"/>
        <v/>
      </c>
      <c r="AT147" s="473" t="str">
        <f t="shared" si="38"/>
        <v/>
      </c>
      <c r="AU147" s="473" t="str">
        <f t="shared" si="39"/>
        <v/>
      </c>
      <c r="AZ147" s="32" t="s">
        <v>316</v>
      </c>
      <c r="BA147" s="34" t="s">
        <v>486</v>
      </c>
      <c r="BB147" s="500"/>
      <c r="BC147" s="271"/>
      <c r="BD147" s="279">
        <v>1</v>
      </c>
      <c r="BE147" s="271"/>
      <c r="BF147" s="271"/>
      <c r="BG147" s="271"/>
      <c r="BH147" s="271"/>
      <c r="BI147" s="271"/>
      <c r="BJ147" s="271"/>
      <c r="BK147" s="271"/>
      <c r="BL147" s="271"/>
    </row>
    <row r="148" spans="18:64" ht="21" customHeight="1" x14ac:dyDescent="0.25">
      <c r="R148" s="34" t="s">
        <v>6131</v>
      </c>
      <c r="S148" s="451"/>
      <c r="T148" s="32" t="s">
        <v>33</v>
      </c>
      <c r="V148" s="475">
        <v>3</v>
      </c>
      <c r="W148" s="475" t="str">
        <f>IF($AC$148="","",$W$144)</f>
        <v>N° 47</v>
      </c>
      <c r="X148" s="476" t="str">
        <f>IF($AC$148="","",$X$144)</f>
        <v>ŒUFS EN PIPERADE (TCHATCHOUKA)*</v>
      </c>
      <c r="Y148" s="477">
        <f>IF($X$148="","",$Y$144)</f>
        <v>64</v>
      </c>
      <c r="Z148" s="477">
        <f>IF($X$148="","",$Z$144)</f>
        <v>100</v>
      </c>
      <c r="AA148" s="477">
        <f>IF($AC$148="","",ROW($A$148)-ROW($A$144))</f>
        <v>4</v>
      </c>
      <c r="AB148" s="478"/>
      <c r="AC148" s="34" t="s">
        <v>67</v>
      </c>
      <c r="AD148" s="356"/>
      <c r="AE148" s="26" t="s">
        <v>33</v>
      </c>
      <c r="AF148" s="19"/>
      <c r="AG148" s="480" t="str">
        <f t="shared" si="28"/>
        <v>QT. SUFFISANTE</v>
      </c>
      <c r="AH148" s="481" t="str">
        <f t="shared" si="29"/>
        <v/>
      </c>
      <c r="AI148" s="477" t="str">
        <f>IF($AC$148="","",IFERROR(INDEX($AZ$74:$AZ$119,MATCH($AH$148,$AY$74:$AY$119,0)),"AUTRE"))</f>
        <v>AUTRE</v>
      </c>
      <c r="AJ148" s="482">
        <f>IF($AC$148="","",IFERROR(INDEX($BA$74:$BA$119,MATCH($AH$148,$AY$74:$AY$119,0)),1))</f>
        <v>1</v>
      </c>
      <c r="AK148" s="482" t="e">
        <f t="shared" si="30"/>
        <v>#VALUE!</v>
      </c>
      <c r="AL148" s="477" t="str">
        <f>IF($AC$148="","",IFERROR(INDEX($BB$74:$BB$119,MATCH($AH$148,$AY$74:$AY$119,0)),$AH$148))</f>
        <v/>
      </c>
      <c r="AM148" s="483" t="str">
        <f t="shared" si="31"/>
        <v>QUANTITÉ À CONTRÔLER</v>
      </c>
      <c r="AN148" s="484" t="str">
        <f t="shared" si="32"/>
        <v>QT. SUFFISANTE</v>
      </c>
      <c r="AO148" s="473" t="str">
        <f t="shared" si="33"/>
        <v/>
      </c>
      <c r="AP148" s="473" t="str">
        <f t="shared" si="34"/>
        <v/>
      </c>
      <c r="AQ148" s="473" t="str">
        <f t="shared" si="35"/>
        <v/>
      </c>
      <c r="AR148" s="473" t="str">
        <f t="shared" si="36"/>
        <v/>
      </c>
      <c r="AS148" s="473" t="str">
        <f t="shared" si="37"/>
        <v/>
      </c>
      <c r="AT148" s="473" t="str">
        <f t="shared" si="38"/>
        <v/>
      </c>
      <c r="AU148" s="473" t="str">
        <f t="shared" si="39"/>
        <v/>
      </c>
      <c r="AZ148" s="32" t="s">
        <v>313</v>
      </c>
      <c r="BA148" s="34" t="s">
        <v>479</v>
      </c>
      <c r="BB148" s="500"/>
      <c r="BC148" s="271"/>
      <c r="BD148" s="279">
        <v>1</v>
      </c>
      <c r="BE148" s="271"/>
      <c r="BF148" s="271"/>
      <c r="BG148" s="271"/>
      <c r="BH148" s="271"/>
      <c r="BI148" s="271"/>
      <c r="BJ148" s="271"/>
      <c r="BK148" s="271"/>
      <c r="BL148" s="271"/>
    </row>
    <row r="149" spans="18:64" ht="21" customHeight="1" x14ac:dyDescent="0.25">
      <c r="R149" s="34" t="s">
        <v>485</v>
      </c>
      <c r="S149" s="451"/>
      <c r="T149" s="32" t="s">
        <v>8125</v>
      </c>
      <c r="V149" s="475">
        <v>3</v>
      </c>
      <c r="W149" s="475" t="str">
        <f>IF($AC$149="","",$W$144)</f>
        <v>N° 47</v>
      </c>
      <c r="X149" s="476" t="str">
        <f>IF($AC$149="","",$X$144)</f>
        <v>ŒUFS EN PIPERADE (TCHATCHOUKA)*</v>
      </c>
      <c r="Y149" s="477">
        <f>IF($X$149="","",$Y$144)</f>
        <v>64</v>
      </c>
      <c r="Z149" s="477">
        <f>IF($X$149="","",$Z$144)</f>
        <v>100</v>
      </c>
      <c r="AA149" s="477">
        <f>IF($AC$149="","",ROW($A$149)-ROW($A$144))</f>
        <v>5</v>
      </c>
      <c r="AB149" s="478"/>
      <c r="AC149" s="34" t="s">
        <v>68</v>
      </c>
      <c r="AD149" s="356"/>
      <c r="AE149" s="26" t="s">
        <v>33</v>
      </c>
      <c r="AF149" s="19"/>
      <c r="AG149" s="480" t="str">
        <f t="shared" si="28"/>
        <v>QT. SUFFISANTE</v>
      </c>
      <c r="AH149" s="481" t="str">
        <f t="shared" si="29"/>
        <v/>
      </c>
      <c r="AI149" s="477" t="str">
        <f>IF($AC$149="","",IFERROR(INDEX($AZ$74:$AZ$119,MATCH($AH$149,$AY$74:$AY$119,0)),"AUTRE"))</f>
        <v>AUTRE</v>
      </c>
      <c r="AJ149" s="482">
        <f>IF($AC$149="","",IFERROR(INDEX($BA$74:$BA$119,MATCH($AH$149,$AY$74:$AY$119,0)),1))</f>
        <v>1</v>
      </c>
      <c r="AK149" s="482" t="e">
        <f t="shared" si="30"/>
        <v>#VALUE!</v>
      </c>
      <c r="AL149" s="477" t="str">
        <f>IF($AC$149="","",IFERROR(INDEX($BB$74:$BB$119,MATCH($AH$149,$AY$74:$AY$119,0)),$AH$149))</f>
        <v/>
      </c>
      <c r="AM149" s="483" t="str">
        <f t="shared" si="31"/>
        <v>QUANTITÉ À CONTRÔLER</v>
      </c>
      <c r="AN149" s="484" t="str">
        <f t="shared" si="32"/>
        <v>QT. SUFFISANTE</v>
      </c>
      <c r="AO149" s="473" t="str">
        <f t="shared" si="33"/>
        <v/>
      </c>
      <c r="AP149" s="473" t="str">
        <f t="shared" si="34"/>
        <v/>
      </c>
      <c r="AQ149" s="473" t="str">
        <f t="shared" si="35"/>
        <v/>
      </c>
      <c r="AR149" s="473" t="str">
        <f t="shared" si="36"/>
        <v/>
      </c>
      <c r="AS149" s="473" t="str">
        <f t="shared" si="37"/>
        <v/>
      </c>
      <c r="AT149" s="473" t="str">
        <f t="shared" si="38"/>
        <v/>
      </c>
      <c r="AU149" s="473" t="str">
        <f t="shared" si="39"/>
        <v/>
      </c>
      <c r="AZ149" s="32" t="s">
        <v>307</v>
      </c>
      <c r="BA149" s="34" t="s">
        <v>6131</v>
      </c>
      <c r="BB149" s="500"/>
      <c r="BC149" s="271"/>
      <c r="BD149" s="279">
        <v>1</v>
      </c>
      <c r="BE149" s="271"/>
      <c r="BF149" s="271"/>
      <c r="BG149" s="271"/>
      <c r="BH149" s="271"/>
      <c r="BI149" s="271"/>
      <c r="BJ149" s="271"/>
      <c r="BK149" s="271"/>
      <c r="BL149" s="271"/>
    </row>
    <row r="150" spans="18:64" ht="21" customHeight="1" x14ac:dyDescent="0.25">
      <c r="R150" s="34" t="s">
        <v>6132</v>
      </c>
      <c r="S150" s="451"/>
      <c r="T150" s="32" t="s">
        <v>8127</v>
      </c>
      <c r="V150" s="475">
        <v>3</v>
      </c>
      <c r="W150" s="475" t="str">
        <f>IF($AC$150="","",$W$144)</f>
        <v>N° 47</v>
      </c>
      <c r="X150" s="476" t="str">
        <f>IF($AC$150="","",$X$144)</f>
        <v>ŒUFS EN PIPERADE (TCHATCHOUKA)*</v>
      </c>
      <c r="Y150" s="477">
        <f>IF($X$150="","",$Y$144)</f>
        <v>64</v>
      </c>
      <c r="Z150" s="477">
        <f>IF($X$150="","",$Z$144)</f>
        <v>100</v>
      </c>
      <c r="AA150" s="477">
        <f>IF($AC$150="","",ROW($A$150)-ROW($A$144))</f>
        <v>6</v>
      </c>
      <c r="AB150" s="478"/>
      <c r="AC150" s="34" t="s">
        <v>285</v>
      </c>
      <c r="AD150" s="356"/>
      <c r="AE150" s="26" t="s">
        <v>33</v>
      </c>
      <c r="AF150" s="19"/>
      <c r="AG150" s="480" t="str">
        <f t="shared" si="28"/>
        <v>QT. SUFFISANTE</v>
      </c>
      <c r="AH150" s="481" t="str">
        <f t="shared" si="29"/>
        <v/>
      </c>
      <c r="AI150" s="477" t="str">
        <f>IF($AC$150="","",IFERROR(INDEX($AZ$74:$AZ$119,MATCH($AH$150,$AY$74:$AY$119,0)),"AUTRE"))</f>
        <v>AUTRE</v>
      </c>
      <c r="AJ150" s="482">
        <f>IF($AC$150="","",IFERROR(INDEX($BA$74:$BA$119,MATCH($AH$150,$AY$74:$AY$119,0)),1))</f>
        <v>1</v>
      </c>
      <c r="AK150" s="482" t="e">
        <f t="shared" si="30"/>
        <v>#VALUE!</v>
      </c>
      <c r="AL150" s="477" t="str">
        <f>IF($AC$150="","",IFERROR(INDEX($BB$74:$BB$119,MATCH($AH$150,$AY$74:$AY$119,0)),$AH$150))</f>
        <v/>
      </c>
      <c r="AM150" s="483" t="str">
        <f t="shared" si="31"/>
        <v>QUANTITÉ À CONTRÔLER</v>
      </c>
      <c r="AN150" s="484" t="str">
        <f t="shared" si="32"/>
        <v>QT. SUFFISANTE</v>
      </c>
      <c r="AO150" s="473" t="str">
        <f t="shared" si="33"/>
        <v/>
      </c>
      <c r="AP150" s="473" t="str">
        <f t="shared" si="34"/>
        <v/>
      </c>
      <c r="AQ150" s="473" t="str">
        <f t="shared" si="35"/>
        <v/>
      </c>
      <c r="AR150" s="473" t="str">
        <f t="shared" si="36"/>
        <v/>
      </c>
      <c r="AS150" s="473" t="str">
        <f t="shared" si="37"/>
        <v/>
      </c>
      <c r="AT150" s="473" t="str">
        <f t="shared" si="38"/>
        <v/>
      </c>
      <c r="AU150" s="473" t="str">
        <f t="shared" si="39"/>
        <v/>
      </c>
      <c r="AZ150" s="32" t="s">
        <v>322</v>
      </c>
      <c r="BA150" s="34" t="s">
        <v>485</v>
      </c>
      <c r="BB150" s="500"/>
      <c r="BC150" s="271"/>
      <c r="BD150" s="279">
        <v>1</v>
      </c>
      <c r="BE150" s="271"/>
      <c r="BF150" s="271"/>
      <c r="BG150" s="271"/>
      <c r="BH150" s="271"/>
      <c r="BI150" s="271"/>
      <c r="BJ150" s="271"/>
      <c r="BK150" s="271"/>
      <c r="BL150" s="271"/>
    </row>
    <row r="151" spans="18:64" ht="21" customHeight="1" x14ac:dyDescent="0.25">
      <c r="R151" s="25" t="s">
        <v>6133</v>
      </c>
      <c r="S151" s="451"/>
      <c r="T151" s="32" t="s">
        <v>320</v>
      </c>
      <c r="V151" s="475">
        <v>3</v>
      </c>
      <c r="W151" s="475" t="str">
        <f>IF($AC$151="","",$W$144)</f>
        <v/>
      </c>
      <c r="X151" s="476" t="str">
        <f>IF($AC$151="","",$X$144)</f>
        <v/>
      </c>
      <c r="Y151" s="477" t="str">
        <f>IF($X$151="","",$Y$144)</f>
        <v/>
      </c>
      <c r="Z151" s="477" t="str">
        <f>IF($X$151="","",$Z$144)</f>
        <v/>
      </c>
      <c r="AA151" s="477" t="str">
        <f>IF($AC$151="","",ROW($A$151)-ROW($A$144))</f>
        <v/>
      </c>
      <c r="AB151" s="478"/>
      <c r="AC151" s="34"/>
      <c r="AD151" s="356"/>
      <c r="AE151" s="18"/>
      <c r="AF151" s="19"/>
      <c r="AG151" s="480" t="str">
        <f t="shared" si="28"/>
        <v/>
      </c>
      <c r="AH151" s="481" t="str">
        <f t="shared" si="29"/>
        <v/>
      </c>
      <c r="AI151" s="477" t="str">
        <f>IF($AC$151="","",IFERROR(INDEX($AZ$74:$AZ$119,MATCH($AH$151,$AY$74:$AY$119,0)),"AUTRE"))</f>
        <v/>
      </c>
      <c r="AJ151" s="482" t="str">
        <f>IF($AC$151="","",IFERROR(INDEX($BA$74:$BA$119,MATCH($AH$151,$AY$74:$AY$119,0)),1))</f>
        <v/>
      </c>
      <c r="AK151" s="482" t="str">
        <f t="shared" si="30"/>
        <v/>
      </c>
      <c r="AL151" s="477" t="str">
        <f>IF($AC$151="","",IFERROR(INDEX($BB$74:$BB$119,MATCH($AH$151,$AY$74:$AY$119,0)),$AH$151))</f>
        <v/>
      </c>
      <c r="AM151" s="483" t="str">
        <f t="shared" si="31"/>
        <v/>
      </c>
      <c r="AN151" s="484" t="str">
        <f t="shared" si="32"/>
        <v/>
      </c>
      <c r="AO151" s="473" t="str">
        <f t="shared" si="33"/>
        <v/>
      </c>
      <c r="AP151" s="473" t="str">
        <f t="shared" si="34"/>
        <v/>
      </c>
      <c r="AQ151" s="473" t="str">
        <f t="shared" si="35"/>
        <v/>
      </c>
      <c r="AR151" s="473" t="str">
        <f t="shared" si="36"/>
        <v/>
      </c>
      <c r="AS151" s="473" t="str">
        <f t="shared" si="37"/>
        <v/>
      </c>
      <c r="AT151" s="473" t="str">
        <f t="shared" si="38"/>
        <v/>
      </c>
      <c r="AU151" s="473" t="str">
        <f t="shared" si="39"/>
        <v/>
      </c>
      <c r="AZ151" s="32" t="s">
        <v>305</v>
      </c>
      <c r="BA151" s="34" t="s">
        <v>6132</v>
      </c>
      <c r="BB151" s="500"/>
      <c r="BC151" s="271"/>
      <c r="BD151" s="279">
        <v>1</v>
      </c>
      <c r="BE151" s="271"/>
      <c r="BF151" s="271"/>
      <c r="BG151" s="271"/>
      <c r="BH151" s="271"/>
      <c r="BI151" s="271"/>
      <c r="BJ151" s="271"/>
      <c r="BK151" s="271"/>
      <c r="BL151" s="271"/>
    </row>
    <row r="152" spans="18:64" ht="21" customHeight="1" x14ac:dyDescent="0.25">
      <c r="R152" s="34" t="s">
        <v>476</v>
      </c>
      <c r="S152" s="451"/>
      <c r="T152" s="32" t="s">
        <v>318</v>
      </c>
      <c r="V152" s="475">
        <v>3</v>
      </c>
      <c r="W152" s="475" t="str">
        <f>IF($AC$152="","",$W$144)</f>
        <v/>
      </c>
      <c r="X152" s="476" t="str">
        <f>IF($AC$152="","",$X$144)</f>
        <v/>
      </c>
      <c r="Y152" s="477" t="str">
        <f>IF($X$152="","",$Y$144)</f>
        <v/>
      </c>
      <c r="Z152" s="477" t="str">
        <f>IF($X$152="","",$Z$144)</f>
        <v/>
      </c>
      <c r="AA152" s="477" t="str">
        <f>IF($AC$152="","",ROW($A$152)-ROW($A$144))</f>
        <v/>
      </c>
      <c r="AB152" s="478"/>
      <c r="AC152" s="34"/>
      <c r="AD152" s="356"/>
      <c r="AE152" s="18"/>
      <c r="AF152" s="19"/>
      <c r="AG152" s="480" t="str">
        <f t="shared" si="28"/>
        <v/>
      </c>
      <c r="AH152" s="481" t="str">
        <f t="shared" si="29"/>
        <v/>
      </c>
      <c r="AI152" s="477" t="str">
        <f>IF($AC$152="","",IFERROR(INDEX($AZ$74:$AZ$119,MATCH($AH$152,$AY$74:$AY$119,0)),"AUTRE"))</f>
        <v/>
      </c>
      <c r="AJ152" s="482" t="str">
        <f>IF($AC$152="","",IFERROR(INDEX($BA$74:$BA$119,MATCH($AH$152,$AY$74:$AY$119,0)),1))</f>
        <v/>
      </c>
      <c r="AK152" s="482" t="str">
        <f t="shared" si="30"/>
        <v/>
      </c>
      <c r="AL152" s="477" t="str">
        <f>IF($AC$152="","",IFERROR(INDEX($BB$74:$BB$119,MATCH($AH$152,$AY$74:$AY$119,0)),$AH$152))</f>
        <v/>
      </c>
      <c r="AM152" s="483" t="str">
        <f t="shared" si="31"/>
        <v/>
      </c>
      <c r="AN152" s="484" t="str">
        <f t="shared" si="32"/>
        <v/>
      </c>
      <c r="AO152" s="473" t="str">
        <f t="shared" si="33"/>
        <v/>
      </c>
      <c r="AP152" s="473" t="str">
        <f t="shared" si="34"/>
        <v/>
      </c>
      <c r="AQ152" s="473" t="str">
        <f t="shared" si="35"/>
        <v/>
      </c>
      <c r="AR152" s="473" t="str">
        <f t="shared" si="36"/>
        <v/>
      </c>
      <c r="AS152" s="473" t="str">
        <f t="shared" si="37"/>
        <v/>
      </c>
      <c r="AT152" s="473" t="str">
        <f t="shared" si="38"/>
        <v/>
      </c>
      <c r="AU152" s="473" t="str">
        <f t="shared" si="39"/>
        <v/>
      </c>
      <c r="AZ152" s="32" t="s">
        <v>8129</v>
      </c>
      <c r="BA152" s="25" t="s">
        <v>6133</v>
      </c>
      <c r="BB152" s="500"/>
      <c r="BC152" s="271"/>
      <c r="BD152" s="279">
        <v>1</v>
      </c>
      <c r="BE152" s="271"/>
      <c r="BF152" s="271"/>
      <c r="BG152" s="271"/>
      <c r="BH152" s="271"/>
      <c r="BI152" s="271"/>
      <c r="BJ152" s="271"/>
      <c r="BK152" s="271"/>
      <c r="BL152" s="271"/>
    </row>
    <row r="153" spans="18:64" ht="21" customHeight="1" x14ac:dyDescent="0.25">
      <c r="R153" s="34" t="s">
        <v>468</v>
      </c>
      <c r="S153" s="451"/>
      <c r="T153" s="32" t="s">
        <v>316</v>
      </c>
      <c r="V153" s="475">
        <v>3</v>
      </c>
      <c r="W153" s="475" t="str">
        <f>IF($AC$153="","",$W$144)</f>
        <v/>
      </c>
      <c r="X153" s="476" t="str">
        <f>IF($AC$153="","",$X$144)</f>
        <v/>
      </c>
      <c r="Y153" s="477" t="str">
        <f>IF($X$153="","",$Y$144)</f>
        <v/>
      </c>
      <c r="Z153" s="477" t="str">
        <f>IF($X$153="","",$Z$144)</f>
        <v/>
      </c>
      <c r="AA153" s="477" t="str">
        <f>IF($AC$153="","",ROW($A$153)-ROW($A$144))</f>
        <v/>
      </c>
      <c r="AB153" s="478"/>
      <c r="AC153" s="34"/>
      <c r="AD153" s="356"/>
      <c r="AE153" s="18"/>
      <c r="AF153" s="19"/>
      <c r="AG153" s="480" t="str">
        <f t="shared" si="28"/>
        <v/>
      </c>
      <c r="AH153" s="481" t="str">
        <f t="shared" si="29"/>
        <v/>
      </c>
      <c r="AI153" s="477" t="str">
        <f>IF($AC$153="","",IFERROR(INDEX($AZ$74:$AZ$119,MATCH($AH$153,$AY$74:$AY$119,0)),"AUTRE"))</f>
        <v/>
      </c>
      <c r="AJ153" s="482" t="str">
        <f>IF($AC$153="","",IFERROR(INDEX($BA$74:$BA$119,MATCH($AH$153,$AY$74:$AY$119,0)),1))</f>
        <v/>
      </c>
      <c r="AK153" s="482" t="str">
        <f t="shared" si="30"/>
        <v/>
      </c>
      <c r="AL153" s="477" t="str">
        <f>IF($AC$153="","",IFERROR(INDEX($BB$74:$BB$119,MATCH($AH$153,$AY$74:$AY$119,0)),$AH$153))</f>
        <v/>
      </c>
      <c r="AM153" s="483" t="str">
        <f t="shared" si="31"/>
        <v/>
      </c>
      <c r="AN153" s="484" t="str">
        <f t="shared" si="32"/>
        <v/>
      </c>
      <c r="AO153" s="473" t="str">
        <f t="shared" si="33"/>
        <v/>
      </c>
      <c r="AP153" s="473" t="str">
        <f t="shared" si="34"/>
        <v/>
      </c>
      <c r="AQ153" s="473" t="str">
        <f t="shared" si="35"/>
        <v/>
      </c>
      <c r="AR153" s="473" t="str">
        <f t="shared" si="36"/>
        <v/>
      </c>
      <c r="AS153" s="473" t="str">
        <f t="shared" si="37"/>
        <v/>
      </c>
      <c r="AT153" s="473" t="str">
        <f t="shared" si="38"/>
        <v/>
      </c>
      <c r="AU153" s="473" t="str">
        <f t="shared" si="39"/>
        <v/>
      </c>
      <c r="AZ153" s="32" t="s">
        <v>8131</v>
      </c>
      <c r="BA153" s="34" t="s">
        <v>476</v>
      </c>
      <c r="BB153" s="500"/>
      <c r="BC153" s="271"/>
      <c r="BD153" s="279">
        <v>1</v>
      </c>
      <c r="BE153" s="271"/>
      <c r="BF153" s="271"/>
      <c r="BG153" s="271"/>
      <c r="BH153" s="271"/>
      <c r="BI153" s="271"/>
      <c r="BJ153" s="271"/>
      <c r="BK153" s="271"/>
      <c r="BL153" s="271"/>
    </row>
    <row r="154" spans="18:64" ht="21" customHeight="1" x14ac:dyDescent="0.25">
      <c r="R154" s="34" t="s">
        <v>473</v>
      </c>
      <c r="S154" s="451"/>
      <c r="T154" s="32" t="s">
        <v>313</v>
      </c>
      <c r="V154" s="475">
        <v>3</v>
      </c>
      <c r="W154" s="475" t="str">
        <f>IF($AC$154="","",$W$144)</f>
        <v/>
      </c>
      <c r="X154" s="476" t="str">
        <f>IF($AC$154="","",$X$144)</f>
        <v/>
      </c>
      <c r="Y154" s="477" t="str">
        <f>IF($X$154="","",$Y$144)</f>
        <v/>
      </c>
      <c r="Z154" s="477" t="str">
        <f>IF($X$154="","",$Z$144)</f>
        <v/>
      </c>
      <c r="AA154" s="477" t="str">
        <f>IF($AC$154="","",ROW($A$154)-ROW($A$144))</f>
        <v/>
      </c>
      <c r="AB154" s="478"/>
      <c r="AC154" s="34"/>
      <c r="AD154" s="356"/>
      <c r="AE154" s="18"/>
      <c r="AF154" s="19"/>
      <c r="AG154" s="480" t="str">
        <f t="shared" si="28"/>
        <v/>
      </c>
      <c r="AH154" s="481" t="str">
        <f t="shared" si="29"/>
        <v/>
      </c>
      <c r="AI154" s="477" t="str">
        <f>IF($AC$154="","",IFERROR(INDEX($AZ$74:$AZ$119,MATCH($AH$154,$AY$74:$AY$119,0)),"AUTRE"))</f>
        <v/>
      </c>
      <c r="AJ154" s="482" t="str">
        <f>IF($AC$154="","",IFERROR(INDEX($BA$74:$BA$119,MATCH($AH$154,$AY$74:$AY$119,0)),1))</f>
        <v/>
      </c>
      <c r="AK154" s="482" t="str">
        <f t="shared" si="30"/>
        <v/>
      </c>
      <c r="AL154" s="477" t="str">
        <f>IF($AC$154="","",IFERROR(INDEX($BB$74:$BB$119,MATCH($AH$154,$AY$74:$AY$119,0)),$AH$154))</f>
        <v/>
      </c>
      <c r="AM154" s="483" t="str">
        <f t="shared" si="31"/>
        <v/>
      </c>
      <c r="AN154" s="484" t="str">
        <f t="shared" si="32"/>
        <v/>
      </c>
      <c r="AO154" s="473" t="str">
        <f t="shared" si="33"/>
        <v/>
      </c>
      <c r="AP154" s="473" t="str">
        <f t="shared" si="34"/>
        <v/>
      </c>
      <c r="AQ154" s="473" t="str">
        <f t="shared" si="35"/>
        <v/>
      </c>
      <c r="AR154" s="473" t="str">
        <f t="shared" si="36"/>
        <v/>
      </c>
      <c r="AS154" s="473" t="str">
        <f t="shared" si="37"/>
        <v/>
      </c>
      <c r="AT154" s="473" t="str">
        <f t="shared" si="38"/>
        <v/>
      </c>
      <c r="AU154" s="473" t="str">
        <f t="shared" si="39"/>
        <v/>
      </c>
      <c r="AZ154" s="32" t="s">
        <v>309</v>
      </c>
      <c r="BA154" s="34" t="s">
        <v>468</v>
      </c>
      <c r="BB154" s="500"/>
      <c r="BC154" s="271"/>
      <c r="BD154" s="279">
        <v>1</v>
      </c>
      <c r="BE154" s="271"/>
      <c r="BF154" s="271"/>
      <c r="BG154" s="271"/>
      <c r="BH154" s="271"/>
      <c r="BI154" s="271"/>
      <c r="BJ154" s="271"/>
      <c r="BK154" s="271"/>
      <c r="BL154" s="271"/>
    </row>
    <row r="155" spans="18:64" ht="21" customHeight="1" x14ac:dyDescent="0.25">
      <c r="R155" s="34" t="s">
        <v>497</v>
      </c>
      <c r="S155" s="451"/>
      <c r="T155" s="32" t="s">
        <v>307</v>
      </c>
      <c r="V155" s="475">
        <v>3</v>
      </c>
      <c r="W155" s="475" t="str">
        <f>IF($AC$155="","",$W$144)</f>
        <v/>
      </c>
      <c r="X155" s="476" t="str">
        <f>IF($AC$155="","",$X$144)</f>
        <v/>
      </c>
      <c r="Y155" s="477" t="str">
        <f>IF($X$155="","",$Y$144)</f>
        <v/>
      </c>
      <c r="Z155" s="477" t="str">
        <f>IF($X$155="","",$Z$144)</f>
        <v/>
      </c>
      <c r="AA155" s="477" t="str">
        <f>IF($AC$155="","",ROW($A$155)-ROW($A$144))</f>
        <v/>
      </c>
      <c r="AB155" s="478"/>
      <c r="AC155" s="34"/>
      <c r="AD155" s="356"/>
      <c r="AE155" s="18"/>
      <c r="AF155" s="19"/>
      <c r="AG155" s="480" t="str">
        <f t="shared" si="28"/>
        <v/>
      </c>
      <c r="AH155" s="481" t="str">
        <f t="shared" si="29"/>
        <v/>
      </c>
      <c r="AI155" s="477" t="str">
        <f>IF($AC$155="","",IFERROR(INDEX($AZ$74:$AZ$119,MATCH($AH$155,$AY$74:$AY$119,0)),"AUTRE"))</f>
        <v/>
      </c>
      <c r="AJ155" s="482" t="str">
        <f>IF($AC$155="","",IFERROR(INDEX($BA$74:$BA$119,MATCH($AH$155,$AY$74:$AY$119,0)),1))</f>
        <v/>
      </c>
      <c r="AK155" s="482" t="str">
        <f t="shared" si="30"/>
        <v/>
      </c>
      <c r="AL155" s="477" t="str">
        <f>IF($AC$155="","",IFERROR(INDEX($BB$74:$BB$119,MATCH($AH$155,$AY$74:$AY$119,0)),$AH$155))</f>
        <v/>
      </c>
      <c r="AM155" s="483" t="str">
        <f t="shared" si="31"/>
        <v/>
      </c>
      <c r="AN155" s="484" t="str">
        <f t="shared" si="32"/>
        <v/>
      </c>
      <c r="AO155" s="473" t="str">
        <f t="shared" si="33"/>
        <v/>
      </c>
      <c r="AP155" s="473" t="str">
        <f t="shared" si="34"/>
        <v/>
      </c>
      <c r="AQ155" s="473" t="str">
        <f t="shared" si="35"/>
        <v/>
      </c>
      <c r="AR155" s="473" t="str">
        <f t="shared" si="36"/>
        <v/>
      </c>
      <c r="AS155" s="473" t="str">
        <f t="shared" si="37"/>
        <v/>
      </c>
      <c r="AT155" s="473" t="str">
        <f t="shared" si="38"/>
        <v/>
      </c>
      <c r="AU155" s="473" t="str">
        <f t="shared" si="39"/>
        <v/>
      </c>
      <c r="AZ155" s="32" t="s">
        <v>311</v>
      </c>
      <c r="BA155" s="34" t="s">
        <v>473</v>
      </c>
      <c r="BB155" s="500"/>
      <c r="BC155" s="271"/>
      <c r="BD155" s="279">
        <v>1</v>
      </c>
      <c r="BE155" s="271"/>
      <c r="BF155" s="271"/>
      <c r="BG155" s="271"/>
      <c r="BH155" s="271"/>
      <c r="BI155" s="271"/>
      <c r="BJ155" s="271"/>
      <c r="BK155" s="271"/>
      <c r="BL155" s="271"/>
    </row>
    <row r="156" spans="18:64" ht="21" customHeight="1" x14ac:dyDescent="0.25">
      <c r="R156" s="34" t="s">
        <v>470</v>
      </c>
      <c r="S156" s="451"/>
      <c r="T156" s="32" t="s">
        <v>322</v>
      </c>
      <c r="V156" s="475">
        <v>3</v>
      </c>
      <c r="W156" s="475" t="str">
        <f>IF($AC$156="","",$W$144)</f>
        <v/>
      </c>
      <c r="X156" s="476" t="str">
        <f>IF($AC$156="","",$X$144)</f>
        <v/>
      </c>
      <c r="Y156" s="477" t="str">
        <f>IF($X$156="","",$Y$144)</f>
        <v/>
      </c>
      <c r="Z156" s="477" t="str">
        <f>IF($X$156="","",$Z$144)</f>
        <v/>
      </c>
      <c r="AA156" s="477" t="str">
        <f>IF($AC$156="","",ROW($A$156)-ROW($A$144))</f>
        <v/>
      </c>
      <c r="AB156" s="478"/>
      <c r="AC156" s="34"/>
      <c r="AD156" s="356"/>
      <c r="AE156" s="18"/>
      <c r="AF156" s="19"/>
      <c r="AG156" s="480" t="str">
        <f t="shared" si="28"/>
        <v/>
      </c>
      <c r="AH156" s="481" t="str">
        <f t="shared" si="29"/>
        <v/>
      </c>
      <c r="AI156" s="477" t="str">
        <f>IF($AC$156="","",IFERROR(INDEX($AZ$74:$AZ$119,MATCH($AH$156,$AY$74:$AY$119,0)),"AUTRE"))</f>
        <v/>
      </c>
      <c r="AJ156" s="482" t="str">
        <f>IF($AC$156="","",IFERROR(INDEX($BA$74:$BA$119,MATCH($AH$156,$AY$74:$AY$119,0)),1))</f>
        <v/>
      </c>
      <c r="AK156" s="482" t="str">
        <f t="shared" si="30"/>
        <v/>
      </c>
      <c r="AL156" s="477" t="str">
        <f>IF($AC$156="","",IFERROR(INDEX($BB$74:$BB$119,MATCH($AH$156,$AY$74:$AY$119,0)),$AH$156))</f>
        <v/>
      </c>
      <c r="AM156" s="483" t="str">
        <f t="shared" si="31"/>
        <v/>
      </c>
      <c r="AN156" s="484" t="str">
        <f t="shared" si="32"/>
        <v/>
      </c>
      <c r="AO156" s="473" t="str">
        <f t="shared" si="33"/>
        <v/>
      </c>
      <c r="AP156" s="473" t="str">
        <f t="shared" si="34"/>
        <v/>
      </c>
      <c r="AQ156" s="473" t="str">
        <f t="shared" si="35"/>
        <v/>
      </c>
      <c r="AR156" s="473" t="str">
        <f t="shared" si="36"/>
        <v/>
      </c>
      <c r="AS156" s="473" t="str">
        <f t="shared" si="37"/>
        <v/>
      </c>
      <c r="AT156" s="473" t="str">
        <f t="shared" si="38"/>
        <v/>
      </c>
      <c r="AU156" s="473" t="str">
        <f t="shared" si="39"/>
        <v/>
      </c>
      <c r="AZ156" s="32" t="s">
        <v>8135</v>
      </c>
      <c r="BA156" s="34" t="s">
        <v>497</v>
      </c>
      <c r="BB156" s="500"/>
      <c r="BC156" s="271"/>
      <c r="BD156" s="279">
        <v>1</v>
      </c>
      <c r="BE156" s="271"/>
      <c r="BF156" s="271"/>
      <c r="BG156" s="271"/>
      <c r="BH156" s="271"/>
      <c r="BI156" s="271"/>
      <c r="BJ156" s="271"/>
      <c r="BK156" s="271"/>
      <c r="BL156" s="271"/>
    </row>
    <row r="157" spans="18:64" ht="21" customHeight="1" x14ac:dyDescent="0.25">
      <c r="R157" s="34" t="s">
        <v>477</v>
      </c>
      <c r="S157" s="451"/>
      <c r="T157" s="32" t="s">
        <v>305</v>
      </c>
      <c r="V157" s="475">
        <v>3</v>
      </c>
      <c r="W157" s="475" t="str">
        <f>IF($AC$157="","",$W$144)</f>
        <v/>
      </c>
      <c r="X157" s="476" t="str">
        <f>IF($AC$157="","",$X$144)</f>
        <v/>
      </c>
      <c r="Y157" s="477" t="str">
        <f>IF($X$157="","",$Y$144)</f>
        <v/>
      </c>
      <c r="Z157" s="477" t="str">
        <f>IF($X$157="","",$Z$144)</f>
        <v/>
      </c>
      <c r="AA157" s="477" t="str">
        <f>IF($AC$157="","",ROW($A$157)-ROW($A$144))</f>
        <v/>
      </c>
      <c r="AB157" s="478"/>
      <c r="AC157" s="34"/>
      <c r="AD157" s="356"/>
      <c r="AE157" s="18"/>
      <c r="AF157" s="19"/>
      <c r="AG157" s="480" t="str">
        <f t="shared" si="28"/>
        <v/>
      </c>
      <c r="AH157" s="481" t="str">
        <f t="shared" si="29"/>
        <v/>
      </c>
      <c r="AI157" s="477" t="str">
        <f>IF($AC$157="","",IFERROR(INDEX($AZ$74:$AZ$119,MATCH($AH$157,$AY$74:$AY$119,0)),"AUTRE"))</f>
        <v/>
      </c>
      <c r="AJ157" s="482" t="str">
        <f>IF($AC$157="","",IFERROR(INDEX($BA$74:$BA$119,MATCH($AH$157,$AY$74:$AY$119,0)),1))</f>
        <v/>
      </c>
      <c r="AK157" s="482" t="str">
        <f t="shared" si="30"/>
        <v/>
      </c>
      <c r="AL157" s="477" t="str">
        <f>IF($AC$157="","",IFERROR(INDEX($BB$74:$BB$119,MATCH($AH$157,$AY$74:$AY$119,0)),$AH$157))</f>
        <v/>
      </c>
      <c r="AM157" s="483" t="str">
        <f t="shared" si="31"/>
        <v/>
      </c>
      <c r="AN157" s="484" t="str">
        <f t="shared" si="32"/>
        <v/>
      </c>
      <c r="AO157" s="473" t="str">
        <f t="shared" si="33"/>
        <v/>
      </c>
      <c r="AP157" s="473" t="str">
        <f t="shared" si="34"/>
        <v/>
      </c>
      <c r="AQ157" s="473" t="str">
        <f t="shared" si="35"/>
        <v/>
      </c>
      <c r="AR157" s="473" t="str">
        <f t="shared" si="36"/>
        <v/>
      </c>
      <c r="AS157" s="473" t="str">
        <f t="shared" si="37"/>
        <v/>
      </c>
      <c r="AT157" s="473" t="str">
        <f t="shared" si="38"/>
        <v/>
      </c>
      <c r="AU157" s="473" t="str">
        <f t="shared" si="39"/>
        <v/>
      </c>
      <c r="AZ157" s="32" t="s">
        <v>8137</v>
      </c>
      <c r="BA157" s="34" t="s">
        <v>470</v>
      </c>
      <c r="BB157" s="500"/>
      <c r="BC157" s="271"/>
      <c r="BD157" s="279">
        <v>1</v>
      </c>
      <c r="BE157" s="271"/>
      <c r="BF157" s="271"/>
      <c r="BG157" s="271"/>
      <c r="BH157" s="271"/>
      <c r="BI157" s="271"/>
      <c r="BJ157" s="271"/>
      <c r="BK157" s="271"/>
      <c r="BL157" s="271"/>
    </row>
    <row r="158" spans="18:64" ht="21" customHeight="1" x14ac:dyDescent="0.25">
      <c r="S158" s="451"/>
      <c r="T158" s="32" t="s">
        <v>309</v>
      </c>
      <c r="V158" s="475">
        <v>3</v>
      </c>
      <c r="W158" s="475" t="str">
        <f>IF($AC$158="","",$W$144)</f>
        <v/>
      </c>
      <c r="X158" s="476" t="str">
        <f>IF($AC$158="","",$X$144)</f>
        <v/>
      </c>
      <c r="Y158" s="477" t="str">
        <f>IF($X$158="","",$Y$144)</f>
        <v/>
      </c>
      <c r="Z158" s="477" t="str">
        <f>IF($X$158="","",$Z$144)</f>
        <v/>
      </c>
      <c r="AA158" s="477" t="str">
        <f>IF($AC$158="","",ROW($A$158)-ROW($A$144))</f>
        <v/>
      </c>
      <c r="AB158" s="478"/>
      <c r="AC158" s="34"/>
      <c r="AD158" s="356"/>
      <c r="AE158" s="18"/>
      <c r="AF158" s="19"/>
      <c r="AG158" s="480" t="str">
        <f t="shared" si="28"/>
        <v/>
      </c>
      <c r="AH158" s="481" t="str">
        <f t="shared" si="29"/>
        <v/>
      </c>
      <c r="AI158" s="477" t="str">
        <f>IF($AC$158="","",IFERROR(INDEX($AZ$74:$AZ$119,MATCH($AH$158,$AY$74:$AY$119,0)),"AUTRE"))</f>
        <v/>
      </c>
      <c r="AJ158" s="482" t="str">
        <f>IF($AC$158="","",IFERROR(INDEX($BA$74:$BA$119,MATCH($AH$158,$AY$74:$AY$119,0)),1))</f>
        <v/>
      </c>
      <c r="AK158" s="482" t="str">
        <f t="shared" si="30"/>
        <v/>
      </c>
      <c r="AL158" s="477" t="str">
        <f>IF($AC$158="","",IFERROR(INDEX($BB$74:$BB$119,MATCH($AH$158,$AY$74:$AY$119,0)),$AH$158))</f>
        <v/>
      </c>
      <c r="AM158" s="483" t="str">
        <f t="shared" si="31"/>
        <v/>
      </c>
      <c r="AN158" s="484" t="str">
        <f t="shared" si="32"/>
        <v/>
      </c>
      <c r="AO158" s="473" t="str">
        <f t="shared" si="33"/>
        <v/>
      </c>
      <c r="AP158" s="473" t="str">
        <f t="shared" si="34"/>
        <v/>
      </c>
      <c r="AQ158" s="473" t="str">
        <f t="shared" si="35"/>
        <v/>
      </c>
      <c r="AR158" s="473" t="str">
        <f t="shared" si="36"/>
        <v/>
      </c>
      <c r="AS158" s="473" t="str">
        <f t="shared" si="37"/>
        <v/>
      </c>
      <c r="AT158" s="473" t="str">
        <f t="shared" si="38"/>
        <v/>
      </c>
      <c r="AU158" s="473" t="str">
        <f t="shared" si="39"/>
        <v/>
      </c>
      <c r="AZ158" s="32" t="s">
        <v>8139</v>
      </c>
      <c r="BA158" s="34" t="s">
        <v>477</v>
      </c>
      <c r="BB158" s="500"/>
      <c r="BC158" s="271"/>
      <c r="BD158" s="279">
        <v>1</v>
      </c>
      <c r="BE158" s="271"/>
      <c r="BF158" s="271"/>
      <c r="BG158" s="271"/>
      <c r="BH158" s="271"/>
      <c r="BI158" s="271"/>
      <c r="BJ158" s="271"/>
      <c r="BK158" s="271"/>
      <c r="BL158" s="271"/>
    </row>
    <row r="159" spans="18:64" ht="21" customHeight="1" x14ac:dyDescent="0.25">
      <c r="R159" s="25" t="s">
        <v>6134</v>
      </c>
      <c r="S159" s="451"/>
      <c r="T159" s="32" t="s">
        <v>311</v>
      </c>
      <c r="V159" s="475">
        <v>3</v>
      </c>
      <c r="W159" s="475" t="str">
        <f>IF($AC$159="","",$W$144)</f>
        <v/>
      </c>
      <c r="X159" s="476" t="str">
        <f>IF($AC$159="","",$X$144)</f>
        <v/>
      </c>
      <c r="Y159" s="477" t="str">
        <f>IF($X$159="","",$Y$144)</f>
        <v/>
      </c>
      <c r="Z159" s="477" t="str">
        <f>IF($X$159="","",$Z$144)</f>
        <v/>
      </c>
      <c r="AA159" s="477" t="str">
        <f>IF($AC$159="","",ROW($A$159)-ROW($A$144))</f>
        <v/>
      </c>
      <c r="AB159" s="478"/>
      <c r="AC159" s="34"/>
      <c r="AD159" s="356"/>
      <c r="AE159" s="18"/>
      <c r="AF159" s="19"/>
      <c r="AG159" s="480" t="str">
        <f t="shared" si="28"/>
        <v/>
      </c>
      <c r="AH159" s="481" t="str">
        <f t="shared" si="29"/>
        <v/>
      </c>
      <c r="AI159" s="477" t="str">
        <f>IF($AC$159="","",IFERROR(INDEX($AZ$74:$AZ$119,MATCH($AH$159,$AY$74:$AY$119,0)),"AUTRE"))</f>
        <v/>
      </c>
      <c r="AJ159" s="482" t="str">
        <f>IF($AC$159="","",IFERROR(INDEX($BA$74:$BA$119,MATCH($AH$159,$AY$74:$AY$119,0)),1))</f>
        <v/>
      </c>
      <c r="AK159" s="482" t="str">
        <f t="shared" si="30"/>
        <v/>
      </c>
      <c r="AL159" s="477" t="str">
        <f>IF($AC$159="","",IFERROR(INDEX($BB$74:$BB$119,MATCH($AH$159,$AY$74:$AY$119,0)),$AH$159))</f>
        <v/>
      </c>
      <c r="AM159" s="483" t="str">
        <f t="shared" si="31"/>
        <v/>
      </c>
      <c r="AN159" s="484" t="str">
        <f t="shared" si="32"/>
        <v/>
      </c>
      <c r="AO159" s="473" t="str">
        <f t="shared" si="33"/>
        <v/>
      </c>
      <c r="AP159" s="473" t="str">
        <f t="shared" si="34"/>
        <v/>
      </c>
      <c r="AQ159" s="473" t="str">
        <f t="shared" si="35"/>
        <v/>
      </c>
      <c r="AR159" s="473" t="str">
        <f t="shared" si="36"/>
        <v/>
      </c>
      <c r="AS159" s="473" t="str">
        <f t="shared" si="37"/>
        <v/>
      </c>
      <c r="AT159" s="473" t="str">
        <f t="shared" si="38"/>
        <v/>
      </c>
      <c r="AU159" s="473" t="str">
        <f t="shared" si="39"/>
        <v/>
      </c>
      <c r="AZ159" s="32" t="s">
        <v>8141</v>
      </c>
      <c r="BB159" s="500"/>
      <c r="BC159" s="271"/>
      <c r="BD159" s="279">
        <v>1</v>
      </c>
      <c r="BE159" s="271"/>
      <c r="BF159" s="271"/>
      <c r="BG159" s="271"/>
      <c r="BH159" s="271"/>
      <c r="BI159" s="271"/>
      <c r="BJ159" s="271"/>
      <c r="BK159" s="271"/>
      <c r="BL159" s="271"/>
    </row>
    <row r="160" spans="18:64" ht="21" customHeight="1" x14ac:dyDescent="0.25">
      <c r="R160" s="34" t="s">
        <v>481</v>
      </c>
      <c r="S160" s="451"/>
      <c r="T160" s="32" t="s">
        <v>8135</v>
      </c>
      <c r="V160" s="475">
        <v>3</v>
      </c>
      <c r="W160" s="475" t="str">
        <f>IF($AC$160="","",$W$144)</f>
        <v/>
      </c>
      <c r="X160" s="476" t="str">
        <f>IF($AC$160="","",$X$144)</f>
        <v/>
      </c>
      <c r="Y160" s="477" t="str">
        <f>IF($X$160="","",$Y$144)</f>
        <v/>
      </c>
      <c r="Z160" s="477" t="str">
        <f>IF($X$160="","",$Z$144)</f>
        <v/>
      </c>
      <c r="AA160" s="477" t="str">
        <f>IF($AC$160="","",ROW($A$160)-ROW($A$144))</f>
        <v/>
      </c>
      <c r="AB160" s="478"/>
      <c r="AC160" s="34"/>
      <c r="AD160" s="356"/>
      <c r="AE160" s="18"/>
      <c r="AF160" s="19"/>
      <c r="AG160" s="480" t="str">
        <f t="shared" si="28"/>
        <v/>
      </c>
      <c r="AH160" s="481" t="str">
        <f t="shared" si="29"/>
        <v/>
      </c>
      <c r="AI160" s="477" t="str">
        <f>IF($AC$160="","",IFERROR(INDEX($AZ$74:$AZ$119,MATCH($AH$160,$AY$74:$AY$119,0)),"AUTRE"))</f>
        <v/>
      </c>
      <c r="AJ160" s="482" t="str">
        <f>IF($AC$160="","",IFERROR(INDEX($BA$74:$BA$119,MATCH($AH$160,$AY$74:$AY$119,0)),1))</f>
        <v/>
      </c>
      <c r="AK160" s="482" t="str">
        <f t="shared" si="30"/>
        <v/>
      </c>
      <c r="AL160" s="477" t="str">
        <f>IF($AC$160="","",IFERROR(INDEX($BB$74:$BB$119,MATCH($AH$160,$AY$74:$AY$119,0)),$AH$160))</f>
        <v/>
      </c>
      <c r="AM160" s="483" t="str">
        <f t="shared" si="31"/>
        <v/>
      </c>
      <c r="AN160" s="484" t="str">
        <f t="shared" si="32"/>
        <v/>
      </c>
      <c r="AO160" s="473" t="str">
        <f t="shared" si="33"/>
        <v/>
      </c>
      <c r="AP160" s="473" t="str">
        <f t="shared" si="34"/>
        <v/>
      </c>
      <c r="AQ160" s="473" t="str">
        <f t="shared" si="35"/>
        <v/>
      </c>
      <c r="AR160" s="473" t="str">
        <f t="shared" si="36"/>
        <v/>
      </c>
      <c r="AS160" s="473" t="str">
        <f t="shared" si="37"/>
        <v/>
      </c>
      <c r="AT160" s="473" t="str">
        <f t="shared" si="38"/>
        <v/>
      </c>
      <c r="AU160" s="473" t="str">
        <f t="shared" si="39"/>
        <v/>
      </c>
      <c r="AZ160" s="32" t="s">
        <v>8143</v>
      </c>
      <c r="BA160" s="25" t="s">
        <v>6134</v>
      </c>
      <c r="BB160" s="500"/>
      <c r="BC160" s="271"/>
      <c r="BD160" s="279">
        <v>1</v>
      </c>
      <c r="BE160" s="271"/>
      <c r="BF160" s="271"/>
      <c r="BG160" s="271"/>
      <c r="BH160" s="271"/>
      <c r="BI160" s="271"/>
      <c r="BJ160" s="271"/>
      <c r="BK160" s="271"/>
      <c r="BL160" s="271"/>
    </row>
    <row r="161" spans="18:64" ht="21" customHeight="1" x14ac:dyDescent="0.25">
      <c r="R161" s="34" t="s">
        <v>475</v>
      </c>
      <c r="S161" s="451"/>
      <c r="T161" s="497" t="s">
        <v>462</v>
      </c>
      <c r="V161" s="475">
        <v>3</v>
      </c>
      <c r="W161" s="475" t="str">
        <f>IF($AC$161="","",$W$144)</f>
        <v/>
      </c>
      <c r="X161" s="476" t="str">
        <f>IF($AC$161="","",$X$144)</f>
        <v/>
      </c>
      <c r="Y161" s="477" t="str">
        <f>IF($X$161="","",$Y$144)</f>
        <v/>
      </c>
      <c r="Z161" s="477" t="str">
        <f>IF($X$161="","",$Z$144)</f>
        <v/>
      </c>
      <c r="AA161" s="477" t="str">
        <f>IF($AC$161="","",ROW($A$161)-ROW($A$144))</f>
        <v/>
      </c>
      <c r="AB161" s="478"/>
      <c r="AC161" s="34"/>
      <c r="AD161" s="356"/>
      <c r="AE161" s="18"/>
      <c r="AF161" s="19"/>
      <c r="AG161" s="480" t="str">
        <f t="shared" si="28"/>
        <v/>
      </c>
      <c r="AH161" s="481" t="str">
        <f t="shared" si="29"/>
        <v/>
      </c>
      <c r="AI161" s="477" t="str">
        <f>IF($AC$161="","",IFERROR(INDEX($AZ$74:$AZ$119,MATCH($AH$161,$AY$74:$AY$119,0)),"AUTRE"))</f>
        <v/>
      </c>
      <c r="AJ161" s="482" t="str">
        <f>IF($AC$161="","",IFERROR(INDEX($BA$74:$BA$119,MATCH($AH$161,$AY$74:$AY$119,0)),1))</f>
        <v/>
      </c>
      <c r="AK161" s="482" t="str">
        <f t="shared" si="30"/>
        <v/>
      </c>
      <c r="AL161" s="477" t="str">
        <f>IF($AC$161="","",IFERROR(INDEX($BB$74:$BB$119,MATCH($AH$161,$AY$74:$AY$119,0)),$AH$161))</f>
        <v/>
      </c>
      <c r="AM161" s="483" t="str">
        <f t="shared" si="31"/>
        <v/>
      </c>
      <c r="AN161" s="484" t="str">
        <f t="shared" si="32"/>
        <v/>
      </c>
      <c r="AO161" s="473" t="str">
        <f t="shared" si="33"/>
        <v/>
      </c>
      <c r="AP161" s="473" t="str">
        <f t="shared" si="34"/>
        <v/>
      </c>
      <c r="AQ161" s="473" t="str">
        <f t="shared" si="35"/>
        <v/>
      </c>
      <c r="AR161" s="473" t="str">
        <f t="shared" si="36"/>
        <v/>
      </c>
      <c r="AS161" s="473" t="str">
        <f t="shared" si="37"/>
        <v/>
      </c>
      <c r="AT161" s="473" t="str">
        <f t="shared" si="38"/>
        <v/>
      </c>
      <c r="AU161" s="473" t="str">
        <f t="shared" si="39"/>
        <v/>
      </c>
      <c r="AZ161" s="497" t="s">
        <v>8145</v>
      </c>
      <c r="BA161" s="34" t="s">
        <v>481</v>
      </c>
      <c r="BB161" s="500"/>
      <c r="BC161" s="271"/>
      <c r="BD161" s="279">
        <v>1</v>
      </c>
      <c r="BE161" s="271"/>
      <c r="BF161" s="271"/>
      <c r="BG161" s="271"/>
      <c r="BH161" s="271"/>
      <c r="BI161" s="271"/>
      <c r="BJ161" s="271"/>
      <c r="BK161" s="271"/>
      <c r="BL161" s="271"/>
    </row>
    <row r="162" spans="18:64" ht="21" customHeight="1" x14ac:dyDescent="0.25">
      <c r="R162" s="34" t="s">
        <v>457</v>
      </c>
      <c r="S162" s="451"/>
      <c r="T162" s="497" t="s">
        <v>463</v>
      </c>
      <c r="V162" s="475">
        <v>3</v>
      </c>
      <c r="W162" s="475" t="str">
        <f>IF($AC$162="","",$W$144)</f>
        <v/>
      </c>
      <c r="X162" s="476" t="str">
        <f>IF($AC$162="","",$X$144)</f>
        <v/>
      </c>
      <c r="Y162" s="477" t="str">
        <f>IF($X$162="","",$Y$144)</f>
        <v/>
      </c>
      <c r="Z162" s="477" t="str">
        <f>IF($X$162="","",$Z$144)</f>
        <v/>
      </c>
      <c r="AA162" s="477" t="str">
        <f>IF($AC$162="","",ROW($A$162)-ROW($A$144))</f>
        <v/>
      </c>
      <c r="AB162" s="478"/>
      <c r="AC162" s="34"/>
      <c r="AD162" s="356"/>
      <c r="AE162" s="18"/>
      <c r="AF162" s="19"/>
      <c r="AG162" s="480" t="str">
        <f t="shared" si="28"/>
        <v/>
      </c>
      <c r="AH162" s="481" t="str">
        <f t="shared" si="29"/>
        <v/>
      </c>
      <c r="AI162" s="477" t="str">
        <f>IF($AC$162="","",IFERROR(INDEX($AZ$74:$AZ$119,MATCH($AH$162,$AY$74:$AY$119,0)),"AUTRE"))</f>
        <v/>
      </c>
      <c r="AJ162" s="482" t="str">
        <f>IF($AC$162="","",IFERROR(INDEX($BA$74:$BA$119,MATCH($AH$162,$AY$74:$AY$119,0)),1))</f>
        <v/>
      </c>
      <c r="AK162" s="482" t="str">
        <f t="shared" si="30"/>
        <v/>
      </c>
      <c r="AL162" s="477" t="str">
        <f>IF($AC$162="","",IFERROR(INDEX($BB$74:$BB$119,MATCH($AH$162,$AY$74:$AY$119,0)),$AH$162))</f>
        <v/>
      </c>
      <c r="AM162" s="483" t="str">
        <f t="shared" si="31"/>
        <v/>
      </c>
      <c r="AN162" s="484" t="str">
        <f t="shared" si="32"/>
        <v/>
      </c>
      <c r="AO162" s="473" t="str">
        <f t="shared" si="33"/>
        <v/>
      </c>
      <c r="AP162" s="473" t="str">
        <f t="shared" si="34"/>
        <v/>
      </c>
      <c r="AQ162" s="473" t="str">
        <f t="shared" si="35"/>
        <v/>
      </c>
      <c r="AR162" s="473" t="str">
        <f t="shared" si="36"/>
        <v/>
      </c>
      <c r="AS162" s="473" t="str">
        <f t="shared" si="37"/>
        <v/>
      </c>
      <c r="AT162" s="473" t="str">
        <f t="shared" si="38"/>
        <v/>
      </c>
      <c r="AU162" s="473" t="str">
        <f t="shared" si="39"/>
        <v/>
      </c>
      <c r="AZ162" s="497" t="s">
        <v>462</v>
      </c>
      <c r="BA162" s="34" t="s">
        <v>475</v>
      </c>
      <c r="BB162" s="500"/>
      <c r="BC162" s="271"/>
      <c r="BD162" s="279">
        <v>1</v>
      </c>
      <c r="BE162" s="271"/>
      <c r="BF162" s="271"/>
      <c r="BG162" s="271"/>
      <c r="BH162" s="271"/>
      <c r="BI162" s="271"/>
      <c r="BJ162" s="271"/>
      <c r="BK162" s="271"/>
      <c r="BL162" s="271"/>
    </row>
    <row r="163" spans="18:64" ht="21" customHeight="1" x14ac:dyDescent="0.25">
      <c r="R163" s="34" t="s">
        <v>482</v>
      </c>
      <c r="S163" s="451"/>
      <c r="T163" s="497" t="s">
        <v>8147</v>
      </c>
      <c r="V163" s="475">
        <v>3</v>
      </c>
      <c r="W163" s="475" t="str">
        <f>IF($AC$163="","",$W$144)</f>
        <v/>
      </c>
      <c r="X163" s="476" t="str">
        <f>IF($AC$163="","",$X$144)</f>
        <v/>
      </c>
      <c r="Y163" s="477" t="str">
        <f>IF($X$163="","",$Y$144)</f>
        <v/>
      </c>
      <c r="Z163" s="477" t="str">
        <f>IF($X$163="","",$Z$144)</f>
        <v/>
      </c>
      <c r="AA163" s="477" t="str">
        <f>IF($AC$163="","",ROW($A$163)-ROW($A$144))</f>
        <v/>
      </c>
      <c r="AB163" s="478"/>
      <c r="AC163" s="34"/>
      <c r="AD163" s="356"/>
      <c r="AE163" s="18"/>
      <c r="AF163" s="19"/>
      <c r="AG163" s="480" t="str">
        <f t="shared" si="28"/>
        <v/>
      </c>
      <c r="AH163" s="481" t="str">
        <f t="shared" si="29"/>
        <v/>
      </c>
      <c r="AI163" s="477" t="str">
        <f>IF($AC$163="","",IFERROR(INDEX($AZ$74:$AZ$119,MATCH($AH$163,$AY$74:$AY$119,0)),"AUTRE"))</f>
        <v/>
      </c>
      <c r="AJ163" s="482" t="str">
        <f>IF($AC$163="","",IFERROR(INDEX($BA$74:$BA$119,MATCH($AH$163,$AY$74:$AY$119,0)),1))</f>
        <v/>
      </c>
      <c r="AK163" s="482" t="str">
        <f t="shared" si="30"/>
        <v/>
      </c>
      <c r="AL163" s="477" t="str">
        <f>IF($AC$163="","",IFERROR(INDEX($BB$74:$BB$119,MATCH($AH$163,$AY$74:$AY$119,0)),$AH$163))</f>
        <v/>
      </c>
      <c r="AM163" s="483" t="str">
        <f t="shared" si="31"/>
        <v/>
      </c>
      <c r="AN163" s="484" t="str">
        <f t="shared" si="32"/>
        <v/>
      </c>
      <c r="AO163" s="473" t="str">
        <f t="shared" si="33"/>
        <v/>
      </c>
      <c r="AP163" s="473" t="str">
        <f t="shared" si="34"/>
        <v/>
      </c>
      <c r="AQ163" s="473" t="str">
        <f t="shared" si="35"/>
        <v/>
      </c>
      <c r="AR163" s="473" t="str">
        <f t="shared" si="36"/>
        <v/>
      </c>
      <c r="AS163" s="473" t="str">
        <f t="shared" si="37"/>
        <v/>
      </c>
      <c r="AT163" s="473" t="str">
        <f t="shared" si="38"/>
        <v/>
      </c>
      <c r="AU163" s="473" t="str">
        <f t="shared" si="39"/>
        <v/>
      </c>
      <c r="AZ163" s="497" t="s">
        <v>463</v>
      </c>
      <c r="BA163" s="34" t="s">
        <v>457</v>
      </c>
      <c r="BB163" s="500"/>
      <c r="BC163" s="271"/>
      <c r="BD163" s="279">
        <v>1</v>
      </c>
      <c r="BE163" s="271"/>
      <c r="BF163" s="271"/>
      <c r="BG163" s="271"/>
      <c r="BH163" s="271"/>
      <c r="BI163" s="271"/>
      <c r="BJ163" s="271"/>
      <c r="BK163" s="271"/>
      <c r="BL163" s="271"/>
    </row>
    <row r="164" spans="18:64" ht="21" customHeight="1" x14ac:dyDescent="0.25">
      <c r="R164" s="34" t="s">
        <v>496</v>
      </c>
      <c r="S164" s="451"/>
      <c r="T164" s="497" t="s">
        <v>465</v>
      </c>
      <c r="V164" s="475">
        <v>3</v>
      </c>
      <c r="W164" s="475" t="str">
        <f>IF($AC$164="","",$W$144)</f>
        <v/>
      </c>
      <c r="X164" s="476" t="str">
        <f>IF($AC$164="","",$X$144)</f>
        <v/>
      </c>
      <c r="Y164" s="477" t="str">
        <f>IF($X$164="","",$Y$144)</f>
        <v/>
      </c>
      <c r="Z164" s="477" t="str">
        <f>IF($X$164="","",$Z$144)</f>
        <v/>
      </c>
      <c r="AA164" s="477" t="str">
        <f>IF($AC$164="","",ROW($A$164)-ROW($A$144))</f>
        <v/>
      </c>
      <c r="AB164" s="478"/>
      <c r="AC164" s="34"/>
      <c r="AD164" s="356"/>
      <c r="AE164" s="18"/>
      <c r="AF164" s="19"/>
      <c r="AG164" s="480" t="str">
        <f t="shared" si="28"/>
        <v/>
      </c>
      <c r="AH164" s="481" t="str">
        <f t="shared" si="29"/>
        <v/>
      </c>
      <c r="AI164" s="477" t="str">
        <f>IF($AC$164="","",IFERROR(INDEX($AZ$74:$AZ$119,MATCH($AH$164,$AY$74:$AY$119,0)),"AUTRE"))</f>
        <v/>
      </c>
      <c r="AJ164" s="482" t="str">
        <f>IF($AC$164="","",IFERROR(INDEX($BA$74:$BA$119,MATCH($AH$164,$AY$74:$AY$119,0)),1))</f>
        <v/>
      </c>
      <c r="AK164" s="482" t="str">
        <f t="shared" si="30"/>
        <v/>
      </c>
      <c r="AL164" s="477" t="str">
        <f>IF($AC$164="","",IFERROR(INDEX($BB$74:$BB$119,MATCH($AH$164,$AY$74:$AY$119,0)),$AH$164))</f>
        <v/>
      </c>
      <c r="AM164" s="483" t="str">
        <f t="shared" si="31"/>
        <v/>
      </c>
      <c r="AN164" s="484" t="str">
        <f t="shared" si="32"/>
        <v/>
      </c>
      <c r="AO164" s="473" t="str">
        <f t="shared" si="33"/>
        <v/>
      </c>
      <c r="AP164" s="473" t="str">
        <f t="shared" si="34"/>
        <v/>
      </c>
      <c r="AQ164" s="473" t="str">
        <f t="shared" si="35"/>
        <v/>
      </c>
      <c r="AR164" s="473" t="str">
        <f t="shared" si="36"/>
        <v/>
      </c>
      <c r="AS164" s="473" t="str">
        <f t="shared" si="37"/>
        <v/>
      </c>
      <c r="AT164" s="473" t="str">
        <f t="shared" si="38"/>
        <v/>
      </c>
      <c r="AU164" s="473" t="str">
        <f t="shared" si="39"/>
        <v/>
      </c>
      <c r="AZ164" s="497" t="s">
        <v>8147</v>
      </c>
      <c r="BA164" s="34" t="s">
        <v>482</v>
      </c>
      <c r="BB164" s="500"/>
      <c r="BC164" s="271"/>
      <c r="BD164" s="279">
        <v>1</v>
      </c>
      <c r="BE164" s="271"/>
      <c r="BF164" s="271"/>
      <c r="BG164" s="271"/>
      <c r="BH164" s="271"/>
      <c r="BI164" s="271"/>
      <c r="BJ164" s="271"/>
      <c r="BK164" s="271"/>
      <c r="BL164" s="271"/>
    </row>
    <row r="165" spans="18:64" ht="21" customHeight="1" x14ac:dyDescent="0.25">
      <c r="R165" s="34" t="s">
        <v>483</v>
      </c>
      <c r="S165" s="451"/>
      <c r="T165" s="497" t="s">
        <v>466</v>
      </c>
      <c r="V165" s="475">
        <v>3</v>
      </c>
      <c r="W165" s="475" t="str">
        <f>IF($AC$165="","",$W$144)</f>
        <v/>
      </c>
      <c r="X165" s="476" t="str">
        <f>IF($AC$165="","",$X$144)</f>
        <v/>
      </c>
      <c r="Y165" s="477" t="str">
        <f>IF($X$165="","",$Y$144)</f>
        <v/>
      </c>
      <c r="Z165" s="477" t="str">
        <f>IF($X$165="","",$Z$144)</f>
        <v/>
      </c>
      <c r="AA165" s="477" t="str">
        <f>IF($AC$165="","",ROW($A$165)-ROW($A$144))</f>
        <v/>
      </c>
      <c r="AB165" s="478"/>
      <c r="AC165" s="34"/>
      <c r="AD165" s="356"/>
      <c r="AE165" s="18"/>
      <c r="AF165" s="19"/>
      <c r="AG165" s="480" t="str">
        <f t="shared" si="28"/>
        <v/>
      </c>
      <c r="AH165" s="481" t="str">
        <f t="shared" si="29"/>
        <v/>
      </c>
      <c r="AI165" s="477" t="str">
        <f>IF($AC$165="","",IFERROR(INDEX($AZ$74:$AZ$119,MATCH($AH$165,$AY$74:$AY$119,0)),"AUTRE"))</f>
        <v/>
      </c>
      <c r="AJ165" s="482" t="str">
        <f>IF($AC$165="","",IFERROR(INDEX($BA$74:$BA$119,MATCH($AH$165,$AY$74:$AY$119,0)),1))</f>
        <v/>
      </c>
      <c r="AK165" s="482" t="str">
        <f t="shared" si="30"/>
        <v/>
      </c>
      <c r="AL165" s="477" t="str">
        <f>IF($AC$165="","",IFERROR(INDEX($BB$74:$BB$119,MATCH($AH$165,$AY$74:$AY$119,0)),$AH$165))</f>
        <v/>
      </c>
      <c r="AM165" s="483" t="str">
        <f t="shared" si="31"/>
        <v/>
      </c>
      <c r="AN165" s="484" t="str">
        <f t="shared" si="32"/>
        <v/>
      </c>
      <c r="AO165" s="473" t="str">
        <f t="shared" si="33"/>
        <v/>
      </c>
      <c r="AP165" s="473" t="str">
        <f t="shared" si="34"/>
        <v/>
      </c>
      <c r="AQ165" s="473" t="str">
        <f t="shared" si="35"/>
        <v/>
      </c>
      <c r="AR165" s="473" t="str">
        <f t="shared" si="36"/>
        <v/>
      </c>
      <c r="AS165" s="473" t="str">
        <f t="shared" si="37"/>
        <v/>
      </c>
      <c r="AT165" s="473" t="str">
        <f t="shared" si="38"/>
        <v/>
      </c>
      <c r="AU165" s="473" t="str">
        <f t="shared" si="39"/>
        <v/>
      </c>
      <c r="AZ165" s="497" t="s">
        <v>465</v>
      </c>
      <c r="BA165" s="34" t="s">
        <v>496</v>
      </c>
      <c r="BB165" s="500"/>
      <c r="BC165" s="271"/>
      <c r="BD165" s="279">
        <v>1</v>
      </c>
      <c r="BE165" s="271"/>
      <c r="BF165" s="271"/>
      <c r="BG165" s="271"/>
      <c r="BH165" s="271"/>
      <c r="BI165" s="271"/>
      <c r="BJ165" s="271"/>
      <c r="BK165" s="271"/>
      <c r="BL165" s="271"/>
    </row>
    <row r="166" spans="18:64" ht="21" customHeight="1" x14ac:dyDescent="0.25">
      <c r="R166" s="34" t="s">
        <v>493</v>
      </c>
      <c r="S166" s="451"/>
      <c r="T166" s="440" t="s">
        <v>8110</v>
      </c>
      <c r="V166" s="475">
        <v>3</v>
      </c>
      <c r="W166" s="475" t="str">
        <f>IF($AC$166="","",$W$144)</f>
        <v/>
      </c>
      <c r="X166" s="476" t="str">
        <f>IF($AC$166="","",$X$144)</f>
        <v/>
      </c>
      <c r="Y166" s="477" t="str">
        <f>IF($X$166="","",$Y$144)</f>
        <v/>
      </c>
      <c r="Z166" s="477" t="str">
        <f>IF($X$166="","",$Z$144)</f>
        <v/>
      </c>
      <c r="AA166" s="477" t="str">
        <f>IF($AC$166="","",ROW($A$166)-ROW($A$144))</f>
        <v/>
      </c>
      <c r="AB166" s="478"/>
      <c r="AC166" s="34"/>
      <c r="AD166" s="356"/>
      <c r="AE166" s="18"/>
      <c r="AF166" s="19"/>
      <c r="AG166" s="480" t="str">
        <f t="shared" si="28"/>
        <v/>
      </c>
      <c r="AH166" s="481" t="str">
        <f t="shared" si="29"/>
        <v/>
      </c>
      <c r="AI166" s="477" t="str">
        <f>IF($AC$166="","",IFERROR(INDEX($AZ$74:$AZ$119,MATCH($AH$166,$AY$74:$AY$119,0)),"AUTRE"))</f>
        <v/>
      </c>
      <c r="AJ166" s="482" t="str">
        <f>IF($AC$166="","",IFERROR(INDEX($BA$74:$BA$119,MATCH($AH$166,$AY$74:$AY$119,0)),1))</f>
        <v/>
      </c>
      <c r="AK166" s="482" t="str">
        <f t="shared" si="30"/>
        <v/>
      </c>
      <c r="AL166" s="477" t="str">
        <f>IF($AC$166="","",IFERROR(INDEX($BB$74:$BB$119,MATCH($AH$166,$AY$74:$AY$119,0)),$AH$166))</f>
        <v/>
      </c>
      <c r="AM166" s="483" t="str">
        <f t="shared" si="31"/>
        <v/>
      </c>
      <c r="AN166" s="484" t="str">
        <f t="shared" si="32"/>
        <v/>
      </c>
      <c r="AO166" s="473" t="str">
        <f t="shared" si="33"/>
        <v/>
      </c>
      <c r="AP166" s="473" t="str">
        <f t="shared" si="34"/>
        <v/>
      </c>
      <c r="AQ166" s="473" t="str">
        <f t="shared" si="35"/>
        <v/>
      </c>
      <c r="AR166" s="473" t="str">
        <f t="shared" si="36"/>
        <v/>
      </c>
      <c r="AS166" s="473" t="str">
        <f t="shared" si="37"/>
        <v/>
      </c>
      <c r="AT166" s="473" t="str">
        <f t="shared" si="38"/>
        <v/>
      </c>
      <c r="AU166" s="473" t="str">
        <f t="shared" si="39"/>
        <v/>
      </c>
      <c r="AZ166" s="497" t="s">
        <v>466</v>
      </c>
      <c r="BA166" s="34" t="s">
        <v>483</v>
      </c>
      <c r="BB166" s="500"/>
      <c r="BC166" s="271"/>
      <c r="BD166" s="279">
        <v>1</v>
      </c>
      <c r="BE166" s="271"/>
      <c r="BF166" s="271"/>
      <c r="BG166" s="271"/>
      <c r="BH166" s="271"/>
      <c r="BI166" s="271"/>
      <c r="BJ166" s="271"/>
      <c r="BK166" s="271"/>
      <c r="BL166" s="271"/>
    </row>
    <row r="167" spans="18:64" ht="21" customHeight="1" x14ac:dyDescent="0.25">
      <c r="R167" s="34" t="s">
        <v>494</v>
      </c>
      <c r="S167" s="451"/>
      <c r="T167" s="452" t="s">
        <v>8113</v>
      </c>
      <c r="V167" s="475">
        <v>3</v>
      </c>
      <c r="W167" s="475" t="str">
        <f>IF($AC$167="","",$W$144)</f>
        <v/>
      </c>
      <c r="X167" s="476" t="str">
        <f>IF($AC$167="","",$X$144)</f>
        <v/>
      </c>
      <c r="Y167" s="477" t="str">
        <f>IF($X$167="","",$Y$144)</f>
        <v/>
      </c>
      <c r="Z167" s="477" t="str">
        <f>IF($X$167="","",$Z$144)</f>
        <v/>
      </c>
      <c r="AA167" s="477" t="str">
        <f>IF($AC$167="","",ROW($A$167)-ROW($A$144))</f>
        <v/>
      </c>
      <c r="AB167" s="478"/>
      <c r="AC167" s="34"/>
      <c r="AD167" s="356"/>
      <c r="AE167" s="18"/>
      <c r="AF167" s="19"/>
      <c r="AG167" s="480" t="str">
        <f t="shared" si="28"/>
        <v/>
      </c>
      <c r="AH167" s="481" t="str">
        <f t="shared" si="29"/>
        <v/>
      </c>
      <c r="AI167" s="477" t="str">
        <f>IF($AC$167="","",IFERROR(INDEX($AZ$74:$AZ$119,MATCH($AH$167,$AY$74:$AY$119,0)),"AUTRE"))</f>
        <v/>
      </c>
      <c r="AJ167" s="482" t="str">
        <f>IF($AC$167="","",IFERROR(INDEX($BA$74:$BA$119,MATCH($AH$167,$AY$74:$AY$119,0)),1))</f>
        <v/>
      </c>
      <c r="AK167" s="482" t="str">
        <f t="shared" si="30"/>
        <v/>
      </c>
      <c r="AL167" s="477" t="str">
        <f>IF($AC$167="","",IFERROR(INDEX($BB$74:$BB$119,MATCH($AH$167,$AY$74:$AY$119,0)),$AH$167))</f>
        <v/>
      </c>
      <c r="AM167" s="483" t="str">
        <f t="shared" si="31"/>
        <v/>
      </c>
      <c r="AN167" s="484" t="str">
        <f t="shared" si="32"/>
        <v/>
      </c>
      <c r="AO167" s="473" t="str">
        <f t="shared" si="33"/>
        <v/>
      </c>
      <c r="AP167" s="473" t="str">
        <f t="shared" si="34"/>
        <v/>
      </c>
      <c r="AQ167" s="473" t="str">
        <f t="shared" si="35"/>
        <v/>
      </c>
      <c r="AR167" s="473" t="str">
        <f t="shared" si="36"/>
        <v/>
      </c>
      <c r="AS167" s="473" t="str">
        <f t="shared" si="37"/>
        <v/>
      </c>
      <c r="AT167" s="473" t="str">
        <f t="shared" si="38"/>
        <v/>
      </c>
      <c r="AU167" s="473" t="str">
        <f t="shared" si="39"/>
        <v/>
      </c>
      <c r="AZ167" s="14" t="s">
        <v>7</v>
      </c>
      <c r="BA167" s="34" t="s">
        <v>493</v>
      </c>
      <c r="BB167" s="500"/>
      <c r="BC167" s="271"/>
      <c r="BD167" s="279">
        <v>1</v>
      </c>
      <c r="BE167" s="271"/>
      <c r="BF167" s="271"/>
      <c r="BG167" s="271"/>
      <c r="BH167" s="271"/>
      <c r="BI167" s="271"/>
      <c r="BJ167" s="271"/>
      <c r="BK167" s="271"/>
      <c r="BL167" s="271"/>
    </row>
    <row r="168" spans="18:64" ht="21" customHeight="1" x14ac:dyDescent="0.25">
      <c r="S168" s="451"/>
      <c r="T168" s="14" t="s">
        <v>7</v>
      </c>
      <c r="V168" s="475">
        <v>3</v>
      </c>
      <c r="W168" s="475" t="str">
        <f>IF($AC$168="","",$W$144)</f>
        <v/>
      </c>
      <c r="X168" s="476" t="str">
        <f>IF($AC$168="","",$X$144)</f>
        <v/>
      </c>
      <c r="Y168" s="477" t="str">
        <f>IF($X$168="","",$Y$144)</f>
        <v/>
      </c>
      <c r="Z168" s="477" t="str">
        <f>IF($X$168="","",$Z$144)</f>
        <v/>
      </c>
      <c r="AA168" s="477" t="str">
        <f>IF($AC$168="","",ROW($A$168)-ROW($A$144))</f>
        <v/>
      </c>
      <c r="AB168" s="478"/>
      <c r="AC168" s="34"/>
      <c r="AD168" s="356"/>
      <c r="AE168" s="18"/>
      <c r="AF168" s="19"/>
      <c r="AG168" s="480" t="str">
        <f t="shared" si="28"/>
        <v/>
      </c>
      <c r="AH168" s="481" t="str">
        <f t="shared" si="29"/>
        <v/>
      </c>
      <c r="AI168" s="477" t="str">
        <f>IF($AC$168="","",IFERROR(INDEX($AZ$74:$AZ$119,MATCH($AH$168,$AY$74:$AY$119,0)),"AUTRE"))</f>
        <v/>
      </c>
      <c r="AJ168" s="482" t="str">
        <f>IF($AC$168="","",IFERROR(INDEX($BA$74:$BA$119,MATCH($AH$168,$AY$74:$AY$119,0)),1))</f>
        <v/>
      </c>
      <c r="AK168" s="482" t="str">
        <f t="shared" si="30"/>
        <v/>
      </c>
      <c r="AL168" s="477" t="str">
        <f>IF($AC$168="","",IFERROR(INDEX($BB$74:$BB$119,MATCH($AH$168,$AY$74:$AY$119,0)),$AH$168))</f>
        <v/>
      </c>
      <c r="AM168" s="483" t="str">
        <f t="shared" si="31"/>
        <v/>
      </c>
      <c r="AN168" s="484" t="str">
        <f t="shared" si="32"/>
        <v/>
      </c>
      <c r="AO168" s="473" t="str">
        <f t="shared" si="33"/>
        <v/>
      </c>
      <c r="AP168" s="473" t="str">
        <f t="shared" si="34"/>
        <v/>
      </c>
      <c r="AQ168" s="473" t="str">
        <f t="shared" si="35"/>
        <v/>
      </c>
      <c r="AR168" s="473" t="str">
        <f t="shared" si="36"/>
        <v/>
      </c>
      <c r="AS168" s="473" t="str">
        <f t="shared" si="37"/>
        <v/>
      </c>
      <c r="AT168" s="473" t="str">
        <f t="shared" si="38"/>
        <v/>
      </c>
      <c r="AU168" s="473" t="str">
        <f t="shared" si="39"/>
        <v/>
      </c>
      <c r="AZ168" s="27" t="s">
        <v>8</v>
      </c>
      <c r="BA168" s="34" t="s">
        <v>494</v>
      </c>
      <c r="BB168" s="500"/>
      <c r="BC168" s="271"/>
      <c r="BD168" s="279">
        <v>1</v>
      </c>
      <c r="BE168" s="271"/>
      <c r="BF168" s="271"/>
      <c r="BG168" s="271"/>
      <c r="BH168" s="271"/>
      <c r="BI168" s="271"/>
      <c r="BJ168" s="271"/>
      <c r="BK168" s="271"/>
      <c r="BL168" s="271"/>
    </row>
    <row r="169" spans="18:64" ht="21" customHeight="1" x14ac:dyDescent="0.25">
      <c r="R169" s="25" t="s">
        <v>6115</v>
      </c>
      <c r="S169" s="451"/>
      <c r="T169" s="27" t="s">
        <v>8</v>
      </c>
      <c r="V169" s="475">
        <v>3</v>
      </c>
      <c r="W169" s="475" t="str">
        <f>IF($AC$169="","",$W$144)</f>
        <v/>
      </c>
      <c r="X169" s="476" t="str">
        <f>IF($AC$169="","",$X$144)</f>
        <v/>
      </c>
      <c r="Y169" s="477" t="str">
        <f>IF($X$169="","",$Y$144)</f>
        <v/>
      </c>
      <c r="Z169" s="477" t="str">
        <f>IF($X$169="","",$Z$144)</f>
        <v/>
      </c>
      <c r="AA169" s="477" t="str">
        <f>IF($AC$169="","",ROW($A$169)-ROW($A$144))</f>
        <v/>
      </c>
      <c r="AB169" s="478"/>
      <c r="AC169" s="34"/>
      <c r="AD169" s="356"/>
      <c r="AE169" s="18"/>
      <c r="AF169" s="19"/>
      <c r="AG169" s="480" t="str">
        <f t="shared" si="28"/>
        <v/>
      </c>
      <c r="AH169" s="481" t="str">
        <f t="shared" si="29"/>
        <v/>
      </c>
      <c r="AI169" s="477" t="str">
        <f>IF($AC$169="","",IFERROR(INDEX($AZ$74:$AZ$119,MATCH($AH$169,$AY$74:$AY$119,0)),"AUTRE"))</f>
        <v/>
      </c>
      <c r="AJ169" s="482" t="str">
        <f>IF($AC$169="","",IFERROR(INDEX($BA$74:$BA$119,MATCH($AH$169,$AY$74:$AY$119,0)),1))</f>
        <v/>
      </c>
      <c r="AK169" s="482" t="str">
        <f t="shared" si="30"/>
        <v/>
      </c>
      <c r="AL169" s="477" t="str">
        <f>IF($AC$169="","",IFERROR(INDEX($BB$74:$BB$119,MATCH($AH$169,$AY$74:$AY$119,0)),$AH$169))</f>
        <v/>
      </c>
      <c r="AM169" s="483" t="str">
        <f t="shared" si="31"/>
        <v/>
      </c>
      <c r="AN169" s="484" t="str">
        <f t="shared" si="32"/>
        <v/>
      </c>
      <c r="AO169" s="473" t="str">
        <f t="shared" si="33"/>
        <v/>
      </c>
      <c r="AP169" s="473" t="str">
        <f t="shared" si="34"/>
        <v/>
      </c>
      <c r="AQ169" s="473" t="str">
        <f t="shared" si="35"/>
        <v/>
      </c>
      <c r="AR169" s="473" t="str">
        <f t="shared" si="36"/>
        <v/>
      </c>
      <c r="AS169" s="473" t="str">
        <f t="shared" si="37"/>
        <v/>
      </c>
      <c r="AT169" s="473" t="str">
        <f t="shared" si="38"/>
        <v/>
      </c>
      <c r="AU169" s="473" t="str">
        <f t="shared" si="39"/>
        <v/>
      </c>
      <c r="AZ169" s="28" t="s">
        <v>13</v>
      </c>
      <c r="BB169" s="500"/>
      <c r="BC169" s="271"/>
      <c r="BD169" s="279">
        <v>1</v>
      </c>
      <c r="BE169" s="271"/>
      <c r="BF169" s="271"/>
      <c r="BG169" s="271"/>
      <c r="BH169" s="271"/>
      <c r="BI169" s="271"/>
      <c r="BJ169" s="271"/>
      <c r="BK169" s="271"/>
      <c r="BL169" s="271"/>
    </row>
    <row r="170" spans="18:64" ht="21" customHeight="1" x14ac:dyDescent="0.25">
      <c r="R170" s="34" t="s">
        <v>471</v>
      </c>
      <c r="S170" s="451"/>
      <c r="T170" s="28" t="s">
        <v>13</v>
      </c>
      <c r="V170" s="475">
        <v>3</v>
      </c>
      <c r="W170" s="475" t="str">
        <f>IF($AC$170="","",$W$144)</f>
        <v/>
      </c>
      <c r="X170" s="476" t="str">
        <f>IF($AC$170="","",$X$144)</f>
        <v/>
      </c>
      <c r="Y170" s="477" t="str">
        <f>IF($X$170="","",$Y$144)</f>
        <v/>
      </c>
      <c r="Z170" s="477" t="str">
        <f>IF($X$170="","",$Z$144)</f>
        <v/>
      </c>
      <c r="AA170" s="477" t="str">
        <f>IF($AC$170="","",ROW($A$170)-ROW($A$144))</f>
        <v/>
      </c>
      <c r="AB170" s="478"/>
      <c r="AC170" s="34"/>
      <c r="AD170" s="356"/>
      <c r="AE170" s="18"/>
      <c r="AF170" s="19"/>
      <c r="AG170" s="480" t="str">
        <f t="shared" si="28"/>
        <v/>
      </c>
      <c r="AH170" s="481" t="str">
        <f t="shared" si="29"/>
        <v/>
      </c>
      <c r="AI170" s="477" t="str">
        <f>IF($AC$170="","",IFERROR(INDEX($AZ$74:$AZ$119,MATCH($AH$170,$AY$74:$AY$119,0)),"AUTRE"))</f>
        <v/>
      </c>
      <c r="AJ170" s="482" t="str">
        <f>IF($AC$170="","",IFERROR(INDEX($BA$74:$BA$119,MATCH($AH$170,$AY$74:$AY$119,0)),1))</f>
        <v/>
      </c>
      <c r="AK170" s="482" t="str">
        <f t="shared" si="30"/>
        <v/>
      </c>
      <c r="AL170" s="477" t="str">
        <f>IF($AC$170="","",IFERROR(INDEX($BB$74:$BB$119,MATCH($AH$170,$AY$74:$AY$119,0)),$AH$170))</f>
        <v/>
      </c>
      <c r="AM170" s="483" t="str">
        <f t="shared" si="31"/>
        <v/>
      </c>
      <c r="AN170" s="484" t="str">
        <f t="shared" si="32"/>
        <v/>
      </c>
      <c r="AO170" s="473" t="str">
        <f t="shared" si="33"/>
        <v/>
      </c>
      <c r="AP170" s="473" t="str">
        <f t="shared" si="34"/>
        <v/>
      </c>
      <c r="AQ170" s="473" t="str">
        <f t="shared" si="35"/>
        <v/>
      </c>
      <c r="AR170" s="473" t="str">
        <f t="shared" si="36"/>
        <v/>
      </c>
      <c r="AS170" s="473" t="str">
        <f t="shared" si="37"/>
        <v/>
      </c>
      <c r="AT170" s="473" t="str">
        <f t="shared" si="38"/>
        <v/>
      </c>
      <c r="AU170" s="473" t="str">
        <f t="shared" si="39"/>
        <v/>
      </c>
      <c r="AZ170" s="28" t="s">
        <v>14</v>
      </c>
      <c r="BA170" s="25" t="s">
        <v>6115</v>
      </c>
      <c r="BB170" s="500"/>
      <c r="BC170" s="271"/>
      <c r="BD170" s="279">
        <v>1</v>
      </c>
      <c r="BE170" s="271"/>
      <c r="BF170" s="271"/>
      <c r="BG170" s="271"/>
      <c r="BH170" s="271"/>
      <c r="BI170" s="271"/>
      <c r="BJ170" s="271"/>
      <c r="BK170" s="271"/>
      <c r="BL170" s="271"/>
    </row>
    <row r="171" spans="18:64" ht="21" customHeight="1" x14ac:dyDescent="0.25">
      <c r="R171" s="34" t="s">
        <v>472</v>
      </c>
      <c r="S171" s="451"/>
      <c r="T171" s="28" t="s">
        <v>14</v>
      </c>
      <c r="V171" s="475">
        <v>3</v>
      </c>
      <c r="W171" s="475" t="str">
        <f>IF($AC$171="","",$W$144)</f>
        <v/>
      </c>
      <c r="X171" s="476" t="str">
        <f>IF($AC$171="","",$X$144)</f>
        <v/>
      </c>
      <c r="Y171" s="477" t="str">
        <f>IF($X$171="","",$Y$144)</f>
        <v/>
      </c>
      <c r="Z171" s="477" t="str">
        <f>IF($X$171="","",$Z$144)</f>
        <v/>
      </c>
      <c r="AA171" s="477" t="str">
        <f>IF($AC$171="","",ROW($A$171)-ROW($A$144))</f>
        <v/>
      </c>
      <c r="AB171" s="478"/>
      <c r="AC171" s="34"/>
      <c r="AD171" s="356"/>
      <c r="AE171" s="18"/>
      <c r="AF171" s="19"/>
      <c r="AG171" s="480" t="str">
        <f t="shared" si="28"/>
        <v/>
      </c>
      <c r="AH171" s="481" t="str">
        <f t="shared" si="29"/>
        <v/>
      </c>
      <c r="AI171" s="477" t="str">
        <f>IF($AC$171="","",IFERROR(INDEX($AZ$74:$AZ$119,MATCH($AH$171,$AY$74:$AY$119,0)),"AUTRE"))</f>
        <v/>
      </c>
      <c r="AJ171" s="482" t="str">
        <f>IF($AC$171="","",IFERROR(INDEX($BA$74:$BA$119,MATCH($AH$171,$AY$74:$AY$119,0)),1))</f>
        <v/>
      </c>
      <c r="AK171" s="482" t="str">
        <f t="shared" si="30"/>
        <v/>
      </c>
      <c r="AL171" s="477" t="str">
        <f>IF($AC$171="","",IFERROR(INDEX($BB$74:$BB$119,MATCH($AH$171,$AY$74:$AY$119,0)),$AH$171))</f>
        <v/>
      </c>
      <c r="AM171" s="483" t="str">
        <f t="shared" si="31"/>
        <v/>
      </c>
      <c r="AN171" s="484" t="str">
        <f t="shared" si="32"/>
        <v/>
      </c>
      <c r="AO171" s="473" t="str">
        <f t="shared" si="33"/>
        <v/>
      </c>
      <c r="AP171" s="473" t="str">
        <f t="shared" si="34"/>
        <v/>
      </c>
      <c r="AQ171" s="473" t="str">
        <f t="shared" si="35"/>
        <v/>
      </c>
      <c r="AR171" s="473" t="str">
        <f t="shared" si="36"/>
        <v/>
      </c>
      <c r="AS171" s="473" t="str">
        <f t="shared" si="37"/>
        <v/>
      </c>
      <c r="AT171" s="473" t="str">
        <f t="shared" si="38"/>
        <v/>
      </c>
      <c r="AU171" s="473" t="str">
        <f t="shared" si="39"/>
        <v/>
      </c>
      <c r="AZ171" s="28" t="s">
        <v>15</v>
      </c>
      <c r="BA171" s="34" t="s">
        <v>471</v>
      </c>
      <c r="BB171" s="500"/>
      <c r="BC171" s="271"/>
      <c r="BD171" s="279">
        <v>1</v>
      </c>
      <c r="BE171" s="271"/>
      <c r="BF171" s="271"/>
      <c r="BG171" s="271"/>
      <c r="BH171" s="271"/>
      <c r="BI171" s="271"/>
      <c r="BJ171" s="271"/>
      <c r="BK171" s="271"/>
      <c r="BL171" s="271"/>
    </row>
    <row r="172" spans="18:64" ht="21" customHeight="1" x14ac:dyDescent="0.25">
      <c r="R172" s="34" t="s">
        <v>6112</v>
      </c>
      <c r="S172" s="451"/>
      <c r="T172" s="28" t="s">
        <v>15</v>
      </c>
      <c r="V172" s="475">
        <v>3</v>
      </c>
      <c r="W172" s="475" t="str">
        <f>IF($AC$172="","",$W$144)</f>
        <v/>
      </c>
      <c r="X172" s="476" t="str">
        <f>IF($AC$172="","",$X$144)</f>
        <v/>
      </c>
      <c r="Y172" s="477" t="str">
        <f>IF($X$172="","",$Y$144)</f>
        <v/>
      </c>
      <c r="Z172" s="477" t="str">
        <f>IF($X$172="","",$Z$144)</f>
        <v/>
      </c>
      <c r="AA172" s="477" t="str">
        <f>IF($AC$172="","",ROW($A$172)-ROW($A$144))</f>
        <v/>
      </c>
      <c r="AB172" s="478"/>
      <c r="AC172" s="34"/>
      <c r="AD172" s="356"/>
      <c r="AE172" s="18"/>
      <c r="AF172" s="19"/>
      <c r="AG172" s="480" t="str">
        <f t="shared" si="28"/>
        <v/>
      </c>
      <c r="AH172" s="481" t="str">
        <f t="shared" si="29"/>
        <v/>
      </c>
      <c r="AI172" s="477" t="str">
        <f>IF($AC$172="","",IFERROR(INDEX($AZ$74:$AZ$119,MATCH($AH$172,$AY$74:$AY$119,0)),"AUTRE"))</f>
        <v/>
      </c>
      <c r="AJ172" s="482" t="str">
        <f>IF($AC$172="","",IFERROR(INDEX($BA$74:$BA$119,MATCH($AH$172,$AY$74:$AY$119,0)),1))</f>
        <v/>
      </c>
      <c r="AK172" s="482" t="str">
        <f t="shared" si="30"/>
        <v/>
      </c>
      <c r="AL172" s="477" t="str">
        <f>IF($AC$172="","",IFERROR(INDEX($BB$74:$BB$119,MATCH($AH$172,$AY$74:$AY$119,0)),$AH$172))</f>
        <v/>
      </c>
      <c r="AM172" s="483" t="str">
        <f t="shared" si="31"/>
        <v/>
      </c>
      <c r="AN172" s="484" t="str">
        <f t="shared" si="32"/>
        <v/>
      </c>
      <c r="AO172" s="473" t="str">
        <f t="shared" si="33"/>
        <v/>
      </c>
      <c r="AP172" s="473" t="str">
        <f t="shared" si="34"/>
        <v/>
      </c>
      <c r="AQ172" s="473" t="str">
        <f t="shared" si="35"/>
        <v/>
      </c>
      <c r="AR172" s="473" t="str">
        <f t="shared" si="36"/>
        <v/>
      </c>
      <c r="AS172" s="473" t="str">
        <f t="shared" si="37"/>
        <v/>
      </c>
      <c r="AT172" s="473" t="str">
        <f t="shared" si="38"/>
        <v/>
      </c>
      <c r="AU172" s="473" t="str">
        <f t="shared" si="39"/>
        <v/>
      </c>
      <c r="AY172" s="271"/>
      <c r="AZ172" s="29" t="s">
        <v>9</v>
      </c>
      <c r="BA172" s="34" t="s">
        <v>472</v>
      </c>
      <c r="BB172" s="499"/>
      <c r="BC172" s="271"/>
      <c r="BD172" s="279">
        <v>1</v>
      </c>
      <c r="BE172" s="271"/>
      <c r="BF172" s="271"/>
      <c r="BG172" s="271"/>
      <c r="BH172" s="271"/>
      <c r="BI172" s="271"/>
      <c r="BJ172" s="271"/>
      <c r="BK172" s="271"/>
      <c r="BL172" s="271"/>
    </row>
    <row r="173" spans="18:64" ht="21" customHeight="1" x14ac:dyDescent="0.25">
      <c r="R173" s="25" t="s">
        <v>6116</v>
      </c>
      <c r="S173" s="451"/>
      <c r="T173" s="28" t="s">
        <v>21</v>
      </c>
      <c r="V173" s="475">
        <v>3</v>
      </c>
      <c r="W173" s="475" t="str">
        <f>IF($AC$173="","",$W$144)</f>
        <v/>
      </c>
      <c r="X173" s="476" t="str">
        <f>IF($AC$173="","",$X$144)</f>
        <v/>
      </c>
      <c r="Y173" s="477" t="str">
        <f>IF($X$173="","",$Y$144)</f>
        <v/>
      </c>
      <c r="Z173" s="477" t="str">
        <f>IF($X$173="","",$Z$144)</f>
        <v/>
      </c>
      <c r="AA173" s="477" t="str">
        <f>IF($AC$173="","",ROW($A$173)-ROW($A$144))</f>
        <v/>
      </c>
      <c r="AB173" s="478"/>
      <c r="AC173" s="34"/>
      <c r="AD173" s="356"/>
      <c r="AE173" s="18"/>
      <c r="AF173" s="19"/>
      <c r="AG173" s="480" t="str">
        <f t="shared" si="28"/>
        <v/>
      </c>
      <c r="AH173" s="481" t="str">
        <f t="shared" si="29"/>
        <v/>
      </c>
      <c r="AI173" s="477" t="str">
        <f>IF($AC$173="","",IFERROR(INDEX($AZ$74:$AZ$119,MATCH($AH$173,$AY$74:$AY$119,0)),"AUTRE"))</f>
        <v/>
      </c>
      <c r="AJ173" s="482" t="str">
        <f>IF($AC$173="","",IFERROR(INDEX($BA$74:$BA$119,MATCH($AH$173,$AY$74:$AY$119,0)),1))</f>
        <v/>
      </c>
      <c r="AK173" s="482" t="str">
        <f t="shared" si="30"/>
        <v/>
      </c>
      <c r="AL173" s="477" t="str">
        <f>IF($AC$173="","",IFERROR(INDEX($BB$74:$BB$119,MATCH($AH$173,$AY$74:$AY$119,0)),$AH$173))</f>
        <v/>
      </c>
      <c r="AM173" s="483" t="str">
        <f t="shared" si="31"/>
        <v/>
      </c>
      <c r="AN173" s="484" t="str">
        <f t="shared" si="32"/>
        <v/>
      </c>
      <c r="AO173" s="473" t="str">
        <f t="shared" si="33"/>
        <v/>
      </c>
      <c r="AP173" s="473" t="str">
        <f t="shared" si="34"/>
        <v/>
      </c>
      <c r="AQ173" s="473" t="str">
        <f t="shared" si="35"/>
        <v/>
      </c>
      <c r="AR173" s="473" t="str">
        <f t="shared" si="36"/>
        <v/>
      </c>
      <c r="AS173" s="473" t="str">
        <f t="shared" si="37"/>
        <v/>
      </c>
      <c r="AT173" s="473" t="str">
        <f t="shared" si="38"/>
        <v/>
      </c>
      <c r="AU173" s="473" t="str">
        <f t="shared" si="39"/>
        <v/>
      </c>
      <c r="AY173" s="497" t="s">
        <v>8145</v>
      </c>
      <c r="AZ173" s="30" t="s">
        <v>10</v>
      </c>
      <c r="BA173" s="34" t="s">
        <v>6112</v>
      </c>
      <c r="BB173" s="499"/>
      <c r="BC173" s="271"/>
      <c r="BD173" s="279">
        <v>1</v>
      </c>
      <c r="BE173" s="271"/>
      <c r="BF173" s="271"/>
      <c r="BG173" s="271"/>
      <c r="BH173" s="271"/>
      <c r="BI173" s="271"/>
      <c r="BJ173" s="271"/>
      <c r="BK173" s="271"/>
      <c r="BL173" s="271"/>
    </row>
    <row r="174" spans="18:64" ht="21" customHeight="1" x14ac:dyDescent="0.25">
      <c r="R174" s="34" t="s">
        <v>6117</v>
      </c>
      <c r="S174" s="451"/>
      <c r="T174" s="28" t="s">
        <v>22</v>
      </c>
      <c r="V174" s="475">
        <v>3</v>
      </c>
      <c r="W174" s="475" t="str">
        <f>IF($AC$174="","",$W$144)</f>
        <v/>
      </c>
      <c r="X174" s="476" t="str">
        <f>IF($AC$174="","",$X$144)</f>
        <v/>
      </c>
      <c r="Y174" s="477" t="str">
        <f>IF($X$174="","",$Y$144)</f>
        <v/>
      </c>
      <c r="Z174" s="477" t="str">
        <f>IF($X$174="","",$Z$144)</f>
        <v/>
      </c>
      <c r="AA174" s="477" t="str">
        <f>IF($AC$174="","",ROW($A$174)-ROW($A$144))</f>
        <v/>
      </c>
      <c r="AB174" s="478"/>
      <c r="AC174" s="34"/>
      <c r="AD174" s="356"/>
      <c r="AE174" s="18"/>
      <c r="AF174" s="19"/>
      <c r="AG174" s="480" t="str">
        <f t="shared" si="28"/>
        <v/>
      </c>
      <c r="AH174" s="481" t="str">
        <f t="shared" si="29"/>
        <v/>
      </c>
      <c r="AI174" s="477" t="str">
        <f>IF($AC$174="","",IFERROR(INDEX($AZ$74:$AZ$119,MATCH($AH$174,$AY$74:$AY$119,0)),"AUTRE"))</f>
        <v/>
      </c>
      <c r="AJ174" s="482" t="str">
        <f>IF($AC$174="","",IFERROR(INDEX($BA$74:$BA$119,MATCH($AH$174,$AY$74:$AY$119,0)),1))</f>
        <v/>
      </c>
      <c r="AK174" s="482" t="str">
        <f t="shared" si="30"/>
        <v/>
      </c>
      <c r="AL174" s="477" t="str">
        <f>IF($AC$174="","",IFERROR(INDEX($BB$74:$BB$119,MATCH($AH$174,$AY$74:$AY$119,0)),$AH$174))</f>
        <v/>
      </c>
      <c r="AM174" s="483" t="str">
        <f t="shared" si="31"/>
        <v/>
      </c>
      <c r="AN174" s="484" t="str">
        <f t="shared" si="32"/>
        <v/>
      </c>
      <c r="AO174" s="473" t="str">
        <f t="shared" si="33"/>
        <v/>
      </c>
      <c r="AP174" s="473" t="str">
        <f t="shared" si="34"/>
        <v/>
      </c>
      <c r="AQ174" s="473" t="str">
        <f t="shared" si="35"/>
        <v/>
      </c>
      <c r="AR174" s="473" t="str">
        <f t="shared" si="36"/>
        <v/>
      </c>
      <c r="AS174" s="473" t="str">
        <f t="shared" si="37"/>
        <v/>
      </c>
      <c r="AT174" s="473" t="str">
        <f t="shared" si="38"/>
        <v/>
      </c>
      <c r="AU174" s="473" t="str">
        <f t="shared" si="39"/>
        <v/>
      </c>
      <c r="AY174" s="497" t="s">
        <v>462</v>
      </c>
      <c r="AZ174" s="30" t="s">
        <v>11</v>
      </c>
      <c r="BA174" s="25" t="s">
        <v>6116</v>
      </c>
      <c r="BB174" s="499"/>
      <c r="BC174" s="271"/>
      <c r="BD174" s="279">
        <v>1</v>
      </c>
      <c r="BE174" s="271"/>
      <c r="BF174" s="271"/>
      <c r="BG174" s="271"/>
      <c r="BH174" s="271"/>
      <c r="BI174" s="271"/>
      <c r="BJ174" s="271"/>
      <c r="BK174" s="271"/>
      <c r="BL174" s="271"/>
    </row>
    <row r="175" spans="18:64" ht="21" customHeight="1" x14ac:dyDescent="0.25">
      <c r="R175" s="34" t="s">
        <v>469</v>
      </c>
      <c r="S175" s="451"/>
      <c r="T175" s="28" t="s">
        <v>23</v>
      </c>
      <c r="V175" s="475">
        <v>3</v>
      </c>
      <c r="W175" s="475" t="str">
        <f>IF($AC$175="","",$W$144)</f>
        <v/>
      </c>
      <c r="X175" s="476" t="str">
        <f>IF($AC$175="","",$X$144)</f>
        <v/>
      </c>
      <c r="Y175" s="477" t="str">
        <f>IF($X$175="","",$Y$144)</f>
        <v/>
      </c>
      <c r="Z175" s="477" t="str">
        <f>IF($X$175="","",$Z$144)</f>
        <v/>
      </c>
      <c r="AA175" s="477" t="str">
        <f>IF($AC$175="","",ROW($A$175)-ROW($A$144))</f>
        <v/>
      </c>
      <c r="AB175" s="478"/>
      <c r="AC175" s="34"/>
      <c r="AD175" s="356"/>
      <c r="AE175" s="18"/>
      <c r="AF175" s="19"/>
      <c r="AG175" s="480" t="str">
        <f t="shared" si="28"/>
        <v/>
      </c>
      <c r="AH175" s="481" t="str">
        <f t="shared" si="29"/>
        <v/>
      </c>
      <c r="AI175" s="477" t="str">
        <f>IF($AC$175="","",IFERROR(INDEX($AZ$74:$AZ$119,MATCH($AH$175,$AY$74:$AY$119,0)),"AUTRE"))</f>
        <v/>
      </c>
      <c r="AJ175" s="482" t="str">
        <f>IF($AC$175="","",IFERROR(INDEX($BA$74:$BA$119,MATCH($AH$175,$AY$74:$AY$119,0)),1))</f>
        <v/>
      </c>
      <c r="AK175" s="482" t="str">
        <f t="shared" si="30"/>
        <v/>
      </c>
      <c r="AL175" s="477" t="str">
        <f>IF($AC$175="","",IFERROR(INDEX($BB$74:$BB$119,MATCH($AH$175,$AY$74:$AY$119,0)),$AH$175))</f>
        <v/>
      </c>
      <c r="AM175" s="483" t="str">
        <f t="shared" si="31"/>
        <v/>
      </c>
      <c r="AN175" s="484" t="str">
        <f t="shared" si="32"/>
        <v/>
      </c>
      <c r="AO175" s="473" t="str">
        <f t="shared" si="33"/>
        <v/>
      </c>
      <c r="AP175" s="473" t="str">
        <f t="shared" si="34"/>
        <v/>
      </c>
      <c r="AQ175" s="473" t="str">
        <f t="shared" si="35"/>
        <v/>
      </c>
      <c r="AR175" s="473" t="str">
        <f t="shared" si="36"/>
        <v/>
      </c>
      <c r="AS175" s="473" t="str">
        <f t="shared" si="37"/>
        <v/>
      </c>
      <c r="AT175" s="473" t="str">
        <f t="shared" si="38"/>
        <v/>
      </c>
      <c r="AU175" s="473" t="str">
        <f t="shared" si="39"/>
        <v/>
      </c>
      <c r="AY175" s="497" t="s">
        <v>463</v>
      </c>
      <c r="AZ175" s="30" t="s">
        <v>12</v>
      </c>
      <c r="BA175" s="34" t="s">
        <v>6117</v>
      </c>
      <c r="BB175" s="499"/>
      <c r="BC175" s="271"/>
      <c r="BD175" s="279">
        <v>1</v>
      </c>
      <c r="BE175" s="271"/>
      <c r="BF175" s="271"/>
      <c r="BG175" s="271"/>
      <c r="BH175" s="271"/>
      <c r="BI175" s="271"/>
      <c r="BJ175" s="271"/>
      <c r="BK175" s="271"/>
      <c r="BL175" s="271"/>
    </row>
    <row r="176" spans="18:64" ht="21" customHeight="1" x14ac:dyDescent="0.25">
      <c r="R176" s="34" t="s">
        <v>6118</v>
      </c>
      <c r="S176" s="451"/>
      <c r="T176" s="28" t="s">
        <v>24</v>
      </c>
      <c r="V176" s="475">
        <v>3</v>
      </c>
      <c r="W176" s="475" t="str">
        <f>IF($AC$176="","",$W$144)</f>
        <v/>
      </c>
      <c r="X176" s="476" t="str">
        <f>IF($AC$176="","",$X$144)</f>
        <v/>
      </c>
      <c r="Y176" s="477" t="str">
        <f>IF($X$176="","",$Y$144)</f>
        <v/>
      </c>
      <c r="Z176" s="477" t="str">
        <f>IF($X$176="","",$Z$144)</f>
        <v/>
      </c>
      <c r="AA176" s="477" t="str">
        <f>IF($AC$176="","",ROW($A$176)-ROW($A$144))</f>
        <v/>
      </c>
      <c r="AB176" s="478"/>
      <c r="AC176" s="34"/>
      <c r="AD176" s="356"/>
      <c r="AE176" s="18"/>
      <c r="AF176" s="19"/>
      <c r="AG176" s="480" t="str">
        <f t="shared" si="28"/>
        <v/>
      </c>
      <c r="AH176" s="481" t="str">
        <f t="shared" si="29"/>
        <v/>
      </c>
      <c r="AI176" s="477" t="str">
        <f>IF($AC$176="","",IFERROR(INDEX($AZ$74:$AZ$119,MATCH($AH$176,$AY$74:$AY$119,0)),"AUTRE"))</f>
        <v/>
      </c>
      <c r="AJ176" s="482" t="str">
        <f>IF($AC$176="","",IFERROR(INDEX($BA$74:$BA$119,MATCH($AH$176,$AY$74:$AY$119,0)),1))</f>
        <v/>
      </c>
      <c r="AK176" s="482" t="str">
        <f t="shared" si="30"/>
        <v/>
      </c>
      <c r="AL176" s="477" t="str">
        <f>IF($AC$176="","",IFERROR(INDEX($BB$74:$BB$119,MATCH($AH$176,$AY$74:$AY$119,0)),$AH$176))</f>
        <v/>
      </c>
      <c r="AM176" s="483" t="str">
        <f t="shared" si="31"/>
        <v/>
      </c>
      <c r="AN176" s="484" t="str">
        <f t="shared" si="32"/>
        <v/>
      </c>
      <c r="AO176" s="473" t="str">
        <f t="shared" si="33"/>
        <v/>
      </c>
      <c r="AP176" s="473" t="str">
        <f t="shared" si="34"/>
        <v/>
      </c>
      <c r="AQ176" s="473" t="str">
        <f t="shared" si="35"/>
        <v/>
      </c>
      <c r="AR176" s="473" t="str">
        <f t="shared" si="36"/>
        <v/>
      </c>
      <c r="AS176" s="473" t="str">
        <f t="shared" si="37"/>
        <v/>
      </c>
      <c r="AT176" s="473" t="str">
        <f t="shared" si="38"/>
        <v/>
      </c>
      <c r="AU176" s="473" t="str">
        <f t="shared" si="39"/>
        <v/>
      </c>
      <c r="AY176" s="497" t="s">
        <v>8147</v>
      </c>
      <c r="AZ176" s="31" t="s">
        <v>16</v>
      </c>
      <c r="BA176" s="34" t="s">
        <v>469</v>
      </c>
      <c r="BB176" s="499"/>
      <c r="BC176" s="271"/>
      <c r="BD176" s="279">
        <v>1</v>
      </c>
      <c r="BE176" s="271"/>
      <c r="BF176" s="271"/>
      <c r="BG176" s="271"/>
      <c r="BH176" s="271"/>
      <c r="BI176" s="271"/>
      <c r="BJ176" s="271"/>
      <c r="BK176" s="271"/>
      <c r="BL176" s="271"/>
    </row>
    <row r="177" spans="18:64" ht="21" customHeight="1" x14ac:dyDescent="0.25">
      <c r="R177" s="34" t="s">
        <v>492</v>
      </c>
      <c r="S177" s="451"/>
      <c r="T177" s="29" t="s">
        <v>9</v>
      </c>
      <c r="V177" s="475">
        <v>3</v>
      </c>
      <c r="W177" s="475" t="str">
        <f>IF($AC$177="","",$W$144)</f>
        <v/>
      </c>
      <c r="X177" s="476" t="str">
        <f>IF($AC$177="","",$X$144)</f>
        <v/>
      </c>
      <c r="Y177" s="477" t="str">
        <f>IF($X$177="","",$Y$144)</f>
        <v/>
      </c>
      <c r="Z177" s="477" t="str">
        <f>IF($X$177="","",$Z$144)</f>
        <v/>
      </c>
      <c r="AA177" s="477" t="str">
        <f>IF($AC$177="","",ROW($A$177)-ROW($A$144))</f>
        <v/>
      </c>
      <c r="AB177" s="478"/>
      <c r="AC177" s="34"/>
      <c r="AD177" s="356"/>
      <c r="AE177" s="18"/>
      <c r="AF177" s="19"/>
      <c r="AG177" s="480" t="str">
        <f t="shared" si="28"/>
        <v/>
      </c>
      <c r="AH177" s="481" t="str">
        <f t="shared" si="29"/>
        <v/>
      </c>
      <c r="AI177" s="477" t="str">
        <f>IF($AC$177="","",IFERROR(INDEX($AZ$74:$AZ$119,MATCH($AH$177,$AY$74:$AY$119,0)),"AUTRE"))</f>
        <v/>
      </c>
      <c r="AJ177" s="482" t="str">
        <f>IF($AC$177="","",IFERROR(INDEX($BA$74:$BA$119,MATCH($AH$177,$AY$74:$AY$119,0)),1))</f>
        <v/>
      </c>
      <c r="AK177" s="482" t="str">
        <f t="shared" si="30"/>
        <v/>
      </c>
      <c r="AL177" s="477" t="str">
        <f>IF($AC$177="","",IFERROR(INDEX($BB$74:$BB$119,MATCH($AH$177,$AY$74:$AY$119,0)),$AH$177))</f>
        <v/>
      </c>
      <c r="AM177" s="483" t="str">
        <f t="shared" si="31"/>
        <v/>
      </c>
      <c r="AN177" s="484" t="str">
        <f t="shared" si="32"/>
        <v/>
      </c>
      <c r="AO177" s="473" t="str">
        <f t="shared" si="33"/>
        <v/>
      </c>
      <c r="AP177" s="473" t="str">
        <f t="shared" si="34"/>
        <v/>
      </c>
      <c r="AQ177" s="473" t="str">
        <f t="shared" si="35"/>
        <v/>
      </c>
      <c r="AR177" s="473" t="str">
        <f t="shared" si="36"/>
        <v/>
      </c>
      <c r="AS177" s="473" t="str">
        <f t="shared" si="37"/>
        <v/>
      </c>
      <c r="AT177" s="473" t="str">
        <f t="shared" si="38"/>
        <v/>
      </c>
      <c r="AU177" s="473" t="str">
        <f t="shared" si="39"/>
        <v/>
      </c>
      <c r="AY177" s="497" t="s">
        <v>465</v>
      </c>
      <c r="AZ177" s="31" t="s">
        <v>17</v>
      </c>
      <c r="BA177" s="34" t="s">
        <v>6118</v>
      </c>
      <c r="BB177" s="499"/>
      <c r="BC177" s="271"/>
      <c r="BD177" s="279">
        <v>1</v>
      </c>
      <c r="BE177" s="271"/>
      <c r="BF177" s="271"/>
      <c r="BG177" s="271"/>
      <c r="BH177" s="271"/>
      <c r="BI177" s="271"/>
      <c r="BJ177" s="271"/>
      <c r="BK177" s="271"/>
      <c r="BL177" s="271"/>
    </row>
    <row r="178" spans="18:64" ht="21" customHeight="1" x14ac:dyDescent="0.25">
      <c r="R178" s="34" t="s">
        <v>458</v>
      </c>
      <c r="S178" s="451"/>
      <c r="T178" s="30" t="s">
        <v>10</v>
      </c>
      <c r="V178" s="475">
        <v>3</v>
      </c>
      <c r="W178" s="475" t="str">
        <f>IF($AC$178="","",$W$144)</f>
        <v>N° 47</v>
      </c>
      <c r="X178" s="476" t="str">
        <f>IF($AC$178="","",$X$144)</f>
        <v>ŒUFS EN PIPERADE (TCHATCHOUKA)*</v>
      </c>
      <c r="Y178" s="477">
        <f>IF($X$178="","",$Y$144)</f>
        <v>64</v>
      </c>
      <c r="Z178" s="477">
        <f>IF($X$178="","",$Z$144)</f>
        <v>100</v>
      </c>
      <c r="AA178" s="477">
        <f>IF($AC$178="","",ROW($A$178)-ROW($A$144))</f>
        <v>34</v>
      </c>
      <c r="AB178" s="478"/>
      <c r="AC178" s="34" t="s">
        <v>486</v>
      </c>
      <c r="AD178" s="356"/>
      <c r="AE178" s="18">
        <v>6</v>
      </c>
      <c r="AF178" s="33" t="s">
        <v>462</v>
      </c>
      <c r="AG178" s="491">
        <f t="shared" si="28"/>
        <v>6</v>
      </c>
      <c r="AH178" s="481" t="str">
        <f t="shared" si="29"/>
        <v>BAC(S)</v>
      </c>
      <c r="AI178" s="477" t="str">
        <f>IF($AC$178="","",IFERROR(INDEX($AZ$74:$AZ$119,MATCH($AH$178,$AY$74:$AY$119,0)),"AUTRE"))</f>
        <v>AUTRE</v>
      </c>
      <c r="AJ178" s="482">
        <f>IF($AC$178="","",IFERROR(INDEX($BA$74:$BA$119,MATCH($AH$178,$AY$74:$AY$119,0)),1))</f>
        <v>1</v>
      </c>
      <c r="AK178" s="482">
        <f t="shared" si="30"/>
        <v>6</v>
      </c>
      <c r="AL178" s="477" t="str">
        <f>IF($AC$178="","",IFERROR(INDEX($BB$74:$BB$119,MATCH($AH$178,$AY$74:$AY$119,0)),$AH$178))</f>
        <v>bac(s)</v>
      </c>
      <c r="AM178" s="483" t="str">
        <f t="shared" si="31"/>
        <v>OK</v>
      </c>
      <c r="AN178" s="484">
        <f t="shared" si="32"/>
        <v>6</v>
      </c>
      <c r="AO178" s="473" t="str">
        <f t="shared" si="33"/>
        <v/>
      </c>
      <c r="AP178" s="473" t="str">
        <f t="shared" si="34"/>
        <v/>
      </c>
      <c r="AQ178" s="473" t="str">
        <f t="shared" si="35"/>
        <v/>
      </c>
      <c r="AR178" s="473" t="str">
        <f t="shared" si="36"/>
        <v/>
      </c>
      <c r="AS178" s="473" t="str">
        <f t="shared" si="37"/>
        <v/>
      </c>
      <c r="AT178" s="473" t="str">
        <f t="shared" si="38"/>
        <v/>
      </c>
      <c r="AU178" s="473" t="str">
        <f t="shared" si="39"/>
        <v/>
      </c>
      <c r="AY178" s="497" t="s">
        <v>466</v>
      </c>
      <c r="AZ178" s="31" t="s">
        <v>18</v>
      </c>
      <c r="BA178" s="34" t="s">
        <v>492</v>
      </c>
      <c r="BB178" s="499"/>
      <c r="BC178" s="271"/>
      <c r="BD178" s="279">
        <v>1</v>
      </c>
      <c r="BE178" s="271"/>
      <c r="BF178" s="271"/>
      <c r="BG178" s="271"/>
      <c r="BH178" s="271"/>
      <c r="BI178" s="271"/>
      <c r="BJ178" s="271"/>
      <c r="BK178" s="271"/>
      <c r="BL178" s="271"/>
    </row>
    <row r="179" spans="18:64" ht="30" customHeight="1" x14ac:dyDescent="0.25">
      <c r="R179" s="490"/>
      <c r="S179" s="451"/>
      <c r="T179" s="30" t="s">
        <v>11</v>
      </c>
      <c r="V179" s="453" t="s">
        <v>324</v>
      </c>
      <c r="W179" s="453" t="s">
        <v>7912</v>
      </c>
      <c r="X179" s="453" t="s">
        <v>326</v>
      </c>
      <c r="Y179" s="453" t="s">
        <v>327</v>
      </c>
      <c r="Z179" s="454" t="s">
        <v>7930</v>
      </c>
      <c r="AA179" s="453" t="s">
        <v>7937</v>
      </c>
      <c r="AB179" s="455" t="s">
        <v>39</v>
      </c>
      <c r="AC179" s="455" t="s">
        <v>338</v>
      </c>
      <c r="AD179" s="455" t="s">
        <v>8114</v>
      </c>
      <c r="AE179" s="455" t="s">
        <v>339</v>
      </c>
      <c r="AF179" s="455" t="s">
        <v>7997</v>
      </c>
      <c r="AG179" s="453" t="s">
        <v>8018</v>
      </c>
      <c r="AH179" s="453" t="s">
        <v>8023</v>
      </c>
      <c r="AI179" s="453" t="s">
        <v>330</v>
      </c>
      <c r="AJ179" s="453" t="s">
        <v>8031</v>
      </c>
      <c r="AK179" s="453" t="s">
        <v>8037</v>
      </c>
      <c r="AL179" s="453" t="s">
        <v>8041</v>
      </c>
      <c r="AM179" s="453" t="s">
        <v>343</v>
      </c>
      <c r="AN179" s="457" t="s">
        <v>8115</v>
      </c>
      <c r="AO179" s="457" t="s">
        <v>8116</v>
      </c>
      <c r="AP179" s="656" t="s">
        <v>8117</v>
      </c>
      <c r="AQ179" s="656"/>
      <c r="AR179" s="656"/>
      <c r="AS179" s="656"/>
      <c r="AT179" s="656"/>
      <c r="AU179" s="657"/>
      <c r="AZ179" s="31" t="s">
        <v>19</v>
      </c>
      <c r="BA179" s="34" t="s">
        <v>458</v>
      </c>
      <c r="BB179" s="499"/>
      <c r="BC179" s="271"/>
      <c r="BD179" s="279">
        <v>1</v>
      </c>
      <c r="BE179" s="271"/>
      <c r="BF179" s="271"/>
      <c r="BG179" s="271"/>
      <c r="BH179" s="271"/>
      <c r="BI179" s="271"/>
      <c r="BJ179" s="271"/>
      <c r="BK179" s="271"/>
      <c r="BL179" s="271"/>
    </row>
    <row r="180" spans="18:64" ht="30" customHeight="1" x14ac:dyDescent="0.25">
      <c r="R180" s="25" t="s">
        <v>6119</v>
      </c>
      <c r="S180" s="451"/>
      <c r="T180" s="30" t="s">
        <v>12</v>
      </c>
      <c r="V180" s="459">
        <v>4</v>
      </c>
      <c r="W180" s="460" t="s">
        <v>288</v>
      </c>
      <c r="X180" s="461" t="s">
        <v>390</v>
      </c>
      <c r="Y180" s="462">
        <v>65</v>
      </c>
      <c r="Z180" s="463">
        <v>100</v>
      </c>
      <c r="AA180" s="464">
        <f>IF($AC$396="","",ROW($A$396)-ROW($A$396))</f>
        <v>0</v>
      </c>
      <c r="AB180" s="461"/>
      <c r="AC180" s="465" t="s">
        <v>391</v>
      </c>
      <c r="AD180" s="390"/>
      <c r="AE180" s="13">
        <v>250</v>
      </c>
      <c r="AF180" s="26" t="s">
        <v>309</v>
      </c>
      <c r="AG180" s="467">
        <f t="shared" ref="AG180:AG214" si="40">IF($AC180="","",IF(LEN($AN180&amp;"")=0,"",$AN180))</f>
        <v>250</v>
      </c>
      <c r="AH180" s="468" t="str">
        <f t="shared" ref="AH180:AH214" si="41">IF($AC180="","",IF($AF180&lt;&gt;"",UPPER(TRIM(SUBSTITUTE(SUBSTITUTE($AF180&amp;"",CHAR(160)," ")," "," "))),$AP180))</f>
        <v>PIÈCE(S)</v>
      </c>
      <c r="AI180" s="469" t="str">
        <f>IF($AC$180="","",IFERROR(INDEX($AZ$74:$AZ$119,MATCH($AH$180,$AY$74:$AY$119,0)),"AUTRE"))</f>
        <v>AUTRE</v>
      </c>
      <c r="AJ180" s="470">
        <f>IF($AC$180="","",IFERROR(INDEX($BA$74:$BA$119,MATCH($AH$180,$AY$74:$AY$119,0)),1))</f>
        <v>1</v>
      </c>
      <c r="AK180" s="470">
        <f t="shared" ref="AK180:AK214" si="42">IF(OR(AG180="",AJ180=""),"",AG180*AJ180)</f>
        <v>250</v>
      </c>
      <c r="AL180" s="469" t="str">
        <f>IF($AC$180="","",IFERROR(INDEX($BB$74:$BB$119,MATCH($AH$180,$AY$74:$AY$119,0)),$AH$180))</f>
        <v>pièce(s)</v>
      </c>
      <c r="AM180" s="471" t="str">
        <f t="shared" ref="AM180:AM214" si="43">IF($AC180="","",IF($AH180="QT. SUFFISANTE","OK",IF($AG180="","TEXTE",IF(NOT(ISNUMBER($AG180)),"QUANTITÉ À CONTRÔLER",IF(COUNTIF($AY$74:$AY$119,$AH180)=0,"UNITÉ À CONTRÔLER","OK")))))</f>
        <v>OK</v>
      </c>
      <c r="AN180" s="474">
        <f t="shared" ref="AN180:AN214" si="44">IF($AE180&lt;&gt;"",$AE180,IF($AD180="","",IF(ISNUMBER($AD180),$AD180,IF($AO180="QT",0,IF($AO180="","",IFERROR(IF(ISNUMBER(SEARCH("/",$AO180)),VALUE(TRIM(LEFT($AO180,SEARCH("/",$AO180)-1)))/VALUE(TRIM(MID($AO180,SEARCH("/",$AO180)+1,99))),VALUE(SUBSTITUTE($AO180,".",","))),""))))))</f>
        <v>250</v>
      </c>
      <c r="AO180" s="473" t="str">
        <f t="shared" ref="AO180:AO214" si="45">IF($AD180="","",IF(ISNUMBER($AD180),$AD180,IF(OR(LEFT($AQ180,3)="QT.",LEFT($AQ180,4)="QUAN"),"QT",IF($AR180=999,$AQ180,TRIM(LEFT($AQ180,$AR180-1))))))</f>
        <v/>
      </c>
      <c r="AP180" s="473" t="str">
        <f t="shared" ref="AP180:AP214" si="46">IF($AD180="","",IF(ISNUMBER($AD180),"",IF(OR(LEFT($AQ180,3)="QT.",LEFT($AQ180,4)="QUAN"),"QT. SUFFISANTE",IF($AO180="","",TRIM(MID($AQ180,LEN($AO180&amp;"")+1,999))))))</f>
        <v/>
      </c>
      <c r="AQ180" s="473" t="str">
        <f t="shared" ref="AQ180:AQ214" si="47">IF($AD180="","",UPPER(TRIM(SUBSTITUTE(SUBSTITUTE($AD180&amp;"",CHAR(160)," ")," "," "))))</f>
        <v/>
      </c>
      <c r="AR180" s="473" t="str">
        <f t="shared" ref="AR180:AR214" si="48">IF($AQ180="","",MIN($AS180,$AT180,$AU180))</f>
        <v/>
      </c>
      <c r="AS180" s="473" t="str">
        <f t="shared" ref="AS180:AS214" si="49">IF($AQ180="","",MIN(IFERROR(SEARCH("A",$AQ180),999),IFERROR(SEARCH("B",$AQ180),999),IFERROR(SEARCH("C",$AQ180),999),IFERROR(SEARCH("D",$AQ180),999),IFERROR(SEARCH("E",$AQ180),999),IFERROR(SEARCH("F",$AQ180),999),IFERROR(SEARCH("G",$AQ180),999),IFERROR(SEARCH("H",$AQ180),999),IFERROR(SEARCH("I",$AQ180),999)))</f>
        <v/>
      </c>
      <c r="AT180" s="473" t="str">
        <f t="shared" ref="AT180:AT214" si="50">IF($AQ180="","",MIN(IFERROR(SEARCH("J",$AQ180),999),IFERROR(SEARCH("K",$AQ180),999),IFERROR(SEARCH("L",$AQ180),999),IFERROR(SEARCH("M",$AQ180),999),IFERROR(SEARCH("N",$AQ180),999),IFERROR(SEARCH("O",$AQ180),999),IFERROR(SEARCH("P",$AQ180),999),IFERROR(SEARCH("Q",$AQ180),999),IFERROR(SEARCH("R",$AQ180),999)))</f>
        <v/>
      </c>
      <c r="AU180" s="473" t="str">
        <f t="shared" ref="AU180:AU214" si="51">IF($AQ180="","",MIN(IFERROR(SEARCH("S",$AQ180),999),IFERROR(SEARCH("T",$AQ180),999),IFERROR(SEARCH("U",$AQ180),999),IFERROR(SEARCH("V",$AQ180),999),IFERROR(SEARCH("W",$AQ180),999),IFERROR(SEARCH("X",$AQ180),999),IFERROR(SEARCH("Y",$AQ180),999),IFERROR(SEARCH("Z",$AQ180),999)))</f>
        <v/>
      </c>
      <c r="AZ180" s="31" t="s">
        <v>211</v>
      </c>
      <c r="BA180" s="490"/>
      <c r="BB180" s="499"/>
      <c r="BC180" s="271"/>
      <c r="BD180" s="279">
        <v>1</v>
      </c>
      <c r="BE180" s="271"/>
      <c r="BF180" s="271"/>
      <c r="BG180" s="271"/>
      <c r="BH180" s="271"/>
      <c r="BI180" s="271"/>
      <c r="BJ180" s="271"/>
      <c r="BK180" s="271"/>
      <c r="BL180" s="271"/>
    </row>
    <row r="181" spans="18:64" ht="21" customHeight="1" x14ac:dyDescent="0.25">
      <c r="R181" s="34" t="s">
        <v>6120</v>
      </c>
      <c r="S181" s="451"/>
      <c r="T181" s="31" t="s">
        <v>16</v>
      </c>
      <c r="V181" s="475">
        <f>$V$180</f>
        <v>4</v>
      </c>
      <c r="W181" s="475" t="str">
        <f>IF($AC$181="","",$W$180)</f>
        <v>N° 48</v>
      </c>
      <c r="X181" s="476" t="str">
        <f>IF($AC$181="","",$X$180)</f>
        <v>BROUILLADE D'ŒUFS FORESTIÈRE*</v>
      </c>
      <c r="Y181" s="477">
        <f>IF($X$181="","",$Y$180)</f>
        <v>65</v>
      </c>
      <c r="Z181" s="477">
        <f>IF($X$181="","",$Z$180)</f>
        <v>100</v>
      </c>
      <c r="AA181" s="477">
        <f>IF($AC$181="","",ROW($A$181)-ROW($A$180))</f>
        <v>1</v>
      </c>
      <c r="AB181" s="478"/>
      <c r="AC181" s="34" t="s">
        <v>303</v>
      </c>
      <c r="AD181" s="356"/>
      <c r="AE181" s="18">
        <v>4</v>
      </c>
      <c r="AF181" s="26" t="s">
        <v>318</v>
      </c>
      <c r="AG181" s="480">
        <f t="shared" si="40"/>
        <v>4</v>
      </c>
      <c r="AH181" s="481" t="str">
        <f t="shared" si="41"/>
        <v>BTE(S) 3/1</v>
      </c>
      <c r="AI181" s="477" t="str">
        <f>IF($AC$181="","",IFERROR(INDEX($AZ$74:$AZ$119,MATCH($AH$181,$AY$74:$AY$119,0)),"AUTRE"))</f>
        <v>AUTRE</v>
      </c>
      <c r="AJ181" s="482">
        <f>IF($AC$181="","",IFERROR(INDEX($BA$74:$BA$119,MATCH($AH$181,$AY$74:$AY$119,0)),1))</f>
        <v>1</v>
      </c>
      <c r="AK181" s="482">
        <f t="shared" si="42"/>
        <v>4</v>
      </c>
      <c r="AL181" s="477" t="str">
        <f>IF($AC$181="","",IFERROR(INDEX($BB$74:$BB$119,MATCH($AH$181,$AY$74:$AY$119,0)),$AH$181))</f>
        <v>bte(s) 3/1</v>
      </c>
      <c r="AM181" s="483" t="str">
        <f t="shared" si="43"/>
        <v>OK</v>
      </c>
      <c r="AN181" s="484">
        <f t="shared" si="44"/>
        <v>4</v>
      </c>
      <c r="AO181" s="473" t="str">
        <f t="shared" si="45"/>
        <v/>
      </c>
      <c r="AP181" s="473" t="str">
        <f t="shared" si="46"/>
        <v/>
      </c>
      <c r="AQ181" s="473" t="str">
        <f t="shared" si="47"/>
        <v/>
      </c>
      <c r="AR181" s="473" t="str">
        <f t="shared" si="48"/>
        <v/>
      </c>
      <c r="AS181" s="473" t="str">
        <f t="shared" si="49"/>
        <v/>
      </c>
      <c r="AT181" s="473" t="str">
        <f t="shared" si="50"/>
        <v/>
      </c>
      <c r="AU181" s="473" t="str">
        <f t="shared" si="51"/>
        <v/>
      </c>
      <c r="AZ181" s="31" t="s">
        <v>20</v>
      </c>
      <c r="BA181" s="25" t="s">
        <v>6119</v>
      </c>
      <c r="BB181" s="499"/>
      <c r="BC181" s="271"/>
      <c r="BD181" s="279">
        <v>1</v>
      </c>
      <c r="BE181" s="271"/>
      <c r="BF181" s="271"/>
      <c r="BG181" s="271"/>
      <c r="BH181" s="271"/>
      <c r="BI181" s="271"/>
      <c r="BJ181" s="271"/>
      <c r="BK181" s="271"/>
      <c r="BL181" s="271"/>
    </row>
    <row r="182" spans="18:64" ht="21" customHeight="1" x14ac:dyDescent="0.25">
      <c r="R182" s="34" t="s">
        <v>6121</v>
      </c>
      <c r="S182" s="451"/>
      <c r="T182" s="31" t="s">
        <v>17</v>
      </c>
      <c r="V182" s="475">
        <v>4</v>
      </c>
      <c r="W182" s="475" t="str">
        <f>IF($AC$182="","",$W$180)</f>
        <v>N° 48</v>
      </c>
      <c r="X182" s="476" t="str">
        <f>IF($AC$182="","",$X$180)</f>
        <v>BROUILLADE D'ŒUFS FORESTIÈRE*</v>
      </c>
      <c r="Y182" s="477">
        <f>IF($X$182="","",$Y$180)</f>
        <v>65</v>
      </c>
      <c r="Z182" s="477">
        <f>IF($X$182="","",$Z$180)</f>
        <v>100</v>
      </c>
      <c r="AA182" s="477">
        <f>IF($AC$182="","",ROW($A$182)-ROW($A$180))</f>
        <v>2</v>
      </c>
      <c r="AB182" s="478"/>
      <c r="AC182" s="34" t="s">
        <v>287</v>
      </c>
      <c r="AD182" s="356"/>
      <c r="AE182" s="18">
        <v>5</v>
      </c>
      <c r="AF182" s="3" t="s">
        <v>7</v>
      </c>
      <c r="AG182" s="480">
        <f t="shared" si="40"/>
        <v>5</v>
      </c>
      <c r="AH182" s="481" t="str">
        <f t="shared" si="41"/>
        <v>KG</v>
      </c>
      <c r="AI182" s="477" t="str">
        <f>IF($AC$182="","",IFERROR(INDEX($AZ$74:$AZ$119,MATCH($AH$182,$AY$74:$AY$119,0)),"AUTRE"))</f>
        <v>MASSE</v>
      </c>
      <c r="AJ182" s="482">
        <f>IF($AC$182="","",IFERROR(INDEX($BA$74:$BA$119,MATCH($AH$182,$AY$74:$AY$119,0)),1))</f>
        <v>1</v>
      </c>
      <c r="AK182" s="482">
        <f t="shared" si="42"/>
        <v>5</v>
      </c>
      <c r="AL182" s="477" t="str">
        <f>IF($AC$182="","",IFERROR(INDEX($BB$74:$BB$119,MATCH($AH$182,$AY$74:$AY$119,0)),$AH$182))</f>
        <v>kg</v>
      </c>
      <c r="AM182" s="483" t="str">
        <f t="shared" si="43"/>
        <v>OK</v>
      </c>
      <c r="AN182" s="484">
        <f t="shared" si="44"/>
        <v>5</v>
      </c>
      <c r="AO182" s="473" t="str">
        <f t="shared" si="45"/>
        <v/>
      </c>
      <c r="AP182" s="473" t="str">
        <f t="shared" si="46"/>
        <v/>
      </c>
      <c r="AQ182" s="473" t="str">
        <f t="shared" si="47"/>
        <v/>
      </c>
      <c r="AR182" s="473" t="str">
        <f t="shared" si="48"/>
        <v/>
      </c>
      <c r="AS182" s="473" t="str">
        <f t="shared" si="49"/>
        <v/>
      </c>
      <c r="AT182" s="473" t="str">
        <f t="shared" si="50"/>
        <v/>
      </c>
      <c r="AU182" s="473" t="str">
        <f t="shared" si="51"/>
        <v/>
      </c>
      <c r="AZ182" s="31" t="s">
        <v>304</v>
      </c>
      <c r="BA182" s="34" t="s">
        <v>6120</v>
      </c>
      <c r="BB182" s="499"/>
      <c r="BC182" s="271"/>
      <c r="BD182" s="279">
        <v>1</v>
      </c>
      <c r="BE182" s="271"/>
      <c r="BF182" s="271"/>
      <c r="BG182" s="271"/>
      <c r="BH182" s="271"/>
      <c r="BI182" s="271"/>
      <c r="BJ182" s="271"/>
      <c r="BK182" s="271"/>
      <c r="BL182" s="271"/>
    </row>
    <row r="183" spans="18:64" ht="21" customHeight="1" x14ac:dyDescent="0.25">
      <c r="R183" s="34" t="s">
        <v>6122</v>
      </c>
      <c r="S183" s="451"/>
      <c r="T183" s="31" t="s">
        <v>18</v>
      </c>
      <c r="V183" s="475">
        <v>4</v>
      </c>
      <c r="W183" s="475" t="str">
        <f>IF($AC$183="","",$W$180)</f>
        <v>N° 48</v>
      </c>
      <c r="X183" s="476" t="str">
        <f>IF($AC$183="","",$X$180)</f>
        <v>BROUILLADE D'ŒUFS FORESTIÈRE*</v>
      </c>
      <c r="Y183" s="477">
        <f>IF($X$183="","",$Y$180)</f>
        <v>65</v>
      </c>
      <c r="Z183" s="477">
        <f>IF($X$183="","",$Z$180)</f>
        <v>100</v>
      </c>
      <c r="AA183" s="477">
        <f>IF($AC$183="","",ROW($A$183)-ROW($A$180))</f>
        <v>3</v>
      </c>
      <c r="AB183" s="478"/>
      <c r="AC183" s="34" t="s">
        <v>373</v>
      </c>
      <c r="AD183" s="356"/>
      <c r="AE183" s="18">
        <v>3</v>
      </c>
      <c r="AF183" s="6" t="s">
        <v>9</v>
      </c>
      <c r="AG183" s="480">
        <f t="shared" si="40"/>
        <v>3</v>
      </c>
      <c r="AH183" s="481" t="str">
        <f t="shared" si="41"/>
        <v>L</v>
      </c>
      <c r="AI183" s="477" t="str">
        <f>IF($AC$183="","",IFERROR(INDEX($AZ$74:$AZ$119,MATCH($AH$183,$AY$74:$AY$119,0)),"AUTRE"))</f>
        <v>VOLUME</v>
      </c>
      <c r="AJ183" s="482">
        <f>IF($AC$183="","",IFERROR(INDEX($BA$74:$BA$119,MATCH($AH$183,$AY$74:$AY$119,0)),1))</f>
        <v>1</v>
      </c>
      <c r="AK183" s="482">
        <f t="shared" si="42"/>
        <v>3</v>
      </c>
      <c r="AL183" s="477" t="str">
        <f>IF($AC$183="","",IFERROR(INDEX($BB$74:$BB$119,MATCH($AH$183,$AY$74:$AY$119,0)),$AH$183))</f>
        <v>L</v>
      </c>
      <c r="AM183" s="483" t="str">
        <f t="shared" si="43"/>
        <v>OK</v>
      </c>
      <c r="AN183" s="484">
        <f t="shared" si="44"/>
        <v>3</v>
      </c>
      <c r="AO183" s="473" t="str">
        <f t="shared" si="45"/>
        <v/>
      </c>
      <c r="AP183" s="473" t="str">
        <f t="shared" si="46"/>
        <v/>
      </c>
      <c r="AQ183" s="473" t="str">
        <f t="shared" si="47"/>
        <v/>
      </c>
      <c r="AR183" s="473" t="str">
        <f t="shared" si="48"/>
        <v/>
      </c>
      <c r="AS183" s="473" t="str">
        <f t="shared" si="49"/>
        <v/>
      </c>
      <c r="AT183" s="473" t="str">
        <f t="shared" si="50"/>
        <v/>
      </c>
      <c r="AU183" s="473" t="str">
        <f t="shared" si="51"/>
        <v/>
      </c>
      <c r="AZ183" s="31" t="s">
        <v>352</v>
      </c>
      <c r="BA183" s="34" t="s">
        <v>6121</v>
      </c>
      <c r="BB183" s="499"/>
      <c r="BC183" s="271"/>
      <c r="BD183" s="279">
        <v>1</v>
      </c>
      <c r="BE183" s="271"/>
      <c r="BF183" s="271"/>
      <c r="BG183" s="271"/>
      <c r="BH183" s="271"/>
      <c r="BI183" s="271"/>
      <c r="BJ183" s="271"/>
      <c r="BK183" s="271"/>
      <c r="BL183" s="271"/>
    </row>
    <row r="184" spans="18:64" ht="21" customHeight="1" x14ac:dyDescent="0.25">
      <c r="R184" s="34" t="s">
        <v>6123</v>
      </c>
      <c r="S184" s="451"/>
      <c r="T184" s="31" t="s">
        <v>19</v>
      </c>
      <c r="V184" s="475">
        <v>4</v>
      </c>
      <c r="W184" s="475" t="str">
        <f>IF($AC$184="","",$W$180)</f>
        <v>N° 48</v>
      </c>
      <c r="X184" s="476" t="str">
        <f>IF($AC$184="","",$X$180)</f>
        <v>BROUILLADE D'ŒUFS FORESTIÈRE*</v>
      </c>
      <c r="Y184" s="477">
        <f>IF($X$184="","",$Y$180)</f>
        <v>65</v>
      </c>
      <c r="Z184" s="477">
        <f>IF($X$184="","",$Z$180)</f>
        <v>100</v>
      </c>
      <c r="AA184" s="477">
        <f>IF($AC$184="","",ROW($A$184)-ROW($A$180))</f>
        <v>4</v>
      </c>
      <c r="AB184" s="478"/>
      <c r="AC184" s="34" t="s">
        <v>48</v>
      </c>
      <c r="AD184" s="356"/>
      <c r="AE184" s="18">
        <v>200</v>
      </c>
      <c r="AF184" s="5" t="s">
        <v>8</v>
      </c>
      <c r="AG184" s="480">
        <f t="shared" si="40"/>
        <v>200</v>
      </c>
      <c r="AH184" s="481" t="str">
        <f t="shared" si="41"/>
        <v>G</v>
      </c>
      <c r="AI184" s="477" t="str">
        <f>IF($AC$184="","",IFERROR(INDEX($AZ$74:$AZ$119,MATCH($AH$184,$AY$74:$AY$119,0)),"AUTRE"))</f>
        <v>MASSE</v>
      </c>
      <c r="AJ184" s="482">
        <f>IF($AC$184="","",IFERROR(INDEX($BA$74:$BA$119,MATCH($AH$184,$AY$74:$AY$119,0)),1))</f>
        <v>1E-3</v>
      </c>
      <c r="AK184" s="482">
        <f t="shared" si="42"/>
        <v>0.2</v>
      </c>
      <c r="AL184" s="477" t="str">
        <f>IF($AC$184="","",IFERROR(INDEX($BB$74:$BB$119,MATCH($AH$184,$AY$74:$AY$119,0)),$AH$184))</f>
        <v>kg</v>
      </c>
      <c r="AM184" s="483" t="str">
        <f t="shared" si="43"/>
        <v>OK</v>
      </c>
      <c r="AN184" s="484">
        <f t="shared" si="44"/>
        <v>200</v>
      </c>
      <c r="AO184" s="473" t="str">
        <f t="shared" si="45"/>
        <v/>
      </c>
      <c r="AP184" s="473" t="str">
        <f t="shared" si="46"/>
        <v/>
      </c>
      <c r="AQ184" s="473" t="str">
        <f t="shared" si="47"/>
        <v/>
      </c>
      <c r="AR184" s="473" t="str">
        <f t="shared" si="48"/>
        <v/>
      </c>
      <c r="AS184" s="473" t="str">
        <f t="shared" si="49"/>
        <v/>
      </c>
      <c r="AT184" s="473" t="str">
        <f t="shared" si="50"/>
        <v/>
      </c>
      <c r="AU184" s="473" t="str">
        <f t="shared" si="51"/>
        <v/>
      </c>
      <c r="AZ184" s="31" t="s">
        <v>27</v>
      </c>
      <c r="BA184" s="34" t="s">
        <v>6122</v>
      </c>
      <c r="BB184" s="499"/>
      <c r="BC184" s="271"/>
      <c r="BD184" s="279">
        <v>1</v>
      </c>
      <c r="BE184" s="271"/>
      <c r="BF184" s="271"/>
      <c r="BG184" s="271"/>
      <c r="BH184" s="271"/>
      <c r="BI184" s="271"/>
      <c r="BJ184" s="271"/>
      <c r="BK184" s="271"/>
      <c r="BL184" s="271"/>
    </row>
    <row r="185" spans="18:64" ht="21" customHeight="1" x14ac:dyDescent="0.25">
      <c r="R185" s="34" t="s">
        <v>6124</v>
      </c>
      <c r="S185" s="451"/>
      <c r="T185" s="31" t="s">
        <v>211</v>
      </c>
      <c r="V185" s="475">
        <v>4</v>
      </c>
      <c r="W185" s="475" t="str">
        <f>IF($AC$185="","",$W$180)</f>
        <v>N° 48</v>
      </c>
      <c r="X185" s="476" t="str">
        <f>IF($AC$185="","",$X$180)</f>
        <v>BROUILLADE D'ŒUFS FORESTIÈRE*</v>
      </c>
      <c r="Y185" s="477">
        <f>IF($X$185="","",$Y$180)</f>
        <v>65</v>
      </c>
      <c r="Z185" s="477">
        <f>IF($X$185="","",$Z$180)</f>
        <v>100</v>
      </c>
      <c r="AA185" s="477">
        <f>IF($AC$185="","",ROW($A$185)-ROW($A$180))</f>
        <v>5</v>
      </c>
      <c r="AB185" s="478"/>
      <c r="AC185" s="34" t="s">
        <v>142</v>
      </c>
      <c r="AD185" s="356"/>
      <c r="AE185" s="18">
        <v>300</v>
      </c>
      <c r="AF185" s="5" t="s">
        <v>8</v>
      </c>
      <c r="AG185" s="480">
        <f t="shared" si="40"/>
        <v>300</v>
      </c>
      <c r="AH185" s="481" t="str">
        <f t="shared" si="41"/>
        <v>G</v>
      </c>
      <c r="AI185" s="477" t="str">
        <f>IF($AC$185="","",IFERROR(INDEX($AZ$74:$AZ$119,MATCH($AH$185,$AY$74:$AY$119,0)),"AUTRE"))</f>
        <v>MASSE</v>
      </c>
      <c r="AJ185" s="482">
        <f>IF($AC$185="","",IFERROR(INDEX($BA$74:$BA$119,MATCH($AH$185,$AY$74:$AY$119,0)),1))</f>
        <v>1E-3</v>
      </c>
      <c r="AK185" s="482">
        <f t="shared" si="42"/>
        <v>0.3</v>
      </c>
      <c r="AL185" s="477" t="str">
        <f>IF($AC$185="","",IFERROR(INDEX($BB$74:$BB$119,MATCH($AH$185,$AY$74:$AY$119,0)),$AH$185))</f>
        <v>kg</v>
      </c>
      <c r="AM185" s="483" t="str">
        <f t="shared" si="43"/>
        <v>OK</v>
      </c>
      <c r="AN185" s="484">
        <f t="shared" si="44"/>
        <v>300</v>
      </c>
      <c r="AO185" s="473" t="str">
        <f t="shared" si="45"/>
        <v/>
      </c>
      <c r="AP185" s="473" t="str">
        <f t="shared" si="46"/>
        <v/>
      </c>
      <c r="AQ185" s="473" t="str">
        <f t="shared" si="47"/>
        <v/>
      </c>
      <c r="AR185" s="473" t="str">
        <f t="shared" si="48"/>
        <v/>
      </c>
      <c r="AS185" s="473" t="str">
        <f t="shared" si="49"/>
        <v/>
      </c>
      <c r="AT185" s="473" t="str">
        <f t="shared" si="50"/>
        <v/>
      </c>
      <c r="AU185" s="473" t="str">
        <f t="shared" si="51"/>
        <v/>
      </c>
      <c r="AZ185" s="31" t="s">
        <v>28</v>
      </c>
      <c r="BA185" s="34" t="s">
        <v>6123</v>
      </c>
      <c r="BB185" s="499"/>
      <c r="BC185" s="271"/>
      <c r="BD185" s="279">
        <v>1</v>
      </c>
      <c r="BE185" s="271"/>
      <c r="BF185" s="271"/>
      <c r="BG185" s="271"/>
      <c r="BH185" s="271"/>
      <c r="BI185" s="271"/>
      <c r="BJ185" s="271"/>
      <c r="BK185" s="271"/>
      <c r="BL185" s="271"/>
    </row>
    <row r="186" spans="18:64" ht="21" customHeight="1" x14ac:dyDescent="0.25">
      <c r="R186" s="34" t="s">
        <v>6125</v>
      </c>
      <c r="S186" s="451"/>
      <c r="T186" s="31" t="s">
        <v>20</v>
      </c>
      <c r="V186" s="475">
        <v>4</v>
      </c>
      <c r="W186" s="475" t="str">
        <f>IF($AC$186="","",$W$180)</f>
        <v>N° 48</v>
      </c>
      <c r="X186" s="476" t="str">
        <f>IF($AC$186="","",$X$180)</f>
        <v>BROUILLADE D'ŒUFS FORESTIÈRE*</v>
      </c>
      <c r="Y186" s="477">
        <f>IF($X$186="","",$Y$180)</f>
        <v>65</v>
      </c>
      <c r="Z186" s="477">
        <f>IF($X$186="","",$Z$180)</f>
        <v>100</v>
      </c>
      <c r="AA186" s="477">
        <f>IF($AC$186="","",ROW($A$186)-ROW($A$180))</f>
        <v>6</v>
      </c>
      <c r="AB186" s="478"/>
      <c r="AC186" s="34" t="s">
        <v>67</v>
      </c>
      <c r="AD186" s="356"/>
      <c r="AE186" s="18">
        <v>75</v>
      </c>
      <c r="AF186" s="5" t="s">
        <v>8</v>
      </c>
      <c r="AG186" s="480">
        <f t="shared" si="40"/>
        <v>75</v>
      </c>
      <c r="AH186" s="481" t="str">
        <f t="shared" si="41"/>
        <v>G</v>
      </c>
      <c r="AI186" s="477" t="str">
        <f>IF($AC$186="","",IFERROR(INDEX($AZ$74:$AZ$119,MATCH($AH$186,$AY$74:$AY$119,0)),"AUTRE"))</f>
        <v>MASSE</v>
      </c>
      <c r="AJ186" s="482">
        <f>IF($AC$186="","",IFERROR(INDEX($BA$74:$BA$119,MATCH($AH$186,$AY$74:$AY$119,0)),1))</f>
        <v>1E-3</v>
      </c>
      <c r="AK186" s="482">
        <f t="shared" si="42"/>
        <v>7.4999999999999997E-2</v>
      </c>
      <c r="AL186" s="477" t="str">
        <f>IF($AC$186="","",IFERROR(INDEX($BB$74:$BB$119,MATCH($AH$186,$AY$74:$AY$119,0)),$AH$186))</f>
        <v>kg</v>
      </c>
      <c r="AM186" s="483" t="str">
        <f t="shared" si="43"/>
        <v>OK</v>
      </c>
      <c r="AN186" s="484">
        <f t="shared" si="44"/>
        <v>75</v>
      </c>
      <c r="AO186" s="473" t="str">
        <f t="shared" si="45"/>
        <v/>
      </c>
      <c r="AP186" s="473" t="str">
        <f t="shared" si="46"/>
        <v/>
      </c>
      <c r="AQ186" s="473" t="str">
        <f t="shared" si="47"/>
        <v/>
      </c>
      <c r="AR186" s="473" t="str">
        <f t="shared" si="48"/>
        <v/>
      </c>
      <c r="AS186" s="473" t="str">
        <f t="shared" si="49"/>
        <v/>
      </c>
      <c r="AT186" s="473" t="str">
        <f t="shared" si="50"/>
        <v/>
      </c>
      <c r="AU186" s="473" t="str">
        <f t="shared" si="51"/>
        <v/>
      </c>
      <c r="AZ186" s="31" t="s">
        <v>29</v>
      </c>
      <c r="BA186" s="34" t="s">
        <v>6124</v>
      </c>
      <c r="BB186" s="499"/>
      <c r="BC186" s="271"/>
      <c r="BD186" s="279">
        <v>1</v>
      </c>
      <c r="BE186" s="271"/>
      <c r="BF186" s="271"/>
      <c r="BG186" s="271"/>
      <c r="BH186" s="271"/>
      <c r="BI186" s="271"/>
      <c r="BJ186" s="271"/>
      <c r="BK186" s="271"/>
      <c r="BL186" s="271"/>
    </row>
    <row r="187" spans="18:64" ht="21" customHeight="1" x14ac:dyDescent="0.25">
      <c r="R187" s="34" t="s">
        <v>6126</v>
      </c>
      <c r="S187" s="451"/>
      <c r="T187" s="31" t="s">
        <v>304</v>
      </c>
      <c r="V187" s="475">
        <v>4</v>
      </c>
      <c r="W187" s="475" t="str">
        <f>IF($AC$187="","",$W$180)</f>
        <v>N° 48</v>
      </c>
      <c r="X187" s="476" t="str">
        <f>IF($AC$187="","",$X$180)</f>
        <v>BROUILLADE D'ŒUFS FORESTIÈRE*</v>
      </c>
      <c r="Y187" s="477">
        <f>IF($X$187="","",$Y$180)</f>
        <v>65</v>
      </c>
      <c r="Z187" s="477">
        <f>IF($X$187="","",$Z$180)</f>
        <v>100</v>
      </c>
      <c r="AA187" s="477">
        <f>IF($AC$187="","",ROW($A$187)-ROW($A$180))</f>
        <v>7</v>
      </c>
      <c r="AB187" s="478"/>
      <c r="AC187" s="34" t="s">
        <v>44</v>
      </c>
      <c r="AD187" s="356"/>
      <c r="AE187" s="18">
        <v>12</v>
      </c>
      <c r="AF187" s="5" t="s">
        <v>8</v>
      </c>
      <c r="AG187" s="480">
        <f t="shared" si="40"/>
        <v>12</v>
      </c>
      <c r="AH187" s="481" t="str">
        <f t="shared" si="41"/>
        <v>G</v>
      </c>
      <c r="AI187" s="477" t="str">
        <f>IF($AC$187="","",IFERROR(INDEX($AZ$74:$AZ$119,MATCH($AH$187,$AY$74:$AY$119,0)),"AUTRE"))</f>
        <v>MASSE</v>
      </c>
      <c r="AJ187" s="482">
        <f>IF($AC$187="","",IFERROR(INDEX($BA$74:$BA$119,MATCH($AH$187,$AY$74:$AY$119,0)),1))</f>
        <v>1E-3</v>
      </c>
      <c r="AK187" s="482">
        <f t="shared" si="42"/>
        <v>1.2E-2</v>
      </c>
      <c r="AL187" s="477" t="str">
        <f>IF($AC$187="","",IFERROR(INDEX($BB$74:$BB$119,MATCH($AH$187,$AY$74:$AY$119,0)),$AH$187))</f>
        <v>kg</v>
      </c>
      <c r="AM187" s="483" t="str">
        <f t="shared" si="43"/>
        <v>OK</v>
      </c>
      <c r="AN187" s="484">
        <f t="shared" si="44"/>
        <v>12</v>
      </c>
      <c r="AO187" s="473" t="str">
        <f t="shared" si="45"/>
        <v/>
      </c>
      <c r="AP187" s="473" t="str">
        <f t="shared" si="46"/>
        <v/>
      </c>
      <c r="AQ187" s="473" t="str">
        <f t="shared" si="47"/>
        <v/>
      </c>
      <c r="AR187" s="473" t="str">
        <f t="shared" si="48"/>
        <v/>
      </c>
      <c r="AS187" s="473" t="str">
        <f t="shared" si="49"/>
        <v/>
      </c>
      <c r="AT187" s="473" t="str">
        <f t="shared" si="50"/>
        <v/>
      </c>
      <c r="AU187" s="473" t="str">
        <f t="shared" si="51"/>
        <v/>
      </c>
      <c r="AZ187" s="31" t="s">
        <v>30</v>
      </c>
      <c r="BA187" s="34" t="s">
        <v>6125</v>
      </c>
      <c r="BB187" s="499"/>
      <c r="BC187" s="271"/>
      <c r="BD187" s="279">
        <v>1</v>
      </c>
      <c r="BE187" s="271"/>
      <c r="BF187" s="271"/>
      <c r="BG187" s="271"/>
      <c r="BH187" s="271"/>
      <c r="BI187" s="271"/>
      <c r="BJ187" s="271"/>
      <c r="BK187" s="271"/>
      <c r="BL187" s="271"/>
    </row>
    <row r="188" spans="18:64" ht="21" customHeight="1" x14ac:dyDescent="0.25">
      <c r="R188" s="34" t="s">
        <v>6127</v>
      </c>
      <c r="S188" s="451"/>
      <c r="T188" s="31" t="s">
        <v>352</v>
      </c>
      <c r="V188" s="475">
        <v>4</v>
      </c>
      <c r="W188" s="475" t="str">
        <f>IF($AC$188="","",$W$180)</f>
        <v>N° 48</v>
      </c>
      <c r="X188" s="476" t="str">
        <f>IF($AC$188="","",$X$180)</f>
        <v>BROUILLADE D'ŒUFS FORESTIÈRE*</v>
      </c>
      <c r="Y188" s="477">
        <f>IF($X$188="","",$Y$180)</f>
        <v>65</v>
      </c>
      <c r="Z188" s="477">
        <f>IF($X$188="","",$Z$180)</f>
        <v>100</v>
      </c>
      <c r="AA188" s="477">
        <f>IF($AC$188="","",ROW($A$188)-ROW($A$180))</f>
        <v>8</v>
      </c>
      <c r="AB188" s="478"/>
      <c r="AC188" s="34" t="s">
        <v>74</v>
      </c>
      <c r="AD188" s="356"/>
      <c r="AE188" s="18">
        <v>1</v>
      </c>
      <c r="AF188" s="6" t="s">
        <v>9</v>
      </c>
      <c r="AG188" s="480">
        <f t="shared" si="40"/>
        <v>1</v>
      </c>
      <c r="AH188" s="481" t="str">
        <f t="shared" si="41"/>
        <v>L</v>
      </c>
      <c r="AI188" s="477" t="str">
        <f>IF($AC$188="","",IFERROR(INDEX($AZ$74:$AZ$119,MATCH($AH$188,$AY$74:$AY$119,0)),"AUTRE"))</f>
        <v>VOLUME</v>
      </c>
      <c r="AJ188" s="482">
        <f>IF($AC$188="","",IFERROR(INDEX($BA$74:$BA$119,MATCH($AH$188,$AY$74:$AY$119,0)),1))</f>
        <v>1</v>
      </c>
      <c r="AK188" s="482">
        <f t="shared" si="42"/>
        <v>1</v>
      </c>
      <c r="AL188" s="477" t="str">
        <f>IF($AC$188="","",IFERROR(INDEX($BB$74:$BB$119,MATCH($AH$188,$AY$74:$AY$119,0)),$AH$188))</f>
        <v>L</v>
      </c>
      <c r="AM188" s="483" t="str">
        <f t="shared" si="43"/>
        <v>OK</v>
      </c>
      <c r="AN188" s="484">
        <f t="shared" si="44"/>
        <v>1</v>
      </c>
      <c r="AO188" s="473" t="str">
        <f t="shared" si="45"/>
        <v/>
      </c>
      <c r="AP188" s="473" t="str">
        <f t="shared" si="46"/>
        <v/>
      </c>
      <c r="AQ188" s="473" t="str">
        <f t="shared" si="47"/>
        <v/>
      </c>
      <c r="AR188" s="473" t="str">
        <f t="shared" si="48"/>
        <v/>
      </c>
      <c r="AS188" s="473" t="str">
        <f t="shared" si="49"/>
        <v/>
      </c>
      <c r="AT188" s="473" t="str">
        <f t="shared" si="50"/>
        <v/>
      </c>
      <c r="AU188" s="473" t="str">
        <f t="shared" si="51"/>
        <v/>
      </c>
      <c r="AZ188" s="32" t="s">
        <v>33</v>
      </c>
      <c r="BA188" s="34" t="s">
        <v>6126</v>
      </c>
      <c r="BB188" s="499"/>
      <c r="BC188" s="271"/>
      <c r="BD188" s="279">
        <v>1</v>
      </c>
      <c r="BE188" s="271"/>
      <c r="BF188" s="271"/>
      <c r="BG188" s="271"/>
      <c r="BH188" s="271"/>
      <c r="BI188" s="271"/>
      <c r="BJ188" s="271"/>
      <c r="BK188" s="271"/>
      <c r="BL188" s="271"/>
    </row>
    <row r="189" spans="18:64" ht="21" customHeight="1" x14ac:dyDescent="0.25">
      <c r="R189" s="25" t="s">
        <v>6128</v>
      </c>
      <c r="S189" s="451"/>
      <c r="T189" s="31" t="s">
        <v>25</v>
      </c>
      <c r="V189" s="475">
        <v>4</v>
      </c>
      <c r="W189" s="475" t="str">
        <f>IF($AC$189="","",$W$180)</f>
        <v>N° 48</v>
      </c>
      <c r="X189" s="476" t="str">
        <f>IF($AC$189="","",$X$180)</f>
        <v>BROUILLADE D'ŒUFS FORESTIÈRE*</v>
      </c>
      <c r="Y189" s="477">
        <f>IF($X$189="","",$Y$180)</f>
        <v>65</v>
      </c>
      <c r="Z189" s="477">
        <f>IF($X$189="","",$Z$180)</f>
        <v>100</v>
      </c>
      <c r="AA189" s="477">
        <f>IF($AC$189="","",ROW($A$189)-ROW($A$180))</f>
        <v>9</v>
      </c>
      <c r="AB189" s="478"/>
      <c r="AC189" s="34" t="s">
        <v>392</v>
      </c>
      <c r="AD189" s="356"/>
      <c r="AE189" s="18">
        <v>500</v>
      </c>
      <c r="AF189" s="5" t="s">
        <v>8</v>
      </c>
      <c r="AG189" s="480">
        <f t="shared" si="40"/>
        <v>500</v>
      </c>
      <c r="AH189" s="481" t="str">
        <f t="shared" si="41"/>
        <v>G</v>
      </c>
      <c r="AI189" s="477" t="str">
        <f>IF($AC$189="","",IFERROR(INDEX($AZ$74:$AZ$119,MATCH($AH$189,$AY$74:$AY$119,0)),"AUTRE"))</f>
        <v>MASSE</v>
      </c>
      <c r="AJ189" s="482">
        <f>IF($AC$189="","",IFERROR(INDEX($BA$74:$BA$119,MATCH($AH$189,$AY$74:$AY$119,0)),1))</f>
        <v>1E-3</v>
      </c>
      <c r="AK189" s="482">
        <f t="shared" si="42"/>
        <v>0.5</v>
      </c>
      <c r="AL189" s="477" t="str">
        <f>IF($AC$189="","",IFERROR(INDEX($BB$74:$BB$119,MATCH($AH$189,$AY$74:$AY$119,0)),$AH$189))</f>
        <v>kg</v>
      </c>
      <c r="AM189" s="483" t="str">
        <f t="shared" si="43"/>
        <v>OK</v>
      </c>
      <c r="AN189" s="484">
        <f t="shared" si="44"/>
        <v>500</v>
      </c>
      <c r="AO189" s="473" t="str">
        <f t="shared" si="45"/>
        <v/>
      </c>
      <c r="AP189" s="473" t="str">
        <f t="shared" si="46"/>
        <v/>
      </c>
      <c r="AQ189" s="473" t="str">
        <f t="shared" si="47"/>
        <v/>
      </c>
      <c r="AR189" s="473" t="str">
        <f t="shared" si="48"/>
        <v/>
      </c>
      <c r="AS189" s="473" t="str">
        <f t="shared" si="49"/>
        <v/>
      </c>
      <c r="AT189" s="473" t="str">
        <f t="shared" si="50"/>
        <v/>
      </c>
      <c r="AU189" s="473" t="str">
        <f t="shared" si="51"/>
        <v/>
      </c>
      <c r="AZ189" s="32" t="s">
        <v>8125</v>
      </c>
      <c r="BA189" s="34" t="s">
        <v>6127</v>
      </c>
      <c r="BB189" s="499"/>
      <c r="BC189" s="271"/>
      <c r="BD189" s="279">
        <v>1</v>
      </c>
      <c r="BE189" s="271"/>
      <c r="BF189" s="271"/>
      <c r="BG189" s="271"/>
      <c r="BH189" s="271"/>
      <c r="BI189" s="271"/>
      <c r="BJ189" s="271"/>
      <c r="BK189" s="271"/>
      <c r="BL189" s="271"/>
    </row>
    <row r="190" spans="18:64" ht="21" customHeight="1" x14ac:dyDescent="0.25">
      <c r="R190" s="34" t="s">
        <v>474</v>
      </c>
      <c r="S190" s="451"/>
      <c r="T190" s="31" t="s">
        <v>26</v>
      </c>
      <c r="V190" s="475">
        <v>4</v>
      </c>
      <c r="W190" s="475" t="str">
        <f>IF($AC$190="","",$W$180)</f>
        <v/>
      </c>
      <c r="X190" s="476" t="str">
        <f>IF($AC$190="","",$X$180)</f>
        <v/>
      </c>
      <c r="Y190" s="477" t="str">
        <f>IF($X$190="","",$Y$180)</f>
        <v/>
      </c>
      <c r="Z190" s="477" t="str">
        <f>IF($X$190="","",$Z$180)</f>
        <v/>
      </c>
      <c r="AA190" s="477" t="str">
        <f>IF($AC$190="","",ROW($A$190)-ROW($A$180))</f>
        <v/>
      </c>
      <c r="AB190" s="478"/>
      <c r="AC190" s="34"/>
      <c r="AD190" s="356"/>
      <c r="AE190" s="18"/>
      <c r="AF190" s="19"/>
      <c r="AG190" s="480" t="str">
        <f t="shared" si="40"/>
        <v/>
      </c>
      <c r="AH190" s="481" t="str">
        <f t="shared" si="41"/>
        <v/>
      </c>
      <c r="AI190" s="477" t="str">
        <f>IF($AC$190="","",IFERROR(INDEX($AZ$74:$AZ$119,MATCH($AH$190,$AY$74:$AY$119,0)),"AUTRE"))</f>
        <v/>
      </c>
      <c r="AJ190" s="482" t="str">
        <f>IF($AC$190="","",IFERROR(INDEX($BA$74:$BA$119,MATCH($AH$190,$AY$74:$AY$119,0)),1))</f>
        <v/>
      </c>
      <c r="AK190" s="482" t="str">
        <f t="shared" si="42"/>
        <v/>
      </c>
      <c r="AL190" s="477" t="str">
        <f>IF($AC$190="","",IFERROR(INDEX($BB$74:$BB$119,MATCH($AH$190,$AY$74:$AY$119,0)),$AH$190))</f>
        <v/>
      </c>
      <c r="AM190" s="483" t="str">
        <f t="shared" si="43"/>
        <v/>
      </c>
      <c r="AN190" s="484" t="str">
        <f t="shared" si="44"/>
        <v/>
      </c>
      <c r="AO190" s="473" t="str">
        <f t="shared" si="45"/>
        <v/>
      </c>
      <c r="AP190" s="473" t="str">
        <f t="shared" si="46"/>
        <v/>
      </c>
      <c r="AQ190" s="473" t="str">
        <f t="shared" si="47"/>
        <v/>
      </c>
      <c r="AR190" s="473" t="str">
        <f t="shared" si="48"/>
        <v/>
      </c>
      <c r="AS190" s="473" t="str">
        <f t="shared" si="49"/>
        <v/>
      </c>
      <c r="AT190" s="473" t="str">
        <f t="shared" si="50"/>
        <v/>
      </c>
      <c r="AU190" s="473" t="str">
        <f t="shared" si="51"/>
        <v/>
      </c>
      <c r="AZ190" s="32" t="s">
        <v>8127</v>
      </c>
      <c r="BA190" s="25" t="s">
        <v>6128</v>
      </c>
      <c r="BB190" s="499"/>
      <c r="BC190" s="271"/>
      <c r="BD190" s="279">
        <v>1</v>
      </c>
      <c r="BE190" s="271"/>
      <c r="BF190" s="271"/>
      <c r="BG190" s="271"/>
      <c r="BH190" s="271"/>
      <c r="BI190" s="271"/>
      <c r="BJ190" s="271"/>
      <c r="BK190" s="271"/>
      <c r="BL190" s="271"/>
    </row>
    <row r="191" spans="18:64" ht="21" customHeight="1" x14ac:dyDescent="0.25">
      <c r="R191" s="34" t="s">
        <v>490</v>
      </c>
      <c r="S191" s="451"/>
      <c r="T191" s="31" t="s">
        <v>27</v>
      </c>
      <c r="V191" s="475">
        <v>4</v>
      </c>
      <c r="W191" s="475" t="str">
        <f>IF($AC$191="","",$W$180)</f>
        <v/>
      </c>
      <c r="X191" s="476" t="str">
        <f>IF($AC$191="","",$X$180)</f>
        <v/>
      </c>
      <c r="Y191" s="477" t="str">
        <f>IF($X$191="","",$Y$180)</f>
        <v/>
      </c>
      <c r="Z191" s="477" t="str">
        <f>IF($X$191="","",$Z$180)</f>
        <v/>
      </c>
      <c r="AA191" s="477" t="str">
        <f>IF($AC$191="","",ROW($A$191)-ROW($A$180))</f>
        <v/>
      </c>
      <c r="AB191" s="478"/>
      <c r="AC191" s="34"/>
      <c r="AD191" s="356"/>
      <c r="AE191" s="18"/>
      <c r="AF191" s="19"/>
      <c r="AG191" s="480" t="str">
        <f t="shared" si="40"/>
        <v/>
      </c>
      <c r="AH191" s="481" t="str">
        <f t="shared" si="41"/>
        <v/>
      </c>
      <c r="AI191" s="477" t="str">
        <f>IF($AC$191="","",IFERROR(INDEX($AZ$74:$AZ$119,MATCH($AH$191,$AY$74:$AY$119,0)),"AUTRE"))</f>
        <v/>
      </c>
      <c r="AJ191" s="482" t="str">
        <f>IF($AC$191="","",IFERROR(INDEX($BA$74:$BA$119,MATCH($AH$191,$AY$74:$AY$119,0)),1))</f>
        <v/>
      </c>
      <c r="AK191" s="482" t="str">
        <f t="shared" si="42"/>
        <v/>
      </c>
      <c r="AL191" s="477" t="str">
        <f>IF($AC$191="","",IFERROR(INDEX($BB$74:$BB$119,MATCH($AH$191,$AY$74:$AY$119,0)),$AH$191))</f>
        <v/>
      </c>
      <c r="AM191" s="483" t="str">
        <f t="shared" si="43"/>
        <v/>
      </c>
      <c r="AN191" s="484" t="str">
        <f t="shared" si="44"/>
        <v/>
      </c>
      <c r="AO191" s="473" t="str">
        <f t="shared" si="45"/>
        <v/>
      </c>
      <c r="AP191" s="473" t="str">
        <f t="shared" si="46"/>
        <v/>
      </c>
      <c r="AQ191" s="473" t="str">
        <f t="shared" si="47"/>
        <v/>
      </c>
      <c r="AR191" s="473" t="str">
        <f t="shared" si="48"/>
        <v/>
      </c>
      <c r="AS191" s="473" t="str">
        <f t="shared" si="49"/>
        <v/>
      </c>
      <c r="AT191" s="473" t="str">
        <f t="shared" si="50"/>
        <v/>
      </c>
      <c r="AU191" s="473" t="str">
        <f t="shared" si="51"/>
        <v/>
      </c>
      <c r="AZ191" s="32" t="s">
        <v>320</v>
      </c>
      <c r="BA191" s="34" t="s">
        <v>474</v>
      </c>
      <c r="BB191" s="499"/>
      <c r="BC191" s="271"/>
      <c r="BD191" s="279">
        <v>1</v>
      </c>
      <c r="BE191" s="271"/>
      <c r="BF191" s="271"/>
      <c r="BG191" s="271"/>
      <c r="BH191" s="271"/>
      <c r="BI191" s="271"/>
      <c r="BJ191" s="271"/>
      <c r="BK191" s="271"/>
      <c r="BL191" s="271"/>
    </row>
    <row r="192" spans="18:64" ht="21" customHeight="1" x14ac:dyDescent="0.25">
      <c r="R192" s="34" t="s">
        <v>6129</v>
      </c>
      <c r="S192" s="451"/>
      <c r="T192" s="31" t="s">
        <v>28</v>
      </c>
      <c r="V192" s="475">
        <v>4</v>
      </c>
      <c r="W192" s="475" t="str">
        <f>IF($AC$192="","",$W$180)</f>
        <v/>
      </c>
      <c r="X192" s="476" t="str">
        <f>IF($AC$192="","",$X$180)</f>
        <v/>
      </c>
      <c r="Y192" s="477" t="str">
        <f>IF($X$192="","",$Y$180)</f>
        <v/>
      </c>
      <c r="Z192" s="477" t="str">
        <f>IF($X$192="","",$Z$180)</f>
        <v/>
      </c>
      <c r="AA192" s="477" t="str">
        <f>IF($AC$192="","",ROW($A$192)-ROW($A$180))</f>
        <v/>
      </c>
      <c r="AB192" s="478"/>
      <c r="AC192" s="34"/>
      <c r="AD192" s="356"/>
      <c r="AE192" s="18"/>
      <c r="AF192" s="19"/>
      <c r="AG192" s="480" t="str">
        <f t="shared" si="40"/>
        <v/>
      </c>
      <c r="AH192" s="481" t="str">
        <f t="shared" si="41"/>
        <v/>
      </c>
      <c r="AI192" s="477" t="str">
        <f>IF($AC$192="","",IFERROR(INDEX($AZ$74:$AZ$119,MATCH($AH$192,$AY$74:$AY$119,0)),"AUTRE"))</f>
        <v/>
      </c>
      <c r="AJ192" s="482" t="str">
        <f>IF($AC$192="","",IFERROR(INDEX($BA$74:$BA$119,MATCH($AH$192,$AY$74:$AY$119,0)),1))</f>
        <v/>
      </c>
      <c r="AK192" s="482" t="str">
        <f t="shared" si="42"/>
        <v/>
      </c>
      <c r="AL192" s="477" t="str">
        <f>IF($AC$192="","",IFERROR(INDEX($BB$74:$BB$119,MATCH($AH$192,$AY$74:$AY$119,0)),$AH$192))</f>
        <v/>
      </c>
      <c r="AM192" s="483" t="str">
        <f t="shared" si="43"/>
        <v/>
      </c>
      <c r="AN192" s="484" t="str">
        <f t="shared" si="44"/>
        <v/>
      </c>
      <c r="AO192" s="473" t="str">
        <f t="shared" si="45"/>
        <v/>
      </c>
      <c r="AP192" s="473" t="str">
        <f t="shared" si="46"/>
        <v/>
      </c>
      <c r="AQ192" s="473" t="str">
        <f t="shared" si="47"/>
        <v/>
      </c>
      <c r="AR192" s="473" t="str">
        <f t="shared" si="48"/>
        <v/>
      </c>
      <c r="AS192" s="473" t="str">
        <f t="shared" si="49"/>
        <v/>
      </c>
      <c r="AT192" s="473" t="str">
        <f t="shared" si="50"/>
        <v/>
      </c>
      <c r="AU192" s="473" t="str">
        <f t="shared" si="51"/>
        <v/>
      </c>
      <c r="AZ192" s="32" t="s">
        <v>318</v>
      </c>
      <c r="BA192" s="34" t="s">
        <v>490</v>
      </c>
      <c r="BB192" s="499"/>
      <c r="BC192" s="271"/>
      <c r="BD192" s="279">
        <v>1</v>
      </c>
      <c r="BE192" s="271"/>
      <c r="BF192" s="271"/>
      <c r="BG192" s="271"/>
      <c r="BH192" s="271"/>
      <c r="BI192" s="271"/>
      <c r="BJ192" s="271"/>
      <c r="BK192" s="271"/>
      <c r="BL192" s="271"/>
    </row>
    <row r="193" spans="18:64" ht="21" customHeight="1" x14ac:dyDescent="0.25">
      <c r="R193" s="34" t="s">
        <v>478</v>
      </c>
      <c r="S193" s="451"/>
      <c r="T193" s="31" t="s">
        <v>29</v>
      </c>
      <c r="V193" s="475">
        <v>4</v>
      </c>
      <c r="W193" s="475" t="str">
        <f>IF($AC$193="","",$W$180)</f>
        <v/>
      </c>
      <c r="X193" s="476" t="str">
        <f>IF($AC$193="","",$X$180)</f>
        <v/>
      </c>
      <c r="Y193" s="477" t="str">
        <f>IF($X$193="","",$Y$180)</f>
        <v/>
      </c>
      <c r="Z193" s="477" t="str">
        <f>IF($X$193="","",$Z$180)</f>
        <v/>
      </c>
      <c r="AA193" s="477" t="str">
        <f>IF($AC$193="","",ROW($A$193)-ROW($A$180))</f>
        <v/>
      </c>
      <c r="AB193" s="478"/>
      <c r="AC193" s="34"/>
      <c r="AD193" s="356"/>
      <c r="AE193" s="18"/>
      <c r="AF193" s="19"/>
      <c r="AG193" s="480" t="str">
        <f t="shared" si="40"/>
        <v/>
      </c>
      <c r="AH193" s="481" t="str">
        <f t="shared" si="41"/>
        <v/>
      </c>
      <c r="AI193" s="477" t="str">
        <f>IF($AC$193="","",IFERROR(INDEX($AZ$74:$AZ$119,MATCH($AH$193,$AY$74:$AY$119,0)),"AUTRE"))</f>
        <v/>
      </c>
      <c r="AJ193" s="482" t="str">
        <f>IF($AC$193="","",IFERROR(INDEX($BA$74:$BA$119,MATCH($AH$193,$AY$74:$AY$119,0)),1))</f>
        <v/>
      </c>
      <c r="AK193" s="482" t="str">
        <f t="shared" si="42"/>
        <v/>
      </c>
      <c r="AL193" s="477" t="str">
        <f>IF($AC$193="","",IFERROR(INDEX($BB$74:$BB$119,MATCH($AH$193,$AY$74:$AY$119,0)),$AH$193))</f>
        <v/>
      </c>
      <c r="AM193" s="483" t="str">
        <f t="shared" si="43"/>
        <v/>
      </c>
      <c r="AN193" s="484" t="str">
        <f t="shared" si="44"/>
        <v/>
      </c>
      <c r="AO193" s="473" t="str">
        <f t="shared" si="45"/>
        <v/>
      </c>
      <c r="AP193" s="473" t="str">
        <f t="shared" si="46"/>
        <v/>
      </c>
      <c r="AQ193" s="473" t="str">
        <f t="shared" si="47"/>
        <v/>
      </c>
      <c r="AR193" s="473" t="str">
        <f t="shared" si="48"/>
        <v/>
      </c>
      <c r="AS193" s="473" t="str">
        <f t="shared" si="49"/>
        <v/>
      </c>
      <c r="AT193" s="473" t="str">
        <f t="shared" si="50"/>
        <v/>
      </c>
      <c r="AU193" s="473" t="str">
        <f t="shared" si="51"/>
        <v/>
      </c>
      <c r="AZ193" s="32" t="s">
        <v>316</v>
      </c>
      <c r="BA193" s="34" t="s">
        <v>6129</v>
      </c>
      <c r="BB193" s="499"/>
      <c r="BC193" s="271"/>
      <c r="BD193" s="279">
        <v>1</v>
      </c>
      <c r="BE193" s="271"/>
      <c r="BF193" s="271"/>
      <c r="BG193" s="271"/>
      <c r="BH193" s="271"/>
      <c r="BI193" s="271"/>
      <c r="BJ193" s="271"/>
      <c r="BK193" s="271"/>
      <c r="BL193" s="271"/>
    </row>
    <row r="194" spans="18:64" ht="21" customHeight="1" x14ac:dyDescent="0.25">
      <c r="R194" s="34" t="s">
        <v>6130</v>
      </c>
      <c r="S194" s="451"/>
      <c r="T194" s="31" t="s">
        <v>30</v>
      </c>
      <c r="V194" s="475">
        <v>4</v>
      </c>
      <c r="W194" s="475" t="str">
        <f>IF($AC$194="","",$W$180)</f>
        <v/>
      </c>
      <c r="X194" s="476" t="str">
        <f>IF($AC$194="","",$X$180)</f>
        <v/>
      </c>
      <c r="Y194" s="477" t="str">
        <f>IF($X$194="","",$Y$180)</f>
        <v/>
      </c>
      <c r="Z194" s="477" t="str">
        <f>IF($X$194="","",$Z$180)</f>
        <v/>
      </c>
      <c r="AA194" s="477" t="str">
        <f>IF($AC$194="","",ROW($A$194)-ROW($A$180))</f>
        <v/>
      </c>
      <c r="AB194" s="478"/>
      <c r="AC194" s="34"/>
      <c r="AD194" s="356"/>
      <c r="AE194" s="18"/>
      <c r="AF194" s="19"/>
      <c r="AG194" s="480" t="str">
        <f t="shared" si="40"/>
        <v/>
      </c>
      <c r="AH194" s="481" t="str">
        <f t="shared" si="41"/>
        <v/>
      </c>
      <c r="AI194" s="477" t="str">
        <f>IF($AC$194="","",IFERROR(INDEX($AZ$74:$AZ$119,MATCH($AH$194,$AY$74:$AY$119,0)),"AUTRE"))</f>
        <v/>
      </c>
      <c r="AJ194" s="482" t="str">
        <f>IF($AC$194="","",IFERROR(INDEX($BA$74:$BA$119,MATCH($AH$194,$AY$74:$AY$119,0)),1))</f>
        <v/>
      </c>
      <c r="AK194" s="482" t="str">
        <f t="shared" si="42"/>
        <v/>
      </c>
      <c r="AL194" s="477" t="str">
        <f>IF($AC$194="","",IFERROR(INDEX($BB$74:$BB$119,MATCH($AH$194,$AY$74:$AY$119,0)),$AH$194))</f>
        <v/>
      </c>
      <c r="AM194" s="483" t="str">
        <f t="shared" si="43"/>
        <v/>
      </c>
      <c r="AN194" s="484" t="str">
        <f t="shared" si="44"/>
        <v/>
      </c>
      <c r="AO194" s="473" t="str">
        <f t="shared" si="45"/>
        <v/>
      </c>
      <c r="AP194" s="473" t="str">
        <f t="shared" si="46"/>
        <v/>
      </c>
      <c r="AQ194" s="473" t="str">
        <f t="shared" si="47"/>
        <v/>
      </c>
      <c r="AR194" s="473" t="str">
        <f t="shared" si="48"/>
        <v/>
      </c>
      <c r="AS194" s="473" t="str">
        <f t="shared" si="49"/>
        <v/>
      </c>
      <c r="AT194" s="473" t="str">
        <f t="shared" si="50"/>
        <v/>
      </c>
      <c r="AU194" s="473" t="str">
        <f t="shared" si="51"/>
        <v/>
      </c>
      <c r="AZ194" s="32" t="s">
        <v>313</v>
      </c>
      <c r="BA194" s="34" t="s">
        <v>478</v>
      </c>
      <c r="BB194" s="499"/>
      <c r="BC194" s="271"/>
      <c r="BD194" s="279">
        <v>1</v>
      </c>
      <c r="BE194" s="271"/>
      <c r="BF194" s="271"/>
      <c r="BG194" s="271"/>
      <c r="BH194" s="271"/>
      <c r="BI194" s="271"/>
      <c r="BJ194" s="271"/>
      <c r="BK194" s="271"/>
      <c r="BL194" s="271"/>
    </row>
    <row r="195" spans="18:64" ht="21" customHeight="1" x14ac:dyDescent="0.25">
      <c r="R195" s="34" t="s">
        <v>486</v>
      </c>
      <c r="S195" s="451"/>
      <c r="T195" s="31" t="s">
        <v>31</v>
      </c>
      <c r="V195" s="475">
        <v>4</v>
      </c>
      <c r="W195" s="475" t="str">
        <f>IF($AC$195="","",$W$180)</f>
        <v/>
      </c>
      <c r="X195" s="476" t="str">
        <f>IF($AC$195="","",$X$180)</f>
        <v/>
      </c>
      <c r="Y195" s="477" t="str">
        <f>IF($X$195="","",$Y$180)</f>
        <v/>
      </c>
      <c r="Z195" s="477" t="str">
        <f>IF($X$195="","",$Z$180)</f>
        <v/>
      </c>
      <c r="AA195" s="477" t="str">
        <f>IF($AC$195="","",ROW($A$195)-ROW($A$180))</f>
        <v/>
      </c>
      <c r="AB195" s="478"/>
      <c r="AC195" s="34"/>
      <c r="AD195" s="356"/>
      <c r="AE195" s="18"/>
      <c r="AF195" s="19"/>
      <c r="AG195" s="480" t="str">
        <f t="shared" si="40"/>
        <v/>
      </c>
      <c r="AH195" s="481" t="str">
        <f t="shared" si="41"/>
        <v/>
      </c>
      <c r="AI195" s="477" t="str">
        <f>IF($AC$195="","",IFERROR(INDEX($AZ$74:$AZ$119,MATCH($AH$195,$AY$74:$AY$119,0)),"AUTRE"))</f>
        <v/>
      </c>
      <c r="AJ195" s="482" t="str">
        <f>IF($AC$195="","",IFERROR(INDEX($BA$74:$BA$119,MATCH($AH$195,$AY$74:$AY$119,0)),1))</f>
        <v/>
      </c>
      <c r="AK195" s="482" t="str">
        <f t="shared" si="42"/>
        <v/>
      </c>
      <c r="AL195" s="477" t="str">
        <f>IF($AC$195="","",IFERROR(INDEX($BB$74:$BB$119,MATCH($AH$195,$AY$74:$AY$119,0)),$AH$195))</f>
        <v/>
      </c>
      <c r="AM195" s="483" t="str">
        <f t="shared" si="43"/>
        <v/>
      </c>
      <c r="AN195" s="484" t="str">
        <f t="shared" si="44"/>
        <v/>
      </c>
      <c r="AO195" s="473" t="str">
        <f t="shared" si="45"/>
        <v/>
      </c>
      <c r="AP195" s="473" t="str">
        <f t="shared" si="46"/>
        <v/>
      </c>
      <c r="AQ195" s="473" t="str">
        <f t="shared" si="47"/>
        <v/>
      </c>
      <c r="AR195" s="473" t="str">
        <f t="shared" si="48"/>
        <v/>
      </c>
      <c r="AS195" s="473" t="str">
        <f t="shared" si="49"/>
        <v/>
      </c>
      <c r="AT195" s="473" t="str">
        <f t="shared" si="50"/>
        <v/>
      </c>
      <c r="AU195" s="473" t="str">
        <f t="shared" si="51"/>
        <v/>
      </c>
      <c r="AZ195" s="32" t="s">
        <v>307</v>
      </c>
      <c r="BA195" s="34" t="s">
        <v>6130</v>
      </c>
      <c r="BB195" s="499"/>
      <c r="BC195" s="271"/>
      <c r="BD195" s="279">
        <v>1</v>
      </c>
      <c r="BE195" s="271"/>
      <c r="BF195" s="271"/>
      <c r="BG195" s="271"/>
      <c r="BH195" s="271"/>
      <c r="BI195" s="271"/>
      <c r="BJ195" s="271"/>
      <c r="BK195" s="271"/>
      <c r="BL195" s="271"/>
    </row>
    <row r="196" spans="18:64" ht="21" customHeight="1" x14ac:dyDescent="0.25">
      <c r="R196" s="34" t="s">
        <v>479</v>
      </c>
      <c r="S196" s="451"/>
      <c r="T196" s="32" t="s">
        <v>33</v>
      </c>
      <c r="V196" s="475">
        <v>4</v>
      </c>
      <c r="W196" s="475" t="str">
        <f>IF($AC$196="","",$W$180)</f>
        <v/>
      </c>
      <c r="X196" s="476" t="str">
        <f>IF($AC$196="","",$X$180)</f>
        <v/>
      </c>
      <c r="Y196" s="477" t="str">
        <f>IF($X$196="","",$Y$180)</f>
        <v/>
      </c>
      <c r="Z196" s="477" t="str">
        <f>IF($X$196="","",$Z$180)</f>
        <v/>
      </c>
      <c r="AA196" s="477" t="str">
        <f>IF($AC$196="","",ROW($A$196)-ROW($A$180))</f>
        <v/>
      </c>
      <c r="AB196" s="478"/>
      <c r="AC196" s="34"/>
      <c r="AD196" s="356"/>
      <c r="AE196" s="18"/>
      <c r="AF196" s="19"/>
      <c r="AG196" s="480" t="str">
        <f t="shared" si="40"/>
        <v/>
      </c>
      <c r="AH196" s="481" t="str">
        <f t="shared" si="41"/>
        <v/>
      </c>
      <c r="AI196" s="477" t="str">
        <f>IF($AC$196="","",IFERROR(INDEX($AZ$74:$AZ$119,MATCH($AH$196,$AY$74:$AY$119,0)),"AUTRE"))</f>
        <v/>
      </c>
      <c r="AJ196" s="482" t="str">
        <f>IF($AC$196="","",IFERROR(INDEX($BA$74:$BA$119,MATCH($AH$196,$AY$74:$AY$119,0)),1))</f>
        <v/>
      </c>
      <c r="AK196" s="482" t="str">
        <f t="shared" si="42"/>
        <v/>
      </c>
      <c r="AL196" s="477" t="str">
        <f>IF($AC$196="","",IFERROR(INDEX($BB$74:$BB$119,MATCH($AH$196,$AY$74:$AY$119,0)),$AH$196))</f>
        <v/>
      </c>
      <c r="AM196" s="483" t="str">
        <f t="shared" si="43"/>
        <v/>
      </c>
      <c r="AN196" s="484" t="str">
        <f t="shared" si="44"/>
        <v/>
      </c>
      <c r="AO196" s="473" t="str">
        <f t="shared" si="45"/>
        <v/>
      </c>
      <c r="AP196" s="473" t="str">
        <f t="shared" si="46"/>
        <v/>
      </c>
      <c r="AQ196" s="473" t="str">
        <f t="shared" si="47"/>
        <v/>
      </c>
      <c r="AR196" s="473" t="str">
        <f t="shared" si="48"/>
        <v/>
      </c>
      <c r="AS196" s="473" t="str">
        <f t="shared" si="49"/>
        <v/>
      </c>
      <c r="AT196" s="473" t="str">
        <f t="shared" si="50"/>
        <v/>
      </c>
      <c r="AU196" s="473" t="str">
        <f t="shared" si="51"/>
        <v/>
      </c>
      <c r="AZ196" s="32" t="s">
        <v>322</v>
      </c>
      <c r="BA196" s="34" t="s">
        <v>486</v>
      </c>
      <c r="BB196" s="499"/>
      <c r="BC196" s="271"/>
      <c r="BD196" s="279">
        <v>1</v>
      </c>
      <c r="BE196" s="271"/>
      <c r="BF196" s="271"/>
      <c r="BG196" s="271"/>
      <c r="BH196" s="271"/>
      <c r="BI196" s="271"/>
      <c r="BJ196" s="271"/>
      <c r="BK196" s="271"/>
      <c r="BL196" s="271"/>
    </row>
    <row r="197" spans="18:64" ht="21" customHeight="1" x14ac:dyDescent="0.25">
      <c r="R197" s="34" t="s">
        <v>6131</v>
      </c>
      <c r="S197" s="451"/>
      <c r="T197" s="32" t="s">
        <v>8125</v>
      </c>
      <c r="V197" s="475">
        <v>4</v>
      </c>
      <c r="W197" s="475" t="str">
        <f>IF($AC$197="","",$W$180)</f>
        <v/>
      </c>
      <c r="X197" s="476" t="str">
        <f>IF($AC$197="","",$X$180)</f>
        <v/>
      </c>
      <c r="Y197" s="477" t="str">
        <f>IF($X$197="","",$Y$180)</f>
        <v/>
      </c>
      <c r="Z197" s="477" t="str">
        <f>IF($X$197="","",$Z$180)</f>
        <v/>
      </c>
      <c r="AA197" s="477" t="str">
        <f>IF($AC$197="","",ROW($A$197)-ROW($A$180))</f>
        <v/>
      </c>
      <c r="AB197" s="478"/>
      <c r="AC197" s="34"/>
      <c r="AD197" s="356"/>
      <c r="AE197" s="18"/>
      <c r="AF197" s="19"/>
      <c r="AG197" s="480" t="str">
        <f t="shared" si="40"/>
        <v/>
      </c>
      <c r="AH197" s="481" t="str">
        <f t="shared" si="41"/>
        <v/>
      </c>
      <c r="AI197" s="477" t="str">
        <f>IF($AC$197="","",IFERROR(INDEX($AZ$74:$AZ$119,MATCH($AH$197,$AY$74:$AY$119,0)),"AUTRE"))</f>
        <v/>
      </c>
      <c r="AJ197" s="482" t="str">
        <f>IF($AC$197="","",IFERROR(INDEX($BA$74:$BA$119,MATCH($AH$197,$AY$74:$AY$119,0)),1))</f>
        <v/>
      </c>
      <c r="AK197" s="482" t="str">
        <f t="shared" si="42"/>
        <v/>
      </c>
      <c r="AL197" s="477" t="str">
        <f>IF($AC$197="","",IFERROR(INDEX($BB$74:$BB$119,MATCH($AH$197,$AY$74:$AY$119,0)),$AH$197))</f>
        <v/>
      </c>
      <c r="AM197" s="483" t="str">
        <f t="shared" si="43"/>
        <v/>
      </c>
      <c r="AN197" s="484" t="str">
        <f t="shared" si="44"/>
        <v/>
      </c>
      <c r="AO197" s="473" t="str">
        <f t="shared" si="45"/>
        <v/>
      </c>
      <c r="AP197" s="473" t="str">
        <f t="shared" si="46"/>
        <v/>
      </c>
      <c r="AQ197" s="473" t="str">
        <f t="shared" si="47"/>
        <v/>
      </c>
      <c r="AR197" s="473" t="str">
        <f t="shared" si="48"/>
        <v/>
      </c>
      <c r="AS197" s="473" t="str">
        <f t="shared" si="49"/>
        <v/>
      </c>
      <c r="AT197" s="473" t="str">
        <f t="shared" si="50"/>
        <v/>
      </c>
      <c r="AU197" s="473" t="str">
        <f t="shared" si="51"/>
        <v/>
      </c>
      <c r="AZ197" s="32" t="s">
        <v>305</v>
      </c>
      <c r="BA197" s="34" t="s">
        <v>479</v>
      </c>
      <c r="BB197" s="499"/>
      <c r="BC197" s="271"/>
      <c r="BD197" s="279">
        <v>1</v>
      </c>
      <c r="BE197" s="271"/>
      <c r="BF197" s="271"/>
      <c r="BG197" s="271"/>
      <c r="BH197" s="271"/>
      <c r="BI197" s="271"/>
      <c r="BJ197" s="271"/>
      <c r="BK197" s="271"/>
      <c r="BL197" s="271"/>
    </row>
    <row r="198" spans="18:64" ht="21" customHeight="1" x14ac:dyDescent="0.25">
      <c r="R198" s="34" t="s">
        <v>485</v>
      </c>
      <c r="S198" s="451"/>
      <c r="T198" s="32" t="s">
        <v>8127</v>
      </c>
      <c r="V198" s="475">
        <v>4</v>
      </c>
      <c r="W198" s="475" t="str">
        <f>IF($AC$198="","",$W$180)</f>
        <v/>
      </c>
      <c r="X198" s="476" t="str">
        <f>IF($AC$198="","",$X$180)</f>
        <v/>
      </c>
      <c r="Y198" s="477" t="str">
        <f>IF($X$198="","",$Y$180)</f>
        <v/>
      </c>
      <c r="Z198" s="477" t="str">
        <f>IF($X$198="","",$Z$180)</f>
        <v/>
      </c>
      <c r="AA198" s="477" t="str">
        <f>IF($AC$198="","",ROW($A$198)-ROW($A$180))</f>
        <v/>
      </c>
      <c r="AB198" s="478"/>
      <c r="AC198" s="34"/>
      <c r="AD198" s="356"/>
      <c r="AE198" s="18"/>
      <c r="AF198" s="19"/>
      <c r="AG198" s="480" t="str">
        <f t="shared" si="40"/>
        <v/>
      </c>
      <c r="AH198" s="481" t="str">
        <f t="shared" si="41"/>
        <v/>
      </c>
      <c r="AI198" s="477" t="str">
        <f>IF($AC$198="","",IFERROR(INDEX($AZ$74:$AZ$119,MATCH($AH$198,$AY$74:$AY$119,0)),"AUTRE"))</f>
        <v/>
      </c>
      <c r="AJ198" s="482" t="str">
        <f>IF($AC$198="","",IFERROR(INDEX($BA$74:$BA$119,MATCH($AH$198,$AY$74:$AY$119,0)),1))</f>
        <v/>
      </c>
      <c r="AK198" s="482" t="str">
        <f t="shared" si="42"/>
        <v/>
      </c>
      <c r="AL198" s="477" t="str">
        <f>IF($AC$198="","",IFERROR(INDEX($BB$74:$BB$119,MATCH($AH$198,$AY$74:$AY$119,0)),$AH$198))</f>
        <v/>
      </c>
      <c r="AM198" s="483" t="str">
        <f t="shared" si="43"/>
        <v/>
      </c>
      <c r="AN198" s="484" t="str">
        <f t="shared" si="44"/>
        <v/>
      </c>
      <c r="AO198" s="473" t="str">
        <f t="shared" si="45"/>
        <v/>
      </c>
      <c r="AP198" s="473" t="str">
        <f t="shared" si="46"/>
        <v/>
      </c>
      <c r="AQ198" s="473" t="str">
        <f t="shared" si="47"/>
        <v/>
      </c>
      <c r="AR198" s="473" t="str">
        <f t="shared" si="48"/>
        <v/>
      </c>
      <c r="AS198" s="473" t="str">
        <f t="shared" si="49"/>
        <v/>
      </c>
      <c r="AT198" s="473" t="str">
        <f t="shared" si="50"/>
        <v/>
      </c>
      <c r="AU198" s="473" t="str">
        <f t="shared" si="51"/>
        <v/>
      </c>
      <c r="AZ198" s="32" t="s">
        <v>8129</v>
      </c>
      <c r="BA198" s="34" t="s">
        <v>6131</v>
      </c>
      <c r="BB198" s="499"/>
      <c r="BC198" s="271"/>
      <c r="BD198" s="279">
        <v>1</v>
      </c>
      <c r="BE198" s="271"/>
      <c r="BF198" s="271"/>
      <c r="BG198" s="271"/>
      <c r="BH198" s="271"/>
      <c r="BI198" s="271"/>
      <c r="BJ198" s="271"/>
      <c r="BK198" s="271"/>
      <c r="BL198" s="271"/>
    </row>
    <row r="199" spans="18:64" ht="21" customHeight="1" x14ac:dyDescent="0.25">
      <c r="R199" s="34" t="s">
        <v>6132</v>
      </c>
      <c r="S199" s="451"/>
      <c r="T199" s="32" t="s">
        <v>320</v>
      </c>
      <c r="V199" s="475">
        <v>4</v>
      </c>
      <c r="W199" s="475" t="str">
        <f>IF($AC$199="","",$W$180)</f>
        <v/>
      </c>
      <c r="X199" s="476" t="str">
        <f>IF($AC$199="","",$X$180)</f>
        <v/>
      </c>
      <c r="Y199" s="477" t="str">
        <f>IF($X$199="","",$Y$180)</f>
        <v/>
      </c>
      <c r="Z199" s="477" t="str">
        <f>IF($X$199="","",$Z$180)</f>
        <v/>
      </c>
      <c r="AA199" s="477" t="str">
        <f>IF($AC$199="","",ROW($A$199)-ROW($A$180))</f>
        <v/>
      </c>
      <c r="AB199" s="478"/>
      <c r="AC199" s="34"/>
      <c r="AD199" s="356"/>
      <c r="AE199" s="18"/>
      <c r="AF199" s="19"/>
      <c r="AG199" s="480" t="str">
        <f t="shared" si="40"/>
        <v/>
      </c>
      <c r="AH199" s="481" t="str">
        <f t="shared" si="41"/>
        <v/>
      </c>
      <c r="AI199" s="477" t="str">
        <f>IF($AC$199="","",IFERROR(INDEX($AZ$74:$AZ$119,MATCH($AH$199,$AY$74:$AY$119,0)),"AUTRE"))</f>
        <v/>
      </c>
      <c r="AJ199" s="482" t="str">
        <f>IF($AC$199="","",IFERROR(INDEX($BA$74:$BA$119,MATCH($AH$199,$AY$74:$AY$119,0)),1))</f>
        <v/>
      </c>
      <c r="AK199" s="482" t="str">
        <f t="shared" si="42"/>
        <v/>
      </c>
      <c r="AL199" s="477" t="str">
        <f>IF($AC$199="","",IFERROR(INDEX($BB$74:$BB$119,MATCH($AH$199,$AY$74:$AY$119,0)),$AH$199))</f>
        <v/>
      </c>
      <c r="AM199" s="483" t="str">
        <f t="shared" si="43"/>
        <v/>
      </c>
      <c r="AN199" s="484" t="str">
        <f t="shared" si="44"/>
        <v/>
      </c>
      <c r="AO199" s="473" t="str">
        <f t="shared" si="45"/>
        <v/>
      </c>
      <c r="AP199" s="473" t="str">
        <f t="shared" si="46"/>
        <v/>
      </c>
      <c r="AQ199" s="473" t="str">
        <f t="shared" si="47"/>
        <v/>
      </c>
      <c r="AR199" s="473" t="str">
        <f t="shared" si="48"/>
        <v/>
      </c>
      <c r="AS199" s="473" t="str">
        <f t="shared" si="49"/>
        <v/>
      </c>
      <c r="AT199" s="473" t="str">
        <f t="shared" si="50"/>
        <v/>
      </c>
      <c r="AU199" s="473" t="str">
        <f t="shared" si="51"/>
        <v/>
      </c>
      <c r="AZ199" s="32" t="s">
        <v>8131</v>
      </c>
      <c r="BA199" s="34" t="s">
        <v>485</v>
      </c>
      <c r="BB199" s="499"/>
      <c r="BC199" s="271"/>
      <c r="BD199" s="279">
        <v>1</v>
      </c>
      <c r="BE199" s="271"/>
      <c r="BF199" s="271"/>
      <c r="BG199" s="271"/>
      <c r="BH199" s="271"/>
      <c r="BI199" s="271"/>
      <c r="BJ199" s="271"/>
      <c r="BK199" s="271"/>
      <c r="BL199" s="271"/>
    </row>
    <row r="200" spans="18:64" ht="21" customHeight="1" x14ac:dyDescent="0.25">
      <c r="R200" s="25" t="s">
        <v>6133</v>
      </c>
      <c r="S200" s="451"/>
      <c r="T200" s="32" t="s">
        <v>318</v>
      </c>
      <c r="V200" s="475">
        <v>4</v>
      </c>
      <c r="W200" s="475" t="str">
        <f>IF($AC$200="","",$W$180)</f>
        <v/>
      </c>
      <c r="X200" s="476" t="str">
        <f>IF($AC$200="","",$X$180)</f>
        <v/>
      </c>
      <c r="Y200" s="477" t="str">
        <f>IF($X$200="","",$Y$180)</f>
        <v/>
      </c>
      <c r="Z200" s="477" t="str">
        <f>IF($X$200="","",$Z$180)</f>
        <v/>
      </c>
      <c r="AA200" s="477" t="str">
        <f>IF($AC$200="","",ROW($A$200)-ROW($A$180))</f>
        <v/>
      </c>
      <c r="AB200" s="478"/>
      <c r="AC200" s="34"/>
      <c r="AD200" s="356"/>
      <c r="AE200" s="18"/>
      <c r="AF200" s="19"/>
      <c r="AG200" s="480" t="str">
        <f t="shared" si="40"/>
        <v/>
      </c>
      <c r="AH200" s="481" t="str">
        <f t="shared" si="41"/>
        <v/>
      </c>
      <c r="AI200" s="477" t="str">
        <f>IF($AC$200="","",IFERROR(INDEX($AZ$74:$AZ$119,MATCH($AH$200,$AY$74:$AY$119,0)),"AUTRE"))</f>
        <v/>
      </c>
      <c r="AJ200" s="482" t="str">
        <f>IF($AC$200="","",IFERROR(INDEX($BA$74:$BA$119,MATCH($AH$200,$AY$74:$AY$119,0)),1))</f>
        <v/>
      </c>
      <c r="AK200" s="482" t="str">
        <f t="shared" si="42"/>
        <v/>
      </c>
      <c r="AL200" s="477" t="str">
        <f>IF($AC$200="","",IFERROR(INDEX($BB$74:$BB$119,MATCH($AH$200,$AY$74:$AY$119,0)),$AH$200))</f>
        <v/>
      </c>
      <c r="AM200" s="483" t="str">
        <f t="shared" si="43"/>
        <v/>
      </c>
      <c r="AN200" s="484" t="str">
        <f t="shared" si="44"/>
        <v/>
      </c>
      <c r="AO200" s="473" t="str">
        <f t="shared" si="45"/>
        <v/>
      </c>
      <c r="AP200" s="473" t="str">
        <f t="shared" si="46"/>
        <v/>
      </c>
      <c r="AQ200" s="473" t="str">
        <f t="shared" si="47"/>
        <v/>
      </c>
      <c r="AR200" s="473" t="str">
        <f t="shared" si="48"/>
        <v/>
      </c>
      <c r="AS200" s="473" t="str">
        <f t="shared" si="49"/>
        <v/>
      </c>
      <c r="AT200" s="473" t="str">
        <f t="shared" si="50"/>
        <v/>
      </c>
      <c r="AU200" s="473" t="str">
        <f t="shared" si="51"/>
        <v/>
      </c>
      <c r="AZ200" s="32" t="s">
        <v>309</v>
      </c>
      <c r="BA200" s="34" t="s">
        <v>6132</v>
      </c>
      <c r="BB200" s="499"/>
      <c r="BC200" s="271"/>
      <c r="BD200" s="279">
        <v>1</v>
      </c>
      <c r="BE200" s="271"/>
      <c r="BF200" s="271"/>
      <c r="BG200" s="271"/>
      <c r="BH200" s="271"/>
      <c r="BI200" s="271"/>
      <c r="BJ200" s="271"/>
      <c r="BK200" s="271"/>
      <c r="BL200" s="271"/>
    </row>
    <row r="201" spans="18:64" ht="21" customHeight="1" x14ac:dyDescent="0.25">
      <c r="R201" s="34" t="s">
        <v>476</v>
      </c>
      <c r="S201" s="451"/>
      <c r="T201" s="32" t="s">
        <v>316</v>
      </c>
      <c r="V201" s="475">
        <v>4</v>
      </c>
      <c r="W201" s="475" t="str">
        <f>IF($AC$201="","",$W$180)</f>
        <v/>
      </c>
      <c r="X201" s="476" t="str">
        <f>IF($AC$201="","",$X$180)</f>
        <v/>
      </c>
      <c r="Y201" s="477" t="str">
        <f>IF($X$201="","",$Y$180)</f>
        <v/>
      </c>
      <c r="Z201" s="477" t="str">
        <f>IF($X$201="","",$Z$180)</f>
        <v/>
      </c>
      <c r="AA201" s="477" t="str">
        <f>IF($AC$201="","",ROW($A$201)-ROW($A$180))</f>
        <v/>
      </c>
      <c r="AB201" s="478"/>
      <c r="AC201" s="34"/>
      <c r="AD201" s="356"/>
      <c r="AE201" s="18"/>
      <c r="AF201" s="19"/>
      <c r="AG201" s="480" t="str">
        <f t="shared" si="40"/>
        <v/>
      </c>
      <c r="AH201" s="481" t="str">
        <f t="shared" si="41"/>
        <v/>
      </c>
      <c r="AI201" s="477" t="str">
        <f>IF($AC$201="","",IFERROR(INDEX($AZ$74:$AZ$119,MATCH($AH$201,$AY$74:$AY$119,0)),"AUTRE"))</f>
        <v/>
      </c>
      <c r="AJ201" s="482" t="str">
        <f>IF($AC$201="","",IFERROR(INDEX($BA$74:$BA$119,MATCH($AH$201,$AY$74:$AY$119,0)),1))</f>
        <v/>
      </c>
      <c r="AK201" s="482" t="str">
        <f t="shared" si="42"/>
        <v/>
      </c>
      <c r="AL201" s="477" t="str">
        <f>IF($AC$201="","",IFERROR(INDEX($BB$74:$BB$119,MATCH($AH$201,$AY$74:$AY$119,0)),$AH$201))</f>
        <v/>
      </c>
      <c r="AM201" s="483" t="str">
        <f t="shared" si="43"/>
        <v/>
      </c>
      <c r="AN201" s="484" t="str">
        <f t="shared" si="44"/>
        <v/>
      </c>
      <c r="AO201" s="473" t="str">
        <f t="shared" si="45"/>
        <v/>
      </c>
      <c r="AP201" s="473" t="str">
        <f t="shared" si="46"/>
        <v/>
      </c>
      <c r="AQ201" s="473" t="str">
        <f t="shared" si="47"/>
        <v/>
      </c>
      <c r="AR201" s="473" t="str">
        <f t="shared" si="48"/>
        <v/>
      </c>
      <c r="AS201" s="473" t="str">
        <f t="shared" si="49"/>
        <v/>
      </c>
      <c r="AT201" s="473" t="str">
        <f t="shared" si="50"/>
        <v/>
      </c>
      <c r="AU201" s="473" t="str">
        <f t="shared" si="51"/>
        <v/>
      </c>
      <c r="AZ201" s="32" t="s">
        <v>311</v>
      </c>
      <c r="BA201" s="25" t="s">
        <v>6133</v>
      </c>
      <c r="BB201" s="499"/>
      <c r="BC201" s="271"/>
      <c r="BD201" s="279">
        <v>1</v>
      </c>
      <c r="BE201" s="271"/>
      <c r="BF201" s="271"/>
      <c r="BG201" s="271"/>
      <c r="BH201" s="271"/>
      <c r="BI201" s="271"/>
      <c r="BJ201" s="271"/>
      <c r="BK201" s="271"/>
      <c r="BL201" s="271"/>
    </row>
    <row r="202" spans="18:64" ht="21" customHeight="1" x14ac:dyDescent="0.25">
      <c r="R202" s="34" t="s">
        <v>468</v>
      </c>
      <c r="S202" s="451"/>
      <c r="T202" s="32" t="s">
        <v>313</v>
      </c>
      <c r="V202" s="475">
        <v>4</v>
      </c>
      <c r="W202" s="475" t="str">
        <f>IF($AC$202="","",$W$180)</f>
        <v/>
      </c>
      <c r="X202" s="476" t="str">
        <f>IF($AC$202="","",$X$180)</f>
        <v/>
      </c>
      <c r="Y202" s="477" t="str">
        <f>IF($X$202="","",$Y$180)</f>
        <v/>
      </c>
      <c r="Z202" s="477" t="str">
        <f>IF($X$202="","",$Z$180)</f>
        <v/>
      </c>
      <c r="AA202" s="477" t="str">
        <f>IF($AC$202="","",ROW($A$202)-ROW($A$180))</f>
        <v/>
      </c>
      <c r="AB202" s="478"/>
      <c r="AC202" s="34"/>
      <c r="AD202" s="356"/>
      <c r="AE202" s="18"/>
      <c r="AF202" s="19"/>
      <c r="AG202" s="480" t="str">
        <f t="shared" si="40"/>
        <v/>
      </c>
      <c r="AH202" s="481" t="str">
        <f t="shared" si="41"/>
        <v/>
      </c>
      <c r="AI202" s="477" t="str">
        <f>IF($AC$202="","",IFERROR(INDEX($AZ$74:$AZ$119,MATCH($AH$202,$AY$74:$AY$119,0)),"AUTRE"))</f>
        <v/>
      </c>
      <c r="AJ202" s="482" t="str">
        <f>IF($AC$202="","",IFERROR(INDEX($BA$74:$BA$119,MATCH($AH$202,$AY$74:$AY$119,0)),1))</f>
        <v/>
      </c>
      <c r="AK202" s="482" t="str">
        <f t="shared" si="42"/>
        <v/>
      </c>
      <c r="AL202" s="477" t="str">
        <f>IF($AC$202="","",IFERROR(INDEX($BB$74:$BB$119,MATCH($AH$202,$AY$74:$AY$119,0)),$AH$202))</f>
        <v/>
      </c>
      <c r="AM202" s="483" t="str">
        <f t="shared" si="43"/>
        <v/>
      </c>
      <c r="AN202" s="484" t="str">
        <f t="shared" si="44"/>
        <v/>
      </c>
      <c r="AO202" s="473" t="str">
        <f t="shared" si="45"/>
        <v/>
      </c>
      <c r="AP202" s="473" t="str">
        <f t="shared" si="46"/>
        <v/>
      </c>
      <c r="AQ202" s="473" t="str">
        <f t="shared" si="47"/>
        <v/>
      </c>
      <c r="AR202" s="473" t="str">
        <f t="shared" si="48"/>
        <v/>
      </c>
      <c r="AS202" s="473" t="str">
        <f t="shared" si="49"/>
        <v/>
      </c>
      <c r="AT202" s="473" t="str">
        <f t="shared" si="50"/>
        <v/>
      </c>
      <c r="AU202" s="473" t="str">
        <f t="shared" si="51"/>
        <v/>
      </c>
      <c r="AZ202" s="32" t="s">
        <v>8135</v>
      </c>
      <c r="BA202" s="34" t="s">
        <v>476</v>
      </c>
      <c r="BB202" s="499"/>
      <c r="BC202" s="271"/>
      <c r="BD202" s="279">
        <v>1</v>
      </c>
      <c r="BE202" s="271"/>
      <c r="BF202" s="271"/>
      <c r="BG202" s="271"/>
      <c r="BH202" s="271"/>
      <c r="BI202" s="271"/>
      <c r="BJ202" s="271"/>
      <c r="BK202" s="271"/>
      <c r="BL202" s="271"/>
    </row>
    <row r="203" spans="18:64" ht="21" customHeight="1" x14ac:dyDescent="0.25">
      <c r="R203" s="34" t="s">
        <v>473</v>
      </c>
      <c r="S203" s="451"/>
      <c r="T203" s="32" t="s">
        <v>307</v>
      </c>
      <c r="V203" s="475">
        <v>4</v>
      </c>
      <c r="W203" s="475" t="str">
        <f>IF($AC$203="","",$W$180)</f>
        <v/>
      </c>
      <c r="X203" s="476" t="str">
        <f>IF($AC$203="","",$X$180)</f>
        <v/>
      </c>
      <c r="Y203" s="477" t="str">
        <f>IF($X$203="","",$Y$180)</f>
        <v/>
      </c>
      <c r="Z203" s="477" t="str">
        <f>IF($X$203="","",$Z$180)</f>
        <v/>
      </c>
      <c r="AA203" s="477" t="str">
        <f>IF($AC$203="","",ROW($A$203)-ROW($A$180))</f>
        <v/>
      </c>
      <c r="AB203" s="478"/>
      <c r="AC203" s="34"/>
      <c r="AD203" s="356"/>
      <c r="AE203" s="18"/>
      <c r="AF203" s="19"/>
      <c r="AG203" s="480" t="str">
        <f t="shared" si="40"/>
        <v/>
      </c>
      <c r="AH203" s="481" t="str">
        <f t="shared" si="41"/>
        <v/>
      </c>
      <c r="AI203" s="477" t="str">
        <f>IF($AC$203="","",IFERROR(INDEX($AZ$74:$AZ$119,MATCH($AH$203,$AY$74:$AY$119,0)),"AUTRE"))</f>
        <v/>
      </c>
      <c r="AJ203" s="482" t="str">
        <f>IF($AC$203="","",IFERROR(INDEX($BA$74:$BA$119,MATCH($AH$203,$AY$74:$AY$119,0)),1))</f>
        <v/>
      </c>
      <c r="AK203" s="482" t="str">
        <f t="shared" si="42"/>
        <v/>
      </c>
      <c r="AL203" s="477" t="str">
        <f>IF($AC$203="","",IFERROR(INDEX($BB$74:$BB$119,MATCH($AH$203,$AY$74:$AY$119,0)),$AH$203))</f>
        <v/>
      </c>
      <c r="AM203" s="483" t="str">
        <f t="shared" si="43"/>
        <v/>
      </c>
      <c r="AN203" s="484" t="str">
        <f t="shared" si="44"/>
        <v/>
      </c>
      <c r="AO203" s="473" t="str">
        <f t="shared" si="45"/>
        <v/>
      </c>
      <c r="AP203" s="473" t="str">
        <f t="shared" si="46"/>
        <v/>
      </c>
      <c r="AQ203" s="473" t="str">
        <f t="shared" si="47"/>
        <v/>
      </c>
      <c r="AR203" s="473" t="str">
        <f t="shared" si="48"/>
        <v/>
      </c>
      <c r="AS203" s="473" t="str">
        <f t="shared" si="49"/>
        <v/>
      </c>
      <c r="AT203" s="473" t="str">
        <f t="shared" si="50"/>
        <v/>
      </c>
      <c r="AU203" s="473" t="str">
        <f t="shared" si="51"/>
        <v/>
      </c>
      <c r="AZ203" s="32" t="s">
        <v>8137</v>
      </c>
      <c r="BA203" s="34" t="s">
        <v>468</v>
      </c>
      <c r="BB203" s="499"/>
      <c r="BC203" s="271"/>
      <c r="BD203" s="279">
        <v>1</v>
      </c>
      <c r="BE203" s="271"/>
      <c r="BF203" s="271"/>
      <c r="BG203" s="271"/>
      <c r="BH203" s="271"/>
      <c r="BI203" s="271"/>
      <c r="BJ203" s="271"/>
      <c r="BK203" s="271"/>
      <c r="BL203" s="271"/>
    </row>
    <row r="204" spans="18:64" ht="21" customHeight="1" x14ac:dyDescent="0.25">
      <c r="R204" s="34" t="s">
        <v>497</v>
      </c>
      <c r="S204" s="451"/>
      <c r="T204" s="32" t="s">
        <v>322</v>
      </c>
      <c r="V204" s="475">
        <v>4</v>
      </c>
      <c r="W204" s="475" t="str">
        <f>IF($AC$204="","",$W$180)</f>
        <v/>
      </c>
      <c r="X204" s="476" t="str">
        <f>IF($AC$204="","",$X$180)</f>
        <v/>
      </c>
      <c r="Y204" s="477" t="str">
        <f>IF($X$204="","",$Y$180)</f>
        <v/>
      </c>
      <c r="Z204" s="477" t="str">
        <f>IF($X$204="","",$Z$180)</f>
        <v/>
      </c>
      <c r="AA204" s="477" t="str">
        <f>IF($AC$204="","",ROW($A$204)-ROW($A$180))</f>
        <v/>
      </c>
      <c r="AB204" s="478"/>
      <c r="AC204" s="34"/>
      <c r="AD204" s="356"/>
      <c r="AE204" s="18"/>
      <c r="AF204" s="19"/>
      <c r="AG204" s="480" t="str">
        <f t="shared" si="40"/>
        <v/>
      </c>
      <c r="AH204" s="481" t="str">
        <f t="shared" si="41"/>
        <v/>
      </c>
      <c r="AI204" s="477" t="str">
        <f>IF($AC$204="","",IFERROR(INDEX($AZ$74:$AZ$119,MATCH($AH$204,$AY$74:$AY$119,0)),"AUTRE"))</f>
        <v/>
      </c>
      <c r="AJ204" s="482" t="str">
        <f>IF($AC$204="","",IFERROR(INDEX($BA$74:$BA$119,MATCH($AH$204,$AY$74:$AY$119,0)),1))</f>
        <v/>
      </c>
      <c r="AK204" s="482" t="str">
        <f t="shared" si="42"/>
        <v/>
      </c>
      <c r="AL204" s="477" t="str">
        <f>IF($AC$204="","",IFERROR(INDEX($BB$74:$BB$119,MATCH($AH$204,$AY$74:$AY$119,0)),$AH$204))</f>
        <v/>
      </c>
      <c r="AM204" s="483" t="str">
        <f t="shared" si="43"/>
        <v/>
      </c>
      <c r="AN204" s="484" t="str">
        <f t="shared" si="44"/>
        <v/>
      </c>
      <c r="AO204" s="473" t="str">
        <f t="shared" si="45"/>
        <v/>
      </c>
      <c r="AP204" s="473" t="str">
        <f t="shared" si="46"/>
        <v/>
      </c>
      <c r="AQ204" s="473" t="str">
        <f t="shared" si="47"/>
        <v/>
      </c>
      <c r="AR204" s="473" t="str">
        <f t="shared" si="48"/>
        <v/>
      </c>
      <c r="AS204" s="473" t="str">
        <f t="shared" si="49"/>
        <v/>
      </c>
      <c r="AT204" s="473" t="str">
        <f t="shared" si="50"/>
        <v/>
      </c>
      <c r="AU204" s="473" t="str">
        <f t="shared" si="51"/>
        <v/>
      </c>
      <c r="AZ204" s="32" t="s">
        <v>8139</v>
      </c>
      <c r="BA204" s="34" t="s">
        <v>473</v>
      </c>
      <c r="BB204" s="499"/>
      <c r="BC204" s="271"/>
      <c r="BD204" s="279">
        <v>1</v>
      </c>
      <c r="BE204" s="271"/>
      <c r="BF204" s="271"/>
      <c r="BG204" s="271"/>
      <c r="BH204" s="271"/>
      <c r="BI204" s="271"/>
      <c r="BJ204" s="271"/>
      <c r="BK204" s="271"/>
      <c r="BL204" s="271"/>
    </row>
    <row r="205" spans="18:64" ht="21" customHeight="1" x14ac:dyDescent="0.25">
      <c r="R205" s="34" t="s">
        <v>470</v>
      </c>
      <c r="S205" s="451"/>
      <c r="T205" s="32" t="s">
        <v>305</v>
      </c>
      <c r="V205" s="475">
        <v>4</v>
      </c>
      <c r="W205" s="475" t="str">
        <f>IF($AC$205="","",$W$180)</f>
        <v/>
      </c>
      <c r="X205" s="476" t="str">
        <f>IF($AC$205="","",$X$180)</f>
        <v/>
      </c>
      <c r="Y205" s="477" t="str">
        <f>IF($X$205="","",$Y$180)</f>
        <v/>
      </c>
      <c r="Z205" s="477" t="str">
        <f>IF($X$205="","",$Z$180)</f>
        <v/>
      </c>
      <c r="AA205" s="477" t="str">
        <f>IF($AC$205="","",ROW($A$205)-ROW($A$180))</f>
        <v/>
      </c>
      <c r="AB205" s="478"/>
      <c r="AC205" s="34"/>
      <c r="AD205" s="356"/>
      <c r="AE205" s="18"/>
      <c r="AF205" s="19"/>
      <c r="AG205" s="480" t="str">
        <f t="shared" si="40"/>
        <v/>
      </c>
      <c r="AH205" s="481" t="str">
        <f t="shared" si="41"/>
        <v/>
      </c>
      <c r="AI205" s="477" t="str">
        <f>IF($AC$205="","",IFERROR(INDEX($AZ$74:$AZ$119,MATCH($AH$205,$AY$74:$AY$119,0)),"AUTRE"))</f>
        <v/>
      </c>
      <c r="AJ205" s="482" t="str">
        <f>IF($AC$205="","",IFERROR(INDEX($BA$74:$BA$119,MATCH($AH$205,$AY$74:$AY$119,0)),1))</f>
        <v/>
      </c>
      <c r="AK205" s="482" t="str">
        <f t="shared" si="42"/>
        <v/>
      </c>
      <c r="AL205" s="477" t="str">
        <f>IF($AC$205="","",IFERROR(INDEX($BB$74:$BB$119,MATCH($AH$205,$AY$74:$AY$119,0)),$AH$205))</f>
        <v/>
      </c>
      <c r="AM205" s="483" t="str">
        <f t="shared" si="43"/>
        <v/>
      </c>
      <c r="AN205" s="484" t="str">
        <f t="shared" si="44"/>
        <v/>
      </c>
      <c r="AO205" s="473" t="str">
        <f t="shared" si="45"/>
        <v/>
      </c>
      <c r="AP205" s="473" t="str">
        <f t="shared" si="46"/>
        <v/>
      </c>
      <c r="AQ205" s="473" t="str">
        <f t="shared" si="47"/>
        <v/>
      </c>
      <c r="AR205" s="473" t="str">
        <f t="shared" si="48"/>
        <v/>
      </c>
      <c r="AS205" s="473" t="str">
        <f t="shared" si="49"/>
        <v/>
      </c>
      <c r="AT205" s="473" t="str">
        <f t="shared" si="50"/>
        <v/>
      </c>
      <c r="AU205" s="473" t="str">
        <f t="shared" si="51"/>
        <v/>
      </c>
      <c r="AZ205" s="32" t="s">
        <v>8141</v>
      </c>
      <c r="BA205" s="34" t="s">
        <v>497</v>
      </c>
      <c r="BB205" s="499"/>
      <c r="BC205" s="271"/>
      <c r="BD205" s="279">
        <v>1</v>
      </c>
      <c r="BE205" s="271"/>
      <c r="BF205" s="271"/>
      <c r="BG205" s="271"/>
      <c r="BH205" s="271"/>
      <c r="BI205" s="271"/>
      <c r="BJ205" s="271"/>
      <c r="BK205" s="271"/>
      <c r="BL205" s="271"/>
    </row>
    <row r="206" spans="18:64" ht="21" customHeight="1" x14ac:dyDescent="0.25">
      <c r="R206" s="34" t="s">
        <v>477</v>
      </c>
      <c r="S206" s="451"/>
      <c r="T206" s="32" t="s">
        <v>309</v>
      </c>
      <c r="V206" s="475">
        <v>4</v>
      </c>
      <c r="W206" s="475" t="str">
        <f>IF($AC$206="","",$W$180)</f>
        <v/>
      </c>
      <c r="X206" s="476" t="str">
        <f>IF($AC$206="","",$X$180)</f>
        <v/>
      </c>
      <c r="Y206" s="477" t="str">
        <f>IF($X$206="","",$Y$180)</f>
        <v/>
      </c>
      <c r="Z206" s="477" t="str">
        <f>IF($X$206="","",$Z$180)</f>
        <v/>
      </c>
      <c r="AA206" s="477" t="str">
        <f>IF($AC$206="","",ROW($A$206)-ROW($A$180))</f>
        <v/>
      </c>
      <c r="AB206" s="478"/>
      <c r="AC206" s="34"/>
      <c r="AD206" s="356"/>
      <c r="AE206" s="18"/>
      <c r="AF206" s="19"/>
      <c r="AG206" s="480" t="str">
        <f t="shared" si="40"/>
        <v/>
      </c>
      <c r="AH206" s="481" t="str">
        <f t="shared" si="41"/>
        <v/>
      </c>
      <c r="AI206" s="477" t="str">
        <f>IF($AC$206="","",IFERROR(INDEX($AZ$74:$AZ$119,MATCH($AH$206,$AY$74:$AY$119,0)),"AUTRE"))</f>
        <v/>
      </c>
      <c r="AJ206" s="482" t="str">
        <f>IF($AC$206="","",IFERROR(INDEX($BA$74:$BA$119,MATCH($AH$206,$AY$74:$AY$119,0)),1))</f>
        <v/>
      </c>
      <c r="AK206" s="482" t="str">
        <f t="shared" si="42"/>
        <v/>
      </c>
      <c r="AL206" s="477" t="str">
        <f>IF($AC$206="","",IFERROR(INDEX($BB$74:$BB$119,MATCH($AH$206,$AY$74:$AY$119,0)),$AH$206))</f>
        <v/>
      </c>
      <c r="AM206" s="483" t="str">
        <f t="shared" si="43"/>
        <v/>
      </c>
      <c r="AN206" s="484" t="str">
        <f t="shared" si="44"/>
        <v/>
      </c>
      <c r="AO206" s="473" t="str">
        <f t="shared" si="45"/>
        <v/>
      </c>
      <c r="AP206" s="473" t="str">
        <f t="shared" si="46"/>
        <v/>
      </c>
      <c r="AQ206" s="473" t="str">
        <f t="shared" si="47"/>
        <v/>
      </c>
      <c r="AR206" s="473" t="str">
        <f t="shared" si="48"/>
        <v/>
      </c>
      <c r="AS206" s="473" t="str">
        <f t="shared" si="49"/>
        <v/>
      </c>
      <c r="AT206" s="473" t="str">
        <f t="shared" si="50"/>
        <v/>
      </c>
      <c r="AU206" s="473" t="str">
        <f t="shared" si="51"/>
        <v/>
      </c>
      <c r="AZ206" s="32" t="s">
        <v>8143</v>
      </c>
      <c r="BA206" s="34" t="s">
        <v>470</v>
      </c>
      <c r="BB206" s="499"/>
      <c r="BC206" s="271"/>
      <c r="BD206" s="279">
        <v>1</v>
      </c>
      <c r="BE206" s="271"/>
      <c r="BF206" s="271"/>
      <c r="BG206" s="271"/>
      <c r="BH206" s="271"/>
      <c r="BI206" s="271"/>
      <c r="BJ206" s="271"/>
      <c r="BK206" s="271"/>
      <c r="BL206" s="271"/>
    </row>
    <row r="207" spans="18:64" ht="21" customHeight="1" x14ac:dyDescent="0.25">
      <c r="S207" s="451"/>
      <c r="T207" s="32" t="s">
        <v>311</v>
      </c>
      <c r="V207" s="475">
        <v>4</v>
      </c>
      <c r="W207" s="475" t="str">
        <f>IF($AC$207="","",$W$180)</f>
        <v/>
      </c>
      <c r="X207" s="476" t="str">
        <f>IF($AC$207="","",$X$180)</f>
        <v/>
      </c>
      <c r="Y207" s="477" t="str">
        <f>IF($X$207="","",$Y$180)</f>
        <v/>
      </c>
      <c r="Z207" s="477" t="str">
        <f>IF($X$207="","",$Z$180)</f>
        <v/>
      </c>
      <c r="AA207" s="477" t="str">
        <f>IF($AC$207="","",ROW($A$207)-ROW($A$180))</f>
        <v/>
      </c>
      <c r="AB207" s="478"/>
      <c r="AC207" s="34"/>
      <c r="AD207" s="356"/>
      <c r="AE207" s="18"/>
      <c r="AF207" s="19"/>
      <c r="AG207" s="480" t="str">
        <f t="shared" si="40"/>
        <v/>
      </c>
      <c r="AH207" s="481" t="str">
        <f t="shared" si="41"/>
        <v/>
      </c>
      <c r="AI207" s="477" t="str">
        <f>IF($AC$207="","",IFERROR(INDEX($AZ$74:$AZ$119,MATCH($AH$207,$AY$74:$AY$119,0)),"AUTRE"))</f>
        <v/>
      </c>
      <c r="AJ207" s="482" t="str">
        <f>IF($AC$207="","",IFERROR(INDEX($BA$74:$BA$119,MATCH($AH$207,$AY$74:$AY$119,0)),1))</f>
        <v/>
      </c>
      <c r="AK207" s="482" t="str">
        <f t="shared" si="42"/>
        <v/>
      </c>
      <c r="AL207" s="477" t="str">
        <f>IF($AC$207="","",IFERROR(INDEX($BB$74:$BB$119,MATCH($AH$207,$AY$74:$AY$119,0)),$AH$207))</f>
        <v/>
      </c>
      <c r="AM207" s="483" t="str">
        <f t="shared" si="43"/>
        <v/>
      </c>
      <c r="AN207" s="484" t="str">
        <f t="shared" si="44"/>
        <v/>
      </c>
      <c r="AO207" s="473" t="str">
        <f t="shared" si="45"/>
        <v/>
      </c>
      <c r="AP207" s="473" t="str">
        <f t="shared" si="46"/>
        <v/>
      </c>
      <c r="AQ207" s="473" t="str">
        <f t="shared" si="47"/>
        <v/>
      </c>
      <c r="AR207" s="473" t="str">
        <f t="shared" si="48"/>
        <v/>
      </c>
      <c r="AS207" s="473" t="str">
        <f t="shared" si="49"/>
        <v/>
      </c>
      <c r="AT207" s="473" t="str">
        <f t="shared" si="50"/>
        <v/>
      </c>
      <c r="AU207" s="473" t="str">
        <f t="shared" si="51"/>
        <v/>
      </c>
      <c r="AZ207" s="497" t="s">
        <v>8145</v>
      </c>
      <c r="BA207" s="34" t="s">
        <v>477</v>
      </c>
      <c r="BB207" s="499"/>
      <c r="BC207" s="271"/>
      <c r="BD207" s="279">
        <v>1</v>
      </c>
      <c r="BE207" s="271"/>
      <c r="BF207" s="271"/>
      <c r="BG207" s="271"/>
      <c r="BH207" s="271"/>
      <c r="BI207" s="271"/>
      <c r="BJ207" s="271"/>
      <c r="BK207" s="271"/>
      <c r="BL207" s="271"/>
    </row>
    <row r="208" spans="18:64" ht="21" customHeight="1" x14ac:dyDescent="0.25">
      <c r="R208" s="25" t="s">
        <v>6134</v>
      </c>
      <c r="S208" s="451"/>
      <c r="T208" s="32" t="s">
        <v>8135</v>
      </c>
      <c r="V208" s="475">
        <v>4</v>
      </c>
      <c r="W208" s="475" t="str">
        <f>IF($AC$208="","",$W$180)</f>
        <v/>
      </c>
      <c r="X208" s="476" t="str">
        <f>IF($AC$208="","",$X$180)</f>
        <v/>
      </c>
      <c r="Y208" s="477" t="str">
        <f>IF($X$208="","",$Y$180)</f>
        <v/>
      </c>
      <c r="Z208" s="477" t="str">
        <f>IF($X$208="","",$Z$180)</f>
        <v/>
      </c>
      <c r="AA208" s="477" t="str">
        <f>IF($AC$208="","",ROW($A$208)-ROW($A$180))</f>
        <v/>
      </c>
      <c r="AB208" s="478"/>
      <c r="AC208" s="34"/>
      <c r="AD208" s="356"/>
      <c r="AE208" s="18"/>
      <c r="AF208" s="19"/>
      <c r="AG208" s="480" t="str">
        <f t="shared" si="40"/>
        <v/>
      </c>
      <c r="AH208" s="481" t="str">
        <f t="shared" si="41"/>
        <v/>
      </c>
      <c r="AI208" s="477" t="str">
        <f>IF($AC$208="","",IFERROR(INDEX($AZ$74:$AZ$119,MATCH($AH$208,$AY$74:$AY$119,0)),"AUTRE"))</f>
        <v/>
      </c>
      <c r="AJ208" s="482" t="str">
        <f>IF($AC$208="","",IFERROR(INDEX($BA$74:$BA$119,MATCH($AH$208,$AY$74:$AY$119,0)),1))</f>
        <v/>
      </c>
      <c r="AK208" s="482" t="str">
        <f t="shared" si="42"/>
        <v/>
      </c>
      <c r="AL208" s="477" t="str">
        <f>IF($AC$208="","",IFERROR(INDEX($BB$74:$BB$119,MATCH($AH$208,$AY$74:$AY$119,0)),$AH$208))</f>
        <v/>
      </c>
      <c r="AM208" s="483" t="str">
        <f t="shared" si="43"/>
        <v/>
      </c>
      <c r="AN208" s="484" t="str">
        <f t="shared" si="44"/>
        <v/>
      </c>
      <c r="AO208" s="473" t="str">
        <f t="shared" si="45"/>
        <v/>
      </c>
      <c r="AP208" s="473" t="str">
        <f t="shared" si="46"/>
        <v/>
      </c>
      <c r="AQ208" s="473" t="str">
        <f t="shared" si="47"/>
        <v/>
      </c>
      <c r="AR208" s="473" t="str">
        <f t="shared" si="48"/>
        <v/>
      </c>
      <c r="AS208" s="473" t="str">
        <f t="shared" si="49"/>
        <v/>
      </c>
      <c r="AT208" s="473" t="str">
        <f t="shared" si="50"/>
        <v/>
      </c>
      <c r="AU208" s="473" t="str">
        <f t="shared" si="51"/>
        <v/>
      </c>
      <c r="AY208" s="271"/>
      <c r="AZ208" s="497" t="s">
        <v>462</v>
      </c>
      <c r="BB208" s="499"/>
      <c r="BC208" s="271"/>
      <c r="BD208" s="279">
        <v>1</v>
      </c>
      <c r="BE208" s="271"/>
      <c r="BF208" s="271"/>
      <c r="BG208" s="271"/>
      <c r="BH208" s="271"/>
      <c r="BI208" s="271"/>
      <c r="BJ208" s="271"/>
      <c r="BK208" s="271"/>
      <c r="BL208" s="271"/>
    </row>
    <row r="209" spans="18:64" ht="21" customHeight="1" x14ac:dyDescent="0.25">
      <c r="R209" s="34" t="s">
        <v>481</v>
      </c>
      <c r="S209" s="451"/>
      <c r="T209" s="497" t="s">
        <v>462</v>
      </c>
      <c r="V209" s="475">
        <v>4</v>
      </c>
      <c r="W209" s="475" t="str">
        <f>IF($AC$209="","",$W$180)</f>
        <v/>
      </c>
      <c r="X209" s="476" t="str">
        <f>IF($AC$209="","",$X$180)</f>
        <v/>
      </c>
      <c r="Y209" s="477" t="str">
        <f>IF($X$209="","",$Y$180)</f>
        <v/>
      </c>
      <c r="Z209" s="477" t="str">
        <f>IF($X$209="","",$Z$180)</f>
        <v/>
      </c>
      <c r="AA209" s="477" t="str">
        <f>IF($AC$209="","",ROW($A$209)-ROW($A$180))</f>
        <v/>
      </c>
      <c r="AB209" s="478"/>
      <c r="AC209" s="34"/>
      <c r="AD209" s="356"/>
      <c r="AE209" s="18"/>
      <c r="AF209" s="19"/>
      <c r="AG209" s="480" t="str">
        <f t="shared" si="40"/>
        <v/>
      </c>
      <c r="AH209" s="481" t="str">
        <f t="shared" si="41"/>
        <v/>
      </c>
      <c r="AI209" s="477" t="str">
        <f>IF($AC$209="","",IFERROR(INDEX($AZ$74:$AZ$119,MATCH($AH$209,$AY$74:$AY$119,0)),"AUTRE"))</f>
        <v/>
      </c>
      <c r="AJ209" s="482" t="str">
        <f>IF($AC$209="","",IFERROR(INDEX($BA$74:$BA$119,MATCH($AH$209,$AY$74:$AY$119,0)),1))</f>
        <v/>
      </c>
      <c r="AK209" s="482" t="str">
        <f t="shared" si="42"/>
        <v/>
      </c>
      <c r="AL209" s="477" t="str">
        <f>IF($AC$209="","",IFERROR(INDEX($BB$74:$BB$119,MATCH($AH$209,$AY$74:$AY$119,0)),$AH$209))</f>
        <v/>
      </c>
      <c r="AM209" s="483" t="str">
        <f t="shared" si="43"/>
        <v/>
      </c>
      <c r="AN209" s="484" t="str">
        <f t="shared" si="44"/>
        <v/>
      </c>
      <c r="AO209" s="473" t="str">
        <f t="shared" si="45"/>
        <v/>
      </c>
      <c r="AP209" s="473" t="str">
        <f t="shared" si="46"/>
        <v/>
      </c>
      <c r="AQ209" s="473" t="str">
        <f t="shared" si="47"/>
        <v/>
      </c>
      <c r="AR209" s="473" t="str">
        <f t="shared" si="48"/>
        <v/>
      </c>
      <c r="AS209" s="473" t="str">
        <f t="shared" si="49"/>
        <v/>
      </c>
      <c r="AT209" s="473" t="str">
        <f t="shared" si="50"/>
        <v/>
      </c>
      <c r="AU209" s="473" t="str">
        <f t="shared" si="51"/>
        <v/>
      </c>
      <c r="AY209" s="497" t="s">
        <v>8145</v>
      </c>
      <c r="AZ209" s="497" t="s">
        <v>463</v>
      </c>
      <c r="BA209" s="25" t="s">
        <v>6134</v>
      </c>
      <c r="BB209" s="499"/>
      <c r="BC209" s="271"/>
      <c r="BD209" s="279">
        <v>1</v>
      </c>
      <c r="BE209" s="271"/>
      <c r="BF209" s="271"/>
      <c r="BG209" s="271"/>
      <c r="BH209" s="271"/>
      <c r="BI209" s="271"/>
      <c r="BJ209" s="271"/>
      <c r="BK209" s="271"/>
      <c r="BL209" s="271"/>
    </row>
    <row r="210" spans="18:64" ht="21" customHeight="1" x14ac:dyDescent="0.25">
      <c r="R210" s="34" t="s">
        <v>475</v>
      </c>
      <c r="S210" s="451"/>
      <c r="T210" s="497" t="s">
        <v>463</v>
      </c>
      <c r="V210" s="475">
        <v>4</v>
      </c>
      <c r="W210" s="475" t="str">
        <f>IF($AC$210="","",$W$180)</f>
        <v/>
      </c>
      <c r="X210" s="476" t="str">
        <f>IF($AC$210="","",$X$180)</f>
        <v/>
      </c>
      <c r="Y210" s="477" t="str">
        <f>IF($X$210="","",$Y$180)</f>
        <v/>
      </c>
      <c r="Z210" s="477" t="str">
        <f>IF($X$210="","",$Z$180)</f>
        <v/>
      </c>
      <c r="AA210" s="477" t="str">
        <f>IF($AC$210="","",ROW($A$210)-ROW($A$180))</f>
        <v/>
      </c>
      <c r="AB210" s="478"/>
      <c r="AC210" s="34"/>
      <c r="AD210" s="356"/>
      <c r="AE210" s="18"/>
      <c r="AF210" s="19"/>
      <c r="AG210" s="480" t="str">
        <f t="shared" si="40"/>
        <v/>
      </c>
      <c r="AH210" s="481" t="str">
        <f t="shared" si="41"/>
        <v/>
      </c>
      <c r="AI210" s="477" t="str">
        <f>IF($AC$210="","",IFERROR(INDEX($AZ$74:$AZ$119,MATCH($AH$210,$AY$74:$AY$119,0)),"AUTRE"))</f>
        <v/>
      </c>
      <c r="AJ210" s="482" t="str">
        <f>IF($AC$210="","",IFERROR(INDEX($BA$74:$BA$119,MATCH($AH$210,$AY$74:$AY$119,0)),1))</f>
        <v/>
      </c>
      <c r="AK210" s="482" t="str">
        <f t="shared" si="42"/>
        <v/>
      </c>
      <c r="AL210" s="477" t="str">
        <f>IF($AC$210="","",IFERROR(INDEX($BB$74:$BB$119,MATCH($AH$210,$AY$74:$AY$119,0)),$AH$210))</f>
        <v/>
      </c>
      <c r="AM210" s="483" t="str">
        <f t="shared" si="43"/>
        <v/>
      </c>
      <c r="AN210" s="484" t="str">
        <f t="shared" si="44"/>
        <v/>
      </c>
      <c r="AO210" s="473" t="str">
        <f t="shared" si="45"/>
        <v/>
      </c>
      <c r="AP210" s="473" t="str">
        <f t="shared" si="46"/>
        <v/>
      </c>
      <c r="AQ210" s="473" t="str">
        <f t="shared" si="47"/>
        <v/>
      </c>
      <c r="AR210" s="473" t="str">
        <f t="shared" si="48"/>
        <v/>
      </c>
      <c r="AS210" s="473" t="str">
        <f t="shared" si="49"/>
        <v/>
      </c>
      <c r="AT210" s="473" t="str">
        <f t="shared" si="50"/>
        <v/>
      </c>
      <c r="AU210" s="473" t="str">
        <f t="shared" si="51"/>
        <v/>
      </c>
      <c r="AY210" s="497" t="s">
        <v>462</v>
      </c>
      <c r="AZ210" s="497" t="s">
        <v>8147</v>
      </c>
      <c r="BA210" s="34" t="s">
        <v>481</v>
      </c>
      <c r="BB210" s="499"/>
      <c r="BC210" s="271"/>
      <c r="BD210" s="279">
        <v>1</v>
      </c>
      <c r="BE210" s="271"/>
      <c r="BF210" s="271"/>
      <c r="BG210" s="271"/>
      <c r="BH210" s="271"/>
      <c r="BI210" s="271"/>
      <c r="BJ210" s="271"/>
      <c r="BK210" s="271"/>
      <c r="BL210" s="271"/>
    </row>
    <row r="211" spans="18:64" ht="21" customHeight="1" x14ac:dyDescent="0.25">
      <c r="R211" s="34" t="s">
        <v>457</v>
      </c>
      <c r="S211" s="451"/>
      <c r="T211" s="497" t="s">
        <v>8147</v>
      </c>
      <c r="V211" s="475">
        <v>4</v>
      </c>
      <c r="W211" s="475" t="str">
        <f>IF($AC$211="","",$W$180)</f>
        <v>N° 48</v>
      </c>
      <c r="X211" s="476" t="str">
        <f>IF($AC$211="","",$X$180)</f>
        <v>BROUILLADE D'ŒUFS FORESTIÈRE*</v>
      </c>
      <c r="Y211" s="477">
        <f>IF($X$211="","",$Y$180)</f>
        <v>65</v>
      </c>
      <c r="Z211" s="477">
        <f>IF($X$211="","",$Z$180)</f>
        <v>100</v>
      </c>
      <c r="AA211" s="477">
        <f>IF($AC$211="","",ROW($A$211)-ROW($A$180))</f>
        <v>31</v>
      </c>
      <c r="AB211" s="478"/>
      <c r="AC211" s="34" t="s">
        <v>477</v>
      </c>
      <c r="AD211" s="356"/>
      <c r="AE211" s="18">
        <v>1</v>
      </c>
      <c r="AF211" s="33" t="s">
        <v>462</v>
      </c>
      <c r="AG211" s="480">
        <f t="shared" si="40"/>
        <v>1</v>
      </c>
      <c r="AH211" s="481" t="str">
        <f t="shared" si="41"/>
        <v>BAC(S)</v>
      </c>
      <c r="AI211" s="477" t="str">
        <f>IF($AC$211="","",IFERROR(INDEX($AZ$74:$AZ$119,MATCH($AH$211,$AY$74:$AY$119,0)),"AUTRE"))</f>
        <v>AUTRE</v>
      </c>
      <c r="AJ211" s="482">
        <f>IF($AC$211="","",IFERROR(INDEX($BA$74:$BA$119,MATCH($AH$211,$AY$74:$AY$119,0)),1))</f>
        <v>1</v>
      </c>
      <c r="AK211" s="482">
        <f t="shared" si="42"/>
        <v>1</v>
      </c>
      <c r="AL211" s="477" t="str">
        <f>IF($AC$211="","",IFERROR(INDEX($BB$74:$BB$119,MATCH($AH$211,$AY$74:$AY$119,0)),$AH$211))</f>
        <v>bac(s)</v>
      </c>
      <c r="AM211" s="483" t="str">
        <f t="shared" si="43"/>
        <v>OK</v>
      </c>
      <c r="AN211" s="484">
        <f t="shared" si="44"/>
        <v>1</v>
      </c>
      <c r="AO211" s="473" t="str">
        <f t="shared" si="45"/>
        <v/>
      </c>
      <c r="AP211" s="473" t="str">
        <f t="shared" si="46"/>
        <v/>
      </c>
      <c r="AQ211" s="473" t="str">
        <f t="shared" si="47"/>
        <v/>
      </c>
      <c r="AR211" s="473" t="str">
        <f t="shared" si="48"/>
        <v/>
      </c>
      <c r="AS211" s="473" t="str">
        <f t="shared" si="49"/>
        <v/>
      </c>
      <c r="AT211" s="473" t="str">
        <f t="shared" si="50"/>
        <v/>
      </c>
      <c r="AU211" s="473" t="str">
        <f t="shared" si="51"/>
        <v/>
      </c>
      <c r="AY211" s="497" t="s">
        <v>463</v>
      </c>
      <c r="AZ211" s="497" t="s">
        <v>465</v>
      </c>
      <c r="BA211" s="34" t="s">
        <v>475</v>
      </c>
      <c r="BB211" s="499"/>
      <c r="BC211" s="271"/>
      <c r="BD211" s="279">
        <v>1</v>
      </c>
      <c r="BE211" s="271"/>
      <c r="BF211" s="271"/>
      <c r="BG211" s="271"/>
      <c r="BH211" s="271"/>
      <c r="BI211" s="271"/>
      <c r="BJ211" s="271"/>
      <c r="BK211" s="271"/>
      <c r="BL211" s="271"/>
    </row>
    <row r="212" spans="18:64" ht="21" customHeight="1" x14ac:dyDescent="0.25">
      <c r="R212" s="34" t="s">
        <v>482</v>
      </c>
      <c r="S212" s="451"/>
      <c r="T212" s="497" t="s">
        <v>465</v>
      </c>
      <c r="V212" s="475">
        <v>4</v>
      </c>
      <c r="W212" s="475" t="str">
        <f>IF($AC$212="","",$W$180)</f>
        <v>N° 48</v>
      </c>
      <c r="X212" s="476" t="str">
        <f>IF($AC$212="","",$X$180)</f>
        <v>BROUILLADE D'ŒUFS FORESTIÈRE*</v>
      </c>
      <c r="Y212" s="477">
        <f>IF($X$212="","",$Y$180)</f>
        <v>65</v>
      </c>
      <c r="Z212" s="477">
        <f>IF($X$212="","",$Z$180)</f>
        <v>100</v>
      </c>
      <c r="AA212" s="477">
        <f>IF($AC$212="","",ROW($A$212)-ROW($A$180))</f>
        <v>32</v>
      </c>
      <c r="AB212" s="478"/>
      <c r="AC212" s="34" t="s">
        <v>478</v>
      </c>
      <c r="AD212" s="356"/>
      <c r="AE212" s="18">
        <v>1</v>
      </c>
      <c r="AF212" s="33" t="s">
        <v>462</v>
      </c>
      <c r="AG212" s="480">
        <f t="shared" si="40"/>
        <v>1</v>
      </c>
      <c r="AH212" s="481" t="str">
        <f t="shared" si="41"/>
        <v>BAC(S)</v>
      </c>
      <c r="AI212" s="477" t="str">
        <f>IF($AC$212="","",IFERROR(INDEX($AZ$74:$AZ$119,MATCH($AH$212,$AY$74:$AY$119,0)),"AUTRE"))</f>
        <v>AUTRE</v>
      </c>
      <c r="AJ212" s="482">
        <f>IF($AC$212="","",IFERROR(INDEX($BA$74:$BA$119,MATCH($AH$212,$AY$74:$AY$119,0)),1))</f>
        <v>1</v>
      </c>
      <c r="AK212" s="482">
        <f t="shared" si="42"/>
        <v>1</v>
      </c>
      <c r="AL212" s="477" t="str">
        <f>IF($AC$212="","",IFERROR(INDEX($BB$74:$BB$119,MATCH($AH$212,$AY$74:$AY$119,0)),$AH$212))</f>
        <v>bac(s)</v>
      </c>
      <c r="AM212" s="483" t="str">
        <f t="shared" si="43"/>
        <v>OK</v>
      </c>
      <c r="AN212" s="484">
        <f t="shared" si="44"/>
        <v>1</v>
      </c>
      <c r="AO212" s="473" t="str">
        <f t="shared" si="45"/>
        <v/>
      </c>
      <c r="AP212" s="473" t="str">
        <f t="shared" si="46"/>
        <v/>
      </c>
      <c r="AQ212" s="473" t="str">
        <f t="shared" si="47"/>
        <v/>
      </c>
      <c r="AR212" s="473" t="str">
        <f t="shared" si="48"/>
        <v/>
      </c>
      <c r="AS212" s="473" t="str">
        <f t="shared" si="49"/>
        <v/>
      </c>
      <c r="AT212" s="473" t="str">
        <f t="shared" si="50"/>
        <v/>
      </c>
      <c r="AU212" s="473" t="str">
        <f t="shared" si="51"/>
        <v/>
      </c>
      <c r="AY212" s="497" t="s">
        <v>8147</v>
      </c>
      <c r="AZ212" s="497" t="s">
        <v>466</v>
      </c>
      <c r="BA212" s="34" t="s">
        <v>457</v>
      </c>
      <c r="BB212" s="499"/>
      <c r="BC212" s="271"/>
      <c r="BD212" s="279">
        <v>1</v>
      </c>
      <c r="BE212" s="271"/>
      <c r="BF212" s="271"/>
      <c r="BG212" s="271"/>
      <c r="BH212" s="271"/>
      <c r="BI212" s="271"/>
      <c r="BJ212" s="271"/>
      <c r="BK212" s="271"/>
      <c r="BL212" s="271"/>
    </row>
    <row r="213" spans="18:64" ht="21" customHeight="1" x14ac:dyDescent="0.25">
      <c r="R213" s="34" t="s">
        <v>496</v>
      </c>
      <c r="S213" s="451"/>
      <c r="T213" s="497" t="s">
        <v>466</v>
      </c>
      <c r="V213" s="475">
        <v>4</v>
      </c>
      <c r="W213" s="475" t="str">
        <f>IF($AC$213="","",$W$180)</f>
        <v>N° 48</v>
      </c>
      <c r="X213" s="476" t="str">
        <f>IF($AC$213="","",$X$180)</f>
        <v>BROUILLADE D'ŒUFS FORESTIÈRE*</v>
      </c>
      <c r="Y213" s="477">
        <f>IF($X$213="","",$Y$180)</f>
        <v>65</v>
      </c>
      <c r="Z213" s="477">
        <f>IF($X$213="","",$Z$180)</f>
        <v>100</v>
      </c>
      <c r="AA213" s="477">
        <f>IF($AC$213="","",ROW($A$213)-ROW($A$180))</f>
        <v>33</v>
      </c>
      <c r="AB213" s="478"/>
      <c r="AC213" s="34" t="s">
        <v>479</v>
      </c>
      <c r="AD213" s="356"/>
      <c r="AE213" s="18">
        <v>2</v>
      </c>
      <c r="AF213" s="33" t="s">
        <v>462</v>
      </c>
      <c r="AG213" s="480">
        <f t="shared" si="40"/>
        <v>2</v>
      </c>
      <c r="AH213" s="481" t="str">
        <f t="shared" si="41"/>
        <v>BAC(S)</v>
      </c>
      <c r="AI213" s="477" t="str">
        <f>IF($AC$213="","",IFERROR(INDEX($AZ$74:$AZ$119,MATCH($AH$213,$AY$74:$AY$119,0)),"AUTRE"))</f>
        <v>AUTRE</v>
      </c>
      <c r="AJ213" s="482">
        <f>IF($AC$213="","",IFERROR(INDEX($BA$74:$BA$119,MATCH($AH$213,$AY$74:$AY$119,0)),1))</f>
        <v>1</v>
      </c>
      <c r="AK213" s="482">
        <f t="shared" si="42"/>
        <v>2</v>
      </c>
      <c r="AL213" s="477" t="str">
        <f>IF($AC$213="","",IFERROR(INDEX($BB$74:$BB$119,MATCH($AH$213,$AY$74:$AY$119,0)),$AH$213))</f>
        <v>bac(s)</v>
      </c>
      <c r="AM213" s="483" t="str">
        <f t="shared" si="43"/>
        <v>OK</v>
      </c>
      <c r="AN213" s="484">
        <f t="shared" si="44"/>
        <v>2</v>
      </c>
      <c r="AO213" s="473" t="str">
        <f t="shared" si="45"/>
        <v/>
      </c>
      <c r="AP213" s="473" t="str">
        <f t="shared" si="46"/>
        <v/>
      </c>
      <c r="AQ213" s="473" t="str">
        <f t="shared" si="47"/>
        <v/>
      </c>
      <c r="AR213" s="473" t="str">
        <f t="shared" si="48"/>
        <v/>
      </c>
      <c r="AS213" s="473" t="str">
        <f t="shared" si="49"/>
        <v/>
      </c>
      <c r="AT213" s="473" t="str">
        <f t="shared" si="50"/>
        <v/>
      </c>
      <c r="AU213" s="473" t="str">
        <f t="shared" si="51"/>
        <v/>
      </c>
      <c r="AY213" s="497" t="s">
        <v>465</v>
      </c>
      <c r="AZ213" s="14" t="s">
        <v>7</v>
      </c>
      <c r="BA213" s="34" t="s">
        <v>482</v>
      </c>
      <c r="BB213" s="499"/>
      <c r="BC213" s="271"/>
      <c r="BD213" s="279">
        <v>1</v>
      </c>
      <c r="BE213" s="271"/>
      <c r="BF213" s="271"/>
      <c r="BG213" s="271"/>
      <c r="BH213" s="271"/>
      <c r="BI213" s="271"/>
      <c r="BJ213" s="271"/>
      <c r="BK213" s="271"/>
      <c r="BL213" s="271"/>
    </row>
    <row r="214" spans="18:64" ht="21" customHeight="1" x14ac:dyDescent="0.25">
      <c r="R214" s="34" t="s">
        <v>483</v>
      </c>
      <c r="S214" s="451"/>
      <c r="T214" s="440" t="s">
        <v>8110</v>
      </c>
      <c r="V214" s="475">
        <v>4</v>
      </c>
      <c r="W214" s="475" t="str">
        <f>IF($AC$214="","",$W$180)</f>
        <v>N° 48</v>
      </c>
      <c r="X214" s="476" t="str">
        <f>IF($AC$214="","",$X$180)</f>
        <v>BROUILLADE D'ŒUFS FORESTIÈRE*</v>
      </c>
      <c r="Y214" s="477">
        <f>IF($X$214="","",$Y$180)</f>
        <v>65</v>
      </c>
      <c r="Z214" s="477">
        <f>IF($X$214="","",$Z$180)</f>
        <v>100</v>
      </c>
      <c r="AA214" s="477">
        <f>IF($AC$214="","",ROW($A$214)-ROW($A$180))</f>
        <v>34</v>
      </c>
      <c r="AB214" s="478"/>
      <c r="AC214" s="34" t="s">
        <v>481</v>
      </c>
      <c r="AD214" s="356"/>
      <c r="AE214" s="18">
        <v>2</v>
      </c>
      <c r="AF214" s="33" t="s">
        <v>463</v>
      </c>
      <c r="AG214" s="491">
        <f t="shared" si="40"/>
        <v>2</v>
      </c>
      <c r="AH214" s="481" t="str">
        <f t="shared" si="41"/>
        <v>COUVERCLE(S)</v>
      </c>
      <c r="AI214" s="477" t="str">
        <f>IF($AC$214="","",IFERROR(INDEX($AZ$74:$AZ$119,MATCH($AH$214,$AY$74:$AY$119,0)),"AUTRE"))</f>
        <v>AUTRE</v>
      </c>
      <c r="AJ214" s="482">
        <f>IF($AC$214="","",IFERROR(INDEX($BA$74:$BA$119,MATCH($AH$214,$AY$74:$AY$119,0)),1))</f>
        <v>1</v>
      </c>
      <c r="AK214" s="482">
        <f t="shared" si="42"/>
        <v>2</v>
      </c>
      <c r="AL214" s="477" t="str">
        <f>IF($AC$214="","",IFERROR(INDEX($BB$74:$BB$119,MATCH($AH$214,$AY$74:$AY$119,0)),$AH$214))</f>
        <v>couvercle(s)</v>
      </c>
      <c r="AM214" s="483" t="str">
        <f t="shared" si="43"/>
        <v>OK</v>
      </c>
      <c r="AN214" s="484">
        <f t="shared" si="44"/>
        <v>2</v>
      </c>
      <c r="AO214" s="473" t="str">
        <f t="shared" si="45"/>
        <v/>
      </c>
      <c r="AP214" s="473" t="str">
        <f t="shared" si="46"/>
        <v/>
      </c>
      <c r="AQ214" s="473" t="str">
        <f t="shared" si="47"/>
        <v/>
      </c>
      <c r="AR214" s="473" t="str">
        <f t="shared" si="48"/>
        <v/>
      </c>
      <c r="AS214" s="473" t="str">
        <f t="shared" si="49"/>
        <v/>
      </c>
      <c r="AT214" s="473" t="str">
        <f t="shared" si="50"/>
        <v/>
      </c>
      <c r="AU214" s="473" t="str">
        <f t="shared" si="51"/>
        <v/>
      </c>
      <c r="AY214" s="497" t="s">
        <v>466</v>
      </c>
      <c r="AZ214" s="27" t="s">
        <v>8</v>
      </c>
      <c r="BA214" s="34" t="s">
        <v>496</v>
      </c>
      <c r="BB214" s="499"/>
      <c r="BC214" s="271"/>
      <c r="BD214" s="279">
        <v>1</v>
      </c>
      <c r="BE214" s="271"/>
      <c r="BF214" s="271"/>
      <c r="BG214" s="271"/>
      <c r="BH214" s="271"/>
      <c r="BI214" s="271"/>
      <c r="BJ214" s="271"/>
      <c r="BK214" s="271"/>
      <c r="BL214" s="271"/>
    </row>
    <row r="215" spans="18:64" ht="30" customHeight="1" x14ac:dyDescent="0.25">
      <c r="R215" s="34" t="s">
        <v>493</v>
      </c>
      <c r="S215" s="451"/>
      <c r="T215" s="452" t="s">
        <v>8113</v>
      </c>
      <c r="V215" s="453" t="s">
        <v>324</v>
      </c>
      <c r="W215" s="453" t="s">
        <v>7912</v>
      </c>
      <c r="X215" s="453" t="s">
        <v>326</v>
      </c>
      <c r="Y215" s="453" t="s">
        <v>327</v>
      </c>
      <c r="Z215" s="454" t="s">
        <v>7930</v>
      </c>
      <c r="AA215" s="453" t="s">
        <v>7937</v>
      </c>
      <c r="AB215" s="455" t="s">
        <v>39</v>
      </c>
      <c r="AC215" s="455" t="s">
        <v>338</v>
      </c>
      <c r="AD215" s="455" t="s">
        <v>8114</v>
      </c>
      <c r="AE215" s="455" t="s">
        <v>339</v>
      </c>
      <c r="AF215" s="455" t="s">
        <v>7997</v>
      </c>
      <c r="AG215" s="453" t="s">
        <v>8018</v>
      </c>
      <c r="AH215" s="453" t="s">
        <v>8023</v>
      </c>
      <c r="AI215" s="453" t="s">
        <v>330</v>
      </c>
      <c r="AJ215" s="453" t="s">
        <v>8031</v>
      </c>
      <c r="AK215" s="453" t="s">
        <v>8037</v>
      </c>
      <c r="AL215" s="453" t="s">
        <v>8041</v>
      </c>
      <c r="AM215" s="453" t="s">
        <v>343</v>
      </c>
      <c r="AN215" s="457" t="s">
        <v>8115</v>
      </c>
      <c r="AO215" s="457" t="s">
        <v>8116</v>
      </c>
      <c r="AP215" s="656" t="s">
        <v>8117</v>
      </c>
      <c r="AQ215" s="656"/>
      <c r="AR215" s="656"/>
      <c r="AS215" s="656"/>
      <c r="AT215" s="656"/>
      <c r="AU215" s="657"/>
      <c r="AZ215" s="28" t="s">
        <v>13</v>
      </c>
      <c r="BA215" s="34" t="s">
        <v>483</v>
      </c>
      <c r="BB215" s="499"/>
      <c r="BC215" s="271"/>
      <c r="BD215" s="279">
        <v>1</v>
      </c>
      <c r="BE215" s="271"/>
      <c r="BF215" s="271"/>
      <c r="BG215" s="271"/>
      <c r="BH215" s="271"/>
      <c r="BI215" s="271"/>
      <c r="BJ215" s="271"/>
      <c r="BK215" s="271"/>
      <c r="BL215" s="271"/>
    </row>
    <row r="216" spans="18:64" ht="30" customHeight="1" x14ac:dyDescent="0.25">
      <c r="R216" s="34" t="s">
        <v>494</v>
      </c>
      <c r="S216" s="451"/>
      <c r="T216" s="14" t="s">
        <v>7</v>
      </c>
      <c r="V216" s="459">
        <v>5</v>
      </c>
      <c r="W216" s="460" t="s">
        <v>289</v>
      </c>
      <c r="X216" s="461" t="s">
        <v>393</v>
      </c>
      <c r="Y216" s="462">
        <v>66</v>
      </c>
      <c r="Z216" s="463">
        <v>100</v>
      </c>
      <c r="AA216" s="464">
        <f>IF($AC$396="","",ROW($A$396)-ROW($A$396))</f>
        <v>0</v>
      </c>
      <c r="AB216" s="461"/>
      <c r="AC216" s="465" t="s">
        <v>387</v>
      </c>
      <c r="AD216" s="390"/>
      <c r="AE216" s="13">
        <v>200</v>
      </c>
      <c r="AF216" s="23" t="s">
        <v>309</v>
      </c>
      <c r="AG216" s="467">
        <f t="shared" ref="AG216:AG250" si="52">IF($AC216="","",IF(LEN($AN216&amp;"")=0,"",$AN216))</f>
        <v>200</v>
      </c>
      <c r="AH216" s="468" t="str">
        <f t="shared" ref="AH216:AH250" si="53">IF($AC216="","",IF($AF216&lt;&gt;"",UPPER(TRIM(SUBSTITUTE(SUBSTITUTE($AF216&amp;"",CHAR(160)," ")," "," "))),$AP216))</f>
        <v>PIÈCE(S)</v>
      </c>
      <c r="AI216" s="469" t="str">
        <f>IF($AC$216="","",IFERROR(INDEX($AZ$74:$AZ$119,MATCH($AH$216,$AY$74:$AY$119,0)),"AUTRE"))</f>
        <v>AUTRE</v>
      </c>
      <c r="AJ216" s="470">
        <f>IF($AC$216="","",IFERROR(INDEX($BA$74:$BA$119,MATCH($AH$216,$AY$74:$AY$119,0)),1))</f>
        <v>1</v>
      </c>
      <c r="AK216" s="470">
        <f t="shared" ref="AK216:AK250" si="54">IF(OR(AG216="",AJ216=""),"",AG216*AJ216)</f>
        <v>200</v>
      </c>
      <c r="AL216" s="469" t="str">
        <f>IF($AC$216="","",IFERROR(INDEX($BB$74:$BB$119,MATCH($AH$216,$AY$74:$AY$119,0)),$AH$216))</f>
        <v>pièce(s)</v>
      </c>
      <c r="AM216" s="471" t="str">
        <f t="shared" ref="AM216:AM250" si="55">IF($AC216="","",IF($AH216="QT. SUFFISANTE","OK",IF($AG216="","TEXTE",IF(NOT(ISNUMBER($AG216)),"QUANTITÉ À CONTRÔLER",IF(COUNTIF($AY$74:$AY$119,$AH216)=0,"UNITÉ À CONTRÔLER","OK")))))</f>
        <v>OK</v>
      </c>
      <c r="AN216" s="474">
        <f t="shared" ref="AN216:AN250" si="56">IF($AE216&lt;&gt;"",$AE216,IF($AD216="","",IF(ISNUMBER($AD216),$AD216,IF($AO216="QT",0,IF($AO216="","",IFERROR(IF(ISNUMBER(SEARCH("/",$AO216)),VALUE(TRIM(LEFT($AO216,SEARCH("/",$AO216)-1)))/VALUE(TRIM(MID($AO216,SEARCH("/",$AO216)+1,99))),VALUE(SUBSTITUTE($AO216,".",","))),""))))))</f>
        <v>200</v>
      </c>
      <c r="AO216" s="473" t="str">
        <f t="shared" ref="AO216:AO250" si="57">IF($AD216="","",IF(ISNUMBER($AD216),$AD216,IF(OR(LEFT($AQ216,3)="QT.",LEFT($AQ216,4)="QUAN"),"QT",IF($AR216=999,$AQ216,TRIM(LEFT($AQ216,$AR216-1))))))</f>
        <v/>
      </c>
      <c r="AP216" s="473" t="str">
        <f t="shared" ref="AP216:AP250" si="58">IF($AD216="","",IF(ISNUMBER($AD216),"",IF(OR(LEFT($AQ216,3)="QT.",LEFT($AQ216,4)="QUAN"),"QT. SUFFISANTE",IF($AO216="","",TRIM(MID($AQ216,LEN($AO216&amp;"")+1,999))))))</f>
        <v/>
      </c>
      <c r="AQ216" s="473" t="str">
        <f t="shared" ref="AQ216:AQ250" si="59">IF($AD216="","",UPPER(TRIM(SUBSTITUTE(SUBSTITUTE($AD216&amp;"",CHAR(160)," ")," "," "))))</f>
        <v/>
      </c>
      <c r="AR216" s="473" t="str">
        <f t="shared" ref="AR216:AR250" si="60">IF($AQ216="","",MIN($AS216,$AT216,$AU216))</f>
        <v/>
      </c>
      <c r="AS216" s="473" t="str">
        <f t="shared" ref="AS216:AS250" si="61">IF($AQ216="","",MIN(IFERROR(SEARCH("A",$AQ216),999),IFERROR(SEARCH("B",$AQ216),999),IFERROR(SEARCH("C",$AQ216),999),IFERROR(SEARCH("D",$AQ216),999),IFERROR(SEARCH("E",$AQ216),999),IFERROR(SEARCH("F",$AQ216),999),IFERROR(SEARCH("G",$AQ216),999),IFERROR(SEARCH("H",$AQ216),999),IFERROR(SEARCH("I",$AQ216),999)))</f>
        <v/>
      </c>
      <c r="AT216" s="473" t="str">
        <f t="shared" ref="AT216:AT250" si="62">IF($AQ216="","",MIN(IFERROR(SEARCH("J",$AQ216),999),IFERROR(SEARCH("K",$AQ216),999),IFERROR(SEARCH("L",$AQ216),999),IFERROR(SEARCH("M",$AQ216),999),IFERROR(SEARCH("N",$AQ216),999),IFERROR(SEARCH("O",$AQ216),999),IFERROR(SEARCH("P",$AQ216),999),IFERROR(SEARCH("Q",$AQ216),999),IFERROR(SEARCH("R",$AQ216),999)))</f>
        <v/>
      </c>
      <c r="AU216" s="473" t="str">
        <f t="shared" ref="AU216:AU250" si="63">IF($AQ216="","",MIN(IFERROR(SEARCH("S",$AQ216),999),IFERROR(SEARCH("T",$AQ216),999),IFERROR(SEARCH("U",$AQ216),999),IFERROR(SEARCH("V",$AQ216),999),IFERROR(SEARCH("W",$AQ216),999),IFERROR(SEARCH("X",$AQ216),999),IFERROR(SEARCH("Y",$AQ216),999),IFERROR(SEARCH("Z",$AQ216),999)))</f>
        <v/>
      </c>
      <c r="AZ216" s="28" t="s">
        <v>14</v>
      </c>
      <c r="BA216" s="34" t="s">
        <v>493</v>
      </c>
      <c r="BB216" s="499"/>
      <c r="BC216" s="271"/>
      <c r="BD216" s="279">
        <v>1</v>
      </c>
      <c r="BE216" s="271"/>
      <c r="BF216" s="271"/>
      <c r="BG216" s="271"/>
      <c r="BH216" s="271"/>
      <c r="BI216" s="271"/>
      <c r="BJ216" s="271"/>
      <c r="BK216" s="271"/>
      <c r="BL216" s="271"/>
    </row>
    <row r="217" spans="18:64" ht="21" customHeight="1" x14ac:dyDescent="0.25">
      <c r="S217" s="451"/>
      <c r="T217" s="27" t="s">
        <v>8</v>
      </c>
      <c r="V217" s="475">
        <f>$V$216</f>
        <v>5</v>
      </c>
      <c r="W217" s="475" t="str">
        <f>IF($AC$217="","",$W$216)</f>
        <v>N° 49</v>
      </c>
      <c r="X217" s="476" t="str">
        <f>IF($AC$217="","",$X$216)</f>
        <v>ŒUFS A LA TRIPE*</v>
      </c>
      <c r="Y217" s="477">
        <f>IF($X$217="","",$Y$216)</f>
        <v>66</v>
      </c>
      <c r="Z217" s="477">
        <f>IF($X$217="","",$Z$216)</f>
        <v>100</v>
      </c>
      <c r="AA217" s="477">
        <f>IF($AC$217="","",ROW($A$217)-ROW($A$216))</f>
        <v>1</v>
      </c>
      <c r="AB217" s="478"/>
      <c r="AC217" s="34" t="s">
        <v>139</v>
      </c>
      <c r="AD217" s="356"/>
      <c r="AE217" s="18">
        <v>2.5</v>
      </c>
      <c r="AF217" s="3" t="s">
        <v>7</v>
      </c>
      <c r="AG217" s="480">
        <f t="shared" si="52"/>
        <v>2.5</v>
      </c>
      <c r="AH217" s="481" t="str">
        <f t="shared" si="53"/>
        <v>KG</v>
      </c>
      <c r="AI217" s="477" t="str">
        <f>IF($AC$217="","",IFERROR(INDEX($AZ$74:$AZ$119,MATCH($AH$217,$AY$74:$AY$119,0)),"AUTRE"))</f>
        <v>MASSE</v>
      </c>
      <c r="AJ217" s="482">
        <f>IF($AC$217="","",IFERROR(INDEX($BA$74:$BA$119,MATCH($AH$217,$AY$74:$AY$119,0)),1))</f>
        <v>1</v>
      </c>
      <c r="AK217" s="482">
        <f t="shared" si="54"/>
        <v>2.5</v>
      </c>
      <c r="AL217" s="477" t="str">
        <f>IF($AC$217="","",IFERROR(INDEX($BB$74:$BB$119,MATCH($AH$217,$AY$74:$AY$119,0)),$AH$217))</f>
        <v>kg</v>
      </c>
      <c r="AM217" s="483" t="str">
        <f t="shared" si="55"/>
        <v>OK</v>
      </c>
      <c r="AN217" s="484">
        <f t="shared" si="56"/>
        <v>2.5</v>
      </c>
      <c r="AO217" s="473" t="str">
        <f t="shared" si="57"/>
        <v/>
      </c>
      <c r="AP217" s="473" t="str">
        <f t="shared" si="58"/>
        <v/>
      </c>
      <c r="AQ217" s="473" t="str">
        <f t="shared" si="59"/>
        <v/>
      </c>
      <c r="AR217" s="473" t="str">
        <f t="shared" si="60"/>
        <v/>
      </c>
      <c r="AS217" s="473" t="str">
        <f t="shared" si="61"/>
        <v/>
      </c>
      <c r="AT217" s="473" t="str">
        <f t="shared" si="62"/>
        <v/>
      </c>
      <c r="AU217" s="473" t="str">
        <f t="shared" si="63"/>
        <v/>
      </c>
      <c r="AZ217" s="28" t="s">
        <v>15</v>
      </c>
      <c r="BA217" s="34" t="s">
        <v>494</v>
      </c>
      <c r="BB217" s="499"/>
      <c r="BC217" s="271"/>
      <c r="BD217" s="279">
        <v>1</v>
      </c>
      <c r="BE217" s="271"/>
      <c r="BF217" s="271"/>
      <c r="BG217" s="271"/>
      <c r="BH217" s="271"/>
      <c r="BI217" s="271"/>
      <c r="BJ217" s="271"/>
      <c r="BK217" s="271"/>
      <c r="BL217" s="271"/>
    </row>
    <row r="218" spans="18:64" ht="21" customHeight="1" x14ac:dyDescent="0.25">
      <c r="R218" s="25" t="s">
        <v>6115</v>
      </c>
      <c r="S218" s="451"/>
      <c r="T218" s="28" t="s">
        <v>13</v>
      </c>
      <c r="V218" s="475">
        <v>5</v>
      </c>
      <c r="W218" s="475" t="str">
        <f>IF($AC$218="","",$W$216)</f>
        <v>N° 49</v>
      </c>
      <c r="X218" s="476" t="str">
        <f>IF($AC$218="","",$X$216)</f>
        <v>ŒUFS A LA TRIPE*</v>
      </c>
      <c r="Y218" s="477">
        <f>IF($X$218="","",$Y$216)</f>
        <v>66</v>
      </c>
      <c r="Z218" s="477">
        <f>IF($X$218="","",$Z$216)</f>
        <v>100</v>
      </c>
      <c r="AA218" s="477">
        <f>IF($AC$218="","",ROW($A$218)-ROW($A$216))</f>
        <v>2</v>
      </c>
      <c r="AB218" s="478"/>
      <c r="AC218" s="34" t="s">
        <v>290</v>
      </c>
      <c r="AD218" s="356"/>
      <c r="AE218" s="18">
        <v>8</v>
      </c>
      <c r="AF218" s="6" t="s">
        <v>9</v>
      </c>
      <c r="AG218" s="480">
        <f t="shared" si="52"/>
        <v>8</v>
      </c>
      <c r="AH218" s="481" t="str">
        <f t="shared" si="53"/>
        <v>L</v>
      </c>
      <c r="AI218" s="477" t="str">
        <f>IF($AC$218="","",IFERROR(INDEX($AZ$74:$AZ$119,MATCH($AH$218,$AY$74:$AY$119,0)),"AUTRE"))</f>
        <v>VOLUME</v>
      </c>
      <c r="AJ218" s="482">
        <f>IF($AC$218="","",IFERROR(INDEX($BA$74:$BA$119,MATCH($AH$218,$AY$74:$AY$119,0)),1))</f>
        <v>1</v>
      </c>
      <c r="AK218" s="482">
        <f t="shared" si="54"/>
        <v>8</v>
      </c>
      <c r="AL218" s="477" t="str">
        <f>IF($AC$218="","",IFERROR(INDEX($BB$74:$BB$119,MATCH($AH$218,$AY$74:$AY$119,0)),$AH$218))</f>
        <v>L</v>
      </c>
      <c r="AM218" s="483" t="str">
        <f t="shared" si="55"/>
        <v>OK</v>
      </c>
      <c r="AN218" s="484">
        <f t="shared" si="56"/>
        <v>8</v>
      </c>
      <c r="AO218" s="473" t="str">
        <f t="shared" si="57"/>
        <v/>
      </c>
      <c r="AP218" s="473" t="str">
        <f t="shared" si="58"/>
        <v/>
      </c>
      <c r="AQ218" s="473" t="str">
        <f t="shared" si="59"/>
        <v/>
      </c>
      <c r="AR218" s="473" t="str">
        <f t="shared" si="60"/>
        <v/>
      </c>
      <c r="AS218" s="473" t="str">
        <f t="shared" si="61"/>
        <v/>
      </c>
      <c r="AT218" s="473" t="str">
        <f t="shared" si="62"/>
        <v/>
      </c>
      <c r="AU218" s="473" t="str">
        <f t="shared" si="63"/>
        <v/>
      </c>
      <c r="AZ218" s="29" t="s">
        <v>9</v>
      </c>
      <c r="BB218" s="499"/>
      <c r="BC218" s="271"/>
      <c r="BD218" s="279">
        <v>1</v>
      </c>
      <c r="BE218" s="271"/>
      <c r="BF218" s="271"/>
      <c r="BG218" s="271"/>
      <c r="BH218" s="271"/>
      <c r="BI218" s="271"/>
      <c r="BJ218" s="271"/>
      <c r="BK218" s="271"/>
      <c r="BL218" s="271"/>
    </row>
    <row r="219" spans="18:64" ht="21" customHeight="1" x14ac:dyDescent="0.25">
      <c r="R219" s="34" t="s">
        <v>471</v>
      </c>
      <c r="S219" s="451"/>
      <c r="T219" s="28" t="s">
        <v>14</v>
      </c>
      <c r="V219" s="475">
        <v>5</v>
      </c>
      <c r="W219" s="475" t="str">
        <f>IF($AC$219="","",$W$216)</f>
        <v>N° 49</v>
      </c>
      <c r="X219" s="476" t="str">
        <f>IF($AC$219="","",$X$216)</f>
        <v>ŒUFS A LA TRIPE*</v>
      </c>
      <c r="Y219" s="477">
        <f>IF($X$219="","",$Y$216)</f>
        <v>66</v>
      </c>
      <c r="Z219" s="477">
        <f>IF($X$219="","",$Z$216)</f>
        <v>100</v>
      </c>
      <c r="AA219" s="477">
        <f>IF($AC$219="","",ROW($A$219)-ROW($A$216))</f>
        <v>3</v>
      </c>
      <c r="AB219" s="478"/>
      <c r="AC219" s="34" t="s">
        <v>372</v>
      </c>
      <c r="AD219" s="356"/>
      <c r="AE219" s="18">
        <v>750</v>
      </c>
      <c r="AF219" s="5" t="s">
        <v>8</v>
      </c>
      <c r="AG219" s="480">
        <f t="shared" si="52"/>
        <v>750</v>
      </c>
      <c r="AH219" s="481" t="str">
        <f t="shared" si="53"/>
        <v>G</v>
      </c>
      <c r="AI219" s="477" t="str">
        <f>IF($AC$219="","",IFERROR(INDEX($AZ$74:$AZ$119,MATCH($AH$219,$AY$74:$AY$119,0)),"AUTRE"))</f>
        <v>MASSE</v>
      </c>
      <c r="AJ219" s="482">
        <f>IF($AC$219="","",IFERROR(INDEX($BA$74:$BA$119,MATCH($AH$219,$AY$74:$AY$119,0)),1))</f>
        <v>1E-3</v>
      </c>
      <c r="AK219" s="482">
        <f t="shared" si="54"/>
        <v>0.75</v>
      </c>
      <c r="AL219" s="477" t="str">
        <f>IF($AC$219="","",IFERROR(INDEX($BB$74:$BB$119,MATCH($AH$219,$AY$74:$AY$119,0)),$AH$219))</f>
        <v>kg</v>
      </c>
      <c r="AM219" s="483" t="str">
        <f t="shared" si="55"/>
        <v>OK</v>
      </c>
      <c r="AN219" s="484">
        <f t="shared" si="56"/>
        <v>750</v>
      </c>
      <c r="AO219" s="473" t="str">
        <f t="shared" si="57"/>
        <v/>
      </c>
      <c r="AP219" s="473" t="str">
        <f t="shared" si="58"/>
        <v/>
      </c>
      <c r="AQ219" s="473" t="str">
        <f t="shared" si="59"/>
        <v/>
      </c>
      <c r="AR219" s="473" t="str">
        <f t="shared" si="60"/>
        <v/>
      </c>
      <c r="AS219" s="473" t="str">
        <f t="shared" si="61"/>
        <v/>
      </c>
      <c r="AT219" s="473" t="str">
        <f t="shared" si="62"/>
        <v/>
      </c>
      <c r="AU219" s="473" t="str">
        <f t="shared" si="63"/>
        <v/>
      </c>
      <c r="AZ219" s="30" t="s">
        <v>10</v>
      </c>
      <c r="BA219" s="25" t="s">
        <v>6115</v>
      </c>
      <c r="BB219" s="499"/>
      <c r="BC219" s="271"/>
      <c r="BD219" s="279">
        <v>1</v>
      </c>
      <c r="BE219" s="271"/>
      <c r="BF219" s="271"/>
      <c r="BG219" s="271"/>
      <c r="BH219" s="271"/>
      <c r="BI219" s="271"/>
      <c r="BJ219" s="271"/>
      <c r="BK219" s="271"/>
      <c r="BL219" s="271"/>
    </row>
    <row r="220" spans="18:64" ht="21" customHeight="1" x14ac:dyDescent="0.25">
      <c r="R220" s="34" t="s">
        <v>472</v>
      </c>
      <c r="S220" s="451"/>
      <c r="T220" s="28" t="s">
        <v>15</v>
      </c>
      <c r="V220" s="475">
        <v>5</v>
      </c>
      <c r="W220" s="475" t="str">
        <f>IF($AC$220="","",$W$216)</f>
        <v>N° 49</v>
      </c>
      <c r="X220" s="476" t="str">
        <f>IF($AC$220="","",$X$216)</f>
        <v>ŒUFS A LA TRIPE*</v>
      </c>
      <c r="Y220" s="477">
        <f>IF($X$220="","",$Y$216)</f>
        <v>66</v>
      </c>
      <c r="Z220" s="477">
        <f>IF($X$220="","",$Z$216)</f>
        <v>100</v>
      </c>
      <c r="AA220" s="477">
        <f>IF($AC$220="","",ROW($A$220)-ROW($A$216))</f>
        <v>4</v>
      </c>
      <c r="AB220" s="478"/>
      <c r="AC220" s="34" t="s">
        <v>382</v>
      </c>
      <c r="AD220" s="356"/>
      <c r="AE220" s="18">
        <v>450</v>
      </c>
      <c r="AF220" s="5" t="s">
        <v>8</v>
      </c>
      <c r="AG220" s="480">
        <f t="shared" si="52"/>
        <v>450</v>
      </c>
      <c r="AH220" s="481" t="str">
        <f t="shared" si="53"/>
        <v>G</v>
      </c>
      <c r="AI220" s="477" t="str">
        <f>IF($AC$220="","",IFERROR(INDEX($AZ$74:$AZ$119,MATCH($AH$220,$AY$74:$AY$119,0)),"AUTRE"))</f>
        <v>MASSE</v>
      </c>
      <c r="AJ220" s="482">
        <f>IF($AC$220="","",IFERROR(INDEX($BA$74:$BA$119,MATCH($AH$220,$AY$74:$AY$119,0)),1))</f>
        <v>1E-3</v>
      </c>
      <c r="AK220" s="482">
        <f t="shared" si="54"/>
        <v>0.45</v>
      </c>
      <c r="AL220" s="477" t="str">
        <f>IF($AC$220="","",IFERROR(INDEX($BB$74:$BB$119,MATCH($AH$220,$AY$74:$AY$119,0)),$AH$220))</f>
        <v>kg</v>
      </c>
      <c r="AM220" s="483" t="str">
        <f t="shared" si="55"/>
        <v>OK</v>
      </c>
      <c r="AN220" s="484">
        <f t="shared" si="56"/>
        <v>450</v>
      </c>
      <c r="AO220" s="473" t="str">
        <f t="shared" si="57"/>
        <v/>
      </c>
      <c r="AP220" s="473" t="str">
        <f t="shared" si="58"/>
        <v/>
      </c>
      <c r="AQ220" s="473" t="str">
        <f t="shared" si="59"/>
        <v/>
      </c>
      <c r="AR220" s="473" t="str">
        <f t="shared" si="60"/>
        <v/>
      </c>
      <c r="AS220" s="473" t="str">
        <f t="shared" si="61"/>
        <v/>
      </c>
      <c r="AT220" s="473" t="str">
        <f t="shared" si="62"/>
        <v/>
      </c>
      <c r="AU220" s="473" t="str">
        <f t="shared" si="63"/>
        <v/>
      </c>
      <c r="AZ220" s="30" t="s">
        <v>11</v>
      </c>
      <c r="BA220" s="34" t="s">
        <v>471</v>
      </c>
      <c r="BB220" s="499"/>
      <c r="BC220" s="271"/>
      <c r="BD220" s="279">
        <v>1</v>
      </c>
      <c r="BE220" s="271"/>
      <c r="BF220" s="271"/>
      <c r="BG220" s="271"/>
      <c r="BH220" s="271"/>
      <c r="BI220" s="271"/>
      <c r="BJ220" s="271"/>
      <c r="BK220" s="271"/>
      <c r="BL220" s="271"/>
    </row>
    <row r="221" spans="18:64" ht="21" customHeight="1" x14ac:dyDescent="0.25">
      <c r="R221" s="34" t="s">
        <v>6112</v>
      </c>
      <c r="S221" s="451"/>
      <c r="T221" s="28" t="s">
        <v>21</v>
      </c>
      <c r="V221" s="475">
        <v>5</v>
      </c>
      <c r="W221" s="475" t="str">
        <f>IF($AC$221="","",$W$216)</f>
        <v>N° 49</v>
      </c>
      <c r="X221" s="476" t="str">
        <f>IF($AC$221="","",$X$216)</f>
        <v>ŒUFS A LA TRIPE*</v>
      </c>
      <c r="Y221" s="477">
        <f>IF($X$221="","",$Y$216)</f>
        <v>66</v>
      </c>
      <c r="Z221" s="477">
        <f>IF($X$221="","",$Z$216)</f>
        <v>100</v>
      </c>
      <c r="AA221" s="477">
        <f>IF($AC$221="","",ROW($A$221)-ROW($A$216))</f>
        <v>5</v>
      </c>
      <c r="AB221" s="478"/>
      <c r="AC221" s="34" t="s">
        <v>142</v>
      </c>
      <c r="AD221" s="356"/>
      <c r="AE221" s="18">
        <v>300</v>
      </c>
      <c r="AF221" s="5" t="s">
        <v>8</v>
      </c>
      <c r="AG221" s="480">
        <f t="shared" si="52"/>
        <v>300</v>
      </c>
      <c r="AH221" s="481" t="str">
        <f t="shared" si="53"/>
        <v>G</v>
      </c>
      <c r="AI221" s="477" t="str">
        <f>IF($AC$221="","",IFERROR(INDEX($AZ$74:$AZ$119,MATCH($AH$221,$AY$74:$AY$119,0)),"AUTRE"))</f>
        <v>MASSE</v>
      </c>
      <c r="AJ221" s="482">
        <f>IF($AC$221="","",IFERROR(INDEX($BA$74:$BA$119,MATCH($AH$221,$AY$74:$AY$119,0)),1))</f>
        <v>1E-3</v>
      </c>
      <c r="AK221" s="482">
        <f t="shared" si="54"/>
        <v>0.3</v>
      </c>
      <c r="AL221" s="477" t="str">
        <f>IF($AC$221="","",IFERROR(INDEX($BB$74:$BB$119,MATCH($AH$221,$AY$74:$AY$119,0)),$AH$221))</f>
        <v>kg</v>
      </c>
      <c r="AM221" s="483" t="str">
        <f t="shared" si="55"/>
        <v>OK</v>
      </c>
      <c r="AN221" s="484">
        <f t="shared" si="56"/>
        <v>300</v>
      </c>
      <c r="AO221" s="473" t="str">
        <f t="shared" si="57"/>
        <v/>
      </c>
      <c r="AP221" s="473" t="str">
        <f t="shared" si="58"/>
        <v/>
      </c>
      <c r="AQ221" s="473" t="str">
        <f t="shared" si="59"/>
        <v/>
      </c>
      <c r="AR221" s="473" t="str">
        <f t="shared" si="60"/>
        <v/>
      </c>
      <c r="AS221" s="473" t="str">
        <f t="shared" si="61"/>
        <v/>
      </c>
      <c r="AT221" s="473" t="str">
        <f t="shared" si="62"/>
        <v/>
      </c>
      <c r="AU221" s="473" t="str">
        <f t="shared" si="63"/>
        <v/>
      </c>
      <c r="AZ221" s="30" t="s">
        <v>12</v>
      </c>
      <c r="BA221" s="34" t="s">
        <v>472</v>
      </c>
      <c r="BB221" s="499"/>
      <c r="BC221" s="271"/>
      <c r="BD221" s="279">
        <v>1</v>
      </c>
      <c r="BE221" s="271"/>
      <c r="BF221" s="271"/>
      <c r="BG221" s="271"/>
      <c r="BH221" s="271"/>
      <c r="BI221" s="271"/>
      <c r="BJ221" s="271"/>
      <c r="BK221" s="271"/>
      <c r="BL221" s="271"/>
    </row>
    <row r="222" spans="18:64" ht="21" customHeight="1" x14ac:dyDescent="0.25">
      <c r="R222" s="25" t="s">
        <v>6116</v>
      </c>
      <c r="S222" s="451"/>
      <c r="T222" s="28" t="s">
        <v>22</v>
      </c>
      <c r="V222" s="475">
        <v>5</v>
      </c>
      <c r="W222" s="475" t="str">
        <f>IF($AC$222="","",$W$216)</f>
        <v>N° 49</v>
      </c>
      <c r="X222" s="476" t="str">
        <f>IF($AC$222="","",$X$216)</f>
        <v>ŒUFS A LA TRIPE*</v>
      </c>
      <c r="Y222" s="477">
        <f>IF($X$222="","",$Y$216)</f>
        <v>66</v>
      </c>
      <c r="Z222" s="477">
        <f>IF($X$222="","",$Z$216)</f>
        <v>100</v>
      </c>
      <c r="AA222" s="477">
        <f>IF($AC$222="","",ROW($A$222)-ROW($A$216))</f>
        <v>6</v>
      </c>
      <c r="AB222" s="478"/>
      <c r="AC222" s="34" t="s">
        <v>394</v>
      </c>
      <c r="AD222" s="356"/>
      <c r="AE222" s="18">
        <v>5</v>
      </c>
      <c r="AF222" s="26" t="s">
        <v>311</v>
      </c>
      <c r="AG222" s="480">
        <f t="shared" si="52"/>
        <v>5</v>
      </c>
      <c r="AH222" s="481" t="str">
        <f t="shared" si="53"/>
        <v>UNITÉ(S)</v>
      </c>
      <c r="AI222" s="477" t="str">
        <f>IF($AC$222="","",IFERROR(INDEX($AZ$74:$AZ$119,MATCH($AH$222,$AY$74:$AY$119,0)),"AUTRE"))</f>
        <v>AUTRE</v>
      </c>
      <c r="AJ222" s="482">
        <f>IF($AC$222="","",IFERROR(INDEX($BA$74:$BA$119,MATCH($AH$222,$AY$74:$AY$119,0)),1))</f>
        <v>1</v>
      </c>
      <c r="AK222" s="482">
        <f t="shared" si="54"/>
        <v>5</v>
      </c>
      <c r="AL222" s="477" t="str">
        <f>IF($AC$222="","",IFERROR(INDEX($BB$74:$BB$119,MATCH($AH$222,$AY$74:$AY$119,0)),$AH$222))</f>
        <v>unité(s)</v>
      </c>
      <c r="AM222" s="483" t="str">
        <f t="shared" si="55"/>
        <v>OK</v>
      </c>
      <c r="AN222" s="484">
        <f t="shared" si="56"/>
        <v>5</v>
      </c>
      <c r="AO222" s="473" t="str">
        <f t="shared" si="57"/>
        <v/>
      </c>
      <c r="AP222" s="473" t="str">
        <f t="shared" si="58"/>
        <v/>
      </c>
      <c r="AQ222" s="473" t="str">
        <f t="shared" si="59"/>
        <v/>
      </c>
      <c r="AR222" s="473" t="str">
        <f t="shared" si="60"/>
        <v/>
      </c>
      <c r="AS222" s="473" t="str">
        <f t="shared" si="61"/>
        <v/>
      </c>
      <c r="AT222" s="473" t="str">
        <f t="shared" si="62"/>
        <v/>
      </c>
      <c r="AU222" s="473" t="str">
        <f t="shared" si="63"/>
        <v/>
      </c>
      <c r="AZ222" s="31" t="s">
        <v>16</v>
      </c>
      <c r="BA222" s="34" t="s">
        <v>6112</v>
      </c>
      <c r="BB222" s="499"/>
      <c r="BC222" s="271"/>
      <c r="BD222" s="279">
        <v>1</v>
      </c>
      <c r="BE222" s="271"/>
      <c r="BF222" s="271"/>
      <c r="BG222" s="271"/>
      <c r="BH222" s="271"/>
      <c r="BI222" s="271"/>
      <c r="BJ222" s="271"/>
      <c r="BK222" s="271"/>
      <c r="BL222" s="271"/>
    </row>
    <row r="223" spans="18:64" ht="21" customHeight="1" x14ac:dyDescent="0.25">
      <c r="R223" s="34" t="s">
        <v>6117</v>
      </c>
      <c r="S223" s="451"/>
      <c r="T223" s="28" t="s">
        <v>23</v>
      </c>
      <c r="V223" s="475">
        <v>5</v>
      </c>
      <c r="W223" s="475" t="str">
        <f>IF($AC$223="","",$W$216)</f>
        <v>N° 49</v>
      </c>
      <c r="X223" s="476" t="str">
        <f>IF($AC$223="","",$X$216)</f>
        <v>ŒUFS A LA TRIPE*</v>
      </c>
      <c r="Y223" s="477">
        <f>IF($X$223="","",$Y$216)</f>
        <v>66</v>
      </c>
      <c r="Z223" s="477">
        <f>IF($X$223="","",$Z$216)</f>
        <v>100</v>
      </c>
      <c r="AA223" s="477">
        <f>IF($AC$223="","",ROW($A$223)-ROW($A$216))</f>
        <v>7</v>
      </c>
      <c r="AB223" s="478"/>
      <c r="AC223" s="34" t="s">
        <v>67</v>
      </c>
      <c r="AD223" s="356"/>
      <c r="AE223" s="26" t="s">
        <v>33</v>
      </c>
      <c r="AF223" s="19"/>
      <c r="AG223" s="480" t="str">
        <f t="shared" si="52"/>
        <v>QT. SUFFISANTE</v>
      </c>
      <c r="AH223" s="481" t="str">
        <f t="shared" si="53"/>
        <v/>
      </c>
      <c r="AI223" s="477" t="str">
        <f>IF($AC$223="","",IFERROR(INDEX($AZ$74:$AZ$119,MATCH($AH$223,$AY$74:$AY$119,0)),"AUTRE"))</f>
        <v>AUTRE</v>
      </c>
      <c r="AJ223" s="482">
        <f>IF($AC$223="","",IFERROR(INDEX($BA$74:$BA$119,MATCH($AH$223,$AY$74:$AY$119,0)),1))</f>
        <v>1</v>
      </c>
      <c r="AK223" s="482" t="e">
        <f t="shared" si="54"/>
        <v>#VALUE!</v>
      </c>
      <c r="AL223" s="477" t="str">
        <f>IF($AC$223="","",IFERROR(INDEX($BB$74:$BB$119,MATCH($AH$223,$AY$74:$AY$119,0)),$AH$223))</f>
        <v/>
      </c>
      <c r="AM223" s="483" t="str">
        <f t="shared" si="55"/>
        <v>QUANTITÉ À CONTRÔLER</v>
      </c>
      <c r="AN223" s="484" t="str">
        <f t="shared" si="56"/>
        <v>QT. SUFFISANTE</v>
      </c>
      <c r="AO223" s="473" t="str">
        <f t="shared" si="57"/>
        <v/>
      </c>
      <c r="AP223" s="473" t="str">
        <f t="shared" si="58"/>
        <v/>
      </c>
      <c r="AQ223" s="473" t="str">
        <f t="shared" si="59"/>
        <v/>
      </c>
      <c r="AR223" s="473" t="str">
        <f t="shared" si="60"/>
        <v/>
      </c>
      <c r="AS223" s="473" t="str">
        <f t="shared" si="61"/>
        <v/>
      </c>
      <c r="AT223" s="473" t="str">
        <f t="shared" si="62"/>
        <v/>
      </c>
      <c r="AU223" s="473" t="str">
        <f t="shared" si="63"/>
        <v/>
      </c>
      <c r="AZ223" s="31" t="s">
        <v>17</v>
      </c>
      <c r="BA223" s="25" t="s">
        <v>6116</v>
      </c>
      <c r="BB223" s="499"/>
      <c r="BC223" s="271"/>
      <c r="BD223" s="279">
        <v>1</v>
      </c>
      <c r="BE223" s="271"/>
      <c r="BF223" s="271"/>
      <c r="BG223" s="271"/>
      <c r="BH223" s="271"/>
      <c r="BI223" s="271"/>
      <c r="BJ223" s="271"/>
      <c r="BK223" s="271"/>
      <c r="BL223" s="271"/>
    </row>
    <row r="224" spans="18:64" ht="21" customHeight="1" x14ac:dyDescent="0.25">
      <c r="R224" s="34" t="s">
        <v>469</v>
      </c>
      <c r="S224" s="451"/>
      <c r="T224" s="28" t="s">
        <v>24</v>
      </c>
      <c r="V224" s="475">
        <v>5</v>
      </c>
      <c r="W224" s="475" t="str">
        <f>IF($AC$224="","",$W$216)</f>
        <v>N° 49</v>
      </c>
      <c r="X224" s="476" t="str">
        <f>IF($AC$224="","",$X$216)</f>
        <v>ŒUFS A LA TRIPE*</v>
      </c>
      <c r="Y224" s="477">
        <f>IF($X$224="","",$Y$216)</f>
        <v>66</v>
      </c>
      <c r="Z224" s="477">
        <f>IF($X$224="","",$Z$216)</f>
        <v>100</v>
      </c>
      <c r="AA224" s="477">
        <f>IF($AC$224="","",ROW($A$224)-ROW($A$216))</f>
        <v>8</v>
      </c>
      <c r="AB224" s="478"/>
      <c r="AC224" s="34" t="s">
        <v>44</v>
      </c>
      <c r="AD224" s="356"/>
      <c r="AE224" s="26" t="s">
        <v>33</v>
      </c>
      <c r="AF224" s="19"/>
      <c r="AG224" s="480" t="str">
        <f t="shared" si="52"/>
        <v>QT. SUFFISANTE</v>
      </c>
      <c r="AH224" s="481" t="str">
        <f t="shared" si="53"/>
        <v/>
      </c>
      <c r="AI224" s="477" t="str">
        <f>IF($AC$224="","",IFERROR(INDEX($AZ$74:$AZ$119,MATCH($AH$224,$AY$74:$AY$119,0)),"AUTRE"))</f>
        <v>AUTRE</v>
      </c>
      <c r="AJ224" s="482">
        <f>IF($AC$224="","",IFERROR(INDEX($BA$74:$BA$119,MATCH($AH$224,$AY$74:$AY$119,0)),1))</f>
        <v>1</v>
      </c>
      <c r="AK224" s="482" t="e">
        <f t="shared" si="54"/>
        <v>#VALUE!</v>
      </c>
      <c r="AL224" s="477" t="str">
        <f>IF($AC$224="","",IFERROR(INDEX($BB$74:$BB$119,MATCH($AH$224,$AY$74:$AY$119,0)),$AH$224))</f>
        <v/>
      </c>
      <c r="AM224" s="483" t="str">
        <f t="shared" si="55"/>
        <v>QUANTITÉ À CONTRÔLER</v>
      </c>
      <c r="AN224" s="484" t="str">
        <f t="shared" si="56"/>
        <v>QT. SUFFISANTE</v>
      </c>
      <c r="AO224" s="473" t="str">
        <f t="shared" si="57"/>
        <v/>
      </c>
      <c r="AP224" s="473" t="str">
        <f t="shared" si="58"/>
        <v/>
      </c>
      <c r="AQ224" s="473" t="str">
        <f t="shared" si="59"/>
        <v/>
      </c>
      <c r="AR224" s="473" t="str">
        <f t="shared" si="60"/>
        <v/>
      </c>
      <c r="AS224" s="473" t="str">
        <f t="shared" si="61"/>
        <v/>
      </c>
      <c r="AT224" s="473" t="str">
        <f t="shared" si="62"/>
        <v/>
      </c>
      <c r="AU224" s="473" t="str">
        <f t="shared" si="63"/>
        <v/>
      </c>
      <c r="AZ224" s="31" t="s">
        <v>18</v>
      </c>
      <c r="BA224" s="34" t="s">
        <v>6117</v>
      </c>
      <c r="BB224" s="499"/>
      <c r="BC224" s="271"/>
      <c r="BD224" s="279">
        <v>1</v>
      </c>
      <c r="BE224" s="271"/>
      <c r="BF224" s="271"/>
      <c r="BG224" s="271"/>
      <c r="BH224" s="271"/>
      <c r="BI224" s="271"/>
      <c r="BJ224" s="271"/>
      <c r="BK224" s="271"/>
      <c r="BL224" s="271"/>
    </row>
    <row r="225" spans="18:64" ht="21" customHeight="1" x14ac:dyDescent="0.25">
      <c r="R225" s="34" t="s">
        <v>6118</v>
      </c>
      <c r="S225" s="451"/>
      <c r="T225" s="29" t="s">
        <v>9</v>
      </c>
      <c r="V225" s="475">
        <v>5</v>
      </c>
      <c r="W225" s="475" t="str">
        <f>IF($AC$225="","",$W$216)</f>
        <v/>
      </c>
      <c r="X225" s="476" t="str">
        <f>IF($AC$225="","",$X$216)</f>
        <v/>
      </c>
      <c r="Y225" s="477" t="str">
        <f>IF($X$225="","",$Y$216)</f>
        <v/>
      </c>
      <c r="Z225" s="477" t="str">
        <f>IF($X$225="","",$Z$216)</f>
        <v/>
      </c>
      <c r="AA225" s="477" t="str">
        <f>IF($AC$225="","",ROW($A$225)-ROW($A$216))</f>
        <v/>
      </c>
      <c r="AB225" s="478"/>
      <c r="AC225" s="34"/>
      <c r="AD225" s="356"/>
      <c r="AE225" s="18"/>
      <c r="AF225" s="19"/>
      <c r="AG225" s="480" t="str">
        <f t="shared" si="52"/>
        <v/>
      </c>
      <c r="AH225" s="481" t="str">
        <f t="shared" si="53"/>
        <v/>
      </c>
      <c r="AI225" s="477" t="str">
        <f>IF($AC$225="","",IFERROR(INDEX($AZ$74:$AZ$119,MATCH($AH$225,$AY$74:$AY$119,0)),"AUTRE"))</f>
        <v/>
      </c>
      <c r="AJ225" s="482" t="str">
        <f>IF($AC$225="","",IFERROR(INDEX($BA$74:$BA$119,MATCH($AH$225,$AY$74:$AY$119,0)),1))</f>
        <v/>
      </c>
      <c r="AK225" s="482" t="str">
        <f t="shared" si="54"/>
        <v/>
      </c>
      <c r="AL225" s="477" t="str">
        <f>IF($AC$225="","",IFERROR(INDEX($BB$74:$BB$119,MATCH($AH$225,$AY$74:$AY$119,0)),$AH$225))</f>
        <v/>
      </c>
      <c r="AM225" s="483" t="str">
        <f t="shared" si="55"/>
        <v/>
      </c>
      <c r="AN225" s="484" t="str">
        <f t="shared" si="56"/>
        <v/>
      </c>
      <c r="AO225" s="473" t="str">
        <f t="shared" si="57"/>
        <v/>
      </c>
      <c r="AP225" s="473" t="str">
        <f t="shared" si="58"/>
        <v/>
      </c>
      <c r="AQ225" s="473" t="str">
        <f t="shared" si="59"/>
        <v/>
      </c>
      <c r="AR225" s="473" t="str">
        <f t="shared" si="60"/>
        <v/>
      </c>
      <c r="AS225" s="473" t="str">
        <f t="shared" si="61"/>
        <v/>
      </c>
      <c r="AT225" s="473" t="str">
        <f t="shared" si="62"/>
        <v/>
      </c>
      <c r="AU225" s="473" t="str">
        <f t="shared" si="63"/>
        <v/>
      </c>
      <c r="AZ225" s="31" t="s">
        <v>19</v>
      </c>
      <c r="BA225" s="34" t="s">
        <v>469</v>
      </c>
      <c r="BB225" s="499"/>
      <c r="BC225" s="271"/>
      <c r="BD225" s="279">
        <v>1</v>
      </c>
      <c r="BE225" s="271"/>
      <c r="BF225" s="271"/>
      <c r="BG225" s="271"/>
      <c r="BH225" s="271"/>
      <c r="BI225" s="271"/>
      <c r="BJ225" s="271"/>
      <c r="BK225" s="271"/>
      <c r="BL225" s="271"/>
    </row>
    <row r="226" spans="18:64" ht="21" customHeight="1" x14ac:dyDescent="0.25">
      <c r="R226" s="34" t="s">
        <v>492</v>
      </c>
      <c r="S226" s="451"/>
      <c r="T226" s="30" t="s">
        <v>10</v>
      </c>
      <c r="V226" s="475">
        <v>5</v>
      </c>
      <c r="W226" s="475" t="str">
        <f>IF($AC$226="","",$W$216)</f>
        <v/>
      </c>
      <c r="X226" s="476" t="str">
        <f>IF($AC$226="","",$X$216)</f>
        <v/>
      </c>
      <c r="Y226" s="477" t="str">
        <f>IF($X$226="","",$Y$216)</f>
        <v/>
      </c>
      <c r="Z226" s="477" t="str">
        <f>IF($X$226="","",$Z$216)</f>
        <v/>
      </c>
      <c r="AA226" s="477" t="str">
        <f>IF($AC$226="","",ROW($A$226)-ROW($A$216))</f>
        <v/>
      </c>
      <c r="AB226" s="478"/>
      <c r="AC226" s="34"/>
      <c r="AD226" s="356"/>
      <c r="AE226" s="18"/>
      <c r="AF226" s="19"/>
      <c r="AG226" s="480" t="str">
        <f t="shared" si="52"/>
        <v/>
      </c>
      <c r="AH226" s="481" t="str">
        <f t="shared" si="53"/>
        <v/>
      </c>
      <c r="AI226" s="477" t="str">
        <f>IF($AC$226="","",IFERROR(INDEX($AZ$74:$AZ$119,MATCH($AH$226,$AY$74:$AY$119,0)),"AUTRE"))</f>
        <v/>
      </c>
      <c r="AJ226" s="482" t="str">
        <f>IF($AC$226="","",IFERROR(INDEX($BA$74:$BA$119,MATCH($AH$226,$AY$74:$AY$119,0)),1))</f>
        <v/>
      </c>
      <c r="AK226" s="482" t="str">
        <f t="shared" si="54"/>
        <v/>
      </c>
      <c r="AL226" s="477" t="str">
        <f>IF($AC$226="","",IFERROR(INDEX($BB$74:$BB$119,MATCH($AH$226,$AY$74:$AY$119,0)),$AH$226))</f>
        <v/>
      </c>
      <c r="AM226" s="483" t="str">
        <f t="shared" si="55"/>
        <v/>
      </c>
      <c r="AN226" s="484" t="str">
        <f t="shared" si="56"/>
        <v/>
      </c>
      <c r="AO226" s="473" t="str">
        <f t="shared" si="57"/>
        <v/>
      </c>
      <c r="AP226" s="473" t="str">
        <f t="shared" si="58"/>
        <v/>
      </c>
      <c r="AQ226" s="473" t="str">
        <f t="shared" si="59"/>
        <v/>
      </c>
      <c r="AR226" s="473" t="str">
        <f t="shared" si="60"/>
        <v/>
      </c>
      <c r="AS226" s="473" t="str">
        <f t="shared" si="61"/>
        <v/>
      </c>
      <c r="AT226" s="473" t="str">
        <f t="shared" si="62"/>
        <v/>
      </c>
      <c r="AU226" s="473" t="str">
        <f t="shared" si="63"/>
        <v/>
      </c>
      <c r="AZ226" s="31" t="s">
        <v>211</v>
      </c>
      <c r="BA226" s="34" t="s">
        <v>6118</v>
      </c>
      <c r="BB226" s="499"/>
      <c r="BC226" s="271"/>
      <c r="BD226" s="279">
        <v>1</v>
      </c>
      <c r="BE226" s="271"/>
      <c r="BF226" s="271"/>
      <c r="BG226" s="271"/>
      <c r="BH226" s="271"/>
      <c r="BI226" s="271"/>
      <c r="BJ226" s="271"/>
      <c r="BK226" s="271"/>
      <c r="BL226" s="271"/>
    </row>
    <row r="227" spans="18:64" ht="21" customHeight="1" x14ac:dyDescent="0.25">
      <c r="R227" s="34" t="s">
        <v>458</v>
      </c>
      <c r="S227" s="451"/>
      <c r="T227" s="30" t="s">
        <v>11</v>
      </c>
      <c r="V227" s="475">
        <v>5</v>
      </c>
      <c r="W227" s="475" t="str">
        <f>IF($AC$227="","",$W$216)</f>
        <v/>
      </c>
      <c r="X227" s="476" t="str">
        <f>IF($AC$227="","",$X$216)</f>
        <v/>
      </c>
      <c r="Y227" s="477" t="str">
        <f>IF($X$227="","",$Y$216)</f>
        <v/>
      </c>
      <c r="Z227" s="477" t="str">
        <f>IF($X$227="","",$Z$216)</f>
        <v/>
      </c>
      <c r="AA227" s="477" t="str">
        <f>IF($AC$227="","",ROW($A$227)-ROW($A$216))</f>
        <v/>
      </c>
      <c r="AB227" s="478"/>
      <c r="AC227" s="34"/>
      <c r="AD227" s="356"/>
      <c r="AE227" s="18"/>
      <c r="AF227" s="19"/>
      <c r="AG227" s="480" t="str">
        <f t="shared" si="52"/>
        <v/>
      </c>
      <c r="AH227" s="481" t="str">
        <f t="shared" si="53"/>
        <v/>
      </c>
      <c r="AI227" s="477" t="str">
        <f>IF($AC$227="","",IFERROR(INDEX($AZ$74:$AZ$119,MATCH($AH$227,$AY$74:$AY$119,0)),"AUTRE"))</f>
        <v/>
      </c>
      <c r="AJ227" s="482" t="str">
        <f>IF($AC$227="","",IFERROR(INDEX($BA$74:$BA$119,MATCH($AH$227,$AY$74:$AY$119,0)),1))</f>
        <v/>
      </c>
      <c r="AK227" s="482" t="str">
        <f t="shared" si="54"/>
        <v/>
      </c>
      <c r="AL227" s="477" t="str">
        <f>IF($AC$227="","",IFERROR(INDEX($BB$74:$BB$119,MATCH($AH$227,$AY$74:$AY$119,0)),$AH$227))</f>
        <v/>
      </c>
      <c r="AM227" s="483" t="str">
        <f t="shared" si="55"/>
        <v/>
      </c>
      <c r="AN227" s="484" t="str">
        <f t="shared" si="56"/>
        <v/>
      </c>
      <c r="AO227" s="473" t="str">
        <f t="shared" si="57"/>
        <v/>
      </c>
      <c r="AP227" s="473" t="str">
        <f t="shared" si="58"/>
        <v/>
      </c>
      <c r="AQ227" s="473" t="str">
        <f t="shared" si="59"/>
        <v/>
      </c>
      <c r="AR227" s="473" t="str">
        <f t="shared" si="60"/>
        <v/>
      </c>
      <c r="AS227" s="473" t="str">
        <f t="shared" si="61"/>
        <v/>
      </c>
      <c r="AT227" s="473" t="str">
        <f t="shared" si="62"/>
        <v/>
      </c>
      <c r="AU227" s="473" t="str">
        <f t="shared" si="63"/>
        <v/>
      </c>
      <c r="AZ227" s="31" t="s">
        <v>20</v>
      </c>
      <c r="BA227" s="34" t="s">
        <v>492</v>
      </c>
      <c r="BB227" s="499"/>
      <c r="BC227" s="271"/>
      <c r="BD227" s="279">
        <v>1</v>
      </c>
      <c r="BE227" s="271"/>
      <c r="BF227" s="271"/>
      <c r="BG227" s="271"/>
      <c r="BH227" s="271"/>
      <c r="BI227" s="271"/>
      <c r="BJ227" s="271"/>
      <c r="BK227" s="271"/>
      <c r="BL227" s="271"/>
    </row>
    <row r="228" spans="18:64" ht="21" customHeight="1" x14ac:dyDescent="0.25">
      <c r="R228" s="490"/>
      <c r="S228" s="451"/>
      <c r="T228" s="30" t="s">
        <v>12</v>
      </c>
      <c r="V228" s="475">
        <v>5</v>
      </c>
      <c r="W228" s="475" t="str">
        <f>IF($AC$228="","",$W$216)</f>
        <v/>
      </c>
      <c r="X228" s="476" t="str">
        <f>IF($AC$228="","",$X$216)</f>
        <v/>
      </c>
      <c r="Y228" s="477" t="str">
        <f>IF($X$228="","",$Y$216)</f>
        <v/>
      </c>
      <c r="Z228" s="477" t="str">
        <f>IF($X$228="","",$Z$216)</f>
        <v/>
      </c>
      <c r="AA228" s="477" t="str">
        <f>IF($AC$228="","",ROW($A$228)-ROW($A$216))</f>
        <v/>
      </c>
      <c r="AB228" s="478"/>
      <c r="AC228" s="34"/>
      <c r="AD228" s="356"/>
      <c r="AE228" s="18"/>
      <c r="AF228" s="19"/>
      <c r="AG228" s="480" t="str">
        <f t="shared" si="52"/>
        <v/>
      </c>
      <c r="AH228" s="481" t="str">
        <f t="shared" si="53"/>
        <v/>
      </c>
      <c r="AI228" s="477" t="str">
        <f>IF($AC$228="","",IFERROR(INDEX($AZ$74:$AZ$119,MATCH($AH$228,$AY$74:$AY$119,0)),"AUTRE"))</f>
        <v/>
      </c>
      <c r="AJ228" s="482" t="str">
        <f>IF($AC$228="","",IFERROR(INDEX($BA$74:$BA$119,MATCH($AH$228,$AY$74:$AY$119,0)),1))</f>
        <v/>
      </c>
      <c r="AK228" s="482" t="str">
        <f t="shared" si="54"/>
        <v/>
      </c>
      <c r="AL228" s="477" t="str">
        <f>IF($AC$228="","",IFERROR(INDEX($BB$74:$BB$119,MATCH($AH$228,$AY$74:$AY$119,0)),$AH$228))</f>
        <v/>
      </c>
      <c r="AM228" s="483" t="str">
        <f t="shared" si="55"/>
        <v/>
      </c>
      <c r="AN228" s="484" t="str">
        <f t="shared" si="56"/>
        <v/>
      </c>
      <c r="AO228" s="473" t="str">
        <f t="shared" si="57"/>
        <v/>
      </c>
      <c r="AP228" s="473" t="str">
        <f t="shared" si="58"/>
        <v/>
      </c>
      <c r="AQ228" s="473" t="str">
        <f t="shared" si="59"/>
        <v/>
      </c>
      <c r="AR228" s="473" t="str">
        <f t="shared" si="60"/>
        <v/>
      </c>
      <c r="AS228" s="473" t="str">
        <f t="shared" si="61"/>
        <v/>
      </c>
      <c r="AT228" s="473" t="str">
        <f t="shared" si="62"/>
        <v/>
      </c>
      <c r="AU228" s="473" t="str">
        <f t="shared" si="63"/>
        <v/>
      </c>
      <c r="AZ228" s="31" t="s">
        <v>304</v>
      </c>
      <c r="BA228" s="34" t="s">
        <v>458</v>
      </c>
      <c r="BB228" s="499"/>
      <c r="BC228" s="271"/>
      <c r="BD228" s="279">
        <v>1</v>
      </c>
      <c r="BE228" s="271"/>
      <c r="BF228" s="271"/>
      <c r="BG228" s="271"/>
      <c r="BH228" s="271"/>
      <c r="BI228" s="271"/>
      <c r="BJ228" s="271"/>
      <c r="BK228" s="271"/>
      <c r="BL228" s="271"/>
    </row>
    <row r="229" spans="18:64" ht="21" customHeight="1" x14ac:dyDescent="0.25">
      <c r="R229" s="25" t="s">
        <v>6119</v>
      </c>
      <c r="S229" s="451"/>
      <c r="T229" s="31" t="s">
        <v>16</v>
      </c>
      <c r="V229" s="475">
        <v>5</v>
      </c>
      <c r="W229" s="475" t="str">
        <f>IF($AC$229="","",$W$216)</f>
        <v/>
      </c>
      <c r="X229" s="476" t="str">
        <f>IF($AC$229="","",$X$216)</f>
        <v/>
      </c>
      <c r="Y229" s="477" t="str">
        <f>IF($X$229="","",$Y$216)</f>
        <v/>
      </c>
      <c r="Z229" s="477" t="str">
        <f>IF($X$229="","",$Z$216)</f>
        <v/>
      </c>
      <c r="AA229" s="477" t="str">
        <f>IF($AC$229="","",ROW($A$229)-ROW($A$216))</f>
        <v/>
      </c>
      <c r="AB229" s="478"/>
      <c r="AC229" s="34"/>
      <c r="AD229" s="356"/>
      <c r="AE229" s="18"/>
      <c r="AF229" s="19"/>
      <c r="AG229" s="480" t="str">
        <f t="shared" si="52"/>
        <v/>
      </c>
      <c r="AH229" s="481" t="str">
        <f t="shared" si="53"/>
        <v/>
      </c>
      <c r="AI229" s="477" t="str">
        <f>IF($AC$229="","",IFERROR(INDEX($AZ$74:$AZ$119,MATCH($AH$229,$AY$74:$AY$119,0)),"AUTRE"))</f>
        <v/>
      </c>
      <c r="AJ229" s="482" t="str">
        <f>IF($AC$229="","",IFERROR(INDEX($BA$74:$BA$119,MATCH($AH$229,$AY$74:$AY$119,0)),1))</f>
        <v/>
      </c>
      <c r="AK229" s="482" t="str">
        <f t="shared" si="54"/>
        <v/>
      </c>
      <c r="AL229" s="477" t="str">
        <f>IF($AC$229="","",IFERROR(INDEX($BB$74:$BB$119,MATCH($AH$229,$AY$74:$AY$119,0)),$AH$229))</f>
        <v/>
      </c>
      <c r="AM229" s="483" t="str">
        <f t="shared" si="55"/>
        <v/>
      </c>
      <c r="AN229" s="484" t="str">
        <f t="shared" si="56"/>
        <v/>
      </c>
      <c r="AO229" s="473" t="str">
        <f t="shared" si="57"/>
        <v/>
      </c>
      <c r="AP229" s="473" t="str">
        <f t="shared" si="58"/>
        <v/>
      </c>
      <c r="AQ229" s="473" t="str">
        <f t="shared" si="59"/>
        <v/>
      </c>
      <c r="AR229" s="473" t="str">
        <f t="shared" si="60"/>
        <v/>
      </c>
      <c r="AS229" s="473" t="str">
        <f t="shared" si="61"/>
        <v/>
      </c>
      <c r="AT229" s="473" t="str">
        <f t="shared" si="62"/>
        <v/>
      </c>
      <c r="AU229" s="473" t="str">
        <f t="shared" si="63"/>
        <v/>
      </c>
      <c r="AZ229" s="31" t="s">
        <v>352</v>
      </c>
      <c r="BA229" s="490"/>
      <c r="BB229" s="499"/>
      <c r="BC229" s="271"/>
      <c r="BD229" s="279">
        <v>1</v>
      </c>
      <c r="BE229" s="271"/>
      <c r="BF229" s="271"/>
      <c r="BG229" s="271"/>
      <c r="BH229" s="271"/>
      <c r="BI229" s="271"/>
      <c r="BJ229" s="271"/>
      <c r="BK229" s="271"/>
      <c r="BL229" s="271"/>
    </row>
    <row r="230" spans="18:64" ht="21" customHeight="1" x14ac:dyDescent="0.25">
      <c r="R230" s="34" t="s">
        <v>6120</v>
      </c>
      <c r="S230" s="451"/>
      <c r="T230" s="31" t="s">
        <v>17</v>
      </c>
      <c r="V230" s="475">
        <v>5</v>
      </c>
      <c r="W230" s="475" t="str">
        <f>IF($AC$230="","",$W$216)</f>
        <v/>
      </c>
      <c r="X230" s="476" t="str">
        <f>IF($AC$230="","",$X$216)</f>
        <v/>
      </c>
      <c r="Y230" s="477" t="str">
        <f>IF($X$230="","",$Y$216)</f>
        <v/>
      </c>
      <c r="Z230" s="477" t="str">
        <f>IF($X$230="","",$Z$216)</f>
        <v/>
      </c>
      <c r="AA230" s="477" t="str">
        <f>IF($AC$230="","",ROW($A$230)-ROW($A$216))</f>
        <v/>
      </c>
      <c r="AB230" s="478"/>
      <c r="AC230" s="34"/>
      <c r="AD230" s="356"/>
      <c r="AE230" s="18"/>
      <c r="AF230" s="19"/>
      <c r="AG230" s="480" t="str">
        <f t="shared" si="52"/>
        <v/>
      </c>
      <c r="AH230" s="481" t="str">
        <f t="shared" si="53"/>
        <v/>
      </c>
      <c r="AI230" s="477" t="str">
        <f>IF($AC$230="","",IFERROR(INDEX($AZ$74:$AZ$119,MATCH($AH$230,$AY$74:$AY$119,0)),"AUTRE"))</f>
        <v/>
      </c>
      <c r="AJ230" s="482" t="str">
        <f>IF($AC$230="","",IFERROR(INDEX($BA$74:$BA$119,MATCH($AH$230,$AY$74:$AY$119,0)),1))</f>
        <v/>
      </c>
      <c r="AK230" s="482" t="str">
        <f t="shared" si="54"/>
        <v/>
      </c>
      <c r="AL230" s="477" t="str">
        <f>IF($AC$230="","",IFERROR(INDEX($BB$74:$BB$119,MATCH($AH$230,$AY$74:$AY$119,0)),$AH$230))</f>
        <v/>
      </c>
      <c r="AM230" s="483" t="str">
        <f t="shared" si="55"/>
        <v/>
      </c>
      <c r="AN230" s="484" t="str">
        <f t="shared" si="56"/>
        <v/>
      </c>
      <c r="AO230" s="473" t="str">
        <f t="shared" si="57"/>
        <v/>
      </c>
      <c r="AP230" s="473" t="str">
        <f t="shared" si="58"/>
        <v/>
      </c>
      <c r="AQ230" s="473" t="str">
        <f t="shared" si="59"/>
        <v/>
      </c>
      <c r="AR230" s="473" t="str">
        <f t="shared" si="60"/>
        <v/>
      </c>
      <c r="AS230" s="473" t="str">
        <f t="shared" si="61"/>
        <v/>
      </c>
      <c r="AT230" s="473" t="str">
        <f t="shared" si="62"/>
        <v/>
      </c>
      <c r="AU230" s="473" t="str">
        <f t="shared" si="63"/>
        <v/>
      </c>
      <c r="AZ230" s="31" t="s">
        <v>27</v>
      </c>
      <c r="BA230" s="25" t="s">
        <v>6119</v>
      </c>
      <c r="BB230" s="499"/>
      <c r="BC230" s="271"/>
      <c r="BD230" s="279">
        <v>1</v>
      </c>
      <c r="BE230" s="271"/>
      <c r="BF230" s="271"/>
      <c r="BG230" s="271"/>
      <c r="BH230" s="271"/>
      <c r="BI230" s="271"/>
      <c r="BJ230" s="271"/>
      <c r="BK230" s="271"/>
      <c r="BL230" s="271"/>
    </row>
    <row r="231" spans="18:64" ht="21" customHeight="1" x14ac:dyDescent="0.25">
      <c r="R231" s="34" t="s">
        <v>6121</v>
      </c>
      <c r="S231" s="451"/>
      <c r="T231" s="31" t="s">
        <v>18</v>
      </c>
      <c r="V231" s="475">
        <v>5</v>
      </c>
      <c r="W231" s="475" t="str">
        <f>IF($AC$231="","",$W$216)</f>
        <v/>
      </c>
      <c r="X231" s="476" t="str">
        <f>IF($AC$231="","",$X$216)</f>
        <v/>
      </c>
      <c r="Y231" s="477" t="str">
        <f>IF($X$231="","",$Y$216)</f>
        <v/>
      </c>
      <c r="Z231" s="477" t="str">
        <f>IF($X$231="","",$Z$216)</f>
        <v/>
      </c>
      <c r="AA231" s="477" t="str">
        <f>IF($AC$231="","",ROW($A$231)-ROW($A$216))</f>
        <v/>
      </c>
      <c r="AB231" s="478"/>
      <c r="AC231" s="34"/>
      <c r="AD231" s="356"/>
      <c r="AE231" s="18"/>
      <c r="AF231" s="19"/>
      <c r="AG231" s="480" t="str">
        <f t="shared" si="52"/>
        <v/>
      </c>
      <c r="AH231" s="481" t="str">
        <f t="shared" si="53"/>
        <v/>
      </c>
      <c r="AI231" s="477" t="str">
        <f>IF($AC$231="","",IFERROR(INDEX($AZ$74:$AZ$119,MATCH($AH$231,$AY$74:$AY$119,0)),"AUTRE"))</f>
        <v/>
      </c>
      <c r="AJ231" s="482" t="str">
        <f>IF($AC$231="","",IFERROR(INDEX($BA$74:$BA$119,MATCH($AH$231,$AY$74:$AY$119,0)),1))</f>
        <v/>
      </c>
      <c r="AK231" s="482" t="str">
        <f t="shared" si="54"/>
        <v/>
      </c>
      <c r="AL231" s="477" t="str">
        <f>IF($AC$231="","",IFERROR(INDEX($BB$74:$BB$119,MATCH($AH$231,$AY$74:$AY$119,0)),$AH$231))</f>
        <v/>
      </c>
      <c r="AM231" s="483" t="str">
        <f t="shared" si="55"/>
        <v/>
      </c>
      <c r="AN231" s="484" t="str">
        <f t="shared" si="56"/>
        <v/>
      </c>
      <c r="AO231" s="473" t="str">
        <f t="shared" si="57"/>
        <v/>
      </c>
      <c r="AP231" s="473" t="str">
        <f t="shared" si="58"/>
        <v/>
      </c>
      <c r="AQ231" s="473" t="str">
        <f t="shared" si="59"/>
        <v/>
      </c>
      <c r="AR231" s="473" t="str">
        <f t="shared" si="60"/>
        <v/>
      </c>
      <c r="AS231" s="473" t="str">
        <f t="shared" si="61"/>
        <v/>
      </c>
      <c r="AT231" s="473" t="str">
        <f t="shared" si="62"/>
        <v/>
      </c>
      <c r="AU231" s="473" t="str">
        <f t="shared" si="63"/>
        <v/>
      </c>
      <c r="AZ231" s="31" t="s">
        <v>28</v>
      </c>
      <c r="BA231" s="34" t="s">
        <v>6120</v>
      </c>
      <c r="BB231" s="499"/>
      <c r="BC231" s="271"/>
      <c r="BD231" s="279">
        <v>1</v>
      </c>
      <c r="BE231" s="271"/>
      <c r="BF231" s="271"/>
      <c r="BG231" s="271"/>
      <c r="BH231" s="271"/>
      <c r="BI231" s="271"/>
      <c r="BJ231" s="271"/>
      <c r="BK231" s="271"/>
      <c r="BL231" s="271"/>
    </row>
    <row r="232" spans="18:64" ht="21" customHeight="1" x14ac:dyDescent="0.25">
      <c r="R232" s="34" t="s">
        <v>6122</v>
      </c>
      <c r="S232" s="451"/>
      <c r="T232" s="31" t="s">
        <v>19</v>
      </c>
      <c r="V232" s="475">
        <v>5</v>
      </c>
      <c r="W232" s="475" t="str">
        <f>IF($AC$232="","",$W$216)</f>
        <v/>
      </c>
      <c r="X232" s="476" t="str">
        <f>IF($AC$232="","",$X$216)</f>
        <v/>
      </c>
      <c r="Y232" s="477" t="str">
        <f>IF($X$232="","",$Y$216)</f>
        <v/>
      </c>
      <c r="Z232" s="477" t="str">
        <f>IF($X$232="","",$Z$216)</f>
        <v/>
      </c>
      <c r="AA232" s="477" t="str">
        <f>IF($AC$232="","",ROW($A$232)-ROW($A$216))</f>
        <v/>
      </c>
      <c r="AB232" s="478"/>
      <c r="AC232" s="34"/>
      <c r="AD232" s="356"/>
      <c r="AE232" s="18"/>
      <c r="AF232" s="19"/>
      <c r="AG232" s="480" t="str">
        <f t="shared" si="52"/>
        <v/>
      </c>
      <c r="AH232" s="481" t="str">
        <f t="shared" si="53"/>
        <v/>
      </c>
      <c r="AI232" s="477" t="str">
        <f>IF($AC$232="","",IFERROR(INDEX($AZ$74:$AZ$119,MATCH($AH$232,$AY$74:$AY$119,0)),"AUTRE"))</f>
        <v/>
      </c>
      <c r="AJ232" s="482" t="str">
        <f>IF($AC$232="","",IFERROR(INDEX($BA$74:$BA$119,MATCH($AH$232,$AY$74:$AY$119,0)),1))</f>
        <v/>
      </c>
      <c r="AK232" s="482" t="str">
        <f t="shared" si="54"/>
        <v/>
      </c>
      <c r="AL232" s="477" t="str">
        <f>IF($AC$232="","",IFERROR(INDEX($BB$74:$BB$119,MATCH($AH$232,$AY$74:$AY$119,0)),$AH$232))</f>
        <v/>
      </c>
      <c r="AM232" s="483" t="str">
        <f t="shared" si="55"/>
        <v/>
      </c>
      <c r="AN232" s="484" t="str">
        <f t="shared" si="56"/>
        <v/>
      </c>
      <c r="AO232" s="473" t="str">
        <f t="shared" si="57"/>
        <v/>
      </c>
      <c r="AP232" s="473" t="str">
        <f t="shared" si="58"/>
        <v/>
      </c>
      <c r="AQ232" s="473" t="str">
        <f t="shared" si="59"/>
        <v/>
      </c>
      <c r="AR232" s="473" t="str">
        <f t="shared" si="60"/>
        <v/>
      </c>
      <c r="AS232" s="473" t="str">
        <f t="shared" si="61"/>
        <v/>
      </c>
      <c r="AT232" s="473" t="str">
        <f t="shared" si="62"/>
        <v/>
      </c>
      <c r="AU232" s="473" t="str">
        <f t="shared" si="63"/>
        <v/>
      </c>
      <c r="AZ232" s="31" t="s">
        <v>29</v>
      </c>
      <c r="BA232" s="34" t="s">
        <v>6121</v>
      </c>
      <c r="BB232" s="499"/>
      <c r="BC232" s="271"/>
      <c r="BD232" s="279">
        <v>1</v>
      </c>
      <c r="BE232" s="271"/>
      <c r="BF232" s="271"/>
      <c r="BG232" s="271"/>
      <c r="BH232" s="271"/>
      <c r="BI232" s="271"/>
      <c r="BJ232" s="271"/>
      <c r="BK232" s="271"/>
      <c r="BL232" s="271"/>
    </row>
    <row r="233" spans="18:64" ht="21" customHeight="1" x14ac:dyDescent="0.25">
      <c r="R233" s="34" t="s">
        <v>6123</v>
      </c>
      <c r="S233" s="451"/>
      <c r="T233" s="31" t="s">
        <v>211</v>
      </c>
      <c r="V233" s="475">
        <v>5</v>
      </c>
      <c r="W233" s="475" t="str">
        <f>IF($AC$233="","",$W$216)</f>
        <v/>
      </c>
      <c r="X233" s="476" t="str">
        <f>IF($AC$233="","",$X$216)</f>
        <v/>
      </c>
      <c r="Y233" s="477" t="str">
        <f>IF($X$233="","",$Y$216)</f>
        <v/>
      </c>
      <c r="Z233" s="477" t="str">
        <f>IF($X$233="","",$Z$216)</f>
        <v/>
      </c>
      <c r="AA233" s="477" t="str">
        <f>IF($AC$233="","",ROW($A$233)-ROW($A$216))</f>
        <v/>
      </c>
      <c r="AB233" s="478"/>
      <c r="AC233" s="34"/>
      <c r="AD233" s="356"/>
      <c r="AE233" s="18"/>
      <c r="AF233" s="19"/>
      <c r="AG233" s="480" t="str">
        <f t="shared" si="52"/>
        <v/>
      </c>
      <c r="AH233" s="481" t="str">
        <f t="shared" si="53"/>
        <v/>
      </c>
      <c r="AI233" s="477" t="str">
        <f>IF($AC$233="","",IFERROR(INDEX($AZ$74:$AZ$119,MATCH($AH$233,$AY$74:$AY$119,0)),"AUTRE"))</f>
        <v/>
      </c>
      <c r="AJ233" s="482" t="str">
        <f>IF($AC$233="","",IFERROR(INDEX($BA$74:$BA$119,MATCH($AH$233,$AY$74:$AY$119,0)),1))</f>
        <v/>
      </c>
      <c r="AK233" s="482" t="str">
        <f t="shared" si="54"/>
        <v/>
      </c>
      <c r="AL233" s="477" t="str">
        <f>IF($AC$233="","",IFERROR(INDEX($BB$74:$BB$119,MATCH($AH$233,$AY$74:$AY$119,0)),$AH$233))</f>
        <v/>
      </c>
      <c r="AM233" s="483" t="str">
        <f t="shared" si="55"/>
        <v/>
      </c>
      <c r="AN233" s="484" t="str">
        <f t="shared" si="56"/>
        <v/>
      </c>
      <c r="AO233" s="473" t="str">
        <f t="shared" si="57"/>
        <v/>
      </c>
      <c r="AP233" s="473" t="str">
        <f t="shared" si="58"/>
        <v/>
      </c>
      <c r="AQ233" s="473" t="str">
        <f t="shared" si="59"/>
        <v/>
      </c>
      <c r="AR233" s="473" t="str">
        <f t="shared" si="60"/>
        <v/>
      </c>
      <c r="AS233" s="473" t="str">
        <f t="shared" si="61"/>
        <v/>
      </c>
      <c r="AT233" s="473" t="str">
        <f t="shared" si="62"/>
        <v/>
      </c>
      <c r="AU233" s="473" t="str">
        <f t="shared" si="63"/>
        <v/>
      </c>
      <c r="AZ233" s="31" t="s">
        <v>30</v>
      </c>
      <c r="BA233" s="34" t="s">
        <v>6122</v>
      </c>
      <c r="BB233" s="499"/>
      <c r="BC233" s="271"/>
      <c r="BD233" s="279">
        <v>1</v>
      </c>
      <c r="BE233" s="271"/>
      <c r="BF233" s="271"/>
      <c r="BG233" s="271"/>
      <c r="BH233" s="271"/>
      <c r="BI233" s="271"/>
      <c r="BJ233" s="271"/>
      <c r="BK233" s="271"/>
      <c r="BL233" s="271"/>
    </row>
    <row r="234" spans="18:64" ht="21" customHeight="1" x14ac:dyDescent="0.25">
      <c r="R234" s="34" t="s">
        <v>6124</v>
      </c>
      <c r="S234" s="451"/>
      <c r="T234" s="31" t="s">
        <v>20</v>
      </c>
      <c r="V234" s="475">
        <v>5</v>
      </c>
      <c r="W234" s="475" t="str">
        <f>IF($AC$234="","",$W$216)</f>
        <v/>
      </c>
      <c r="X234" s="476" t="str">
        <f>IF($AC$234="","",$X$216)</f>
        <v/>
      </c>
      <c r="Y234" s="477" t="str">
        <f>IF($X$234="","",$Y$216)</f>
        <v/>
      </c>
      <c r="Z234" s="477" t="str">
        <f>IF($X$234="","",$Z$216)</f>
        <v/>
      </c>
      <c r="AA234" s="477" t="str">
        <f>IF($AC$234="","",ROW($A$234)-ROW($A$216))</f>
        <v/>
      </c>
      <c r="AB234" s="478"/>
      <c r="AC234" s="34"/>
      <c r="AD234" s="356"/>
      <c r="AE234" s="18"/>
      <c r="AF234" s="19"/>
      <c r="AG234" s="480" t="str">
        <f t="shared" si="52"/>
        <v/>
      </c>
      <c r="AH234" s="481" t="str">
        <f t="shared" si="53"/>
        <v/>
      </c>
      <c r="AI234" s="477" t="str">
        <f>IF($AC$234="","",IFERROR(INDEX($AZ$74:$AZ$119,MATCH($AH$234,$AY$74:$AY$119,0)),"AUTRE"))</f>
        <v/>
      </c>
      <c r="AJ234" s="482" t="str">
        <f>IF($AC$234="","",IFERROR(INDEX($BA$74:$BA$119,MATCH($AH$234,$AY$74:$AY$119,0)),1))</f>
        <v/>
      </c>
      <c r="AK234" s="482" t="str">
        <f t="shared" si="54"/>
        <v/>
      </c>
      <c r="AL234" s="477" t="str">
        <f>IF($AC$234="","",IFERROR(INDEX($BB$74:$BB$119,MATCH($AH$234,$AY$74:$AY$119,0)),$AH$234))</f>
        <v/>
      </c>
      <c r="AM234" s="483" t="str">
        <f t="shared" si="55"/>
        <v/>
      </c>
      <c r="AN234" s="484" t="str">
        <f t="shared" si="56"/>
        <v/>
      </c>
      <c r="AO234" s="473" t="str">
        <f t="shared" si="57"/>
        <v/>
      </c>
      <c r="AP234" s="473" t="str">
        <f t="shared" si="58"/>
        <v/>
      </c>
      <c r="AQ234" s="473" t="str">
        <f t="shared" si="59"/>
        <v/>
      </c>
      <c r="AR234" s="473" t="str">
        <f t="shared" si="60"/>
        <v/>
      </c>
      <c r="AS234" s="473" t="str">
        <f t="shared" si="61"/>
        <v/>
      </c>
      <c r="AT234" s="473" t="str">
        <f t="shared" si="62"/>
        <v/>
      </c>
      <c r="AU234" s="473" t="str">
        <f t="shared" si="63"/>
        <v/>
      </c>
      <c r="AZ234" s="32" t="s">
        <v>33</v>
      </c>
      <c r="BA234" s="34" t="s">
        <v>6123</v>
      </c>
      <c r="BB234" s="499"/>
      <c r="BC234" s="271"/>
      <c r="BD234" s="279">
        <v>1</v>
      </c>
      <c r="BE234" s="271"/>
      <c r="BF234" s="271"/>
      <c r="BG234" s="271"/>
      <c r="BH234" s="271"/>
      <c r="BI234" s="271"/>
      <c r="BJ234" s="271"/>
      <c r="BK234" s="271"/>
      <c r="BL234" s="271"/>
    </row>
    <row r="235" spans="18:64" ht="21" customHeight="1" x14ac:dyDescent="0.25">
      <c r="R235" s="34" t="s">
        <v>6125</v>
      </c>
      <c r="S235" s="451"/>
      <c r="T235" s="31" t="s">
        <v>304</v>
      </c>
      <c r="V235" s="475">
        <v>5</v>
      </c>
      <c r="W235" s="475" t="str">
        <f>IF($AC$235="","",$W$216)</f>
        <v/>
      </c>
      <c r="X235" s="476" t="str">
        <f>IF($AC$235="","",$X$216)</f>
        <v/>
      </c>
      <c r="Y235" s="477" t="str">
        <f>IF($X$235="","",$Y$216)</f>
        <v/>
      </c>
      <c r="Z235" s="477" t="str">
        <f>IF($X$235="","",$Z$216)</f>
        <v/>
      </c>
      <c r="AA235" s="477" t="str">
        <f>IF($AC$235="","",ROW($A$235)-ROW($A$216))</f>
        <v/>
      </c>
      <c r="AB235" s="478"/>
      <c r="AC235" s="34"/>
      <c r="AD235" s="356"/>
      <c r="AE235" s="18"/>
      <c r="AF235" s="19"/>
      <c r="AG235" s="480" t="str">
        <f t="shared" si="52"/>
        <v/>
      </c>
      <c r="AH235" s="481" t="str">
        <f t="shared" si="53"/>
        <v/>
      </c>
      <c r="AI235" s="477" t="str">
        <f>IF($AC$235="","",IFERROR(INDEX($AZ$74:$AZ$119,MATCH($AH$235,$AY$74:$AY$119,0)),"AUTRE"))</f>
        <v/>
      </c>
      <c r="AJ235" s="482" t="str">
        <f>IF($AC$235="","",IFERROR(INDEX($BA$74:$BA$119,MATCH($AH$235,$AY$74:$AY$119,0)),1))</f>
        <v/>
      </c>
      <c r="AK235" s="482" t="str">
        <f t="shared" si="54"/>
        <v/>
      </c>
      <c r="AL235" s="477" t="str">
        <f>IF($AC$235="","",IFERROR(INDEX($BB$74:$BB$119,MATCH($AH$235,$AY$74:$AY$119,0)),$AH$235))</f>
        <v/>
      </c>
      <c r="AM235" s="483" t="str">
        <f t="shared" si="55"/>
        <v/>
      </c>
      <c r="AN235" s="484" t="str">
        <f t="shared" si="56"/>
        <v/>
      </c>
      <c r="AO235" s="473" t="str">
        <f t="shared" si="57"/>
        <v/>
      </c>
      <c r="AP235" s="473" t="str">
        <f t="shared" si="58"/>
        <v/>
      </c>
      <c r="AQ235" s="473" t="str">
        <f t="shared" si="59"/>
        <v/>
      </c>
      <c r="AR235" s="473" t="str">
        <f t="shared" si="60"/>
        <v/>
      </c>
      <c r="AS235" s="473" t="str">
        <f t="shared" si="61"/>
        <v/>
      </c>
      <c r="AT235" s="473" t="str">
        <f t="shared" si="62"/>
        <v/>
      </c>
      <c r="AU235" s="473" t="str">
        <f t="shared" si="63"/>
        <v/>
      </c>
      <c r="AZ235" s="32" t="s">
        <v>8125</v>
      </c>
      <c r="BA235" s="34" t="s">
        <v>6124</v>
      </c>
      <c r="BB235" s="499"/>
      <c r="BC235" s="271"/>
      <c r="BD235" s="279">
        <v>1</v>
      </c>
      <c r="BE235" s="271"/>
      <c r="BF235" s="271"/>
      <c r="BG235" s="271"/>
      <c r="BH235" s="271"/>
      <c r="BI235" s="271"/>
      <c r="BJ235" s="271"/>
      <c r="BK235" s="271"/>
      <c r="BL235" s="271"/>
    </row>
    <row r="236" spans="18:64" ht="21" customHeight="1" x14ac:dyDescent="0.25">
      <c r="R236" s="34" t="s">
        <v>6126</v>
      </c>
      <c r="S236" s="451"/>
      <c r="T236" s="31" t="s">
        <v>352</v>
      </c>
      <c r="V236" s="475">
        <v>5</v>
      </c>
      <c r="W236" s="475" t="str">
        <f>IF($AC$236="","",$W$216)</f>
        <v/>
      </c>
      <c r="X236" s="476" t="str">
        <f>IF($AC$236="","",$X$216)</f>
        <v/>
      </c>
      <c r="Y236" s="477" t="str">
        <f>IF($X$236="","",$Y$216)</f>
        <v/>
      </c>
      <c r="Z236" s="477" t="str">
        <f>IF($X$236="","",$Z$216)</f>
        <v/>
      </c>
      <c r="AA236" s="477" t="str">
        <f>IF($AC$236="","",ROW($A$236)-ROW($A$216))</f>
        <v/>
      </c>
      <c r="AB236" s="478"/>
      <c r="AC236" s="34"/>
      <c r="AD236" s="356"/>
      <c r="AE236" s="18"/>
      <c r="AF236" s="19"/>
      <c r="AG236" s="480" t="str">
        <f t="shared" si="52"/>
        <v/>
      </c>
      <c r="AH236" s="481" t="str">
        <f t="shared" si="53"/>
        <v/>
      </c>
      <c r="AI236" s="477" t="str">
        <f>IF($AC$236="","",IFERROR(INDEX($AZ$74:$AZ$119,MATCH($AH$236,$AY$74:$AY$119,0)),"AUTRE"))</f>
        <v/>
      </c>
      <c r="AJ236" s="482" t="str">
        <f>IF($AC$236="","",IFERROR(INDEX($BA$74:$BA$119,MATCH($AH$236,$AY$74:$AY$119,0)),1))</f>
        <v/>
      </c>
      <c r="AK236" s="482" t="str">
        <f t="shared" si="54"/>
        <v/>
      </c>
      <c r="AL236" s="477" t="str">
        <f>IF($AC$236="","",IFERROR(INDEX($BB$74:$BB$119,MATCH($AH$236,$AY$74:$AY$119,0)),$AH$236))</f>
        <v/>
      </c>
      <c r="AM236" s="483" t="str">
        <f t="shared" si="55"/>
        <v/>
      </c>
      <c r="AN236" s="484" t="str">
        <f t="shared" si="56"/>
        <v/>
      </c>
      <c r="AO236" s="473" t="str">
        <f t="shared" si="57"/>
        <v/>
      </c>
      <c r="AP236" s="473" t="str">
        <f t="shared" si="58"/>
        <v/>
      </c>
      <c r="AQ236" s="473" t="str">
        <f t="shared" si="59"/>
        <v/>
      </c>
      <c r="AR236" s="473" t="str">
        <f t="shared" si="60"/>
        <v/>
      </c>
      <c r="AS236" s="473" t="str">
        <f t="shared" si="61"/>
        <v/>
      </c>
      <c r="AT236" s="473" t="str">
        <f t="shared" si="62"/>
        <v/>
      </c>
      <c r="AU236" s="473" t="str">
        <f t="shared" si="63"/>
        <v/>
      </c>
      <c r="AZ236" s="32" t="s">
        <v>8127</v>
      </c>
      <c r="BA236" s="34" t="s">
        <v>6125</v>
      </c>
      <c r="BB236" s="499"/>
      <c r="BC236" s="271"/>
      <c r="BD236" s="279">
        <v>1</v>
      </c>
      <c r="BE236" s="271"/>
      <c r="BF236" s="271"/>
      <c r="BG236" s="271"/>
      <c r="BH236" s="271"/>
      <c r="BI236" s="271"/>
      <c r="BJ236" s="271"/>
      <c r="BK236" s="271"/>
      <c r="BL236" s="271"/>
    </row>
    <row r="237" spans="18:64" ht="21" customHeight="1" x14ac:dyDescent="0.25">
      <c r="R237" s="34" t="s">
        <v>6127</v>
      </c>
      <c r="S237" s="451"/>
      <c r="T237" s="31" t="s">
        <v>25</v>
      </c>
      <c r="V237" s="475">
        <v>5</v>
      </c>
      <c r="W237" s="475" t="str">
        <f>IF($AC$237="","",$W$216)</f>
        <v/>
      </c>
      <c r="X237" s="476" t="str">
        <f>IF($AC$237="","",$X$216)</f>
        <v/>
      </c>
      <c r="Y237" s="477" t="str">
        <f>IF($X$237="","",$Y$216)</f>
        <v/>
      </c>
      <c r="Z237" s="477" t="str">
        <f>IF($X$237="","",$Z$216)</f>
        <v/>
      </c>
      <c r="AA237" s="477" t="str">
        <f>IF($AC$237="","",ROW($A$237)-ROW($A$216))</f>
        <v/>
      </c>
      <c r="AB237" s="478"/>
      <c r="AC237" s="34"/>
      <c r="AD237" s="356"/>
      <c r="AE237" s="18"/>
      <c r="AF237" s="19"/>
      <c r="AG237" s="480" t="str">
        <f t="shared" si="52"/>
        <v/>
      </c>
      <c r="AH237" s="481" t="str">
        <f t="shared" si="53"/>
        <v/>
      </c>
      <c r="AI237" s="477" t="str">
        <f>IF($AC$237="","",IFERROR(INDEX($AZ$74:$AZ$119,MATCH($AH$237,$AY$74:$AY$119,0)),"AUTRE"))</f>
        <v/>
      </c>
      <c r="AJ237" s="482" t="str">
        <f>IF($AC$237="","",IFERROR(INDEX($BA$74:$BA$119,MATCH($AH$237,$AY$74:$AY$119,0)),1))</f>
        <v/>
      </c>
      <c r="AK237" s="482" t="str">
        <f t="shared" si="54"/>
        <v/>
      </c>
      <c r="AL237" s="477" t="str">
        <f>IF($AC$237="","",IFERROR(INDEX($BB$74:$BB$119,MATCH($AH$237,$AY$74:$AY$119,0)),$AH$237))</f>
        <v/>
      </c>
      <c r="AM237" s="483" t="str">
        <f t="shared" si="55"/>
        <v/>
      </c>
      <c r="AN237" s="484" t="str">
        <f t="shared" si="56"/>
        <v/>
      </c>
      <c r="AO237" s="473" t="str">
        <f t="shared" si="57"/>
        <v/>
      </c>
      <c r="AP237" s="473" t="str">
        <f t="shared" si="58"/>
        <v/>
      </c>
      <c r="AQ237" s="473" t="str">
        <f t="shared" si="59"/>
        <v/>
      </c>
      <c r="AR237" s="473" t="str">
        <f t="shared" si="60"/>
        <v/>
      </c>
      <c r="AS237" s="473" t="str">
        <f t="shared" si="61"/>
        <v/>
      </c>
      <c r="AT237" s="473" t="str">
        <f t="shared" si="62"/>
        <v/>
      </c>
      <c r="AU237" s="473" t="str">
        <f t="shared" si="63"/>
        <v/>
      </c>
      <c r="AZ237" s="32" t="s">
        <v>320</v>
      </c>
      <c r="BA237" s="34" t="s">
        <v>6126</v>
      </c>
      <c r="BB237" s="499"/>
      <c r="BC237" s="271"/>
      <c r="BD237" s="279">
        <v>1</v>
      </c>
      <c r="BE237" s="271"/>
      <c r="BF237" s="271"/>
      <c r="BG237" s="271"/>
      <c r="BH237" s="271"/>
      <c r="BI237" s="271"/>
      <c r="BJ237" s="271"/>
      <c r="BK237" s="271"/>
      <c r="BL237" s="271"/>
    </row>
    <row r="238" spans="18:64" ht="21" customHeight="1" x14ac:dyDescent="0.25">
      <c r="R238" s="25" t="s">
        <v>6128</v>
      </c>
      <c r="S238" s="451"/>
      <c r="T238" s="31" t="s">
        <v>26</v>
      </c>
      <c r="V238" s="475">
        <v>5</v>
      </c>
      <c r="W238" s="475" t="str">
        <f>IF($AC$238="","",$W$216)</f>
        <v/>
      </c>
      <c r="X238" s="476" t="str">
        <f>IF($AC$238="","",$X$216)</f>
        <v/>
      </c>
      <c r="Y238" s="477" t="str">
        <f>IF($X$238="","",$Y$216)</f>
        <v/>
      </c>
      <c r="Z238" s="477" t="str">
        <f>IF($X$238="","",$Z$216)</f>
        <v/>
      </c>
      <c r="AA238" s="477" t="str">
        <f>IF($AC$238="","",ROW($A$238)-ROW($A$216))</f>
        <v/>
      </c>
      <c r="AB238" s="478"/>
      <c r="AC238" s="34"/>
      <c r="AD238" s="356"/>
      <c r="AE238" s="18"/>
      <c r="AF238" s="19"/>
      <c r="AG238" s="480" t="str">
        <f t="shared" si="52"/>
        <v/>
      </c>
      <c r="AH238" s="481" t="str">
        <f t="shared" si="53"/>
        <v/>
      </c>
      <c r="AI238" s="477" t="str">
        <f>IF($AC$238="","",IFERROR(INDEX($AZ$74:$AZ$119,MATCH($AH$238,$AY$74:$AY$119,0)),"AUTRE"))</f>
        <v/>
      </c>
      <c r="AJ238" s="482" t="str">
        <f>IF($AC$238="","",IFERROR(INDEX($BA$74:$BA$119,MATCH($AH$238,$AY$74:$AY$119,0)),1))</f>
        <v/>
      </c>
      <c r="AK238" s="482" t="str">
        <f t="shared" si="54"/>
        <v/>
      </c>
      <c r="AL238" s="477" t="str">
        <f>IF($AC$238="","",IFERROR(INDEX($BB$74:$BB$119,MATCH($AH$238,$AY$74:$AY$119,0)),$AH$238))</f>
        <v/>
      </c>
      <c r="AM238" s="483" t="str">
        <f t="shared" si="55"/>
        <v/>
      </c>
      <c r="AN238" s="484" t="str">
        <f t="shared" si="56"/>
        <v/>
      </c>
      <c r="AO238" s="473" t="str">
        <f t="shared" si="57"/>
        <v/>
      </c>
      <c r="AP238" s="473" t="str">
        <f t="shared" si="58"/>
        <v/>
      </c>
      <c r="AQ238" s="473" t="str">
        <f t="shared" si="59"/>
        <v/>
      </c>
      <c r="AR238" s="473" t="str">
        <f t="shared" si="60"/>
        <v/>
      </c>
      <c r="AS238" s="473" t="str">
        <f t="shared" si="61"/>
        <v/>
      </c>
      <c r="AT238" s="473" t="str">
        <f t="shared" si="62"/>
        <v/>
      </c>
      <c r="AU238" s="473" t="str">
        <f t="shared" si="63"/>
        <v/>
      </c>
      <c r="AZ238" s="32" t="s">
        <v>318</v>
      </c>
      <c r="BA238" s="34" t="s">
        <v>6127</v>
      </c>
      <c r="BB238" s="499"/>
      <c r="BC238" s="271"/>
      <c r="BD238" s="279">
        <v>1</v>
      </c>
      <c r="BE238" s="271"/>
      <c r="BF238" s="271"/>
      <c r="BG238" s="271"/>
      <c r="BH238" s="271"/>
      <c r="BI238" s="271"/>
      <c r="BJ238" s="271"/>
      <c r="BK238" s="271"/>
      <c r="BL238" s="271"/>
    </row>
    <row r="239" spans="18:64" ht="21" customHeight="1" x14ac:dyDescent="0.25">
      <c r="R239" s="34" t="s">
        <v>474</v>
      </c>
      <c r="S239" s="451"/>
      <c r="T239" s="31" t="s">
        <v>27</v>
      </c>
      <c r="V239" s="475">
        <v>5</v>
      </c>
      <c r="W239" s="475" t="str">
        <f>IF($AC$239="","",$W$216)</f>
        <v/>
      </c>
      <c r="X239" s="476" t="str">
        <f>IF($AC$239="","",$X$216)</f>
        <v/>
      </c>
      <c r="Y239" s="477" t="str">
        <f>IF($X$239="","",$Y$216)</f>
        <v/>
      </c>
      <c r="Z239" s="477" t="str">
        <f>IF($X$239="","",$Z$216)</f>
        <v/>
      </c>
      <c r="AA239" s="477" t="str">
        <f>IF($AC$239="","",ROW($A$239)-ROW($A$216))</f>
        <v/>
      </c>
      <c r="AB239" s="478"/>
      <c r="AC239" s="34"/>
      <c r="AD239" s="356"/>
      <c r="AE239" s="18"/>
      <c r="AF239" s="19"/>
      <c r="AG239" s="480" t="str">
        <f t="shared" si="52"/>
        <v/>
      </c>
      <c r="AH239" s="481" t="str">
        <f t="shared" si="53"/>
        <v/>
      </c>
      <c r="AI239" s="477" t="str">
        <f>IF($AC$239="","",IFERROR(INDEX($AZ$74:$AZ$119,MATCH($AH$239,$AY$74:$AY$119,0)),"AUTRE"))</f>
        <v/>
      </c>
      <c r="AJ239" s="482" t="str">
        <f>IF($AC$239="","",IFERROR(INDEX($BA$74:$BA$119,MATCH($AH$239,$AY$74:$AY$119,0)),1))</f>
        <v/>
      </c>
      <c r="AK239" s="482" t="str">
        <f t="shared" si="54"/>
        <v/>
      </c>
      <c r="AL239" s="477" t="str">
        <f>IF($AC$239="","",IFERROR(INDEX($BB$74:$BB$119,MATCH($AH$239,$AY$74:$AY$119,0)),$AH$239))</f>
        <v/>
      </c>
      <c r="AM239" s="483" t="str">
        <f t="shared" si="55"/>
        <v/>
      </c>
      <c r="AN239" s="484" t="str">
        <f t="shared" si="56"/>
        <v/>
      </c>
      <c r="AO239" s="473" t="str">
        <f t="shared" si="57"/>
        <v/>
      </c>
      <c r="AP239" s="473" t="str">
        <f t="shared" si="58"/>
        <v/>
      </c>
      <c r="AQ239" s="473" t="str">
        <f t="shared" si="59"/>
        <v/>
      </c>
      <c r="AR239" s="473" t="str">
        <f t="shared" si="60"/>
        <v/>
      </c>
      <c r="AS239" s="473" t="str">
        <f t="shared" si="61"/>
        <v/>
      </c>
      <c r="AT239" s="473" t="str">
        <f t="shared" si="62"/>
        <v/>
      </c>
      <c r="AU239" s="473" t="str">
        <f t="shared" si="63"/>
        <v/>
      </c>
      <c r="AZ239" s="32" t="s">
        <v>316</v>
      </c>
      <c r="BA239" s="25" t="s">
        <v>6128</v>
      </c>
      <c r="BB239" s="499"/>
      <c r="BC239" s="271"/>
      <c r="BD239" s="279">
        <v>1</v>
      </c>
      <c r="BE239" s="271"/>
      <c r="BF239" s="271"/>
      <c r="BG239" s="271"/>
      <c r="BH239" s="271"/>
      <c r="BI239" s="271"/>
      <c r="BJ239" s="271"/>
      <c r="BK239" s="271"/>
      <c r="BL239" s="271"/>
    </row>
    <row r="240" spans="18:64" ht="21" customHeight="1" x14ac:dyDescent="0.25">
      <c r="R240" s="34" t="s">
        <v>490</v>
      </c>
      <c r="S240" s="451"/>
      <c r="T240" s="31" t="s">
        <v>28</v>
      </c>
      <c r="V240" s="475">
        <v>5</v>
      </c>
      <c r="W240" s="475" t="str">
        <f>IF($AC$240="","",$W$216)</f>
        <v/>
      </c>
      <c r="X240" s="476" t="str">
        <f>IF($AC$240="","",$X$216)</f>
        <v/>
      </c>
      <c r="Y240" s="477" t="str">
        <f>IF($X$240="","",$Y$216)</f>
        <v/>
      </c>
      <c r="Z240" s="477" t="str">
        <f>IF($X$240="","",$Z$216)</f>
        <v/>
      </c>
      <c r="AA240" s="477" t="str">
        <f>IF($AC$240="","",ROW($A$240)-ROW($A$216))</f>
        <v/>
      </c>
      <c r="AB240" s="478"/>
      <c r="AC240" s="34"/>
      <c r="AD240" s="356"/>
      <c r="AE240" s="18"/>
      <c r="AF240" s="19"/>
      <c r="AG240" s="480" t="str">
        <f t="shared" si="52"/>
        <v/>
      </c>
      <c r="AH240" s="481" t="str">
        <f t="shared" si="53"/>
        <v/>
      </c>
      <c r="AI240" s="477" t="str">
        <f>IF($AC$240="","",IFERROR(INDEX($AZ$74:$AZ$119,MATCH($AH$240,$AY$74:$AY$119,0)),"AUTRE"))</f>
        <v/>
      </c>
      <c r="AJ240" s="482" t="str">
        <f>IF($AC$240="","",IFERROR(INDEX($BA$74:$BA$119,MATCH($AH$240,$AY$74:$AY$119,0)),1))</f>
        <v/>
      </c>
      <c r="AK240" s="482" t="str">
        <f t="shared" si="54"/>
        <v/>
      </c>
      <c r="AL240" s="477" t="str">
        <f>IF($AC$240="","",IFERROR(INDEX($BB$74:$BB$119,MATCH($AH$240,$AY$74:$AY$119,0)),$AH$240))</f>
        <v/>
      </c>
      <c r="AM240" s="483" t="str">
        <f t="shared" si="55"/>
        <v/>
      </c>
      <c r="AN240" s="484" t="str">
        <f t="shared" si="56"/>
        <v/>
      </c>
      <c r="AO240" s="473" t="str">
        <f t="shared" si="57"/>
        <v/>
      </c>
      <c r="AP240" s="473" t="str">
        <f t="shared" si="58"/>
        <v/>
      </c>
      <c r="AQ240" s="473" t="str">
        <f t="shared" si="59"/>
        <v/>
      </c>
      <c r="AR240" s="473" t="str">
        <f t="shared" si="60"/>
        <v/>
      </c>
      <c r="AS240" s="473" t="str">
        <f t="shared" si="61"/>
        <v/>
      </c>
      <c r="AT240" s="473" t="str">
        <f t="shared" si="62"/>
        <v/>
      </c>
      <c r="AU240" s="473" t="str">
        <f t="shared" si="63"/>
        <v/>
      </c>
      <c r="AZ240" s="32" t="s">
        <v>313</v>
      </c>
      <c r="BA240" s="34" t="s">
        <v>474</v>
      </c>
      <c r="BB240" s="499"/>
      <c r="BC240" s="271"/>
      <c r="BD240" s="279">
        <v>1</v>
      </c>
      <c r="BE240" s="271"/>
      <c r="BF240" s="271"/>
      <c r="BG240" s="271"/>
      <c r="BH240" s="271"/>
      <c r="BI240" s="271"/>
      <c r="BJ240" s="271"/>
      <c r="BK240" s="271"/>
      <c r="BL240" s="271"/>
    </row>
    <row r="241" spans="18:64" ht="21" customHeight="1" x14ac:dyDescent="0.25">
      <c r="R241" s="34" t="s">
        <v>6129</v>
      </c>
      <c r="S241" s="451"/>
      <c r="T241" s="31" t="s">
        <v>29</v>
      </c>
      <c r="V241" s="475">
        <v>5</v>
      </c>
      <c r="W241" s="475" t="str">
        <f>IF($AC$241="","",$W$216)</f>
        <v/>
      </c>
      <c r="X241" s="476" t="str">
        <f>IF($AC$241="","",$X$216)</f>
        <v/>
      </c>
      <c r="Y241" s="477" t="str">
        <f>IF($X$241="","",$Y$216)</f>
        <v/>
      </c>
      <c r="Z241" s="477" t="str">
        <f>IF($X$241="","",$Z$216)</f>
        <v/>
      </c>
      <c r="AA241" s="477" t="str">
        <f>IF($AC$241="","",ROW($A$241)-ROW($A$216))</f>
        <v/>
      </c>
      <c r="AB241" s="478"/>
      <c r="AC241" s="34"/>
      <c r="AD241" s="356"/>
      <c r="AE241" s="18"/>
      <c r="AF241" s="19"/>
      <c r="AG241" s="480" t="str">
        <f t="shared" si="52"/>
        <v/>
      </c>
      <c r="AH241" s="481" t="str">
        <f t="shared" si="53"/>
        <v/>
      </c>
      <c r="AI241" s="477" t="str">
        <f>IF($AC$241="","",IFERROR(INDEX($AZ$74:$AZ$119,MATCH($AH$241,$AY$74:$AY$119,0)),"AUTRE"))</f>
        <v/>
      </c>
      <c r="AJ241" s="482" t="str">
        <f>IF($AC$241="","",IFERROR(INDEX($BA$74:$BA$119,MATCH($AH$241,$AY$74:$AY$119,0)),1))</f>
        <v/>
      </c>
      <c r="AK241" s="482" t="str">
        <f t="shared" si="54"/>
        <v/>
      </c>
      <c r="AL241" s="477" t="str">
        <f>IF($AC$241="","",IFERROR(INDEX($BB$74:$BB$119,MATCH($AH$241,$AY$74:$AY$119,0)),$AH$241))</f>
        <v/>
      </c>
      <c r="AM241" s="483" t="str">
        <f t="shared" si="55"/>
        <v/>
      </c>
      <c r="AN241" s="484" t="str">
        <f t="shared" si="56"/>
        <v/>
      </c>
      <c r="AO241" s="473" t="str">
        <f t="shared" si="57"/>
        <v/>
      </c>
      <c r="AP241" s="473" t="str">
        <f t="shared" si="58"/>
        <v/>
      </c>
      <c r="AQ241" s="473" t="str">
        <f t="shared" si="59"/>
        <v/>
      </c>
      <c r="AR241" s="473" t="str">
        <f t="shared" si="60"/>
        <v/>
      </c>
      <c r="AS241" s="473" t="str">
        <f t="shared" si="61"/>
        <v/>
      </c>
      <c r="AT241" s="473" t="str">
        <f t="shared" si="62"/>
        <v/>
      </c>
      <c r="AU241" s="473" t="str">
        <f t="shared" si="63"/>
        <v/>
      </c>
      <c r="AZ241" s="32" t="s">
        <v>307</v>
      </c>
      <c r="BA241" s="34" t="s">
        <v>490</v>
      </c>
      <c r="BB241" s="499"/>
      <c r="BC241" s="271"/>
      <c r="BD241" s="279">
        <v>1</v>
      </c>
      <c r="BE241" s="271"/>
      <c r="BF241" s="271"/>
      <c r="BG241" s="271"/>
      <c r="BH241" s="271"/>
      <c r="BI241" s="271"/>
      <c r="BJ241" s="271"/>
      <c r="BK241" s="271"/>
      <c r="BL241" s="271"/>
    </row>
    <row r="242" spans="18:64" ht="21" customHeight="1" x14ac:dyDescent="0.25">
      <c r="R242" s="34" t="s">
        <v>478</v>
      </c>
      <c r="S242" s="451"/>
      <c r="T242" s="31" t="s">
        <v>30</v>
      </c>
      <c r="V242" s="475">
        <v>5</v>
      </c>
      <c r="W242" s="475" t="str">
        <f>IF($AC$242="","",$W$216)</f>
        <v/>
      </c>
      <c r="X242" s="476" t="str">
        <f>IF($AC$242="","",$X$216)</f>
        <v/>
      </c>
      <c r="Y242" s="477" t="str">
        <f>IF($X$242="","",$Y$216)</f>
        <v/>
      </c>
      <c r="Z242" s="477" t="str">
        <f>IF($X$242="","",$Z$216)</f>
        <v/>
      </c>
      <c r="AA242" s="477" t="str">
        <f>IF($AC$242="","",ROW($A$242)-ROW($A$216))</f>
        <v/>
      </c>
      <c r="AB242" s="478"/>
      <c r="AC242" s="34"/>
      <c r="AD242" s="356"/>
      <c r="AE242" s="18"/>
      <c r="AF242" s="19"/>
      <c r="AG242" s="480" t="str">
        <f t="shared" si="52"/>
        <v/>
      </c>
      <c r="AH242" s="481" t="str">
        <f t="shared" si="53"/>
        <v/>
      </c>
      <c r="AI242" s="477" t="str">
        <f>IF($AC$242="","",IFERROR(INDEX($AZ$74:$AZ$119,MATCH($AH$242,$AY$74:$AY$119,0)),"AUTRE"))</f>
        <v/>
      </c>
      <c r="AJ242" s="482" t="str">
        <f>IF($AC$242="","",IFERROR(INDEX($BA$74:$BA$119,MATCH($AH$242,$AY$74:$AY$119,0)),1))</f>
        <v/>
      </c>
      <c r="AK242" s="482" t="str">
        <f t="shared" si="54"/>
        <v/>
      </c>
      <c r="AL242" s="477" t="str">
        <f>IF($AC$242="","",IFERROR(INDEX($BB$74:$BB$119,MATCH($AH$242,$AY$74:$AY$119,0)),$AH$242))</f>
        <v/>
      </c>
      <c r="AM242" s="483" t="str">
        <f t="shared" si="55"/>
        <v/>
      </c>
      <c r="AN242" s="484" t="str">
        <f t="shared" si="56"/>
        <v/>
      </c>
      <c r="AO242" s="473" t="str">
        <f t="shared" si="57"/>
        <v/>
      </c>
      <c r="AP242" s="473" t="str">
        <f t="shared" si="58"/>
        <v/>
      </c>
      <c r="AQ242" s="473" t="str">
        <f t="shared" si="59"/>
        <v/>
      </c>
      <c r="AR242" s="473" t="str">
        <f t="shared" si="60"/>
        <v/>
      </c>
      <c r="AS242" s="473" t="str">
        <f t="shared" si="61"/>
        <v/>
      </c>
      <c r="AT242" s="473" t="str">
        <f t="shared" si="62"/>
        <v/>
      </c>
      <c r="AU242" s="473" t="str">
        <f t="shared" si="63"/>
        <v/>
      </c>
      <c r="AZ242" s="32" t="s">
        <v>322</v>
      </c>
      <c r="BA242" s="34" t="s">
        <v>6129</v>
      </c>
      <c r="BB242" s="499"/>
      <c r="BC242" s="271"/>
      <c r="BD242" s="279">
        <v>1</v>
      </c>
      <c r="BE242" s="271"/>
      <c r="BF242" s="271"/>
      <c r="BG242" s="271"/>
      <c r="BH242" s="271"/>
      <c r="BI242" s="271"/>
      <c r="BJ242" s="271"/>
      <c r="BK242" s="271"/>
      <c r="BL242" s="271"/>
    </row>
    <row r="243" spans="18:64" ht="21" customHeight="1" x14ac:dyDescent="0.25">
      <c r="R243" s="34" t="s">
        <v>6130</v>
      </c>
      <c r="S243" s="451"/>
      <c r="T243" s="31" t="s">
        <v>31</v>
      </c>
      <c r="V243" s="475">
        <v>5</v>
      </c>
      <c r="W243" s="475" t="str">
        <f>IF($AC$243="","",$W$216)</f>
        <v/>
      </c>
      <c r="X243" s="476" t="str">
        <f>IF($AC$243="","",$X$216)</f>
        <v/>
      </c>
      <c r="Y243" s="477" t="str">
        <f>IF($X$243="","",$Y$216)</f>
        <v/>
      </c>
      <c r="Z243" s="477" t="str">
        <f>IF($X$243="","",$Z$216)</f>
        <v/>
      </c>
      <c r="AA243" s="477" t="str">
        <f>IF($AC$243="","",ROW($A$243)-ROW($A$216))</f>
        <v/>
      </c>
      <c r="AB243" s="478"/>
      <c r="AC243" s="34"/>
      <c r="AD243" s="356"/>
      <c r="AE243" s="18"/>
      <c r="AF243" s="19"/>
      <c r="AG243" s="480" t="str">
        <f t="shared" si="52"/>
        <v/>
      </c>
      <c r="AH243" s="481" t="str">
        <f t="shared" si="53"/>
        <v/>
      </c>
      <c r="AI243" s="477" t="str">
        <f>IF($AC$243="","",IFERROR(INDEX($AZ$74:$AZ$119,MATCH($AH$243,$AY$74:$AY$119,0)),"AUTRE"))</f>
        <v/>
      </c>
      <c r="AJ243" s="482" t="str">
        <f>IF($AC$243="","",IFERROR(INDEX($BA$74:$BA$119,MATCH($AH$243,$AY$74:$AY$119,0)),1))</f>
        <v/>
      </c>
      <c r="AK243" s="482" t="str">
        <f t="shared" si="54"/>
        <v/>
      </c>
      <c r="AL243" s="477" t="str">
        <f>IF($AC$243="","",IFERROR(INDEX($BB$74:$BB$119,MATCH($AH$243,$AY$74:$AY$119,0)),$AH$243))</f>
        <v/>
      </c>
      <c r="AM243" s="483" t="str">
        <f t="shared" si="55"/>
        <v/>
      </c>
      <c r="AN243" s="484" t="str">
        <f t="shared" si="56"/>
        <v/>
      </c>
      <c r="AO243" s="473" t="str">
        <f t="shared" si="57"/>
        <v/>
      </c>
      <c r="AP243" s="473" t="str">
        <f t="shared" si="58"/>
        <v/>
      </c>
      <c r="AQ243" s="473" t="str">
        <f t="shared" si="59"/>
        <v/>
      </c>
      <c r="AR243" s="473" t="str">
        <f t="shared" si="60"/>
        <v/>
      </c>
      <c r="AS243" s="473" t="str">
        <f t="shared" si="61"/>
        <v/>
      </c>
      <c r="AT243" s="473" t="str">
        <f t="shared" si="62"/>
        <v/>
      </c>
      <c r="AU243" s="473" t="str">
        <f t="shared" si="63"/>
        <v/>
      </c>
      <c r="AZ243" s="32" t="s">
        <v>305</v>
      </c>
      <c r="BA243" s="34" t="s">
        <v>478</v>
      </c>
      <c r="BB243" s="499"/>
      <c r="BC243" s="271"/>
      <c r="BD243" s="279">
        <v>1</v>
      </c>
      <c r="BE243" s="271"/>
      <c r="BF243" s="271"/>
      <c r="BG243" s="271"/>
      <c r="BH243" s="271"/>
      <c r="BI243" s="271"/>
      <c r="BJ243" s="271"/>
      <c r="BK243" s="271"/>
      <c r="BL243" s="271"/>
    </row>
    <row r="244" spans="18:64" ht="21" customHeight="1" x14ac:dyDescent="0.25">
      <c r="R244" s="34" t="s">
        <v>486</v>
      </c>
      <c r="S244" s="451"/>
      <c r="T244" s="32" t="s">
        <v>33</v>
      </c>
      <c r="V244" s="475">
        <v>5</v>
      </c>
      <c r="W244" s="475" t="str">
        <f>IF($AC$244="","",$W$216)</f>
        <v/>
      </c>
      <c r="X244" s="476" t="str">
        <f>IF($AC$244="","",$X$216)</f>
        <v/>
      </c>
      <c r="Y244" s="477" t="str">
        <f>IF($X$244="","",$Y$216)</f>
        <v/>
      </c>
      <c r="Z244" s="477" t="str">
        <f>IF($X$244="","",$Z$216)</f>
        <v/>
      </c>
      <c r="AA244" s="477" t="str">
        <f>IF($AC$244="","",ROW($A$244)-ROW($A$216))</f>
        <v/>
      </c>
      <c r="AB244" s="478"/>
      <c r="AC244" s="34"/>
      <c r="AD244" s="356"/>
      <c r="AE244" s="18"/>
      <c r="AF244" s="19"/>
      <c r="AG244" s="480" t="str">
        <f t="shared" si="52"/>
        <v/>
      </c>
      <c r="AH244" s="481" t="str">
        <f t="shared" si="53"/>
        <v/>
      </c>
      <c r="AI244" s="477" t="str">
        <f>IF($AC$244="","",IFERROR(INDEX($AZ$74:$AZ$119,MATCH($AH$244,$AY$74:$AY$119,0)),"AUTRE"))</f>
        <v/>
      </c>
      <c r="AJ244" s="482" t="str">
        <f>IF($AC$244="","",IFERROR(INDEX($BA$74:$BA$119,MATCH($AH$244,$AY$74:$AY$119,0)),1))</f>
        <v/>
      </c>
      <c r="AK244" s="482" t="str">
        <f t="shared" si="54"/>
        <v/>
      </c>
      <c r="AL244" s="477" t="str">
        <f>IF($AC$244="","",IFERROR(INDEX($BB$74:$BB$119,MATCH($AH$244,$AY$74:$AY$119,0)),$AH$244))</f>
        <v/>
      </c>
      <c r="AM244" s="483" t="str">
        <f t="shared" si="55"/>
        <v/>
      </c>
      <c r="AN244" s="484" t="str">
        <f t="shared" si="56"/>
        <v/>
      </c>
      <c r="AO244" s="473" t="str">
        <f t="shared" si="57"/>
        <v/>
      </c>
      <c r="AP244" s="473" t="str">
        <f t="shared" si="58"/>
        <v/>
      </c>
      <c r="AQ244" s="473" t="str">
        <f t="shared" si="59"/>
        <v/>
      </c>
      <c r="AR244" s="473" t="str">
        <f t="shared" si="60"/>
        <v/>
      </c>
      <c r="AS244" s="473" t="str">
        <f t="shared" si="61"/>
        <v/>
      </c>
      <c r="AT244" s="473" t="str">
        <f t="shared" si="62"/>
        <v/>
      </c>
      <c r="AU244" s="473" t="str">
        <f t="shared" si="63"/>
        <v/>
      </c>
      <c r="AY244" s="271"/>
      <c r="AZ244" s="32" t="s">
        <v>8129</v>
      </c>
      <c r="BA244" s="34" t="s">
        <v>6130</v>
      </c>
      <c r="BB244" s="499"/>
      <c r="BC244" s="271"/>
      <c r="BD244" s="279">
        <v>1</v>
      </c>
      <c r="BE244" s="271"/>
      <c r="BF244" s="271"/>
      <c r="BG244" s="271"/>
      <c r="BH244" s="271"/>
      <c r="BI244" s="271"/>
      <c r="BJ244" s="271"/>
      <c r="BK244" s="271"/>
      <c r="BL244" s="271"/>
    </row>
    <row r="245" spans="18:64" ht="21" customHeight="1" x14ac:dyDescent="0.25">
      <c r="R245" s="34" t="s">
        <v>479</v>
      </c>
      <c r="S245" s="451"/>
      <c r="T245" s="32" t="s">
        <v>8125</v>
      </c>
      <c r="V245" s="475">
        <v>5</v>
      </c>
      <c r="W245" s="475" t="str">
        <f>IF($AC$245="","",$W$216)</f>
        <v/>
      </c>
      <c r="X245" s="476" t="str">
        <f>IF($AC$245="","",$X$216)</f>
        <v/>
      </c>
      <c r="Y245" s="477" t="str">
        <f>IF($X$245="","",$Y$216)</f>
        <v/>
      </c>
      <c r="Z245" s="477" t="str">
        <f>IF($X$245="","",$Z$216)</f>
        <v/>
      </c>
      <c r="AA245" s="477" t="str">
        <f>IF($AC$245="","",ROW($A$245)-ROW($A$216))</f>
        <v/>
      </c>
      <c r="AB245" s="478"/>
      <c r="AC245" s="34"/>
      <c r="AD245" s="356"/>
      <c r="AE245" s="18"/>
      <c r="AF245" s="19"/>
      <c r="AG245" s="480" t="str">
        <f t="shared" si="52"/>
        <v/>
      </c>
      <c r="AH245" s="481" t="str">
        <f t="shared" si="53"/>
        <v/>
      </c>
      <c r="AI245" s="477" t="str">
        <f>IF($AC$245="","",IFERROR(INDEX($AZ$74:$AZ$119,MATCH($AH$245,$AY$74:$AY$119,0)),"AUTRE"))</f>
        <v/>
      </c>
      <c r="AJ245" s="482" t="str">
        <f>IF($AC$245="","",IFERROR(INDEX($BA$74:$BA$119,MATCH($AH$245,$AY$74:$AY$119,0)),1))</f>
        <v/>
      </c>
      <c r="AK245" s="482" t="str">
        <f t="shared" si="54"/>
        <v/>
      </c>
      <c r="AL245" s="477" t="str">
        <f>IF($AC$245="","",IFERROR(INDEX($BB$74:$BB$119,MATCH($AH$245,$AY$74:$AY$119,0)),$AH$245))</f>
        <v/>
      </c>
      <c r="AM245" s="483" t="str">
        <f t="shared" si="55"/>
        <v/>
      </c>
      <c r="AN245" s="484" t="str">
        <f t="shared" si="56"/>
        <v/>
      </c>
      <c r="AO245" s="473" t="str">
        <f t="shared" si="57"/>
        <v/>
      </c>
      <c r="AP245" s="473" t="str">
        <f t="shared" si="58"/>
        <v/>
      </c>
      <c r="AQ245" s="473" t="str">
        <f t="shared" si="59"/>
        <v/>
      </c>
      <c r="AR245" s="473" t="str">
        <f t="shared" si="60"/>
        <v/>
      </c>
      <c r="AS245" s="473" t="str">
        <f t="shared" si="61"/>
        <v/>
      </c>
      <c r="AT245" s="473" t="str">
        <f t="shared" si="62"/>
        <v/>
      </c>
      <c r="AU245" s="473" t="str">
        <f t="shared" si="63"/>
        <v/>
      </c>
      <c r="AY245" s="497" t="s">
        <v>8145</v>
      </c>
      <c r="AZ245" s="32" t="s">
        <v>8131</v>
      </c>
      <c r="BA245" s="34" t="s">
        <v>486</v>
      </c>
      <c r="BB245" s="499"/>
      <c r="BC245" s="271"/>
      <c r="BD245" s="279">
        <v>1</v>
      </c>
      <c r="BE245" s="271"/>
      <c r="BF245" s="271"/>
      <c r="BG245" s="271"/>
      <c r="BH245" s="271"/>
      <c r="BI245" s="271"/>
      <c r="BJ245" s="271"/>
      <c r="BK245" s="271"/>
      <c r="BL245" s="271"/>
    </row>
    <row r="246" spans="18:64" ht="21" customHeight="1" x14ac:dyDescent="0.25">
      <c r="R246" s="34" t="s">
        <v>6131</v>
      </c>
      <c r="S246" s="451"/>
      <c r="T246" s="32" t="s">
        <v>8127</v>
      </c>
      <c r="V246" s="475">
        <v>5</v>
      </c>
      <c r="W246" s="475" t="str">
        <f>IF($AC$246="","",$W$216)</f>
        <v/>
      </c>
      <c r="X246" s="476" t="str">
        <f>IF($AC$246="","",$X$216)</f>
        <v/>
      </c>
      <c r="Y246" s="477" t="str">
        <f>IF($X$246="","",$Y$216)</f>
        <v/>
      </c>
      <c r="Z246" s="477" t="str">
        <f>IF($X$246="","",$Z$216)</f>
        <v/>
      </c>
      <c r="AA246" s="477" t="str">
        <f>IF($AC$246="","",ROW($A$246)-ROW($A$216))</f>
        <v/>
      </c>
      <c r="AB246" s="478"/>
      <c r="AC246" s="34"/>
      <c r="AD246" s="356"/>
      <c r="AE246" s="18"/>
      <c r="AF246" s="19"/>
      <c r="AG246" s="480" t="str">
        <f t="shared" si="52"/>
        <v/>
      </c>
      <c r="AH246" s="481" t="str">
        <f t="shared" si="53"/>
        <v/>
      </c>
      <c r="AI246" s="477" t="str">
        <f>IF($AC$246="","",IFERROR(INDEX($AZ$74:$AZ$119,MATCH($AH$246,$AY$74:$AY$119,0)),"AUTRE"))</f>
        <v/>
      </c>
      <c r="AJ246" s="482" t="str">
        <f>IF($AC$246="","",IFERROR(INDEX($BA$74:$BA$119,MATCH($AH$246,$AY$74:$AY$119,0)),1))</f>
        <v/>
      </c>
      <c r="AK246" s="482" t="str">
        <f t="shared" si="54"/>
        <v/>
      </c>
      <c r="AL246" s="477" t="str">
        <f>IF($AC$246="","",IFERROR(INDEX($BB$74:$BB$119,MATCH($AH$246,$AY$74:$AY$119,0)),$AH$246))</f>
        <v/>
      </c>
      <c r="AM246" s="483" t="str">
        <f t="shared" si="55"/>
        <v/>
      </c>
      <c r="AN246" s="484" t="str">
        <f t="shared" si="56"/>
        <v/>
      </c>
      <c r="AO246" s="473" t="str">
        <f t="shared" si="57"/>
        <v/>
      </c>
      <c r="AP246" s="473" t="str">
        <f t="shared" si="58"/>
        <v/>
      </c>
      <c r="AQ246" s="473" t="str">
        <f t="shared" si="59"/>
        <v/>
      </c>
      <c r="AR246" s="473" t="str">
        <f t="shared" si="60"/>
        <v/>
      </c>
      <c r="AS246" s="473" t="str">
        <f t="shared" si="61"/>
        <v/>
      </c>
      <c r="AT246" s="473" t="str">
        <f t="shared" si="62"/>
        <v/>
      </c>
      <c r="AU246" s="473" t="str">
        <f t="shared" si="63"/>
        <v/>
      </c>
      <c r="AY246" s="497" t="s">
        <v>462</v>
      </c>
      <c r="AZ246" s="32" t="s">
        <v>309</v>
      </c>
      <c r="BA246" s="34" t="s">
        <v>479</v>
      </c>
      <c r="BB246" s="499"/>
      <c r="BC246" s="271"/>
      <c r="BD246" s="279">
        <v>1</v>
      </c>
      <c r="BE246" s="271"/>
      <c r="BF246" s="271"/>
      <c r="BG246" s="271"/>
      <c r="BH246" s="271"/>
      <c r="BI246" s="271"/>
      <c r="BJ246" s="271"/>
      <c r="BK246" s="271"/>
      <c r="BL246" s="271"/>
    </row>
    <row r="247" spans="18:64" ht="21" customHeight="1" x14ac:dyDescent="0.25">
      <c r="R247" s="34" t="s">
        <v>485</v>
      </c>
      <c r="S247" s="451"/>
      <c r="T247" s="32" t="s">
        <v>320</v>
      </c>
      <c r="V247" s="475">
        <v>5</v>
      </c>
      <c r="W247" s="475" t="str">
        <f>IF($AC$247="","",$W$216)</f>
        <v>N° 49</v>
      </c>
      <c r="X247" s="476" t="str">
        <f>IF($AC$247="","",$X$216)</f>
        <v>ŒUFS A LA TRIPE*</v>
      </c>
      <c r="Y247" s="477">
        <f>IF($X$247="","",$Y$216)</f>
        <v>66</v>
      </c>
      <c r="Z247" s="477">
        <f>IF($X$247="","",$Z$216)</f>
        <v>100</v>
      </c>
      <c r="AA247" s="477">
        <f>IF($AC$247="","",ROW($A$247)-ROW($A$216))</f>
        <v>31</v>
      </c>
      <c r="AB247" s="478"/>
      <c r="AC247" s="34" t="s">
        <v>477</v>
      </c>
      <c r="AD247" s="356"/>
      <c r="AE247" s="18">
        <v>4</v>
      </c>
      <c r="AF247" s="33" t="s">
        <v>462</v>
      </c>
      <c r="AG247" s="480">
        <f t="shared" si="52"/>
        <v>4</v>
      </c>
      <c r="AH247" s="481" t="str">
        <f t="shared" si="53"/>
        <v>BAC(S)</v>
      </c>
      <c r="AI247" s="477" t="str">
        <f>IF($AC$247="","",IFERROR(INDEX($AZ$74:$AZ$119,MATCH($AH$247,$AY$74:$AY$119,0)),"AUTRE"))</f>
        <v>AUTRE</v>
      </c>
      <c r="AJ247" s="482">
        <f>IF($AC$247="","",IFERROR(INDEX($BA$74:$BA$119,MATCH($AH$247,$AY$74:$AY$119,0)),1))</f>
        <v>1</v>
      </c>
      <c r="AK247" s="482">
        <f t="shared" si="54"/>
        <v>4</v>
      </c>
      <c r="AL247" s="477" t="str">
        <f>IF($AC$247="","",IFERROR(INDEX($BB$74:$BB$119,MATCH($AH$247,$AY$74:$AY$119,0)),$AH$247))</f>
        <v>bac(s)</v>
      </c>
      <c r="AM247" s="483" t="str">
        <f t="shared" si="55"/>
        <v>OK</v>
      </c>
      <c r="AN247" s="484">
        <f t="shared" si="56"/>
        <v>4</v>
      </c>
      <c r="AO247" s="473" t="str">
        <f t="shared" si="57"/>
        <v/>
      </c>
      <c r="AP247" s="473" t="str">
        <f t="shared" si="58"/>
        <v/>
      </c>
      <c r="AQ247" s="473" t="str">
        <f t="shared" si="59"/>
        <v/>
      </c>
      <c r="AR247" s="473" t="str">
        <f t="shared" si="60"/>
        <v/>
      </c>
      <c r="AS247" s="473" t="str">
        <f t="shared" si="61"/>
        <v/>
      </c>
      <c r="AT247" s="473" t="str">
        <f t="shared" si="62"/>
        <v/>
      </c>
      <c r="AU247" s="473" t="str">
        <f t="shared" si="63"/>
        <v/>
      </c>
      <c r="AY247" s="497" t="s">
        <v>463</v>
      </c>
      <c r="AZ247" s="32" t="s">
        <v>311</v>
      </c>
      <c r="BA247" s="34" t="s">
        <v>6131</v>
      </c>
      <c r="BB247" s="499"/>
      <c r="BC247" s="271"/>
      <c r="BD247" s="279">
        <v>1</v>
      </c>
      <c r="BE247" s="271"/>
      <c r="BF247" s="271"/>
      <c r="BG247" s="271"/>
      <c r="BH247" s="271"/>
      <c r="BI247" s="271"/>
      <c r="BJ247" s="271"/>
      <c r="BK247" s="271"/>
      <c r="BL247" s="271"/>
    </row>
    <row r="248" spans="18:64" ht="21" customHeight="1" x14ac:dyDescent="0.25">
      <c r="R248" s="34" t="s">
        <v>6132</v>
      </c>
      <c r="S248" s="451"/>
      <c r="T248" s="32" t="s">
        <v>318</v>
      </c>
      <c r="V248" s="475">
        <v>5</v>
      </c>
      <c r="W248" s="475" t="str">
        <f>IF($AC$248="","",$W$216)</f>
        <v>N° 49</v>
      </c>
      <c r="X248" s="476" t="str">
        <f>IF($AC$248="","",$X$216)</f>
        <v>ŒUFS A LA TRIPE*</v>
      </c>
      <c r="Y248" s="477">
        <f>IF($X$248="","",$Y$216)</f>
        <v>66</v>
      </c>
      <c r="Z248" s="477">
        <f>IF($X$248="","",$Z$216)</f>
        <v>100</v>
      </c>
      <c r="AA248" s="477">
        <f>IF($AC$248="","",ROW($A$248)-ROW($A$216))</f>
        <v>32</v>
      </c>
      <c r="AB248" s="478"/>
      <c r="AC248" s="34" t="s">
        <v>479</v>
      </c>
      <c r="AD248" s="356"/>
      <c r="AE248" s="18">
        <v>4</v>
      </c>
      <c r="AF248" s="33" t="s">
        <v>462</v>
      </c>
      <c r="AG248" s="480">
        <f t="shared" si="52"/>
        <v>4</v>
      </c>
      <c r="AH248" s="481" t="str">
        <f t="shared" si="53"/>
        <v>BAC(S)</v>
      </c>
      <c r="AI248" s="477" t="str">
        <f>IF($AC$248="","",IFERROR(INDEX($AZ$74:$AZ$119,MATCH($AH$248,$AY$74:$AY$119,0)),"AUTRE"))</f>
        <v>AUTRE</v>
      </c>
      <c r="AJ248" s="482">
        <f>IF($AC$248="","",IFERROR(INDEX($BA$74:$BA$119,MATCH($AH$248,$AY$74:$AY$119,0)),1))</f>
        <v>1</v>
      </c>
      <c r="AK248" s="482">
        <f t="shared" si="54"/>
        <v>4</v>
      </c>
      <c r="AL248" s="477" t="str">
        <f>IF($AC$248="","",IFERROR(INDEX($BB$74:$BB$119,MATCH($AH$248,$AY$74:$AY$119,0)),$AH$248))</f>
        <v>bac(s)</v>
      </c>
      <c r="AM248" s="483" t="str">
        <f t="shared" si="55"/>
        <v>OK</v>
      </c>
      <c r="AN248" s="484">
        <f t="shared" si="56"/>
        <v>4</v>
      </c>
      <c r="AO248" s="473" t="str">
        <f t="shared" si="57"/>
        <v/>
      </c>
      <c r="AP248" s="473" t="str">
        <f t="shared" si="58"/>
        <v/>
      </c>
      <c r="AQ248" s="473" t="str">
        <f t="shared" si="59"/>
        <v/>
      </c>
      <c r="AR248" s="473" t="str">
        <f t="shared" si="60"/>
        <v/>
      </c>
      <c r="AS248" s="473" t="str">
        <f t="shared" si="61"/>
        <v/>
      </c>
      <c r="AT248" s="473" t="str">
        <f t="shared" si="62"/>
        <v/>
      </c>
      <c r="AU248" s="473" t="str">
        <f t="shared" si="63"/>
        <v/>
      </c>
      <c r="AY248" s="497" t="s">
        <v>8147</v>
      </c>
      <c r="AZ248" s="32" t="s">
        <v>8135</v>
      </c>
      <c r="BA248" s="34" t="s">
        <v>485</v>
      </c>
      <c r="BB248" s="499"/>
      <c r="BC248" s="271"/>
      <c r="BD248" s="279">
        <v>1</v>
      </c>
      <c r="BE248" s="271"/>
      <c r="BF248" s="271"/>
      <c r="BG248" s="271"/>
      <c r="BH248" s="271"/>
      <c r="BI248" s="271"/>
      <c r="BJ248" s="271"/>
      <c r="BK248" s="271"/>
      <c r="BL248" s="271"/>
    </row>
    <row r="249" spans="18:64" ht="21" customHeight="1" x14ac:dyDescent="0.25">
      <c r="R249" s="25" t="s">
        <v>6133</v>
      </c>
      <c r="S249" s="451"/>
      <c r="T249" s="32" t="s">
        <v>316</v>
      </c>
      <c r="V249" s="475">
        <v>5</v>
      </c>
      <c r="W249" s="475" t="str">
        <f>IF($AC$249="","",$W$216)</f>
        <v>N° 49</v>
      </c>
      <c r="X249" s="476" t="str">
        <f>IF($AC$249="","",$X$216)</f>
        <v>ŒUFS A LA TRIPE*</v>
      </c>
      <c r="Y249" s="477">
        <f>IF($X$249="","",$Y$216)</f>
        <v>66</v>
      </c>
      <c r="Z249" s="477">
        <f>IF($X$249="","",$Z$216)</f>
        <v>100</v>
      </c>
      <c r="AA249" s="477">
        <f>IF($AC$249="","",ROW($A$249)-ROW($A$216))</f>
        <v>33</v>
      </c>
      <c r="AB249" s="478"/>
      <c r="AC249" s="34" t="s">
        <v>472</v>
      </c>
      <c r="AD249" s="356"/>
      <c r="AE249" s="18">
        <v>1</v>
      </c>
      <c r="AF249" s="33" t="s">
        <v>462</v>
      </c>
      <c r="AG249" s="480">
        <f t="shared" si="52"/>
        <v>1</v>
      </c>
      <c r="AH249" s="481" t="str">
        <f t="shared" si="53"/>
        <v>BAC(S)</v>
      </c>
      <c r="AI249" s="477" t="str">
        <f>IF($AC$249="","",IFERROR(INDEX($AZ$74:$AZ$119,MATCH($AH$249,$AY$74:$AY$119,0)),"AUTRE"))</f>
        <v>AUTRE</v>
      </c>
      <c r="AJ249" s="482">
        <f>IF($AC$249="","",IFERROR(INDEX($BA$74:$BA$119,MATCH($AH$249,$AY$74:$AY$119,0)),1))</f>
        <v>1</v>
      </c>
      <c r="AK249" s="482">
        <f t="shared" si="54"/>
        <v>1</v>
      </c>
      <c r="AL249" s="477" t="str">
        <f>IF($AC$249="","",IFERROR(INDEX($BB$74:$BB$119,MATCH($AH$249,$AY$74:$AY$119,0)),$AH$249))</f>
        <v>bac(s)</v>
      </c>
      <c r="AM249" s="483" t="str">
        <f t="shared" si="55"/>
        <v>OK</v>
      </c>
      <c r="AN249" s="484">
        <f t="shared" si="56"/>
        <v>1</v>
      </c>
      <c r="AO249" s="473" t="str">
        <f t="shared" si="57"/>
        <v/>
      </c>
      <c r="AP249" s="473" t="str">
        <f t="shared" si="58"/>
        <v/>
      </c>
      <c r="AQ249" s="473" t="str">
        <f t="shared" si="59"/>
        <v/>
      </c>
      <c r="AR249" s="473" t="str">
        <f t="shared" si="60"/>
        <v/>
      </c>
      <c r="AS249" s="473" t="str">
        <f t="shared" si="61"/>
        <v/>
      </c>
      <c r="AT249" s="473" t="str">
        <f t="shared" si="62"/>
        <v/>
      </c>
      <c r="AU249" s="473" t="str">
        <f t="shared" si="63"/>
        <v/>
      </c>
      <c r="AY249" s="497" t="s">
        <v>465</v>
      </c>
      <c r="AZ249" s="32" t="s">
        <v>8137</v>
      </c>
      <c r="BA249" s="34" t="s">
        <v>6132</v>
      </c>
      <c r="BB249" s="499"/>
      <c r="BC249" s="271"/>
      <c r="BD249" s="279">
        <v>1</v>
      </c>
      <c r="BE249" s="271"/>
      <c r="BF249" s="271"/>
      <c r="BG249" s="271"/>
      <c r="BH249" s="271"/>
      <c r="BI249" s="271"/>
      <c r="BJ249" s="271"/>
      <c r="BK249" s="271"/>
      <c r="BL249" s="271"/>
    </row>
    <row r="250" spans="18:64" ht="21" customHeight="1" x14ac:dyDescent="0.25">
      <c r="R250" s="34" t="s">
        <v>476</v>
      </c>
      <c r="S250" s="451"/>
      <c r="T250" s="32" t="s">
        <v>313</v>
      </c>
      <c r="V250" s="475">
        <v>5</v>
      </c>
      <c r="W250" s="475" t="str">
        <f>IF($AC$250="","",$W$216)</f>
        <v>N° 49</v>
      </c>
      <c r="X250" s="476" t="str">
        <f>IF($AC$250="","",$X$216)</f>
        <v>ŒUFS A LA TRIPE*</v>
      </c>
      <c r="Y250" s="477">
        <f>IF($X$250="","",$Y$216)</f>
        <v>66</v>
      </c>
      <c r="Z250" s="477">
        <f>IF($X$250="","",$Z$216)</f>
        <v>100</v>
      </c>
      <c r="AA250" s="477">
        <f>IF($AC$250="","",ROW($A$250)-ROW($A$216))</f>
        <v>34</v>
      </c>
      <c r="AB250" s="478"/>
      <c r="AC250" s="34" t="s">
        <v>457</v>
      </c>
      <c r="AD250" s="356"/>
      <c r="AE250" s="18">
        <v>6</v>
      </c>
      <c r="AF250" s="33" t="s">
        <v>465</v>
      </c>
      <c r="AG250" s="491">
        <f t="shared" si="52"/>
        <v>6</v>
      </c>
      <c r="AH250" s="481" t="str">
        <f t="shared" si="53"/>
        <v>GRILLE(S)</v>
      </c>
      <c r="AI250" s="477" t="str">
        <f>IF($AC$250="","",IFERROR(INDEX($AZ$74:$AZ$119,MATCH($AH$250,$AY$74:$AY$119,0)),"AUTRE"))</f>
        <v>AUTRE</v>
      </c>
      <c r="AJ250" s="482">
        <f>IF($AC$250="","",IFERROR(INDEX($BA$74:$BA$119,MATCH($AH$250,$AY$74:$AY$119,0)),1))</f>
        <v>1</v>
      </c>
      <c r="AK250" s="482">
        <f t="shared" si="54"/>
        <v>6</v>
      </c>
      <c r="AL250" s="477" t="str">
        <f>IF($AC$250="","",IFERROR(INDEX($BB$74:$BB$119,MATCH($AH$250,$AY$74:$AY$119,0)),$AH$250))</f>
        <v>grille(s)</v>
      </c>
      <c r="AM250" s="483" t="str">
        <f t="shared" si="55"/>
        <v>OK</v>
      </c>
      <c r="AN250" s="484">
        <f t="shared" si="56"/>
        <v>6</v>
      </c>
      <c r="AO250" s="473" t="str">
        <f t="shared" si="57"/>
        <v/>
      </c>
      <c r="AP250" s="473" t="str">
        <f t="shared" si="58"/>
        <v/>
      </c>
      <c r="AQ250" s="473" t="str">
        <f t="shared" si="59"/>
        <v/>
      </c>
      <c r="AR250" s="473" t="str">
        <f t="shared" si="60"/>
        <v/>
      </c>
      <c r="AS250" s="473" t="str">
        <f t="shared" si="61"/>
        <v/>
      </c>
      <c r="AT250" s="473" t="str">
        <f t="shared" si="62"/>
        <v/>
      </c>
      <c r="AU250" s="473" t="str">
        <f t="shared" si="63"/>
        <v/>
      </c>
      <c r="AY250" s="497" t="s">
        <v>466</v>
      </c>
      <c r="AZ250" s="32" t="s">
        <v>8139</v>
      </c>
      <c r="BA250" s="25" t="s">
        <v>6133</v>
      </c>
      <c r="BB250" s="499"/>
      <c r="BC250" s="271"/>
      <c r="BD250" s="279">
        <v>1</v>
      </c>
      <c r="BE250" s="271"/>
      <c r="BF250" s="271"/>
      <c r="BG250" s="271"/>
      <c r="BH250" s="271"/>
      <c r="BI250" s="271"/>
      <c r="BJ250" s="271"/>
      <c r="BK250" s="271"/>
      <c r="BL250" s="271"/>
    </row>
    <row r="251" spans="18:64" ht="30" customHeight="1" x14ac:dyDescent="0.25">
      <c r="R251" s="34" t="s">
        <v>468</v>
      </c>
      <c r="S251" s="451"/>
      <c r="T251" s="32" t="s">
        <v>307</v>
      </c>
      <c r="V251" s="453" t="s">
        <v>324</v>
      </c>
      <c r="W251" s="453" t="s">
        <v>7912</v>
      </c>
      <c r="X251" s="453" t="s">
        <v>326</v>
      </c>
      <c r="Y251" s="453" t="s">
        <v>327</v>
      </c>
      <c r="Z251" s="454" t="s">
        <v>7930</v>
      </c>
      <c r="AA251" s="453" t="s">
        <v>7937</v>
      </c>
      <c r="AB251" s="455" t="s">
        <v>39</v>
      </c>
      <c r="AC251" s="455" t="s">
        <v>338</v>
      </c>
      <c r="AD251" s="455" t="s">
        <v>8114</v>
      </c>
      <c r="AE251" s="455" t="s">
        <v>339</v>
      </c>
      <c r="AF251" s="455" t="s">
        <v>7997</v>
      </c>
      <c r="AG251" s="453" t="s">
        <v>8018</v>
      </c>
      <c r="AH251" s="453" t="s">
        <v>8023</v>
      </c>
      <c r="AI251" s="453" t="s">
        <v>330</v>
      </c>
      <c r="AJ251" s="453" t="s">
        <v>8031</v>
      </c>
      <c r="AK251" s="453" t="s">
        <v>8037</v>
      </c>
      <c r="AL251" s="453" t="s">
        <v>8041</v>
      </c>
      <c r="AM251" s="453" t="s">
        <v>343</v>
      </c>
      <c r="AN251" s="457" t="s">
        <v>8115</v>
      </c>
      <c r="AO251" s="457" t="s">
        <v>8116</v>
      </c>
      <c r="AP251" s="656" t="s">
        <v>8117</v>
      </c>
      <c r="AQ251" s="656"/>
      <c r="AR251" s="656"/>
      <c r="AS251" s="656"/>
      <c r="AT251" s="656"/>
      <c r="AU251" s="657"/>
      <c r="AZ251" s="32" t="s">
        <v>8141</v>
      </c>
      <c r="BA251" s="34" t="s">
        <v>476</v>
      </c>
      <c r="BB251" s="499"/>
      <c r="BC251" s="271"/>
      <c r="BD251" s="279">
        <v>1</v>
      </c>
      <c r="BE251" s="271"/>
      <c r="BF251" s="271"/>
      <c r="BG251" s="271"/>
      <c r="BH251" s="271"/>
      <c r="BI251" s="271"/>
      <c r="BJ251" s="271"/>
      <c r="BK251" s="271"/>
      <c r="BL251" s="271"/>
    </row>
    <row r="252" spans="18:64" ht="30" customHeight="1" x14ac:dyDescent="0.25">
      <c r="R252" s="34" t="s">
        <v>473</v>
      </c>
      <c r="S252" s="451"/>
      <c r="T252" s="32" t="s">
        <v>322</v>
      </c>
      <c r="V252" s="459">
        <v>6</v>
      </c>
      <c r="W252" s="460" t="s">
        <v>291</v>
      </c>
      <c r="X252" s="461" t="s">
        <v>395</v>
      </c>
      <c r="Y252" s="462">
        <v>67</v>
      </c>
      <c r="Z252" s="463">
        <v>100</v>
      </c>
      <c r="AA252" s="464">
        <f>IF($AC$396="","",ROW($A$396)-ROW($A$396))</f>
        <v>0</v>
      </c>
      <c r="AB252" s="461"/>
      <c r="AC252" s="465" t="s">
        <v>391</v>
      </c>
      <c r="AD252" s="390"/>
      <c r="AE252" s="13">
        <v>20</v>
      </c>
      <c r="AF252" s="6" t="s">
        <v>9</v>
      </c>
      <c r="AG252" s="467">
        <f t="shared" ref="AG252:AG286" si="64">IF($AC252="","",IF(LEN($AN252&amp;"")=0,"",$AN252))</f>
        <v>20</v>
      </c>
      <c r="AH252" s="468" t="str">
        <f t="shared" ref="AH252:AH286" si="65">IF($AC252="","",IF($AF252&lt;&gt;"",UPPER(TRIM(SUBSTITUTE(SUBSTITUTE($AF252&amp;"",CHAR(160)," ")," "," "))),$AP252))</f>
        <v>L</v>
      </c>
      <c r="AI252" s="469" t="str">
        <f>IF($AC$252="","",IFERROR(INDEX($AZ$74:$AZ$119,MATCH($AH$252,$AY$74:$AY$119,0)),"AUTRE"))</f>
        <v>VOLUME</v>
      </c>
      <c r="AJ252" s="470">
        <f>IF($AC$252="","",IFERROR(INDEX($BA$74:$BA$119,MATCH($AH$252,$AY$74:$AY$119,0)),1))</f>
        <v>1</v>
      </c>
      <c r="AK252" s="470">
        <f t="shared" ref="AK252:AK315" si="66">IF(OR(AG252="",AJ252=""),"",AG252*AJ252)</f>
        <v>20</v>
      </c>
      <c r="AL252" s="469" t="str">
        <f>IF($AC$252="","",IFERROR(INDEX($BB$74:$BB$119,MATCH($AH$252,$AY$74:$AY$119,0)),$AH$252))</f>
        <v>L</v>
      </c>
      <c r="AM252" s="471" t="str">
        <f t="shared" ref="AM252:AM286" si="67">IF($AC252="","",IF($AH252="QT. SUFFISANTE","OK",IF($AG252="","TEXTE",IF(NOT(ISNUMBER($AG252)),"QUANTITÉ À CONTRÔLER",IF(COUNTIF($AY$74:$AY$119,$AH252)=0,"UNITÉ À CONTRÔLER","OK")))))</f>
        <v>OK</v>
      </c>
      <c r="AN252" s="474">
        <f t="shared" ref="AN252:AN286" si="68">IF($AE252&lt;&gt;"",$AE252,IF($AD252="","",IF(ISNUMBER($AD252),$AD252,IF($AO252="QT",0,IF($AO252="","",IFERROR(IF(ISNUMBER(SEARCH("/",$AO252)),VALUE(TRIM(LEFT($AO252,SEARCH("/",$AO252)-1)))/VALUE(TRIM(MID($AO252,SEARCH("/",$AO252)+1,99))),VALUE(SUBSTITUTE($AO252,".",","))),""))))))</f>
        <v>20</v>
      </c>
      <c r="AO252" s="473" t="str">
        <f t="shared" ref="AO252:AO286" si="69">IF($AD252="","",IF(ISNUMBER($AD252),$AD252,IF(OR(LEFT($AQ252,3)="QT.",LEFT($AQ252,4)="QUAN"),"QT",IF($AR252=999,$AQ252,TRIM(LEFT($AQ252,$AR252-1))))))</f>
        <v/>
      </c>
      <c r="AP252" s="473" t="str">
        <f t="shared" ref="AP252:AP286" si="70">IF($AD252="","",IF(ISNUMBER($AD252),"",IF(OR(LEFT($AQ252,3)="QT.",LEFT($AQ252,4)="QUAN"),"QT. SUFFISANTE",IF($AO252="","",TRIM(MID($AQ252,LEN($AO252&amp;"")+1,999))))))</f>
        <v/>
      </c>
      <c r="AQ252" s="473" t="str">
        <f t="shared" ref="AQ252:AQ286" si="71">IF($AD252="","",UPPER(TRIM(SUBSTITUTE(SUBSTITUTE($AD252&amp;"",CHAR(160)," ")," "," "))))</f>
        <v/>
      </c>
      <c r="AR252" s="473" t="str">
        <f t="shared" ref="AR252:AR286" si="72">IF($AQ252="","",MIN($AS252,$AT252,$AU252))</f>
        <v/>
      </c>
      <c r="AS252" s="473" t="str">
        <f t="shared" ref="AS252:AS286" si="73">IF($AQ252="","",MIN(IFERROR(SEARCH("A",$AQ252),999),IFERROR(SEARCH("B",$AQ252),999),IFERROR(SEARCH("C",$AQ252),999),IFERROR(SEARCH("D",$AQ252),999),IFERROR(SEARCH("E",$AQ252),999),IFERROR(SEARCH("F",$AQ252),999),IFERROR(SEARCH("G",$AQ252),999),IFERROR(SEARCH("H",$AQ252),999),IFERROR(SEARCH("I",$AQ252),999)))</f>
        <v/>
      </c>
      <c r="AT252" s="473" t="str">
        <f t="shared" ref="AT252:AT286" si="74">IF($AQ252="","",MIN(IFERROR(SEARCH("J",$AQ252),999),IFERROR(SEARCH("K",$AQ252),999),IFERROR(SEARCH("L",$AQ252),999),IFERROR(SEARCH("M",$AQ252),999),IFERROR(SEARCH("N",$AQ252),999),IFERROR(SEARCH("O",$AQ252),999),IFERROR(SEARCH("P",$AQ252),999),IFERROR(SEARCH("Q",$AQ252),999),IFERROR(SEARCH("R",$AQ252),999)))</f>
        <v/>
      </c>
      <c r="AU252" s="473" t="str">
        <f t="shared" ref="AU252:AU286" si="75">IF($AQ252="","",MIN(IFERROR(SEARCH("S",$AQ252),999),IFERROR(SEARCH("T",$AQ252),999),IFERROR(SEARCH("U",$AQ252),999),IFERROR(SEARCH("V",$AQ252),999),IFERROR(SEARCH("W",$AQ252),999),IFERROR(SEARCH("X",$AQ252),999),IFERROR(SEARCH("Y",$AQ252),999),IFERROR(SEARCH("Z",$AQ252),999)))</f>
        <v/>
      </c>
      <c r="AZ252" s="32" t="s">
        <v>8143</v>
      </c>
      <c r="BA252" s="34" t="s">
        <v>468</v>
      </c>
      <c r="BB252" s="499"/>
      <c r="BC252" s="271"/>
      <c r="BD252" s="279">
        <v>1</v>
      </c>
      <c r="BE252" s="271"/>
      <c r="BF252" s="271"/>
      <c r="BG252" s="271"/>
      <c r="BH252" s="271"/>
      <c r="BI252" s="271"/>
      <c r="BJ252" s="271"/>
      <c r="BK252" s="271"/>
      <c r="BL252" s="271"/>
    </row>
    <row r="253" spans="18:64" ht="21" customHeight="1" x14ac:dyDescent="0.25">
      <c r="R253" s="34" t="s">
        <v>497</v>
      </c>
      <c r="S253" s="451"/>
      <c r="T253" s="32" t="s">
        <v>305</v>
      </c>
      <c r="V253" s="475">
        <f>$V$252</f>
        <v>6</v>
      </c>
      <c r="W253" s="475" t="str">
        <f>IF($AC$253="","",$W$252)</f>
        <v>N° 50</v>
      </c>
      <c r="X253" s="476" t="str">
        <f>IF($AC$253="","",$X$252)</f>
        <v>OEUFS BROUILLÉS PORTUGAISE*</v>
      </c>
      <c r="Y253" s="477">
        <f>IF($X$253="","",$Y$252)</f>
        <v>67</v>
      </c>
      <c r="Z253" s="477">
        <f>IF($X$253="","",$Z$252)</f>
        <v>100</v>
      </c>
      <c r="AA253" s="477">
        <f>IF($AC$253="","",ROW($A$253)-ROW($A$252))</f>
        <v>1</v>
      </c>
      <c r="AB253" s="478"/>
      <c r="AC253" s="34" t="s">
        <v>396</v>
      </c>
      <c r="AD253" s="356"/>
      <c r="AE253" s="18">
        <v>750</v>
      </c>
      <c r="AF253" s="5" t="s">
        <v>8</v>
      </c>
      <c r="AG253" s="480">
        <f t="shared" si="64"/>
        <v>750</v>
      </c>
      <c r="AH253" s="481" t="str">
        <f t="shared" si="65"/>
        <v>G</v>
      </c>
      <c r="AI253" s="477" t="str">
        <f>IF($AC$253="","",IFERROR(INDEX($AZ$74:$AZ$119,MATCH($AH$253,$AY$74:$AY$119,0)),"AUTRE"))</f>
        <v>MASSE</v>
      </c>
      <c r="AJ253" s="482">
        <f>IF($AC$253="","",IFERROR(INDEX($BA$74:$BA$119,MATCH($AH$253,$AY$74:$AY$119,0)),1))</f>
        <v>1E-3</v>
      </c>
      <c r="AK253" s="482">
        <f t="shared" si="66"/>
        <v>0.75</v>
      </c>
      <c r="AL253" s="477" t="str">
        <f>IF($AC$253="","",IFERROR(INDEX($BB$74:$BB$119,MATCH($AH$253,$AY$74:$AY$119,0)),$AH$253))</f>
        <v>kg</v>
      </c>
      <c r="AM253" s="483" t="str">
        <f t="shared" si="67"/>
        <v>OK</v>
      </c>
      <c r="AN253" s="484">
        <f t="shared" si="68"/>
        <v>750</v>
      </c>
      <c r="AO253" s="473" t="str">
        <f t="shared" si="69"/>
        <v/>
      </c>
      <c r="AP253" s="473" t="str">
        <f t="shared" si="70"/>
        <v/>
      </c>
      <c r="AQ253" s="473" t="str">
        <f t="shared" si="71"/>
        <v/>
      </c>
      <c r="AR253" s="473" t="str">
        <f t="shared" si="72"/>
        <v/>
      </c>
      <c r="AS253" s="473" t="str">
        <f t="shared" si="73"/>
        <v/>
      </c>
      <c r="AT253" s="473" t="str">
        <f t="shared" si="74"/>
        <v/>
      </c>
      <c r="AU253" s="473" t="str">
        <f t="shared" si="75"/>
        <v/>
      </c>
      <c r="AZ253" s="497" t="s">
        <v>8145</v>
      </c>
      <c r="BA253" s="34" t="s">
        <v>473</v>
      </c>
      <c r="BB253" s="499"/>
      <c r="BC253" s="271"/>
      <c r="BD253" s="279">
        <v>1</v>
      </c>
      <c r="BE253" s="271"/>
      <c r="BF253" s="271"/>
      <c r="BG253" s="271"/>
      <c r="BH253" s="271"/>
      <c r="BI253" s="271"/>
      <c r="BJ253" s="271"/>
      <c r="BK253" s="271"/>
      <c r="BL253" s="271"/>
    </row>
    <row r="254" spans="18:64" ht="21" customHeight="1" x14ac:dyDescent="0.25">
      <c r="R254" s="34" t="s">
        <v>470</v>
      </c>
      <c r="S254" s="451"/>
      <c r="T254" s="32" t="s">
        <v>309</v>
      </c>
      <c r="V254" s="475">
        <v>6</v>
      </c>
      <c r="W254" s="475" t="str">
        <f>IF($AC$254="","",$W$252)</f>
        <v>N° 50</v>
      </c>
      <c r="X254" s="476" t="str">
        <f>IF($AC$254="","",$X$252)</f>
        <v>OEUFS BROUILLÉS PORTUGAISE*</v>
      </c>
      <c r="Y254" s="477">
        <f>IF($X$254="","",$Y$252)</f>
        <v>67</v>
      </c>
      <c r="Z254" s="477">
        <f>IF($X$254="","",$Z$252)</f>
        <v>100</v>
      </c>
      <c r="AA254" s="477">
        <f>IF($AC$254="","",ROW($A$254)-ROW($A$252))</f>
        <v>2</v>
      </c>
      <c r="AB254" s="478"/>
      <c r="AC254" s="34" t="s">
        <v>397</v>
      </c>
      <c r="AD254" s="356"/>
      <c r="AE254" s="18">
        <v>300</v>
      </c>
      <c r="AF254" s="5" t="s">
        <v>8</v>
      </c>
      <c r="AG254" s="480">
        <f t="shared" si="64"/>
        <v>300</v>
      </c>
      <c r="AH254" s="481" t="str">
        <f t="shared" si="65"/>
        <v>G</v>
      </c>
      <c r="AI254" s="477" t="str">
        <f>IF($AC$254="","",IFERROR(INDEX($AZ$74:$AZ$119,MATCH($AH$254,$AY$74:$AY$119,0)),"AUTRE"))</f>
        <v>MASSE</v>
      </c>
      <c r="AJ254" s="482">
        <f>IF($AC$254="","",IFERROR(INDEX($BA$74:$BA$119,MATCH($AH$254,$AY$74:$AY$119,0)),1))</f>
        <v>1E-3</v>
      </c>
      <c r="AK254" s="482">
        <f t="shared" si="66"/>
        <v>0.3</v>
      </c>
      <c r="AL254" s="477" t="str">
        <f>IF($AC$254="","",IFERROR(INDEX($BB$74:$BB$119,MATCH($AH$254,$AY$74:$AY$119,0)),$AH$254))</f>
        <v>kg</v>
      </c>
      <c r="AM254" s="483" t="str">
        <f t="shared" si="67"/>
        <v>OK</v>
      </c>
      <c r="AN254" s="484">
        <f t="shared" si="68"/>
        <v>300</v>
      </c>
      <c r="AO254" s="473" t="str">
        <f t="shared" si="69"/>
        <v/>
      </c>
      <c r="AP254" s="473" t="str">
        <f t="shared" si="70"/>
        <v/>
      </c>
      <c r="AQ254" s="473" t="str">
        <f t="shared" si="71"/>
        <v/>
      </c>
      <c r="AR254" s="473" t="str">
        <f t="shared" si="72"/>
        <v/>
      </c>
      <c r="AS254" s="473" t="str">
        <f t="shared" si="73"/>
        <v/>
      </c>
      <c r="AT254" s="473" t="str">
        <f t="shared" si="74"/>
        <v/>
      </c>
      <c r="AU254" s="473" t="str">
        <f t="shared" si="75"/>
        <v/>
      </c>
      <c r="AZ254" s="497" t="s">
        <v>462</v>
      </c>
      <c r="BA254" s="34" t="s">
        <v>497</v>
      </c>
      <c r="BB254" s="499"/>
      <c r="BC254" s="271"/>
      <c r="BD254" s="279">
        <v>1</v>
      </c>
      <c r="BE254" s="271"/>
      <c r="BF254" s="271"/>
      <c r="BG254" s="271"/>
      <c r="BH254" s="271"/>
      <c r="BI254" s="271"/>
      <c r="BJ254" s="271"/>
      <c r="BK254" s="271"/>
      <c r="BL254" s="271"/>
    </row>
    <row r="255" spans="18:64" ht="21" customHeight="1" x14ac:dyDescent="0.25">
      <c r="R255" s="34" t="s">
        <v>477</v>
      </c>
      <c r="S255" s="451"/>
      <c r="T255" s="32" t="s">
        <v>311</v>
      </c>
      <c r="V255" s="475">
        <v>6</v>
      </c>
      <c r="W255" s="475" t="str">
        <f>IF($AC$255="","",$W$252)</f>
        <v>N° 50</v>
      </c>
      <c r="X255" s="476" t="str">
        <f>IF($AC$255="","",$X$252)</f>
        <v>OEUFS BROUILLÉS PORTUGAISE*</v>
      </c>
      <c r="Y255" s="477">
        <f>IF($X$255="","",$Y$252)</f>
        <v>67</v>
      </c>
      <c r="Z255" s="477">
        <f>IF($X$255="","",$Z$252)</f>
        <v>100</v>
      </c>
      <c r="AA255" s="477">
        <f>IF($AC$255="","",ROW($A$255)-ROW($A$252))</f>
        <v>3</v>
      </c>
      <c r="AB255" s="478"/>
      <c r="AC255" s="34" t="s">
        <v>373</v>
      </c>
      <c r="AD255" s="356"/>
      <c r="AE255" s="18">
        <v>3</v>
      </c>
      <c r="AF255" s="6" t="s">
        <v>9</v>
      </c>
      <c r="AG255" s="480">
        <f t="shared" si="64"/>
        <v>3</v>
      </c>
      <c r="AH255" s="481" t="str">
        <f t="shared" si="65"/>
        <v>L</v>
      </c>
      <c r="AI255" s="477" t="str">
        <f>IF($AC$255="","",IFERROR(INDEX($AZ$74:$AZ$119,MATCH($AH$255,$AY$74:$AY$119,0)),"AUTRE"))</f>
        <v>VOLUME</v>
      </c>
      <c r="AJ255" s="482">
        <f>IF($AC$255="","",IFERROR(INDEX($BA$74:$BA$119,MATCH($AH$255,$AY$74:$AY$119,0)),1))</f>
        <v>1</v>
      </c>
      <c r="AK255" s="482">
        <f t="shared" si="66"/>
        <v>3</v>
      </c>
      <c r="AL255" s="477" t="str">
        <f>IF($AC$255="","",IFERROR(INDEX($BB$74:$BB$119,MATCH($AH$255,$AY$74:$AY$119,0)),$AH$255))</f>
        <v>L</v>
      </c>
      <c r="AM255" s="483" t="str">
        <f t="shared" si="67"/>
        <v>OK</v>
      </c>
      <c r="AN255" s="484">
        <f t="shared" si="68"/>
        <v>3</v>
      </c>
      <c r="AO255" s="473" t="str">
        <f t="shared" si="69"/>
        <v/>
      </c>
      <c r="AP255" s="473" t="str">
        <f t="shared" si="70"/>
        <v/>
      </c>
      <c r="AQ255" s="473" t="str">
        <f t="shared" si="71"/>
        <v/>
      </c>
      <c r="AR255" s="473" t="str">
        <f t="shared" si="72"/>
        <v/>
      </c>
      <c r="AS255" s="473" t="str">
        <f t="shared" si="73"/>
        <v/>
      </c>
      <c r="AT255" s="473" t="str">
        <f t="shared" si="74"/>
        <v/>
      </c>
      <c r="AU255" s="473" t="str">
        <f t="shared" si="75"/>
        <v/>
      </c>
      <c r="AZ255" s="497" t="s">
        <v>463</v>
      </c>
      <c r="BA255" s="34" t="s">
        <v>470</v>
      </c>
      <c r="BB255" s="499"/>
      <c r="BC255" s="271"/>
      <c r="BD255" s="279">
        <v>1</v>
      </c>
      <c r="BE255" s="271"/>
      <c r="BF255" s="271"/>
      <c r="BG255" s="271"/>
      <c r="BH255" s="271"/>
      <c r="BI255" s="271"/>
      <c r="BJ255" s="271"/>
      <c r="BK255" s="271"/>
      <c r="BL255" s="271"/>
    </row>
    <row r="256" spans="18:64" ht="21" customHeight="1" x14ac:dyDescent="0.25">
      <c r="S256" s="451"/>
      <c r="T256" s="32" t="s">
        <v>8135</v>
      </c>
      <c r="V256" s="475">
        <v>6</v>
      </c>
      <c r="W256" s="475" t="str">
        <f>IF($AC$256="","",$W$252)</f>
        <v>N° 50</v>
      </c>
      <c r="X256" s="476" t="str">
        <f>IF($AC$256="","",$X$252)</f>
        <v>OEUFS BROUILLÉS PORTUGAISE*</v>
      </c>
      <c r="Y256" s="477">
        <f>IF($X$256="","",$Y$252)</f>
        <v>67</v>
      </c>
      <c r="Z256" s="477">
        <f>IF($X$256="","",$Z$252)</f>
        <v>100</v>
      </c>
      <c r="AA256" s="477">
        <f>IF($AC$256="","",ROW($A$256)-ROW($A$252))</f>
        <v>4</v>
      </c>
      <c r="AB256" s="478"/>
      <c r="AC256" s="34" t="s">
        <v>292</v>
      </c>
      <c r="AD256" s="356"/>
      <c r="AE256" s="18">
        <v>12.5</v>
      </c>
      <c r="AF256" s="3" t="s">
        <v>7</v>
      </c>
      <c r="AG256" s="480">
        <f t="shared" si="64"/>
        <v>12.5</v>
      </c>
      <c r="AH256" s="481" t="str">
        <f t="shared" si="65"/>
        <v>KG</v>
      </c>
      <c r="AI256" s="477" t="str">
        <f>IF($AC$256="","",IFERROR(INDEX($AZ$74:$AZ$119,MATCH($AH$256,$AY$74:$AY$119,0)),"AUTRE"))</f>
        <v>MASSE</v>
      </c>
      <c r="AJ256" s="482">
        <f>IF($AC$256="","",IFERROR(INDEX($BA$74:$BA$119,MATCH($AH$256,$AY$74:$AY$119,0)),1))</f>
        <v>1</v>
      </c>
      <c r="AK256" s="482">
        <f t="shared" si="66"/>
        <v>12.5</v>
      </c>
      <c r="AL256" s="477" t="str">
        <f>IF($AC$256="","",IFERROR(INDEX($BB$74:$BB$119,MATCH($AH$256,$AY$74:$AY$119,0)),$AH$256))</f>
        <v>kg</v>
      </c>
      <c r="AM256" s="483" t="str">
        <f t="shared" si="67"/>
        <v>OK</v>
      </c>
      <c r="AN256" s="484">
        <f t="shared" si="68"/>
        <v>12.5</v>
      </c>
      <c r="AO256" s="473" t="str">
        <f t="shared" si="69"/>
        <v/>
      </c>
      <c r="AP256" s="473" t="str">
        <f t="shared" si="70"/>
        <v/>
      </c>
      <c r="AQ256" s="473" t="str">
        <f t="shared" si="71"/>
        <v/>
      </c>
      <c r="AR256" s="473" t="str">
        <f t="shared" si="72"/>
        <v/>
      </c>
      <c r="AS256" s="473" t="str">
        <f t="shared" si="73"/>
        <v/>
      </c>
      <c r="AT256" s="473" t="str">
        <f t="shared" si="74"/>
        <v/>
      </c>
      <c r="AU256" s="473" t="str">
        <f t="shared" si="75"/>
        <v/>
      </c>
      <c r="AZ256" s="497" t="s">
        <v>8147</v>
      </c>
      <c r="BA256" s="34" t="s">
        <v>477</v>
      </c>
      <c r="BB256" s="499"/>
      <c r="BC256" s="271"/>
      <c r="BD256" s="279">
        <v>1</v>
      </c>
      <c r="BE256" s="271"/>
      <c r="BF256" s="271"/>
      <c r="BG256" s="271"/>
      <c r="BH256" s="271"/>
      <c r="BI256" s="271"/>
      <c r="BJ256" s="271"/>
      <c r="BK256" s="271"/>
      <c r="BL256" s="271"/>
    </row>
    <row r="257" spans="18:64" ht="21" customHeight="1" x14ac:dyDescent="0.25">
      <c r="R257" s="25" t="s">
        <v>6134</v>
      </c>
      <c r="S257" s="451"/>
      <c r="T257" s="497" t="s">
        <v>462</v>
      </c>
      <c r="V257" s="475">
        <v>6</v>
      </c>
      <c r="W257" s="475" t="str">
        <f>IF($AC$257="","",$W$252)</f>
        <v>N° 50</v>
      </c>
      <c r="X257" s="476" t="str">
        <f>IF($AC$257="","",$X$252)</f>
        <v>OEUFS BROUILLÉS PORTUGAISE*</v>
      </c>
      <c r="Y257" s="477">
        <f>IF($X$257="","",$Y$252)</f>
        <v>67</v>
      </c>
      <c r="Z257" s="477">
        <f>IF($X$257="","",$Z$252)</f>
        <v>100</v>
      </c>
      <c r="AA257" s="477">
        <f>IF($AC$257="","",ROW($A$257)-ROW($A$252))</f>
        <v>5</v>
      </c>
      <c r="AB257" s="478"/>
      <c r="AC257" s="34" t="s">
        <v>129</v>
      </c>
      <c r="AD257" s="356"/>
      <c r="AE257" s="18">
        <v>1</v>
      </c>
      <c r="AF257" s="3" t="s">
        <v>7</v>
      </c>
      <c r="AG257" s="480">
        <f t="shared" si="64"/>
        <v>1</v>
      </c>
      <c r="AH257" s="481" t="str">
        <f t="shared" si="65"/>
        <v>KG</v>
      </c>
      <c r="AI257" s="477" t="str">
        <f>IF($AC$257="","",IFERROR(INDEX($AZ$74:$AZ$119,MATCH($AH$257,$AY$74:$AY$119,0)),"AUTRE"))</f>
        <v>MASSE</v>
      </c>
      <c r="AJ257" s="482">
        <f>IF($AC$257="","",IFERROR(INDEX($BA$74:$BA$119,MATCH($AH$257,$AY$74:$AY$119,0)),1))</f>
        <v>1</v>
      </c>
      <c r="AK257" s="482">
        <f t="shared" si="66"/>
        <v>1</v>
      </c>
      <c r="AL257" s="477" t="str">
        <f>IF($AC$257="","",IFERROR(INDEX($BB$74:$BB$119,MATCH($AH$257,$AY$74:$AY$119,0)),$AH$257))</f>
        <v>kg</v>
      </c>
      <c r="AM257" s="483" t="str">
        <f t="shared" si="67"/>
        <v>OK</v>
      </c>
      <c r="AN257" s="484">
        <f t="shared" si="68"/>
        <v>1</v>
      </c>
      <c r="AO257" s="473" t="str">
        <f t="shared" si="69"/>
        <v/>
      </c>
      <c r="AP257" s="473" t="str">
        <f t="shared" si="70"/>
        <v/>
      </c>
      <c r="AQ257" s="473" t="str">
        <f t="shared" si="71"/>
        <v/>
      </c>
      <c r="AR257" s="473" t="str">
        <f t="shared" si="72"/>
        <v/>
      </c>
      <c r="AS257" s="473" t="str">
        <f t="shared" si="73"/>
        <v/>
      </c>
      <c r="AT257" s="473" t="str">
        <f t="shared" si="74"/>
        <v/>
      </c>
      <c r="AU257" s="473" t="str">
        <f t="shared" si="75"/>
        <v/>
      </c>
      <c r="AZ257" s="497" t="s">
        <v>465</v>
      </c>
      <c r="BB257" s="499"/>
      <c r="BC257" s="271"/>
      <c r="BD257" s="279">
        <v>1</v>
      </c>
      <c r="BE257" s="271"/>
      <c r="BF257" s="271"/>
      <c r="BG257" s="271"/>
      <c r="BH257" s="271"/>
      <c r="BI257" s="271"/>
      <c r="BJ257" s="271"/>
      <c r="BK257" s="271"/>
      <c r="BL257" s="271"/>
    </row>
    <row r="258" spans="18:64" ht="21" customHeight="1" x14ac:dyDescent="0.25">
      <c r="R258" s="34" t="s">
        <v>481</v>
      </c>
      <c r="S258" s="451"/>
      <c r="T258" s="497" t="s">
        <v>463</v>
      </c>
      <c r="V258" s="475">
        <v>6</v>
      </c>
      <c r="W258" s="475" t="str">
        <f>IF($AC$258="","",$W$252)</f>
        <v>N° 50</v>
      </c>
      <c r="X258" s="476" t="str">
        <f>IF($AC$258="","",$X$252)</f>
        <v>OEUFS BROUILLÉS PORTUGAISE*</v>
      </c>
      <c r="Y258" s="477">
        <f>IF($X$258="","",$Y$252)</f>
        <v>67</v>
      </c>
      <c r="Z258" s="477">
        <f>IF($X$258="","",$Z$252)</f>
        <v>100</v>
      </c>
      <c r="AA258" s="477">
        <f>IF($AC$258="","",ROW($A$258)-ROW($A$252))</f>
        <v>6</v>
      </c>
      <c r="AB258" s="478"/>
      <c r="AC258" s="34" t="s">
        <v>48</v>
      </c>
      <c r="AD258" s="356"/>
      <c r="AE258" s="18">
        <v>150</v>
      </c>
      <c r="AF258" s="5" t="s">
        <v>8</v>
      </c>
      <c r="AG258" s="480">
        <f t="shared" si="64"/>
        <v>150</v>
      </c>
      <c r="AH258" s="481" t="str">
        <f t="shared" si="65"/>
        <v>G</v>
      </c>
      <c r="AI258" s="477" t="str">
        <f>IF($AC$258="","",IFERROR(INDEX($AZ$74:$AZ$119,MATCH($AH$258,$AY$74:$AY$119,0)),"AUTRE"))</f>
        <v>MASSE</v>
      </c>
      <c r="AJ258" s="482">
        <f>IF($AC$258="","",IFERROR(INDEX($BA$74:$BA$119,MATCH($AH$258,$AY$74:$AY$119,0)),1))</f>
        <v>1E-3</v>
      </c>
      <c r="AK258" s="482">
        <f t="shared" si="66"/>
        <v>0.15</v>
      </c>
      <c r="AL258" s="477" t="str">
        <f>IF($AC$258="","",IFERROR(INDEX($BB$74:$BB$119,MATCH($AH$258,$AY$74:$AY$119,0)),$AH$258))</f>
        <v>kg</v>
      </c>
      <c r="AM258" s="483" t="str">
        <f t="shared" si="67"/>
        <v>OK</v>
      </c>
      <c r="AN258" s="484">
        <f t="shared" si="68"/>
        <v>150</v>
      </c>
      <c r="AO258" s="473" t="str">
        <f t="shared" si="69"/>
        <v/>
      </c>
      <c r="AP258" s="473" t="str">
        <f t="shared" si="70"/>
        <v/>
      </c>
      <c r="AQ258" s="473" t="str">
        <f t="shared" si="71"/>
        <v/>
      </c>
      <c r="AR258" s="473" t="str">
        <f t="shared" si="72"/>
        <v/>
      </c>
      <c r="AS258" s="473" t="str">
        <f t="shared" si="73"/>
        <v/>
      </c>
      <c r="AT258" s="473" t="str">
        <f t="shared" si="74"/>
        <v/>
      </c>
      <c r="AU258" s="473" t="str">
        <f t="shared" si="75"/>
        <v/>
      </c>
      <c r="AZ258" s="497" t="s">
        <v>466</v>
      </c>
      <c r="BA258" s="25" t="s">
        <v>6134</v>
      </c>
      <c r="BB258" s="499"/>
      <c r="BC258" s="271"/>
      <c r="BD258" s="279">
        <v>1</v>
      </c>
      <c r="BE258" s="271"/>
      <c r="BF258" s="271"/>
      <c r="BG258" s="271"/>
      <c r="BH258" s="271"/>
      <c r="BI258" s="271"/>
      <c r="BJ258" s="271"/>
      <c r="BK258" s="271"/>
      <c r="BL258" s="271"/>
    </row>
    <row r="259" spans="18:64" ht="21" customHeight="1" x14ac:dyDescent="0.25">
      <c r="R259" s="34" t="s">
        <v>475</v>
      </c>
      <c r="S259" s="451"/>
      <c r="T259" s="497" t="s">
        <v>8147</v>
      </c>
      <c r="V259" s="475">
        <v>6</v>
      </c>
      <c r="W259" s="475" t="str">
        <f>IF($AC$259="","",$W$252)</f>
        <v>N° 50</v>
      </c>
      <c r="X259" s="476" t="str">
        <f>IF($AC$259="","",$X$252)</f>
        <v>OEUFS BROUILLÉS PORTUGAISE*</v>
      </c>
      <c r="Y259" s="477">
        <f>IF($X$259="","",$Y$252)</f>
        <v>67</v>
      </c>
      <c r="Z259" s="477">
        <f>IF($X$259="","",$Z$252)</f>
        <v>100</v>
      </c>
      <c r="AA259" s="477">
        <f>IF($AC$259="","",ROW($A$259)-ROW($A$252))</f>
        <v>7</v>
      </c>
      <c r="AB259" s="478"/>
      <c r="AC259" s="34" t="s">
        <v>203</v>
      </c>
      <c r="AD259" s="356"/>
      <c r="AE259" s="18">
        <v>10</v>
      </c>
      <c r="AF259" s="5" t="s">
        <v>8</v>
      </c>
      <c r="AG259" s="480">
        <f t="shared" si="64"/>
        <v>10</v>
      </c>
      <c r="AH259" s="481" t="str">
        <f t="shared" si="65"/>
        <v>G</v>
      </c>
      <c r="AI259" s="477" t="str">
        <f>IF($AC$259="","",IFERROR(INDEX($AZ$74:$AZ$119,MATCH($AH$259,$AY$74:$AY$119,0)),"AUTRE"))</f>
        <v>MASSE</v>
      </c>
      <c r="AJ259" s="482">
        <f>IF($AC$259="","",IFERROR(INDEX($BA$74:$BA$119,MATCH($AH$259,$AY$74:$AY$119,0)),1))</f>
        <v>1E-3</v>
      </c>
      <c r="AK259" s="482">
        <f t="shared" si="66"/>
        <v>0.01</v>
      </c>
      <c r="AL259" s="477" t="str">
        <f>IF($AC$259="","",IFERROR(INDEX($BB$74:$BB$119,MATCH($AH$259,$AY$74:$AY$119,0)),$AH$259))</f>
        <v>kg</v>
      </c>
      <c r="AM259" s="483" t="str">
        <f t="shared" si="67"/>
        <v>OK</v>
      </c>
      <c r="AN259" s="484">
        <f t="shared" si="68"/>
        <v>10</v>
      </c>
      <c r="AO259" s="473" t="str">
        <f t="shared" si="69"/>
        <v/>
      </c>
      <c r="AP259" s="473" t="str">
        <f t="shared" si="70"/>
        <v/>
      </c>
      <c r="AQ259" s="473" t="str">
        <f t="shared" si="71"/>
        <v/>
      </c>
      <c r="AR259" s="473" t="str">
        <f t="shared" si="72"/>
        <v/>
      </c>
      <c r="AS259" s="473" t="str">
        <f t="shared" si="73"/>
        <v/>
      </c>
      <c r="AT259" s="473" t="str">
        <f t="shared" si="74"/>
        <v/>
      </c>
      <c r="AU259" s="473" t="str">
        <f t="shared" si="75"/>
        <v/>
      </c>
      <c r="AZ259" s="14" t="s">
        <v>7</v>
      </c>
      <c r="BA259" s="34" t="s">
        <v>481</v>
      </c>
      <c r="BB259" s="499"/>
      <c r="BC259" s="271"/>
      <c r="BD259" s="279">
        <v>1</v>
      </c>
      <c r="BE259" s="271"/>
      <c r="BF259" s="271"/>
      <c r="BG259" s="271"/>
      <c r="BH259" s="271"/>
      <c r="BI259" s="271"/>
      <c r="BJ259" s="271"/>
      <c r="BK259" s="271"/>
      <c r="BL259" s="271"/>
    </row>
    <row r="260" spans="18:64" ht="21" customHeight="1" x14ac:dyDescent="0.25">
      <c r="R260" s="34" t="s">
        <v>457</v>
      </c>
      <c r="S260" s="451"/>
      <c r="T260" s="497" t="s">
        <v>465</v>
      </c>
      <c r="V260" s="475">
        <v>6</v>
      </c>
      <c r="W260" s="475" t="str">
        <f>IF($AC$260="","",$W$252)</f>
        <v>N° 50</v>
      </c>
      <c r="X260" s="476" t="str">
        <f>IF($AC$260="","",$X$252)</f>
        <v>OEUFS BROUILLÉS PORTUGAISE*</v>
      </c>
      <c r="Y260" s="477">
        <f>IF($X$260="","",$Y$252)</f>
        <v>67</v>
      </c>
      <c r="Z260" s="477">
        <f>IF($X$260="","",$Z$252)</f>
        <v>100</v>
      </c>
      <c r="AA260" s="477">
        <f>IF($AC$260="","",ROW($A$260)-ROW($A$252))</f>
        <v>8</v>
      </c>
      <c r="AB260" s="478"/>
      <c r="AC260" s="34" t="s">
        <v>142</v>
      </c>
      <c r="AD260" s="356"/>
      <c r="AE260" s="18">
        <v>200</v>
      </c>
      <c r="AF260" s="5" t="s">
        <v>8</v>
      </c>
      <c r="AG260" s="480">
        <f t="shared" si="64"/>
        <v>200</v>
      </c>
      <c r="AH260" s="481" t="str">
        <f t="shared" si="65"/>
        <v>G</v>
      </c>
      <c r="AI260" s="477" t="str">
        <f>IF($AC$260="","",IFERROR(INDEX($AZ$74:$AZ$119,MATCH($AH$260,$AY$74:$AY$119,0)),"AUTRE"))</f>
        <v>MASSE</v>
      </c>
      <c r="AJ260" s="482">
        <f>IF($AC$260="","",IFERROR(INDEX($BA$74:$BA$119,MATCH($AH$260,$AY$74:$AY$119,0)),1))</f>
        <v>1E-3</v>
      </c>
      <c r="AK260" s="482">
        <f t="shared" si="66"/>
        <v>0.2</v>
      </c>
      <c r="AL260" s="477" t="str">
        <f>IF($AC$260="","",IFERROR(INDEX($BB$74:$BB$119,MATCH($AH$260,$AY$74:$AY$119,0)),$AH$260))</f>
        <v>kg</v>
      </c>
      <c r="AM260" s="483" t="str">
        <f t="shared" si="67"/>
        <v>OK</v>
      </c>
      <c r="AN260" s="484">
        <f t="shared" si="68"/>
        <v>200</v>
      </c>
      <c r="AO260" s="473" t="str">
        <f t="shared" si="69"/>
        <v/>
      </c>
      <c r="AP260" s="473" t="str">
        <f t="shared" si="70"/>
        <v/>
      </c>
      <c r="AQ260" s="473" t="str">
        <f t="shared" si="71"/>
        <v/>
      </c>
      <c r="AR260" s="473" t="str">
        <f t="shared" si="72"/>
        <v/>
      </c>
      <c r="AS260" s="473" t="str">
        <f t="shared" si="73"/>
        <v/>
      </c>
      <c r="AT260" s="473" t="str">
        <f t="shared" si="74"/>
        <v/>
      </c>
      <c r="AU260" s="473" t="str">
        <f t="shared" si="75"/>
        <v/>
      </c>
      <c r="AZ260" s="27" t="s">
        <v>8</v>
      </c>
      <c r="BA260" s="34" t="s">
        <v>475</v>
      </c>
      <c r="BB260" s="499"/>
      <c r="BC260" s="271"/>
      <c r="BD260" s="279">
        <v>1</v>
      </c>
      <c r="BE260" s="271"/>
      <c r="BF260" s="271"/>
      <c r="BG260" s="271"/>
      <c r="BH260" s="271"/>
      <c r="BI260" s="271"/>
      <c r="BJ260" s="271"/>
      <c r="BK260" s="271"/>
      <c r="BL260" s="271"/>
    </row>
    <row r="261" spans="18:64" ht="21" customHeight="1" x14ac:dyDescent="0.25">
      <c r="R261" s="34" t="s">
        <v>482</v>
      </c>
      <c r="S261" s="451"/>
      <c r="T261" s="497" t="s">
        <v>466</v>
      </c>
      <c r="V261" s="475">
        <v>6</v>
      </c>
      <c r="W261" s="475" t="str">
        <f>IF($AC$261="","",$W$252)</f>
        <v>N° 50</v>
      </c>
      <c r="X261" s="476" t="str">
        <f>IF($AC$261="","",$X$252)</f>
        <v>OEUFS BROUILLÉS PORTUGAISE*</v>
      </c>
      <c r="Y261" s="477">
        <f>IF($X$261="","",$Y$252)</f>
        <v>67</v>
      </c>
      <c r="Z261" s="477">
        <f>IF($X$261="","",$Z$252)</f>
        <v>100</v>
      </c>
      <c r="AA261" s="477">
        <f>IF($AC$261="","",ROW($A$261)-ROW($A$252))</f>
        <v>9</v>
      </c>
      <c r="AB261" s="478"/>
      <c r="AC261" s="34" t="s">
        <v>181</v>
      </c>
      <c r="AD261" s="356"/>
      <c r="AE261" s="18">
        <v>100</v>
      </c>
      <c r="AF261" s="5" t="s">
        <v>8</v>
      </c>
      <c r="AG261" s="480">
        <f t="shared" si="64"/>
        <v>100</v>
      </c>
      <c r="AH261" s="481" t="str">
        <f t="shared" si="65"/>
        <v>G</v>
      </c>
      <c r="AI261" s="477" t="str">
        <f>IF($AC$261="","",IFERROR(INDEX($AZ$74:$AZ$119,MATCH($AH$261,$AY$74:$AY$119,0)),"AUTRE"))</f>
        <v>MASSE</v>
      </c>
      <c r="AJ261" s="482">
        <f>IF($AC$261="","",IFERROR(INDEX($BA$74:$BA$119,MATCH($AH$261,$AY$74:$AY$119,0)),1))</f>
        <v>1E-3</v>
      </c>
      <c r="AK261" s="482">
        <f t="shared" si="66"/>
        <v>0.1</v>
      </c>
      <c r="AL261" s="477" t="str">
        <f>IF($AC$261="","",IFERROR(INDEX($BB$74:$BB$119,MATCH($AH$261,$AY$74:$AY$119,0)),$AH$261))</f>
        <v>kg</v>
      </c>
      <c r="AM261" s="483" t="str">
        <f t="shared" si="67"/>
        <v>OK</v>
      </c>
      <c r="AN261" s="484">
        <f t="shared" si="68"/>
        <v>100</v>
      </c>
      <c r="AO261" s="473" t="str">
        <f t="shared" si="69"/>
        <v/>
      </c>
      <c r="AP261" s="473" t="str">
        <f t="shared" si="70"/>
        <v/>
      </c>
      <c r="AQ261" s="473" t="str">
        <f t="shared" si="71"/>
        <v/>
      </c>
      <c r="AR261" s="473" t="str">
        <f t="shared" si="72"/>
        <v/>
      </c>
      <c r="AS261" s="473" t="str">
        <f t="shared" si="73"/>
        <v/>
      </c>
      <c r="AT261" s="473" t="str">
        <f t="shared" si="74"/>
        <v/>
      </c>
      <c r="AU261" s="473" t="str">
        <f t="shared" si="75"/>
        <v/>
      </c>
      <c r="AZ261" s="28" t="s">
        <v>13</v>
      </c>
      <c r="BA261" s="34" t="s">
        <v>457</v>
      </c>
      <c r="BB261" s="499"/>
      <c r="BC261" s="271"/>
      <c r="BD261" s="279">
        <v>1</v>
      </c>
      <c r="BE261" s="271"/>
      <c r="BF261" s="271"/>
      <c r="BG261" s="271"/>
      <c r="BH261" s="271"/>
      <c r="BI261" s="271"/>
      <c r="BJ261" s="271"/>
      <c r="BK261" s="271"/>
      <c r="BL261" s="271"/>
    </row>
    <row r="262" spans="18:64" ht="21" customHeight="1" x14ac:dyDescent="0.25">
      <c r="R262" s="34" t="s">
        <v>496</v>
      </c>
      <c r="S262" s="451"/>
      <c r="T262" s="440" t="s">
        <v>8110</v>
      </c>
      <c r="V262" s="475">
        <v>6</v>
      </c>
      <c r="W262" s="475" t="str">
        <f>IF($AC$262="","",$W$252)</f>
        <v>N° 50</v>
      </c>
      <c r="X262" s="476" t="str">
        <f>IF($AC$262="","",$X$252)</f>
        <v>OEUFS BROUILLÉS PORTUGAISE*</v>
      </c>
      <c r="Y262" s="477">
        <f>IF($X$262="","",$Y$252)</f>
        <v>67</v>
      </c>
      <c r="Z262" s="477">
        <f>IF($X$262="","",$Z$252)</f>
        <v>100</v>
      </c>
      <c r="AA262" s="477">
        <f>IF($AC$262="","",ROW($A$262)-ROW($A$252))</f>
        <v>10</v>
      </c>
      <c r="AB262" s="478"/>
      <c r="AC262" s="34" t="s">
        <v>398</v>
      </c>
      <c r="AD262" s="356"/>
      <c r="AE262" s="18">
        <v>15</v>
      </c>
      <c r="AF262" s="5" t="s">
        <v>8</v>
      </c>
      <c r="AG262" s="480">
        <f t="shared" si="64"/>
        <v>15</v>
      </c>
      <c r="AH262" s="481" t="str">
        <f t="shared" si="65"/>
        <v>G</v>
      </c>
      <c r="AI262" s="477" t="str">
        <f>IF($AC$262="","",IFERROR(INDEX($AZ$74:$AZ$119,MATCH($AH$262,$AY$74:$AY$119,0)),"AUTRE"))</f>
        <v>MASSE</v>
      </c>
      <c r="AJ262" s="482">
        <f>IF($AC$262="","",IFERROR(INDEX($BA$74:$BA$119,MATCH($AH$262,$AY$74:$AY$119,0)),1))</f>
        <v>1E-3</v>
      </c>
      <c r="AK262" s="482">
        <f t="shared" si="66"/>
        <v>1.4999999999999999E-2</v>
      </c>
      <c r="AL262" s="477" t="str">
        <f>IF($AC$262="","",IFERROR(INDEX($BB$74:$BB$119,MATCH($AH$262,$AY$74:$AY$119,0)),$AH$262))</f>
        <v>kg</v>
      </c>
      <c r="AM262" s="483" t="str">
        <f t="shared" si="67"/>
        <v>OK</v>
      </c>
      <c r="AN262" s="484">
        <f t="shared" si="68"/>
        <v>15</v>
      </c>
      <c r="AO262" s="473" t="str">
        <f t="shared" si="69"/>
        <v/>
      </c>
      <c r="AP262" s="473" t="str">
        <f t="shared" si="70"/>
        <v/>
      </c>
      <c r="AQ262" s="473" t="str">
        <f t="shared" si="71"/>
        <v/>
      </c>
      <c r="AR262" s="473" t="str">
        <f t="shared" si="72"/>
        <v/>
      </c>
      <c r="AS262" s="473" t="str">
        <f t="shared" si="73"/>
        <v/>
      </c>
      <c r="AT262" s="473" t="str">
        <f t="shared" si="74"/>
        <v/>
      </c>
      <c r="AU262" s="473" t="str">
        <f t="shared" si="75"/>
        <v/>
      </c>
      <c r="AZ262" s="28" t="s">
        <v>14</v>
      </c>
      <c r="BA262" s="34" t="s">
        <v>482</v>
      </c>
      <c r="BB262" s="499"/>
      <c r="BC262" s="271"/>
      <c r="BD262" s="279">
        <v>1</v>
      </c>
      <c r="BE262" s="271"/>
      <c r="BF262" s="271"/>
      <c r="BG262" s="271"/>
      <c r="BH262" s="271"/>
      <c r="BI262" s="271"/>
      <c r="BJ262" s="271"/>
      <c r="BK262" s="271"/>
      <c r="BL262" s="271"/>
    </row>
    <row r="263" spans="18:64" ht="21" customHeight="1" x14ac:dyDescent="0.25">
      <c r="R263" s="34" t="s">
        <v>483</v>
      </c>
      <c r="S263" s="451"/>
      <c r="T263" s="452" t="s">
        <v>8113</v>
      </c>
      <c r="V263" s="475">
        <v>6</v>
      </c>
      <c r="W263" s="475" t="str">
        <f>IF($AC$263="","",$W$252)</f>
        <v>N° 50</v>
      </c>
      <c r="X263" s="476" t="str">
        <f>IF($AC$263="","",$X$252)</f>
        <v>OEUFS BROUILLÉS PORTUGAISE*</v>
      </c>
      <c r="Y263" s="477">
        <f>IF($X$263="","",$Y$252)</f>
        <v>67</v>
      </c>
      <c r="Z263" s="477">
        <f>IF($X$263="","",$Z$252)</f>
        <v>100</v>
      </c>
      <c r="AA263" s="477">
        <f>IF($AC$263="","",ROW($A$263)-ROW($A$252))</f>
        <v>11</v>
      </c>
      <c r="AB263" s="478"/>
      <c r="AC263" s="34" t="s">
        <v>399</v>
      </c>
      <c r="AD263" s="356"/>
      <c r="AE263" s="18">
        <v>120</v>
      </c>
      <c r="AF263" s="5" t="s">
        <v>8</v>
      </c>
      <c r="AG263" s="480">
        <f t="shared" si="64"/>
        <v>120</v>
      </c>
      <c r="AH263" s="481" t="str">
        <f t="shared" si="65"/>
        <v>G</v>
      </c>
      <c r="AI263" s="477" t="str">
        <f>IF($AC$263="","",IFERROR(INDEX($AZ$74:$AZ$119,MATCH($AH$263,$AY$74:$AY$119,0)),"AUTRE"))</f>
        <v>MASSE</v>
      </c>
      <c r="AJ263" s="482">
        <f>IF($AC$263="","",IFERROR(INDEX($BA$74:$BA$119,MATCH($AH$263,$AY$74:$AY$119,0)),1))</f>
        <v>1E-3</v>
      </c>
      <c r="AK263" s="482">
        <f t="shared" si="66"/>
        <v>0.12</v>
      </c>
      <c r="AL263" s="477" t="str">
        <f>IF($AC$263="","",IFERROR(INDEX($BB$74:$BB$119,MATCH($AH$263,$AY$74:$AY$119,0)),$AH$263))</f>
        <v>kg</v>
      </c>
      <c r="AM263" s="483" t="str">
        <f t="shared" si="67"/>
        <v>OK</v>
      </c>
      <c r="AN263" s="484">
        <f t="shared" si="68"/>
        <v>120</v>
      </c>
      <c r="AO263" s="473" t="str">
        <f t="shared" si="69"/>
        <v/>
      </c>
      <c r="AP263" s="473" t="str">
        <f t="shared" si="70"/>
        <v/>
      </c>
      <c r="AQ263" s="473" t="str">
        <f t="shared" si="71"/>
        <v/>
      </c>
      <c r="AR263" s="473" t="str">
        <f t="shared" si="72"/>
        <v/>
      </c>
      <c r="AS263" s="473" t="str">
        <f t="shared" si="73"/>
        <v/>
      </c>
      <c r="AT263" s="473" t="str">
        <f t="shared" si="74"/>
        <v/>
      </c>
      <c r="AU263" s="473" t="str">
        <f t="shared" si="75"/>
        <v/>
      </c>
      <c r="AZ263" s="28" t="s">
        <v>15</v>
      </c>
      <c r="BA263" s="34" t="s">
        <v>496</v>
      </c>
      <c r="BB263" s="499"/>
      <c r="BC263" s="271"/>
      <c r="BD263" s="279">
        <v>1</v>
      </c>
      <c r="BE263" s="271"/>
      <c r="BF263" s="271"/>
      <c r="BG263" s="271"/>
      <c r="BH263" s="271"/>
      <c r="BI263" s="271"/>
      <c r="BJ263" s="271"/>
      <c r="BK263" s="271"/>
      <c r="BL263" s="271"/>
    </row>
    <row r="264" spans="18:64" ht="21" customHeight="1" x14ac:dyDescent="0.25">
      <c r="R264" s="34" t="s">
        <v>493</v>
      </c>
      <c r="S264" s="451"/>
      <c r="T264" s="14" t="s">
        <v>7</v>
      </c>
      <c r="V264" s="475">
        <v>6</v>
      </c>
      <c r="W264" s="475" t="str">
        <f>IF($AC$264="","",$W$252)</f>
        <v>N° 50</v>
      </c>
      <c r="X264" s="476" t="str">
        <f>IF($AC$264="","",$X$252)</f>
        <v>OEUFS BROUILLÉS PORTUGAISE*</v>
      </c>
      <c r="Y264" s="477">
        <f>IF($X$264="","",$Y$252)</f>
        <v>67</v>
      </c>
      <c r="Z264" s="477">
        <f>IF($X$264="","",$Z$252)</f>
        <v>100</v>
      </c>
      <c r="AA264" s="477">
        <f>IF($AC$264="","",ROW($A$264)-ROW($A$252))</f>
        <v>12</v>
      </c>
      <c r="AB264" s="478"/>
      <c r="AC264" s="34" t="s">
        <v>400</v>
      </c>
      <c r="AD264" s="356"/>
      <c r="AE264" s="18">
        <v>125</v>
      </c>
      <c r="AF264" s="5" t="s">
        <v>8</v>
      </c>
      <c r="AG264" s="480">
        <f t="shared" si="64"/>
        <v>125</v>
      </c>
      <c r="AH264" s="481" t="str">
        <f t="shared" si="65"/>
        <v>G</v>
      </c>
      <c r="AI264" s="477" t="str">
        <f>IF($AC$264="","",IFERROR(INDEX($AZ$74:$AZ$119,MATCH($AH$264,$AY$74:$AY$119,0)),"AUTRE"))</f>
        <v>MASSE</v>
      </c>
      <c r="AJ264" s="482">
        <f>IF($AC$264="","",IFERROR(INDEX($BA$74:$BA$119,MATCH($AH$264,$AY$74:$AY$119,0)),1))</f>
        <v>1E-3</v>
      </c>
      <c r="AK264" s="482">
        <f t="shared" si="66"/>
        <v>0.125</v>
      </c>
      <c r="AL264" s="477" t="str">
        <f>IF($AC$264="","",IFERROR(INDEX($BB$74:$BB$119,MATCH($AH$264,$AY$74:$AY$119,0)),$AH$264))</f>
        <v>kg</v>
      </c>
      <c r="AM264" s="483" t="str">
        <f t="shared" si="67"/>
        <v>OK</v>
      </c>
      <c r="AN264" s="484">
        <f t="shared" si="68"/>
        <v>125</v>
      </c>
      <c r="AO264" s="473" t="str">
        <f t="shared" si="69"/>
        <v/>
      </c>
      <c r="AP264" s="473" t="str">
        <f t="shared" si="70"/>
        <v/>
      </c>
      <c r="AQ264" s="473" t="str">
        <f t="shared" si="71"/>
        <v/>
      </c>
      <c r="AR264" s="473" t="str">
        <f t="shared" si="72"/>
        <v/>
      </c>
      <c r="AS264" s="473" t="str">
        <f t="shared" si="73"/>
        <v/>
      </c>
      <c r="AT264" s="473" t="str">
        <f t="shared" si="74"/>
        <v/>
      </c>
      <c r="AU264" s="473" t="str">
        <f t="shared" si="75"/>
        <v/>
      </c>
      <c r="AZ264" s="29" t="s">
        <v>9</v>
      </c>
      <c r="BA264" s="34" t="s">
        <v>483</v>
      </c>
      <c r="BB264" s="499"/>
      <c r="BC264" s="271"/>
      <c r="BD264" s="279">
        <v>1</v>
      </c>
      <c r="BE264" s="271"/>
      <c r="BF264" s="271"/>
      <c r="BG264" s="271"/>
      <c r="BH264" s="271"/>
      <c r="BI264" s="271"/>
      <c r="BJ264" s="271"/>
      <c r="BK264" s="271"/>
      <c r="BL264" s="271"/>
    </row>
    <row r="265" spans="18:64" ht="21" customHeight="1" x14ac:dyDescent="0.25">
      <c r="R265" s="34" t="s">
        <v>494</v>
      </c>
      <c r="S265" s="451"/>
      <c r="T265" s="27" t="s">
        <v>8</v>
      </c>
      <c r="V265" s="475">
        <v>6</v>
      </c>
      <c r="W265" s="475" t="str">
        <f>IF($AC$265="","",$W$252)</f>
        <v>N° 50</v>
      </c>
      <c r="X265" s="476" t="str">
        <f>IF($AC$265="","",$X$252)</f>
        <v>OEUFS BROUILLÉS PORTUGAISE*</v>
      </c>
      <c r="Y265" s="477">
        <f>IF($X$265="","",$Y$252)</f>
        <v>67</v>
      </c>
      <c r="Z265" s="477">
        <f>IF($X$265="","",$Z$252)</f>
        <v>100</v>
      </c>
      <c r="AA265" s="477">
        <f>IF($AC$265="","",ROW($A$265)-ROW($A$252))</f>
        <v>13</v>
      </c>
      <c r="AB265" s="478"/>
      <c r="AC265" s="34" t="s">
        <v>401</v>
      </c>
      <c r="AD265" s="356"/>
      <c r="AE265" s="18">
        <v>15</v>
      </c>
      <c r="AF265" s="5" t="s">
        <v>8</v>
      </c>
      <c r="AG265" s="480">
        <f t="shared" si="64"/>
        <v>15</v>
      </c>
      <c r="AH265" s="481" t="str">
        <f t="shared" si="65"/>
        <v>G</v>
      </c>
      <c r="AI265" s="477" t="str">
        <f>IF($AC$265="","",IFERROR(INDEX($AZ$74:$AZ$119,MATCH($AH$265,$AY$74:$AY$119,0)),"AUTRE"))</f>
        <v>MASSE</v>
      </c>
      <c r="AJ265" s="482">
        <f>IF($AC$265="","",IFERROR(INDEX($BA$74:$BA$119,MATCH($AH$265,$AY$74:$AY$119,0)),1))</f>
        <v>1E-3</v>
      </c>
      <c r="AK265" s="482">
        <f t="shared" si="66"/>
        <v>1.4999999999999999E-2</v>
      </c>
      <c r="AL265" s="477" t="str">
        <f>IF($AC$265="","",IFERROR(INDEX($BB$74:$BB$119,MATCH($AH$265,$AY$74:$AY$119,0)),$AH$265))</f>
        <v>kg</v>
      </c>
      <c r="AM265" s="483" t="str">
        <f t="shared" si="67"/>
        <v>OK</v>
      </c>
      <c r="AN265" s="484">
        <f t="shared" si="68"/>
        <v>15</v>
      </c>
      <c r="AO265" s="473" t="str">
        <f t="shared" si="69"/>
        <v/>
      </c>
      <c r="AP265" s="473" t="str">
        <f t="shared" si="70"/>
        <v/>
      </c>
      <c r="AQ265" s="473" t="str">
        <f t="shared" si="71"/>
        <v/>
      </c>
      <c r="AR265" s="473" t="str">
        <f t="shared" si="72"/>
        <v/>
      </c>
      <c r="AS265" s="473" t="str">
        <f t="shared" si="73"/>
        <v/>
      </c>
      <c r="AT265" s="473" t="str">
        <f t="shared" si="74"/>
        <v/>
      </c>
      <c r="AU265" s="473" t="str">
        <f t="shared" si="75"/>
        <v/>
      </c>
      <c r="AZ265" s="30" t="s">
        <v>10</v>
      </c>
      <c r="BA265" s="34" t="s">
        <v>493</v>
      </c>
      <c r="BB265" s="499"/>
      <c r="BC265" s="271"/>
      <c r="BD265" s="279">
        <v>1</v>
      </c>
      <c r="BE265" s="271"/>
      <c r="BF265" s="271"/>
      <c r="BG265" s="271"/>
      <c r="BH265" s="271"/>
      <c r="BI265" s="271"/>
      <c r="BJ265" s="271"/>
      <c r="BK265" s="271"/>
      <c r="BL265" s="271"/>
    </row>
    <row r="266" spans="18:64" ht="21" customHeight="1" x14ac:dyDescent="0.25">
      <c r="S266" s="451"/>
      <c r="T266" s="28" t="s">
        <v>13</v>
      </c>
      <c r="V266" s="475">
        <v>6</v>
      </c>
      <c r="W266" s="475" t="str">
        <f>IF($AC$266="","",$W$252)</f>
        <v>N° 50</v>
      </c>
      <c r="X266" s="476" t="str">
        <f>IF($AC$266="","",$X$252)</f>
        <v>OEUFS BROUILLÉS PORTUGAISE*</v>
      </c>
      <c r="Y266" s="477">
        <f>IF($X$266="","",$Y$252)</f>
        <v>67</v>
      </c>
      <c r="Z266" s="477">
        <f>IF($X$266="","",$Z$252)</f>
        <v>100</v>
      </c>
      <c r="AA266" s="477">
        <f>IF($AC$266="","",ROW($A$266)-ROW($A$252))</f>
        <v>14</v>
      </c>
      <c r="AB266" s="478"/>
      <c r="AC266" s="34" t="s">
        <v>402</v>
      </c>
      <c r="AD266" s="356"/>
      <c r="AE266" s="18">
        <v>10</v>
      </c>
      <c r="AF266" s="5" t="s">
        <v>8</v>
      </c>
      <c r="AG266" s="480">
        <f t="shared" si="64"/>
        <v>10</v>
      </c>
      <c r="AH266" s="481" t="str">
        <f t="shared" si="65"/>
        <v>G</v>
      </c>
      <c r="AI266" s="477" t="str">
        <f>IF($AC$266="","",IFERROR(INDEX($AZ$74:$AZ$119,MATCH($AH$266,$AY$74:$AY$119,0)),"AUTRE"))</f>
        <v>MASSE</v>
      </c>
      <c r="AJ266" s="482">
        <f>IF($AC$266="","",IFERROR(INDEX($BA$74:$BA$119,MATCH($AH$266,$AY$74:$AY$119,0)),1))</f>
        <v>1E-3</v>
      </c>
      <c r="AK266" s="482">
        <f t="shared" si="66"/>
        <v>0.01</v>
      </c>
      <c r="AL266" s="477" t="str">
        <f>IF($AC$266="","",IFERROR(INDEX($BB$74:$BB$119,MATCH($AH$266,$AY$74:$AY$119,0)),$AH$266))</f>
        <v>kg</v>
      </c>
      <c r="AM266" s="483" t="str">
        <f t="shared" si="67"/>
        <v>OK</v>
      </c>
      <c r="AN266" s="484">
        <f t="shared" si="68"/>
        <v>10</v>
      </c>
      <c r="AO266" s="473" t="str">
        <f t="shared" si="69"/>
        <v/>
      </c>
      <c r="AP266" s="473" t="str">
        <f t="shared" si="70"/>
        <v/>
      </c>
      <c r="AQ266" s="473" t="str">
        <f t="shared" si="71"/>
        <v/>
      </c>
      <c r="AR266" s="473" t="str">
        <f t="shared" si="72"/>
        <v/>
      </c>
      <c r="AS266" s="473" t="str">
        <f t="shared" si="73"/>
        <v/>
      </c>
      <c r="AT266" s="473" t="str">
        <f t="shared" si="74"/>
        <v/>
      </c>
      <c r="AU266" s="473" t="str">
        <f t="shared" si="75"/>
        <v/>
      </c>
      <c r="AZ266" s="30" t="s">
        <v>11</v>
      </c>
      <c r="BA266" s="34" t="s">
        <v>494</v>
      </c>
      <c r="BB266" s="499"/>
      <c r="BC266" s="271"/>
      <c r="BD266" s="279">
        <v>1</v>
      </c>
      <c r="BE266" s="271"/>
      <c r="BF266" s="271"/>
      <c r="BG266" s="271"/>
      <c r="BH266" s="271"/>
      <c r="BI266" s="271"/>
      <c r="BJ266" s="271"/>
      <c r="BK266" s="271"/>
      <c r="BL266" s="271"/>
    </row>
    <row r="267" spans="18:64" ht="21" customHeight="1" x14ac:dyDescent="0.25">
      <c r="R267" s="25" t="s">
        <v>6115</v>
      </c>
      <c r="S267" s="451"/>
      <c r="T267" s="28" t="s">
        <v>14</v>
      </c>
      <c r="V267" s="475">
        <v>6</v>
      </c>
      <c r="W267" s="475" t="str">
        <f>IF($AC$267="","",$W$252)</f>
        <v>N° 50</v>
      </c>
      <c r="X267" s="476" t="str">
        <f>IF($AC$267="","",$X$252)</f>
        <v>OEUFS BROUILLÉS PORTUGAISE*</v>
      </c>
      <c r="Y267" s="477">
        <f>IF($X$267="","",$Y$252)</f>
        <v>67</v>
      </c>
      <c r="Z267" s="477">
        <f>IF($X$267="","",$Z$252)</f>
        <v>100</v>
      </c>
      <c r="AA267" s="477">
        <f>IF($AC$267="","",ROW($A$267)-ROW($A$252))</f>
        <v>15</v>
      </c>
      <c r="AB267" s="478"/>
      <c r="AC267" s="34" t="s">
        <v>74</v>
      </c>
      <c r="AD267" s="356"/>
      <c r="AE267" s="18">
        <v>25</v>
      </c>
      <c r="AF267" s="21" t="s">
        <v>11</v>
      </c>
      <c r="AG267" s="480">
        <f t="shared" si="64"/>
        <v>25</v>
      </c>
      <c r="AH267" s="481" t="str">
        <f t="shared" si="65"/>
        <v>CL</v>
      </c>
      <c r="AI267" s="477" t="str">
        <f>IF($AC$267="","",IFERROR(INDEX($AZ$74:$AZ$119,MATCH($AH$267,$AY$74:$AY$119,0)),"AUTRE"))</f>
        <v>VOLUME</v>
      </c>
      <c r="AJ267" s="482">
        <f>IF($AC$267="","",IFERROR(INDEX($BA$74:$BA$119,MATCH($AH$267,$AY$74:$AY$119,0)),1))</f>
        <v>0.01</v>
      </c>
      <c r="AK267" s="482">
        <f t="shared" si="66"/>
        <v>0.25</v>
      </c>
      <c r="AL267" s="477" t="str">
        <f>IF($AC$267="","",IFERROR(INDEX($BB$74:$BB$119,MATCH($AH$267,$AY$74:$AY$119,0)),$AH$267))</f>
        <v>L</v>
      </c>
      <c r="AM267" s="483" t="str">
        <f t="shared" si="67"/>
        <v>OK</v>
      </c>
      <c r="AN267" s="484">
        <f t="shared" si="68"/>
        <v>25</v>
      </c>
      <c r="AO267" s="473" t="str">
        <f t="shared" si="69"/>
        <v/>
      </c>
      <c r="AP267" s="473" t="str">
        <f t="shared" si="70"/>
        <v/>
      </c>
      <c r="AQ267" s="473" t="str">
        <f t="shared" si="71"/>
        <v/>
      </c>
      <c r="AR267" s="473" t="str">
        <f t="shared" si="72"/>
        <v/>
      </c>
      <c r="AS267" s="473" t="str">
        <f t="shared" si="73"/>
        <v/>
      </c>
      <c r="AT267" s="473" t="str">
        <f t="shared" si="74"/>
        <v/>
      </c>
      <c r="AU267" s="473" t="str">
        <f t="shared" si="75"/>
        <v/>
      </c>
      <c r="AZ267" s="30" t="s">
        <v>12</v>
      </c>
      <c r="BB267" s="499"/>
      <c r="BC267" s="271"/>
      <c r="BD267" s="279">
        <v>1</v>
      </c>
      <c r="BE267" s="271"/>
      <c r="BF267" s="271"/>
      <c r="BG267" s="271"/>
      <c r="BH267" s="271"/>
      <c r="BI267" s="271"/>
      <c r="BJ267" s="271"/>
      <c r="BK267" s="271"/>
      <c r="BL267" s="271"/>
    </row>
    <row r="268" spans="18:64" ht="21" customHeight="1" x14ac:dyDescent="0.25">
      <c r="R268" s="34" t="s">
        <v>471</v>
      </c>
      <c r="S268" s="451"/>
      <c r="T268" s="28" t="s">
        <v>15</v>
      </c>
      <c r="V268" s="475">
        <v>6</v>
      </c>
      <c r="W268" s="475" t="str">
        <f>IF($AC$268="","",$W$252)</f>
        <v/>
      </c>
      <c r="X268" s="476" t="str">
        <f>IF($AC$268="","",$X$252)</f>
        <v/>
      </c>
      <c r="Y268" s="477" t="str">
        <f>IF($X$268="","",$Y$252)</f>
        <v/>
      </c>
      <c r="Z268" s="477" t="str">
        <f>IF($X$268="","",$Z$252)</f>
        <v/>
      </c>
      <c r="AA268" s="477" t="str">
        <f>IF($AC$268="","",ROW($A$268)-ROW($A$252))</f>
        <v/>
      </c>
      <c r="AB268" s="478"/>
      <c r="AC268" s="34" t="s">
        <v>345</v>
      </c>
      <c r="AD268" s="356"/>
      <c r="AE268" s="18"/>
      <c r="AF268" s="19"/>
      <c r="AG268" s="480" t="str">
        <f t="shared" si="64"/>
        <v/>
      </c>
      <c r="AH268" s="481" t="str">
        <f t="shared" si="65"/>
        <v/>
      </c>
      <c r="AI268" s="477" t="str">
        <f>IF($AC$268="","",IFERROR(INDEX($AZ$74:$AZ$119,MATCH($AH$268,$AY$74:$AY$119,0)),"AUTRE"))</f>
        <v/>
      </c>
      <c r="AJ268" s="482" t="str">
        <f>IF($AC$268="","",IFERROR(INDEX($BA$74:$BA$119,MATCH($AH$268,$AY$74:$AY$119,0)),1))</f>
        <v/>
      </c>
      <c r="AK268" s="482" t="str">
        <f t="shared" si="66"/>
        <v/>
      </c>
      <c r="AL268" s="477" t="str">
        <f>IF($AC$268="","",IFERROR(INDEX($BB$74:$BB$119,MATCH($AH$268,$AY$74:$AY$119,0)),$AH$268))</f>
        <v/>
      </c>
      <c r="AM268" s="483" t="str">
        <f t="shared" si="67"/>
        <v/>
      </c>
      <c r="AN268" s="484" t="str">
        <f t="shared" si="68"/>
        <v/>
      </c>
      <c r="AO268" s="473" t="str">
        <f t="shared" si="69"/>
        <v/>
      </c>
      <c r="AP268" s="473" t="str">
        <f t="shared" si="70"/>
        <v/>
      </c>
      <c r="AQ268" s="473" t="str">
        <f t="shared" si="71"/>
        <v/>
      </c>
      <c r="AR268" s="473" t="str">
        <f t="shared" si="72"/>
        <v/>
      </c>
      <c r="AS268" s="473" t="str">
        <f t="shared" si="73"/>
        <v/>
      </c>
      <c r="AT268" s="473" t="str">
        <f t="shared" si="74"/>
        <v/>
      </c>
      <c r="AU268" s="473" t="str">
        <f t="shared" si="75"/>
        <v/>
      </c>
      <c r="AZ268" s="31" t="s">
        <v>16</v>
      </c>
      <c r="BA268" s="25" t="s">
        <v>6115</v>
      </c>
      <c r="BB268" s="499"/>
      <c r="BC268" s="271"/>
      <c r="BD268" s="279">
        <v>1</v>
      </c>
      <c r="BE268" s="271"/>
      <c r="BF268" s="271"/>
      <c r="BG268" s="271"/>
      <c r="BH268" s="271"/>
      <c r="BI268" s="271"/>
      <c r="BJ268" s="271"/>
      <c r="BK268" s="271"/>
      <c r="BL268" s="271"/>
    </row>
    <row r="269" spans="18:64" ht="21" customHeight="1" x14ac:dyDescent="0.25">
      <c r="R269" s="34" t="s">
        <v>472</v>
      </c>
      <c r="S269" s="451"/>
      <c r="T269" s="28" t="s">
        <v>21</v>
      </c>
      <c r="V269" s="475">
        <v>6</v>
      </c>
      <c r="W269" s="475" t="str">
        <f>IF($AC$269="","",$W$252)</f>
        <v/>
      </c>
      <c r="X269" s="476" t="str">
        <f>IF($AC$269="","",$X$252)</f>
        <v/>
      </c>
      <c r="Y269" s="477" t="str">
        <f>IF($X$269="","",$Y$252)</f>
        <v/>
      </c>
      <c r="Z269" s="477" t="str">
        <f>IF($X$269="","",$Z$252)</f>
        <v/>
      </c>
      <c r="AA269" s="477" t="str">
        <f>IF($AC$269="","",ROW($A$269)-ROW($A$252))</f>
        <v/>
      </c>
      <c r="AB269" s="478"/>
      <c r="AC269" s="34"/>
      <c r="AD269" s="356"/>
      <c r="AE269" s="18"/>
      <c r="AF269" s="19"/>
      <c r="AG269" s="480" t="str">
        <f t="shared" si="64"/>
        <v/>
      </c>
      <c r="AH269" s="481" t="str">
        <f t="shared" si="65"/>
        <v/>
      </c>
      <c r="AI269" s="477" t="str">
        <f>IF($AC$269="","",IFERROR(INDEX($AZ$74:$AZ$119,MATCH($AH$269,$AY$74:$AY$119,0)),"AUTRE"))</f>
        <v/>
      </c>
      <c r="AJ269" s="482" t="str">
        <f>IF($AC$269="","",IFERROR(INDEX($BA$74:$BA$119,MATCH($AH$269,$AY$74:$AY$119,0)),1))</f>
        <v/>
      </c>
      <c r="AK269" s="482" t="str">
        <f t="shared" si="66"/>
        <v/>
      </c>
      <c r="AL269" s="477" t="str">
        <f>IF($AC$269="","",IFERROR(INDEX($BB$74:$BB$119,MATCH($AH$269,$AY$74:$AY$119,0)),$AH$269))</f>
        <v/>
      </c>
      <c r="AM269" s="483" t="str">
        <f t="shared" si="67"/>
        <v/>
      </c>
      <c r="AN269" s="484" t="str">
        <f t="shared" si="68"/>
        <v/>
      </c>
      <c r="AO269" s="473" t="str">
        <f t="shared" si="69"/>
        <v/>
      </c>
      <c r="AP269" s="473" t="str">
        <f t="shared" si="70"/>
        <v/>
      </c>
      <c r="AQ269" s="473" t="str">
        <f t="shared" si="71"/>
        <v/>
      </c>
      <c r="AR269" s="473" t="str">
        <f t="shared" si="72"/>
        <v/>
      </c>
      <c r="AS269" s="473" t="str">
        <f t="shared" si="73"/>
        <v/>
      </c>
      <c r="AT269" s="473" t="str">
        <f t="shared" si="74"/>
        <v/>
      </c>
      <c r="AU269" s="473" t="str">
        <f t="shared" si="75"/>
        <v/>
      </c>
      <c r="AZ269" s="31" t="s">
        <v>17</v>
      </c>
      <c r="BA269" s="34" t="s">
        <v>471</v>
      </c>
      <c r="BB269" s="499"/>
      <c r="BC269" s="271"/>
      <c r="BD269" s="279">
        <v>1</v>
      </c>
      <c r="BE269" s="271"/>
      <c r="BF269" s="271"/>
      <c r="BG269" s="271"/>
      <c r="BH269" s="271"/>
      <c r="BI269" s="271"/>
      <c r="BJ269" s="271"/>
      <c r="BK269" s="271"/>
      <c r="BL269" s="271"/>
    </row>
    <row r="270" spans="18:64" ht="21" customHeight="1" x14ac:dyDescent="0.25">
      <c r="R270" s="34" t="s">
        <v>6112</v>
      </c>
      <c r="S270" s="451"/>
      <c r="T270" s="28" t="s">
        <v>22</v>
      </c>
      <c r="V270" s="475">
        <v>6</v>
      </c>
      <c r="W270" s="475" t="str">
        <f>IF($AC$270="","",$W$252)</f>
        <v/>
      </c>
      <c r="X270" s="476" t="str">
        <f>IF($AC$270="","",$X$252)</f>
        <v/>
      </c>
      <c r="Y270" s="477" t="str">
        <f>IF($X$270="","",$Y$252)</f>
        <v/>
      </c>
      <c r="Z270" s="477" t="str">
        <f>IF($X$270="","",$Z$252)</f>
        <v/>
      </c>
      <c r="AA270" s="477" t="str">
        <f>IF($AC$270="","",ROW($A$270)-ROW($A$252))</f>
        <v/>
      </c>
      <c r="AB270" s="478"/>
      <c r="AC270" s="34"/>
      <c r="AD270" s="356"/>
      <c r="AE270" s="18"/>
      <c r="AF270" s="19"/>
      <c r="AG270" s="480" t="str">
        <f t="shared" si="64"/>
        <v/>
      </c>
      <c r="AH270" s="481" t="str">
        <f t="shared" si="65"/>
        <v/>
      </c>
      <c r="AI270" s="477" t="str">
        <f>IF($AC$270="","",IFERROR(INDEX($AZ$74:$AZ$119,MATCH($AH$270,$AY$74:$AY$119,0)),"AUTRE"))</f>
        <v/>
      </c>
      <c r="AJ270" s="482" t="str">
        <f>IF($AC$270="","",IFERROR(INDEX($BA$74:$BA$119,MATCH($AH$270,$AY$74:$AY$119,0)),1))</f>
        <v/>
      </c>
      <c r="AK270" s="482" t="str">
        <f t="shared" si="66"/>
        <v/>
      </c>
      <c r="AL270" s="477" t="str">
        <f>IF($AC$270="","",IFERROR(INDEX($BB$74:$BB$119,MATCH($AH$270,$AY$74:$AY$119,0)),$AH$270))</f>
        <v/>
      </c>
      <c r="AM270" s="483" t="str">
        <f t="shared" si="67"/>
        <v/>
      </c>
      <c r="AN270" s="484" t="str">
        <f t="shared" si="68"/>
        <v/>
      </c>
      <c r="AO270" s="473" t="str">
        <f t="shared" si="69"/>
        <v/>
      </c>
      <c r="AP270" s="473" t="str">
        <f t="shared" si="70"/>
        <v/>
      </c>
      <c r="AQ270" s="473" t="str">
        <f t="shared" si="71"/>
        <v/>
      </c>
      <c r="AR270" s="473" t="str">
        <f t="shared" si="72"/>
        <v/>
      </c>
      <c r="AS270" s="473" t="str">
        <f t="shared" si="73"/>
        <v/>
      </c>
      <c r="AT270" s="473" t="str">
        <f t="shared" si="74"/>
        <v/>
      </c>
      <c r="AU270" s="473" t="str">
        <f t="shared" si="75"/>
        <v/>
      </c>
      <c r="AZ270" s="31" t="s">
        <v>18</v>
      </c>
      <c r="BA270" s="34" t="s">
        <v>472</v>
      </c>
      <c r="BB270" s="499"/>
      <c r="BC270" s="271"/>
      <c r="BD270" s="279">
        <v>1</v>
      </c>
      <c r="BE270" s="271"/>
      <c r="BF270" s="271"/>
      <c r="BG270" s="271"/>
      <c r="BH270" s="271"/>
      <c r="BI270" s="271"/>
      <c r="BJ270" s="271"/>
      <c r="BK270" s="271"/>
      <c r="BL270" s="271"/>
    </row>
    <row r="271" spans="18:64" ht="21" customHeight="1" x14ac:dyDescent="0.25">
      <c r="R271" s="25" t="s">
        <v>6116</v>
      </c>
      <c r="S271" s="451"/>
      <c r="T271" s="28" t="s">
        <v>23</v>
      </c>
      <c r="V271" s="475">
        <v>6</v>
      </c>
      <c r="W271" s="475" t="str">
        <f>IF($AC$271="","",$W$252)</f>
        <v/>
      </c>
      <c r="X271" s="476" t="str">
        <f>IF($AC$271="","",$X$252)</f>
        <v/>
      </c>
      <c r="Y271" s="477" t="str">
        <f>IF($X$271="","",$Y$252)</f>
        <v/>
      </c>
      <c r="Z271" s="477" t="str">
        <f>IF($X$271="","",$Z$252)</f>
        <v/>
      </c>
      <c r="AA271" s="477" t="str">
        <f>IF($AC$271="","",ROW($A$271)-ROW($A$252))</f>
        <v/>
      </c>
      <c r="AB271" s="478"/>
      <c r="AC271" s="34"/>
      <c r="AD271" s="356"/>
      <c r="AE271" s="18"/>
      <c r="AF271" s="19"/>
      <c r="AG271" s="480" t="str">
        <f t="shared" si="64"/>
        <v/>
      </c>
      <c r="AH271" s="481" t="str">
        <f t="shared" si="65"/>
        <v/>
      </c>
      <c r="AI271" s="477" t="str">
        <f>IF($AC$271="","",IFERROR(INDEX($AZ$74:$AZ$119,MATCH($AH$271,$AY$74:$AY$119,0)),"AUTRE"))</f>
        <v/>
      </c>
      <c r="AJ271" s="482" t="str">
        <f>IF($AC$271="","",IFERROR(INDEX($BA$74:$BA$119,MATCH($AH$271,$AY$74:$AY$119,0)),1))</f>
        <v/>
      </c>
      <c r="AK271" s="482" t="str">
        <f t="shared" si="66"/>
        <v/>
      </c>
      <c r="AL271" s="477" t="str">
        <f>IF($AC$271="","",IFERROR(INDEX($BB$74:$BB$119,MATCH($AH$271,$AY$74:$AY$119,0)),$AH$271))</f>
        <v/>
      </c>
      <c r="AM271" s="483" t="str">
        <f t="shared" si="67"/>
        <v/>
      </c>
      <c r="AN271" s="484" t="str">
        <f t="shared" si="68"/>
        <v/>
      </c>
      <c r="AO271" s="473" t="str">
        <f t="shared" si="69"/>
        <v/>
      </c>
      <c r="AP271" s="473" t="str">
        <f t="shared" si="70"/>
        <v/>
      </c>
      <c r="AQ271" s="473" t="str">
        <f t="shared" si="71"/>
        <v/>
      </c>
      <c r="AR271" s="473" t="str">
        <f t="shared" si="72"/>
        <v/>
      </c>
      <c r="AS271" s="473" t="str">
        <f t="shared" si="73"/>
        <v/>
      </c>
      <c r="AT271" s="473" t="str">
        <f t="shared" si="74"/>
        <v/>
      </c>
      <c r="AU271" s="473" t="str">
        <f t="shared" si="75"/>
        <v/>
      </c>
      <c r="AZ271" s="31" t="s">
        <v>19</v>
      </c>
      <c r="BA271" s="34" t="s">
        <v>6112</v>
      </c>
      <c r="BB271" s="499"/>
      <c r="BC271" s="271"/>
      <c r="BD271" s="279">
        <v>1</v>
      </c>
      <c r="BE271" s="271"/>
      <c r="BF271" s="271"/>
      <c r="BG271" s="271"/>
      <c r="BH271" s="271"/>
      <c r="BI271" s="271"/>
      <c r="BJ271" s="271"/>
      <c r="BK271" s="271"/>
      <c r="BL271" s="271"/>
    </row>
    <row r="272" spans="18:64" ht="21" customHeight="1" x14ac:dyDescent="0.25">
      <c r="R272" s="34" t="s">
        <v>6117</v>
      </c>
      <c r="S272" s="451"/>
      <c r="T272" s="28" t="s">
        <v>24</v>
      </c>
      <c r="V272" s="475">
        <v>6</v>
      </c>
      <c r="W272" s="475" t="str">
        <f>IF($AC$272="","",$W$252)</f>
        <v/>
      </c>
      <c r="X272" s="476" t="str">
        <f>IF($AC$272="","",$X$252)</f>
        <v/>
      </c>
      <c r="Y272" s="477" t="str">
        <f>IF($X$272="","",$Y$252)</f>
        <v/>
      </c>
      <c r="Z272" s="477" t="str">
        <f>IF($X$272="","",$Z$252)</f>
        <v/>
      </c>
      <c r="AA272" s="477" t="str">
        <f>IF($AC$272="","",ROW($A$272)-ROW($A$252))</f>
        <v/>
      </c>
      <c r="AB272" s="478"/>
      <c r="AC272" s="34"/>
      <c r="AD272" s="356"/>
      <c r="AE272" s="18"/>
      <c r="AF272" s="19"/>
      <c r="AG272" s="480" t="str">
        <f t="shared" si="64"/>
        <v/>
      </c>
      <c r="AH272" s="481" t="str">
        <f t="shared" si="65"/>
        <v/>
      </c>
      <c r="AI272" s="477" t="str">
        <f>IF($AC$272="","",IFERROR(INDEX($AZ$74:$AZ$119,MATCH($AH$272,$AY$74:$AY$119,0)),"AUTRE"))</f>
        <v/>
      </c>
      <c r="AJ272" s="482" t="str">
        <f>IF($AC$272="","",IFERROR(INDEX($BA$74:$BA$119,MATCH($AH$272,$AY$74:$AY$119,0)),1))</f>
        <v/>
      </c>
      <c r="AK272" s="482" t="str">
        <f t="shared" si="66"/>
        <v/>
      </c>
      <c r="AL272" s="477" t="str">
        <f>IF($AC$272="","",IFERROR(INDEX($BB$74:$BB$119,MATCH($AH$272,$AY$74:$AY$119,0)),$AH$272))</f>
        <v/>
      </c>
      <c r="AM272" s="483" t="str">
        <f t="shared" si="67"/>
        <v/>
      </c>
      <c r="AN272" s="484" t="str">
        <f t="shared" si="68"/>
        <v/>
      </c>
      <c r="AO272" s="473" t="str">
        <f t="shared" si="69"/>
        <v/>
      </c>
      <c r="AP272" s="473" t="str">
        <f t="shared" si="70"/>
        <v/>
      </c>
      <c r="AQ272" s="473" t="str">
        <f t="shared" si="71"/>
        <v/>
      </c>
      <c r="AR272" s="473" t="str">
        <f t="shared" si="72"/>
        <v/>
      </c>
      <c r="AS272" s="473" t="str">
        <f t="shared" si="73"/>
        <v/>
      </c>
      <c r="AT272" s="473" t="str">
        <f t="shared" si="74"/>
        <v/>
      </c>
      <c r="AU272" s="473" t="str">
        <f t="shared" si="75"/>
        <v/>
      </c>
      <c r="AZ272" s="31" t="s">
        <v>211</v>
      </c>
      <c r="BA272" s="25" t="s">
        <v>6116</v>
      </c>
      <c r="BB272" s="499"/>
      <c r="BC272" s="271"/>
      <c r="BD272" s="279">
        <v>1</v>
      </c>
      <c r="BE272" s="271"/>
      <c r="BF272" s="271"/>
      <c r="BG272" s="271"/>
      <c r="BH272" s="271"/>
      <c r="BI272" s="271"/>
      <c r="BJ272" s="271"/>
      <c r="BK272" s="271"/>
      <c r="BL272" s="271"/>
    </row>
    <row r="273" spans="18:64" ht="21" customHeight="1" x14ac:dyDescent="0.25">
      <c r="R273" s="34" t="s">
        <v>469</v>
      </c>
      <c r="S273" s="451"/>
      <c r="T273" s="29" t="s">
        <v>9</v>
      </c>
      <c r="V273" s="475">
        <v>6</v>
      </c>
      <c r="W273" s="475" t="str">
        <f>IF($AC$273="","",$W$252)</f>
        <v/>
      </c>
      <c r="X273" s="476" t="str">
        <f>IF($AC$273="","",$X$252)</f>
        <v/>
      </c>
      <c r="Y273" s="477" t="str">
        <f>IF($X$273="","",$Y$252)</f>
        <v/>
      </c>
      <c r="Z273" s="477" t="str">
        <f>IF($X$273="","",$Z$252)</f>
        <v/>
      </c>
      <c r="AA273" s="477" t="str">
        <f>IF($AC$273="","",ROW($A$273)-ROW($A$252))</f>
        <v/>
      </c>
      <c r="AB273" s="478"/>
      <c r="AC273" s="34"/>
      <c r="AD273" s="356"/>
      <c r="AE273" s="18"/>
      <c r="AF273" s="19"/>
      <c r="AG273" s="480" t="str">
        <f t="shared" si="64"/>
        <v/>
      </c>
      <c r="AH273" s="481" t="str">
        <f t="shared" si="65"/>
        <v/>
      </c>
      <c r="AI273" s="477" t="str">
        <f>IF($AC$273="","",IFERROR(INDEX($AZ$74:$AZ$119,MATCH($AH$273,$AY$74:$AY$119,0)),"AUTRE"))</f>
        <v/>
      </c>
      <c r="AJ273" s="482" t="str">
        <f>IF($AC$273="","",IFERROR(INDEX($BA$74:$BA$119,MATCH($AH$273,$AY$74:$AY$119,0)),1))</f>
        <v/>
      </c>
      <c r="AK273" s="482" t="str">
        <f t="shared" si="66"/>
        <v/>
      </c>
      <c r="AL273" s="477" t="str">
        <f>IF($AC$273="","",IFERROR(INDEX($BB$74:$BB$119,MATCH($AH$273,$AY$74:$AY$119,0)),$AH$273))</f>
        <v/>
      </c>
      <c r="AM273" s="483" t="str">
        <f t="shared" si="67"/>
        <v/>
      </c>
      <c r="AN273" s="484" t="str">
        <f t="shared" si="68"/>
        <v/>
      </c>
      <c r="AO273" s="473" t="str">
        <f t="shared" si="69"/>
        <v/>
      </c>
      <c r="AP273" s="473" t="str">
        <f t="shared" si="70"/>
        <v/>
      </c>
      <c r="AQ273" s="473" t="str">
        <f t="shared" si="71"/>
        <v/>
      </c>
      <c r="AR273" s="473" t="str">
        <f t="shared" si="72"/>
        <v/>
      </c>
      <c r="AS273" s="473" t="str">
        <f t="shared" si="73"/>
        <v/>
      </c>
      <c r="AT273" s="473" t="str">
        <f t="shared" si="74"/>
        <v/>
      </c>
      <c r="AU273" s="473" t="str">
        <f t="shared" si="75"/>
        <v/>
      </c>
      <c r="AZ273" s="31" t="s">
        <v>20</v>
      </c>
      <c r="BA273" s="34" t="s">
        <v>6117</v>
      </c>
      <c r="BB273" s="499"/>
      <c r="BC273" s="271"/>
      <c r="BD273" s="279">
        <v>1</v>
      </c>
      <c r="BE273" s="271"/>
      <c r="BF273" s="271"/>
      <c r="BG273" s="271"/>
      <c r="BH273" s="271"/>
      <c r="BI273" s="271"/>
      <c r="BJ273" s="271"/>
      <c r="BK273" s="271"/>
      <c r="BL273" s="271"/>
    </row>
    <row r="274" spans="18:64" ht="21" customHeight="1" x14ac:dyDescent="0.25">
      <c r="R274" s="34" t="s">
        <v>6118</v>
      </c>
      <c r="S274" s="451"/>
      <c r="T274" s="30" t="s">
        <v>10</v>
      </c>
      <c r="V274" s="475">
        <v>6</v>
      </c>
      <c r="W274" s="475" t="str">
        <f>IF($AC$274="","",$W$252)</f>
        <v/>
      </c>
      <c r="X274" s="476" t="str">
        <f>IF($AC$274="","",$X$252)</f>
        <v/>
      </c>
      <c r="Y274" s="477" t="str">
        <f>IF($X$274="","",$Y$252)</f>
        <v/>
      </c>
      <c r="Z274" s="477" t="str">
        <f>IF($X$274="","",$Z$252)</f>
        <v/>
      </c>
      <c r="AA274" s="477" t="str">
        <f>IF($AC$274="","",ROW($A$274)-ROW($A$252))</f>
        <v/>
      </c>
      <c r="AB274" s="478"/>
      <c r="AC274" s="34"/>
      <c r="AD274" s="356"/>
      <c r="AE274" s="18"/>
      <c r="AF274" s="19"/>
      <c r="AG274" s="480" t="str">
        <f t="shared" si="64"/>
        <v/>
      </c>
      <c r="AH274" s="481" t="str">
        <f t="shared" si="65"/>
        <v/>
      </c>
      <c r="AI274" s="477" t="str">
        <f>IF($AC$274="","",IFERROR(INDEX($AZ$74:$AZ$119,MATCH($AH$274,$AY$74:$AY$119,0)),"AUTRE"))</f>
        <v/>
      </c>
      <c r="AJ274" s="482" t="str">
        <f>IF($AC$274="","",IFERROR(INDEX($BA$74:$BA$119,MATCH($AH$274,$AY$74:$AY$119,0)),1))</f>
        <v/>
      </c>
      <c r="AK274" s="482" t="str">
        <f t="shared" si="66"/>
        <v/>
      </c>
      <c r="AL274" s="477" t="str">
        <f>IF($AC$274="","",IFERROR(INDEX($BB$74:$BB$119,MATCH($AH$274,$AY$74:$AY$119,0)),$AH$274))</f>
        <v/>
      </c>
      <c r="AM274" s="483" t="str">
        <f t="shared" si="67"/>
        <v/>
      </c>
      <c r="AN274" s="484" t="str">
        <f t="shared" si="68"/>
        <v/>
      </c>
      <c r="AO274" s="473" t="str">
        <f t="shared" si="69"/>
        <v/>
      </c>
      <c r="AP274" s="473" t="str">
        <f t="shared" si="70"/>
        <v/>
      </c>
      <c r="AQ274" s="473" t="str">
        <f t="shared" si="71"/>
        <v/>
      </c>
      <c r="AR274" s="473" t="str">
        <f t="shared" si="72"/>
        <v/>
      </c>
      <c r="AS274" s="473" t="str">
        <f t="shared" si="73"/>
        <v/>
      </c>
      <c r="AT274" s="473" t="str">
        <f t="shared" si="74"/>
        <v/>
      </c>
      <c r="AU274" s="473" t="str">
        <f t="shared" si="75"/>
        <v/>
      </c>
      <c r="AZ274" s="31" t="s">
        <v>304</v>
      </c>
      <c r="BA274" s="34" t="s">
        <v>469</v>
      </c>
      <c r="BB274" s="499"/>
      <c r="BC274" s="271"/>
      <c r="BD274" s="279">
        <v>1</v>
      </c>
      <c r="BE274" s="271"/>
      <c r="BF274" s="271"/>
      <c r="BG274" s="271"/>
      <c r="BH274" s="271"/>
      <c r="BI274" s="271"/>
      <c r="BJ274" s="271"/>
      <c r="BK274" s="271"/>
      <c r="BL274" s="271"/>
    </row>
    <row r="275" spans="18:64" ht="21" customHeight="1" x14ac:dyDescent="0.25">
      <c r="R275" s="34" t="s">
        <v>492</v>
      </c>
      <c r="S275" s="451"/>
      <c r="T275" s="30" t="s">
        <v>11</v>
      </c>
      <c r="V275" s="475">
        <v>6</v>
      </c>
      <c r="W275" s="475" t="str">
        <f>IF($AC$275="","",$W$252)</f>
        <v/>
      </c>
      <c r="X275" s="476" t="str">
        <f>IF($AC$275="","",$X$252)</f>
        <v/>
      </c>
      <c r="Y275" s="477" t="str">
        <f>IF($X$275="","",$Y$252)</f>
        <v/>
      </c>
      <c r="Z275" s="477" t="str">
        <f>IF($X$275="","",$Z$252)</f>
        <v/>
      </c>
      <c r="AA275" s="477" t="str">
        <f>IF($AC$275="","",ROW($A$275)-ROW($A$252))</f>
        <v/>
      </c>
      <c r="AB275" s="478"/>
      <c r="AC275" s="34"/>
      <c r="AD275" s="356"/>
      <c r="AE275" s="18"/>
      <c r="AF275" s="19"/>
      <c r="AG275" s="480" t="str">
        <f t="shared" si="64"/>
        <v/>
      </c>
      <c r="AH275" s="481" t="str">
        <f t="shared" si="65"/>
        <v/>
      </c>
      <c r="AI275" s="477" t="str">
        <f>IF($AC$275="","",IFERROR(INDEX($AZ$74:$AZ$119,MATCH($AH$275,$AY$74:$AY$119,0)),"AUTRE"))</f>
        <v/>
      </c>
      <c r="AJ275" s="482" t="str">
        <f>IF($AC$275="","",IFERROR(INDEX($BA$74:$BA$119,MATCH($AH$275,$AY$74:$AY$119,0)),1))</f>
        <v/>
      </c>
      <c r="AK275" s="482" t="str">
        <f t="shared" si="66"/>
        <v/>
      </c>
      <c r="AL275" s="477" t="str">
        <f>IF($AC$275="","",IFERROR(INDEX($BB$74:$BB$119,MATCH($AH$275,$AY$74:$AY$119,0)),$AH$275))</f>
        <v/>
      </c>
      <c r="AM275" s="483" t="str">
        <f t="shared" si="67"/>
        <v/>
      </c>
      <c r="AN275" s="484" t="str">
        <f t="shared" si="68"/>
        <v/>
      </c>
      <c r="AO275" s="473" t="str">
        <f t="shared" si="69"/>
        <v/>
      </c>
      <c r="AP275" s="473" t="str">
        <f t="shared" si="70"/>
        <v/>
      </c>
      <c r="AQ275" s="473" t="str">
        <f t="shared" si="71"/>
        <v/>
      </c>
      <c r="AR275" s="473" t="str">
        <f t="shared" si="72"/>
        <v/>
      </c>
      <c r="AS275" s="473" t="str">
        <f t="shared" si="73"/>
        <v/>
      </c>
      <c r="AT275" s="473" t="str">
        <f t="shared" si="74"/>
        <v/>
      </c>
      <c r="AU275" s="473" t="str">
        <f t="shared" si="75"/>
        <v/>
      </c>
      <c r="AZ275" s="31" t="s">
        <v>352</v>
      </c>
      <c r="BA275" s="34" t="s">
        <v>6118</v>
      </c>
      <c r="BB275" s="499"/>
      <c r="BC275" s="271"/>
      <c r="BD275" s="279">
        <v>1</v>
      </c>
      <c r="BE275" s="271"/>
      <c r="BF275" s="271"/>
      <c r="BG275" s="271"/>
      <c r="BH275" s="271"/>
      <c r="BI275" s="271"/>
      <c r="BJ275" s="271"/>
      <c r="BK275" s="271"/>
      <c r="BL275" s="271"/>
    </row>
    <row r="276" spans="18:64" ht="21" customHeight="1" x14ac:dyDescent="0.25">
      <c r="R276" s="34" t="s">
        <v>458</v>
      </c>
      <c r="S276" s="451"/>
      <c r="T276" s="30" t="s">
        <v>12</v>
      </c>
      <c r="V276" s="475">
        <v>6</v>
      </c>
      <c r="W276" s="475" t="str">
        <f>IF($AC$276="","",$W$252)</f>
        <v/>
      </c>
      <c r="X276" s="476" t="str">
        <f>IF($AC$276="","",$X$252)</f>
        <v/>
      </c>
      <c r="Y276" s="477" t="str">
        <f>IF($X$276="","",$Y$252)</f>
        <v/>
      </c>
      <c r="Z276" s="477" t="str">
        <f>IF($X$276="","",$Z$252)</f>
        <v/>
      </c>
      <c r="AA276" s="477" t="str">
        <f>IF($AC$276="","",ROW($A$276)-ROW($A$252))</f>
        <v/>
      </c>
      <c r="AB276" s="478"/>
      <c r="AC276" s="34"/>
      <c r="AD276" s="356"/>
      <c r="AE276" s="18"/>
      <c r="AF276" s="19"/>
      <c r="AG276" s="480" t="str">
        <f t="shared" si="64"/>
        <v/>
      </c>
      <c r="AH276" s="481" t="str">
        <f t="shared" si="65"/>
        <v/>
      </c>
      <c r="AI276" s="477" t="str">
        <f>IF($AC$276="","",IFERROR(INDEX($AZ$74:$AZ$119,MATCH($AH$276,$AY$74:$AY$119,0)),"AUTRE"))</f>
        <v/>
      </c>
      <c r="AJ276" s="482" t="str">
        <f>IF($AC$276="","",IFERROR(INDEX($BA$74:$BA$119,MATCH($AH$276,$AY$74:$AY$119,0)),1))</f>
        <v/>
      </c>
      <c r="AK276" s="482" t="str">
        <f t="shared" si="66"/>
        <v/>
      </c>
      <c r="AL276" s="477" t="str">
        <f>IF($AC$276="","",IFERROR(INDEX($BB$74:$BB$119,MATCH($AH$276,$AY$74:$AY$119,0)),$AH$276))</f>
        <v/>
      </c>
      <c r="AM276" s="483" t="str">
        <f t="shared" si="67"/>
        <v/>
      </c>
      <c r="AN276" s="484" t="str">
        <f t="shared" si="68"/>
        <v/>
      </c>
      <c r="AO276" s="473" t="str">
        <f t="shared" si="69"/>
        <v/>
      </c>
      <c r="AP276" s="473" t="str">
        <f t="shared" si="70"/>
        <v/>
      </c>
      <c r="AQ276" s="473" t="str">
        <f t="shared" si="71"/>
        <v/>
      </c>
      <c r="AR276" s="473" t="str">
        <f t="shared" si="72"/>
        <v/>
      </c>
      <c r="AS276" s="473" t="str">
        <f t="shared" si="73"/>
        <v/>
      </c>
      <c r="AT276" s="473" t="str">
        <f t="shared" si="74"/>
        <v/>
      </c>
      <c r="AU276" s="473" t="str">
        <f t="shared" si="75"/>
        <v/>
      </c>
      <c r="AZ276" s="31" t="s">
        <v>27</v>
      </c>
      <c r="BA276" s="34" t="s">
        <v>492</v>
      </c>
      <c r="BB276" s="499"/>
      <c r="BC276" s="271"/>
      <c r="BD276" s="279">
        <v>1</v>
      </c>
      <c r="BE276" s="271"/>
      <c r="BF276" s="271"/>
      <c r="BG276" s="271"/>
      <c r="BH276" s="271"/>
      <c r="BI276" s="271"/>
      <c r="BJ276" s="271"/>
      <c r="BK276" s="271"/>
      <c r="BL276" s="271"/>
    </row>
    <row r="277" spans="18:64" ht="21" customHeight="1" x14ac:dyDescent="0.25">
      <c r="R277" s="490"/>
      <c r="S277" s="451"/>
      <c r="T277" s="31" t="s">
        <v>16</v>
      </c>
      <c r="V277" s="475">
        <v>6</v>
      </c>
      <c r="W277" s="475" t="str">
        <f>IF($AC$277="","",$W$252)</f>
        <v/>
      </c>
      <c r="X277" s="476" t="str">
        <f>IF($AC$277="","",$X$252)</f>
        <v/>
      </c>
      <c r="Y277" s="477" t="str">
        <f>IF($X$277="","",$Y$252)</f>
        <v/>
      </c>
      <c r="Z277" s="477" t="str">
        <f>IF($X$277="","",$Z$252)</f>
        <v/>
      </c>
      <c r="AA277" s="477" t="str">
        <f>IF($AC$277="","",ROW($A$277)-ROW($A$252))</f>
        <v/>
      </c>
      <c r="AB277" s="478"/>
      <c r="AC277" s="34"/>
      <c r="AD277" s="356"/>
      <c r="AE277" s="18"/>
      <c r="AF277" s="19"/>
      <c r="AG277" s="480" t="str">
        <f t="shared" si="64"/>
        <v/>
      </c>
      <c r="AH277" s="481" t="str">
        <f t="shared" si="65"/>
        <v/>
      </c>
      <c r="AI277" s="477" t="str">
        <f>IF($AC$277="","",IFERROR(INDEX($AZ$74:$AZ$119,MATCH($AH$277,$AY$74:$AY$119,0)),"AUTRE"))</f>
        <v/>
      </c>
      <c r="AJ277" s="482" t="str">
        <f>IF($AC$277="","",IFERROR(INDEX($BA$74:$BA$119,MATCH($AH$277,$AY$74:$AY$119,0)),1))</f>
        <v/>
      </c>
      <c r="AK277" s="482" t="str">
        <f t="shared" si="66"/>
        <v/>
      </c>
      <c r="AL277" s="477" t="str">
        <f>IF($AC$277="","",IFERROR(INDEX($BB$74:$BB$119,MATCH($AH$277,$AY$74:$AY$119,0)),$AH$277))</f>
        <v/>
      </c>
      <c r="AM277" s="483" t="str">
        <f t="shared" si="67"/>
        <v/>
      </c>
      <c r="AN277" s="484" t="str">
        <f t="shared" si="68"/>
        <v/>
      </c>
      <c r="AO277" s="473" t="str">
        <f t="shared" si="69"/>
        <v/>
      </c>
      <c r="AP277" s="473" t="str">
        <f t="shared" si="70"/>
        <v/>
      </c>
      <c r="AQ277" s="473" t="str">
        <f t="shared" si="71"/>
        <v/>
      </c>
      <c r="AR277" s="473" t="str">
        <f t="shared" si="72"/>
        <v/>
      </c>
      <c r="AS277" s="473" t="str">
        <f t="shared" si="73"/>
        <v/>
      </c>
      <c r="AT277" s="473" t="str">
        <f t="shared" si="74"/>
        <v/>
      </c>
      <c r="AU277" s="473" t="str">
        <f t="shared" si="75"/>
        <v/>
      </c>
      <c r="AZ277" s="31" t="s">
        <v>28</v>
      </c>
      <c r="BA277" s="34" t="s">
        <v>458</v>
      </c>
      <c r="BB277" s="499"/>
      <c r="BC277" s="271"/>
      <c r="BD277" s="279">
        <v>1</v>
      </c>
      <c r="BE277" s="271"/>
      <c r="BF277" s="271"/>
      <c r="BG277" s="271"/>
      <c r="BH277" s="271"/>
      <c r="BI277" s="271"/>
      <c r="BJ277" s="271"/>
      <c r="BK277" s="271"/>
      <c r="BL277" s="271"/>
    </row>
    <row r="278" spans="18:64" ht="21" customHeight="1" x14ac:dyDescent="0.25">
      <c r="R278" s="25" t="s">
        <v>6119</v>
      </c>
      <c r="S278" s="451"/>
      <c r="T278" s="31" t="s">
        <v>17</v>
      </c>
      <c r="V278" s="475">
        <v>6</v>
      </c>
      <c r="W278" s="475" t="str">
        <f>IF($AC$278="","",$W$252)</f>
        <v/>
      </c>
      <c r="X278" s="476" t="str">
        <f>IF($AC$278="","",$X$252)</f>
        <v/>
      </c>
      <c r="Y278" s="477" t="str">
        <f>IF($X$278="","",$Y$252)</f>
        <v/>
      </c>
      <c r="Z278" s="477" t="str">
        <f>IF($X$278="","",$Z$252)</f>
        <v/>
      </c>
      <c r="AA278" s="477" t="str">
        <f>IF($AC$278="","",ROW($A$278)-ROW($A$252))</f>
        <v/>
      </c>
      <c r="AB278" s="478"/>
      <c r="AC278" s="34"/>
      <c r="AD278" s="356"/>
      <c r="AE278" s="18"/>
      <c r="AF278" s="19"/>
      <c r="AG278" s="480" t="str">
        <f t="shared" si="64"/>
        <v/>
      </c>
      <c r="AH278" s="481" t="str">
        <f t="shared" si="65"/>
        <v/>
      </c>
      <c r="AI278" s="477" t="str">
        <f>IF($AC$278="","",IFERROR(INDEX($AZ$74:$AZ$119,MATCH($AH$278,$AY$74:$AY$119,0)),"AUTRE"))</f>
        <v/>
      </c>
      <c r="AJ278" s="482" t="str">
        <f>IF($AC$278="","",IFERROR(INDEX($BA$74:$BA$119,MATCH($AH$278,$AY$74:$AY$119,0)),1))</f>
        <v/>
      </c>
      <c r="AK278" s="482" t="str">
        <f t="shared" si="66"/>
        <v/>
      </c>
      <c r="AL278" s="477" t="str">
        <f>IF($AC$278="","",IFERROR(INDEX($BB$74:$BB$119,MATCH($AH$278,$AY$74:$AY$119,0)),$AH$278))</f>
        <v/>
      </c>
      <c r="AM278" s="483" t="str">
        <f t="shared" si="67"/>
        <v/>
      </c>
      <c r="AN278" s="484" t="str">
        <f t="shared" si="68"/>
        <v/>
      </c>
      <c r="AO278" s="473" t="str">
        <f t="shared" si="69"/>
        <v/>
      </c>
      <c r="AP278" s="473" t="str">
        <f t="shared" si="70"/>
        <v/>
      </c>
      <c r="AQ278" s="473" t="str">
        <f t="shared" si="71"/>
        <v/>
      </c>
      <c r="AR278" s="473" t="str">
        <f t="shared" si="72"/>
        <v/>
      </c>
      <c r="AS278" s="473" t="str">
        <f t="shared" si="73"/>
        <v/>
      </c>
      <c r="AT278" s="473" t="str">
        <f t="shared" si="74"/>
        <v/>
      </c>
      <c r="AU278" s="473" t="str">
        <f t="shared" si="75"/>
        <v/>
      </c>
      <c r="AZ278" s="31" t="s">
        <v>29</v>
      </c>
      <c r="BA278" s="490"/>
      <c r="BB278" s="499"/>
      <c r="BC278" s="271"/>
      <c r="BD278" s="279">
        <v>1</v>
      </c>
      <c r="BE278" s="271"/>
      <c r="BF278" s="271"/>
      <c r="BG278" s="271"/>
      <c r="BH278" s="271"/>
      <c r="BI278" s="271"/>
      <c r="BJ278" s="271"/>
      <c r="BK278" s="271"/>
      <c r="BL278" s="271"/>
    </row>
    <row r="279" spans="18:64" ht="21" customHeight="1" x14ac:dyDescent="0.25">
      <c r="R279" s="34" t="s">
        <v>6120</v>
      </c>
      <c r="S279" s="451"/>
      <c r="T279" s="31" t="s">
        <v>18</v>
      </c>
      <c r="V279" s="475">
        <v>6</v>
      </c>
      <c r="W279" s="475" t="str">
        <f>IF($AC$279="","",$W$252)</f>
        <v/>
      </c>
      <c r="X279" s="476" t="str">
        <f>IF($AC$279="","",$X$252)</f>
        <v/>
      </c>
      <c r="Y279" s="477" t="str">
        <f>IF($X$279="","",$Y$252)</f>
        <v/>
      </c>
      <c r="Z279" s="477" t="str">
        <f>IF($X$279="","",$Z$252)</f>
        <v/>
      </c>
      <c r="AA279" s="477" t="str">
        <f>IF($AC$279="","",ROW($A$279)-ROW($A$252))</f>
        <v/>
      </c>
      <c r="AB279" s="478"/>
      <c r="AC279" s="34"/>
      <c r="AD279" s="356"/>
      <c r="AE279" s="18"/>
      <c r="AF279" s="19"/>
      <c r="AG279" s="480" t="str">
        <f t="shared" si="64"/>
        <v/>
      </c>
      <c r="AH279" s="481" t="str">
        <f t="shared" si="65"/>
        <v/>
      </c>
      <c r="AI279" s="477" t="str">
        <f>IF($AC$279="","",IFERROR(INDEX($AZ$74:$AZ$119,MATCH($AH$279,$AY$74:$AY$119,0)),"AUTRE"))</f>
        <v/>
      </c>
      <c r="AJ279" s="482" t="str">
        <f>IF($AC$279="","",IFERROR(INDEX($BA$74:$BA$119,MATCH($AH$279,$AY$74:$AY$119,0)),1))</f>
        <v/>
      </c>
      <c r="AK279" s="482" t="str">
        <f t="shared" si="66"/>
        <v/>
      </c>
      <c r="AL279" s="477" t="str">
        <f>IF($AC$279="","",IFERROR(INDEX($BB$74:$BB$119,MATCH($AH$279,$AY$74:$AY$119,0)),$AH$279))</f>
        <v/>
      </c>
      <c r="AM279" s="483" t="str">
        <f t="shared" si="67"/>
        <v/>
      </c>
      <c r="AN279" s="484" t="str">
        <f t="shared" si="68"/>
        <v/>
      </c>
      <c r="AO279" s="473" t="str">
        <f t="shared" si="69"/>
        <v/>
      </c>
      <c r="AP279" s="473" t="str">
        <f t="shared" si="70"/>
        <v/>
      </c>
      <c r="AQ279" s="473" t="str">
        <f t="shared" si="71"/>
        <v/>
      </c>
      <c r="AR279" s="473" t="str">
        <f t="shared" si="72"/>
        <v/>
      </c>
      <c r="AS279" s="473" t="str">
        <f t="shared" si="73"/>
        <v/>
      </c>
      <c r="AT279" s="473" t="str">
        <f t="shared" si="74"/>
        <v/>
      </c>
      <c r="AU279" s="473" t="str">
        <f t="shared" si="75"/>
        <v/>
      </c>
      <c r="AZ279" s="31" t="s">
        <v>30</v>
      </c>
      <c r="BA279" s="25" t="s">
        <v>6119</v>
      </c>
      <c r="BB279" s="499"/>
      <c r="BC279" s="271"/>
      <c r="BD279" s="279">
        <v>1</v>
      </c>
      <c r="BE279" s="271"/>
      <c r="BF279" s="271"/>
      <c r="BG279" s="271"/>
      <c r="BH279" s="271"/>
      <c r="BI279" s="271"/>
      <c r="BJ279" s="271"/>
      <c r="BK279" s="271"/>
      <c r="BL279" s="271"/>
    </row>
    <row r="280" spans="18:64" ht="21" customHeight="1" x14ac:dyDescent="0.25">
      <c r="R280" s="34" t="s">
        <v>6121</v>
      </c>
      <c r="S280" s="451"/>
      <c r="T280" s="31" t="s">
        <v>19</v>
      </c>
      <c r="V280" s="475">
        <v>6</v>
      </c>
      <c r="W280" s="475" t="str">
        <f>IF($AC$280="","",$W$252)</f>
        <v/>
      </c>
      <c r="X280" s="476" t="str">
        <f>IF($AC$280="","",$X$252)</f>
        <v/>
      </c>
      <c r="Y280" s="477" t="str">
        <f>IF($X$280="","",$Y$252)</f>
        <v/>
      </c>
      <c r="Z280" s="477" t="str">
        <f>IF($X$280="","",$Z$252)</f>
        <v/>
      </c>
      <c r="AA280" s="477" t="str">
        <f>IF($AC$280="","",ROW($A$280)-ROW($A$252))</f>
        <v/>
      </c>
      <c r="AB280" s="478"/>
      <c r="AC280" s="34"/>
      <c r="AD280" s="356"/>
      <c r="AE280" s="18"/>
      <c r="AF280" s="19"/>
      <c r="AG280" s="480" t="str">
        <f t="shared" si="64"/>
        <v/>
      </c>
      <c r="AH280" s="481" t="str">
        <f t="shared" si="65"/>
        <v/>
      </c>
      <c r="AI280" s="477" t="str">
        <f>IF($AC$280="","",IFERROR(INDEX($AZ$74:$AZ$119,MATCH($AH$280,$AY$74:$AY$119,0)),"AUTRE"))</f>
        <v/>
      </c>
      <c r="AJ280" s="482" t="str">
        <f>IF($AC$280="","",IFERROR(INDEX($BA$74:$BA$119,MATCH($AH$280,$AY$74:$AY$119,0)),1))</f>
        <v/>
      </c>
      <c r="AK280" s="482" t="str">
        <f t="shared" si="66"/>
        <v/>
      </c>
      <c r="AL280" s="477" t="str">
        <f>IF($AC$280="","",IFERROR(INDEX($BB$74:$BB$119,MATCH($AH$280,$AY$74:$AY$119,0)),$AH$280))</f>
        <v/>
      </c>
      <c r="AM280" s="483" t="str">
        <f t="shared" si="67"/>
        <v/>
      </c>
      <c r="AN280" s="484" t="str">
        <f t="shared" si="68"/>
        <v/>
      </c>
      <c r="AO280" s="473" t="str">
        <f t="shared" si="69"/>
        <v/>
      </c>
      <c r="AP280" s="473" t="str">
        <f t="shared" si="70"/>
        <v/>
      </c>
      <c r="AQ280" s="473" t="str">
        <f t="shared" si="71"/>
        <v/>
      </c>
      <c r="AR280" s="473" t="str">
        <f t="shared" si="72"/>
        <v/>
      </c>
      <c r="AS280" s="473" t="str">
        <f t="shared" si="73"/>
        <v/>
      </c>
      <c r="AT280" s="473" t="str">
        <f t="shared" si="74"/>
        <v/>
      </c>
      <c r="AU280" s="473" t="str">
        <f t="shared" si="75"/>
        <v/>
      </c>
      <c r="AY280" s="271"/>
      <c r="AZ280" s="32" t="s">
        <v>33</v>
      </c>
      <c r="BA280" s="34" t="s">
        <v>6120</v>
      </c>
      <c r="BB280" s="499"/>
      <c r="BC280" s="271"/>
      <c r="BD280" s="279">
        <v>1</v>
      </c>
      <c r="BE280" s="271"/>
      <c r="BF280" s="271"/>
      <c r="BG280" s="271"/>
      <c r="BH280" s="271"/>
      <c r="BI280" s="271"/>
      <c r="BJ280" s="271"/>
      <c r="BK280" s="271"/>
      <c r="BL280" s="271"/>
    </row>
    <row r="281" spans="18:64" ht="21" customHeight="1" x14ac:dyDescent="0.25">
      <c r="R281" s="34" t="s">
        <v>6122</v>
      </c>
      <c r="S281" s="451"/>
      <c r="T281" s="31" t="s">
        <v>211</v>
      </c>
      <c r="V281" s="475">
        <v>6</v>
      </c>
      <c r="W281" s="475" t="str">
        <f>IF($AC$281="","",$W$252)</f>
        <v/>
      </c>
      <c r="X281" s="476" t="str">
        <f>IF($AC$281="","",$X$252)</f>
        <v/>
      </c>
      <c r="Y281" s="477" t="str">
        <f>IF($X$281="","",$Y$252)</f>
        <v/>
      </c>
      <c r="Z281" s="477" t="str">
        <f>IF($X$281="","",$Z$252)</f>
        <v/>
      </c>
      <c r="AA281" s="477" t="str">
        <f>IF($AC$281="","",ROW($A$281)-ROW($A$252))</f>
        <v/>
      </c>
      <c r="AB281" s="478"/>
      <c r="AC281" s="34"/>
      <c r="AD281" s="356"/>
      <c r="AE281" s="18"/>
      <c r="AF281" s="19"/>
      <c r="AG281" s="480" t="str">
        <f t="shared" si="64"/>
        <v/>
      </c>
      <c r="AH281" s="481" t="str">
        <f t="shared" si="65"/>
        <v/>
      </c>
      <c r="AI281" s="477" t="str">
        <f>IF($AC$281="","",IFERROR(INDEX($AZ$74:$AZ$119,MATCH($AH$281,$AY$74:$AY$119,0)),"AUTRE"))</f>
        <v/>
      </c>
      <c r="AJ281" s="482" t="str">
        <f>IF($AC$281="","",IFERROR(INDEX($BA$74:$BA$119,MATCH($AH$281,$AY$74:$AY$119,0)),1))</f>
        <v/>
      </c>
      <c r="AK281" s="482" t="str">
        <f t="shared" si="66"/>
        <v/>
      </c>
      <c r="AL281" s="477" t="str">
        <f>IF($AC$281="","",IFERROR(INDEX($BB$74:$BB$119,MATCH($AH$281,$AY$74:$AY$119,0)),$AH$281))</f>
        <v/>
      </c>
      <c r="AM281" s="483" t="str">
        <f t="shared" si="67"/>
        <v/>
      </c>
      <c r="AN281" s="484" t="str">
        <f t="shared" si="68"/>
        <v/>
      </c>
      <c r="AO281" s="473" t="str">
        <f t="shared" si="69"/>
        <v/>
      </c>
      <c r="AP281" s="473" t="str">
        <f t="shared" si="70"/>
        <v/>
      </c>
      <c r="AQ281" s="473" t="str">
        <f t="shared" si="71"/>
        <v/>
      </c>
      <c r="AR281" s="473" t="str">
        <f t="shared" si="72"/>
        <v/>
      </c>
      <c r="AS281" s="473" t="str">
        <f t="shared" si="73"/>
        <v/>
      </c>
      <c r="AT281" s="473" t="str">
        <f t="shared" si="74"/>
        <v/>
      </c>
      <c r="AU281" s="473" t="str">
        <f t="shared" si="75"/>
        <v/>
      </c>
      <c r="AY281" s="497" t="s">
        <v>8145</v>
      </c>
      <c r="AZ281" s="32" t="s">
        <v>8125</v>
      </c>
      <c r="BA281" s="34" t="s">
        <v>6121</v>
      </c>
      <c r="BB281" s="499"/>
      <c r="BC281" s="271"/>
      <c r="BD281" s="279">
        <v>1</v>
      </c>
      <c r="BE281" s="271"/>
      <c r="BF281" s="271"/>
      <c r="BG281" s="271"/>
      <c r="BH281" s="271"/>
      <c r="BI281" s="271"/>
      <c r="BJ281" s="271"/>
      <c r="BK281" s="271"/>
      <c r="BL281" s="271"/>
    </row>
    <row r="282" spans="18:64" ht="21" customHeight="1" x14ac:dyDescent="0.25">
      <c r="R282" s="34" t="s">
        <v>6123</v>
      </c>
      <c r="S282" s="451"/>
      <c r="T282" s="31" t="s">
        <v>20</v>
      </c>
      <c r="V282" s="475">
        <v>6</v>
      </c>
      <c r="W282" s="475" t="str">
        <f>IF($AC$282="","",$W$252)</f>
        <v/>
      </c>
      <c r="X282" s="476" t="str">
        <f>IF($AC$282="","",$X$252)</f>
        <v/>
      </c>
      <c r="Y282" s="477" t="str">
        <f>IF($X$282="","",$Y$252)</f>
        <v/>
      </c>
      <c r="Z282" s="477" t="str">
        <f>IF($X$282="","",$Z$252)</f>
        <v/>
      </c>
      <c r="AA282" s="477" t="str">
        <f>IF($AC$282="","",ROW($A$282)-ROW($A$252))</f>
        <v/>
      </c>
      <c r="AB282" s="478"/>
      <c r="AC282" s="34"/>
      <c r="AD282" s="356"/>
      <c r="AE282" s="18"/>
      <c r="AF282" s="19"/>
      <c r="AG282" s="480" t="str">
        <f t="shared" si="64"/>
        <v/>
      </c>
      <c r="AH282" s="481" t="str">
        <f t="shared" si="65"/>
        <v/>
      </c>
      <c r="AI282" s="477" t="str">
        <f>IF($AC$282="","",IFERROR(INDEX($AZ$74:$AZ$119,MATCH($AH$282,$AY$74:$AY$119,0)),"AUTRE"))</f>
        <v/>
      </c>
      <c r="AJ282" s="482" t="str">
        <f>IF($AC$282="","",IFERROR(INDEX($BA$74:$BA$119,MATCH($AH$282,$AY$74:$AY$119,0)),1))</f>
        <v/>
      </c>
      <c r="AK282" s="482" t="str">
        <f t="shared" si="66"/>
        <v/>
      </c>
      <c r="AL282" s="477" t="str">
        <f>IF($AC$282="","",IFERROR(INDEX($BB$74:$BB$119,MATCH($AH$282,$AY$74:$AY$119,0)),$AH$282))</f>
        <v/>
      </c>
      <c r="AM282" s="483" t="str">
        <f t="shared" si="67"/>
        <v/>
      </c>
      <c r="AN282" s="484" t="str">
        <f t="shared" si="68"/>
        <v/>
      </c>
      <c r="AO282" s="473" t="str">
        <f t="shared" si="69"/>
        <v/>
      </c>
      <c r="AP282" s="473" t="str">
        <f t="shared" si="70"/>
        <v/>
      </c>
      <c r="AQ282" s="473" t="str">
        <f t="shared" si="71"/>
        <v/>
      </c>
      <c r="AR282" s="473" t="str">
        <f t="shared" si="72"/>
        <v/>
      </c>
      <c r="AS282" s="473" t="str">
        <f t="shared" si="73"/>
        <v/>
      </c>
      <c r="AT282" s="473" t="str">
        <f t="shared" si="74"/>
        <v/>
      </c>
      <c r="AU282" s="473" t="str">
        <f t="shared" si="75"/>
        <v/>
      </c>
      <c r="AY282" s="497" t="s">
        <v>462</v>
      </c>
      <c r="AZ282" s="32" t="s">
        <v>8127</v>
      </c>
      <c r="BA282" s="34" t="s">
        <v>6122</v>
      </c>
      <c r="BB282" s="499"/>
      <c r="BC282" s="271"/>
      <c r="BD282" s="279">
        <v>1</v>
      </c>
      <c r="BE282" s="271"/>
      <c r="BF282" s="271"/>
      <c r="BG282" s="271"/>
      <c r="BH282" s="271"/>
      <c r="BI282" s="271"/>
      <c r="BJ282" s="271"/>
      <c r="BK282" s="271"/>
      <c r="BL282" s="271"/>
    </row>
    <row r="283" spans="18:64" ht="21" customHeight="1" x14ac:dyDescent="0.25">
      <c r="R283" s="34" t="s">
        <v>6124</v>
      </c>
      <c r="S283" s="451"/>
      <c r="T283" s="31" t="s">
        <v>304</v>
      </c>
      <c r="V283" s="475">
        <v>6</v>
      </c>
      <c r="W283" s="475" t="str">
        <f>IF($AC$283="","",$W$252)</f>
        <v/>
      </c>
      <c r="X283" s="476" t="str">
        <f>IF($AC$283="","",$X$252)</f>
        <v/>
      </c>
      <c r="Y283" s="477" t="str">
        <f>IF($X$283="","",$Y$252)</f>
        <v/>
      </c>
      <c r="Z283" s="477" t="str">
        <f>IF($X$283="","",$Z$252)</f>
        <v/>
      </c>
      <c r="AA283" s="477" t="str">
        <f>IF($AC$283="","",ROW($A$283)-ROW($A$252))</f>
        <v/>
      </c>
      <c r="AB283" s="478"/>
      <c r="AC283" s="34"/>
      <c r="AD283" s="356"/>
      <c r="AE283" s="18"/>
      <c r="AF283" s="19"/>
      <c r="AG283" s="480" t="str">
        <f t="shared" si="64"/>
        <v/>
      </c>
      <c r="AH283" s="481" t="str">
        <f t="shared" si="65"/>
        <v/>
      </c>
      <c r="AI283" s="477" t="str">
        <f>IF($AC$283="","",IFERROR(INDEX($AZ$74:$AZ$119,MATCH($AH$283,$AY$74:$AY$119,0)),"AUTRE"))</f>
        <v/>
      </c>
      <c r="AJ283" s="482" t="str">
        <f>IF($AC$283="","",IFERROR(INDEX($BA$74:$BA$119,MATCH($AH$283,$AY$74:$AY$119,0)),1))</f>
        <v/>
      </c>
      <c r="AK283" s="482" t="str">
        <f t="shared" si="66"/>
        <v/>
      </c>
      <c r="AL283" s="477" t="str">
        <f>IF($AC$283="","",IFERROR(INDEX($BB$74:$BB$119,MATCH($AH$283,$AY$74:$AY$119,0)),$AH$283))</f>
        <v/>
      </c>
      <c r="AM283" s="483" t="str">
        <f t="shared" si="67"/>
        <v/>
      </c>
      <c r="AN283" s="484" t="str">
        <f t="shared" si="68"/>
        <v/>
      </c>
      <c r="AO283" s="473" t="str">
        <f t="shared" si="69"/>
        <v/>
      </c>
      <c r="AP283" s="473" t="str">
        <f t="shared" si="70"/>
        <v/>
      </c>
      <c r="AQ283" s="473" t="str">
        <f t="shared" si="71"/>
        <v/>
      </c>
      <c r="AR283" s="473" t="str">
        <f t="shared" si="72"/>
        <v/>
      </c>
      <c r="AS283" s="473" t="str">
        <f t="shared" si="73"/>
        <v/>
      </c>
      <c r="AT283" s="473" t="str">
        <f t="shared" si="74"/>
        <v/>
      </c>
      <c r="AU283" s="473" t="str">
        <f t="shared" si="75"/>
        <v/>
      </c>
      <c r="AY283" s="497" t="s">
        <v>463</v>
      </c>
      <c r="AZ283" s="32" t="s">
        <v>320</v>
      </c>
      <c r="BA283" s="34" t="s">
        <v>6123</v>
      </c>
      <c r="BB283" s="499"/>
      <c r="BC283" s="271"/>
      <c r="BD283" s="279">
        <v>1</v>
      </c>
      <c r="BE283" s="271"/>
      <c r="BF283" s="271"/>
      <c r="BG283" s="271"/>
      <c r="BH283" s="271"/>
      <c r="BI283" s="271"/>
      <c r="BJ283" s="271"/>
      <c r="BK283" s="271"/>
      <c r="BL283" s="271"/>
    </row>
    <row r="284" spans="18:64" ht="21" customHeight="1" x14ac:dyDescent="0.25">
      <c r="R284" s="34" t="s">
        <v>6125</v>
      </c>
      <c r="S284" s="451"/>
      <c r="T284" s="31" t="s">
        <v>352</v>
      </c>
      <c r="V284" s="475">
        <v>6</v>
      </c>
      <c r="W284" s="475" t="str">
        <f>IF($AC$284="","",$W$252)</f>
        <v>N° 50</v>
      </c>
      <c r="X284" s="476" t="str">
        <f>IF($AC$284="","",$X$252)</f>
        <v>OEUFS BROUILLÉS PORTUGAISE*</v>
      </c>
      <c r="Y284" s="477">
        <f>IF($X$284="","",$Y$252)</f>
        <v>67</v>
      </c>
      <c r="Z284" s="477">
        <f>IF($X$284="","",$Z$252)</f>
        <v>100</v>
      </c>
      <c r="AA284" s="477">
        <f>IF($AC$284="","",ROW($A$284)-ROW($A$252))</f>
        <v>32</v>
      </c>
      <c r="AB284" s="478"/>
      <c r="AC284" s="34" t="s">
        <v>477</v>
      </c>
      <c r="AD284" s="356"/>
      <c r="AE284" s="18">
        <v>1</v>
      </c>
      <c r="AF284" s="33" t="s">
        <v>462</v>
      </c>
      <c r="AG284" s="480">
        <f t="shared" si="64"/>
        <v>1</v>
      </c>
      <c r="AH284" s="481" t="str">
        <f t="shared" si="65"/>
        <v>BAC(S)</v>
      </c>
      <c r="AI284" s="477" t="str">
        <f>IF($AC$284="","",IFERROR(INDEX($AZ$74:$AZ$119,MATCH($AH$284,$AY$74:$AY$119,0)),"AUTRE"))</f>
        <v>AUTRE</v>
      </c>
      <c r="AJ284" s="482">
        <f>IF($AC$284="","",IFERROR(INDEX($BA$74:$BA$119,MATCH($AH$284,$AY$74:$AY$119,0)),1))</f>
        <v>1</v>
      </c>
      <c r="AK284" s="482">
        <f t="shared" si="66"/>
        <v>1</v>
      </c>
      <c r="AL284" s="477" t="str">
        <f>IF($AC$284="","",IFERROR(INDEX($BB$74:$BB$119,MATCH($AH$284,$AY$74:$AY$119,0)),$AH$284))</f>
        <v>bac(s)</v>
      </c>
      <c r="AM284" s="483" t="str">
        <f t="shared" si="67"/>
        <v>OK</v>
      </c>
      <c r="AN284" s="484">
        <f t="shared" si="68"/>
        <v>1</v>
      </c>
      <c r="AO284" s="473" t="str">
        <f t="shared" si="69"/>
        <v/>
      </c>
      <c r="AP284" s="473" t="str">
        <f t="shared" si="70"/>
        <v/>
      </c>
      <c r="AQ284" s="473" t="str">
        <f t="shared" si="71"/>
        <v/>
      </c>
      <c r="AR284" s="473" t="str">
        <f t="shared" si="72"/>
        <v/>
      </c>
      <c r="AS284" s="473" t="str">
        <f t="shared" si="73"/>
        <v/>
      </c>
      <c r="AT284" s="473" t="str">
        <f t="shared" si="74"/>
        <v/>
      </c>
      <c r="AU284" s="473" t="str">
        <f t="shared" si="75"/>
        <v/>
      </c>
      <c r="AY284" s="497" t="s">
        <v>8147</v>
      </c>
      <c r="AZ284" s="32" t="s">
        <v>318</v>
      </c>
      <c r="BA284" s="34" t="s">
        <v>6124</v>
      </c>
      <c r="BB284" s="499"/>
      <c r="BC284" s="271"/>
      <c r="BD284" s="279">
        <v>1</v>
      </c>
      <c r="BE284" s="271"/>
      <c r="BF284" s="271"/>
      <c r="BG284" s="271"/>
      <c r="BH284" s="271"/>
      <c r="BI284" s="271"/>
      <c r="BJ284" s="271"/>
      <c r="BK284" s="271"/>
      <c r="BL284" s="271"/>
    </row>
    <row r="285" spans="18:64" ht="21" customHeight="1" x14ac:dyDescent="0.25">
      <c r="R285" s="34" t="s">
        <v>6126</v>
      </c>
      <c r="S285" s="451"/>
      <c r="T285" s="31" t="s">
        <v>25</v>
      </c>
      <c r="V285" s="475">
        <v>6</v>
      </c>
      <c r="W285" s="475" t="str">
        <f>IF($AC$285="","",$W$252)</f>
        <v>N° 50</v>
      </c>
      <c r="X285" s="476" t="str">
        <f>IF($AC$285="","",$X$252)</f>
        <v>OEUFS BROUILLÉS PORTUGAISE*</v>
      </c>
      <c r="Y285" s="477">
        <f>IF($X$285="","",$Y$252)</f>
        <v>67</v>
      </c>
      <c r="Z285" s="477">
        <f>IF($X$285="","",$Z$252)</f>
        <v>100</v>
      </c>
      <c r="AA285" s="477">
        <f>IF($AC$285="","",ROW($A$285)-ROW($A$252))</f>
        <v>33</v>
      </c>
      <c r="AB285" s="478"/>
      <c r="AC285" s="34" t="s">
        <v>478</v>
      </c>
      <c r="AD285" s="356"/>
      <c r="AE285" s="18">
        <v>1</v>
      </c>
      <c r="AF285" s="33" t="s">
        <v>462</v>
      </c>
      <c r="AG285" s="480">
        <f t="shared" si="64"/>
        <v>1</v>
      </c>
      <c r="AH285" s="481" t="str">
        <f t="shared" si="65"/>
        <v>BAC(S)</v>
      </c>
      <c r="AI285" s="477" t="str">
        <f>IF($AC$285="","",IFERROR(INDEX($AZ$74:$AZ$119,MATCH($AH$285,$AY$74:$AY$119,0)),"AUTRE"))</f>
        <v>AUTRE</v>
      </c>
      <c r="AJ285" s="482">
        <f>IF($AC$285="","",IFERROR(INDEX($BA$74:$BA$119,MATCH($AH$285,$AY$74:$AY$119,0)),1))</f>
        <v>1</v>
      </c>
      <c r="AK285" s="482">
        <f t="shared" si="66"/>
        <v>1</v>
      </c>
      <c r="AL285" s="477" t="str">
        <f>IF($AC$285="","",IFERROR(INDEX($BB$74:$BB$119,MATCH($AH$285,$AY$74:$AY$119,0)),$AH$285))</f>
        <v>bac(s)</v>
      </c>
      <c r="AM285" s="483" t="str">
        <f t="shared" si="67"/>
        <v>OK</v>
      </c>
      <c r="AN285" s="484">
        <f t="shared" si="68"/>
        <v>1</v>
      </c>
      <c r="AO285" s="473" t="str">
        <f t="shared" si="69"/>
        <v/>
      </c>
      <c r="AP285" s="473" t="str">
        <f t="shared" si="70"/>
        <v/>
      </c>
      <c r="AQ285" s="473" t="str">
        <f t="shared" si="71"/>
        <v/>
      </c>
      <c r="AR285" s="473" t="str">
        <f t="shared" si="72"/>
        <v/>
      </c>
      <c r="AS285" s="473" t="str">
        <f t="shared" si="73"/>
        <v/>
      </c>
      <c r="AT285" s="473" t="str">
        <f t="shared" si="74"/>
        <v/>
      </c>
      <c r="AU285" s="473" t="str">
        <f t="shared" si="75"/>
        <v/>
      </c>
      <c r="AY285" s="497" t="s">
        <v>465</v>
      </c>
      <c r="AZ285" s="32" t="s">
        <v>316</v>
      </c>
      <c r="BA285" s="34" t="s">
        <v>6125</v>
      </c>
      <c r="BB285" s="499"/>
      <c r="BC285" s="271"/>
      <c r="BD285" s="279">
        <v>1</v>
      </c>
      <c r="BE285" s="271"/>
      <c r="BF285" s="271"/>
      <c r="BG285" s="271"/>
      <c r="BH285" s="271"/>
      <c r="BI285" s="271"/>
      <c r="BJ285" s="271"/>
      <c r="BK285" s="271"/>
      <c r="BL285" s="271"/>
    </row>
    <row r="286" spans="18:64" ht="21" customHeight="1" x14ac:dyDescent="0.25">
      <c r="R286" s="34" t="s">
        <v>6127</v>
      </c>
      <c r="S286" s="451"/>
      <c r="T286" s="31" t="s">
        <v>26</v>
      </c>
      <c r="V286" s="475">
        <v>6</v>
      </c>
      <c r="W286" s="475" t="str">
        <f>IF($AC$286="","",$W$252)</f>
        <v>N° 50</v>
      </c>
      <c r="X286" s="476" t="str">
        <f>IF($AC$286="","",$X$252)</f>
        <v>OEUFS BROUILLÉS PORTUGAISE*</v>
      </c>
      <c r="Y286" s="477">
        <f>IF($X$286="","",$Y$252)</f>
        <v>67</v>
      </c>
      <c r="Z286" s="477">
        <f>IF($X$286="","",$Z$252)</f>
        <v>100</v>
      </c>
      <c r="AA286" s="477">
        <f>IF($AC$286="","",ROW($A$286)-ROW($A$252))</f>
        <v>34</v>
      </c>
      <c r="AB286" s="478"/>
      <c r="AC286" s="34" t="s">
        <v>479</v>
      </c>
      <c r="AD286" s="356"/>
      <c r="AE286" s="18">
        <v>4</v>
      </c>
      <c r="AF286" s="33" t="s">
        <v>462</v>
      </c>
      <c r="AG286" s="491">
        <f t="shared" si="64"/>
        <v>4</v>
      </c>
      <c r="AH286" s="481" t="str">
        <f t="shared" si="65"/>
        <v>BAC(S)</v>
      </c>
      <c r="AI286" s="477" t="str">
        <f>IF($AC$286="","",IFERROR(INDEX($AZ$74:$AZ$119,MATCH($AH$286,$AY$74:$AY$119,0)),"AUTRE"))</f>
        <v>AUTRE</v>
      </c>
      <c r="AJ286" s="482">
        <f>IF($AC$286="","",IFERROR(INDEX($BA$74:$BA$119,MATCH($AH$286,$AY$74:$AY$119,0)),1))</f>
        <v>1</v>
      </c>
      <c r="AK286" s="482">
        <f t="shared" si="66"/>
        <v>4</v>
      </c>
      <c r="AL286" s="477" t="str">
        <f>IF($AC$286="","",IFERROR(INDEX($BB$74:$BB$119,MATCH($AH$286,$AY$74:$AY$119,0)),$AH$286))</f>
        <v>bac(s)</v>
      </c>
      <c r="AM286" s="483" t="str">
        <f t="shared" si="67"/>
        <v>OK</v>
      </c>
      <c r="AN286" s="484">
        <f t="shared" si="68"/>
        <v>4</v>
      </c>
      <c r="AO286" s="473" t="str">
        <f t="shared" si="69"/>
        <v/>
      </c>
      <c r="AP286" s="473" t="str">
        <f t="shared" si="70"/>
        <v/>
      </c>
      <c r="AQ286" s="473" t="str">
        <f t="shared" si="71"/>
        <v/>
      </c>
      <c r="AR286" s="473" t="str">
        <f t="shared" si="72"/>
        <v/>
      </c>
      <c r="AS286" s="473" t="str">
        <f t="shared" si="73"/>
        <v/>
      </c>
      <c r="AT286" s="473" t="str">
        <f t="shared" si="74"/>
        <v/>
      </c>
      <c r="AU286" s="473" t="str">
        <f t="shared" si="75"/>
        <v/>
      </c>
      <c r="AY286" s="497" t="s">
        <v>466</v>
      </c>
      <c r="AZ286" s="32" t="s">
        <v>313</v>
      </c>
      <c r="BA286" s="34" t="s">
        <v>6126</v>
      </c>
      <c r="BB286" s="499"/>
      <c r="BC286" s="271"/>
      <c r="BD286" s="279">
        <v>1</v>
      </c>
      <c r="BE286" s="271"/>
      <c r="BF286" s="271"/>
      <c r="BG286" s="271"/>
      <c r="BH286" s="271"/>
      <c r="BI286" s="271"/>
      <c r="BJ286" s="271"/>
      <c r="BK286" s="271"/>
      <c r="BL286" s="271"/>
    </row>
    <row r="287" spans="18:64" ht="30" customHeight="1" x14ac:dyDescent="0.25">
      <c r="R287" s="25" t="s">
        <v>6128</v>
      </c>
      <c r="S287" s="451"/>
      <c r="T287" s="31" t="s">
        <v>27</v>
      </c>
      <c r="V287" s="453" t="s">
        <v>324</v>
      </c>
      <c r="W287" s="453" t="s">
        <v>7912</v>
      </c>
      <c r="X287" s="453" t="s">
        <v>326</v>
      </c>
      <c r="Y287" s="453" t="s">
        <v>327</v>
      </c>
      <c r="Z287" s="454" t="s">
        <v>7930</v>
      </c>
      <c r="AA287" s="453" t="s">
        <v>7937</v>
      </c>
      <c r="AB287" s="455" t="s">
        <v>39</v>
      </c>
      <c r="AC287" s="455" t="s">
        <v>338</v>
      </c>
      <c r="AD287" s="455" t="s">
        <v>8114</v>
      </c>
      <c r="AE287" s="455" t="s">
        <v>339</v>
      </c>
      <c r="AF287" s="455" t="s">
        <v>7997</v>
      </c>
      <c r="AG287" s="453" t="s">
        <v>8018</v>
      </c>
      <c r="AH287" s="453" t="s">
        <v>8023</v>
      </c>
      <c r="AI287" s="453" t="s">
        <v>330</v>
      </c>
      <c r="AJ287" s="453" t="s">
        <v>8031</v>
      </c>
      <c r="AK287" s="453" t="s">
        <v>8037</v>
      </c>
      <c r="AL287" s="453" t="s">
        <v>8041</v>
      </c>
      <c r="AM287" s="453" t="s">
        <v>343</v>
      </c>
      <c r="AN287" s="457" t="s">
        <v>8115</v>
      </c>
      <c r="AO287" s="457" t="s">
        <v>8116</v>
      </c>
      <c r="AP287" s="656" t="s">
        <v>8117</v>
      </c>
      <c r="AQ287" s="656"/>
      <c r="AR287" s="656"/>
      <c r="AS287" s="656"/>
      <c r="AT287" s="656"/>
      <c r="AU287" s="657"/>
      <c r="AZ287" s="32" t="s">
        <v>307</v>
      </c>
      <c r="BA287" s="34" t="s">
        <v>6127</v>
      </c>
      <c r="BB287" s="499"/>
      <c r="BC287" s="271"/>
      <c r="BD287" s="279">
        <v>1</v>
      </c>
      <c r="BE287" s="271"/>
      <c r="BF287" s="271"/>
      <c r="BG287" s="271"/>
      <c r="BH287" s="271"/>
      <c r="BI287" s="271"/>
      <c r="BJ287" s="271"/>
      <c r="BK287" s="271"/>
      <c r="BL287" s="271"/>
    </row>
    <row r="288" spans="18:64" ht="30" customHeight="1" x14ac:dyDescent="0.25">
      <c r="R288" s="34" t="s">
        <v>474</v>
      </c>
      <c r="S288" s="451"/>
      <c r="T288" s="31" t="s">
        <v>28</v>
      </c>
      <c r="V288" s="459">
        <v>7</v>
      </c>
      <c r="W288" s="460" t="s">
        <v>293</v>
      </c>
      <c r="X288" s="461" t="s">
        <v>403</v>
      </c>
      <c r="Y288" s="462">
        <v>68</v>
      </c>
      <c r="Z288" s="463">
        <v>100</v>
      </c>
      <c r="AA288" s="464">
        <f>IF($AC$396="","",ROW($A$396)-ROW($A$396))</f>
        <v>0</v>
      </c>
      <c r="AB288" s="461"/>
      <c r="AC288" s="465" t="s">
        <v>391</v>
      </c>
      <c r="AD288" s="390"/>
      <c r="AE288" s="13">
        <v>15</v>
      </c>
      <c r="AF288" s="6" t="s">
        <v>9</v>
      </c>
      <c r="AG288" s="467">
        <f t="shared" ref="AG288:AG322" si="76">IF($AC288="","",IF(LEN($AN288&amp;"")=0,"",$AN288))</f>
        <v>15</v>
      </c>
      <c r="AH288" s="468" t="str">
        <f t="shared" ref="AH288:AH322" si="77">IF($AC288="","",IF($AF288&lt;&gt;"",UPPER(TRIM(SUBSTITUTE(SUBSTITUTE($AF288&amp;"",CHAR(160)," ")," "," "))),$AP288))</f>
        <v>L</v>
      </c>
      <c r="AI288" s="469" t="str">
        <f>IF($AC$288="","",IFERROR(INDEX($AZ$74:$AZ$119,MATCH($AH$288,$AY$74:$AY$119,0)),"AUTRE"))</f>
        <v>VOLUME</v>
      </c>
      <c r="AJ288" s="470">
        <f>IF($AC$288="","",IFERROR(INDEX($BA$74:$BA$119,MATCH($AH$288,$AY$74:$AY$119,0)),1))</f>
        <v>1</v>
      </c>
      <c r="AK288" s="470">
        <f t="shared" si="66"/>
        <v>15</v>
      </c>
      <c r="AL288" s="469" t="str">
        <f>IF($AC$288="","",IFERROR(INDEX($BB$74:$BB$119,MATCH($AH$288,$AY$74:$AY$119,0)),$AH$288))</f>
        <v>L</v>
      </c>
      <c r="AM288" s="471" t="str">
        <f t="shared" ref="AM288:AM322" si="78">IF($AC288="","",IF($AH288="QT. SUFFISANTE","OK",IF($AG288="","TEXTE",IF(NOT(ISNUMBER($AG288)),"QUANTITÉ À CONTRÔLER",IF(COUNTIF($AY$74:$AY$119,$AH288)=0,"UNITÉ À CONTRÔLER","OK")))))</f>
        <v>OK</v>
      </c>
      <c r="AN288" s="474">
        <f t="shared" ref="AN288:AN322" si="79">IF($AE288&lt;&gt;"",$AE288,IF($AD288="","",IF(ISNUMBER($AD288),$AD288,IF($AO288="QT",0,IF($AO288="","",IFERROR(IF(ISNUMBER(SEARCH("/",$AO288)),VALUE(TRIM(LEFT($AO288,SEARCH("/",$AO288)-1)))/VALUE(TRIM(MID($AO288,SEARCH("/",$AO288)+1,99))),VALUE(SUBSTITUTE($AO288,".",","))),""))))))</f>
        <v>15</v>
      </c>
      <c r="AO288" s="473" t="str">
        <f t="shared" ref="AO288:AO322" si="80">IF($AD288="","",IF(ISNUMBER($AD288),$AD288,IF(OR(LEFT($AQ288,3)="QT.",LEFT($AQ288,4)="QUAN"),"QT",IF($AR288=999,$AQ288,TRIM(LEFT($AQ288,$AR288-1))))))</f>
        <v/>
      </c>
      <c r="AP288" s="473" t="str">
        <f t="shared" ref="AP288:AP322" si="81">IF($AD288="","",IF(ISNUMBER($AD288),"",IF(OR(LEFT($AQ288,3)="QT.",LEFT($AQ288,4)="QUAN"),"QT. SUFFISANTE",IF($AO288="","",TRIM(MID($AQ288,LEN($AO288&amp;"")+1,999))))))</f>
        <v/>
      </c>
      <c r="AQ288" s="473" t="str">
        <f t="shared" ref="AQ288:AQ322" si="82">IF($AD288="","",UPPER(TRIM(SUBSTITUTE(SUBSTITUTE($AD288&amp;"",CHAR(160)," ")," "," "))))</f>
        <v/>
      </c>
      <c r="AR288" s="473" t="str">
        <f t="shared" ref="AR288:AR322" si="83">IF($AQ288="","",MIN($AS288,$AT288,$AU288))</f>
        <v/>
      </c>
      <c r="AS288" s="473" t="str">
        <f t="shared" ref="AS288:AS322" si="84">IF($AQ288="","",MIN(IFERROR(SEARCH("A",$AQ288),999),IFERROR(SEARCH("B",$AQ288),999),IFERROR(SEARCH("C",$AQ288),999),IFERROR(SEARCH("D",$AQ288),999),IFERROR(SEARCH("E",$AQ288),999),IFERROR(SEARCH("F",$AQ288),999),IFERROR(SEARCH("G",$AQ288),999),IFERROR(SEARCH("H",$AQ288),999),IFERROR(SEARCH("I",$AQ288),999)))</f>
        <v/>
      </c>
      <c r="AT288" s="473" t="str">
        <f t="shared" ref="AT288:AT322" si="85">IF($AQ288="","",MIN(IFERROR(SEARCH("J",$AQ288),999),IFERROR(SEARCH("K",$AQ288),999),IFERROR(SEARCH("L",$AQ288),999),IFERROR(SEARCH("M",$AQ288),999),IFERROR(SEARCH("N",$AQ288),999),IFERROR(SEARCH("O",$AQ288),999),IFERROR(SEARCH("P",$AQ288),999),IFERROR(SEARCH("Q",$AQ288),999),IFERROR(SEARCH("R",$AQ288),999)))</f>
        <v/>
      </c>
      <c r="AU288" s="473" t="str">
        <f t="shared" ref="AU288:AU322" si="86">IF($AQ288="","",MIN(IFERROR(SEARCH("S",$AQ288),999),IFERROR(SEARCH("T",$AQ288),999),IFERROR(SEARCH("U",$AQ288),999),IFERROR(SEARCH("V",$AQ288),999),IFERROR(SEARCH("W",$AQ288),999),IFERROR(SEARCH("X",$AQ288),999),IFERROR(SEARCH("Y",$AQ288),999),IFERROR(SEARCH("Z",$AQ288),999)))</f>
        <v/>
      </c>
      <c r="AZ288" s="32" t="s">
        <v>322</v>
      </c>
      <c r="BA288" s="25" t="s">
        <v>6128</v>
      </c>
      <c r="BB288" s="499"/>
      <c r="BC288" s="271"/>
      <c r="BD288" s="279">
        <v>1</v>
      </c>
      <c r="BE288" s="271"/>
      <c r="BF288" s="271"/>
      <c r="BG288" s="271"/>
      <c r="BH288" s="271"/>
      <c r="BI288" s="271"/>
      <c r="BJ288" s="271"/>
      <c r="BK288" s="271"/>
      <c r="BL288" s="271"/>
    </row>
    <row r="289" spans="18:64" ht="21" customHeight="1" x14ac:dyDescent="0.25">
      <c r="R289" s="34" t="s">
        <v>490</v>
      </c>
      <c r="S289" s="451"/>
      <c r="T289" s="31" t="s">
        <v>29</v>
      </c>
      <c r="V289" s="475">
        <f>$V$288</f>
        <v>7</v>
      </c>
      <c r="W289" s="475" t="str">
        <f>IF($AC$289="","",$W$288)</f>
        <v>N° 51</v>
      </c>
      <c r="X289" s="476" t="str">
        <f>IF($AC$289="","",$X$288)</f>
        <v>OMELETTE CHÈVRE ET MENTHE *</v>
      </c>
      <c r="Y289" s="477">
        <f>IF($X$289="","",$Y$288)</f>
        <v>68</v>
      </c>
      <c r="Z289" s="477">
        <f>IF($X$289="","",$Z$288)</f>
        <v>100</v>
      </c>
      <c r="AA289" s="477">
        <f>IF($AC$289="","",ROW($A$289)-ROW($A$288))</f>
        <v>1</v>
      </c>
      <c r="AB289" s="478"/>
      <c r="AC289" s="34" t="s">
        <v>90</v>
      </c>
      <c r="AD289" s="356"/>
      <c r="AE289" s="18">
        <v>3</v>
      </c>
      <c r="AF289" s="26" t="s">
        <v>315</v>
      </c>
      <c r="AG289" s="480">
        <f t="shared" si="76"/>
        <v>3</v>
      </c>
      <c r="AH289" s="481" t="str">
        <f t="shared" si="77"/>
        <v>BOTTE(S)</v>
      </c>
      <c r="AI289" s="477" t="str">
        <f>IF($AC$289="","",IFERROR(INDEX($AZ$74:$AZ$119,MATCH($AH$289,$AY$74:$AY$119,0)),"AUTRE"))</f>
        <v>AUTRE</v>
      </c>
      <c r="AJ289" s="482">
        <f>IF($AC$289="","",IFERROR(INDEX($BA$74:$BA$119,MATCH($AH$289,$AY$74:$AY$119,0)),1))</f>
        <v>1</v>
      </c>
      <c r="AK289" s="482">
        <f t="shared" si="66"/>
        <v>3</v>
      </c>
      <c r="AL289" s="477" t="str">
        <f>IF($AC$289="","",IFERROR(INDEX($BB$74:$BB$119,MATCH($AH$289,$AY$74:$AY$119,0)),$AH$289))</f>
        <v>BOTTE(S)</v>
      </c>
      <c r="AM289" s="483" t="str">
        <f t="shared" si="78"/>
        <v>UNITÉ À CONTRÔLER</v>
      </c>
      <c r="AN289" s="484">
        <f t="shared" si="79"/>
        <v>3</v>
      </c>
      <c r="AO289" s="473" t="str">
        <f t="shared" si="80"/>
        <v/>
      </c>
      <c r="AP289" s="473" t="str">
        <f t="shared" si="81"/>
        <v/>
      </c>
      <c r="AQ289" s="473" t="str">
        <f t="shared" si="82"/>
        <v/>
      </c>
      <c r="AR289" s="473" t="str">
        <f t="shared" si="83"/>
        <v/>
      </c>
      <c r="AS289" s="473" t="str">
        <f t="shared" si="84"/>
        <v/>
      </c>
      <c r="AT289" s="473" t="str">
        <f t="shared" si="85"/>
        <v/>
      </c>
      <c r="AU289" s="473" t="str">
        <f t="shared" si="86"/>
        <v/>
      </c>
      <c r="AZ289" s="32" t="s">
        <v>305</v>
      </c>
      <c r="BA289" s="34" t="s">
        <v>474</v>
      </c>
      <c r="BB289" s="499"/>
      <c r="BC289" s="271"/>
      <c r="BD289" s="279">
        <v>1</v>
      </c>
      <c r="BE289" s="271"/>
      <c r="BF289" s="271"/>
      <c r="BG289" s="271"/>
      <c r="BH289" s="271"/>
      <c r="BI289" s="271"/>
      <c r="BJ289" s="271"/>
      <c r="BK289" s="271"/>
      <c r="BL289" s="271"/>
    </row>
    <row r="290" spans="18:64" ht="21" customHeight="1" x14ac:dyDescent="0.25">
      <c r="R290" s="34" t="s">
        <v>6129</v>
      </c>
      <c r="S290" s="451"/>
      <c r="T290" s="31" t="s">
        <v>30</v>
      </c>
      <c r="V290" s="475">
        <v>7</v>
      </c>
      <c r="W290" s="475" t="str">
        <f>IF($AC$290="","",$W$288)</f>
        <v>N° 51</v>
      </c>
      <c r="X290" s="476" t="str">
        <f>IF($AC$290="","",$X$288)</f>
        <v>OMELETTE CHÈVRE ET MENTHE *</v>
      </c>
      <c r="Y290" s="477">
        <f>IF($X$290="","",$Y$288)</f>
        <v>68</v>
      </c>
      <c r="Z290" s="477">
        <f>IF($X$290="","",$Z$288)</f>
        <v>100</v>
      </c>
      <c r="AA290" s="477">
        <f>IF($AC$290="","",ROW($A$290)-ROW($A$288))</f>
        <v>2</v>
      </c>
      <c r="AB290" s="478"/>
      <c r="AC290" s="34" t="s">
        <v>404</v>
      </c>
      <c r="AD290" s="356"/>
      <c r="AE290" s="18">
        <v>3.5</v>
      </c>
      <c r="AF290" s="3" t="s">
        <v>7</v>
      </c>
      <c r="AG290" s="480">
        <f t="shared" si="76"/>
        <v>3.5</v>
      </c>
      <c r="AH290" s="481" t="str">
        <f t="shared" si="77"/>
        <v>KG</v>
      </c>
      <c r="AI290" s="477" t="str">
        <f>IF($AC$290="","",IFERROR(INDEX($AZ$74:$AZ$119,MATCH($AH$290,$AY$74:$AY$119,0)),"AUTRE"))</f>
        <v>MASSE</v>
      </c>
      <c r="AJ290" s="482">
        <f>IF($AC$290="","",IFERROR(INDEX($BA$74:$BA$119,MATCH($AH$290,$AY$74:$AY$119,0)),1))</f>
        <v>1</v>
      </c>
      <c r="AK290" s="482">
        <f t="shared" si="66"/>
        <v>3.5</v>
      </c>
      <c r="AL290" s="477" t="str">
        <f>IF($AC$290="","",IFERROR(INDEX($BB$74:$BB$119,MATCH($AH$290,$AY$74:$AY$119,0)),$AH$290))</f>
        <v>kg</v>
      </c>
      <c r="AM290" s="483" t="str">
        <f t="shared" si="78"/>
        <v>OK</v>
      </c>
      <c r="AN290" s="484">
        <f t="shared" si="79"/>
        <v>3.5</v>
      </c>
      <c r="AO290" s="473" t="str">
        <f t="shared" si="80"/>
        <v/>
      </c>
      <c r="AP290" s="473" t="str">
        <f t="shared" si="81"/>
        <v/>
      </c>
      <c r="AQ290" s="473" t="str">
        <f t="shared" si="82"/>
        <v/>
      </c>
      <c r="AR290" s="473" t="str">
        <f t="shared" si="83"/>
        <v/>
      </c>
      <c r="AS290" s="473" t="str">
        <f t="shared" si="84"/>
        <v/>
      </c>
      <c r="AT290" s="473" t="str">
        <f t="shared" si="85"/>
        <v/>
      </c>
      <c r="AU290" s="473" t="str">
        <f t="shared" si="86"/>
        <v/>
      </c>
      <c r="AZ290" s="32" t="s">
        <v>8129</v>
      </c>
      <c r="BA290" s="34" t="s">
        <v>490</v>
      </c>
      <c r="BB290" s="499"/>
      <c r="BC290" s="271"/>
      <c r="BD290" s="279">
        <v>1</v>
      </c>
      <c r="BE290" s="271"/>
      <c r="BF290" s="271"/>
      <c r="BG290" s="271"/>
      <c r="BH290" s="271"/>
      <c r="BI290" s="271"/>
      <c r="BJ290" s="271"/>
      <c r="BK290" s="271"/>
      <c r="BL290" s="271"/>
    </row>
    <row r="291" spans="18:64" ht="21" customHeight="1" x14ac:dyDescent="0.25">
      <c r="R291" s="34" t="s">
        <v>478</v>
      </c>
      <c r="S291" s="451"/>
      <c r="T291" s="31" t="s">
        <v>31</v>
      </c>
      <c r="V291" s="475">
        <v>7</v>
      </c>
      <c r="W291" s="475" t="str">
        <f>IF($AC$291="","",$W$288)</f>
        <v>N° 51</v>
      </c>
      <c r="X291" s="476" t="str">
        <f>IF($AC$291="","",$X$288)</f>
        <v>OMELETTE CHÈVRE ET MENTHE *</v>
      </c>
      <c r="Y291" s="477">
        <f>IF($X$291="","",$Y$288)</f>
        <v>68</v>
      </c>
      <c r="Z291" s="477">
        <f>IF($X$291="","",$Z$288)</f>
        <v>100</v>
      </c>
      <c r="AA291" s="477">
        <f>IF($AC$291="","",ROW($A$291)-ROW($A$288))</f>
        <v>3</v>
      </c>
      <c r="AB291" s="478"/>
      <c r="AC291" s="34" t="s">
        <v>405</v>
      </c>
      <c r="AD291" s="356"/>
      <c r="AE291" s="18">
        <v>3.5</v>
      </c>
      <c r="AF291" s="3" t="s">
        <v>7</v>
      </c>
      <c r="AG291" s="480">
        <f t="shared" si="76"/>
        <v>3.5</v>
      </c>
      <c r="AH291" s="481" t="str">
        <f t="shared" si="77"/>
        <v>KG</v>
      </c>
      <c r="AI291" s="477" t="str">
        <f>IF($AC$291="","",IFERROR(INDEX($AZ$74:$AZ$119,MATCH($AH$291,$AY$74:$AY$119,0)),"AUTRE"))</f>
        <v>MASSE</v>
      </c>
      <c r="AJ291" s="482">
        <f>IF($AC$291="","",IFERROR(INDEX($BA$74:$BA$119,MATCH($AH$291,$AY$74:$AY$119,0)),1))</f>
        <v>1</v>
      </c>
      <c r="AK291" s="482">
        <f t="shared" si="66"/>
        <v>3.5</v>
      </c>
      <c r="AL291" s="477" t="str">
        <f>IF($AC$291="","",IFERROR(INDEX($BB$74:$BB$119,MATCH($AH$291,$AY$74:$AY$119,0)),$AH$291))</f>
        <v>kg</v>
      </c>
      <c r="AM291" s="483" t="str">
        <f t="shared" si="78"/>
        <v>OK</v>
      </c>
      <c r="AN291" s="484">
        <f t="shared" si="79"/>
        <v>3.5</v>
      </c>
      <c r="AO291" s="473" t="str">
        <f t="shared" si="80"/>
        <v/>
      </c>
      <c r="AP291" s="473" t="str">
        <f t="shared" si="81"/>
        <v/>
      </c>
      <c r="AQ291" s="473" t="str">
        <f t="shared" si="82"/>
        <v/>
      </c>
      <c r="AR291" s="473" t="str">
        <f t="shared" si="83"/>
        <v/>
      </c>
      <c r="AS291" s="473" t="str">
        <f t="shared" si="84"/>
        <v/>
      </c>
      <c r="AT291" s="473" t="str">
        <f t="shared" si="85"/>
        <v/>
      </c>
      <c r="AU291" s="473" t="str">
        <f t="shared" si="86"/>
        <v/>
      </c>
      <c r="AZ291" s="32" t="s">
        <v>8131</v>
      </c>
      <c r="BA291" s="34" t="s">
        <v>6129</v>
      </c>
      <c r="BB291" s="499"/>
      <c r="BC291" s="271"/>
      <c r="BD291" s="279">
        <v>1</v>
      </c>
      <c r="BE291" s="271"/>
      <c r="BF291" s="271"/>
      <c r="BG291" s="271"/>
      <c r="BH291" s="271"/>
      <c r="BI291" s="271"/>
      <c r="BJ291" s="271"/>
      <c r="BK291" s="271"/>
      <c r="BL291" s="271"/>
    </row>
    <row r="292" spans="18:64" ht="21" customHeight="1" x14ac:dyDescent="0.25">
      <c r="R292" s="34" t="s">
        <v>6130</v>
      </c>
      <c r="S292" s="451"/>
      <c r="T292" s="32" t="s">
        <v>33</v>
      </c>
      <c r="V292" s="475">
        <v>7</v>
      </c>
      <c r="W292" s="475" t="str">
        <f>IF($AC$292="","",$W$288)</f>
        <v>N° 51</v>
      </c>
      <c r="X292" s="476" t="str">
        <f>IF($AC$292="","",$X$288)</f>
        <v>OMELETTE CHÈVRE ET MENTHE *</v>
      </c>
      <c r="Y292" s="477">
        <f>IF($X$292="","",$Y$288)</f>
        <v>68</v>
      </c>
      <c r="Z292" s="477">
        <f>IF($X$292="","",$Z$288)</f>
        <v>100</v>
      </c>
      <c r="AA292" s="477">
        <f>IF($AC$292="","",ROW($A$292)-ROW($A$288))</f>
        <v>4</v>
      </c>
      <c r="AB292" s="478"/>
      <c r="AC292" s="34" t="s">
        <v>67</v>
      </c>
      <c r="AD292" s="356"/>
      <c r="AE292" s="26" t="s">
        <v>33</v>
      </c>
      <c r="AF292" s="19"/>
      <c r="AG292" s="480" t="str">
        <f t="shared" si="76"/>
        <v>QT. SUFFISANTE</v>
      </c>
      <c r="AH292" s="481" t="str">
        <f t="shared" si="77"/>
        <v/>
      </c>
      <c r="AI292" s="477" t="str">
        <f>IF($AC$292="","",IFERROR(INDEX($AZ$74:$AZ$119,MATCH($AH$292,$AY$74:$AY$119,0)),"AUTRE"))</f>
        <v>AUTRE</v>
      </c>
      <c r="AJ292" s="482">
        <f>IF($AC$292="","",IFERROR(INDEX($BA$74:$BA$119,MATCH($AH$292,$AY$74:$AY$119,0)),1))</f>
        <v>1</v>
      </c>
      <c r="AK292" s="482" t="e">
        <f t="shared" si="66"/>
        <v>#VALUE!</v>
      </c>
      <c r="AL292" s="477" t="str">
        <f>IF($AC$292="","",IFERROR(INDEX($BB$74:$BB$119,MATCH($AH$292,$AY$74:$AY$119,0)),$AH$292))</f>
        <v/>
      </c>
      <c r="AM292" s="483" t="str">
        <f t="shared" si="78"/>
        <v>QUANTITÉ À CONTRÔLER</v>
      </c>
      <c r="AN292" s="484" t="str">
        <f t="shared" si="79"/>
        <v>QT. SUFFISANTE</v>
      </c>
      <c r="AO292" s="473" t="str">
        <f t="shared" si="80"/>
        <v/>
      </c>
      <c r="AP292" s="473" t="str">
        <f t="shared" si="81"/>
        <v/>
      </c>
      <c r="AQ292" s="473" t="str">
        <f t="shared" si="82"/>
        <v/>
      </c>
      <c r="AR292" s="473" t="str">
        <f t="shared" si="83"/>
        <v/>
      </c>
      <c r="AS292" s="473" t="str">
        <f t="shared" si="84"/>
        <v/>
      </c>
      <c r="AT292" s="473" t="str">
        <f t="shared" si="85"/>
        <v/>
      </c>
      <c r="AU292" s="473" t="str">
        <f t="shared" si="86"/>
        <v/>
      </c>
      <c r="AZ292" s="32" t="s">
        <v>309</v>
      </c>
      <c r="BA292" s="34" t="s">
        <v>478</v>
      </c>
      <c r="BB292" s="499"/>
      <c r="BC292" s="271"/>
      <c r="BD292" s="279">
        <v>1</v>
      </c>
      <c r="BE292" s="271"/>
      <c r="BF292" s="271"/>
      <c r="BG292" s="271"/>
      <c r="BH292" s="271"/>
      <c r="BI292" s="271"/>
      <c r="BJ292" s="271"/>
      <c r="BK292" s="271"/>
      <c r="BL292" s="271"/>
    </row>
    <row r="293" spans="18:64" ht="21" customHeight="1" x14ac:dyDescent="0.25">
      <c r="R293" s="34" t="s">
        <v>486</v>
      </c>
      <c r="S293" s="451"/>
      <c r="T293" s="32" t="s">
        <v>8125</v>
      </c>
      <c r="V293" s="475">
        <v>7</v>
      </c>
      <c r="W293" s="475" t="str">
        <f>IF($AC$293="","",$W$288)</f>
        <v>N° 51</v>
      </c>
      <c r="X293" s="476" t="str">
        <f>IF($AC$293="","",$X$288)</f>
        <v>OMELETTE CHÈVRE ET MENTHE *</v>
      </c>
      <c r="Y293" s="477">
        <f>IF($X$293="","",$Y$288)</f>
        <v>68</v>
      </c>
      <c r="Z293" s="477">
        <f>IF($X$293="","",$Z$288)</f>
        <v>100</v>
      </c>
      <c r="AA293" s="477">
        <f>IF($AC$293="","",ROW($A$293)-ROW($A$288))</f>
        <v>5</v>
      </c>
      <c r="AB293" s="478"/>
      <c r="AC293" s="34" t="s">
        <v>44</v>
      </c>
      <c r="AD293" s="356"/>
      <c r="AE293" s="26" t="s">
        <v>33</v>
      </c>
      <c r="AF293" s="19"/>
      <c r="AG293" s="480" t="str">
        <f t="shared" si="76"/>
        <v>QT. SUFFISANTE</v>
      </c>
      <c r="AH293" s="481" t="str">
        <f t="shared" si="77"/>
        <v/>
      </c>
      <c r="AI293" s="477" t="str">
        <f>IF($AC$293="","",IFERROR(INDEX($AZ$74:$AZ$119,MATCH($AH$293,$AY$74:$AY$119,0)),"AUTRE"))</f>
        <v>AUTRE</v>
      </c>
      <c r="AJ293" s="482">
        <f>IF($AC$293="","",IFERROR(INDEX($BA$74:$BA$119,MATCH($AH$293,$AY$74:$AY$119,0)),1))</f>
        <v>1</v>
      </c>
      <c r="AK293" s="482" t="e">
        <f t="shared" si="66"/>
        <v>#VALUE!</v>
      </c>
      <c r="AL293" s="477" t="str">
        <f>IF($AC$293="","",IFERROR(INDEX($BB$74:$BB$119,MATCH($AH$293,$AY$74:$AY$119,0)),$AH$293))</f>
        <v/>
      </c>
      <c r="AM293" s="483" t="str">
        <f t="shared" si="78"/>
        <v>QUANTITÉ À CONTRÔLER</v>
      </c>
      <c r="AN293" s="484" t="str">
        <f t="shared" si="79"/>
        <v>QT. SUFFISANTE</v>
      </c>
      <c r="AO293" s="473" t="str">
        <f t="shared" si="80"/>
        <v/>
      </c>
      <c r="AP293" s="473" t="str">
        <f t="shared" si="81"/>
        <v/>
      </c>
      <c r="AQ293" s="473" t="str">
        <f t="shared" si="82"/>
        <v/>
      </c>
      <c r="AR293" s="473" t="str">
        <f t="shared" si="83"/>
        <v/>
      </c>
      <c r="AS293" s="473" t="str">
        <f t="shared" si="84"/>
        <v/>
      </c>
      <c r="AT293" s="473" t="str">
        <f t="shared" si="85"/>
        <v/>
      </c>
      <c r="AU293" s="473" t="str">
        <f t="shared" si="86"/>
        <v/>
      </c>
      <c r="AZ293" s="32" t="s">
        <v>311</v>
      </c>
      <c r="BA293" s="34" t="s">
        <v>6130</v>
      </c>
      <c r="BB293" s="499"/>
      <c r="BC293" s="271"/>
      <c r="BD293" s="279">
        <v>1</v>
      </c>
      <c r="BE293" s="271"/>
      <c r="BF293" s="271"/>
      <c r="BG293" s="271"/>
      <c r="BH293" s="271"/>
      <c r="BI293" s="271"/>
      <c r="BJ293" s="271"/>
      <c r="BK293" s="271"/>
      <c r="BL293" s="271"/>
    </row>
    <row r="294" spans="18:64" ht="21" customHeight="1" x14ac:dyDescent="0.25">
      <c r="R294" s="34" t="s">
        <v>479</v>
      </c>
      <c r="S294" s="451"/>
      <c r="T294" s="32" t="s">
        <v>8127</v>
      </c>
      <c r="V294" s="475">
        <v>7</v>
      </c>
      <c r="W294" s="475" t="str">
        <f>IF($AC$294="","",$W$288)</f>
        <v>N° 51</v>
      </c>
      <c r="X294" s="476" t="str">
        <f>IF($AC$294="","",$X$288)</f>
        <v>OMELETTE CHÈVRE ET MENTHE *</v>
      </c>
      <c r="Y294" s="477">
        <f>IF($X$294="","",$Y$288)</f>
        <v>68</v>
      </c>
      <c r="Z294" s="477">
        <f>IF($X$294="","",$Z$288)</f>
        <v>100</v>
      </c>
      <c r="AA294" s="477">
        <f>IF($AC$294="","",ROW($A$294)-ROW($A$288))</f>
        <v>6</v>
      </c>
      <c r="AB294" s="478"/>
      <c r="AC294" s="34" t="s">
        <v>372</v>
      </c>
      <c r="AD294" s="356"/>
      <c r="AE294" s="18">
        <v>500</v>
      </c>
      <c r="AF294" s="5" t="s">
        <v>8</v>
      </c>
      <c r="AG294" s="480">
        <f t="shared" si="76"/>
        <v>500</v>
      </c>
      <c r="AH294" s="481" t="str">
        <f t="shared" si="77"/>
        <v>G</v>
      </c>
      <c r="AI294" s="477" t="str">
        <f>IF($AC$294="","",IFERROR(INDEX($AZ$74:$AZ$119,MATCH($AH$294,$AY$74:$AY$119,0)),"AUTRE"))</f>
        <v>MASSE</v>
      </c>
      <c r="AJ294" s="482">
        <f>IF($AC$294="","",IFERROR(INDEX($BA$74:$BA$119,MATCH($AH$294,$AY$74:$AY$119,0)),1))</f>
        <v>1E-3</v>
      </c>
      <c r="AK294" s="482">
        <f t="shared" si="66"/>
        <v>0.5</v>
      </c>
      <c r="AL294" s="477" t="str">
        <f>IF($AC$294="","",IFERROR(INDEX($BB$74:$BB$119,MATCH($AH$294,$AY$74:$AY$119,0)),$AH$294))</f>
        <v>kg</v>
      </c>
      <c r="AM294" s="483" t="str">
        <f t="shared" si="78"/>
        <v>OK</v>
      </c>
      <c r="AN294" s="484">
        <f t="shared" si="79"/>
        <v>500</v>
      </c>
      <c r="AO294" s="473" t="str">
        <f t="shared" si="80"/>
        <v/>
      </c>
      <c r="AP294" s="473" t="str">
        <f t="shared" si="81"/>
        <v/>
      </c>
      <c r="AQ294" s="473" t="str">
        <f t="shared" si="82"/>
        <v/>
      </c>
      <c r="AR294" s="473" t="str">
        <f t="shared" si="83"/>
        <v/>
      </c>
      <c r="AS294" s="473" t="str">
        <f t="shared" si="84"/>
        <v/>
      </c>
      <c r="AT294" s="473" t="str">
        <f t="shared" si="85"/>
        <v/>
      </c>
      <c r="AU294" s="473" t="str">
        <f t="shared" si="86"/>
        <v/>
      </c>
      <c r="AZ294" s="32" t="s">
        <v>8135</v>
      </c>
      <c r="BA294" s="34" t="s">
        <v>486</v>
      </c>
      <c r="BB294" s="499"/>
      <c r="BC294" s="271"/>
      <c r="BD294" s="279">
        <v>1</v>
      </c>
      <c r="BE294" s="271"/>
      <c r="BF294" s="271"/>
      <c r="BG294" s="271"/>
      <c r="BH294" s="271"/>
      <c r="BI294" s="271"/>
      <c r="BJ294" s="271"/>
      <c r="BK294" s="271"/>
      <c r="BL294" s="271"/>
    </row>
    <row r="295" spans="18:64" ht="21" customHeight="1" x14ac:dyDescent="0.25">
      <c r="R295" s="34" t="s">
        <v>6131</v>
      </c>
      <c r="S295" s="451"/>
      <c r="T295" s="32" t="s">
        <v>320</v>
      </c>
      <c r="V295" s="475">
        <v>7</v>
      </c>
      <c r="W295" s="475" t="str">
        <f>IF($AC$295="","",$W$288)</f>
        <v>N° 51</v>
      </c>
      <c r="X295" s="476" t="str">
        <f>IF($AC$295="","",$X$288)</f>
        <v>OMELETTE CHÈVRE ET MENTHE *</v>
      </c>
      <c r="Y295" s="477">
        <f>IF($X$295="","",$Y$288)</f>
        <v>68</v>
      </c>
      <c r="Z295" s="477">
        <f>IF($X$295="","",$Z$288)</f>
        <v>100</v>
      </c>
      <c r="AA295" s="477">
        <f>IF($AC$295="","",ROW($A$295)-ROW($A$288))</f>
        <v>7</v>
      </c>
      <c r="AB295" s="478"/>
      <c r="AC295" s="34" t="s">
        <v>74</v>
      </c>
      <c r="AD295" s="356"/>
      <c r="AE295" s="18">
        <v>1</v>
      </c>
      <c r="AF295" s="8" t="s">
        <v>17</v>
      </c>
      <c r="AG295" s="480">
        <f t="shared" si="76"/>
        <v>1</v>
      </c>
      <c r="AH295" s="481" t="str">
        <f t="shared" si="77"/>
        <v>QUART/L</v>
      </c>
      <c r="AI295" s="477" t="str">
        <f>IF($AC$295="","",IFERROR(INDEX($AZ$74:$AZ$119,MATCH($AH$295,$AY$74:$AY$119,0)),"AUTRE"))</f>
        <v>VOLUME</v>
      </c>
      <c r="AJ295" s="482">
        <f>IF($AC$295="","",IFERROR(INDEX($BA$74:$BA$119,MATCH($AH$295,$AY$74:$AY$119,0)),1))</f>
        <v>0.25</v>
      </c>
      <c r="AK295" s="482">
        <f t="shared" si="66"/>
        <v>0.25</v>
      </c>
      <c r="AL295" s="477" t="str">
        <f>IF($AC$295="","",IFERROR(INDEX($BB$74:$BB$119,MATCH($AH$295,$AY$74:$AY$119,0)),$AH$295))</f>
        <v>L</v>
      </c>
      <c r="AM295" s="483" t="str">
        <f t="shared" si="78"/>
        <v>OK</v>
      </c>
      <c r="AN295" s="484">
        <f t="shared" si="79"/>
        <v>1</v>
      </c>
      <c r="AO295" s="473" t="str">
        <f t="shared" si="80"/>
        <v/>
      </c>
      <c r="AP295" s="473" t="str">
        <f t="shared" si="81"/>
        <v/>
      </c>
      <c r="AQ295" s="473" t="str">
        <f t="shared" si="82"/>
        <v/>
      </c>
      <c r="AR295" s="473" t="str">
        <f t="shared" si="83"/>
        <v/>
      </c>
      <c r="AS295" s="473" t="str">
        <f t="shared" si="84"/>
        <v/>
      </c>
      <c r="AT295" s="473" t="str">
        <f t="shared" si="85"/>
        <v/>
      </c>
      <c r="AU295" s="473" t="str">
        <f t="shared" si="86"/>
        <v/>
      </c>
      <c r="AZ295" s="32" t="s">
        <v>8137</v>
      </c>
      <c r="BA295" s="34" t="s">
        <v>479</v>
      </c>
      <c r="BB295" s="499"/>
      <c r="BC295" s="271"/>
      <c r="BD295" s="279">
        <v>1</v>
      </c>
      <c r="BE295" s="271"/>
      <c r="BF295" s="271"/>
      <c r="BG295" s="271"/>
      <c r="BH295" s="271"/>
      <c r="BI295" s="271"/>
      <c r="BJ295" s="271"/>
      <c r="BK295" s="271"/>
      <c r="BL295" s="271"/>
    </row>
    <row r="296" spans="18:64" ht="21" customHeight="1" x14ac:dyDescent="0.25">
      <c r="R296" s="34" t="s">
        <v>485</v>
      </c>
      <c r="S296" s="451"/>
      <c r="T296" s="32" t="s">
        <v>318</v>
      </c>
      <c r="V296" s="475">
        <v>7</v>
      </c>
      <c r="W296" s="475" t="str">
        <f>IF($AC$296="","",$W$288)</f>
        <v/>
      </c>
      <c r="X296" s="476" t="str">
        <f>IF($AC$296="","",$X$288)</f>
        <v/>
      </c>
      <c r="Y296" s="477" t="str">
        <f>IF($X$296="","",$Y$288)</f>
        <v/>
      </c>
      <c r="Z296" s="477" t="str">
        <f>IF($X$296="","",$Z$288)</f>
        <v/>
      </c>
      <c r="AA296" s="477" t="str">
        <f>IF($AC$296="","",ROW($A$296)-ROW($A$288))</f>
        <v/>
      </c>
      <c r="AB296" s="478"/>
      <c r="AC296" s="34" t="s">
        <v>345</v>
      </c>
      <c r="AD296" s="356"/>
      <c r="AE296" s="18"/>
      <c r="AF296" s="19"/>
      <c r="AG296" s="480" t="str">
        <f t="shared" si="76"/>
        <v/>
      </c>
      <c r="AH296" s="481" t="str">
        <f t="shared" si="77"/>
        <v/>
      </c>
      <c r="AI296" s="477" t="str">
        <f>IF($AC$296="","",IFERROR(INDEX($AZ$74:$AZ$119,MATCH($AH$296,$AY$74:$AY$119,0)),"AUTRE"))</f>
        <v/>
      </c>
      <c r="AJ296" s="482" t="str">
        <f>IF($AC$296="","",IFERROR(INDEX($BA$74:$BA$119,MATCH($AH$296,$AY$74:$AY$119,0)),1))</f>
        <v/>
      </c>
      <c r="AK296" s="482" t="str">
        <f t="shared" si="66"/>
        <v/>
      </c>
      <c r="AL296" s="477" t="str">
        <f>IF($AC$296="","",IFERROR(INDEX($BB$74:$BB$119,MATCH($AH$296,$AY$74:$AY$119,0)),$AH$296))</f>
        <v/>
      </c>
      <c r="AM296" s="483" t="str">
        <f t="shared" si="78"/>
        <v/>
      </c>
      <c r="AN296" s="484" t="str">
        <f t="shared" si="79"/>
        <v/>
      </c>
      <c r="AO296" s="473" t="str">
        <f t="shared" si="80"/>
        <v/>
      </c>
      <c r="AP296" s="473" t="str">
        <f t="shared" si="81"/>
        <v/>
      </c>
      <c r="AQ296" s="473" t="str">
        <f t="shared" si="82"/>
        <v/>
      </c>
      <c r="AR296" s="473" t="str">
        <f t="shared" si="83"/>
        <v/>
      </c>
      <c r="AS296" s="473" t="str">
        <f t="shared" si="84"/>
        <v/>
      </c>
      <c r="AT296" s="473" t="str">
        <f t="shared" si="85"/>
        <v/>
      </c>
      <c r="AU296" s="473" t="str">
        <f t="shared" si="86"/>
        <v/>
      </c>
      <c r="AZ296" s="32" t="s">
        <v>8139</v>
      </c>
      <c r="BA296" s="34" t="s">
        <v>6131</v>
      </c>
      <c r="BB296" s="499"/>
      <c r="BC296" s="271"/>
      <c r="BD296" s="279">
        <v>1</v>
      </c>
      <c r="BE296" s="271"/>
      <c r="BF296" s="271"/>
      <c r="BG296" s="271"/>
      <c r="BH296" s="271"/>
      <c r="BI296" s="271"/>
      <c r="BJ296" s="271"/>
      <c r="BK296" s="271"/>
      <c r="BL296" s="271"/>
    </row>
    <row r="297" spans="18:64" ht="21" customHeight="1" x14ac:dyDescent="0.25">
      <c r="R297" s="34" t="s">
        <v>6132</v>
      </c>
      <c r="S297" s="451"/>
      <c r="T297" s="32" t="s">
        <v>316</v>
      </c>
      <c r="V297" s="475">
        <v>7</v>
      </c>
      <c r="W297" s="475" t="str">
        <f>IF($AC$297="","",$W$288)</f>
        <v/>
      </c>
      <c r="X297" s="476" t="str">
        <f>IF($AC$297="","",$X$288)</f>
        <v/>
      </c>
      <c r="Y297" s="477" t="str">
        <f>IF($X$297="","",$Y$288)</f>
        <v/>
      </c>
      <c r="Z297" s="477" t="str">
        <f>IF($X$297="","",$Z$288)</f>
        <v/>
      </c>
      <c r="AA297" s="477" t="str">
        <f>IF($AC$297="","",ROW($A$297)-ROW($A$288))</f>
        <v/>
      </c>
      <c r="AB297" s="478"/>
      <c r="AC297" s="34" t="s">
        <v>345</v>
      </c>
      <c r="AD297" s="356"/>
      <c r="AE297" s="18"/>
      <c r="AF297" s="19"/>
      <c r="AG297" s="480" t="str">
        <f t="shared" si="76"/>
        <v/>
      </c>
      <c r="AH297" s="481" t="str">
        <f t="shared" si="77"/>
        <v/>
      </c>
      <c r="AI297" s="477" t="str">
        <f>IF($AC$297="","",IFERROR(INDEX($AZ$74:$AZ$119,MATCH($AH$297,$AY$74:$AY$119,0)),"AUTRE"))</f>
        <v/>
      </c>
      <c r="AJ297" s="482" t="str">
        <f>IF($AC$297="","",IFERROR(INDEX($BA$74:$BA$119,MATCH($AH$297,$AY$74:$AY$119,0)),1))</f>
        <v/>
      </c>
      <c r="AK297" s="482" t="str">
        <f t="shared" si="66"/>
        <v/>
      </c>
      <c r="AL297" s="477" t="str">
        <f>IF($AC$297="","",IFERROR(INDEX($BB$74:$BB$119,MATCH($AH$297,$AY$74:$AY$119,0)),$AH$297))</f>
        <v/>
      </c>
      <c r="AM297" s="483" t="str">
        <f t="shared" si="78"/>
        <v/>
      </c>
      <c r="AN297" s="484" t="str">
        <f t="shared" si="79"/>
        <v/>
      </c>
      <c r="AO297" s="473" t="str">
        <f t="shared" si="80"/>
        <v/>
      </c>
      <c r="AP297" s="473" t="str">
        <f t="shared" si="81"/>
        <v/>
      </c>
      <c r="AQ297" s="473" t="str">
        <f t="shared" si="82"/>
        <v/>
      </c>
      <c r="AR297" s="473" t="str">
        <f t="shared" si="83"/>
        <v/>
      </c>
      <c r="AS297" s="473" t="str">
        <f t="shared" si="84"/>
        <v/>
      </c>
      <c r="AT297" s="473" t="str">
        <f t="shared" si="85"/>
        <v/>
      </c>
      <c r="AU297" s="473" t="str">
        <f t="shared" si="86"/>
        <v/>
      </c>
      <c r="AZ297" s="32" t="s">
        <v>8141</v>
      </c>
      <c r="BA297" s="34" t="s">
        <v>485</v>
      </c>
      <c r="BB297" s="499"/>
      <c r="BC297" s="271"/>
      <c r="BD297" s="279">
        <v>1</v>
      </c>
      <c r="BE297" s="271"/>
      <c r="BF297" s="271"/>
      <c r="BG297" s="271"/>
      <c r="BH297" s="271"/>
      <c r="BI297" s="271"/>
      <c r="BJ297" s="271"/>
      <c r="BK297" s="271"/>
      <c r="BL297" s="271"/>
    </row>
    <row r="298" spans="18:64" ht="21" customHeight="1" x14ac:dyDescent="0.25">
      <c r="R298" s="25" t="s">
        <v>6133</v>
      </c>
      <c r="S298" s="451"/>
      <c r="T298" s="32" t="s">
        <v>313</v>
      </c>
      <c r="V298" s="475">
        <v>7</v>
      </c>
      <c r="W298" s="475" t="str">
        <f>IF($AC$298="","",$W$288)</f>
        <v/>
      </c>
      <c r="X298" s="476" t="str">
        <f>IF($AC$298="","",$X$288)</f>
        <v/>
      </c>
      <c r="Y298" s="477" t="str">
        <f>IF($X$298="","",$Y$288)</f>
        <v/>
      </c>
      <c r="Z298" s="477" t="str">
        <f>IF($X$298="","",$Z$288)</f>
        <v/>
      </c>
      <c r="AA298" s="477" t="str">
        <f>IF($AC$298="","",ROW($A$298)-ROW($A$288))</f>
        <v/>
      </c>
      <c r="AB298" s="478"/>
      <c r="AC298" s="34"/>
      <c r="AD298" s="356"/>
      <c r="AE298" s="18"/>
      <c r="AF298" s="19"/>
      <c r="AG298" s="480" t="str">
        <f t="shared" si="76"/>
        <v/>
      </c>
      <c r="AH298" s="481" t="str">
        <f t="shared" si="77"/>
        <v/>
      </c>
      <c r="AI298" s="477" t="str">
        <f>IF($AC$298="","",IFERROR(INDEX($AZ$74:$AZ$119,MATCH($AH$298,$AY$74:$AY$119,0)),"AUTRE"))</f>
        <v/>
      </c>
      <c r="AJ298" s="482" t="str">
        <f>IF($AC$298="","",IFERROR(INDEX($BA$74:$BA$119,MATCH($AH$298,$AY$74:$AY$119,0)),1))</f>
        <v/>
      </c>
      <c r="AK298" s="482" t="str">
        <f t="shared" si="66"/>
        <v/>
      </c>
      <c r="AL298" s="477" t="str">
        <f>IF($AC$298="","",IFERROR(INDEX($BB$74:$BB$119,MATCH($AH$298,$AY$74:$AY$119,0)),$AH$298))</f>
        <v/>
      </c>
      <c r="AM298" s="483" t="str">
        <f t="shared" si="78"/>
        <v/>
      </c>
      <c r="AN298" s="484" t="str">
        <f t="shared" si="79"/>
        <v/>
      </c>
      <c r="AO298" s="473" t="str">
        <f t="shared" si="80"/>
        <v/>
      </c>
      <c r="AP298" s="473" t="str">
        <f t="shared" si="81"/>
        <v/>
      </c>
      <c r="AQ298" s="473" t="str">
        <f t="shared" si="82"/>
        <v/>
      </c>
      <c r="AR298" s="473" t="str">
        <f t="shared" si="83"/>
        <v/>
      </c>
      <c r="AS298" s="473" t="str">
        <f t="shared" si="84"/>
        <v/>
      </c>
      <c r="AT298" s="473" t="str">
        <f t="shared" si="85"/>
        <v/>
      </c>
      <c r="AU298" s="473" t="str">
        <f t="shared" si="86"/>
        <v/>
      </c>
      <c r="AZ298" s="32" t="s">
        <v>8143</v>
      </c>
      <c r="BA298" s="34" t="s">
        <v>6132</v>
      </c>
      <c r="BB298" s="499"/>
      <c r="BC298" s="271"/>
      <c r="BD298" s="279">
        <v>1</v>
      </c>
      <c r="BE298" s="271"/>
      <c r="BF298" s="271"/>
      <c r="BG298" s="271"/>
      <c r="BH298" s="271"/>
      <c r="BI298" s="271"/>
      <c r="BJ298" s="271"/>
      <c r="BK298" s="271"/>
      <c r="BL298" s="271"/>
    </row>
    <row r="299" spans="18:64" ht="21" customHeight="1" x14ac:dyDescent="0.25">
      <c r="R299" s="34" t="s">
        <v>476</v>
      </c>
      <c r="S299" s="451"/>
      <c r="T299" s="32" t="s">
        <v>307</v>
      </c>
      <c r="V299" s="475">
        <v>7</v>
      </c>
      <c r="W299" s="475" t="str">
        <f>IF($AC$299="","",$W$288)</f>
        <v/>
      </c>
      <c r="X299" s="476" t="str">
        <f>IF($AC$299="","",$X$288)</f>
        <v/>
      </c>
      <c r="Y299" s="477" t="str">
        <f>IF($X$299="","",$Y$288)</f>
        <v/>
      </c>
      <c r="Z299" s="477" t="str">
        <f>IF($X$299="","",$Z$288)</f>
        <v/>
      </c>
      <c r="AA299" s="477" t="str">
        <f>IF($AC$299="","",ROW($A$299)-ROW($A$288))</f>
        <v/>
      </c>
      <c r="AB299" s="478"/>
      <c r="AC299" s="34"/>
      <c r="AD299" s="356"/>
      <c r="AE299" s="18"/>
      <c r="AF299" s="19"/>
      <c r="AG299" s="480" t="str">
        <f t="shared" si="76"/>
        <v/>
      </c>
      <c r="AH299" s="481" t="str">
        <f t="shared" si="77"/>
        <v/>
      </c>
      <c r="AI299" s="477" t="str">
        <f>IF($AC$299="","",IFERROR(INDEX($AZ$74:$AZ$119,MATCH($AH$299,$AY$74:$AY$119,0)),"AUTRE"))</f>
        <v/>
      </c>
      <c r="AJ299" s="482" t="str">
        <f>IF($AC$299="","",IFERROR(INDEX($BA$74:$BA$119,MATCH($AH$299,$AY$74:$AY$119,0)),1))</f>
        <v/>
      </c>
      <c r="AK299" s="482" t="str">
        <f t="shared" si="66"/>
        <v/>
      </c>
      <c r="AL299" s="477" t="str">
        <f>IF($AC$299="","",IFERROR(INDEX($BB$74:$BB$119,MATCH($AH$299,$AY$74:$AY$119,0)),$AH$299))</f>
        <v/>
      </c>
      <c r="AM299" s="483" t="str">
        <f t="shared" si="78"/>
        <v/>
      </c>
      <c r="AN299" s="484" t="str">
        <f t="shared" si="79"/>
        <v/>
      </c>
      <c r="AO299" s="473" t="str">
        <f t="shared" si="80"/>
        <v/>
      </c>
      <c r="AP299" s="473" t="str">
        <f t="shared" si="81"/>
        <v/>
      </c>
      <c r="AQ299" s="473" t="str">
        <f t="shared" si="82"/>
        <v/>
      </c>
      <c r="AR299" s="473" t="str">
        <f t="shared" si="83"/>
        <v/>
      </c>
      <c r="AS299" s="473" t="str">
        <f t="shared" si="84"/>
        <v/>
      </c>
      <c r="AT299" s="473" t="str">
        <f t="shared" si="85"/>
        <v/>
      </c>
      <c r="AU299" s="473" t="str">
        <f t="shared" si="86"/>
        <v/>
      </c>
      <c r="AZ299" s="497" t="s">
        <v>8145</v>
      </c>
      <c r="BA299" s="25" t="s">
        <v>6133</v>
      </c>
      <c r="BB299" s="499"/>
      <c r="BC299" s="271"/>
      <c r="BD299" s="279">
        <v>1</v>
      </c>
      <c r="BE299" s="271"/>
      <c r="BF299" s="271"/>
      <c r="BG299" s="271"/>
      <c r="BH299" s="271"/>
      <c r="BI299" s="271"/>
      <c r="BJ299" s="271"/>
      <c r="BK299" s="271"/>
      <c r="BL299" s="271"/>
    </row>
    <row r="300" spans="18:64" ht="21" customHeight="1" x14ac:dyDescent="0.25">
      <c r="R300" s="34" t="s">
        <v>468</v>
      </c>
      <c r="S300" s="451"/>
      <c r="T300" s="32" t="s">
        <v>322</v>
      </c>
      <c r="V300" s="475">
        <v>7</v>
      </c>
      <c r="W300" s="475" t="str">
        <f>IF($AC$300="","",$W$288)</f>
        <v/>
      </c>
      <c r="X300" s="476" t="str">
        <f>IF($AC$300="","",$X$288)</f>
        <v/>
      </c>
      <c r="Y300" s="477" t="str">
        <f>IF($X$300="","",$Y$288)</f>
        <v/>
      </c>
      <c r="Z300" s="477" t="str">
        <f>IF($X$300="","",$Z$288)</f>
        <v/>
      </c>
      <c r="AA300" s="477" t="str">
        <f>IF($AC$300="","",ROW($A$300)-ROW($A$288))</f>
        <v/>
      </c>
      <c r="AB300" s="478"/>
      <c r="AC300" s="34"/>
      <c r="AD300" s="356"/>
      <c r="AE300" s="18"/>
      <c r="AF300" s="19"/>
      <c r="AG300" s="480" t="str">
        <f t="shared" si="76"/>
        <v/>
      </c>
      <c r="AH300" s="481" t="str">
        <f t="shared" si="77"/>
        <v/>
      </c>
      <c r="AI300" s="477" t="str">
        <f>IF($AC$300="","",IFERROR(INDEX($AZ$74:$AZ$119,MATCH($AH$300,$AY$74:$AY$119,0)),"AUTRE"))</f>
        <v/>
      </c>
      <c r="AJ300" s="482" t="str">
        <f>IF($AC$300="","",IFERROR(INDEX($BA$74:$BA$119,MATCH($AH$300,$AY$74:$AY$119,0)),1))</f>
        <v/>
      </c>
      <c r="AK300" s="482" t="str">
        <f t="shared" si="66"/>
        <v/>
      </c>
      <c r="AL300" s="477" t="str">
        <f>IF($AC$300="","",IFERROR(INDEX($BB$74:$BB$119,MATCH($AH$300,$AY$74:$AY$119,0)),$AH$300))</f>
        <v/>
      </c>
      <c r="AM300" s="483" t="str">
        <f t="shared" si="78"/>
        <v/>
      </c>
      <c r="AN300" s="484" t="str">
        <f t="shared" si="79"/>
        <v/>
      </c>
      <c r="AO300" s="473" t="str">
        <f t="shared" si="80"/>
        <v/>
      </c>
      <c r="AP300" s="473" t="str">
        <f t="shared" si="81"/>
        <v/>
      </c>
      <c r="AQ300" s="473" t="str">
        <f t="shared" si="82"/>
        <v/>
      </c>
      <c r="AR300" s="473" t="str">
        <f t="shared" si="83"/>
        <v/>
      </c>
      <c r="AS300" s="473" t="str">
        <f t="shared" si="84"/>
        <v/>
      </c>
      <c r="AT300" s="473" t="str">
        <f t="shared" si="85"/>
        <v/>
      </c>
      <c r="AU300" s="473" t="str">
        <f t="shared" si="86"/>
        <v/>
      </c>
      <c r="AZ300" s="497" t="s">
        <v>462</v>
      </c>
      <c r="BA300" s="34" t="s">
        <v>476</v>
      </c>
      <c r="BB300" s="499"/>
      <c r="BC300" s="271"/>
      <c r="BD300" s="279">
        <v>1</v>
      </c>
      <c r="BE300" s="271"/>
      <c r="BF300" s="271"/>
      <c r="BG300" s="271"/>
      <c r="BH300" s="271"/>
      <c r="BI300" s="271"/>
      <c r="BJ300" s="271"/>
      <c r="BK300" s="271"/>
      <c r="BL300" s="271"/>
    </row>
    <row r="301" spans="18:64" ht="21" customHeight="1" x14ac:dyDescent="0.25">
      <c r="R301" s="34" t="s">
        <v>473</v>
      </c>
      <c r="S301" s="451"/>
      <c r="T301" s="32" t="s">
        <v>305</v>
      </c>
      <c r="V301" s="475">
        <v>7</v>
      </c>
      <c r="W301" s="475" t="str">
        <f>IF($AC$301="","",$W$288)</f>
        <v/>
      </c>
      <c r="X301" s="476" t="str">
        <f>IF($AC$301="","",$X$288)</f>
        <v/>
      </c>
      <c r="Y301" s="477" t="str">
        <f>IF($X$301="","",$Y$288)</f>
        <v/>
      </c>
      <c r="Z301" s="477" t="str">
        <f>IF($X$301="","",$Z$288)</f>
        <v/>
      </c>
      <c r="AA301" s="477" t="str">
        <f>IF($AC$301="","",ROW($A$301)-ROW($A$288))</f>
        <v/>
      </c>
      <c r="AB301" s="478"/>
      <c r="AC301" s="34"/>
      <c r="AD301" s="356"/>
      <c r="AE301" s="18"/>
      <c r="AF301" s="19"/>
      <c r="AG301" s="480" t="str">
        <f t="shared" si="76"/>
        <v/>
      </c>
      <c r="AH301" s="481" t="str">
        <f t="shared" si="77"/>
        <v/>
      </c>
      <c r="AI301" s="477" t="str">
        <f>IF($AC$301="","",IFERROR(INDEX($AZ$74:$AZ$119,MATCH($AH$301,$AY$74:$AY$119,0)),"AUTRE"))</f>
        <v/>
      </c>
      <c r="AJ301" s="482" t="str">
        <f>IF($AC$301="","",IFERROR(INDEX($BA$74:$BA$119,MATCH($AH$301,$AY$74:$AY$119,0)),1))</f>
        <v/>
      </c>
      <c r="AK301" s="482" t="str">
        <f t="shared" si="66"/>
        <v/>
      </c>
      <c r="AL301" s="477" t="str">
        <f>IF($AC$301="","",IFERROR(INDEX($BB$74:$BB$119,MATCH($AH$301,$AY$74:$AY$119,0)),$AH$301))</f>
        <v/>
      </c>
      <c r="AM301" s="483" t="str">
        <f t="shared" si="78"/>
        <v/>
      </c>
      <c r="AN301" s="484" t="str">
        <f t="shared" si="79"/>
        <v/>
      </c>
      <c r="AO301" s="473" t="str">
        <f t="shared" si="80"/>
        <v/>
      </c>
      <c r="AP301" s="473" t="str">
        <f t="shared" si="81"/>
        <v/>
      </c>
      <c r="AQ301" s="473" t="str">
        <f t="shared" si="82"/>
        <v/>
      </c>
      <c r="AR301" s="473" t="str">
        <f t="shared" si="83"/>
        <v/>
      </c>
      <c r="AS301" s="473" t="str">
        <f t="shared" si="84"/>
        <v/>
      </c>
      <c r="AT301" s="473" t="str">
        <f t="shared" si="85"/>
        <v/>
      </c>
      <c r="AU301" s="473" t="str">
        <f t="shared" si="86"/>
        <v/>
      </c>
      <c r="AZ301" s="497" t="s">
        <v>463</v>
      </c>
      <c r="BA301" s="34" t="s">
        <v>468</v>
      </c>
      <c r="BB301" s="499"/>
      <c r="BC301" s="271"/>
      <c r="BD301" s="279">
        <v>1</v>
      </c>
      <c r="BE301" s="271"/>
      <c r="BF301" s="271"/>
      <c r="BG301" s="271"/>
      <c r="BH301" s="271"/>
      <c r="BI301" s="271"/>
      <c r="BJ301" s="271"/>
      <c r="BK301" s="271"/>
      <c r="BL301" s="271"/>
    </row>
    <row r="302" spans="18:64" ht="21" customHeight="1" x14ac:dyDescent="0.25">
      <c r="R302" s="34" t="s">
        <v>497</v>
      </c>
      <c r="S302" s="451"/>
      <c r="T302" s="32" t="s">
        <v>309</v>
      </c>
      <c r="V302" s="475">
        <v>7</v>
      </c>
      <c r="W302" s="475" t="str">
        <f>IF($AC$302="","",$W$288)</f>
        <v/>
      </c>
      <c r="X302" s="476" t="str">
        <f>IF($AC$302="","",$X$288)</f>
        <v/>
      </c>
      <c r="Y302" s="477" t="str">
        <f>IF($X$302="","",$Y$288)</f>
        <v/>
      </c>
      <c r="Z302" s="477" t="str">
        <f>IF($X$302="","",$Z$288)</f>
        <v/>
      </c>
      <c r="AA302" s="477" t="str">
        <f>IF($AC$302="","",ROW($A$302)-ROW($A$288))</f>
        <v/>
      </c>
      <c r="AB302" s="478"/>
      <c r="AC302" s="34"/>
      <c r="AD302" s="356"/>
      <c r="AE302" s="18"/>
      <c r="AF302" s="19"/>
      <c r="AG302" s="480" t="str">
        <f t="shared" si="76"/>
        <v/>
      </c>
      <c r="AH302" s="481" t="str">
        <f t="shared" si="77"/>
        <v/>
      </c>
      <c r="AI302" s="477" t="str">
        <f>IF($AC$302="","",IFERROR(INDEX($AZ$74:$AZ$119,MATCH($AH$302,$AY$74:$AY$119,0)),"AUTRE"))</f>
        <v/>
      </c>
      <c r="AJ302" s="482" t="str">
        <f>IF($AC$302="","",IFERROR(INDEX($BA$74:$BA$119,MATCH($AH$302,$AY$74:$AY$119,0)),1))</f>
        <v/>
      </c>
      <c r="AK302" s="482" t="str">
        <f t="shared" si="66"/>
        <v/>
      </c>
      <c r="AL302" s="477" t="str">
        <f>IF($AC$302="","",IFERROR(INDEX($BB$74:$BB$119,MATCH($AH$302,$AY$74:$AY$119,0)),$AH$302))</f>
        <v/>
      </c>
      <c r="AM302" s="483" t="str">
        <f t="shared" si="78"/>
        <v/>
      </c>
      <c r="AN302" s="484" t="str">
        <f t="shared" si="79"/>
        <v/>
      </c>
      <c r="AO302" s="473" t="str">
        <f t="shared" si="80"/>
        <v/>
      </c>
      <c r="AP302" s="473" t="str">
        <f t="shared" si="81"/>
        <v/>
      </c>
      <c r="AQ302" s="473" t="str">
        <f t="shared" si="82"/>
        <v/>
      </c>
      <c r="AR302" s="473" t="str">
        <f t="shared" si="83"/>
        <v/>
      </c>
      <c r="AS302" s="473" t="str">
        <f t="shared" si="84"/>
        <v/>
      </c>
      <c r="AT302" s="473" t="str">
        <f t="shared" si="85"/>
        <v/>
      </c>
      <c r="AU302" s="473" t="str">
        <f t="shared" si="86"/>
        <v/>
      </c>
      <c r="AZ302" s="497" t="s">
        <v>8147</v>
      </c>
      <c r="BA302" s="34" t="s">
        <v>473</v>
      </c>
      <c r="BB302" s="499"/>
      <c r="BC302" s="271"/>
      <c r="BD302" s="279">
        <v>1</v>
      </c>
      <c r="BE302" s="271"/>
      <c r="BF302" s="271"/>
      <c r="BG302" s="271"/>
      <c r="BH302" s="271"/>
      <c r="BI302" s="271"/>
      <c r="BJ302" s="271"/>
      <c r="BK302" s="271"/>
      <c r="BL302" s="271"/>
    </row>
    <row r="303" spans="18:64" ht="21" customHeight="1" x14ac:dyDescent="0.25">
      <c r="R303" s="34" t="s">
        <v>470</v>
      </c>
      <c r="S303" s="451"/>
      <c r="T303" s="32" t="s">
        <v>311</v>
      </c>
      <c r="V303" s="475">
        <v>7</v>
      </c>
      <c r="W303" s="475" t="str">
        <f>IF($AC$303="","",$W$288)</f>
        <v/>
      </c>
      <c r="X303" s="476" t="str">
        <f>IF($AC$303="","",$X$288)</f>
        <v/>
      </c>
      <c r="Y303" s="477" t="str">
        <f>IF($X$303="","",$Y$288)</f>
        <v/>
      </c>
      <c r="Z303" s="477" t="str">
        <f>IF($X$303="","",$Z$288)</f>
        <v/>
      </c>
      <c r="AA303" s="477" t="str">
        <f>IF($AC$303="","",ROW($A$303)-ROW($A$288))</f>
        <v/>
      </c>
      <c r="AB303" s="478"/>
      <c r="AC303" s="34"/>
      <c r="AD303" s="356"/>
      <c r="AE303" s="18"/>
      <c r="AF303" s="19"/>
      <c r="AG303" s="480" t="str">
        <f t="shared" si="76"/>
        <v/>
      </c>
      <c r="AH303" s="481" t="str">
        <f t="shared" si="77"/>
        <v/>
      </c>
      <c r="AI303" s="477" t="str">
        <f>IF($AC$303="","",IFERROR(INDEX($AZ$74:$AZ$119,MATCH($AH$303,$AY$74:$AY$119,0)),"AUTRE"))</f>
        <v/>
      </c>
      <c r="AJ303" s="482" t="str">
        <f>IF($AC$303="","",IFERROR(INDEX($BA$74:$BA$119,MATCH($AH$303,$AY$74:$AY$119,0)),1))</f>
        <v/>
      </c>
      <c r="AK303" s="482" t="str">
        <f t="shared" si="66"/>
        <v/>
      </c>
      <c r="AL303" s="477" t="str">
        <f>IF($AC$303="","",IFERROR(INDEX($BB$74:$BB$119,MATCH($AH$303,$AY$74:$AY$119,0)),$AH$303))</f>
        <v/>
      </c>
      <c r="AM303" s="483" t="str">
        <f t="shared" si="78"/>
        <v/>
      </c>
      <c r="AN303" s="484" t="str">
        <f t="shared" si="79"/>
        <v/>
      </c>
      <c r="AO303" s="473" t="str">
        <f t="shared" si="80"/>
        <v/>
      </c>
      <c r="AP303" s="473" t="str">
        <f t="shared" si="81"/>
        <v/>
      </c>
      <c r="AQ303" s="473" t="str">
        <f t="shared" si="82"/>
        <v/>
      </c>
      <c r="AR303" s="473" t="str">
        <f t="shared" si="83"/>
        <v/>
      </c>
      <c r="AS303" s="473" t="str">
        <f t="shared" si="84"/>
        <v/>
      </c>
      <c r="AT303" s="473" t="str">
        <f t="shared" si="85"/>
        <v/>
      </c>
      <c r="AU303" s="473" t="str">
        <f t="shared" si="86"/>
        <v/>
      </c>
      <c r="AZ303" s="497" t="s">
        <v>465</v>
      </c>
      <c r="BA303" s="34" t="s">
        <v>497</v>
      </c>
      <c r="BB303" s="499"/>
      <c r="BC303" s="271"/>
      <c r="BD303" s="279">
        <v>1</v>
      </c>
      <c r="BE303" s="271"/>
      <c r="BF303" s="271"/>
      <c r="BG303" s="271"/>
      <c r="BH303" s="271"/>
      <c r="BI303" s="271"/>
      <c r="BJ303" s="271"/>
      <c r="BK303" s="271"/>
      <c r="BL303" s="271"/>
    </row>
    <row r="304" spans="18:64" ht="21" customHeight="1" x14ac:dyDescent="0.25">
      <c r="R304" s="34" t="s">
        <v>477</v>
      </c>
      <c r="S304" s="451"/>
      <c r="T304" s="32" t="s">
        <v>8135</v>
      </c>
      <c r="V304" s="475">
        <v>7</v>
      </c>
      <c r="W304" s="475" t="str">
        <f>IF($AC$304="","",$W$288)</f>
        <v/>
      </c>
      <c r="X304" s="476" t="str">
        <f>IF($AC$304="","",$X$288)</f>
        <v/>
      </c>
      <c r="Y304" s="477" t="str">
        <f>IF($X$304="","",$Y$288)</f>
        <v/>
      </c>
      <c r="Z304" s="477" t="str">
        <f>IF($X$304="","",$Z$288)</f>
        <v/>
      </c>
      <c r="AA304" s="477" t="str">
        <f>IF($AC$304="","",ROW($A$304)-ROW($A$288))</f>
        <v/>
      </c>
      <c r="AB304" s="478"/>
      <c r="AC304" s="34"/>
      <c r="AD304" s="356"/>
      <c r="AE304" s="18"/>
      <c r="AF304" s="19"/>
      <c r="AG304" s="480" t="str">
        <f t="shared" si="76"/>
        <v/>
      </c>
      <c r="AH304" s="481" t="str">
        <f t="shared" si="77"/>
        <v/>
      </c>
      <c r="AI304" s="477" t="str">
        <f>IF($AC$304="","",IFERROR(INDEX($AZ$74:$AZ$119,MATCH($AH$304,$AY$74:$AY$119,0)),"AUTRE"))</f>
        <v/>
      </c>
      <c r="AJ304" s="482" t="str">
        <f>IF($AC$304="","",IFERROR(INDEX($BA$74:$BA$119,MATCH($AH$304,$AY$74:$AY$119,0)),1))</f>
        <v/>
      </c>
      <c r="AK304" s="482" t="str">
        <f t="shared" si="66"/>
        <v/>
      </c>
      <c r="AL304" s="477" t="str">
        <f>IF($AC$304="","",IFERROR(INDEX($BB$74:$BB$119,MATCH($AH$304,$AY$74:$AY$119,0)),$AH$304))</f>
        <v/>
      </c>
      <c r="AM304" s="483" t="str">
        <f t="shared" si="78"/>
        <v/>
      </c>
      <c r="AN304" s="484" t="str">
        <f t="shared" si="79"/>
        <v/>
      </c>
      <c r="AO304" s="473" t="str">
        <f t="shared" si="80"/>
        <v/>
      </c>
      <c r="AP304" s="473" t="str">
        <f t="shared" si="81"/>
        <v/>
      </c>
      <c r="AQ304" s="473" t="str">
        <f t="shared" si="82"/>
        <v/>
      </c>
      <c r="AR304" s="473" t="str">
        <f t="shared" si="83"/>
        <v/>
      </c>
      <c r="AS304" s="473" t="str">
        <f t="shared" si="84"/>
        <v/>
      </c>
      <c r="AT304" s="473" t="str">
        <f t="shared" si="85"/>
        <v/>
      </c>
      <c r="AU304" s="473" t="str">
        <f t="shared" si="86"/>
        <v/>
      </c>
      <c r="AZ304" s="497" t="s">
        <v>466</v>
      </c>
      <c r="BA304" s="34" t="s">
        <v>470</v>
      </c>
      <c r="BB304" s="499"/>
      <c r="BC304" s="271"/>
      <c r="BD304" s="279">
        <v>1</v>
      </c>
      <c r="BE304" s="271"/>
      <c r="BF304" s="271"/>
      <c r="BG304" s="271"/>
      <c r="BH304" s="271"/>
      <c r="BI304" s="271"/>
      <c r="BJ304" s="271"/>
      <c r="BK304" s="271"/>
      <c r="BL304" s="271"/>
    </row>
    <row r="305" spans="18:64" ht="21" customHeight="1" x14ac:dyDescent="0.25">
      <c r="S305" s="451"/>
      <c r="T305" s="497" t="s">
        <v>462</v>
      </c>
      <c r="V305" s="475">
        <v>7</v>
      </c>
      <c r="W305" s="475" t="str">
        <f>IF($AC$305="","",$W$288)</f>
        <v/>
      </c>
      <c r="X305" s="476" t="str">
        <f>IF($AC$305="","",$X$288)</f>
        <v/>
      </c>
      <c r="Y305" s="477" t="str">
        <f>IF($X$305="","",$Y$288)</f>
        <v/>
      </c>
      <c r="Z305" s="477" t="str">
        <f>IF($X$305="","",$Z$288)</f>
        <v/>
      </c>
      <c r="AA305" s="477" t="str">
        <f>IF($AC$305="","",ROW($A$305)-ROW($A$288))</f>
        <v/>
      </c>
      <c r="AB305" s="478"/>
      <c r="AC305" s="34"/>
      <c r="AD305" s="356"/>
      <c r="AE305" s="18"/>
      <c r="AF305" s="19"/>
      <c r="AG305" s="480" t="str">
        <f t="shared" si="76"/>
        <v/>
      </c>
      <c r="AH305" s="481" t="str">
        <f t="shared" si="77"/>
        <v/>
      </c>
      <c r="AI305" s="477" t="str">
        <f>IF($AC$305="","",IFERROR(INDEX($AZ$74:$AZ$119,MATCH($AH$305,$AY$74:$AY$119,0)),"AUTRE"))</f>
        <v/>
      </c>
      <c r="AJ305" s="482" t="str">
        <f>IF($AC$305="","",IFERROR(INDEX($BA$74:$BA$119,MATCH($AH$305,$AY$74:$AY$119,0)),1))</f>
        <v/>
      </c>
      <c r="AK305" s="482" t="str">
        <f t="shared" si="66"/>
        <v/>
      </c>
      <c r="AL305" s="477" t="str">
        <f>IF($AC$305="","",IFERROR(INDEX($BB$74:$BB$119,MATCH($AH$305,$AY$74:$AY$119,0)),$AH$305))</f>
        <v/>
      </c>
      <c r="AM305" s="483" t="str">
        <f t="shared" si="78"/>
        <v/>
      </c>
      <c r="AN305" s="484" t="str">
        <f t="shared" si="79"/>
        <v/>
      </c>
      <c r="AO305" s="473" t="str">
        <f t="shared" si="80"/>
        <v/>
      </c>
      <c r="AP305" s="473" t="str">
        <f t="shared" si="81"/>
        <v/>
      </c>
      <c r="AQ305" s="473" t="str">
        <f t="shared" si="82"/>
        <v/>
      </c>
      <c r="AR305" s="473" t="str">
        <f t="shared" si="83"/>
        <v/>
      </c>
      <c r="AS305" s="473" t="str">
        <f t="shared" si="84"/>
        <v/>
      </c>
      <c r="AT305" s="473" t="str">
        <f t="shared" si="85"/>
        <v/>
      </c>
      <c r="AU305" s="473" t="str">
        <f t="shared" si="86"/>
        <v/>
      </c>
      <c r="AZ305" s="14" t="s">
        <v>7</v>
      </c>
      <c r="BA305" s="34" t="s">
        <v>477</v>
      </c>
      <c r="BB305" s="499"/>
      <c r="BC305" s="271"/>
      <c r="BD305" s="279">
        <v>1</v>
      </c>
      <c r="BE305" s="271"/>
      <c r="BF305" s="271"/>
      <c r="BG305" s="271"/>
      <c r="BH305" s="271"/>
      <c r="BI305" s="271"/>
      <c r="BJ305" s="271"/>
      <c r="BK305" s="271"/>
      <c r="BL305" s="271"/>
    </row>
    <row r="306" spans="18:64" ht="21" customHeight="1" x14ac:dyDescent="0.25">
      <c r="R306" s="25" t="s">
        <v>6134</v>
      </c>
      <c r="S306" s="451"/>
      <c r="T306" s="497" t="s">
        <v>463</v>
      </c>
      <c r="V306" s="475">
        <v>7</v>
      </c>
      <c r="W306" s="475" t="str">
        <f>IF($AC$306="","",$W$288)</f>
        <v/>
      </c>
      <c r="X306" s="476" t="str">
        <f>IF($AC$306="","",$X$288)</f>
        <v/>
      </c>
      <c r="Y306" s="477" t="str">
        <f>IF($X$306="","",$Y$288)</f>
        <v/>
      </c>
      <c r="Z306" s="477" t="str">
        <f>IF($X$306="","",$Z$288)</f>
        <v/>
      </c>
      <c r="AA306" s="477" t="str">
        <f>IF($AC$306="","",ROW($A$306)-ROW($A$288))</f>
        <v/>
      </c>
      <c r="AB306" s="478"/>
      <c r="AC306" s="34"/>
      <c r="AD306" s="356"/>
      <c r="AE306" s="18"/>
      <c r="AF306" s="19"/>
      <c r="AG306" s="480" t="str">
        <f t="shared" si="76"/>
        <v/>
      </c>
      <c r="AH306" s="481" t="str">
        <f t="shared" si="77"/>
        <v/>
      </c>
      <c r="AI306" s="477" t="str">
        <f>IF($AC$306="","",IFERROR(INDEX($AZ$74:$AZ$119,MATCH($AH$306,$AY$74:$AY$119,0)),"AUTRE"))</f>
        <v/>
      </c>
      <c r="AJ306" s="482" t="str">
        <f>IF($AC$306="","",IFERROR(INDEX($BA$74:$BA$119,MATCH($AH$306,$AY$74:$AY$119,0)),1))</f>
        <v/>
      </c>
      <c r="AK306" s="482" t="str">
        <f t="shared" si="66"/>
        <v/>
      </c>
      <c r="AL306" s="477" t="str">
        <f>IF($AC$306="","",IFERROR(INDEX($BB$74:$BB$119,MATCH($AH$306,$AY$74:$AY$119,0)),$AH$306))</f>
        <v/>
      </c>
      <c r="AM306" s="483" t="str">
        <f t="shared" si="78"/>
        <v/>
      </c>
      <c r="AN306" s="484" t="str">
        <f t="shared" si="79"/>
        <v/>
      </c>
      <c r="AO306" s="473" t="str">
        <f t="shared" si="80"/>
        <v/>
      </c>
      <c r="AP306" s="473" t="str">
        <f t="shared" si="81"/>
        <v/>
      </c>
      <c r="AQ306" s="473" t="str">
        <f t="shared" si="82"/>
        <v/>
      </c>
      <c r="AR306" s="473" t="str">
        <f t="shared" si="83"/>
        <v/>
      </c>
      <c r="AS306" s="473" t="str">
        <f t="shared" si="84"/>
        <v/>
      </c>
      <c r="AT306" s="473" t="str">
        <f t="shared" si="85"/>
        <v/>
      </c>
      <c r="AU306" s="473" t="str">
        <f t="shared" si="86"/>
        <v/>
      </c>
      <c r="AZ306" s="27" t="s">
        <v>8</v>
      </c>
      <c r="BB306" s="499"/>
      <c r="BC306" s="271"/>
      <c r="BD306" s="279">
        <v>1</v>
      </c>
      <c r="BE306" s="271"/>
      <c r="BF306" s="271"/>
      <c r="BG306" s="271"/>
      <c r="BH306" s="271"/>
      <c r="BI306" s="271"/>
      <c r="BJ306" s="271"/>
      <c r="BK306" s="271"/>
      <c r="BL306" s="271"/>
    </row>
    <row r="307" spans="18:64" ht="21" customHeight="1" x14ac:dyDescent="0.25">
      <c r="R307" s="34" t="s">
        <v>481</v>
      </c>
      <c r="S307" s="451"/>
      <c r="T307" s="497" t="s">
        <v>8147</v>
      </c>
      <c r="V307" s="475">
        <v>7</v>
      </c>
      <c r="W307" s="475" t="str">
        <f>IF($AC$307="","",$W$288)</f>
        <v/>
      </c>
      <c r="X307" s="476" t="str">
        <f>IF($AC$307="","",$X$288)</f>
        <v/>
      </c>
      <c r="Y307" s="477" t="str">
        <f>IF($X$307="","",$Y$288)</f>
        <v/>
      </c>
      <c r="Z307" s="477" t="str">
        <f>IF($X$307="","",$Z$288)</f>
        <v/>
      </c>
      <c r="AA307" s="477" t="str">
        <f>IF($AC$307="","",ROW($A$307)-ROW($A$288))</f>
        <v/>
      </c>
      <c r="AB307" s="478"/>
      <c r="AC307" s="34"/>
      <c r="AD307" s="356"/>
      <c r="AE307" s="18"/>
      <c r="AF307" s="19"/>
      <c r="AG307" s="480" t="str">
        <f t="shared" si="76"/>
        <v/>
      </c>
      <c r="AH307" s="481" t="str">
        <f t="shared" si="77"/>
        <v/>
      </c>
      <c r="AI307" s="477" t="str">
        <f>IF($AC$307="","",IFERROR(INDEX($AZ$74:$AZ$119,MATCH($AH$307,$AY$74:$AY$119,0)),"AUTRE"))</f>
        <v/>
      </c>
      <c r="AJ307" s="482" t="str">
        <f>IF($AC$307="","",IFERROR(INDEX($BA$74:$BA$119,MATCH($AH$307,$AY$74:$AY$119,0)),1))</f>
        <v/>
      </c>
      <c r="AK307" s="482" t="str">
        <f t="shared" si="66"/>
        <v/>
      </c>
      <c r="AL307" s="477" t="str">
        <f>IF($AC$307="","",IFERROR(INDEX($BB$74:$BB$119,MATCH($AH$307,$AY$74:$AY$119,0)),$AH$307))</f>
        <v/>
      </c>
      <c r="AM307" s="483" t="str">
        <f t="shared" si="78"/>
        <v/>
      </c>
      <c r="AN307" s="484" t="str">
        <f t="shared" si="79"/>
        <v/>
      </c>
      <c r="AO307" s="473" t="str">
        <f t="shared" si="80"/>
        <v/>
      </c>
      <c r="AP307" s="473" t="str">
        <f t="shared" si="81"/>
        <v/>
      </c>
      <c r="AQ307" s="473" t="str">
        <f t="shared" si="82"/>
        <v/>
      </c>
      <c r="AR307" s="473" t="str">
        <f t="shared" si="83"/>
        <v/>
      </c>
      <c r="AS307" s="473" t="str">
        <f t="shared" si="84"/>
        <v/>
      </c>
      <c r="AT307" s="473" t="str">
        <f t="shared" si="85"/>
        <v/>
      </c>
      <c r="AU307" s="473" t="str">
        <f t="shared" si="86"/>
        <v/>
      </c>
      <c r="AZ307" s="28" t="s">
        <v>13</v>
      </c>
      <c r="BA307" s="25" t="s">
        <v>6134</v>
      </c>
      <c r="BB307" s="499"/>
      <c r="BC307" s="271"/>
      <c r="BD307" s="279">
        <v>1</v>
      </c>
      <c r="BE307" s="271"/>
      <c r="BF307" s="271"/>
      <c r="BG307" s="271"/>
      <c r="BH307" s="271"/>
      <c r="BI307" s="271"/>
      <c r="BJ307" s="271"/>
      <c r="BK307" s="271"/>
      <c r="BL307" s="271"/>
    </row>
    <row r="308" spans="18:64" ht="21" customHeight="1" x14ac:dyDescent="0.25">
      <c r="R308" s="34" t="s">
        <v>475</v>
      </c>
      <c r="S308" s="451"/>
      <c r="T308" s="497" t="s">
        <v>465</v>
      </c>
      <c r="V308" s="475">
        <v>7</v>
      </c>
      <c r="W308" s="475" t="str">
        <f>IF($AC$308="","",$W$288)</f>
        <v/>
      </c>
      <c r="X308" s="476" t="str">
        <f>IF($AC$308="","",$X$288)</f>
        <v/>
      </c>
      <c r="Y308" s="477" t="str">
        <f>IF($X$308="","",$Y$288)</f>
        <v/>
      </c>
      <c r="Z308" s="477" t="str">
        <f>IF($X$308="","",$Z$288)</f>
        <v/>
      </c>
      <c r="AA308" s="477" t="str">
        <f>IF($AC$308="","",ROW($A$308)-ROW($A$288))</f>
        <v/>
      </c>
      <c r="AB308" s="478"/>
      <c r="AC308" s="34"/>
      <c r="AD308" s="356"/>
      <c r="AE308" s="18"/>
      <c r="AF308" s="19"/>
      <c r="AG308" s="480" t="str">
        <f t="shared" si="76"/>
        <v/>
      </c>
      <c r="AH308" s="481" t="str">
        <f t="shared" si="77"/>
        <v/>
      </c>
      <c r="AI308" s="477" t="str">
        <f>IF($AC$308="","",IFERROR(INDEX($AZ$74:$AZ$119,MATCH($AH$308,$AY$74:$AY$119,0)),"AUTRE"))</f>
        <v/>
      </c>
      <c r="AJ308" s="482" t="str">
        <f>IF($AC$308="","",IFERROR(INDEX($BA$74:$BA$119,MATCH($AH$308,$AY$74:$AY$119,0)),1))</f>
        <v/>
      </c>
      <c r="AK308" s="482" t="str">
        <f t="shared" si="66"/>
        <v/>
      </c>
      <c r="AL308" s="477" t="str">
        <f>IF($AC$308="","",IFERROR(INDEX($BB$74:$BB$119,MATCH($AH$308,$AY$74:$AY$119,0)),$AH$308))</f>
        <v/>
      </c>
      <c r="AM308" s="483" t="str">
        <f t="shared" si="78"/>
        <v/>
      </c>
      <c r="AN308" s="484" t="str">
        <f t="shared" si="79"/>
        <v/>
      </c>
      <c r="AO308" s="473" t="str">
        <f t="shared" si="80"/>
        <v/>
      </c>
      <c r="AP308" s="473" t="str">
        <f t="shared" si="81"/>
        <v/>
      </c>
      <c r="AQ308" s="473" t="str">
        <f t="shared" si="82"/>
        <v/>
      </c>
      <c r="AR308" s="473" t="str">
        <f t="shared" si="83"/>
        <v/>
      </c>
      <c r="AS308" s="473" t="str">
        <f t="shared" si="84"/>
        <v/>
      </c>
      <c r="AT308" s="473" t="str">
        <f t="shared" si="85"/>
        <v/>
      </c>
      <c r="AU308" s="473" t="str">
        <f t="shared" si="86"/>
        <v/>
      </c>
      <c r="AZ308" s="28" t="s">
        <v>14</v>
      </c>
      <c r="BA308" s="34" t="s">
        <v>481</v>
      </c>
      <c r="BB308" s="499"/>
      <c r="BC308" s="271"/>
      <c r="BD308" s="279">
        <v>1</v>
      </c>
      <c r="BE308" s="271"/>
      <c r="BF308" s="271"/>
      <c r="BG308" s="271"/>
      <c r="BH308" s="271"/>
      <c r="BI308" s="271"/>
      <c r="BJ308" s="271"/>
      <c r="BK308" s="271"/>
      <c r="BL308" s="271"/>
    </row>
    <row r="309" spans="18:64" ht="21" customHeight="1" x14ac:dyDescent="0.25">
      <c r="R309" s="34" t="s">
        <v>457</v>
      </c>
      <c r="S309" s="451"/>
      <c r="T309" s="497" t="s">
        <v>466</v>
      </c>
      <c r="V309" s="475">
        <v>7</v>
      </c>
      <c r="W309" s="475" t="str">
        <f>IF($AC$309="","",$W$288)</f>
        <v/>
      </c>
      <c r="X309" s="476" t="str">
        <f>IF($AC$309="","",$X$288)</f>
        <v/>
      </c>
      <c r="Y309" s="477" t="str">
        <f>IF($X$309="","",$Y$288)</f>
        <v/>
      </c>
      <c r="Z309" s="477" t="str">
        <f>IF($X$309="","",$Z$288)</f>
        <v/>
      </c>
      <c r="AA309" s="477" t="str">
        <f>IF($AC$309="","",ROW($A$309)-ROW($A$288))</f>
        <v/>
      </c>
      <c r="AB309" s="478"/>
      <c r="AC309" s="34"/>
      <c r="AD309" s="356"/>
      <c r="AE309" s="18"/>
      <c r="AF309" s="19"/>
      <c r="AG309" s="480" t="str">
        <f t="shared" si="76"/>
        <v/>
      </c>
      <c r="AH309" s="481" t="str">
        <f t="shared" si="77"/>
        <v/>
      </c>
      <c r="AI309" s="477" t="str">
        <f>IF($AC$309="","",IFERROR(INDEX($AZ$74:$AZ$119,MATCH($AH$309,$AY$74:$AY$119,0)),"AUTRE"))</f>
        <v/>
      </c>
      <c r="AJ309" s="482" t="str">
        <f>IF($AC$309="","",IFERROR(INDEX($BA$74:$BA$119,MATCH($AH$309,$AY$74:$AY$119,0)),1))</f>
        <v/>
      </c>
      <c r="AK309" s="482" t="str">
        <f t="shared" si="66"/>
        <v/>
      </c>
      <c r="AL309" s="477" t="str">
        <f>IF($AC$309="","",IFERROR(INDEX($BB$74:$BB$119,MATCH($AH$309,$AY$74:$AY$119,0)),$AH$309))</f>
        <v/>
      </c>
      <c r="AM309" s="483" t="str">
        <f t="shared" si="78"/>
        <v/>
      </c>
      <c r="AN309" s="484" t="str">
        <f t="shared" si="79"/>
        <v/>
      </c>
      <c r="AO309" s="473" t="str">
        <f t="shared" si="80"/>
        <v/>
      </c>
      <c r="AP309" s="473" t="str">
        <f t="shared" si="81"/>
        <v/>
      </c>
      <c r="AQ309" s="473" t="str">
        <f t="shared" si="82"/>
        <v/>
      </c>
      <c r="AR309" s="473" t="str">
        <f t="shared" si="83"/>
        <v/>
      </c>
      <c r="AS309" s="473" t="str">
        <f t="shared" si="84"/>
        <v/>
      </c>
      <c r="AT309" s="473" t="str">
        <f t="shared" si="85"/>
        <v/>
      </c>
      <c r="AU309" s="473" t="str">
        <f t="shared" si="86"/>
        <v/>
      </c>
      <c r="AZ309" s="28" t="s">
        <v>15</v>
      </c>
      <c r="BA309" s="34" t="s">
        <v>475</v>
      </c>
      <c r="BB309" s="499"/>
      <c r="BC309" s="271"/>
      <c r="BD309" s="279">
        <v>1</v>
      </c>
      <c r="BE309" s="271"/>
      <c r="BF309" s="271"/>
      <c r="BG309" s="271"/>
      <c r="BH309" s="271"/>
      <c r="BI309" s="271"/>
      <c r="BJ309" s="271"/>
      <c r="BK309" s="271"/>
      <c r="BL309" s="271"/>
    </row>
    <row r="310" spans="18:64" ht="21" customHeight="1" x14ac:dyDescent="0.25">
      <c r="R310" s="34" t="s">
        <v>482</v>
      </c>
      <c r="S310" s="451"/>
      <c r="T310" s="440" t="s">
        <v>8110</v>
      </c>
      <c r="V310" s="475">
        <v>7</v>
      </c>
      <c r="W310" s="475" t="str">
        <f>IF($AC$310="","",$W$288)</f>
        <v/>
      </c>
      <c r="X310" s="476" t="str">
        <f>IF($AC$310="","",$X$288)</f>
        <v/>
      </c>
      <c r="Y310" s="477" t="str">
        <f>IF($X$310="","",$Y$288)</f>
        <v/>
      </c>
      <c r="Z310" s="477" t="str">
        <f>IF($X$310="","",$Z$288)</f>
        <v/>
      </c>
      <c r="AA310" s="477" t="str">
        <f>IF($AC$310="","",ROW($A$310)-ROW($A$288))</f>
        <v/>
      </c>
      <c r="AB310" s="478"/>
      <c r="AC310" s="34"/>
      <c r="AD310" s="356"/>
      <c r="AE310" s="18"/>
      <c r="AF310" s="19"/>
      <c r="AG310" s="480" t="str">
        <f t="shared" si="76"/>
        <v/>
      </c>
      <c r="AH310" s="481" t="str">
        <f t="shared" si="77"/>
        <v/>
      </c>
      <c r="AI310" s="477" t="str">
        <f>IF($AC$310="","",IFERROR(INDEX($AZ$74:$AZ$119,MATCH($AH$310,$AY$74:$AY$119,0)),"AUTRE"))</f>
        <v/>
      </c>
      <c r="AJ310" s="482" t="str">
        <f>IF($AC$310="","",IFERROR(INDEX($BA$74:$BA$119,MATCH($AH$310,$AY$74:$AY$119,0)),1))</f>
        <v/>
      </c>
      <c r="AK310" s="482" t="str">
        <f t="shared" si="66"/>
        <v/>
      </c>
      <c r="AL310" s="477" t="str">
        <f>IF($AC$310="","",IFERROR(INDEX($BB$74:$BB$119,MATCH($AH$310,$AY$74:$AY$119,0)),$AH$310))</f>
        <v/>
      </c>
      <c r="AM310" s="483" t="str">
        <f t="shared" si="78"/>
        <v/>
      </c>
      <c r="AN310" s="484" t="str">
        <f t="shared" si="79"/>
        <v/>
      </c>
      <c r="AO310" s="473" t="str">
        <f t="shared" si="80"/>
        <v/>
      </c>
      <c r="AP310" s="473" t="str">
        <f t="shared" si="81"/>
        <v/>
      </c>
      <c r="AQ310" s="473" t="str">
        <f t="shared" si="82"/>
        <v/>
      </c>
      <c r="AR310" s="473" t="str">
        <f t="shared" si="83"/>
        <v/>
      </c>
      <c r="AS310" s="473" t="str">
        <f t="shared" si="84"/>
        <v/>
      </c>
      <c r="AT310" s="473" t="str">
        <f t="shared" si="85"/>
        <v/>
      </c>
      <c r="AU310" s="473" t="str">
        <f t="shared" si="86"/>
        <v/>
      </c>
      <c r="AZ310" s="29" t="s">
        <v>9</v>
      </c>
      <c r="BA310" s="34" t="s">
        <v>457</v>
      </c>
      <c r="BB310" s="499"/>
      <c r="BC310" s="271"/>
      <c r="BD310" s="279">
        <v>1</v>
      </c>
      <c r="BE310" s="271"/>
      <c r="BF310" s="271"/>
      <c r="BG310" s="271"/>
      <c r="BH310" s="271"/>
      <c r="BI310" s="271"/>
      <c r="BJ310" s="271"/>
      <c r="BK310" s="271"/>
      <c r="BL310" s="271"/>
    </row>
    <row r="311" spans="18:64" ht="21" customHeight="1" x14ac:dyDescent="0.25">
      <c r="R311" s="34" t="s">
        <v>496</v>
      </c>
      <c r="S311" s="451"/>
      <c r="T311" s="452" t="s">
        <v>8113</v>
      </c>
      <c r="V311" s="475">
        <v>7</v>
      </c>
      <c r="W311" s="475" t="str">
        <f>IF($AC$311="","",$W$288)</f>
        <v/>
      </c>
      <c r="X311" s="476" t="str">
        <f>IF($AC$311="","",$X$288)</f>
        <v/>
      </c>
      <c r="Y311" s="477" t="str">
        <f>IF($X$311="","",$Y$288)</f>
        <v/>
      </c>
      <c r="Z311" s="477" t="str">
        <f>IF($X$311="","",$Z$288)</f>
        <v/>
      </c>
      <c r="AA311" s="477" t="str">
        <f>IF($AC$311="","",ROW($A$311)-ROW($A$288))</f>
        <v/>
      </c>
      <c r="AB311" s="478"/>
      <c r="AC311" s="34"/>
      <c r="AD311" s="356"/>
      <c r="AE311" s="18"/>
      <c r="AF311" s="19"/>
      <c r="AG311" s="480" t="str">
        <f t="shared" si="76"/>
        <v/>
      </c>
      <c r="AH311" s="481" t="str">
        <f t="shared" si="77"/>
        <v/>
      </c>
      <c r="AI311" s="477" t="str">
        <f>IF($AC$311="","",IFERROR(INDEX($AZ$74:$AZ$119,MATCH($AH$311,$AY$74:$AY$119,0)),"AUTRE"))</f>
        <v/>
      </c>
      <c r="AJ311" s="482" t="str">
        <f>IF($AC$311="","",IFERROR(INDEX($BA$74:$BA$119,MATCH($AH$311,$AY$74:$AY$119,0)),1))</f>
        <v/>
      </c>
      <c r="AK311" s="482" t="str">
        <f t="shared" si="66"/>
        <v/>
      </c>
      <c r="AL311" s="477" t="str">
        <f>IF($AC$311="","",IFERROR(INDEX($BB$74:$BB$119,MATCH($AH$311,$AY$74:$AY$119,0)),$AH$311))</f>
        <v/>
      </c>
      <c r="AM311" s="483" t="str">
        <f t="shared" si="78"/>
        <v/>
      </c>
      <c r="AN311" s="484" t="str">
        <f t="shared" si="79"/>
        <v/>
      </c>
      <c r="AO311" s="473" t="str">
        <f t="shared" si="80"/>
        <v/>
      </c>
      <c r="AP311" s="473" t="str">
        <f t="shared" si="81"/>
        <v/>
      </c>
      <c r="AQ311" s="473" t="str">
        <f t="shared" si="82"/>
        <v/>
      </c>
      <c r="AR311" s="473" t="str">
        <f t="shared" si="83"/>
        <v/>
      </c>
      <c r="AS311" s="473" t="str">
        <f t="shared" si="84"/>
        <v/>
      </c>
      <c r="AT311" s="473" t="str">
        <f t="shared" si="85"/>
        <v/>
      </c>
      <c r="AU311" s="473" t="str">
        <f t="shared" si="86"/>
        <v/>
      </c>
      <c r="AZ311" s="30" t="s">
        <v>10</v>
      </c>
      <c r="BA311" s="34" t="s">
        <v>482</v>
      </c>
      <c r="BB311" s="499"/>
      <c r="BC311" s="271"/>
      <c r="BD311" s="279">
        <v>1</v>
      </c>
      <c r="BE311" s="271"/>
      <c r="BF311" s="271"/>
      <c r="BG311" s="271"/>
      <c r="BH311" s="271"/>
      <c r="BI311" s="271"/>
      <c r="BJ311" s="271"/>
      <c r="BK311" s="271"/>
      <c r="BL311" s="271"/>
    </row>
    <row r="312" spans="18:64" ht="21" customHeight="1" x14ac:dyDescent="0.25">
      <c r="R312" s="34" t="s">
        <v>483</v>
      </c>
      <c r="S312" s="451"/>
      <c r="T312" s="14" t="s">
        <v>7</v>
      </c>
      <c r="V312" s="475">
        <v>7</v>
      </c>
      <c r="W312" s="475" t="str">
        <f>IF($AC$312="","",$W$288)</f>
        <v/>
      </c>
      <c r="X312" s="476" t="str">
        <f>IF($AC$312="","",$X$288)</f>
        <v/>
      </c>
      <c r="Y312" s="477" t="str">
        <f>IF($X$312="","",$Y$288)</f>
        <v/>
      </c>
      <c r="Z312" s="477" t="str">
        <f>IF($X$312="","",$Z$288)</f>
        <v/>
      </c>
      <c r="AA312" s="477" t="str">
        <f>IF($AC$312="","",ROW($A$312)-ROW($A$288))</f>
        <v/>
      </c>
      <c r="AB312" s="478"/>
      <c r="AC312" s="34"/>
      <c r="AD312" s="356"/>
      <c r="AE312" s="18"/>
      <c r="AF312" s="19"/>
      <c r="AG312" s="480" t="str">
        <f t="shared" si="76"/>
        <v/>
      </c>
      <c r="AH312" s="481" t="str">
        <f t="shared" si="77"/>
        <v/>
      </c>
      <c r="AI312" s="477" t="str">
        <f>IF($AC$312="","",IFERROR(INDEX($AZ$74:$AZ$119,MATCH($AH$312,$AY$74:$AY$119,0)),"AUTRE"))</f>
        <v/>
      </c>
      <c r="AJ312" s="482" t="str">
        <f>IF($AC$312="","",IFERROR(INDEX($BA$74:$BA$119,MATCH($AH$312,$AY$74:$AY$119,0)),1))</f>
        <v/>
      </c>
      <c r="AK312" s="482" t="str">
        <f t="shared" si="66"/>
        <v/>
      </c>
      <c r="AL312" s="477" t="str">
        <f>IF($AC$312="","",IFERROR(INDEX($BB$74:$BB$119,MATCH($AH$312,$AY$74:$AY$119,0)),$AH$312))</f>
        <v/>
      </c>
      <c r="AM312" s="483" t="str">
        <f t="shared" si="78"/>
        <v/>
      </c>
      <c r="AN312" s="484" t="str">
        <f t="shared" si="79"/>
        <v/>
      </c>
      <c r="AO312" s="473" t="str">
        <f t="shared" si="80"/>
        <v/>
      </c>
      <c r="AP312" s="473" t="str">
        <f t="shared" si="81"/>
        <v/>
      </c>
      <c r="AQ312" s="473" t="str">
        <f t="shared" si="82"/>
        <v/>
      </c>
      <c r="AR312" s="473" t="str">
        <f t="shared" si="83"/>
        <v/>
      </c>
      <c r="AS312" s="473" t="str">
        <f t="shared" si="84"/>
        <v/>
      </c>
      <c r="AT312" s="473" t="str">
        <f t="shared" si="85"/>
        <v/>
      </c>
      <c r="AU312" s="473" t="str">
        <f t="shared" si="86"/>
        <v/>
      </c>
      <c r="AZ312" s="30" t="s">
        <v>11</v>
      </c>
      <c r="BA312" s="34" t="s">
        <v>496</v>
      </c>
      <c r="BB312" s="499"/>
      <c r="BC312" s="271"/>
      <c r="BD312" s="279">
        <v>1</v>
      </c>
      <c r="BE312" s="271"/>
      <c r="BF312" s="271"/>
      <c r="BG312" s="271"/>
      <c r="BH312" s="271"/>
      <c r="BI312" s="271"/>
      <c r="BJ312" s="271"/>
      <c r="BK312" s="271"/>
      <c r="BL312" s="271"/>
    </row>
    <row r="313" spans="18:64" ht="21" customHeight="1" x14ac:dyDescent="0.25">
      <c r="R313" s="34" t="s">
        <v>493</v>
      </c>
      <c r="S313" s="451"/>
      <c r="T313" s="27" t="s">
        <v>8</v>
      </c>
      <c r="V313" s="475">
        <v>7</v>
      </c>
      <c r="W313" s="475" t="str">
        <f>IF($AC$313="","",$W$288)</f>
        <v/>
      </c>
      <c r="X313" s="476" t="str">
        <f>IF($AC$313="","",$X$288)</f>
        <v/>
      </c>
      <c r="Y313" s="477" t="str">
        <f>IF($X$313="","",$Y$288)</f>
        <v/>
      </c>
      <c r="Z313" s="477" t="str">
        <f>IF($X$313="","",$Z$288)</f>
        <v/>
      </c>
      <c r="AA313" s="477" t="str">
        <f>IF($AC$313="","",ROW($A$313)-ROW($A$288))</f>
        <v/>
      </c>
      <c r="AB313" s="478"/>
      <c r="AC313" s="34"/>
      <c r="AD313" s="356"/>
      <c r="AE313" s="18"/>
      <c r="AF313" s="19"/>
      <c r="AG313" s="480" t="str">
        <f t="shared" si="76"/>
        <v/>
      </c>
      <c r="AH313" s="481" t="str">
        <f t="shared" si="77"/>
        <v/>
      </c>
      <c r="AI313" s="477" t="str">
        <f>IF($AC$313="","",IFERROR(INDEX($AZ$74:$AZ$119,MATCH($AH$313,$AY$74:$AY$119,0)),"AUTRE"))</f>
        <v/>
      </c>
      <c r="AJ313" s="482" t="str">
        <f>IF($AC$313="","",IFERROR(INDEX($BA$74:$BA$119,MATCH($AH$313,$AY$74:$AY$119,0)),1))</f>
        <v/>
      </c>
      <c r="AK313" s="482" t="str">
        <f t="shared" si="66"/>
        <v/>
      </c>
      <c r="AL313" s="477" t="str">
        <f>IF($AC$313="","",IFERROR(INDEX($BB$74:$BB$119,MATCH($AH$313,$AY$74:$AY$119,0)),$AH$313))</f>
        <v/>
      </c>
      <c r="AM313" s="483" t="str">
        <f t="shared" si="78"/>
        <v/>
      </c>
      <c r="AN313" s="484" t="str">
        <f t="shared" si="79"/>
        <v/>
      </c>
      <c r="AO313" s="473" t="str">
        <f t="shared" si="80"/>
        <v/>
      </c>
      <c r="AP313" s="473" t="str">
        <f t="shared" si="81"/>
        <v/>
      </c>
      <c r="AQ313" s="473" t="str">
        <f t="shared" si="82"/>
        <v/>
      </c>
      <c r="AR313" s="473" t="str">
        <f t="shared" si="83"/>
        <v/>
      </c>
      <c r="AS313" s="473" t="str">
        <f t="shared" si="84"/>
        <v/>
      </c>
      <c r="AT313" s="473" t="str">
        <f t="shared" si="85"/>
        <v/>
      </c>
      <c r="AU313" s="473" t="str">
        <f t="shared" si="86"/>
        <v/>
      </c>
      <c r="AZ313" s="30" t="s">
        <v>12</v>
      </c>
      <c r="BA313" s="34" t="s">
        <v>483</v>
      </c>
      <c r="BB313" s="499"/>
      <c r="BC313" s="271"/>
      <c r="BD313" s="279">
        <v>1</v>
      </c>
      <c r="BE313" s="271"/>
      <c r="BF313" s="271"/>
      <c r="BG313" s="271"/>
      <c r="BH313" s="271"/>
      <c r="BI313" s="271"/>
      <c r="BJ313" s="271"/>
      <c r="BK313" s="271"/>
      <c r="BL313" s="271"/>
    </row>
    <row r="314" spans="18:64" ht="21" customHeight="1" x14ac:dyDescent="0.25">
      <c r="R314" s="34" t="s">
        <v>494</v>
      </c>
      <c r="S314" s="451"/>
      <c r="T314" s="28" t="s">
        <v>13</v>
      </c>
      <c r="V314" s="475">
        <v>7</v>
      </c>
      <c r="W314" s="475" t="str">
        <f>IF($AC$314="","",$W$288)</f>
        <v/>
      </c>
      <c r="X314" s="476" t="str">
        <f>IF($AC$314="","",$X$288)</f>
        <v/>
      </c>
      <c r="Y314" s="477" t="str">
        <f>IF($X$314="","",$Y$288)</f>
        <v/>
      </c>
      <c r="Z314" s="477" t="str">
        <f>IF($X$314="","",$Z$288)</f>
        <v/>
      </c>
      <c r="AA314" s="477" t="str">
        <f>IF($AC$314="","",ROW($A$314)-ROW($A$288))</f>
        <v/>
      </c>
      <c r="AB314" s="478"/>
      <c r="AC314" s="34"/>
      <c r="AD314" s="356"/>
      <c r="AE314" s="18"/>
      <c r="AF314" s="19"/>
      <c r="AG314" s="480" t="str">
        <f t="shared" si="76"/>
        <v/>
      </c>
      <c r="AH314" s="481" t="str">
        <f t="shared" si="77"/>
        <v/>
      </c>
      <c r="AI314" s="477" t="str">
        <f>IF($AC$314="","",IFERROR(INDEX($AZ$74:$AZ$119,MATCH($AH$314,$AY$74:$AY$119,0)),"AUTRE"))</f>
        <v/>
      </c>
      <c r="AJ314" s="482" t="str">
        <f>IF($AC$314="","",IFERROR(INDEX($BA$74:$BA$119,MATCH($AH$314,$AY$74:$AY$119,0)),1))</f>
        <v/>
      </c>
      <c r="AK314" s="482" t="str">
        <f t="shared" si="66"/>
        <v/>
      </c>
      <c r="AL314" s="477" t="str">
        <f>IF($AC$314="","",IFERROR(INDEX($BB$74:$BB$119,MATCH($AH$314,$AY$74:$AY$119,0)),$AH$314))</f>
        <v/>
      </c>
      <c r="AM314" s="483" t="str">
        <f t="shared" si="78"/>
        <v/>
      </c>
      <c r="AN314" s="484" t="str">
        <f t="shared" si="79"/>
        <v/>
      </c>
      <c r="AO314" s="473" t="str">
        <f t="shared" si="80"/>
        <v/>
      </c>
      <c r="AP314" s="473" t="str">
        <f t="shared" si="81"/>
        <v/>
      </c>
      <c r="AQ314" s="473" t="str">
        <f t="shared" si="82"/>
        <v/>
      </c>
      <c r="AR314" s="473" t="str">
        <f t="shared" si="83"/>
        <v/>
      </c>
      <c r="AS314" s="473" t="str">
        <f t="shared" si="84"/>
        <v/>
      </c>
      <c r="AT314" s="473" t="str">
        <f t="shared" si="85"/>
        <v/>
      </c>
      <c r="AU314" s="473" t="str">
        <f t="shared" si="86"/>
        <v/>
      </c>
      <c r="AZ314" s="31" t="s">
        <v>16</v>
      </c>
      <c r="BA314" s="34" t="s">
        <v>493</v>
      </c>
      <c r="BB314" s="499"/>
      <c r="BC314" s="271"/>
      <c r="BD314" s="279">
        <v>1</v>
      </c>
      <c r="BE314" s="271"/>
      <c r="BF314" s="271"/>
      <c r="BG314" s="271"/>
      <c r="BH314" s="271"/>
      <c r="BI314" s="271"/>
      <c r="BJ314" s="271"/>
      <c r="BK314" s="271"/>
      <c r="BL314" s="271"/>
    </row>
    <row r="315" spans="18:64" ht="21" customHeight="1" x14ac:dyDescent="0.25">
      <c r="S315" s="451"/>
      <c r="T315" s="28" t="s">
        <v>14</v>
      </c>
      <c r="V315" s="475">
        <v>7</v>
      </c>
      <c r="W315" s="475" t="str">
        <f>IF($AC$315="","",$W$288)</f>
        <v/>
      </c>
      <c r="X315" s="476" t="str">
        <f>IF($AC$315="","",$X$288)</f>
        <v/>
      </c>
      <c r="Y315" s="477" t="str">
        <f>IF($X$315="","",$Y$288)</f>
        <v/>
      </c>
      <c r="Z315" s="477" t="str">
        <f>IF($X$315="","",$Z$288)</f>
        <v/>
      </c>
      <c r="AA315" s="477" t="str">
        <f>IF($AC$315="","",ROW($A$315)-ROW($A$288))</f>
        <v/>
      </c>
      <c r="AB315" s="478"/>
      <c r="AC315" s="34"/>
      <c r="AD315" s="356"/>
      <c r="AE315" s="18"/>
      <c r="AF315" s="19"/>
      <c r="AG315" s="480" t="str">
        <f t="shared" si="76"/>
        <v/>
      </c>
      <c r="AH315" s="481" t="str">
        <f t="shared" si="77"/>
        <v/>
      </c>
      <c r="AI315" s="477" t="str">
        <f>IF($AC$315="","",IFERROR(INDEX($AZ$74:$AZ$119,MATCH($AH$315,$AY$74:$AY$119,0)),"AUTRE"))</f>
        <v/>
      </c>
      <c r="AJ315" s="482" t="str">
        <f>IF($AC$315="","",IFERROR(INDEX($BA$74:$BA$119,MATCH($AH$315,$AY$74:$AY$119,0)),1))</f>
        <v/>
      </c>
      <c r="AK315" s="482" t="str">
        <f t="shared" si="66"/>
        <v/>
      </c>
      <c r="AL315" s="477" t="str">
        <f>IF($AC$315="","",IFERROR(INDEX($BB$74:$BB$119,MATCH($AH$315,$AY$74:$AY$119,0)),$AH$315))</f>
        <v/>
      </c>
      <c r="AM315" s="483" t="str">
        <f t="shared" si="78"/>
        <v/>
      </c>
      <c r="AN315" s="484" t="str">
        <f t="shared" si="79"/>
        <v/>
      </c>
      <c r="AO315" s="473" t="str">
        <f t="shared" si="80"/>
        <v/>
      </c>
      <c r="AP315" s="473" t="str">
        <f t="shared" si="81"/>
        <v/>
      </c>
      <c r="AQ315" s="473" t="str">
        <f t="shared" si="82"/>
        <v/>
      </c>
      <c r="AR315" s="473" t="str">
        <f t="shared" si="83"/>
        <v/>
      </c>
      <c r="AS315" s="473" t="str">
        <f t="shared" si="84"/>
        <v/>
      </c>
      <c r="AT315" s="473" t="str">
        <f t="shared" si="85"/>
        <v/>
      </c>
      <c r="AU315" s="473" t="str">
        <f t="shared" si="86"/>
        <v/>
      </c>
      <c r="AZ315" s="31" t="s">
        <v>17</v>
      </c>
      <c r="BA315" s="34" t="s">
        <v>494</v>
      </c>
      <c r="BB315" s="499"/>
      <c r="BC315" s="271"/>
      <c r="BD315" s="279">
        <v>1</v>
      </c>
      <c r="BE315" s="271"/>
      <c r="BF315" s="271"/>
      <c r="BG315" s="271"/>
      <c r="BH315" s="271"/>
      <c r="BI315" s="271"/>
      <c r="BJ315" s="271"/>
      <c r="BK315" s="271"/>
      <c r="BL315" s="271"/>
    </row>
    <row r="316" spans="18:64" ht="21" customHeight="1" x14ac:dyDescent="0.25">
      <c r="R316" s="25" t="s">
        <v>6115</v>
      </c>
      <c r="S316" s="451"/>
      <c r="T316" s="28" t="s">
        <v>15</v>
      </c>
      <c r="V316" s="475">
        <v>7</v>
      </c>
      <c r="W316" s="475" t="str">
        <f>IF($AC$316="","",$W$288)</f>
        <v/>
      </c>
      <c r="X316" s="476" t="str">
        <f>IF($AC$316="","",$X$288)</f>
        <v/>
      </c>
      <c r="Y316" s="477" t="str">
        <f>IF($X$316="","",$Y$288)</f>
        <v/>
      </c>
      <c r="Z316" s="477" t="str">
        <f>IF($X$316="","",$Z$288)</f>
        <v/>
      </c>
      <c r="AA316" s="477" t="str">
        <f>IF($AC$316="","",ROW($A$316)-ROW($A$288))</f>
        <v/>
      </c>
      <c r="AB316" s="478"/>
      <c r="AC316" s="34"/>
      <c r="AD316" s="356"/>
      <c r="AE316" s="18"/>
      <c r="AF316" s="19"/>
      <c r="AG316" s="480" t="str">
        <f t="shared" si="76"/>
        <v/>
      </c>
      <c r="AH316" s="481" t="str">
        <f t="shared" si="77"/>
        <v/>
      </c>
      <c r="AI316" s="477" t="str">
        <f>IF($AC$316="","",IFERROR(INDEX($AZ$74:$AZ$119,MATCH($AH$316,$AY$74:$AY$119,0)),"AUTRE"))</f>
        <v/>
      </c>
      <c r="AJ316" s="482" t="str">
        <f>IF($AC$316="","",IFERROR(INDEX($BA$74:$BA$119,MATCH($AH$316,$AY$74:$AY$119,0)),1))</f>
        <v/>
      </c>
      <c r="AK316" s="482" t="str">
        <f t="shared" ref="AK316:AK322" si="87">IF(OR(AG316="",AJ316=""),"",AG316*AJ316)</f>
        <v/>
      </c>
      <c r="AL316" s="477" t="str">
        <f>IF($AC$316="","",IFERROR(INDEX($BB$74:$BB$119,MATCH($AH$316,$AY$74:$AY$119,0)),$AH$316))</f>
        <v/>
      </c>
      <c r="AM316" s="483" t="str">
        <f t="shared" si="78"/>
        <v/>
      </c>
      <c r="AN316" s="484" t="str">
        <f t="shared" si="79"/>
        <v/>
      </c>
      <c r="AO316" s="473" t="str">
        <f t="shared" si="80"/>
        <v/>
      </c>
      <c r="AP316" s="473" t="str">
        <f t="shared" si="81"/>
        <v/>
      </c>
      <c r="AQ316" s="473" t="str">
        <f t="shared" si="82"/>
        <v/>
      </c>
      <c r="AR316" s="473" t="str">
        <f t="shared" si="83"/>
        <v/>
      </c>
      <c r="AS316" s="473" t="str">
        <f t="shared" si="84"/>
        <v/>
      </c>
      <c r="AT316" s="473" t="str">
        <f t="shared" si="85"/>
        <v/>
      </c>
      <c r="AU316" s="473" t="str">
        <f t="shared" si="86"/>
        <v/>
      </c>
      <c r="AY316" s="271"/>
      <c r="AZ316" s="31" t="s">
        <v>18</v>
      </c>
      <c r="BB316" s="499"/>
      <c r="BC316" s="271"/>
      <c r="BD316" s="279">
        <v>1</v>
      </c>
      <c r="BE316" s="271"/>
      <c r="BF316" s="271"/>
      <c r="BG316" s="271"/>
      <c r="BH316" s="271"/>
      <c r="BI316" s="271"/>
      <c r="BJ316" s="271"/>
      <c r="BK316" s="271"/>
      <c r="BL316" s="271"/>
    </row>
    <row r="317" spans="18:64" ht="21" customHeight="1" x14ac:dyDescent="0.25">
      <c r="R317" s="34" t="s">
        <v>471</v>
      </c>
      <c r="S317" s="451"/>
      <c r="T317" s="28" t="s">
        <v>21</v>
      </c>
      <c r="V317" s="475">
        <v>7</v>
      </c>
      <c r="W317" s="475" t="str">
        <f>IF($AC$317="","",$W$288)</f>
        <v/>
      </c>
      <c r="X317" s="476" t="str">
        <f>IF($AC$317="","",$X$288)</f>
        <v/>
      </c>
      <c r="Y317" s="477" t="str">
        <f>IF($X$317="","",$Y$288)</f>
        <v/>
      </c>
      <c r="Z317" s="477" t="str">
        <f>IF($X$317="","",$Z$288)</f>
        <v/>
      </c>
      <c r="AA317" s="477" t="str">
        <f>IF($AC$317="","",ROW($A$317)-ROW($A$288))</f>
        <v/>
      </c>
      <c r="AB317" s="478"/>
      <c r="AC317" s="34"/>
      <c r="AD317" s="356"/>
      <c r="AE317" s="18"/>
      <c r="AF317" s="19"/>
      <c r="AG317" s="480" t="str">
        <f t="shared" si="76"/>
        <v/>
      </c>
      <c r="AH317" s="481" t="str">
        <f t="shared" si="77"/>
        <v/>
      </c>
      <c r="AI317" s="477" t="str">
        <f>IF($AC$317="","",IFERROR(INDEX($AZ$74:$AZ$119,MATCH($AH$317,$AY$74:$AY$119,0)),"AUTRE"))</f>
        <v/>
      </c>
      <c r="AJ317" s="482" t="str">
        <f>IF($AC$317="","",IFERROR(INDEX($BA$74:$BA$119,MATCH($AH$317,$AY$74:$AY$119,0)),1))</f>
        <v/>
      </c>
      <c r="AK317" s="482" t="str">
        <f t="shared" si="87"/>
        <v/>
      </c>
      <c r="AL317" s="477" t="str">
        <f>IF($AC$317="","",IFERROR(INDEX($BB$74:$BB$119,MATCH($AH$317,$AY$74:$AY$119,0)),$AH$317))</f>
        <v/>
      </c>
      <c r="AM317" s="483" t="str">
        <f t="shared" si="78"/>
        <v/>
      </c>
      <c r="AN317" s="484" t="str">
        <f t="shared" si="79"/>
        <v/>
      </c>
      <c r="AO317" s="473" t="str">
        <f t="shared" si="80"/>
        <v/>
      </c>
      <c r="AP317" s="473" t="str">
        <f t="shared" si="81"/>
        <v/>
      </c>
      <c r="AQ317" s="473" t="str">
        <f t="shared" si="82"/>
        <v/>
      </c>
      <c r="AR317" s="473" t="str">
        <f t="shared" si="83"/>
        <v/>
      </c>
      <c r="AS317" s="473" t="str">
        <f t="shared" si="84"/>
        <v/>
      </c>
      <c r="AT317" s="473" t="str">
        <f t="shared" si="85"/>
        <v/>
      </c>
      <c r="AU317" s="473" t="str">
        <f t="shared" si="86"/>
        <v/>
      </c>
      <c r="AY317" s="497" t="s">
        <v>8145</v>
      </c>
      <c r="AZ317" s="31" t="s">
        <v>19</v>
      </c>
      <c r="BA317" s="25" t="s">
        <v>6115</v>
      </c>
      <c r="BB317" s="499"/>
      <c r="BC317" s="271"/>
      <c r="BD317" s="279">
        <v>1</v>
      </c>
      <c r="BE317" s="271"/>
      <c r="BF317" s="271"/>
      <c r="BG317" s="271"/>
      <c r="BH317" s="271"/>
      <c r="BI317" s="271"/>
      <c r="BJ317" s="271"/>
      <c r="BK317" s="271"/>
      <c r="BL317" s="271"/>
    </row>
    <row r="318" spans="18:64" ht="21" customHeight="1" x14ac:dyDescent="0.25">
      <c r="R318" s="34" t="s">
        <v>472</v>
      </c>
      <c r="S318" s="451"/>
      <c r="T318" s="28" t="s">
        <v>22</v>
      </c>
      <c r="V318" s="475">
        <v>7</v>
      </c>
      <c r="W318" s="475" t="str">
        <f>IF($AC$318="","",$W$288)</f>
        <v/>
      </c>
      <c r="X318" s="476" t="str">
        <f>IF($AC$318="","",$X$288)</f>
        <v/>
      </c>
      <c r="Y318" s="477" t="str">
        <f>IF($X$318="","",$Y$288)</f>
        <v/>
      </c>
      <c r="Z318" s="477" t="str">
        <f>IF($X$318="","",$Z$288)</f>
        <v/>
      </c>
      <c r="AA318" s="477" t="str">
        <f>IF($AC$318="","",ROW($A$318)-ROW($A$288))</f>
        <v/>
      </c>
      <c r="AB318" s="478"/>
      <c r="AC318" s="34"/>
      <c r="AD318" s="356"/>
      <c r="AE318" s="18"/>
      <c r="AF318" s="19"/>
      <c r="AG318" s="480" t="str">
        <f t="shared" si="76"/>
        <v/>
      </c>
      <c r="AH318" s="481" t="str">
        <f t="shared" si="77"/>
        <v/>
      </c>
      <c r="AI318" s="477" t="str">
        <f>IF($AC$318="","",IFERROR(INDEX($AZ$74:$AZ$119,MATCH($AH$318,$AY$74:$AY$119,0)),"AUTRE"))</f>
        <v/>
      </c>
      <c r="AJ318" s="482" t="str">
        <f>IF($AC$318="","",IFERROR(INDEX($BA$74:$BA$119,MATCH($AH$318,$AY$74:$AY$119,0)),1))</f>
        <v/>
      </c>
      <c r="AK318" s="482" t="str">
        <f t="shared" si="87"/>
        <v/>
      </c>
      <c r="AL318" s="477" t="str">
        <f>IF($AC$318="","",IFERROR(INDEX($BB$74:$BB$119,MATCH($AH$318,$AY$74:$AY$119,0)),$AH$318))</f>
        <v/>
      </c>
      <c r="AM318" s="483" t="str">
        <f t="shared" si="78"/>
        <v/>
      </c>
      <c r="AN318" s="484" t="str">
        <f t="shared" si="79"/>
        <v/>
      </c>
      <c r="AO318" s="473" t="str">
        <f t="shared" si="80"/>
        <v/>
      </c>
      <c r="AP318" s="473" t="str">
        <f t="shared" si="81"/>
        <v/>
      </c>
      <c r="AQ318" s="473" t="str">
        <f t="shared" si="82"/>
        <v/>
      </c>
      <c r="AR318" s="473" t="str">
        <f t="shared" si="83"/>
        <v/>
      </c>
      <c r="AS318" s="473" t="str">
        <f t="shared" si="84"/>
        <v/>
      </c>
      <c r="AT318" s="473" t="str">
        <f t="shared" si="85"/>
        <v/>
      </c>
      <c r="AU318" s="473" t="str">
        <f t="shared" si="86"/>
        <v/>
      </c>
      <c r="AY318" s="497" t="s">
        <v>462</v>
      </c>
      <c r="AZ318" s="31" t="s">
        <v>211</v>
      </c>
      <c r="BA318" s="34" t="s">
        <v>471</v>
      </c>
      <c r="BB318" s="499"/>
      <c r="BC318" s="271"/>
      <c r="BD318" s="279">
        <v>1</v>
      </c>
      <c r="BE318" s="271"/>
      <c r="BF318" s="271"/>
      <c r="BG318" s="271"/>
      <c r="BH318" s="271"/>
      <c r="BI318" s="271"/>
      <c r="BJ318" s="271"/>
      <c r="BK318" s="271"/>
      <c r="BL318" s="271"/>
    </row>
    <row r="319" spans="18:64" ht="21" customHeight="1" x14ac:dyDescent="0.25">
      <c r="R319" s="34" t="s">
        <v>6112</v>
      </c>
      <c r="S319" s="451"/>
      <c r="T319" s="28" t="s">
        <v>23</v>
      </c>
      <c r="V319" s="475">
        <v>7</v>
      </c>
      <c r="W319" s="475" t="str">
        <f>IF($AC$319="","",$W$288)</f>
        <v/>
      </c>
      <c r="X319" s="476" t="str">
        <f>IF($AC$319="","",$X$288)</f>
        <v/>
      </c>
      <c r="Y319" s="477" t="str">
        <f>IF($X$319="","",$Y$288)</f>
        <v/>
      </c>
      <c r="Z319" s="477" t="str">
        <f>IF($X$319="","",$Z$288)</f>
        <v/>
      </c>
      <c r="AA319" s="477" t="str">
        <f>IF($AC$319="","",ROW($A$319)-ROW($A$288))</f>
        <v/>
      </c>
      <c r="AB319" s="478"/>
      <c r="AC319" s="34"/>
      <c r="AD319" s="356"/>
      <c r="AE319" s="18"/>
      <c r="AF319" s="19"/>
      <c r="AG319" s="480" t="str">
        <f t="shared" si="76"/>
        <v/>
      </c>
      <c r="AH319" s="481" t="str">
        <f t="shared" si="77"/>
        <v/>
      </c>
      <c r="AI319" s="477" t="str">
        <f>IF($AC$319="","",IFERROR(INDEX($AZ$74:$AZ$119,MATCH($AH$319,$AY$74:$AY$119,0)),"AUTRE"))</f>
        <v/>
      </c>
      <c r="AJ319" s="482" t="str">
        <f>IF($AC$319="","",IFERROR(INDEX($BA$74:$BA$119,MATCH($AH$319,$AY$74:$AY$119,0)),1))</f>
        <v/>
      </c>
      <c r="AK319" s="482" t="str">
        <f t="shared" si="87"/>
        <v/>
      </c>
      <c r="AL319" s="477" t="str">
        <f>IF($AC$319="","",IFERROR(INDEX($BB$74:$BB$119,MATCH($AH$319,$AY$74:$AY$119,0)),$AH$319))</f>
        <v/>
      </c>
      <c r="AM319" s="483" t="str">
        <f t="shared" si="78"/>
        <v/>
      </c>
      <c r="AN319" s="484" t="str">
        <f t="shared" si="79"/>
        <v/>
      </c>
      <c r="AO319" s="473" t="str">
        <f t="shared" si="80"/>
        <v/>
      </c>
      <c r="AP319" s="473" t="str">
        <f t="shared" si="81"/>
        <v/>
      </c>
      <c r="AQ319" s="473" t="str">
        <f t="shared" si="82"/>
        <v/>
      </c>
      <c r="AR319" s="473" t="str">
        <f t="shared" si="83"/>
        <v/>
      </c>
      <c r="AS319" s="473" t="str">
        <f t="shared" si="84"/>
        <v/>
      </c>
      <c r="AT319" s="473" t="str">
        <f t="shared" si="85"/>
        <v/>
      </c>
      <c r="AU319" s="473" t="str">
        <f t="shared" si="86"/>
        <v/>
      </c>
      <c r="AY319" s="497" t="s">
        <v>463</v>
      </c>
      <c r="AZ319" s="31" t="s">
        <v>20</v>
      </c>
      <c r="BA319" s="34" t="s">
        <v>472</v>
      </c>
      <c r="BB319" s="499"/>
      <c r="BC319" s="271"/>
      <c r="BD319" s="279">
        <v>1</v>
      </c>
      <c r="BE319" s="271"/>
      <c r="BF319" s="271"/>
      <c r="BG319" s="271"/>
      <c r="BH319" s="271"/>
      <c r="BI319" s="271"/>
      <c r="BJ319" s="271"/>
      <c r="BK319" s="271"/>
      <c r="BL319" s="271"/>
    </row>
    <row r="320" spans="18:64" ht="21" customHeight="1" x14ac:dyDescent="0.25">
      <c r="R320" s="25" t="s">
        <v>6116</v>
      </c>
      <c r="S320" s="451"/>
      <c r="T320" s="28" t="s">
        <v>24</v>
      </c>
      <c r="V320" s="475">
        <v>7</v>
      </c>
      <c r="W320" s="475" t="str">
        <f>IF($AC$320="","",$W$288)</f>
        <v/>
      </c>
      <c r="X320" s="476" t="str">
        <f>IF($AC$320="","",$X$288)</f>
        <v/>
      </c>
      <c r="Y320" s="477" t="str">
        <f>IF($X$320="","",$Y$288)</f>
        <v/>
      </c>
      <c r="Z320" s="477" t="str">
        <f>IF($X$320="","",$Z$288)</f>
        <v/>
      </c>
      <c r="AA320" s="477" t="str">
        <f>IF($AC$320="","",ROW($A$320)-ROW($A$288))</f>
        <v/>
      </c>
      <c r="AB320" s="478"/>
      <c r="AC320" s="34"/>
      <c r="AD320" s="356"/>
      <c r="AE320" s="18"/>
      <c r="AF320" s="19"/>
      <c r="AG320" s="480" t="str">
        <f t="shared" si="76"/>
        <v/>
      </c>
      <c r="AH320" s="481" t="str">
        <f t="shared" si="77"/>
        <v/>
      </c>
      <c r="AI320" s="477" t="str">
        <f>IF($AC$320="","",IFERROR(INDEX($AZ$74:$AZ$119,MATCH($AH$320,$AY$74:$AY$119,0)),"AUTRE"))</f>
        <v/>
      </c>
      <c r="AJ320" s="482" t="str">
        <f>IF($AC$320="","",IFERROR(INDEX($BA$74:$BA$119,MATCH($AH$320,$AY$74:$AY$119,0)),1))</f>
        <v/>
      </c>
      <c r="AK320" s="482" t="str">
        <f t="shared" si="87"/>
        <v/>
      </c>
      <c r="AL320" s="477" t="str">
        <f>IF($AC$320="","",IFERROR(INDEX($BB$74:$BB$119,MATCH($AH$320,$AY$74:$AY$119,0)),$AH$320))</f>
        <v/>
      </c>
      <c r="AM320" s="483" t="str">
        <f t="shared" si="78"/>
        <v/>
      </c>
      <c r="AN320" s="484" t="str">
        <f t="shared" si="79"/>
        <v/>
      </c>
      <c r="AO320" s="473" t="str">
        <f t="shared" si="80"/>
        <v/>
      </c>
      <c r="AP320" s="473" t="str">
        <f t="shared" si="81"/>
        <v/>
      </c>
      <c r="AQ320" s="473" t="str">
        <f t="shared" si="82"/>
        <v/>
      </c>
      <c r="AR320" s="473" t="str">
        <f t="shared" si="83"/>
        <v/>
      </c>
      <c r="AS320" s="473" t="str">
        <f t="shared" si="84"/>
        <v/>
      </c>
      <c r="AT320" s="473" t="str">
        <f t="shared" si="85"/>
        <v/>
      </c>
      <c r="AU320" s="473" t="str">
        <f t="shared" si="86"/>
        <v/>
      </c>
      <c r="AY320" s="497" t="s">
        <v>8147</v>
      </c>
      <c r="AZ320" s="31" t="s">
        <v>304</v>
      </c>
      <c r="BA320" s="34" t="s">
        <v>6112</v>
      </c>
      <c r="BB320" s="499"/>
      <c r="BC320" s="271"/>
      <c r="BD320" s="279">
        <v>1</v>
      </c>
      <c r="BE320" s="271"/>
      <c r="BF320" s="271"/>
      <c r="BG320" s="271"/>
      <c r="BH320" s="271"/>
      <c r="BI320" s="271"/>
      <c r="BJ320" s="271"/>
      <c r="BK320" s="271"/>
      <c r="BL320" s="271"/>
    </row>
    <row r="321" spans="18:64" ht="21" customHeight="1" x14ac:dyDescent="0.25">
      <c r="R321" s="34" t="s">
        <v>6117</v>
      </c>
      <c r="S321" s="451"/>
      <c r="T321" s="29" t="s">
        <v>9</v>
      </c>
      <c r="V321" s="475">
        <v>7</v>
      </c>
      <c r="W321" s="475" t="str">
        <f>IF($AC$321="","",$W$288)</f>
        <v/>
      </c>
      <c r="X321" s="476" t="str">
        <f>IF($AC$321="","",$X$288)</f>
        <v/>
      </c>
      <c r="Y321" s="477" t="str">
        <f>IF($X$321="","",$Y$288)</f>
        <v/>
      </c>
      <c r="Z321" s="477" t="str">
        <f>IF($X$321="","",$Z$288)</f>
        <v/>
      </c>
      <c r="AA321" s="477" t="str">
        <f>IF($AC$321="","",ROW($A$321)-ROW($A$288))</f>
        <v/>
      </c>
      <c r="AB321" s="478"/>
      <c r="AC321" s="34"/>
      <c r="AD321" s="356"/>
      <c r="AE321" s="18"/>
      <c r="AF321" s="19"/>
      <c r="AG321" s="480" t="str">
        <f t="shared" si="76"/>
        <v/>
      </c>
      <c r="AH321" s="481" t="str">
        <f t="shared" si="77"/>
        <v/>
      </c>
      <c r="AI321" s="477" t="str">
        <f>IF($AC$321="","",IFERROR(INDEX($AZ$74:$AZ$119,MATCH($AH$321,$AY$74:$AY$119,0)),"AUTRE"))</f>
        <v/>
      </c>
      <c r="AJ321" s="482" t="str">
        <f>IF($AC$321="","",IFERROR(INDEX($BA$74:$BA$119,MATCH($AH$321,$AY$74:$AY$119,0)),1))</f>
        <v/>
      </c>
      <c r="AK321" s="482" t="str">
        <f t="shared" si="87"/>
        <v/>
      </c>
      <c r="AL321" s="477" t="str">
        <f>IF($AC$321="","",IFERROR(INDEX($BB$74:$BB$119,MATCH($AH$321,$AY$74:$AY$119,0)),$AH$321))</f>
        <v/>
      </c>
      <c r="AM321" s="483" t="str">
        <f t="shared" si="78"/>
        <v/>
      </c>
      <c r="AN321" s="484" t="str">
        <f t="shared" si="79"/>
        <v/>
      </c>
      <c r="AO321" s="473" t="str">
        <f t="shared" si="80"/>
        <v/>
      </c>
      <c r="AP321" s="473" t="str">
        <f t="shared" si="81"/>
        <v/>
      </c>
      <c r="AQ321" s="473" t="str">
        <f t="shared" si="82"/>
        <v/>
      </c>
      <c r="AR321" s="473" t="str">
        <f t="shared" si="83"/>
        <v/>
      </c>
      <c r="AS321" s="473" t="str">
        <f t="shared" si="84"/>
        <v/>
      </c>
      <c r="AT321" s="473" t="str">
        <f t="shared" si="85"/>
        <v/>
      </c>
      <c r="AU321" s="473" t="str">
        <f t="shared" si="86"/>
        <v/>
      </c>
      <c r="AY321" s="497" t="s">
        <v>465</v>
      </c>
      <c r="AZ321" s="31" t="s">
        <v>352</v>
      </c>
      <c r="BA321" s="25" t="s">
        <v>6116</v>
      </c>
      <c r="BB321" s="499"/>
      <c r="BC321" s="271"/>
      <c r="BD321" s="279">
        <v>1</v>
      </c>
      <c r="BE321" s="271"/>
      <c r="BF321" s="271"/>
      <c r="BG321" s="271"/>
      <c r="BH321" s="271"/>
      <c r="BI321" s="271"/>
      <c r="BJ321" s="271"/>
      <c r="BK321" s="271"/>
      <c r="BL321" s="271"/>
    </row>
    <row r="322" spans="18:64" ht="21" customHeight="1" x14ac:dyDescent="0.25">
      <c r="R322" s="34" t="s">
        <v>469</v>
      </c>
      <c r="S322" s="451"/>
      <c r="T322" s="30" t="s">
        <v>10</v>
      </c>
      <c r="V322" s="475">
        <v>7</v>
      </c>
      <c r="W322" s="475" t="str">
        <f>IF($AC$322="","",$W$288)</f>
        <v>N° 51</v>
      </c>
      <c r="X322" s="476" t="str">
        <f>IF($AC$322="","",$X$288)</f>
        <v>OMELETTE CHÈVRE ET MENTHE *</v>
      </c>
      <c r="Y322" s="477">
        <f>IF($X$322="","",$Y$288)</f>
        <v>68</v>
      </c>
      <c r="Z322" s="477">
        <f>IF($X$322="","",$Z$288)</f>
        <v>100</v>
      </c>
      <c r="AA322" s="477">
        <f>IF($AC$322="","",ROW($A$322)-ROW($A$288))</f>
        <v>34</v>
      </c>
      <c r="AB322" s="478"/>
      <c r="AC322" s="34" t="s">
        <v>478</v>
      </c>
      <c r="AD322" s="356"/>
      <c r="AE322" s="18">
        <v>5</v>
      </c>
      <c r="AF322" s="33" t="s">
        <v>462</v>
      </c>
      <c r="AG322" s="491">
        <f t="shared" si="76"/>
        <v>5</v>
      </c>
      <c r="AH322" s="481" t="str">
        <f t="shared" si="77"/>
        <v>BAC(S)</v>
      </c>
      <c r="AI322" s="477" t="str">
        <f>IF($AC$322="","",IFERROR(INDEX($AZ$74:$AZ$119,MATCH($AH$322,$AY$74:$AY$119,0)),"AUTRE"))</f>
        <v>AUTRE</v>
      </c>
      <c r="AJ322" s="482">
        <f>IF($AC$322="","",IFERROR(INDEX($BA$74:$BA$119,MATCH($AH$322,$AY$74:$AY$119,0)),1))</f>
        <v>1</v>
      </c>
      <c r="AK322" s="482">
        <f t="shared" si="87"/>
        <v>5</v>
      </c>
      <c r="AL322" s="477" t="str">
        <f>IF($AC$322="","",IFERROR(INDEX($BB$74:$BB$119,MATCH($AH$322,$AY$74:$AY$119,0)),$AH$322))</f>
        <v>bac(s)</v>
      </c>
      <c r="AM322" s="483" t="str">
        <f t="shared" si="78"/>
        <v>OK</v>
      </c>
      <c r="AN322" s="484">
        <f t="shared" si="79"/>
        <v>5</v>
      </c>
      <c r="AO322" s="473" t="str">
        <f t="shared" si="80"/>
        <v/>
      </c>
      <c r="AP322" s="473" t="str">
        <f t="shared" si="81"/>
        <v/>
      </c>
      <c r="AQ322" s="473" t="str">
        <f t="shared" si="82"/>
        <v/>
      </c>
      <c r="AR322" s="473" t="str">
        <f t="shared" si="83"/>
        <v/>
      </c>
      <c r="AS322" s="473" t="str">
        <f t="shared" si="84"/>
        <v/>
      </c>
      <c r="AT322" s="473" t="str">
        <f t="shared" si="85"/>
        <v/>
      </c>
      <c r="AU322" s="473" t="str">
        <f t="shared" si="86"/>
        <v/>
      </c>
      <c r="AY322" s="497" t="s">
        <v>466</v>
      </c>
      <c r="AZ322" s="31" t="s">
        <v>27</v>
      </c>
      <c r="BA322" s="34" t="s">
        <v>6117</v>
      </c>
      <c r="BB322" s="499"/>
      <c r="BC322" s="271"/>
      <c r="BD322" s="279">
        <v>1</v>
      </c>
      <c r="BE322" s="271"/>
      <c r="BF322" s="271"/>
      <c r="BG322" s="271"/>
      <c r="BH322" s="271"/>
      <c r="BI322" s="271"/>
      <c r="BJ322" s="271"/>
      <c r="BK322" s="271"/>
      <c r="BL322" s="271"/>
    </row>
    <row r="323" spans="18:64" ht="30" customHeight="1" x14ac:dyDescent="0.25">
      <c r="R323" s="34" t="s">
        <v>6118</v>
      </c>
      <c r="S323" s="451"/>
      <c r="T323" s="30" t="s">
        <v>11</v>
      </c>
      <c r="V323" s="453" t="s">
        <v>324</v>
      </c>
      <c r="W323" s="453" t="s">
        <v>7912</v>
      </c>
      <c r="X323" s="453" t="s">
        <v>326</v>
      </c>
      <c r="Y323" s="453" t="s">
        <v>327</v>
      </c>
      <c r="Z323" s="454" t="s">
        <v>7930</v>
      </c>
      <c r="AA323" s="453" t="s">
        <v>7937</v>
      </c>
      <c r="AB323" s="455" t="s">
        <v>39</v>
      </c>
      <c r="AC323" s="455" t="s">
        <v>338</v>
      </c>
      <c r="AD323" s="455" t="s">
        <v>8114</v>
      </c>
      <c r="AE323" s="455" t="s">
        <v>339</v>
      </c>
      <c r="AF323" s="455" t="s">
        <v>7997</v>
      </c>
      <c r="AG323" s="453" t="s">
        <v>8018</v>
      </c>
      <c r="AH323" s="453" t="s">
        <v>8023</v>
      </c>
      <c r="AI323" s="453" t="s">
        <v>330</v>
      </c>
      <c r="AJ323" s="453" t="s">
        <v>8031</v>
      </c>
      <c r="AK323" s="453" t="s">
        <v>8037</v>
      </c>
      <c r="AL323" s="453" t="s">
        <v>8041</v>
      </c>
      <c r="AM323" s="453" t="s">
        <v>343</v>
      </c>
      <c r="AN323" s="457" t="s">
        <v>8115</v>
      </c>
      <c r="AO323" s="457" t="s">
        <v>8116</v>
      </c>
      <c r="AP323" s="656" t="s">
        <v>8117</v>
      </c>
      <c r="AQ323" s="656"/>
      <c r="AR323" s="656"/>
      <c r="AS323" s="656"/>
      <c r="AT323" s="656"/>
      <c r="AU323" s="657"/>
      <c r="AZ323" s="31" t="s">
        <v>28</v>
      </c>
      <c r="BA323" s="34" t="s">
        <v>469</v>
      </c>
      <c r="BB323" s="499"/>
      <c r="BC323" s="271"/>
      <c r="BD323" s="279">
        <v>1</v>
      </c>
      <c r="BE323" s="271"/>
      <c r="BF323" s="271"/>
      <c r="BG323" s="271"/>
      <c r="BH323" s="271"/>
      <c r="BI323" s="271"/>
      <c r="BJ323" s="271"/>
      <c r="BK323" s="271"/>
      <c r="BL323" s="271"/>
    </row>
    <row r="324" spans="18:64" ht="30" customHeight="1" x14ac:dyDescent="0.25">
      <c r="R324" s="34" t="s">
        <v>492</v>
      </c>
      <c r="S324" s="451"/>
      <c r="T324" s="30" t="s">
        <v>12</v>
      </c>
      <c r="V324" s="459">
        <v>8</v>
      </c>
      <c r="W324" s="460" t="s">
        <v>294</v>
      </c>
      <c r="X324" s="461" t="s">
        <v>406</v>
      </c>
      <c r="Y324" s="462"/>
      <c r="Z324" s="463">
        <v>100</v>
      </c>
      <c r="AA324" s="464">
        <f>IF($AC$396="","",ROW($A$396)-ROW($A$396))</f>
        <v>0</v>
      </c>
      <c r="AB324" s="461"/>
      <c r="AC324" s="465" t="s">
        <v>295</v>
      </c>
      <c r="AD324" s="390"/>
      <c r="AE324" s="13">
        <v>200</v>
      </c>
      <c r="AF324" s="26" t="s">
        <v>309</v>
      </c>
      <c r="AG324" s="467">
        <f t="shared" ref="AG324:AG358" si="88">IF($AC324="","",IF(LEN($AN324&amp;"")=0,"",$AN324))</f>
        <v>200</v>
      </c>
      <c r="AH324" s="468" t="str">
        <f t="shared" ref="AH324:AH358" si="89">IF($AC324="","",IF($AF324&lt;&gt;"",UPPER(TRIM(SUBSTITUTE(SUBSTITUTE($AF324&amp;"",CHAR(160)," ")," "," "))),$AP324))</f>
        <v>PIÈCE(S)</v>
      </c>
      <c r="AI324" s="469" t="str">
        <f>IF($AC$324="","",IFERROR(INDEX($AZ$74:$AZ$119,MATCH($AH$324,$AY$74:$AY$119,0)),"AUTRE"))</f>
        <v>AUTRE</v>
      </c>
      <c r="AJ324" s="470">
        <f>IF($AC$324="","",IFERROR(INDEX($BA$74:$BA$119,MATCH($AH$324,$AY$74:$AY$119,0)),1))</f>
        <v>1</v>
      </c>
      <c r="AK324" s="470">
        <f t="shared" ref="AK324:AK358" si="90">IF(OR(AG324="",AJ324=""),"",AG324*AJ324)</f>
        <v>200</v>
      </c>
      <c r="AL324" s="469" t="str">
        <f>IF($AC$324="","",IFERROR(INDEX($BB$74:$BB$119,MATCH($AH$324,$AY$74:$AY$119,0)),$AH$324))</f>
        <v>pièce(s)</v>
      </c>
      <c r="AM324" s="471" t="str">
        <f t="shared" ref="AM324:AM358" si="91">IF($AC324="","",IF($AH324="QT. SUFFISANTE","OK",IF($AG324="","TEXTE",IF(NOT(ISNUMBER($AG324)),"QUANTITÉ À CONTRÔLER",IF(COUNTIF($AY$74:$AY$119,$AH324)=0,"UNITÉ À CONTRÔLER","OK")))))</f>
        <v>OK</v>
      </c>
      <c r="AN324" s="474">
        <f t="shared" ref="AN324:AN358" si="92">IF($AE324&lt;&gt;"",$AE324,IF($AD324="","",IF(ISNUMBER($AD324),$AD324,IF($AO324="QT",0,IF($AO324="","",IFERROR(IF(ISNUMBER(SEARCH("/",$AO324)),VALUE(TRIM(LEFT($AO324,SEARCH("/",$AO324)-1)))/VALUE(TRIM(MID($AO324,SEARCH("/",$AO324)+1,99))),VALUE(SUBSTITUTE($AO324,".",","))),""))))))</f>
        <v>200</v>
      </c>
      <c r="AO324" s="473" t="str">
        <f t="shared" ref="AO324:AO358" si="93">IF($AD324="","",IF(ISNUMBER($AD324),$AD324,IF(OR(LEFT($AQ324,3)="QT.",LEFT($AQ324,4)="QUAN"),"QT",IF($AR324=999,$AQ324,TRIM(LEFT($AQ324,$AR324-1))))))</f>
        <v/>
      </c>
      <c r="AP324" s="473" t="str">
        <f t="shared" ref="AP324:AP358" si="94">IF($AD324="","",IF(ISNUMBER($AD324),"",IF(OR(LEFT($AQ324,3)="QT.",LEFT($AQ324,4)="QUAN"),"QT. SUFFISANTE",IF($AO324="","",TRIM(MID($AQ324,LEN($AO324&amp;"")+1,999))))))</f>
        <v/>
      </c>
      <c r="AQ324" s="473" t="str">
        <f t="shared" ref="AQ324:AQ358" si="95">IF($AD324="","",UPPER(TRIM(SUBSTITUTE(SUBSTITUTE($AD324&amp;"",CHAR(160)," ")," "," "))))</f>
        <v/>
      </c>
      <c r="AR324" s="473" t="str">
        <f t="shared" ref="AR324:AR358" si="96">IF($AQ324="","",MIN($AS324,$AT324,$AU324))</f>
        <v/>
      </c>
      <c r="AS324" s="473" t="str">
        <f t="shared" ref="AS324:AS358" si="97">IF($AQ324="","",MIN(IFERROR(SEARCH("A",$AQ324),999),IFERROR(SEARCH("B",$AQ324),999),IFERROR(SEARCH("C",$AQ324),999),IFERROR(SEARCH("D",$AQ324),999),IFERROR(SEARCH("E",$AQ324),999),IFERROR(SEARCH("F",$AQ324),999),IFERROR(SEARCH("G",$AQ324),999),IFERROR(SEARCH("H",$AQ324),999),IFERROR(SEARCH("I",$AQ324),999)))</f>
        <v/>
      </c>
      <c r="AT324" s="473" t="str">
        <f t="shared" ref="AT324:AT358" si="98">IF($AQ324="","",MIN(IFERROR(SEARCH("J",$AQ324),999),IFERROR(SEARCH("K",$AQ324),999),IFERROR(SEARCH("L",$AQ324),999),IFERROR(SEARCH("M",$AQ324),999),IFERROR(SEARCH("N",$AQ324),999),IFERROR(SEARCH("O",$AQ324),999),IFERROR(SEARCH("P",$AQ324),999),IFERROR(SEARCH("Q",$AQ324),999),IFERROR(SEARCH("R",$AQ324),999)))</f>
        <v/>
      </c>
      <c r="AU324" s="473" t="str">
        <f t="shared" ref="AU324:AU358" si="99">IF($AQ324="","",MIN(IFERROR(SEARCH("S",$AQ324),999),IFERROR(SEARCH("T",$AQ324),999),IFERROR(SEARCH("U",$AQ324),999),IFERROR(SEARCH("V",$AQ324),999),IFERROR(SEARCH("W",$AQ324),999),IFERROR(SEARCH("X",$AQ324),999),IFERROR(SEARCH("Y",$AQ324),999),IFERROR(SEARCH("Z",$AQ324),999)))</f>
        <v/>
      </c>
      <c r="AZ324" s="31" t="s">
        <v>29</v>
      </c>
      <c r="BA324" s="34" t="s">
        <v>6118</v>
      </c>
      <c r="BB324" s="499"/>
      <c r="BC324" s="271"/>
      <c r="BD324" s="279">
        <v>1</v>
      </c>
      <c r="BE324" s="271"/>
      <c r="BF324" s="271"/>
      <c r="BG324" s="271"/>
      <c r="BH324" s="271"/>
      <c r="BI324" s="271"/>
      <c r="BJ324" s="271"/>
      <c r="BK324" s="271"/>
      <c r="BL324" s="271"/>
    </row>
    <row r="325" spans="18:64" ht="21" customHeight="1" x14ac:dyDescent="0.25">
      <c r="R325" s="34" t="s">
        <v>458</v>
      </c>
      <c r="S325" s="451"/>
      <c r="T325" s="31" t="s">
        <v>16</v>
      </c>
      <c r="V325" s="475">
        <f>$V$324</f>
        <v>8</v>
      </c>
      <c r="W325" s="475" t="str">
        <f>IF($AC$325="","",$W$324)</f>
        <v>N° 52</v>
      </c>
      <c r="X325" s="476" t="str">
        <f>IF($AC$325="","",$X$324)</f>
        <v>TOMATES FARCIES AUX ŒUFS AU PESTO*</v>
      </c>
      <c r="Y325" s="477">
        <v>69</v>
      </c>
      <c r="Z325" s="477">
        <f>IF($X$325="","",$Z$324)</f>
        <v>100</v>
      </c>
      <c r="AA325" s="477">
        <f>IF($AC$325="","",ROW($A$325)-ROW($A$324))</f>
        <v>1</v>
      </c>
      <c r="AB325" s="478"/>
      <c r="AC325" s="34" t="s">
        <v>407</v>
      </c>
      <c r="AD325" s="356"/>
      <c r="AE325" s="18">
        <v>200</v>
      </c>
      <c r="AF325" s="26" t="s">
        <v>309</v>
      </c>
      <c r="AG325" s="480">
        <f t="shared" si="88"/>
        <v>200</v>
      </c>
      <c r="AH325" s="481" t="str">
        <f t="shared" si="89"/>
        <v>PIÈCE(S)</v>
      </c>
      <c r="AI325" s="477" t="str">
        <f>IF($AC$325="","",IFERROR(INDEX($AZ$74:$AZ$119,MATCH($AH$325,$AY$74:$AY$119,0)),"AUTRE"))</f>
        <v>AUTRE</v>
      </c>
      <c r="AJ325" s="482">
        <f>IF($AC$325="","",IFERROR(INDEX($BA$74:$BA$119,MATCH($AH$325,$AY$74:$AY$119,0)),1))</f>
        <v>1</v>
      </c>
      <c r="AK325" s="482">
        <f t="shared" si="90"/>
        <v>200</v>
      </c>
      <c r="AL325" s="477" t="str">
        <f>IF($AC$325="","",IFERROR(INDEX($BB$74:$BB$119,MATCH($AH$325,$AY$74:$AY$119,0)),$AH$325))</f>
        <v>pièce(s)</v>
      </c>
      <c r="AM325" s="483" t="str">
        <f t="shared" si="91"/>
        <v>OK</v>
      </c>
      <c r="AN325" s="484">
        <f t="shared" si="92"/>
        <v>200</v>
      </c>
      <c r="AO325" s="473" t="str">
        <f t="shared" si="93"/>
        <v/>
      </c>
      <c r="AP325" s="473" t="str">
        <f t="shared" si="94"/>
        <v/>
      </c>
      <c r="AQ325" s="473" t="str">
        <f t="shared" si="95"/>
        <v/>
      </c>
      <c r="AR325" s="473" t="str">
        <f t="shared" si="96"/>
        <v/>
      </c>
      <c r="AS325" s="473" t="str">
        <f t="shared" si="97"/>
        <v/>
      </c>
      <c r="AT325" s="473" t="str">
        <f t="shared" si="98"/>
        <v/>
      </c>
      <c r="AU325" s="473" t="str">
        <f t="shared" si="99"/>
        <v/>
      </c>
      <c r="AZ325" s="31" t="s">
        <v>30</v>
      </c>
      <c r="BA325" s="34" t="s">
        <v>492</v>
      </c>
      <c r="BB325" s="499"/>
      <c r="BC325" s="271"/>
      <c r="BD325" s="279">
        <v>1</v>
      </c>
      <c r="BE325" s="271"/>
      <c r="BF325" s="271"/>
      <c r="BG325" s="271"/>
      <c r="BH325" s="271"/>
      <c r="BI325" s="271"/>
      <c r="BJ325" s="271"/>
      <c r="BK325" s="271"/>
      <c r="BL325" s="271"/>
    </row>
    <row r="326" spans="18:64" ht="21" customHeight="1" x14ac:dyDescent="0.25">
      <c r="R326" s="490"/>
      <c r="S326" s="451"/>
      <c r="T326" s="31" t="s">
        <v>17</v>
      </c>
      <c r="V326" s="475">
        <v>8</v>
      </c>
      <c r="W326" s="475" t="str">
        <f>IF($AC$326="","",$W$324)</f>
        <v>N° 52</v>
      </c>
      <c r="X326" s="476" t="str">
        <f>IF($AC$326="","",$X$324)</f>
        <v>TOMATES FARCIES AUX ŒUFS AU PESTO*</v>
      </c>
      <c r="Y326" s="477">
        <f>IF($X$326="","",$Y$324)</f>
        <v>0</v>
      </c>
      <c r="Z326" s="477">
        <f>IF($X$326="","",$Z$324)</f>
        <v>100</v>
      </c>
      <c r="AA326" s="477">
        <f>IF($AC$326="","",ROW($A$326)-ROW($A$324))</f>
        <v>2</v>
      </c>
      <c r="AB326" s="478"/>
      <c r="AC326" s="34" t="s">
        <v>42</v>
      </c>
      <c r="AD326" s="356"/>
      <c r="AE326" s="18">
        <v>1</v>
      </c>
      <c r="AF326" s="6" t="s">
        <v>9</v>
      </c>
      <c r="AG326" s="480">
        <f t="shared" si="88"/>
        <v>1</v>
      </c>
      <c r="AH326" s="481" t="str">
        <f t="shared" si="89"/>
        <v>L</v>
      </c>
      <c r="AI326" s="477" t="str">
        <f>IF($AC$326="","",IFERROR(INDEX($AZ$74:$AZ$119,MATCH($AH$326,$AY$74:$AY$119,0)),"AUTRE"))</f>
        <v>VOLUME</v>
      </c>
      <c r="AJ326" s="482">
        <f>IF($AC$326="","",IFERROR(INDEX($BA$74:$BA$119,MATCH($AH$326,$AY$74:$AY$119,0)),1))</f>
        <v>1</v>
      </c>
      <c r="AK326" s="482">
        <f t="shared" si="90"/>
        <v>1</v>
      </c>
      <c r="AL326" s="477" t="str">
        <f>IF($AC$326="","",IFERROR(INDEX($BB$74:$BB$119,MATCH($AH$326,$AY$74:$AY$119,0)),$AH$326))</f>
        <v>L</v>
      </c>
      <c r="AM326" s="483" t="str">
        <f t="shared" si="91"/>
        <v>OK</v>
      </c>
      <c r="AN326" s="484">
        <f t="shared" si="92"/>
        <v>1</v>
      </c>
      <c r="AO326" s="473" t="str">
        <f t="shared" si="93"/>
        <v/>
      </c>
      <c r="AP326" s="473" t="str">
        <f t="shared" si="94"/>
        <v/>
      </c>
      <c r="AQ326" s="473" t="str">
        <f t="shared" si="95"/>
        <v/>
      </c>
      <c r="AR326" s="473" t="str">
        <f t="shared" si="96"/>
        <v/>
      </c>
      <c r="AS326" s="473" t="str">
        <f t="shared" si="97"/>
        <v/>
      </c>
      <c r="AT326" s="473" t="str">
        <f t="shared" si="98"/>
        <v/>
      </c>
      <c r="AU326" s="473" t="str">
        <f t="shared" si="99"/>
        <v/>
      </c>
      <c r="AZ326" s="32" t="s">
        <v>33</v>
      </c>
      <c r="BA326" s="34" t="s">
        <v>458</v>
      </c>
      <c r="BB326" s="499"/>
      <c r="BC326" s="271"/>
      <c r="BD326" s="279">
        <v>1</v>
      </c>
      <c r="BE326" s="271"/>
      <c r="BF326" s="271"/>
      <c r="BG326" s="271"/>
      <c r="BH326" s="271"/>
      <c r="BI326" s="271"/>
      <c r="BJ326" s="271"/>
      <c r="BK326" s="271"/>
      <c r="BL326" s="271"/>
    </row>
    <row r="327" spans="18:64" ht="21" customHeight="1" x14ac:dyDescent="0.25">
      <c r="R327" s="25" t="s">
        <v>6119</v>
      </c>
      <c r="S327" s="451"/>
      <c r="T327" s="31" t="s">
        <v>18</v>
      </c>
      <c r="V327" s="475">
        <v>8</v>
      </c>
      <c r="W327" s="475" t="str">
        <f>IF($AC$327="","",$W$324)</f>
        <v>N° 52</v>
      </c>
      <c r="X327" s="476" t="str">
        <f>IF($AC$327="","",$X$324)</f>
        <v>TOMATES FARCIES AUX ŒUFS AU PESTO*</v>
      </c>
      <c r="Y327" s="477">
        <f>IF($X$327="","",$Y$324)</f>
        <v>0</v>
      </c>
      <c r="Z327" s="477">
        <f>IF($X$327="","",$Z$324)</f>
        <v>100</v>
      </c>
      <c r="AA327" s="477">
        <f>IF($AC$327="","",ROW($A$327)-ROW($A$324))</f>
        <v>3</v>
      </c>
      <c r="AB327" s="478"/>
      <c r="AC327" s="34" t="s">
        <v>139</v>
      </c>
      <c r="AD327" s="356"/>
      <c r="AE327" s="18">
        <v>5</v>
      </c>
      <c r="AF327" s="3" t="s">
        <v>7</v>
      </c>
      <c r="AG327" s="480">
        <f t="shared" si="88"/>
        <v>5</v>
      </c>
      <c r="AH327" s="481" t="str">
        <f t="shared" si="89"/>
        <v>KG</v>
      </c>
      <c r="AI327" s="477" t="str">
        <f>IF($AC$327="","",IFERROR(INDEX($AZ$74:$AZ$119,MATCH($AH$327,$AY$74:$AY$119,0)),"AUTRE"))</f>
        <v>MASSE</v>
      </c>
      <c r="AJ327" s="482">
        <f>IF($AC$327="","",IFERROR(INDEX($BA$74:$BA$119,MATCH($AH$327,$AY$74:$AY$119,0)),1))</f>
        <v>1</v>
      </c>
      <c r="AK327" s="482">
        <f t="shared" si="90"/>
        <v>5</v>
      </c>
      <c r="AL327" s="477" t="str">
        <f>IF($AC$327="","",IFERROR(INDEX($BB$74:$BB$119,MATCH($AH$327,$AY$74:$AY$119,0)),$AH$327))</f>
        <v>kg</v>
      </c>
      <c r="AM327" s="483" t="str">
        <f t="shared" si="91"/>
        <v>OK</v>
      </c>
      <c r="AN327" s="484">
        <f t="shared" si="92"/>
        <v>5</v>
      </c>
      <c r="AO327" s="473" t="str">
        <f t="shared" si="93"/>
        <v/>
      </c>
      <c r="AP327" s="473" t="str">
        <f t="shared" si="94"/>
        <v/>
      </c>
      <c r="AQ327" s="473" t="str">
        <f t="shared" si="95"/>
        <v/>
      </c>
      <c r="AR327" s="473" t="str">
        <f t="shared" si="96"/>
        <v/>
      </c>
      <c r="AS327" s="473" t="str">
        <f t="shared" si="97"/>
        <v/>
      </c>
      <c r="AT327" s="473" t="str">
        <f t="shared" si="98"/>
        <v/>
      </c>
      <c r="AU327" s="473" t="str">
        <f t="shared" si="99"/>
        <v/>
      </c>
      <c r="AZ327" s="32" t="s">
        <v>8125</v>
      </c>
      <c r="BA327" s="490"/>
      <c r="BB327" s="499"/>
      <c r="BC327" s="271"/>
      <c r="BD327" s="279">
        <v>1</v>
      </c>
      <c r="BE327" s="271"/>
      <c r="BF327" s="271"/>
      <c r="BG327" s="271"/>
      <c r="BH327" s="271"/>
      <c r="BI327" s="271"/>
      <c r="BJ327" s="271"/>
      <c r="BK327" s="271"/>
      <c r="BL327" s="271"/>
    </row>
    <row r="328" spans="18:64" ht="21" customHeight="1" x14ac:dyDescent="0.25">
      <c r="R328" s="34" t="s">
        <v>6120</v>
      </c>
      <c r="S328" s="451"/>
      <c r="T328" s="31" t="s">
        <v>19</v>
      </c>
      <c r="V328" s="475">
        <v>8</v>
      </c>
      <c r="W328" s="475" t="str">
        <f>IF($AC$328="","",$W$324)</f>
        <v>N° 52</v>
      </c>
      <c r="X328" s="476" t="str">
        <f>IF($AC$328="","",$X$324)</f>
        <v>TOMATES FARCIES AUX ŒUFS AU PESTO*</v>
      </c>
      <c r="Y328" s="477">
        <f>IF($X$328="","",$Y$324)</f>
        <v>0</v>
      </c>
      <c r="Z328" s="477">
        <f>IF($X$328="","",$Z$324)</f>
        <v>100</v>
      </c>
      <c r="AA328" s="477">
        <f>IF($AC$328="","",ROW($A$328)-ROW($A$324))</f>
        <v>4</v>
      </c>
      <c r="AB328" s="478"/>
      <c r="AC328" s="34" t="s">
        <v>48</v>
      </c>
      <c r="AD328" s="356"/>
      <c r="AE328" s="18">
        <v>150</v>
      </c>
      <c r="AF328" s="5" t="s">
        <v>8</v>
      </c>
      <c r="AG328" s="480">
        <f t="shared" si="88"/>
        <v>150</v>
      </c>
      <c r="AH328" s="481" t="str">
        <f t="shared" si="89"/>
        <v>G</v>
      </c>
      <c r="AI328" s="477" t="str">
        <f>IF($AC$328="","",IFERROR(INDEX($AZ$74:$AZ$119,MATCH($AH$328,$AY$74:$AY$119,0)),"AUTRE"))</f>
        <v>MASSE</v>
      </c>
      <c r="AJ328" s="482">
        <f>IF($AC$328="","",IFERROR(INDEX($BA$74:$BA$119,MATCH($AH$328,$AY$74:$AY$119,0)),1))</f>
        <v>1E-3</v>
      </c>
      <c r="AK328" s="482">
        <f t="shared" si="90"/>
        <v>0.15</v>
      </c>
      <c r="AL328" s="477" t="str">
        <f>IF($AC$328="","",IFERROR(INDEX($BB$74:$BB$119,MATCH($AH$328,$AY$74:$AY$119,0)),$AH$328))</f>
        <v>kg</v>
      </c>
      <c r="AM328" s="483" t="str">
        <f t="shared" si="91"/>
        <v>OK</v>
      </c>
      <c r="AN328" s="484">
        <f t="shared" si="92"/>
        <v>150</v>
      </c>
      <c r="AO328" s="473" t="str">
        <f t="shared" si="93"/>
        <v/>
      </c>
      <c r="AP328" s="473" t="str">
        <f t="shared" si="94"/>
        <v/>
      </c>
      <c r="AQ328" s="473" t="str">
        <f t="shared" si="95"/>
        <v/>
      </c>
      <c r="AR328" s="473" t="str">
        <f t="shared" si="96"/>
        <v/>
      </c>
      <c r="AS328" s="473" t="str">
        <f t="shared" si="97"/>
        <v/>
      </c>
      <c r="AT328" s="473" t="str">
        <f t="shared" si="98"/>
        <v/>
      </c>
      <c r="AU328" s="473" t="str">
        <f t="shared" si="99"/>
        <v/>
      </c>
      <c r="AZ328" s="32" t="s">
        <v>8127</v>
      </c>
      <c r="BA328" s="25" t="s">
        <v>6119</v>
      </c>
      <c r="BB328" s="499"/>
      <c r="BC328" s="271"/>
      <c r="BD328" s="279">
        <v>1</v>
      </c>
      <c r="BE328" s="271"/>
      <c r="BF328" s="271"/>
      <c r="BG328" s="271"/>
      <c r="BH328" s="271"/>
      <c r="BI328" s="271"/>
      <c r="BJ328" s="271"/>
      <c r="BK328" s="271"/>
      <c r="BL328" s="271"/>
    </row>
    <row r="329" spans="18:64" ht="21" customHeight="1" x14ac:dyDescent="0.25">
      <c r="R329" s="34" t="s">
        <v>6121</v>
      </c>
      <c r="S329" s="451"/>
      <c r="T329" s="31" t="s">
        <v>211</v>
      </c>
      <c r="V329" s="475">
        <v>8</v>
      </c>
      <c r="W329" s="475" t="str">
        <f>IF($AC$329="","",$W$324)</f>
        <v>N° 52</v>
      </c>
      <c r="X329" s="476" t="str">
        <f>IF($AC$329="","",$X$324)</f>
        <v>TOMATES FARCIES AUX ŒUFS AU PESTO*</v>
      </c>
      <c r="Y329" s="477">
        <f>IF($X$329="","",$Y$324)</f>
        <v>0</v>
      </c>
      <c r="Z329" s="477">
        <f>IF($X$329="","",$Z$324)</f>
        <v>100</v>
      </c>
      <c r="AA329" s="477">
        <f>IF($AC$329="","",ROW($A$329)-ROW($A$324))</f>
        <v>5</v>
      </c>
      <c r="AB329" s="478"/>
      <c r="AC329" s="34" t="s">
        <v>364</v>
      </c>
      <c r="AD329" s="356"/>
      <c r="AE329" s="18">
        <v>1.5</v>
      </c>
      <c r="AF329" s="3" t="s">
        <v>7</v>
      </c>
      <c r="AG329" s="480">
        <f t="shared" si="88"/>
        <v>1.5</v>
      </c>
      <c r="AH329" s="481" t="str">
        <f t="shared" si="89"/>
        <v>KG</v>
      </c>
      <c r="AI329" s="477" t="str">
        <f>IF($AC$329="","",IFERROR(INDEX($AZ$74:$AZ$119,MATCH($AH$329,$AY$74:$AY$119,0)),"AUTRE"))</f>
        <v>MASSE</v>
      </c>
      <c r="AJ329" s="482">
        <f>IF($AC$329="","",IFERROR(INDEX($BA$74:$BA$119,MATCH($AH$329,$AY$74:$AY$119,0)),1))</f>
        <v>1</v>
      </c>
      <c r="AK329" s="482">
        <f t="shared" si="90"/>
        <v>1.5</v>
      </c>
      <c r="AL329" s="477" t="str">
        <f>IF($AC$329="","",IFERROR(INDEX($BB$74:$BB$119,MATCH($AH$329,$AY$74:$AY$119,0)),$AH$329))</f>
        <v>kg</v>
      </c>
      <c r="AM329" s="483" t="str">
        <f t="shared" si="91"/>
        <v>OK</v>
      </c>
      <c r="AN329" s="484">
        <f t="shared" si="92"/>
        <v>1.5</v>
      </c>
      <c r="AO329" s="473" t="str">
        <f t="shared" si="93"/>
        <v/>
      </c>
      <c r="AP329" s="473" t="str">
        <f t="shared" si="94"/>
        <v/>
      </c>
      <c r="AQ329" s="473" t="str">
        <f t="shared" si="95"/>
        <v/>
      </c>
      <c r="AR329" s="473" t="str">
        <f t="shared" si="96"/>
        <v/>
      </c>
      <c r="AS329" s="473" t="str">
        <f t="shared" si="97"/>
        <v/>
      </c>
      <c r="AT329" s="473" t="str">
        <f t="shared" si="98"/>
        <v/>
      </c>
      <c r="AU329" s="473" t="str">
        <f t="shared" si="99"/>
        <v/>
      </c>
      <c r="AZ329" s="32" t="s">
        <v>320</v>
      </c>
      <c r="BA329" s="34" t="s">
        <v>6120</v>
      </c>
      <c r="BB329" s="499"/>
      <c r="BC329" s="271"/>
      <c r="BD329" s="279">
        <v>1</v>
      </c>
      <c r="BE329" s="271"/>
      <c r="BF329" s="271"/>
      <c r="BG329" s="271"/>
      <c r="BH329" s="271"/>
      <c r="BI329" s="271"/>
      <c r="BJ329" s="271"/>
      <c r="BK329" s="271"/>
      <c r="BL329" s="271"/>
    </row>
    <row r="330" spans="18:64" ht="21" customHeight="1" x14ac:dyDescent="0.25">
      <c r="R330" s="34" t="s">
        <v>6122</v>
      </c>
      <c r="S330" s="451"/>
      <c r="T330" s="31" t="s">
        <v>20</v>
      </c>
      <c r="V330" s="475">
        <v>8</v>
      </c>
      <c r="W330" s="475" t="str">
        <f>IF($AC$330="","",$W$324)</f>
        <v>N° 52</v>
      </c>
      <c r="X330" s="476" t="str">
        <f>IF($AC$330="","",$X$324)</f>
        <v>TOMATES FARCIES AUX ŒUFS AU PESTO*</v>
      </c>
      <c r="Y330" s="477">
        <f>IF($X$330="","",$Y$324)</f>
        <v>0</v>
      </c>
      <c r="Z330" s="477">
        <f>IF($X$330="","",$Z$324)</f>
        <v>100</v>
      </c>
      <c r="AA330" s="477">
        <f>IF($AC$330="","",ROW($A$330)-ROW($A$324))</f>
        <v>6</v>
      </c>
      <c r="AB330" s="478"/>
      <c r="AC330" s="34" t="s">
        <v>296</v>
      </c>
      <c r="AD330" s="356"/>
      <c r="AE330" s="18">
        <v>400</v>
      </c>
      <c r="AF330" s="5" t="s">
        <v>8</v>
      </c>
      <c r="AG330" s="480">
        <f t="shared" si="88"/>
        <v>400</v>
      </c>
      <c r="AH330" s="481" t="str">
        <f t="shared" si="89"/>
        <v>G</v>
      </c>
      <c r="AI330" s="477" t="str">
        <f>IF($AC$330="","",IFERROR(INDEX($AZ$74:$AZ$119,MATCH($AH$330,$AY$74:$AY$119,0)),"AUTRE"))</f>
        <v>MASSE</v>
      </c>
      <c r="AJ330" s="482">
        <f>IF($AC$330="","",IFERROR(INDEX($BA$74:$BA$119,MATCH($AH$330,$AY$74:$AY$119,0)),1))</f>
        <v>1E-3</v>
      </c>
      <c r="AK330" s="482">
        <f t="shared" si="90"/>
        <v>0.4</v>
      </c>
      <c r="AL330" s="477" t="str">
        <f>IF($AC$330="","",IFERROR(INDEX($BB$74:$BB$119,MATCH($AH$330,$AY$74:$AY$119,0)),$AH$330))</f>
        <v>kg</v>
      </c>
      <c r="AM330" s="483" t="str">
        <f t="shared" si="91"/>
        <v>OK</v>
      </c>
      <c r="AN330" s="484">
        <f t="shared" si="92"/>
        <v>400</v>
      </c>
      <c r="AO330" s="473" t="str">
        <f t="shared" si="93"/>
        <v/>
      </c>
      <c r="AP330" s="473" t="str">
        <f t="shared" si="94"/>
        <v/>
      </c>
      <c r="AQ330" s="473" t="str">
        <f t="shared" si="95"/>
        <v/>
      </c>
      <c r="AR330" s="473" t="str">
        <f t="shared" si="96"/>
        <v/>
      </c>
      <c r="AS330" s="473" t="str">
        <f t="shared" si="97"/>
        <v/>
      </c>
      <c r="AT330" s="473" t="str">
        <f t="shared" si="98"/>
        <v/>
      </c>
      <c r="AU330" s="473" t="str">
        <f t="shared" si="99"/>
        <v/>
      </c>
      <c r="AZ330" s="32" t="s">
        <v>318</v>
      </c>
      <c r="BA330" s="34" t="s">
        <v>6121</v>
      </c>
      <c r="BB330" s="499"/>
      <c r="BC330" s="271"/>
      <c r="BD330" s="279">
        <v>1</v>
      </c>
      <c r="BE330" s="271"/>
      <c r="BF330" s="271"/>
      <c r="BG330" s="271"/>
      <c r="BH330" s="271"/>
      <c r="BI330" s="271"/>
      <c r="BJ330" s="271"/>
      <c r="BK330" s="271"/>
      <c r="BL330" s="271"/>
    </row>
    <row r="331" spans="18:64" ht="21" customHeight="1" x14ac:dyDescent="0.25">
      <c r="R331" s="34" t="s">
        <v>6123</v>
      </c>
      <c r="S331" s="451"/>
      <c r="T331" s="31" t="s">
        <v>304</v>
      </c>
      <c r="V331" s="475">
        <v>8</v>
      </c>
      <c r="W331" s="475" t="str">
        <f>IF($AC$331="","",$W$324)</f>
        <v>N° 52</v>
      </c>
      <c r="X331" s="476" t="str">
        <f>IF($AC$331="","",$X$324)</f>
        <v>TOMATES FARCIES AUX ŒUFS AU PESTO*</v>
      </c>
      <c r="Y331" s="477">
        <f>IF($X$331="","",$Y$324)</f>
        <v>0</v>
      </c>
      <c r="Z331" s="477">
        <f>IF($X$331="","",$Z$324)</f>
        <v>100</v>
      </c>
      <c r="AA331" s="477">
        <f>IF($AC$331="","",ROW($A$331)-ROW($A$324))</f>
        <v>7</v>
      </c>
      <c r="AB331" s="478"/>
      <c r="AC331" s="34" t="s">
        <v>297</v>
      </c>
      <c r="AD331" s="356"/>
      <c r="AE331" s="18">
        <v>3</v>
      </c>
      <c r="AF331" s="26" t="s">
        <v>315</v>
      </c>
      <c r="AG331" s="480">
        <f t="shared" si="88"/>
        <v>3</v>
      </c>
      <c r="AH331" s="481" t="str">
        <f t="shared" si="89"/>
        <v>BOTTE(S)</v>
      </c>
      <c r="AI331" s="477" t="str">
        <f>IF($AC$331="","",IFERROR(INDEX($AZ$74:$AZ$119,MATCH($AH$331,$AY$74:$AY$119,0)),"AUTRE"))</f>
        <v>AUTRE</v>
      </c>
      <c r="AJ331" s="482">
        <f>IF($AC$331="","",IFERROR(INDEX($BA$74:$BA$119,MATCH($AH$331,$AY$74:$AY$119,0)),1))</f>
        <v>1</v>
      </c>
      <c r="AK331" s="482">
        <f t="shared" si="90"/>
        <v>3</v>
      </c>
      <c r="AL331" s="477" t="str">
        <f>IF($AC$331="","",IFERROR(INDEX($BB$74:$BB$119,MATCH($AH$331,$AY$74:$AY$119,0)),$AH$331))</f>
        <v>BOTTE(S)</v>
      </c>
      <c r="AM331" s="483" t="str">
        <f t="shared" si="91"/>
        <v>UNITÉ À CONTRÔLER</v>
      </c>
      <c r="AN331" s="484">
        <f t="shared" si="92"/>
        <v>3</v>
      </c>
      <c r="AO331" s="473" t="str">
        <f t="shared" si="93"/>
        <v/>
      </c>
      <c r="AP331" s="473" t="str">
        <f t="shared" si="94"/>
        <v/>
      </c>
      <c r="AQ331" s="473" t="str">
        <f t="shared" si="95"/>
        <v/>
      </c>
      <c r="AR331" s="473" t="str">
        <f t="shared" si="96"/>
        <v/>
      </c>
      <c r="AS331" s="473" t="str">
        <f t="shared" si="97"/>
        <v/>
      </c>
      <c r="AT331" s="473" t="str">
        <f t="shared" si="98"/>
        <v/>
      </c>
      <c r="AU331" s="473" t="str">
        <f t="shared" si="99"/>
        <v/>
      </c>
      <c r="AZ331" s="32" t="s">
        <v>316</v>
      </c>
      <c r="BA331" s="34" t="s">
        <v>6122</v>
      </c>
      <c r="BB331" s="499"/>
      <c r="BC331" s="271"/>
      <c r="BD331" s="279">
        <v>1</v>
      </c>
      <c r="BE331" s="271"/>
      <c r="BF331" s="271"/>
      <c r="BG331" s="271"/>
      <c r="BH331" s="271"/>
      <c r="BI331" s="271"/>
      <c r="BJ331" s="271"/>
      <c r="BK331" s="271"/>
      <c r="BL331" s="271"/>
    </row>
    <row r="332" spans="18:64" ht="21" customHeight="1" x14ac:dyDescent="0.25">
      <c r="R332" s="34" t="s">
        <v>6124</v>
      </c>
      <c r="S332" s="451"/>
      <c r="T332" s="31" t="s">
        <v>352</v>
      </c>
      <c r="V332" s="475">
        <v>8</v>
      </c>
      <c r="W332" s="475" t="str">
        <f>IF($AC$332="","",$W$324)</f>
        <v>N° 52</v>
      </c>
      <c r="X332" s="476" t="str">
        <f>IF($AC$332="","",$X$324)</f>
        <v>TOMATES FARCIES AUX ŒUFS AU PESTO*</v>
      </c>
      <c r="Y332" s="477">
        <f>IF($X$332="","",$Y$324)</f>
        <v>0</v>
      </c>
      <c r="Z332" s="477">
        <f>IF($X$332="","",$Z$324)</f>
        <v>100</v>
      </c>
      <c r="AA332" s="477">
        <f>IF($AC$332="","",ROW($A$332)-ROW($A$324))</f>
        <v>8</v>
      </c>
      <c r="AB332" s="478"/>
      <c r="AC332" s="34" t="s">
        <v>201</v>
      </c>
      <c r="AD332" s="356"/>
      <c r="AE332" s="26" t="s">
        <v>33</v>
      </c>
      <c r="AF332" s="19"/>
      <c r="AG332" s="480" t="str">
        <f t="shared" si="88"/>
        <v>QT. SUFFISANTE</v>
      </c>
      <c r="AH332" s="481" t="str">
        <f t="shared" si="89"/>
        <v/>
      </c>
      <c r="AI332" s="477" t="str">
        <f>IF($AC$332="","",IFERROR(INDEX($AZ$74:$AZ$119,MATCH($AH$332,$AY$74:$AY$119,0)),"AUTRE"))</f>
        <v>AUTRE</v>
      </c>
      <c r="AJ332" s="482">
        <f>IF($AC$332="","",IFERROR(INDEX($BA$74:$BA$119,MATCH($AH$332,$AY$74:$AY$119,0)),1))</f>
        <v>1</v>
      </c>
      <c r="AK332" s="482" t="e">
        <f t="shared" si="90"/>
        <v>#VALUE!</v>
      </c>
      <c r="AL332" s="477" t="str">
        <f>IF($AC$332="","",IFERROR(INDEX($BB$74:$BB$119,MATCH($AH$332,$AY$74:$AY$119,0)),$AH$332))</f>
        <v/>
      </c>
      <c r="AM332" s="483" t="str">
        <f t="shared" si="91"/>
        <v>QUANTITÉ À CONTRÔLER</v>
      </c>
      <c r="AN332" s="484" t="str">
        <f t="shared" si="92"/>
        <v>QT. SUFFISANTE</v>
      </c>
      <c r="AO332" s="473" t="str">
        <f t="shared" si="93"/>
        <v/>
      </c>
      <c r="AP332" s="473" t="str">
        <f t="shared" si="94"/>
        <v/>
      </c>
      <c r="AQ332" s="473" t="str">
        <f t="shared" si="95"/>
        <v/>
      </c>
      <c r="AR332" s="473" t="str">
        <f t="shared" si="96"/>
        <v/>
      </c>
      <c r="AS332" s="473" t="str">
        <f t="shared" si="97"/>
        <v/>
      </c>
      <c r="AT332" s="473" t="str">
        <f t="shared" si="98"/>
        <v/>
      </c>
      <c r="AU332" s="473" t="str">
        <f t="shared" si="99"/>
        <v/>
      </c>
      <c r="AZ332" s="32" t="s">
        <v>313</v>
      </c>
      <c r="BA332" s="34" t="s">
        <v>6123</v>
      </c>
      <c r="BB332" s="499"/>
      <c r="BC332" s="271"/>
      <c r="BD332" s="279">
        <v>1</v>
      </c>
      <c r="BE332" s="271"/>
      <c r="BF332" s="271"/>
      <c r="BG332" s="271"/>
      <c r="BH332" s="271"/>
      <c r="BI332" s="271"/>
      <c r="BJ332" s="271"/>
      <c r="BK332" s="271"/>
      <c r="BL332" s="271"/>
    </row>
    <row r="333" spans="18:64" ht="21" customHeight="1" x14ac:dyDescent="0.25">
      <c r="R333" s="34" t="s">
        <v>6125</v>
      </c>
      <c r="S333" s="451"/>
      <c r="T333" s="31" t="s">
        <v>25</v>
      </c>
      <c r="V333" s="475">
        <v>8</v>
      </c>
      <c r="W333" s="475" t="str">
        <f>IF($AC$333="","",$W$324)</f>
        <v>N° 52</v>
      </c>
      <c r="X333" s="476" t="str">
        <f>IF($AC$333="","",$X$324)</f>
        <v>TOMATES FARCIES AUX ŒUFS AU PESTO*</v>
      </c>
      <c r="Y333" s="477">
        <f>IF($X$333="","",$Y$324)</f>
        <v>0</v>
      </c>
      <c r="Z333" s="477">
        <f>IF($X$333="","",$Z$324)</f>
        <v>100</v>
      </c>
      <c r="AA333" s="477">
        <f>IF($AC$333="","",ROW($A$333)-ROW($A$324))</f>
        <v>9</v>
      </c>
      <c r="AB333" s="478"/>
      <c r="AC333" s="34" t="s">
        <v>67</v>
      </c>
      <c r="AD333" s="356"/>
      <c r="AE333" s="26" t="s">
        <v>33</v>
      </c>
      <c r="AF333" s="19"/>
      <c r="AG333" s="480" t="str">
        <f t="shared" si="88"/>
        <v>QT. SUFFISANTE</v>
      </c>
      <c r="AH333" s="481" t="str">
        <f t="shared" si="89"/>
        <v/>
      </c>
      <c r="AI333" s="477" t="str">
        <f>IF($AC$333="","",IFERROR(INDEX($AZ$74:$AZ$119,MATCH($AH$333,$AY$74:$AY$119,0)),"AUTRE"))</f>
        <v>AUTRE</v>
      </c>
      <c r="AJ333" s="482">
        <f>IF($AC$333="","",IFERROR(INDEX($BA$74:$BA$119,MATCH($AH$333,$AY$74:$AY$119,0)),1))</f>
        <v>1</v>
      </c>
      <c r="AK333" s="482" t="e">
        <f t="shared" si="90"/>
        <v>#VALUE!</v>
      </c>
      <c r="AL333" s="477" t="str">
        <f>IF($AC$333="","",IFERROR(INDEX($BB$74:$BB$119,MATCH($AH$333,$AY$74:$AY$119,0)),$AH$333))</f>
        <v/>
      </c>
      <c r="AM333" s="483" t="str">
        <f t="shared" si="91"/>
        <v>QUANTITÉ À CONTRÔLER</v>
      </c>
      <c r="AN333" s="484" t="str">
        <f t="shared" si="92"/>
        <v>QT. SUFFISANTE</v>
      </c>
      <c r="AO333" s="473" t="str">
        <f t="shared" si="93"/>
        <v/>
      </c>
      <c r="AP333" s="473" t="str">
        <f t="shared" si="94"/>
        <v/>
      </c>
      <c r="AQ333" s="473" t="str">
        <f t="shared" si="95"/>
        <v/>
      </c>
      <c r="AR333" s="473" t="str">
        <f t="shared" si="96"/>
        <v/>
      </c>
      <c r="AS333" s="473" t="str">
        <f t="shared" si="97"/>
        <v/>
      </c>
      <c r="AT333" s="473" t="str">
        <f t="shared" si="98"/>
        <v/>
      </c>
      <c r="AU333" s="473" t="str">
        <f t="shared" si="99"/>
        <v/>
      </c>
      <c r="AZ333" s="32" t="s">
        <v>307</v>
      </c>
      <c r="BA333" s="34" t="s">
        <v>6124</v>
      </c>
      <c r="BB333" s="499"/>
      <c r="BC333" s="271"/>
      <c r="BD333" s="279">
        <v>1</v>
      </c>
      <c r="BE333" s="271"/>
      <c r="BF333" s="271"/>
      <c r="BG333" s="271"/>
      <c r="BH333" s="271"/>
      <c r="BI333" s="271"/>
      <c r="BJ333" s="271"/>
      <c r="BK333" s="271"/>
      <c r="BL333" s="271"/>
    </row>
    <row r="334" spans="18:64" ht="21" customHeight="1" x14ac:dyDescent="0.25">
      <c r="R334" s="34" t="s">
        <v>6126</v>
      </c>
      <c r="S334" s="451"/>
      <c r="T334" s="31" t="s">
        <v>26</v>
      </c>
      <c r="V334" s="475">
        <v>8</v>
      </c>
      <c r="W334" s="475" t="str">
        <f>IF($AC$334="","",$W$324)</f>
        <v>N° 52</v>
      </c>
      <c r="X334" s="476" t="str">
        <f>IF($AC$334="","",$X$324)</f>
        <v>TOMATES FARCIES AUX ŒUFS AU PESTO*</v>
      </c>
      <c r="Y334" s="477">
        <f>IF($X$334="","",$Y$324)</f>
        <v>0</v>
      </c>
      <c r="Z334" s="477">
        <f>IF($X$334="","",$Z$324)</f>
        <v>100</v>
      </c>
      <c r="AA334" s="477">
        <f>IF($AC$334="","",ROW($A$334)-ROW($A$324))</f>
        <v>10</v>
      </c>
      <c r="AB334" s="478"/>
      <c r="AC334" s="34" t="s">
        <v>44</v>
      </c>
      <c r="AD334" s="356"/>
      <c r="AE334" s="26" t="s">
        <v>33</v>
      </c>
      <c r="AF334" s="19"/>
      <c r="AG334" s="480" t="str">
        <f t="shared" si="88"/>
        <v>QT. SUFFISANTE</v>
      </c>
      <c r="AH334" s="481" t="str">
        <f t="shared" si="89"/>
        <v/>
      </c>
      <c r="AI334" s="477" t="str">
        <f>IF($AC$334="","",IFERROR(INDEX($AZ$74:$AZ$119,MATCH($AH$334,$AY$74:$AY$119,0)),"AUTRE"))</f>
        <v>AUTRE</v>
      </c>
      <c r="AJ334" s="482">
        <f>IF($AC$334="","",IFERROR(INDEX($BA$74:$BA$119,MATCH($AH$334,$AY$74:$AY$119,0)),1))</f>
        <v>1</v>
      </c>
      <c r="AK334" s="482" t="e">
        <f t="shared" si="90"/>
        <v>#VALUE!</v>
      </c>
      <c r="AL334" s="477" t="str">
        <f>IF($AC$334="","",IFERROR(INDEX($BB$74:$BB$119,MATCH($AH$334,$AY$74:$AY$119,0)),$AH$334))</f>
        <v/>
      </c>
      <c r="AM334" s="483" t="str">
        <f t="shared" si="91"/>
        <v>QUANTITÉ À CONTRÔLER</v>
      </c>
      <c r="AN334" s="484" t="str">
        <f t="shared" si="92"/>
        <v>QT. SUFFISANTE</v>
      </c>
      <c r="AO334" s="473" t="str">
        <f t="shared" si="93"/>
        <v/>
      </c>
      <c r="AP334" s="473" t="str">
        <f t="shared" si="94"/>
        <v/>
      </c>
      <c r="AQ334" s="473" t="str">
        <f t="shared" si="95"/>
        <v/>
      </c>
      <c r="AR334" s="473" t="str">
        <f t="shared" si="96"/>
        <v/>
      </c>
      <c r="AS334" s="473" t="str">
        <f t="shared" si="97"/>
        <v/>
      </c>
      <c r="AT334" s="473" t="str">
        <f t="shared" si="98"/>
        <v/>
      </c>
      <c r="AU334" s="473" t="str">
        <f t="shared" si="99"/>
        <v/>
      </c>
      <c r="AZ334" s="32" t="s">
        <v>322</v>
      </c>
      <c r="BA334" s="34" t="s">
        <v>6125</v>
      </c>
      <c r="BB334" s="499"/>
      <c r="BC334" s="271"/>
      <c r="BD334" s="279">
        <v>1</v>
      </c>
      <c r="BE334" s="271"/>
      <c r="BF334" s="271"/>
      <c r="BG334" s="271"/>
      <c r="BH334" s="271"/>
      <c r="BI334" s="271"/>
      <c r="BJ334" s="271"/>
      <c r="BK334" s="271"/>
      <c r="BL334" s="271"/>
    </row>
    <row r="335" spans="18:64" ht="21" customHeight="1" x14ac:dyDescent="0.25">
      <c r="R335" s="34" t="s">
        <v>6127</v>
      </c>
      <c r="S335" s="451"/>
      <c r="T335" s="31" t="s">
        <v>27</v>
      </c>
      <c r="V335" s="475">
        <v>8</v>
      </c>
      <c r="W335" s="475" t="str">
        <f>IF($AC$335="","",$W$324)</f>
        <v/>
      </c>
      <c r="X335" s="476" t="str">
        <f>IF($AC$335="","",$X$324)</f>
        <v/>
      </c>
      <c r="Y335" s="477" t="str">
        <f>IF($X$335="","",$Y$324)</f>
        <v/>
      </c>
      <c r="Z335" s="477" t="str">
        <f>IF($X$335="","",$Z$324)</f>
        <v/>
      </c>
      <c r="AA335" s="477" t="str">
        <f>IF($AC$335="","",ROW($A$335)-ROW($A$324))</f>
        <v/>
      </c>
      <c r="AB335" s="478"/>
      <c r="AC335" s="34"/>
      <c r="AD335" s="356"/>
      <c r="AE335" s="18"/>
      <c r="AF335" s="19"/>
      <c r="AG335" s="480" t="str">
        <f t="shared" si="88"/>
        <v/>
      </c>
      <c r="AH335" s="481" t="str">
        <f t="shared" si="89"/>
        <v/>
      </c>
      <c r="AI335" s="477" t="str">
        <f>IF($AC$335="","",IFERROR(INDEX($AZ$74:$AZ$119,MATCH($AH$335,$AY$74:$AY$119,0)),"AUTRE"))</f>
        <v/>
      </c>
      <c r="AJ335" s="482" t="str">
        <f>IF($AC$335="","",IFERROR(INDEX($BA$74:$BA$119,MATCH($AH$335,$AY$74:$AY$119,0)),1))</f>
        <v/>
      </c>
      <c r="AK335" s="482" t="str">
        <f t="shared" si="90"/>
        <v/>
      </c>
      <c r="AL335" s="477" t="str">
        <f>IF($AC$335="","",IFERROR(INDEX($BB$74:$BB$119,MATCH($AH$335,$AY$74:$AY$119,0)),$AH$335))</f>
        <v/>
      </c>
      <c r="AM335" s="483" t="str">
        <f t="shared" si="91"/>
        <v/>
      </c>
      <c r="AN335" s="484" t="str">
        <f t="shared" si="92"/>
        <v/>
      </c>
      <c r="AO335" s="473" t="str">
        <f t="shared" si="93"/>
        <v/>
      </c>
      <c r="AP335" s="473" t="str">
        <f t="shared" si="94"/>
        <v/>
      </c>
      <c r="AQ335" s="473" t="str">
        <f t="shared" si="95"/>
        <v/>
      </c>
      <c r="AR335" s="473" t="str">
        <f t="shared" si="96"/>
        <v/>
      </c>
      <c r="AS335" s="473" t="str">
        <f t="shared" si="97"/>
        <v/>
      </c>
      <c r="AT335" s="473" t="str">
        <f t="shared" si="98"/>
        <v/>
      </c>
      <c r="AU335" s="473" t="str">
        <f t="shared" si="99"/>
        <v/>
      </c>
      <c r="AZ335" s="32" t="s">
        <v>305</v>
      </c>
      <c r="BA335" s="34" t="s">
        <v>6126</v>
      </c>
      <c r="BB335" s="499"/>
      <c r="BC335" s="271"/>
      <c r="BD335" s="279">
        <v>1</v>
      </c>
      <c r="BE335" s="271"/>
      <c r="BF335" s="271"/>
      <c r="BG335" s="271"/>
      <c r="BH335" s="271"/>
      <c r="BI335" s="271"/>
      <c r="BJ335" s="271"/>
      <c r="BK335" s="271"/>
      <c r="BL335" s="271"/>
    </row>
    <row r="336" spans="18:64" ht="21" customHeight="1" x14ac:dyDescent="0.25">
      <c r="R336" s="25" t="s">
        <v>6128</v>
      </c>
      <c r="S336" s="451"/>
      <c r="T336" s="31" t="s">
        <v>28</v>
      </c>
      <c r="V336" s="475">
        <v>8</v>
      </c>
      <c r="W336" s="475" t="str">
        <f>IF($AC$336="","",$W$324)</f>
        <v/>
      </c>
      <c r="X336" s="476" t="str">
        <f>IF($AC$336="","",$X$324)</f>
        <v/>
      </c>
      <c r="Y336" s="477" t="str">
        <f>IF($X$336="","",$Y$324)</f>
        <v/>
      </c>
      <c r="Z336" s="477" t="str">
        <f>IF($X$336="","",$Z$324)</f>
        <v/>
      </c>
      <c r="AA336" s="477" t="str">
        <f>IF($AC$336="","",ROW($A$336)-ROW($A$324))</f>
        <v/>
      </c>
      <c r="AB336" s="478"/>
      <c r="AC336" s="34"/>
      <c r="AD336" s="356"/>
      <c r="AE336" s="18"/>
      <c r="AF336" s="19"/>
      <c r="AG336" s="480" t="str">
        <f t="shared" si="88"/>
        <v/>
      </c>
      <c r="AH336" s="481" t="str">
        <f t="shared" si="89"/>
        <v/>
      </c>
      <c r="AI336" s="477" t="str">
        <f>IF($AC$336="","",IFERROR(INDEX($AZ$74:$AZ$119,MATCH($AH$336,$AY$74:$AY$119,0)),"AUTRE"))</f>
        <v/>
      </c>
      <c r="AJ336" s="482" t="str">
        <f>IF($AC$336="","",IFERROR(INDEX($BA$74:$BA$119,MATCH($AH$336,$AY$74:$AY$119,0)),1))</f>
        <v/>
      </c>
      <c r="AK336" s="482" t="str">
        <f t="shared" si="90"/>
        <v/>
      </c>
      <c r="AL336" s="477" t="str">
        <f>IF($AC$336="","",IFERROR(INDEX($BB$74:$BB$119,MATCH($AH$336,$AY$74:$AY$119,0)),$AH$336))</f>
        <v/>
      </c>
      <c r="AM336" s="483" t="str">
        <f t="shared" si="91"/>
        <v/>
      </c>
      <c r="AN336" s="484" t="str">
        <f t="shared" si="92"/>
        <v/>
      </c>
      <c r="AO336" s="473" t="str">
        <f t="shared" si="93"/>
        <v/>
      </c>
      <c r="AP336" s="473" t="str">
        <f t="shared" si="94"/>
        <v/>
      </c>
      <c r="AQ336" s="473" t="str">
        <f t="shared" si="95"/>
        <v/>
      </c>
      <c r="AR336" s="473" t="str">
        <f t="shared" si="96"/>
        <v/>
      </c>
      <c r="AS336" s="473" t="str">
        <f t="shared" si="97"/>
        <v/>
      </c>
      <c r="AT336" s="473" t="str">
        <f t="shared" si="98"/>
        <v/>
      </c>
      <c r="AU336" s="473" t="str">
        <f t="shared" si="99"/>
        <v/>
      </c>
      <c r="AZ336" s="32" t="s">
        <v>8129</v>
      </c>
      <c r="BA336" s="34" t="s">
        <v>6127</v>
      </c>
      <c r="BB336" s="499"/>
      <c r="BC336" s="271"/>
      <c r="BD336" s="279">
        <v>1</v>
      </c>
      <c r="BE336" s="271"/>
      <c r="BF336" s="271"/>
      <c r="BG336" s="271"/>
      <c r="BH336" s="271"/>
      <c r="BI336" s="271"/>
      <c r="BJ336" s="271"/>
      <c r="BK336" s="271"/>
      <c r="BL336" s="271"/>
    </row>
    <row r="337" spans="18:64" ht="21" customHeight="1" x14ac:dyDescent="0.25">
      <c r="R337" s="34" t="s">
        <v>474</v>
      </c>
      <c r="S337" s="451"/>
      <c r="T337" s="31" t="s">
        <v>29</v>
      </c>
      <c r="V337" s="475">
        <v>8</v>
      </c>
      <c r="W337" s="475" t="str">
        <f>IF($AC$337="","",$W$324)</f>
        <v/>
      </c>
      <c r="X337" s="476" t="str">
        <f>IF($AC$337="","",$X$324)</f>
        <v/>
      </c>
      <c r="Y337" s="477" t="str">
        <f>IF($X$337="","",$Y$324)</f>
        <v/>
      </c>
      <c r="Z337" s="477" t="str">
        <f>IF($X$337="","",$Z$324)</f>
        <v/>
      </c>
      <c r="AA337" s="477" t="str">
        <f>IF($AC$337="","",ROW($A$337)-ROW($A$324))</f>
        <v/>
      </c>
      <c r="AB337" s="478"/>
      <c r="AC337" s="34"/>
      <c r="AD337" s="356"/>
      <c r="AE337" s="18"/>
      <c r="AF337" s="19"/>
      <c r="AG337" s="480" t="str">
        <f t="shared" si="88"/>
        <v/>
      </c>
      <c r="AH337" s="481" t="str">
        <f t="shared" si="89"/>
        <v/>
      </c>
      <c r="AI337" s="477" t="str">
        <f>IF($AC$337="","",IFERROR(INDEX($AZ$74:$AZ$119,MATCH($AH$337,$AY$74:$AY$119,0)),"AUTRE"))</f>
        <v/>
      </c>
      <c r="AJ337" s="482" t="str">
        <f>IF($AC$337="","",IFERROR(INDEX($BA$74:$BA$119,MATCH($AH$337,$AY$74:$AY$119,0)),1))</f>
        <v/>
      </c>
      <c r="AK337" s="482" t="str">
        <f t="shared" si="90"/>
        <v/>
      </c>
      <c r="AL337" s="477" t="str">
        <f>IF($AC$337="","",IFERROR(INDEX($BB$74:$BB$119,MATCH($AH$337,$AY$74:$AY$119,0)),$AH$337))</f>
        <v/>
      </c>
      <c r="AM337" s="483" t="str">
        <f t="shared" si="91"/>
        <v/>
      </c>
      <c r="AN337" s="484" t="str">
        <f t="shared" si="92"/>
        <v/>
      </c>
      <c r="AO337" s="473" t="str">
        <f t="shared" si="93"/>
        <v/>
      </c>
      <c r="AP337" s="473" t="str">
        <f t="shared" si="94"/>
        <v/>
      </c>
      <c r="AQ337" s="473" t="str">
        <f t="shared" si="95"/>
        <v/>
      </c>
      <c r="AR337" s="473" t="str">
        <f t="shared" si="96"/>
        <v/>
      </c>
      <c r="AS337" s="473" t="str">
        <f t="shared" si="97"/>
        <v/>
      </c>
      <c r="AT337" s="473" t="str">
        <f t="shared" si="98"/>
        <v/>
      </c>
      <c r="AU337" s="473" t="str">
        <f t="shared" si="99"/>
        <v/>
      </c>
      <c r="AZ337" s="32" t="s">
        <v>8131</v>
      </c>
      <c r="BA337" s="25" t="s">
        <v>6128</v>
      </c>
      <c r="BB337" s="499"/>
      <c r="BC337" s="271"/>
      <c r="BD337" s="279">
        <v>1</v>
      </c>
      <c r="BE337" s="271"/>
      <c r="BF337" s="271"/>
      <c r="BG337" s="271"/>
      <c r="BH337" s="271"/>
      <c r="BI337" s="271"/>
      <c r="BJ337" s="271"/>
      <c r="BK337" s="271"/>
      <c r="BL337" s="271"/>
    </row>
    <row r="338" spans="18:64" ht="21" customHeight="1" x14ac:dyDescent="0.25">
      <c r="R338" s="34" t="s">
        <v>490</v>
      </c>
      <c r="S338" s="451"/>
      <c r="T338" s="31" t="s">
        <v>30</v>
      </c>
      <c r="V338" s="475">
        <v>8</v>
      </c>
      <c r="W338" s="475" t="str">
        <f>IF($AC$338="","",$W$324)</f>
        <v/>
      </c>
      <c r="X338" s="476" t="str">
        <f>IF($AC$338="","",$X$324)</f>
        <v/>
      </c>
      <c r="Y338" s="477" t="str">
        <f>IF($X$338="","",$Y$324)</f>
        <v/>
      </c>
      <c r="Z338" s="477" t="str">
        <f>IF($X$338="","",$Z$324)</f>
        <v/>
      </c>
      <c r="AA338" s="477" t="str">
        <f>IF($AC$338="","",ROW($A$338)-ROW($A$324))</f>
        <v/>
      </c>
      <c r="AB338" s="478"/>
      <c r="AC338" s="34"/>
      <c r="AD338" s="356"/>
      <c r="AE338" s="18"/>
      <c r="AF338" s="19"/>
      <c r="AG338" s="480" t="str">
        <f t="shared" si="88"/>
        <v/>
      </c>
      <c r="AH338" s="481" t="str">
        <f t="shared" si="89"/>
        <v/>
      </c>
      <c r="AI338" s="477" t="str">
        <f>IF($AC$338="","",IFERROR(INDEX($AZ$74:$AZ$119,MATCH($AH$338,$AY$74:$AY$119,0)),"AUTRE"))</f>
        <v/>
      </c>
      <c r="AJ338" s="482" t="str">
        <f>IF($AC$338="","",IFERROR(INDEX($BA$74:$BA$119,MATCH($AH$338,$AY$74:$AY$119,0)),1))</f>
        <v/>
      </c>
      <c r="AK338" s="482" t="str">
        <f t="shared" si="90"/>
        <v/>
      </c>
      <c r="AL338" s="477" t="str">
        <f>IF($AC$338="","",IFERROR(INDEX($BB$74:$BB$119,MATCH($AH$338,$AY$74:$AY$119,0)),$AH$338))</f>
        <v/>
      </c>
      <c r="AM338" s="483" t="str">
        <f t="shared" si="91"/>
        <v/>
      </c>
      <c r="AN338" s="484" t="str">
        <f t="shared" si="92"/>
        <v/>
      </c>
      <c r="AO338" s="473" t="str">
        <f t="shared" si="93"/>
        <v/>
      </c>
      <c r="AP338" s="473" t="str">
        <f t="shared" si="94"/>
        <v/>
      </c>
      <c r="AQ338" s="473" t="str">
        <f t="shared" si="95"/>
        <v/>
      </c>
      <c r="AR338" s="473" t="str">
        <f t="shared" si="96"/>
        <v/>
      </c>
      <c r="AS338" s="473" t="str">
        <f t="shared" si="97"/>
        <v/>
      </c>
      <c r="AT338" s="473" t="str">
        <f t="shared" si="98"/>
        <v/>
      </c>
      <c r="AU338" s="473" t="str">
        <f t="shared" si="99"/>
        <v/>
      </c>
      <c r="AZ338" s="32" t="s">
        <v>309</v>
      </c>
      <c r="BA338" s="34" t="s">
        <v>474</v>
      </c>
      <c r="BB338" s="499"/>
      <c r="BC338" s="271"/>
      <c r="BD338" s="279">
        <v>1</v>
      </c>
      <c r="BE338" s="271"/>
      <c r="BF338" s="271"/>
      <c r="BG338" s="271"/>
      <c r="BH338" s="271"/>
      <c r="BI338" s="271"/>
      <c r="BJ338" s="271"/>
      <c r="BK338" s="271"/>
      <c r="BL338" s="271"/>
    </row>
    <row r="339" spans="18:64" ht="21" customHeight="1" x14ac:dyDescent="0.25">
      <c r="R339" s="34" t="s">
        <v>6129</v>
      </c>
      <c r="S339" s="451"/>
      <c r="T339" s="31" t="s">
        <v>31</v>
      </c>
      <c r="V339" s="475">
        <v>8</v>
      </c>
      <c r="W339" s="475" t="str">
        <f>IF($AC$339="","",$W$324)</f>
        <v/>
      </c>
      <c r="X339" s="476" t="str">
        <f>IF($AC$339="","",$X$324)</f>
        <v/>
      </c>
      <c r="Y339" s="477" t="str">
        <f>IF($X$339="","",$Y$324)</f>
        <v/>
      </c>
      <c r="Z339" s="477" t="str">
        <f>IF($X$339="","",$Z$324)</f>
        <v/>
      </c>
      <c r="AA339" s="477" t="str">
        <f>IF($AC$339="","",ROW($A$339)-ROW($A$324))</f>
        <v/>
      </c>
      <c r="AB339" s="478"/>
      <c r="AC339" s="34"/>
      <c r="AD339" s="356"/>
      <c r="AE339" s="18"/>
      <c r="AF339" s="19"/>
      <c r="AG339" s="480" t="str">
        <f t="shared" si="88"/>
        <v/>
      </c>
      <c r="AH339" s="481" t="str">
        <f t="shared" si="89"/>
        <v/>
      </c>
      <c r="AI339" s="477" t="str">
        <f>IF($AC$339="","",IFERROR(INDEX($AZ$74:$AZ$119,MATCH($AH$339,$AY$74:$AY$119,0)),"AUTRE"))</f>
        <v/>
      </c>
      <c r="AJ339" s="482" t="str">
        <f>IF($AC$339="","",IFERROR(INDEX($BA$74:$BA$119,MATCH($AH$339,$AY$74:$AY$119,0)),1))</f>
        <v/>
      </c>
      <c r="AK339" s="482" t="str">
        <f t="shared" si="90"/>
        <v/>
      </c>
      <c r="AL339" s="477" t="str">
        <f>IF($AC$339="","",IFERROR(INDEX($BB$74:$BB$119,MATCH($AH$339,$AY$74:$AY$119,0)),$AH$339))</f>
        <v/>
      </c>
      <c r="AM339" s="483" t="str">
        <f t="shared" si="91"/>
        <v/>
      </c>
      <c r="AN339" s="484" t="str">
        <f t="shared" si="92"/>
        <v/>
      </c>
      <c r="AO339" s="473" t="str">
        <f t="shared" si="93"/>
        <v/>
      </c>
      <c r="AP339" s="473" t="str">
        <f t="shared" si="94"/>
        <v/>
      </c>
      <c r="AQ339" s="473" t="str">
        <f t="shared" si="95"/>
        <v/>
      </c>
      <c r="AR339" s="473" t="str">
        <f t="shared" si="96"/>
        <v/>
      </c>
      <c r="AS339" s="473" t="str">
        <f t="shared" si="97"/>
        <v/>
      </c>
      <c r="AT339" s="473" t="str">
        <f t="shared" si="98"/>
        <v/>
      </c>
      <c r="AU339" s="473" t="str">
        <f t="shared" si="99"/>
        <v/>
      </c>
      <c r="AZ339" s="32" t="s">
        <v>311</v>
      </c>
      <c r="BA339" s="34" t="s">
        <v>490</v>
      </c>
      <c r="BB339" s="499"/>
      <c r="BC339" s="271"/>
      <c r="BD339" s="279">
        <v>1</v>
      </c>
      <c r="BE339" s="271"/>
      <c r="BF339" s="271"/>
      <c r="BG339" s="271"/>
      <c r="BH339" s="271"/>
      <c r="BI339" s="271"/>
      <c r="BJ339" s="271"/>
      <c r="BK339" s="271"/>
      <c r="BL339" s="271"/>
    </row>
    <row r="340" spans="18:64" ht="21" customHeight="1" x14ac:dyDescent="0.25">
      <c r="R340" s="34" t="s">
        <v>478</v>
      </c>
      <c r="S340" s="451"/>
      <c r="T340" s="32" t="s">
        <v>33</v>
      </c>
      <c r="V340" s="475">
        <v>8</v>
      </c>
      <c r="W340" s="475" t="str">
        <f>IF($AC$340="","",$W$324)</f>
        <v/>
      </c>
      <c r="X340" s="476" t="str">
        <f>IF($AC$340="","",$X$324)</f>
        <v/>
      </c>
      <c r="Y340" s="477" t="str">
        <f>IF($X$340="","",$Y$324)</f>
        <v/>
      </c>
      <c r="Z340" s="477" t="str">
        <f>IF($X$340="","",$Z$324)</f>
        <v/>
      </c>
      <c r="AA340" s="477" t="str">
        <f>IF($AC$340="","",ROW($A$340)-ROW($A$324))</f>
        <v/>
      </c>
      <c r="AB340" s="478"/>
      <c r="AC340" s="34"/>
      <c r="AD340" s="356"/>
      <c r="AE340" s="18"/>
      <c r="AF340" s="19"/>
      <c r="AG340" s="480" t="str">
        <f t="shared" si="88"/>
        <v/>
      </c>
      <c r="AH340" s="481" t="str">
        <f t="shared" si="89"/>
        <v/>
      </c>
      <c r="AI340" s="477" t="str">
        <f>IF($AC$340="","",IFERROR(INDEX($AZ$74:$AZ$119,MATCH($AH$340,$AY$74:$AY$119,0)),"AUTRE"))</f>
        <v/>
      </c>
      <c r="AJ340" s="482" t="str">
        <f>IF($AC$340="","",IFERROR(INDEX($BA$74:$BA$119,MATCH($AH$340,$AY$74:$AY$119,0)),1))</f>
        <v/>
      </c>
      <c r="AK340" s="482" t="str">
        <f t="shared" si="90"/>
        <v/>
      </c>
      <c r="AL340" s="477" t="str">
        <f>IF($AC$340="","",IFERROR(INDEX($BB$74:$BB$119,MATCH($AH$340,$AY$74:$AY$119,0)),$AH$340))</f>
        <v/>
      </c>
      <c r="AM340" s="483" t="str">
        <f t="shared" si="91"/>
        <v/>
      </c>
      <c r="AN340" s="484" t="str">
        <f t="shared" si="92"/>
        <v/>
      </c>
      <c r="AO340" s="473" t="str">
        <f t="shared" si="93"/>
        <v/>
      </c>
      <c r="AP340" s="473" t="str">
        <f t="shared" si="94"/>
        <v/>
      </c>
      <c r="AQ340" s="473" t="str">
        <f t="shared" si="95"/>
        <v/>
      </c>
      <c r="AR340" s="473" t="str">
        <f t="shared" si="96"/>
        <v/>
      </c>
      <c r="AS340" s="473" t="str">
        <f t="shared" si="97"/>
        <v/>
      </c>
      <c r="AT340" s="473" t="str">
        <f t="shared" si="98"/>
        <v/>
      </c>
      <c r="AU340" s="473" t="str">
        <f t="shared" si="99"/>
        <v/>
      </c>
      <c r="AZ340" s="32" t="s">
        <v>8135</v>
      </c>
      <c r="BA340" s="34" t="s">
        <v>6129</v>
      </c>
      <c r="BB340" s="499"/>
      <c r="BC340" s="271"/>
      <c r="BD340" s="279">
        <v>1</v>
      </c>
      <c r="BE340" s="271"/>
      <c r="BF340" s="271"/>
      <c r="BG340" s="271"/>
      <c r="BH340" s="271"/>
      <c r="BI340" s="271"/>
      <c r="BJ340" s="271"/>
      <c r="BK340" s="271"/>
      <c r="BL340" s="271"/>
    </row>
    <row r="341" spans="18:64" ht="21" customHeight="1" x14ac:dyDescent="0.25">
      <c r="R341" s="34" t="s">
        <v>6130</v>
      </c>
      <c r="S341" s="451"/>
      <c r="T341" s="32" t="s">
        <v>8125</v>
      </c>
      <c r="V341" s="475">
        <v>8</v>
      </c>
      <c r="W341" s="475" t="str">
        <f>IF($AC$341="","",$W$324)</f>
        <v/>
      </c>
      <c r="X341" s="476" t="str">
        <f>IF($AC$341="","",$X$324)</f>
        <v/>
      </c>
      <c r="Y341" s="477" t="str">
        <f>IF($X$341="","",$Y$324)</f>
        <v/>
      </c>
      <c r="Z341" s="477" t="str">
        <f>IF($X$341="","",$Z$324)</f>
        <v/>
      </c>
      <c r="AA341" s="477" t="str">
        <f>IF($AC$341="","",ROW($A$341)-ROW($A$324))</f>
        <v/>
      </c>
      <c r="AB341" s="478"/>
      <c r="AC341" s="34"/>
      <c r="AD341" s="356"/>
      <c r="AE341" s="18"/>
      <c r="AF341" s="19"/>
      <c r="AG341" s="480" t="str">
        <f t="shared" si="88"/>
        <v/>
      </c>
      <c r="AH341" s="481" t="str">
        <f t="shared" si="89"/>
        <v/>
      </c>
      <c r="AI341" s="477" t="str">
        <f>IF($AC$341="","",IFERROR(INDEX($AZ$74:$AZ$119,MATCH($AH$341,$AY$74:$AY$119,0)),"AUTRE"))</f>
        <v/>
      </c>
      <c r="AJ341" s="482" t="str">
        <f>IF($AC$341="","",IFERROR(INDEX($BA$74:$BA$119,MATCH($AH$341,$AY$74:$AY$119,0)),1))</f>
        <v/>
      </c>
      <c r="AK341" s="482" t="str">
        <f t="shared" si="90"/>
        <v/>
      </c>
      <c r="AL341" s="477" t="str">
        <f>IF($AC$341="","",IFERROR(INDEX($BB$74:$BB$119,MATCH($AH$341,$AY$74:$AY$119,0)),$AH$341))</f>
        <v/>
      </c>
      <c r="AM341" s="483" t="str">
        <f t="shared" si="91"/>
        <v/>
      </c>
      <c r="AN341" s="484" t="str">
        <f t="shared" si="92"/>
        <v/>
      </c>
      <c r="AO341" s="473" t="str">
        <f t="shared" si="93"/>
        <v/>
      </c>
      <c r="AP341" s="473" t="str">
        <f t="shared" si="94"/>
        <v/>
      </c>
      <c r="AQ341" s="473" t="str">
        <f t="shared" si="95"/>
        <v/>
      </c>
      <c r="AR341" s="473" t="str">
        <f t="shared" si="96"/>
        <v/>
      </c>
      <c r="AS341" s="473" t="str">
        <f t="shared" si="97"/>
        <v/>
      </c>
      <c r="AT341" s="473" t="str">
        <f t="shared" si="98"/>
        <v/>
      </c>
      <c r="AU341" s="473" t="str">
        <f t="shared" si="99"/>
        <v/>
      </c>
      <c r="AZ341" s="32" t="s">
        <v>8137</v>
      </c>
      <c r="BA341" s="34" t="s">
        <v>478</v>
      </c>
      <c r="BB341" s="499"/>
      <c r="BC341" s="271"/>
      <c r="BD341" s="279">
        <v>1</v>
      </c>
      <c r="BE341" s="271"/>
      <c r="BF341" s="271"/>
      <c r="BG341" s="271"/>
      <c r="BH341" s="271"/>
      <c r="BI341" s="271"/>
      <c r="BJ341" s="271"/>
      <c r="BK341" s="271"/>
      <c r="BL341" s="271"/>
    </row>
    <row r="342" spans="18:64" ht="21" customHeight="1" x14ac:dyDescent="0.25">
      <c r="R342" s="34" t="s">
        <v>486</v>
      </c>
      <c r="S342" s="451"/>
      <c r="T342" s="32" t="s">
        <v>8127</v>
      </c>
      <c r="V342" s="475">
        <v>8</v>
      </c>
      <c r="W342" s="475" t="str">
        <f>IF($AC$342="","",$W$324)</f>
        <v/>
      </c>
      <c r="X342" s="476" t="str">
        <f>IF($AC$342="","",$X$324)</f>
        <v/>
      </c>
      <c r="Y342" s="477" t="str">
        <f>IF($X$342="","",$Y$324)</f>
        <v/>
      </c>
      <c r="Z342" s="477" t="str">
        <f>IF($X$342="","",$Z$324)</f>
        <v/>
      </c>
      <c r="AA342" s="477" t="str">
        <f>IF($AC$342="","",ROW($A$342)-ROW($A$324))</f>
        <v/>
      </c>
      <c r="AB342" s="478"/>
      <c r="AC342" s="34"/>
      <c r="AD342" s="356"/>
      <c r="AE342" s="18"/>
      <c r="AF342" s="19"/>
      <c r="AG342" s="480" t="str">
        <f t="shared" si="88"/>
        <v/>
      </c>
      <c r="AH342" s="481" t="str">
        <f t="shared" si="89"/>
        <v/>
      </c>
      <c r="AI342" s="477" t="str">
        <f>IF($AC$342="","",IFERROR(INDEX($AZ$74:$AZ$119,MATCH($AH$342,$AY$74:$AY$119,0)),"AUTRE"))</f>
        <v/>
      </c>
      <c r="AJ342" s="482" t="str">
        <f>IF($AC$342="","",IFERROR(INDEX($BA$74:$BA$119,MATCH($AH$342,$AY$74:$AY$119,0)),1))</f>
        <v/>
      </c>
      <c r="AK342" s="482" t="str">
        <f t="shared" si="90"/>
        <v/>
      </c>
      <c r="AL342" s="477" t="str">
        <f>IF($AC$342="","",IFERROR(INDEX($BB$74:$BB$119,MATCH($AH$342,$AY$74:$AY$119,0)),$AH$342))</f>
        <v/>
      </c>
      <c r="AM342" s="483" t="str">
        <f t="shared" si="91"/>
        <v/>
      </c>
      <c r="AN342" s="484" t="str">
        <f t="shared" si="92"/>
        <v/>
      </c>
      <c r="AO342" s="473" t="str">
        <f t="shared" si="93"/>
        <v/>
      </c>
      <c r="AP342" s="473" t="str">
        <f t="shared" si="94"/>
        <v/>
      </c>
      <c r="AQ342" s="473" t="str">
        <f t="shared" si="95"/>
        <v/>
      </c>
      <c r="AR342" s="473" t="str">
        <f t="shared" si="96"/>
        <v/>
      </c>
      <c r="AS342" s="473" t="str">
        <f t="shared" si="97"/>
        <v/>
      </c>
      <c r="AT342" s="473" t="str">
        <f t="shared" si="98"/>
        <v/>
      </c>
      <c r="AU342" s="473" t="str">
        <f t="shared" si="99"/>
        <v/>
      </c>
      <c r="AZ342" s="32" t="s">
        <v>8139</v>
      </c>
      <c r="BA342" s="34" t="s">
        <v>6130</v>
      </c>
      <c r="BB342" s="499"/>
      <c r="BC342" s="271"/>
      <c r="BD342" s="279">
        <v>1</v>
      </c>
      <c r="BE342" s="271"/>
      <c r="BF342" s="271"/>
      <c r="BG342" s="271"/>
      <c r="BH342" s="271"/>
      <c r="BI342" s="271"/>
      <c r="BJ342" s="271"/>
      <c r="BK342" s="271"/>
      <c r="BL342" s="271"/>
    </row>
    <row r="343" spans="18:64" ht="21" customHeight="1" x14ac:dyDescent="0.25">
      <c r="R343" s="34" t="s">
        <v>479</v>
      </c>
      <c r="S343" s="451"/>
      <c r="T343" s="32" t="s">
        <v>320</v>
      </c>
      <c r="V343" s="475">
        <v>8</v>
      </c>
      <c r="W343" s="475" t="str">
        <f>IF($AC$343="","",$W$324)</f>
        <v/>
      </c>
      <c r="X343" s="476" t="str">
        <f>IF($AC$343="","",$X$324)</f>
        <v/>
      </c>
      <c r="Y343" s="477" t="str">
        <f>IF($X$343="","",$Y$324)</f>
        <v/>
      </c>
      <c r="Z343" s="477" t="str">
        <f>IF($X$343="","",$Z$324)</f>
        <v/>
      </c>
      <c r="AA343" s="477" t="str">
        <f>IF($AC$343="","",ROW($A$343)-ROW($A$324))</f>
        <v/>
      </c>
      <c r="AB343" s="478"/>
      <c r="AC343" s="34"/>
      <c r="AD343" s="356"/>
      <c r="AE343" s="18"/>
      <c r="AF343" s="19"/>
      <c r="AG343" s="480" t="str">
        <f t="shared" si="88"/>
        <v/>
      </c>
      <c r="AH343" s="481" t="str">
        <f t="shared" si="89"/>
        <v/>
      </c>
      <c r="AI343" s="477" t="str">
        <f>IF($AC$343="","",IFERROR(INDEX($AZ$74:$AZ$119,MATCH($AH$343,$AY$74:$AY$119,0)),"AUTRE"))</f>
        <v/>
      </c>
      <c r="AJ343" s="482" t="str">
        <f>IF($AC$343="","",IFERROR(INDEX($BA$74:$BA$119,MATCH($AH$343,$AY$74:$AY$119,0)),1))</f>
        <v/>
      </c>
      <c r="AK343" s="482" t="str">
        <f t="shared" si="90"/>
        <v/>
      </c>
      <c r="AL343" s="477" t="str">
        <f>IF($AC$343="","",IFERROR(INDEX($BB$74:$BB$119,MATCH($AH$343,$AY$74:$AY$119,0)),$AH$343))</f>
        <v/>
      </c>
      <c r="AM343" s="483" t="str">
        <f t="shared" si="91"/>
        <v/>
      </c>
      <c r="AN343" s="484" t="str">
        <f t="shared" si="92"/>
        <v/>
      </c>
      <c r="AO343" s="473" t="str">
        <f t="shared" si="93"/>
        <v/>
      </c>
      <c r="AP343" s="473" t="str">
        <f t="shared" si="94"/>
        <v/>
      </c>
      <c r="AQ343" s="473" t="str">
        <f t="shared" si="95"/>
        <v/>
      </c>
      <c r="AR343" s="473" t="str">
        <f t="shared" si="96"/>
        <v/>
      </c>
      <c r="AS343" s="473" t="str">
        <f t="shared" si="97"/>
        <v/>
      </c>
      <c r="AT343" s="473" t="str">
        <f t="shared" si="98"/>
        <v/>
      </c>
      <c r="AU343" s="473" t="str">
        <f t="shared" si="99"/>
        <v/>
      </c>
      <c r="AZ343" s="32" t="s">
        <v>8141</v>
      </c>
      <c r="BA343" s="34" t="s">
        <v>486</v>
      </c>
      <c r="BB343" s="499"/>
      <c r="BC343" s="271"/>
      <c r="BD343" s="279">
        <v>1</v>
      </c>
      <c r="BE343" s="271"/>
      <c r="BF343" s="271"/>
      <c r="BG343" s="271"/>
      <c r="BH343" s="271"/>
      <c r="BI343" s="271"/>
      <c r="BJ343" s="271"/>
      <c r="BK343" s="271"/>
      <c r="BL343" s="271"/>
    </row>
    <row r="344" spans="18:64" ht="21" customHeight="1" x14ac:dyDescent="0.25">
      <c r="R344" s="34" t="s">
        <v>6131</v>
      </c>
      <c r="S344" s="451"/>
      <c r="T344" s="32" t="s">
        <v>318</v>
      </c>
      <c r="V344" s="475">
        <v>8</v>
      </c>
      <c r="W344" s="475" t="str">
        <f>IF($AC$344="","",$W$324)</f>
        <v/>
      </c>
      <c r="X344" s="476" t="str">
        <f>IF($AC$344="","",$X$324)</f>
        <v/>
      </c>
      <c r="Y344" s="477" t="str">
        <f>IF($X$344="","",$Y$324)</f>
        <v/>
      </c>
      <c r="Z344" s="477" t="str">
        <f>IF($X$344="","",$Z$324)</f>
        <v/>
      </c>
      <c r="AA344" s="477" t="str">
        <f>IF($AC$344="","",ROW($A$344)-ROW($A$324))</f>
        <v/>
      </c>
      <c r="AB344" s="478"/>
      <c r="AC344" s="34"/>
      <c r="AD344" s="356"/>
      <c r="AE344" s="18"/>
      <c r="AF344" s="19"/>
      <c r="AG344" s="480" t="str">
        <f t="shared" si="88"/>
        <v/>
      </c>
      <c r="AH344" s="481" t="str">
        <f t="shared" si="89"/>
        <v/>
      </c>
      <c r="AI344" s="477" t="str">
        <f>IF($AC$344="","",IFERROR(INDEX($AZ$74:$AZ$119,MATCH($AH$344,$AY$74:$AY$119,0)),"AUTRE"))</f>
        <v/>
      </c>
      <c r="AJ344" s="482" t="str">
        <f>IF($AC$344="","",IFERROR(INDEX($BA$74:$BA$119,MATCH($AH$344,$AY$74:$AY$119,0)),1))</f>
        <v/>
      </c>
      <c r="AK344" s="482" t="str">
        <f t="shared" si="90"/>
        <v/>
      </c>
      <c r="AL344" s="477" t="str">
        <f>IF($AC$344="","",IFERROR(INDEX($BB$74:$BB$119,MATCH($AH$344,$AY$74:$AY$119,0)),$AH$344))</f>
        <v/>
      </c>
      <c r="AM344" s="483" t="str">
        <f t="shared" si="91"/>
        <v/>
      </c>
      <c r="AN344" s="484" t="str">
        <f t="shared" si="92"/>
        <v/>
      </c>
      <c r="AO344" s="473" t="str">
        <f t="shared" si="93"/>
        <v/>
      </c>
      <c r="AP344" s="473" t="str">
        <f t="shared" si="94"/>
        <v/>
      </c>
      <c r="AQ344" s="473" t="str">
        <f t="shared" si="95"/>
        <v/>
      </c>
      <c r="AR344" s="473" t="str">
        <f t="shared" si="96"/>
        <v/>
      </c>
      <c r="AS344" s="473" t="str">
        <f t="shared" si="97"/>
        <v/>
      </c>
      <c r="AT344" s="473" t="str">
        <f t="shared" si="98"/>
        <v/>
      </c>
      <c r="AU344" s="473" t="str">
        <f t="shared" si="99"/>
        <v/>
      </c>
      <c r="AZ344" s="32" t="s">
        <v>8143</v>
      </c>
      <c r="BA344" s="34" t="s">
        <v>479</v>
      </c>
      <c r="BB344" s="499"/>
      <c r="BC344" s="271"/>
      <c r="BD344" s="279">
        <v>1</v>
      </c>
      <c r="BE344" s="271"/>
      <c r="BF344" s="271"/>
      <c r="BG344" s="271"/>
      <c r="BH344" s="271"/>
      <c r="BI344" s="271"/>
      <c r="BJ344" s="271"/>
      <c r="BK344" s="271"/>
      <c r="BL344" s="271"/>
    </row>
    <row r="345" spans="18:64" ht="21" customHeight="1" x14ac:dyDescent="0.25">
      <c r="R345" s="34" t="s">
        <v>485</v>
      </c>
      <c r="S345" s="451"/>
      <c r="T345" s="32" t="s">
        <v>316</v>
      </c>
      <c r="V345" s="475">
        <v>8</v>
      </c>
      <c r="W345" s="475" t="str">
        <f>IF($AC$345="","",$W$324)</f>
        <v/>
      </c>
      <c r="X345" s="476" t="str">
        <f>IF($AC$345="","",$X$324)</f>
        <v/>
      </c>
      <c r="Y345" s="477" t="str">
        <f>IF($X$345="","",$Y$324)</f>
        <v/>
      </c>
      <c r="Z345" s="477" t="str">
        <f>IF($X$345="","",$Z$324)</f>
        <v/>
      </c>
      <c r="AA345" s="477" t="str">
        <f>IF($AC$345="","",ROW($A$345)-ROW($A$324))</f>
        <v/>
      </c>
      <c r="AB345" s="478"/>
      <c r="AC345" s="34"/>
      <c r="AD345" s="356"/>
      <c r="AE345" s="18"/>
      <c r="AF345" s="19"/>
      <c r="AG345" s="480" t="str">
        <f t="shared" si="88"/>
        <v/>
      </c>
      <c r="AH345" s="481" t="str">
        <f t="shared" si="89"/>
        <v/>
      </c>
      <c r="AI345" s="477" t="str">
        <f>IF($AC$345="","",IFERROR(INDEX($AZ$74:$AZ$119,MATCH($AH$345,$AY$74:$AY$119,0)),"AUTRE"))</f>
        <v/>
      </c>
      <c r="AJ345" s="482" t="str">
        <f>IF($AC$345="","",IFERROR(INDEX($BA$74:$BA$119,MATCH($AH$345,$AY$74:$AY$119,0)),1))</f>
        <v/>
      </c>
      <c r="AK345" s="482" t="str">
        <f t="shared" si="90"/>
        <v/>
      </c>
      <c r="AL345" s="477" t="str">
        <f>IF($AC$345="","",IFERROR(INDEX($BB$74:$BB$119,MATCH($AH$345,$AY$74:$AY$119,0)),$AH$345))</f>
        <v/>
      </c>
      <c r="AM345" s="483" t="str">
        <f t="shared" si="91"/>
        <v/>
      </c>
      <c r="AN345" s="484" t="str">
        <f t="shared" si="92"/>
        <v/>
      </c>
      <c r="AO345" s="473" t="str">
        <f t="shared" si="93"/>
        <v/>
      </c>
      <c r="AP345" s="473" t="str">
        <f t="shared" si="94"/>
        <v/>
      </c>
      <c r="AQ345" s="473" t="str">
        <f t="shared" si="95"/>
        <v/>
      </c>
      <c r="AR345" s="473" t="str">
        <f t="shared" si="96"/>
        <v/>
      </c>
      <c r="AS345" s="473" t="str">
        <f t="shared" si="97"/>
        <v/>
      </c>
      <c r="AT345" s="473" t="str">
        <f t="shared" si="98"/>
        <v/>
      </c>
      <c r="AU345" s="473" t="str">
        <f t="shared" si="99"/>
        <v/>
      </c>
      <c r="AZ345" s="497" t="s">
        <v>8145</v>
      </c>
      <c r="BA345" s="34" t="s">
        <v>6131</v>
      </c>
      <c r="BB345" s="499"/>
      <c r="BC345" s="271"/>
      <c r="BD345" s="279">
        <v>1</v>
      </c>
      <c r="BE345" s="271"/>
      <c r="BF345" s="271"/>
      <c r="BG345" s="271"/>
      <c r="BH345" s="271"/>
      <c r="BI345" s="271"/>
      <c r="BJ345" s="271"/>
      <c r="BK345" s="271"/>
      <c r="BL345" s="271"/>
    </row>
    <row r="346" spans="18:64" ht="21" customHeight="1" x14ac:dyDescent="0.25">
      <c r="R346" s="34" t="s">
        <v>6132</v>
      </c>
      <c r="S346" s="451"/>
      <c r="T346" s="32" t="s">
        <v>313</v>
      </c>
      <c r="V346" s="475">
        <v>8</v>
      </c>
      <c r="W346" s="475" t="str">
        <f>IF($AC$346="","",$W$324)</f>
        <v/>
      </c>
      <c r="X346" s="476" t="str">
        <f>IF($AC$346="","",$X$324)</f>
        <v/>
      </c>
      <c r="Y346" s="477" t="str">
        <f>IF($X$346="","",$Y$324)</f>
        <v/>
      </c>
      <c r="Z346" s="477" t="str">
        <f>IF($X$346="","",$Z$324)</f>
        <v/>
      </c>
      <c r="AA346" s="477" t="str">
        <f>IF($AC$346="","",ROW($A$346)-ROW($A$324))</f>
        <v/>
      </c>
      <c r="AB346" s="478"/>
      <c r="AC346" s="34"/>
      <c r="AD346" s="356"/>
      <c r="AE346" s="18"/>
      <c r="AF346" s="19"/>
      <c r="AG346" s="480" t="str">
        <f t="shared" si="88"/>
        <v/>
      </c>
      <c r="AH346" s="481" t="str">
        <f t="shared" si="89"/>
        <v/>
      </c>
      <c r="AI346" s="477" t="str">
        <f>IF($AC$346="","",IFERROR(INDEX($AZ$74:$AZ$119,MATCH($AH$346,$AY$74:$AY$119,0)),"AUTRE"))</f>
        <v/>
      </c>
      <c r="AJ346" s="482" t="str">
        <f>IF($AC$346="","",IFERROR(INDEX($BA$74:$BA$119,MATCH($AH$346,$AY$74:$AY$119,0)),1))</f>
        <v/>
      </c>
      <c r="AK346" s="482" t="str">
        <f t="shared" si="90"/>
        <v/>
      </c>
      <c r="AL346" s="477" t="str">
        <f>IF($AC$346="","",IFERROR(INDEX($BB$74:$BB$119,MATCH($AH$346,$AY$74:$AY$119,0)),$AH$346))</f>
        <v/>
      </c>
      <c r="AM346" s="483" t="str">
        <f t="shared" si="91"/>
        <v/>
      </c>
      <c r="AN346" s="484" t="str">
        <f t="shared" si="92"/>
        <v/>
      </c>
      <c r="AO346" s="473" t="str">
        <f t="shared" si="93"/>
        <v/>
      </c>
      <c r="AP346" s="473" t="str">
        <f t="shared" si="94"/>
        <v/>
      </c>
      <c r="AQ346" s="473" t="str">
        <f t="shared" si="95"/>
        <v/>
      </c>
      <c r="AR346" s="473" t="str">
        <f t="shared" si="96"/>
        <v/>
      </c>
      <c r="AS346" s="473" t="str">
        <f t="shared" si="97"/>
        <v/>
      </c>
      <c r="AT346" s="473" t="str">
        <f t="shared" si="98"/>
        <v/>
      </c>
      <c r="AU346" s="473" t="str">
        <f t="shared" si="99"/>
        <v/>
      </c>
      <c r="AZ346" s="497" t="s">
        <v>462</v>
      </c>
      <c r="BA346" s="34" t="s">
        <v>485</v>
      </c>
      <c r="BB346" s="499"/>
      <c r="BC346" s="271"/>
      <c r="BD346" s="279">
        <v>1</v>
      </c>
      <c r="BE346" s="271"/>
      <c r="BF346" s="271"/>
      <c r="BG346" s="271"/>
      <c r="BH346" s="271"/>
      <c r="BI346" s="271"/>
      <c r="BJ346" s="271"/>
      <c r="BK346" s="271"/>
      <c r="BL346" s="271"/>
    </row>
    <row r="347" spans="18:64" ht="21" customHeight="1" x14ac:dyDescent="0.25">
      <c r="R347" s="25" t="s">
        <v>6133</v>
      </c>
      <c r="S347" s="451"/>
      <c r="T347" s="32" t="s">
        <v>307</v>
      </c>
      <c r="V347" s="475">
        <v>8</v>
      </c>
      <c r="W347" s="475" t="str">
        <f>IF($AC$347="","",$W$324)</f>
        <v/>
      </c>
      <c r="X347" s="476" t="str">
        <f>IF($AC$347="","",$X$324)</f>
        <v/>
      </c>
      <c r="Y347" s="477" t="str">
        <f>IF($X$347="","",$Y$324)</f>
        <v/>
      </c>
      <c r="Z347" s="477" t="str">
        <f>IF($X$347="","",$Z$324)</f>
        <v/>
      </c>
      <c r="AA347" s="477" t="str">
        <f>IF($AC$347="","",ROW($A$347)-ROW($A$324))</f>
        <v/>
      </c>
      <c r="AB347" s="478"/>
      <c r="AC347" s="34"/>
      <c r="AD347" s="356"/>
      <c r="AE347" s="18"/>
      <c r="AF347" s="19"/>
      <c r="AG347" s="480" t="str">
        <f t="shared" si="88"/>
        <v/>
      </c>
      <c r="AH347" s="481" t="str">
        <f t="shared" si="89"/>
        <v/>
      </c>
      <c r="AI347" s="477" t="str">
        <f>IF($AC$347="","",IFERROR(INDEX($AZ$74:$AZ$119,MATCH($AH$347,$AY$74:$AY$119,0)),"AUTRE"))</f>
        <v/>
      </c>
      <c r="AJ347" s="482" t="str">
        <f>IF($AC$347="","",IFERROR(INDEX($BA$74:$BA$119,MATCH($AH$347,$AY$74:$AY$119,0)),1))</f>
        <v/>
      </c>
      <c r="AK347" s="482" t="str">
        <f t="shared" si="90"/>
        <v/>
      </c>
      <c r="AL347" s="477" t="str">
        <f>IF($AC$347="","",IFERROR(INDEX($BB$74:$BB$119,MATCH($AH$347,$AY$74:$AY$119,0)),$AH$347))</f>
        <v/>
      </c>
      <c r="AM347" s="483" t="str">
        <f t="shared" si="91"/>
        <v/>
      </c>
      <c r="AN347" s="484" t="str">
        <f t="shared" si="92"/>
        <v/>
      </c>
      <c r="AO347" s="473" t="str">
        <f t="shared" si="93"/>
        <v/>
      </c>
      <c r="AP347" s="473" t="str">
        <f t="shared" si="94"/>
        <v/>
      </c>
      <c r="AQ347" s="473" t="str">
        <f t="shared" si="95"/>
        <v/>
      </c>
      <c r="AR347" s="473" t="str">
        <f t="shared" si="96"/>
        <v/>
      </c>
      <c r="AS347" s="473" t="str">
        <f t="shared" si="97"/>
        <v/>
      </c>
      <c r="AT347" s="473" t="str">
        <f t="shared" si="98"/>
        <v/>
      </c>
      <c r="AU347" s="473" t="str">
        <f t="shared" si="99"/>
        <v/>
      </c>
      <c r="AZ347" s="497" t="s">
        <v>463</v>
      </c>
      <c r="BA347" s="34" t="s">
        <v>6132</v>
      </c>
      <c r="BB347" s="499"/>
      <c r="BC347" s="271"/>
      <c r="BD347" s="279">
        <v>1</v>
      </c>
      <c r="BE347" s="271"/>
      <c r="BF347" s="271"/>
      <c r="BG347" s="271"/>
      <c r="BH347" s="271"/>
      <c r="BI347" s="271"/>
      <c r="BJ347" s="271"/>
      <c r="BK347" s="271"/>
      <c r="BL347" s="271"/>
    </row>
    <row r="348" spans="18:64" ht="21" customHeight="1" x14ac:dyDescent="0.25">
      <c r="R348" s="34" t="s">
        <v>476</v>
      </c>
      <c r="S348" s="451"/>
      <c r="T348" s="32" t="s">
        <v>322</v>
      </c>
      <c r="V348" s="475">
        <v>8</v>
      </c>
      <c r="W348" s="475" t="str">
        <f>IF($AC$348="","",$W$324)</f>
        <v/>
      </c>
      <c r="X348" s="476" t="str">
        <f>IF($AC$348="","",$X$324)</f>
        <v/>
      </c>
      <c r="Y348" s="477" t="str">
        <f>IF($X$348="","",$Y$324)</f>
        <v/>
      </c>
      <c r="Z348" s="477" t="str">
        <f>IF($X$348="","",$Z$324)</f>
        <v/>
      </c>
      <c r="AA348" s="477" t="str">
        <f>IF($AC$348="","",ROW($A$348)-ROW($A$324))</f>
        <v/>
      </c>
      <c r="AB348" s="478"/>
      <c r="AC348" s="34"/>
      <c r="AD348" s="356"/>
      <c r="AE348" s="18"/>
      <c r="AF348" s="19"/>
      <c r="AG348" s="480" t="str">
        <f t="shared" si="88"/>
        <v/>
      </c>
      <c r="AH348" s="481" t="str">
        <f t="shared" si="89"/>
        <v/>
      </c>
      <c r="AI348" s="477" t="str">
        <f>IF($AC$348="","",IFERROR(INDEX($AZ$74:$AZ$119,MATCH($AH$348,$AY$74:$AY$119,0)),"AUTRE"))</f>
        <v/>
      </c>
      <c r="AJ348" s="482" t="str">
        <f>IF($AC$348="","",IFERROR(INDEX($BA$74:$BA$119,MATCH($AH$348,$AY$74:$AY$119,0)),1))</f>
        <v/>
      </c>
      <c r="AK348" s="482" t="str">
        <f t="shared" si="90"/>
        <v/>
      </c>
      <c r="AL348" s="477" t="str">
        <f>IF($AC$348="","",IFERROR(INDEX($BB$74:$BB$119,MATCH($AH$348,$AY$74:$AY$119,0)),$AH$348))</f>
        <v/>
      </c>
      <c r="AM348" s="483" t="str">
        <f t="shared" si="91"/>
        <v/>
      </c>
      <c r="AN348" s="484" t="str">
        <f t="shared" si="92"/>
        <v/>
      </c>
      <c r="AO348" s="473" t="str">
        <f t="shared" si="93"/>
        <v/>
      </c>
      <c r="AP348" s="473" t="str">
        <f t="shared" si="94"/>
        <v/>
      </c>
      <c r="AQ348" s="473" t="str">
        <f t="shared" si="95"/>
        <v/>
      </c>
      <c r="AR348" s="473" t="str">
        <f t="shared" si="96"/>
        <v/>
      </c>
      <c r="AS348" s="473" t="str">
        <f t="shared" si="97"/>
        <v/>
      </c>
      <c r="AT348" s="473" t="str">
        <f t="shared" si="98"/>
        <v/>
      </c>
      <c r="AU348" s="473" t="str">
        <f t="shared" si="99"/>
        <v/>
      </c>
      <c r="AZ348" s="497" t="s">
        <v>8147</v>
      </c>
      <c r="BA348" s="25" t="s">
        <v>6133</v>
      </c>
      <c r="BB348" s="499"/>
      <c r="BC348" s="271"/>
      <c r="BD348" s="279">
        <v>1</v>
      </c>
      <c r="BE348" s="271"/>
      <c r="BF348" s="271"/>
      <c r="BG348" s="271"/>
      <c r="BH348" s="271"/>
      <c r="BI348" s="271"/>
      <c r="BJ348" s="271"/>
      <c r="BK348" s="271"/>
      <c r="BL348" s="271"/>
    </row>
    <row r="349" spans="18:64" ht="21" customHeight="1" x14ac:dyDescent="0.25">
      <c r="R349" s="34" t="s">
        <v>468</v>
      </c>
      <c r="S349" s="451"/>
      <c r="T349" s="32" t="s">
        <v>305</v>
      </c>
      <c r="V349" s="475">
        <v>8</v>
      </c>
      <c r="W349" s="475" t="str">
        <f>IF($AC$349="","",$W$324)</f>
        <v/>
      </c>
      <c r="X349" s="476" t="str">
        <f>IF($AC$349="","",$X$324)</f>
        <v/>
      </c>
      <c r="Y349" s="477" t="str">
        <f>IF($X$349="","",$Y$324)</f>
        <v/>
      </c>
      <c r="Z349" s="477" t="str">
        <f>IF($X$349="","",$Z$324)</f>
        <v/>
      </c>
      <c r="AA349" s="477" t="str">
        <f>IF($AC$349="","",ROW($A$349)-ROW($A$324))</f>
        <v/>
      </c>
      <c r="AB349" s="478"/>
      <c r="AC349" s="34"/>
      <c r="AD349" s="356"/>
      <c r="AE349" s="18"/>
      <c r="AF349" s="19"/>
      <c r="AG349" s="480" t="str">
        <f t="shared" si="88"/>
        <v/>
      </c>
      <c r="AH349" s="481" t="str">
        <f t="shared" si="89"/>
        <v/>
      </c>
      <c r="AI349" s="477" t="str">
        <f>IF($AC$349="","",IFERROR(INDEX($AZ$74:$AZ$119,MATCH($AH$349,$AY$74:$AY$119,0)),"AUTRE"))</f>
        <v/>
      </c>
      <c r="AJ349" s="482" t="str">
        <f>IF($AC$349="","",IFERROR(INDEX($BA$74:$BA$119,MATCH($AH$349,$AY$74:$AY$119,0)),1))</f>
        <v/>
      </c>
      <c r="AK349" s="482" t="str">
        <f t="shared" si="90"/>
        <v/>
      </c>
      <c r="AL349" s="477" t="str">
        <f>IF($AC$349="","",IFERROR(INDEX($BB$74:$BB$119,MATCH($AH$349,$AY$74:$AY$119,0)),$AH$349))</f>
        <v/>
      </c>
      <c r="AM349" s="483" t="str">
        <f t="shared" si="91"/>
        <v/>
      </c>
      <c r="AN349" s="484" t="str">
        <f t="shared" si="92"/>
        <v/>
      </c>
      <c r="AO349" s="473" t="str">
        <f t="shared" si="93"/>
        <v/>
      </c>
      <c r="AP349" s="473" t="str">
        <f t="shared" si="94"/>
        <v/>
      </c>
      <c r="AQ349" s="473" t="str">
        <f t="shared" si="95"/>
        <v/>
      </c>
      <c r="AR349" s="473" t="str">
        <f t="shared" si="96"/>
        <v/>
      </c>
      <c r="AS349" s="473" t="str">
        <f t="shared" si="97"/>
        <v/>
      </c>
      <c r="AT349" s="473" t="str">
        <f t="shared" si="98"/>
        <v/>
      </c>
      <c r="AU349" s="473" t="str">
        <f t="shared" si="99"/>
        <v/>
      </c>
      <c r="AZ349" s="497" t="s">
        <v>465</v>
      </c>
      <c r="BA349" s="34" t="s">
        <v>476</v>
      </c>
      <c r="BB349" s="499"/>
      <c r="BC349" s="271"/>
      <c r="BD349" s="279">
        <v>1</v>
      </c>
      <c r="BE349" s="271"/>
      <c r="BF349" s="271"/>
      <c r="BG349" s="271"/>
      <c r="BH349" s="271"/>
      <c r="BI349" s="271"/>
      <c r="BJ349" s="271"/>
      <c r="BK349" s="271"/>
      <c r="BL349" s="271"/>
    </row>
    <row r="350" spans="18:64" ht="21" customHeight="1" x14ac:dyDescent="0.25">
      <c r="R350" s="34" t="s">
        <v>473</v>
      </c>
      <c r="S350" s="451"/>
      <c r="T350" s="32" t="s">
        <v>309</v>
      </c>
      <c r="V350" s="475">
        <v>8</v>
      </c>
      <c r="W350" s="475" t="str">
        <f>IF($AC$350="","",$W$324)</f>
        <v/>
      </c>
      <c r="X350" s="476" t="str">
        <f>IF($AC$350="","",$X$324)</f>
        <v/>
      </c>
      <c r="Y350" s="477" t="str">
        <f>IF($X$350="","",$Y$324)</f>
        <v/>
      </c>
      <c r="Z350" s="477" t="str">
        <f>IF($X$350="","",$Z$324)</f>
        <v/>
      </c>
      <c r="AA350" s="477" t="str">
        <f>IF($AC$350="","",ROW($A$350)-ROW($A$324))</f>
        <v/>
      </c>
      <c r="AB350" s="478"/>
      <c r="AC350" s="34"/>
      <c r="AD350" s="356"/>
      <c r="AE350" s="18"/>
      <c r="AF350" s="19"/>
      <c r="AG350" s="480" t="str">
        <f t="shared" si="88"/>
        <v/>
      </c>
      <c r="AH350" s="481" t="str">
        <f t="shared" si="89"/>
        <v/>
      </c>
      <c r="AI350" s="477" t="str">
        <f>IF($AC$350="","",IFERROR(INDEX($AZ$74:$AZ$119,MATCH($AH$350,$AY$74:$AY$119,0)),"AUTRE"))</f>
        <v/>
      </c>
      <c r="AJ350" s="482" t="str">
        <f>IF($AC$350="","",IFERROR(INDEX($BA$74:$BA$119,MATCH($AH$350,$AY$74:$AY$119,0)),1))</f>
        <v/>
      </c>
      <c r="AK350" s="482" t="str">
        <f t="shared" si="90"/>
        <v/>
      </c>
      <c r="AL350" s="477" t="str">
        <f>IF($AC$350="","",IFERROR(INDEX($BB$74:$BB$119,MATCH($AH$350,$AY$74:$AY$119,0)),$AH$350))</f>
        <v/>
      </c>
      <c r="AM350" s="483" t="str">
        <f t="shared" si="91"/>
        <v/>
      </c>
      <c r="AN350" s="484" t="str">
        <f t="shared" si="92"/>
        <v/>
      </c>
      <c r="AO350" s="473" t="str">
        <f t="shared" si="93"/>
        <v/>
      </c>
      <c r="AP350" s="473" t="str">
        <f t="shared" si="94"/>
        <v/>
      </c>
      <c r="AQ350" s="473" t="str">
        <f t="shared" si="95"/>
        <v/>
      </c>
      <c r="AR350" s="473" t="str">
        <f t="shared" si="96"/>
        <v/>
      </c>
      <c r="AS350" s="473" t="str">
        <f t="shared" si="97"/>
        <v/>
      </c>
      <c r="AT350" s="473" t="str">
        <f t="shared" si="98"/>
        <v/>
      </c>
      <c r="AU350" s="473" t="str">
        <f t="shared" si="99"/>
        <v/>
      </c>
      <c r="AZ350" s="497" t="s">
        <v>466</v>
      </c>
      <c r="BA350" s="34" t="s">
        <v>468</v>
      </c>
      <c r="BB350" s="499"/>
      <c r="BC350" s="271"/>
      <c r="BD350" s="279">
        <v>1</v>
      </c>
      <c r="BE350" s="271"/>
      <c r="BF350" s="271"/>
      <c r="BG350" s="271"/>
      <c r="BH350" s="271"/>
      <c r="BI350" s="271"/>
      <c r="BJ350" s="271"/>
      <c r="BK350" s="271"/>
      <c r="BL350" s="271"/>
    </row>
    <row r="351" spans="18:64" ht="21" customHeight="1" x14ac:dyDescent="0.25">
      <c r="R351" s="34" t="s">
        <v>497</v>
      </c>
      <c r="S351" s="451"/>
      <c r="T351" s="32" t="s">
        <v>311</v>
      </c>
      <c r="V351" s="475">
        <v>8</v>
      </c>
      <c r="W351" s="475" t="str">
        <f>IF($AC$351="","",$W$324)</f>
        <v/>
      </c>
      <c r="X351" s="476" t="str">
        <f>IF($AC$351="","",$X$324)</f>
        <v/>
      </c>
      <c r="Y351" s="477" t="str">
        <f>IF($X$351="","",$Y$324)</f>
        <v/>
      </c>
      <c r="Z351" s="477" t="str">
        <f>IF($X$351="","",$Z$324)</f>
        <v/>
      </c>
      <c r="AA351" s="477" t="str">
        <f>IF($AC$351="","",ROW($A$351)-ROW($A$324))</f>
        <v/>
      </c>
      <c r="AB351" s="478"/>
      <c r="AC351" s="34"/>
      <c r="AD351" s="356"/>
      <c r="AE351" s="18"/>
      <c r="AF351" s="19"/>
      <c r="AG351" s="480" t="str">
        <f t="shared" si="88"/>
        <v/>
      </c>
      <c r="AH351" s="481" t="str">
        <f t="shared" si="89"/>
        <v/>
      </c>
      <c r="AI351" s="477" t="str">
        <f>IF($AC$351="","",IFERROR(INDEX($AZ$74:$AZ$119,MATCH($AH$351,$AY$74:$AY$119,0)),"AUTRE"))</f>
        <v/>
      </c>
      <c r="AJ351" s="482" t="str">
        <f>IF($AC$351="","",IFERROR(INDEX($BA$74:$BA$119,MATCH($AH$351,$AY$74:$AY$119,0)),1))</f>
        <v/>
      </c>
      <c r="AK351" s="482" t="str">
        <f t="shared" si="90"/>
        <v/>
      </c>
      <c r="AL351" s="477" t="str">
        <f>IF($AC$351="","",IFERROR(INDEX($BB$74:$BB$119,MATCH($AH$351,$AY$74:$AY$119,0)),$AH$351))</f>
        <v/>
      </c>
      <c r="AM351" s="483" t="str">
        <f t="shared" si="91"/>
        <v/>
      </c>
      <c r="AN351" s="484" t="str">
        <f t="shared" si="92"/>
        <v/>
      </c>
      <c r="AO351" s="473" t="str">
        <f t="shared" si="93"/>
        <v/>
      </c>
      <c r="AP351" s="473" t="str">
        <f t="shared" si="94"/>
        <v/>
      </c>
      <c r="AQ351" s="473" t="str">
        <f t="shared" si="95"/>
        <v/>
      </c>
      <c r="AR351" s="473" t="str">
        <f t="shared" si="96"/>
        <v/>
      </c>
      <c r="AS351" s="473" t="str">
        <f t="shared" si="97"/>
        <v/>
      </c>
      <c r="AT351" s="473" t="str">
        <f t="shared" si="98"/>
        <v/>
      </c>
      <c r="AU351" s="473" t="str">
        <f t="shared" si="99"/>
        <v/>
      </c>
      <c r="AZ351" s="14" t="s">
        <v>7</v>
      </c>
      <c r="BA351" s="34" t="s">
        <v>473</v>
      </c>
      <c r="BB351" s="499"/>
      <c r="BC351" s="271"/>
      <c r="BD351" s="279">
        <v>1</v>
      </c>
      <c r="BE351" s="271"/>
      <c r="BF351" s="271"/>
      <c r="BG351" s="271"/>
      <c r="BH351" s="271"/>
      <c r="BI351" s="271"/>
      <c r="BJ351" s="271"/>
      <c r="BK351" s="271"/>
      <c r="BL351" s="271"/>
    </row>
    <row r="352" spans="18:64" ht="21" customHeight="1" x14ac:dyDescent="0.25">
      <c r="R352" s="34" t="s">
        <v>470</v>
      </c>
      <c r="S352" s="451"/>
      <c r="T352" s="32" t="s">
        <v>8135</v>
      </c>
      <c r="V352" s="475">
        <v>8</v>
      </c>
      <c r="W352" s="475" t="str">
        <f>IF($AC$352="","",$W$324)</f>
        <v/>
      </c>
      <c r="X352" s="476" t="str">
        <f>IF($AC$352="","",$X$324)</f>
        <v/>
      </c>
      <c r="Y352" s="477" t="str">
        <f>IF($X$352="","",$Y$324)</f>
        <v/>
      </c>
      <c r="Z352" s="477" t="str">
        <f>IF($X$352="","",$Z$324)</f>
        <v/>
      </c>
      <c r="AA352" s="477" t="str">
        <f>IF($AC$352="","",ROW($A$352)-ROW($A$324))</f>
        <v/>
      </c>
      <c r="AB352" s="478"/>
      <c r="AC352" s="34"/>
      <c r="AD352" s="356"/>
      <c r="AE352" s="18"/>
      <c r="AF352" s="19"/>
      <c r="AG352" s="480" t="str">
        <f t="shared" si="88"/>
        <v/>
      </c>
      <c r="AH352" s="481" t="str">
        <f t="shared" si="89"/>
        <v/>
      </c>
      <c r="AI352" s="477" t="str">
        <f>IF($AC$352="","",IFERROR(INDEX($AZ$74:$AZ$119,MATCH($AH$352,$AY$74:$AY$119,0)),"AUTRE"))</f>
        <v/>
      </c>
      <c r="AJ352" s="482" t="str">
        <f>IF($AC$352="","",IFERROR(INDEX($BA$74:$BA$119,MATCH($AH$352,$AY$74:$AY$119,0)),1))</f>
        <v/>
      </c>
      <c r="AK352" s="482" t="str">
        <f t="shared" si="90"/>
        <v/>
      </c>
      <c r="AL352" s="477" t="str">
        <f>IF($AC$352="","",IFERROR(INDEX($BB$74:$BB$119,MATCH($AH$352,$AY$74:$AY$119,0)),$AH$352))</f>
        <v/>
      </c>
      <c r="AM352" s="483" t="str">
        <f t="shared" si="91"/>
        <v/>
      </c>
      <c r="AN352" s="484" t="str">
        <f t="shared" si="92"/>
        <v/>
      </c>
      <c r="AO352" s="473" t="str">
        <f t="shared" si="93"/>
        <v/>
      </c>
      <c r="AP352" s="473" t="str">
        <f t="shared" si="94"/>
        <v/>
      </c>
      <c r="AQ352" s="473" t="str">
        <f t="shared" si="95"/>
        <v/>
      </c>
      <c r="AR352" s="473" t="str">
        <f t="shared" si="96"/>
        <v/>
      </c>
      <c r="AS352" s="473" t="str">
        <f t="shared" si="97"/>
        <v/>
      </c>
      <c r="AT352" s="473" t="str">
        <f t="shared" si="98"/>
        <v/>
      </c>
      <c r="AU352" s="473" t="str">
        <f t="shared" si="99"/>
        <v/>
      </c>
      <c r="AY352" s="271"/>
      <c r="AZ352" s="27" t="s">
        <v>8</v>
      </c>
      <c r="BA352" s="34" t="s">
        <v>497</v>
      </c>
      <c r="BB352" s="499"/>
      <c r="BC352" s="271"/>
      <c r="BD352" s="279">
        <v>1</v>
      </c>
      <c r="BE352" s="271"/>
      <c r="BF352" s="271"/>
      <c r="BG352" s="271"/>
      <c r="BH352" s="271"/>
      <c r="BI352" s="271"/>
      <c r="BJ352" s="271"/>
      <c r="BK352" s="271"/>
      <c r="BL352" s="271"/>
    </row>
    <row r="353" spans="18:64" ht="21" customHeight="1" x14ac:dyDescent="0.25">
      <c r="R353" s="34" t="s">
        <v>477</v>
      </c>
      <c r="S353" s="451"/>
      <c r="T353" s="497" t="s">
        <v>462</v>
      </c>
      <c r="V353" s="475">
        <v>8</v>
      </c>
      <c r="W353" s="475" t="str">
        <f>IF($AC$353="","",$W$324)</f>
        <v/>
      </c>
      <c r="X353" s="476" t="str">
        <f>IF($AC$353="","",$X$324)</f>
        <v/>
      </c>
      <c r="Y353" s="477" t="str">
        <f>IF($X$353="","",$Y$324)</f>
        <v/>
      </c>
      <c r="Z353" s="477" t="str">
        <f>IF($X$353="","",$Z$324)</f>
        <v/>
      </c>
      <c r="AA353" s="477" t="str">
        <f>IF($AC$353="","",ROW($A$353)-ROW($A$324))</f>
        <v/>
      </c>
      <c r="AB353" s="478"/>
      <c r="AC353" s="34"/>
      <c r="AD353" s="356"/>
      <c r="AE353" s="18"/>
      <c r="AF353" s="19"/>
      <c r="AG353" s="480" t="str">
        <f t="shared" si="88"/>
        <v/>
      </c>
      <c r="AH353" s="481" t="str">
        <f t="shared" si="89"/>
        <v/>
      </c>
      <c r="AI353" s="477" t="str">
        <f>IF($AC$353="","",IFERROR(INDEX($AZ$74:$AZ$119,MATCH($AH$353,$AY$74:$AY$119,0)),"AUTRE"))</f>
        <v/>
      </c>
      <c r="AJ353" s="482" t="str">
        <f>IF($AC$353="","",IFERROR(INDEX($BA$74:$BA$119,MATCH($AH$353,$AY$74:$AY$119,0)),1))</f>
        <v/>
      </c>
      <c r="AK353" s="482" t="str">
        <f t="shared" si="90"/>
        <v/>
      </c>
      <c r="AL353" s="477" t="str">
        <f>IF($AC$353="","",IFERROR(INDEX($BB$74:$BB$119,MATCH($AH$353,$AY$74:$AY$119,0)),$AH$353))</f>
        <v/>
      </c>
      <c r="AM353" s="483" t="str">
        <f t="shared" si="91"/>
        <v/>
      </c>
      <c r="AN353" s="484" t="str">
        <f t="shared" si="92"/>
        <v/>
      </c>
      <c r="AO353" s="473" t="str">
        <f t="shared" si="93"/>
        <v/>
      </c>
      <c r="AP353" s="473" t="str">
        <f t="shared" si="94"/>
        <v/>
      </c>
      <c r="AQ353" s="473" t="str">
        <f t="shared" si="95"/>
        <v/>
      </c>
      <c r="AR353" s="473" t="str">
        <f t="shared" si="96"/>
        <v/>
      </c>
      <c r="AS353" s="473" t="str">
        <f t="shared" si="97"/>
        <v/>
      </c>
      <c r="AT353" s="473" t="str">
        <f t="shared" si="98"/>
        <v/>
      </c>
      <c r="AU353" s="473" t="str">
        <f t="shared" si="99"/>
        <v/>
      </c>
      <c r="AY353" s="497" t="s">
        <v>8145</v>
      </c>
      <c r="AZ353" s="28" t="s">
        <v>13</v>
      </c>
      <c r="BA353" s="34" t="s">
        <v>470</v>
      </c>
      <c r="BB353" s="499"/>
      <c r="BC353" s="271"/>
      <c r="BD353" s="279">
        <v>1</v>
      </c>
      <c r="BE353" s="271"/>
      <c r="BF353" s="271"/>
      <c r="BG353" s="271"/>
      <c r="BH353" s="271"/>
      <c r="BI353" s="271"/>
      <c r="BJ353" s="271"/>
      <c r="BK353" s="271"/>
      <c r="BL353" s="271"/>
    </row>
    <row r="354" spans="18:64" ht="21" customHeight="1" x14ac:dyDescent="0.25">
      <c r="S354" s="451"/>
      <c r="T354" s="497" t="s">
        <v>463</v>
      </c>
      <c r="V354" s="475">
        <v>8</v>
      </c>
      <c r="W354" s="475" t="str">
        <f>IF($AC$354="","",$W$324)</f>
        <v/>
      </c>
      <c r="X354" s="476" t="str">
        <f>IF($AC$354="","",$X$324)</f>
        <v/>
      </c>
      <c r="Y354" s="477" t="str">
        <f>IF($X$354="","",$Y$324)</f>
        <v/>
      </c>
      <c r="Z354" s="477" t="str">
        <f>IF($X$354="","",$Z$324)</f>
        <v/>
      </c>
      <c r="AA354" s="477" t="str">
        <f>IF($AC$354="","",ROW($A$354)-ROW($A$324))</f>
        <v/>
      </c>
      <c r="AB354" s="478"/>
      <c r="AC354" s="34"/>
      <c r="AD354" s="356"/>
      <c r="AE354" s="18"/>
      <c r="AF354" s="19"/>
      <c r="AG354" s="480" t="str">
        <f t="shared" si="88"/>
        <v/>
      </c>
      <c r="AH354" s="481" t="str">
        <f t="shared" si="89"/>
        <v/>
      </c>
      <c r="AI354" s="477" t="str">
        <f>IF($AC$354="","",IFERROR(INDEX($AZ$74:$AZ$119,MATCH($AH$354,$AY$74:$AY$119,0)),"AUTRE"))</f>
        <v/>
      </c>
      <c r="AJ354" s="482" t="str">
        <f>IF($AC$354="","",IFERROR(INDEX($BA$74:$BA$119,MATCH($AH$354,$AY$74:$AY$119,0)),1))</f>
        <v/>
      </c>
      <c r="AK354" s="482" t="str">
        <f t="shared" si="90"/>
        <v/>
      </c>
      <c r="AL354" s="477" t="str">
        <f>IF($AC$354="","",IFERROR(INDEX($BB$74:$BB$119,MATCH($AH$354,$AY$74:$AY$119,0)),$AH$354))</f>
        <v/>
      </c>
      <c r="AM354" s="483" t="str">
        <f t="shared" si="91"/>
        <v/>
      </c>
      <c r="AN354" s="484" t="str">
        <f t="shared" si="92"/>
        <v/>
      </c>
      <c r="AO354" s="473" t="str">
        <f t="shared" si="93"/>
        <v/>
      </c>
      <c r="AP354" s="473" t="str">
        <f t="shared" si="94"/>
        <v/>
      </c>
      <c r="AQ354" s="473" t="str">
        <f t="shared" si="95"/>
        <v/>
      </c>
      <c r="AR354" s="473" t="str">
        <f t="shared" si="96"/>
        <v/>
      </c>
      <c r="AS354" s="473" t="str">
        <f t="shared" si="97"/>
        <v/>
      </c>
      <c r="AT354" s="473" t="str">
        <f t="shared" si="98"/>
        <v/>
      </c>
      <c r="AU354" s="473" t="str">
        <f t="shared" si="99"/>
        <v/>
      </c>
      <c r="AY354" s="497" t="s">
        <v>462</v>
      </c>
      <c r="AZ354" s="28" t="s">
        <v>14</v>
      </c>
      <c r="BA354" s="34" t="s">
        <v>477</v>
      </c>
      <c r="BB354" s="499"/>
      <c r="BC354" s="271"/>
      <c r="BD354" s="279">
        <v>1</v>
      </c>
      <c r="BE354" s="271"/>
      <c r="BF354" s="271"/>
      <c r="BG354" s="271"/>
      <c r="BH354" s="271"/>
      <c r="BI354" s="271"/>
      <c r="BJ354" s="271"/>
      <c r="BK354" s="271"/>
      <c r="BL354" s="271"/>
    </row>
    <row r="355" spans="18:64" ht="21" customHeight="1" x14ac:dyDescent="0.25">
      <c r="R355" s="25" t="s">
        <v>6134</v>
      </c>
      <c r="S355" s="451"/>
      <c r="T355" s="497" t="s">
        <v>8147</v>
      </c>
      <c r="V355" s="475">
        <v>8</v>
      </c>
      <c r="W355" s="475" t="str">
        <f>IF($AC$355="","",$W$324)</f>
        <v>N° 52</v>
      </c>
      <c r="X355" s="476" t="str">
        <f>IF($AC$355="","",$X$324)</f>
        <v>TOMATES FARCIES AUX ŒUFS AU PESTO*</v>
      </c>
      <c r="Y355" s="477">
        <f>IF($X$355="","",$Y$324)</f>
        <v>0</v>
      </c>
      <c r="Z355" s="477">
        <f>IF($X$355="","",$Z$324)</f>
        <v>100</v>
      </c>
      <c r="AA355" s="477">
        <f>IF($AC$355="","",ROW($A$355)-ROW($A$324))</f>
        <v>31</v>
      </c>
      <c r="AB355" s="478"/>
      <c r="AC355" s="34" t="s">
        <v>472</v>
      </c>
      <c r="AD355" s="356"/>
      <c r="AE355" s="18">
        <v>1</v>
      </c>
      <c r="AF355" s="33" t="s">
        <v>462</v>
      </c>
      <c r="AG355" s="480">
        <f t="shared" si="88"/>
        <v>1</v>
      </c>
      <c r="AH355" s="481" t="str">
        <f t="shared" si="89"/>
        <v>BAC(S)</v>
      </c>
      <c r="AI355" s="477" t="str">
        <f>IF($AC$355="","",IFERROR(INDEX($AZ$74:$AZ$119,MATCH($AH$355,$AY$74:$AY$119,0)),"AUTRE"))</f>
        <v>AUTRE</v>
      </c>
      <c r="AJ355" s="482">
        <f>IF($AC$355="","",IFERROR(INDEX($BA$74:$BA$119,MATCH($AH$355,$AY$74:$AY$119,0)),1))</f>
        <v>1</v>
      </c>
      <c r="AK355" s="482">
        <f t="shared" si="90"/>
        <v>1</v>
      </c>
      <c r="AL355" s="477" t="str">
        <f>IF($AC$355="","",IFERROR(INDEX($BB$74:$BB$119,MATCH($AH$355,$AY$74:$AY$119,0)),$AH$355))</f>
        <v>bac(s)</v>
      </c>
      <c r="AM355" s="483" t="str">
        <f t="shared" si="91"/>
        <v>OK</v>
      </c>
      <c r="AN355" s="484">
        <f t="shared" si="92"/>
        <v>1</v>
      </c>
      <c r="AO355" s="473" t="str">
        <f t="shared" si="93"/>
        <v/>
      </c>
      <c r="AP355" s="473" t="str">
        <f t="shared" si="94"/>
        <v/>
      </c>
      <c r="AQ355" s="473" t="str">
        <f t="shared" si="95"/>
        <v/>
      </c>
      <c r="AR355" s="473" t="str">
        <f t="shared" si="96"/>
        <v/>
      </c>
      <c r="AS355" s="473" t="str">
        <f t="shared" si="97"/>
        <v/>
      </c>
      <c r="AT355" s="473" t="str">
        <f t="shared" si="98"/>
        <v/>
      </c>
      <c r="AU355" s="473" t="str">
        <f t="shared" si="99"/>
        <v/>
      </c>
      <c r="AY355" s="497" t="s">
        <v>463</v>
      </c>
      <c r="AZ355" s="28" t="s">
        <v>15</v>
      </c>
      <c r="BB355" s="499"/>
      <c r="BC355" s="271"/>
      <c r="BD355" s="279">
        <v>1</v>
      </c>
      <c r="BE355" s="271"/>
      <c r="BF355" s="271"/>
      <c r="BG355" s="271"/>
      <c r="BH355" s="271"/>
      <c r="BI355" s="271"/>
      <c r="BJ355" s="271"/>
      <c r="BK355" s="271"/>
      <c r="BL355" s="271"/>
    </row>
    <row r="356" spans="18:64" ht="21" customHeight="1" x14ac:dyDescent="0.25">
      <c r="R356" s="34" t="s">
        <v>481</v>
      </c>
      <c r="S356" s="451"/>
      <c r="T356" s="497" t="s">
        <v>465</v>
      </c>
      <c r="V356" s="475">
        <v>8</v>
      </c>
      <c r="W356" s="475" t="str">
        <f>IF($AC$356="","",$W$324)</f>
        <v>N° 52</v>
      </c>
      <c r="X356" s="476" t="str">
        <f>IF($AC$356="","",$X$324)</f>
        <v>TOMATES FARCIES AUX ŒUFS AU PESTO*</v>
      </c>
      <c r="Y356" s="477">
        <f>IF($X$356="","",$Y$324)</f>
        <v>0</v>
      </c>
      <c r="Z356" s="477">
        <f>IF($X$356="","",$Z$324)</f>
        <v>100</v>
      </c>
      <c r="AA356" s="477">
        <f>IF($AC$356="","",ROW($A$356)-ROW($A$324))</f>
        <v>32</v>
      </c>
      <c r="AB356" s="478"/>
      <c r="AC356" s="34" t="s">
        <v>483</v>
      </c>
      <c r="AD356" s="356"/>
      <c r="AE356" s="18">
        <v>1</v>
      </c>
      <c r="AF356" s="33" t="s">
        <v>465</v>
      </c>
      <c r="AG356" s="480">
        <f t="shared" si="88"/>
        <v>1</v>
      </c>
      <c r="AH356" s="481" t="str">
        <f t="shared" si="89"/>
        <v>GRILLE(S)</v>
      </c>
      <c r="AI356" s="477" t="str">
        <f>IF($AC$356="","",IFERROR(INDEX($AZ$74:$AZ$119,MATCH($AH$356,$AY$74:$AY$119,0)),"AUTRE"))</f>
        <v>AUTRE</v>
      </c>
      <c r="AJ356" s="482">
        <f>IF($AC$356="","",IFERROR(INDEX($BA$74:$BA$119,MATCH($AH$356,$AY$74:$AY$119,0)),1))</f>
        <v>1</v>
      </c>
      <c r="AK356" s="482">
        <f t="shared" si="90"/>
        <v>1</v>
      </c>
      <c r="AL356" s="477" t="str">
        <f>IF($AC$356="","",IFERROR(INDEX($BB$74:$BB$119,MATCH($AH$356,$AY$74:$AY$119,0)),$AH$356))</f>
        <v>grille(s)</v>
      </c>
      <c r="AM356" s="483" t="str">
        <f t="shared" si="91"/>
        <v>OK</v>
      </c>
      <c r="AN356" s="484">
        <f t="shared" si="92"/>
        <v>1</v>
      </c>
      <c r="AO356" s="473" t="str">
        <f t="shared" si="93"/>
        <v/>
      </c>
      <c r="AP356" s="473" t="str">
        <f t="shared" si="94"/>
        <v/>
      </c>
      <c r="AQ356" s="473" t="str">
        <f t="shared" si="95"/>
        <v/>
      </c>
      <c r="AR356" s="473" t="str">
        <f t="shared" si="96"/>
        <v/>
      </c>
      <c r="AS356" s="473" t="str">
        <f t="shared" si="97"/>
        <v/>
      </c>
      <c r="AT356" s="473" t="str">
        <f t="shared" si="98"/>
        <v/>
      </c>
      <c r="AU356" s="473" t="str">
        <f t="shared" si="99"/>
        <v/>
      </c>
      <c r="AY356" s="497" t="s">
        <v>8147</v>
      </c>
      <c r="AZ356" s="29" t="s">
        <v>9</v>
      </c>
      <c r="BA356" s="25" t="s">
        <v>6134</v>
      </c>
      <c r="BB356" s="499"/>
      <c r="BC356" s="271"/>
      <c r="BD356" s="279">
        <v>1</v>
      </c>
      <c r="BE356" s="271"/>
      <c r="BF356" s="271"/>
      <c r="BG356" s="271"/>
      <c r="BH356" s="271"/>
      <c r="BI356" s="271"/>
      <c r="BJ356" s="271"/>
      <c r="BK356" s="271"/>
      <c r="BL356" s="271"/>
    </row>
    <row r="357" spans="18:64" ht="21" customHeight="1" x14ac:dyDescent="0.25">
      <c r="R357" s="34" t="s">
        <v>475</v>
      </c>
      <c r="S357" s="451"/>
      <c r="T357" s="497" t="s">
        <v>466</v>
      </c>
      <c r="V357" s="475">
        <v>8</v>
      </c>
      <c r="W357" s="475" t="str">
        <f>IF($AC$357="","",$W$324)</f>
        <v>N° 52</v>
      </c>
      <c r="X357" s="476" t="str">
        <f>IF($AC$357="","",$X$324)</f>
        <v>TOMATES FARCIES AUX ŒUFS AU PESTO*</v>
      </c>
      <c r="Y357" s="477">
        <f>IF($X$357="","",$Y$324)</f>
        <v>0</v>
      </c>
      <c r="Z357" s="477">
        <f>IF($X$357="","",$Z$324)</f>
        <v>100</v>
      </c>
      <c r="AA357" s="477">
        <f>IF($AC$357="","",ROW($A$357)-ROW($A$324))</f>
        <v>33</v>
      </c>
      <c r="AB357" s="478"/>
      <c r="AC357" s="34" t="s">
        <v>475</v>
      </c>
      <c r="AD357" s="356"/>
      <c r="AE357" s="18">
        <v>1</v>
      </c>
      <c r="AF357" s="33" t="s">
        <v>463</v>
      </c>
      <c r="AG357" s="480">
        <f t="shared" si="88"/>
        <v>1</v>
      </c>
      <c r="AH357" s="481" t="str">
        <f t="shared" si="89"/>
        <v>COUVERCLE(S)</v>
      </c>
      <c r="AI357" s="477" t="str">
        <f>IF($AC$357="","",IFERROR(INDEX($AZ$74:$AZ$119,MATCH($AH$357,$AY$74:$AY$119,0)),"AUTRE"))</f>
        <v>AUTRE</v>
      </c>
      <c r="AJ357" s="482">
        <f>IF($AC$357="","",IFERROR(INDEX($BA$74:$BA$119,MATCH($AH$357,$AY$74:$AY$119,0)),1))</f>
        <v>1</v>
      </c>
      <c r="AK357" s="482">
        <f t="shared" si="90"/>
        <v>1</v>
      </c>
      <c r="AL357" s="477" t="str">
        <f>IF($AC$357="","",IFERROR(INDEX($BB$74:$BB$119,MATCH($AH$357,$AY$74:$AY$119,0)),$AH$357))</f>
        <v>couvercle(s)</v>
      </c>
      <c r="AM357" s="483" t="str">
        <f t="shared" si="91"/>
        <v>OK</v>
      </c>
      <c r="AN357" s="484">
        <f t="shared" si="92"/>
        <v>1</v>
      </c>
      <c r="AO357" s="473" t="str">
        <f t="shared" si="93"/>
        <v/>
      </c>
      <c r="AP357" s="473" t="str">
        <f t="shared" si="94"/>
        <v/>
      </c>
      <c r="AQ357" s="473" t="str">
        <f t="shared" si="95"/>
        <v/>
      </c>
      <c r="AR357" s="473" t="str">
        <f t="shared" si="96"/>
        <v/>
      </c>
      <c r="AS357" s="473" t="str">
        <f t="shared" si="97"/>
        <v/>
      </c>
      <c r="AT357" s="473" t="str">
        <f t="shared" si="98"/>
        <v/>
      </c>
      <c r="AU357" s="473" t="str">
        <f t="shared" si="99"/>
        <v/>
      </c>
      <c r="AY357" s="497" t="s">
        <v>465</v>
      </c>
      <c r="AZ357" s="30" t="s">
        <v>10</v>
      </c>
      <c r="BA357" s="34" t="s">
        <v>481</v>
      </c>
      <c r="BB357" s="499"/>
      <c r="BC357" s="271"/>
      <c r="BD357" s="279">
        <v>1</v>
      </c>
      <c r="BE357" s="271"/>
      <c r="BF357" s="271"/>
      <c r="BG357" s="271"/>
      <c r="BH357" s="271"/>
      <c r="BI357" s="271"/>
      <c r="BJ357" s="271"/>
      <c r="BK357" s="271"/>
      <c r="BL357" s="271"/>
    </row>
    <row r="358" spans="18:64" ht="21" customHeight="1" x14ac:dyDescent="0.25">
      <c r="R358" s="34" t="s">
        <v>457</v>
      </c>
      <c r="S358" s="451"/>
      <c r="T358" s="440" t="s">
        <v>8110</v>
      </c>
      <c r="V358" s="475">
        <v>8</v>
      </c>
      <c r="W358" s="475" t="str">
        <f>IF($AC$358="","",$W$324)</f>
        <v>N° 52</v>
      </c>
      <c r="X358" s="476" t="str">
        <f>IF($AC$358="","",$X$324)</f>
        <v>TOMATES FARCIES AUX ŒUFS AU PESTO*</v>
      </c>
      <c r="Y358" s="477">
        <f>IF($X$358="","",$Y$324)</f>
        <v>0</v>
      </c>
      <c r="Z358" s="477">
        <f>IF($X$358="","",$Z$324)</f>
        <v>100</v>
      </c>
      <c r="AA358" s="477">
        <f>IF($AC$358="","",ROW($A$358)-ROW($A$324))</f>
        <v>34</v>
      </c>
      <c r="AB358" s="478"/>
      <c r="AC358" s="34" t="s">
        <v>486</v>
      </c>
      <c r="AD358" s="356"/>
      <c r="AE358" s="18">
        <v>7</v>
      </c>
      <c r="AF358" s="33" t="s">
        <v>462</v>
      </c>
      <c r="AG358" s="491">
        <f t="shared" si="88"/>
        <v>7</v>
      </c>
      <c r="AH358" s="481" t="str">
        <f t="shared" si="89"/>
        <v>BAC(S)</v>
      </c>
      <c r="AI358" s="477" t="str">
        <f>IF($AC$358="","",IFERROR(INDEX($AZ$74:$AZ$119,MATCH($AH$358,$AY$74:$AY$119,0)),"AUTRE"))</f>
        <v>AUTRE</v>
      </c>
      <c r="AJ358" s="482">
        <f>IF($AC$358="","",IFERROR(INDEX($BA$74:$BA$119,MATCH($AH$358,$AY$74:$AY$119,0)),1))</f>
        <v>1</v>
      </c>
      <c r="AK358" s="482">
        <f t="shared" si="90"/>
        <v>7</v>
      </c>
      <c r="AL358" s="477" t="str">
        <f>IF($AC$358="","",IFERROR(INDEX($BB$74:$BB$119,MATCH($AH$358,$AY$74:$AY$119,0)),$AH$358))</f>
        <v>bac(s)</v>
      </c>
      <c r="AM358" s="483" t="str">
        <f t="shared" si="91"/>
        <v>OK</v>
      </c>
      <c r="AN358" s="484">
        <f t="shared" si="92"/>
        <v>7</v>
      </c>
      <c r="AO358" s="473" t="str">
        <f t="shared" si="93"/>
        <v/>
      </c>
      <c r="AP358" s="473" t="str">
        <f t="shared" si="94"/>
        <v/>
      </c>
      <c r="AQ358" s="473" t="str">
        <f t="shared" si="95"/>
        <v/>
      </c>
      <c r="AR358" s="473" t="str">
        <f t="shared" si="96"/>
        <v/>
      </c>
      <c r="AS358" s="473" t="str">
        <f t="shared" si="97"/>
        <v/>
      </c>
      <c r="AT358" s="473" t="str">
        <f t="shared" si="98"/>
        <v/>
      </c>
      <c r="AU358" s="473" t="str">
        <f t="shared" si="99"/>
        <v/>
      </c>
      <c r="AY358" s="497" t="s">
        <v>466</v>
      </c>
      <c r="AZ358" s="30" t="s">
        <v>11</v>
      </c>
      <c r="BA358" s="34" t="s">
        <v>475</v>
      </c>
      <c r="BB358" s="499"/>
      <c r="BC358" s="271"/>
      <c r="BD358" s="279">
        <v>1</v>
      </c>
      <c r="BE358" s="271"/>
      <c r="BF358" s="271"/>
      <c r="BG358" s="271"/>
      <c r="BH358" s="271"/>
      <c r="BI358" s="271"/>
      <c r="BJ358" s="271"/>
      <c r="BK358" s="271"/>
      <c r="BL358" s="271"/>
    </row>
    <row r="359" spans="18:64" ht="30" customHeight="1" x14ac:dyDescent="0.25">
      <c r="R359" s="34" t="s">
        <v>482</v>
      </c>
      <c r="S359" s="451"/>
      <c r="T359" s="452" t="s">
        <v>8113</v>
      </c>
      <c r="V359" s="453" t="s">
        <v>324</v>
      </c>
      <c r="W359" s="453" t="s">
        <v>7912</v>
      </c>
      <c r="X359" s="453" t="s">
        <v>326</v>
      </c>
      <c r="Y359" s="453" t="s">
        <v>327</v>
      </c>
      <c r="Z359" s="454" t="s">
        <v>7930</v>
      </c>
      <c r="AA359" s="453" t="s">
        <v>7937</v>
      </c>
      <c r="AB359" s="455" t="s">
        <v>39</v>
      </c>
      <c r="AC359" s="455" t="s">
        <v>338</v>
      </c>
      <c r="AD359" s="455" t="s">
        <v>8114</v>
      </c>
      <c r="AE359" s="455" t="s">
        <v>339</v>
      </c>
      <c r="AF359" s="455" t="s">
        <v>7997</v>
      </c>
      <c r="AG359" s="453" t="s">
        <v>8018</v>
      </c>
      <c r="AH359" s="453" t="s">
        <v>8023</v>
      </c>
      <c r="AI359" s="453" t="s">
        <v>330</v>
      </c>
      <c r="AJ359" s="453" t="s">
        <v>8031</v>
      </c>
      <c r="AK359" s="453" t="s">
        <v>8037</v>
      </c>
      <c r="AL359" s="453" t="s">
        <v>8041</v>
      </c>
      <c r="AM359" s="453" t="s">
        <v>343</v>
      </c>
      <c r="AN359" s="457" t="s">
        <v>8115</v>
      </c>
      <c r="AO359" s="457" t="s">
        <v>8116</v>
      </c>
      <c r="AP359" s="656" t="s">
        <v>8117</v>
      </c>
      <c r="AQ359" s="656"/>
      <c r="AR359" s="656"/>
      <c r="AS359" s="656"/>
      <c r="AT359" s="656"/>
      <c r="AU359" s="657"/>
      <c r="AZ359" s="30" t="s">
        <v>12</v>
      </c>
      <c r="BA359" s="34" t="s">
        <v>457</v>
      </c>
      <c r="BB359" s="499"/>
      <c r="BC359" s="271"/>
      <c r="BD359" s="279">
        <v>1</v>
      </c>
      <c r="BE359" s="271"/>
      <c r="BF359" s="271"/>
      <c r="BG359" s="271"/>
      <c r="BH359" s="271"/>
      <c r="BI359" s="271"/>
      <c r="BJ359" s="271"/>
      <c r="BK359" s="271"/>
      <c r="BL359" s="271"/>
    </row>
    <row r="360" spans="18:64" ht="30" customHeight="1" x14ac:dyDescent="0.25">
      <c r="R360" s="34" t="s">
        <v>496</v>
      </c>
      <c r="S360" s="451"/>
      <c r="T360" s="14" t="s">
        <v>7</v>
      </c>
      <c r="V360" s="459">
        <v>9</v>
      </c>
      <c r="W360" s="460" t="s">
        <v>8159</v>
      </c>
      <c r="X360" s="461" t="s">
        <v>8162</v>
      </c>
      <c r="Y360" s="462"/>
      <c r="Z360" s="463">
        <v>100</v>
      </c>
      <c r="AA360" s="464">
        <f>IF($AC$396="","",ROW($A$396)-ROW($A$396))</f>
        <v>0</v>
      </c>
      <c r="AB360" s="461"/>
      <c r="AC360" s="465" t="s">
        <v>8163</v>
      </c>
      <c r="AD360" s="390"/>
      <c r="AE360" s="390"/>
      <c r="AF360" s="466"/>
      <c r="AG360" s="467" t="str">
        <f t="shared" ref="AG360:AG394" si="100">IF($AC360="","",IF(LEN($AN360&amp;"")=0,"",$AN360))</f>
        <v/>
      </c>
      <c r="AH360" s="468" t="str">
        <f t="shared" ref="AH360:AH394" si="101">IF($AC360="","",IF($AF360&lt;&gt;"",UPPER(TRIM(SUBSTITUTE(SUBSTITUTE($AF360&amp;"",CHAR(160)," ")," "," "))),$AP360))</f>
        <v/>
      </c>
      <c r="AI360" s="469" t="str">
        <f>IF($AC$360="","",IFERROR(INDEX($AZ$74:$AZ$119,MATCH($AH$360,$AY$74:$AY$119,0)),"AUTRE"))</f>
        <v>AUTRE</v>
      </c>
      <c r="AJ360" s="470">
        <f>IF($AC$360="","",IFERROR(INDEX($BA$74:$BA$119,MATCH($AH$360,$AY$74:$AY$119,0)),1))</f>
        <v>1</v>
      </c>
      <c r="AK360" s="470" t="str">
        <f t="shared" ref="AK360:AK394" si="102">IF(OR(AG360="",AJ360=""),"",AG360*AJ360)</f>
        <v/>
      </c>
      <c r="AL360" s="469" t="str">
        <f>IF($AC$360="","",IFERROR(INDEX($BB$74:$BB$119,MATCH($AH$360,$AY$74:$AY$119,0)),$AH$360))</f>
        <v/>
      </c>
      <c r="AM360" s="471" t="str">
        <f t="shared" ref="AM360:AM394" si="103">IF($AC360="","",IF($AH360="QT. SUFFISANTE","OK",IF($AG360="","TEXTE",IF(NOT(ISNUMBER($AG360)),"QUANTITÉ À CONTRÔLER",IF(COUNTIF($AY$74:$AY$119,$AH360)=0,"UNITÉ À CONTRÔLER","OK")))))</f>
        <v>TEXTE</v>
      </c>
      <c r="AN360" s="474" t="str">
        <f t="shared" ref="AN360:AN394" si="104">IF($AE360&lt;&gt;"",$AE360,IF($AD360="","",IF(ISNUMBER($AD360),$AD360,IF($AO360="QT",0,IF($AO360="","",IFERROR(IF(ISNUMBER(SEARCH("/",$AO360)),VALUE(TRIM(LEFT($AO360,SEARCH("/",$AO360)-1)))/VALUE(TRIM(MID($AO360,SEARCH("/",$AO360)+1,99))),VALUE(SUBSTITUTE($AO360,".",","))),""))))))</f>
        <v/>
      </c>
      <c r="AO360" s="473" t="str">
        <f t="shared" ref="AO360:AO394" si="105">IF($AD360="","",IF(ISNUMBER($AD360),$AD360,IF(OR(LEFT($AQ360,3)="QT.",LEFT($AQ360,4)="QUAN"),"QT",IF($AR360=999,$AQ360,TRIM(LEFT($AQ360,$AR360-1))))))</f>
        <v/>
      </c>
      <c r="AP360" s="473" t="str">
        <f t="shared" ref="AP360:AP394" si="106">IF($AD360="","",IF(ISNUMBER($AD360),"",IF(OR(LEFT($AQ360,3)="QT.",LEFT($AQ360,4)="QUAN"),"QT. SUFFISANTE",IF($AO360="","",TRIM(MID($AQ360,LEN($AO360&amp;"")+1,999))))))</f>
        <v/>
      </c>
      <c r="AQ360" s="473" t="str">
        <f t="shared" ref="AQ360:AQ394" si="107">IF($AD360="","",UPPER(TRIM(SUBSTITUTE(SUBSTITUTE($AD360&amp;"",CHAR(160)," ")," "," "))))</f>
        <v/>
      </c>
      <c r="AR360" s="473" t="str">
        <f t="shared" ref="AR360:AR394" si="108">IF($AQ360="","",MIN($AS360,$AT360,$AU360))</f>
        <v/>
      </c>
      <c r="AS360" s="473" t="str">
        <f t="shared" ref="AS360:AS394" si="109">IF($AQ360="","",MIN(IFERROR(SEARCH("A",$AQ360),999),IFERROR(SEARCH("B",$AQ360),999),IFERROR(SEARCH("C",$AQ360),999),IFERROR(SEARCH("D",$AQ360),999),IFERROR(SEARCH("E",$AQ360),999),IFERROR(SEARCH("F",$AQ360),999),IFERROR(SEARCH("G",$AQ360),999),IFERROR(SEARCH("H",$AQ360),999),IFERROR(SEARCH("I",$AQ360),999)))</f>
        <v/>
      </c>
      <c r="AT360" s="473" t="str">
        <f t="shared" ref="AT360:AT394" si="110">IF($AQ360="","",MIN(IFERROR(SEARCH("J",$AQ360),999),IFERROR(SEARCH("K",$AQ360),999),IFERROR(SEARCH("L",$AQ360),999),IFERROR(SEARCH("M",$AQ360),999),IFERROR(SEARCH("N",$AQ360),999),IFERROR(SEARCH("O",$AQ360),999),IFERROR(SEARCH("P",$AQ360),999),IFERROR(SEARCH("Q",$AQ360),999),IFERROR(SEARCH("R",$AQ360),999)))</f>
        <v/>
      </c>
      <c r="AU360" s="473" t="str">
        <f t="shared" ref="AU360:AU394" si="111">IF($AQ360="","",MIN(IFERROR(SEARCH("S",$AQ360),999),IFERROR(SEARCH("T",$AQ360),999),IFERROR(SEARCH("U",$AQ360),999),IFERROR(SEARCH("V",$AQ360),999),IFERROR(SEARCH("W",$AQ360),999),IFERROR(SEARCH("X",$AQ360),999),IFERROR(SEARCH("Y",$AQ360),999),IFERROR(SEARCH("Z",$AQ360),999)))</f>
        <v/>
      </c>
      <c r="AZ360" s="31" t="s">
        <v>16</v>
      </c>
      <c r="BA360" s="34" t="s">
        <v>482</v>
      </c>
      <c r="BB360" s="499"/>
      <c r="BC360" s="271"/>
      <c r="BD360" s="279">
        <v>1</v>
      </c>
      <c r="BE360" s="271"/>
      <c r="BF360" s="271"/>
      <c r="BG360" s="271"/>
      <c r="BH360" s="271"/>
      <c r="BI360" s="271"/>
      <c r="BJ360" s="271"/>
      <c r="BK360" s="271"/>
      <c r="BL360" s="271"/>
    </row>
    <row r="361" spans="18:64" ht="21" customHeight="1" x14ac:dyDescent="0.25">
      <c r="R361" s="34" t="s">
        <v>483</v>
      </c>
      <c r="S361" s="451"/>
      <c r="T361" s="27" t="s">
        <v>8</v>
      </c>
      <c r="V361" s="475">
        <f>$V$360</f>
        <v>9</v>
      </c>
      <c r="W361" s="475" t="str">
        <f>IF($AC$361="","",$W$360)</f>
        <v/>
      </c>
      <c r="X361" s="476" t="str">
        <f>IF($AC$361="","",$X$360)</f>
        <v/>
      </c>
      <c r="Y361" s="477" t="str">
        <f>IF($X$361="","",$Y$360)</f>
        <v/>
      </c>
      <c r="Z361" s="477" t="str">
        <f>IF($X$361="","",$Z$360)</f>
        <v/>
      </c>
      <c r="AA361" s="477" t="str">
        <f>IF($AC$361="","",ROW($A$361)-ROW($A$360))</f>
        <v/>
      </c>
      <c r="AB361" s="478"/>
      <c r="AC361" s="34"/>
      <c r="AD361" s="356"/>
      <c r="AE361" s="479"/>
      <c r="AF361" s="475"/>
      <c r="AG361" s="480" t="str">
        <f t="shared" si="100"/>
        <v/>
      </c>
      <c r="AH361" s="481" t="str">
        <f t="shared" si="101"/>
        <v/>
      </c>
      <c r="AI361" s="477" t="str">
        <f>IF($AC$361="","",IFERROR(INDEX($AZ$74:$AZ$119,MATCH($AH$361,$AY$74:$AY$119,0)),"AUTRE"))</f>
        <v/>
      </c>
      <c r="AJ361" s="482" t="str">
        <f>IF($AC$361="","",IFERROR(INDEX($BA$74:$BA$119,MATCH($AH$361,$AY$74:$AY$119,0)),1))</f>
        <v/>
      </c>
      <c r="AK361" s="482" t="str">
        <f t="shared" si="102"/>
        <v/>
      </c>
      <c r="AL361" s="477" t="str">
        <f>IF($AC$361="","",IFERROR(INDEX($BB$74:$BB$119,MATCH($AH$361,$AY$74:$AY$119,0)),$AH$361))</f>
        <v/>
      </c>
      <c r="AM361" s="483" t="str">
        <f t="shared" si="103"/>
        <v/>
      </c>
      <c r="AN361" s="484" t="str">
        <f t="shared" si="104"/>
        <v/>
      </c>
      <c r="AO361" s="473" t="str">
        <f t="shared" si="105"/>
        <v/>
      </c>
      <c r="AP361" s="473" t="str">
        <f t="shared" si="106"/>
        <v/>
      </c>
      <c r="AQ361" s="473" t="str">
        <f t="shared" si="107"/>
        <v/>
      </c>
      <c r="AR361" s="473" t="str">
        <f t="shared" si="108"/>
        <v/>
      </c>
      <c r="AS361" s="473" t="str">
        <f t="shared" si="109"/>
        <v/>
      </c>
      <c r="AT361" s="473" t="str">
        <f t="shared" si="110"/>
        <v/>
      </c>
      <c r="AU361" s="473" t="str">
        <f t="shared" si="111"/>
        <v/>
      </c>
      <c r="AZ361" s="31" t="s">
        <v>17</v>
      </c>
      <c r="BA361" s="34" t="s">
        <v>496</v>
      </c>
      <c r="BB361" s="499"/>
      <c r="BC361" s="271"/>
      <c r="BD361" s="279">
        <v>1</v>
      </c>
      <c r="BE361" s="271"/>
      <c r="BF361" s="271"/>
      <c r="BG361" s="271"/>
      <c r="BH361" s="271"/>
      <c r="BI361" s="271"/>
      <c r="BJ361" s="271"/>
      <c r="BK361" s="271"/>
      <c r="BL361" s="271"/>
    </row>
    <row r="362" spans="18:64" ht="21" customHeight="1" x14ac:dyDescent="0.25">
      <c r="R362" s="34" t="s">
        <v>493</v>
      </c>
      <c r="S362" s="451"/>
      <c r="T362" s="28" t="s">
        <v>13</v>
      </c>
      <c r="V362" s="475">
        <v>9</v>
      </c>
      <c r="W362" s="475" t="str">
        <f>IF($AC$362="","",$W$360)</f>
        <v/>
      </c>
      <c r="X362" s="476" t="str">
        <f>IF($AC$362="","",$X$360)</f>
        <v/>
      </c>
      <c r="Y362" s="477" t="str">
        <f>IF($X$362="","",$Y$360)</f>
        <v/>
      </c>
      <c r="Z362" s="477" t="str">
        <f>IF($X$362="","",$Z$360)</f>
        <v/>
      </c>
      <c r="AA362" s="477" t="str">
        <f>IF($AC$362="","",ROW($A$362)-ROW($A$360))</f>
        <v/>
      </c>
      <c r="AB362" s="478"/>
      <c r="AC362" s="34"/>
      <c r="AD362" s="356"/>
      <c r="AE362" s="479"/>
      <c r="AF362" s="475"/>
      <c r="AG362" s="480" t="str">
        <f t="shared" si="100"/>
        <v/>
      </c>
      <c r="AH362" s="481" t="str">
        <f t="shared" si="101"/>
        <v/>
      </c>
      <c r="AI362" s="477" t="str">
        <f>IF($AC$362="","",IFERROR(INDEX($AZ$74:$AZ$119,MATCH($AH$362,$AY$74:$AY$119,0)),"AUTRE"))</f>
        <v/>
      </c>
      <c r="AJ362" s="482" t="str">
        <f>IF($AC$362="","",IFERROR(INDEX($BA$74:$BA$119,MATCH($AH$362,$AY$74:$AY$119,0)),1))</f>
        <v/>
      </c>
      <c r="AK362" s="482" t="str">
        <f t="shared" si="102"/>
        <v/>
      </c>
      <c r="AL362" s="477" t="str">
        <f>IF($AC$362="","",IFERROR(INDEX($BB$74:$BB$119,MATCH($AH$362,$AY$74:$AY$119,0)),$AH$362))</f>
        <v/>
      </c>
      <c r="AM362" s="483" t="str">
        <f t="shared" si="103"/>
        <v/>
      </c>
      <c r="AN362" s="484" t="str">
        <f t="shared" si="104"/>
        <v/>
      </c>
      <c r="AO362" s="473" t="str">
        <f t="shared" si="105"/>
        <v/>
      </c>
      <c r="AP362" s="473" t="str">
        <f t="shared" si="106"/>
        <v/>
      </c>
      <c r="AQ362" s="473" t="str">
        <f t="shared" si="107"/>
        <v/>
      </c>
      <c r="AR362" s="473" t="str">
        <f t="shared" si="108"/>
        <v/>
      </c>
      <c r="AS362" s="473" t="str">
        <f t="shared" si="109"/>
        <v/>
      </c>
      <c r="AT362" s="473" t="str">
        <f t="shared" si="110"/>
        <v/>
      </c>
      <c r="AU362" s="473" t="str">
        <f t="shared" si="111"/>
        <v/>
      </c>
      <c r="AZ362" s="31" t="s">
        <v>18</v>
      </c>
      <c r="BA362" s="34" t="s">
        <v>483</v>
      </c>
      <c r="BB362" s="499"/>
      <c r="BC362" s="271"/>
      <c r="BD362" s="279">
        <v>1</v>
      </c>
      <c r="BE362" s="271"/>
      <c r="BF362" s="271"/>
      <c r="BG362" s="271"/>
      <c r="BH362" s="271"/>
      <c r="BI362" s="271"/>
      <c r="BJ362" s="271"/>
      <c r="BK362" s="271"/>
      <c r="BL362" s="271"/>
    </row>
    <row r="363" spans="18:64" ht="21" customHeight="1" x14ac:dyDescent="0.25">
      <c r="R363" s="34" t="s">
        <v>494</v>
      </c>
      <c r="S363" s="451"/>
      <c r="T363" s="28" t="s">
        <v>14</v>
      </c>
      <c r="V363" s="475">
        <v>9</v>
      </c>
      <c r="W363" s="475" t="str">
        <f>IF($AC$363="","",$W$360)</f>
        <v/>
      </c>
      <c r="X363" s="476" t="str">
        <f>IF($AC$363="","",$X$360)</f>
        <v/>
      </c>
      <c r="Y363" s="477" t="str">
        <f>IF($X$363="","",$Y$360)</f>
        <v/>
      </c>
      <c r="Z363" s="477" t="str">
        <f>IF($X$363="","",$Z$360)</f>
        <v/>
      </c>
      <c r="AA363" s="477" t="str">
        <f>IF($AC$363="","",ROW($A$363)-ROW($A$360))</f>
        <v/>
      </c>
      <c r="AB363" s="478"/>
      <c r="AC363" s="34"/>
      <c r="AD363" s="356"/>
      <c r="AE363" s="479"/>
      <c r="AF363" s="475"/>
      <c r="AG363" s="480" t="str">
        <f t="shared" si="100"/>
        <v/>
      </c>
      <c r="AH363" s="481" t="str">
        <f t="shared" si="101"/>
        <v/>
      </c>
      <c r="AI363" s="477" t="str">
        <f>IF($AC$363="","",IFERROR(INDEX($AZ$74:$AZ$119,MATCH($AH$363,$AY$74:$AY$119,0)),"AUTRE"))</f>
        <v/>
      </c>
      <c r="AJ363" s="482" t="str">
        <f>IF($AC$363="","",IFERROR(INDEX($BA$74:$BA$119,MATCH($AH$363,$AY$74:$AY$119,0)),1))</f>
        <v/>
      </c>
      <c r="AK363" s="482" t="str">
        <f t="shared" si="102"/>
        <v/>
      </c>
      <c r="AL363" s="477" t="str">
        <f>IF($AC$363="","",IFERROR(INDEX($BB$74:$BB$119,MATCH($AH$363,$AY$74:$AY$119,0)),$AH$363))</f>
        <v/>
      </c>
      <c r="AM363" s="483" t="str">
        <f t="shared" si="103"/>
        <v/>
      </c>
      <c r="AN363" s="484" t="str">
        <f t="shared" si="104"/>
        <v/>
      </c>
      <c r="AO363" s="473" t="str">
        <f t="shared" si="105"/>
        <v/>
      </c>
      <c r="AP363" s="473" t="str">
        <f t="shared" si="106"/>
        <v/>
      </c>
      <c r="AQ363" s="473" t="str">
        <f t="shared" si="107"/>
        <v/>
      </c>
      <c r="AR363" s="473" t="str">
        <f t="shared" si="108"/>
        <v/>
      </c>
      <c r="AS363" s="473" t="str">
        <f t="shared" si="109"/>
        <v/>
      </c>
      <c r="AT363" s="473" t="str">
        <f t="shared" si="110"/>
        <v/>
      </c>
      <c r="AU363" s="473" t="str">
        <f t="shared" si="111"/>
        <v/>
      </c>
      <c r="AZ363" s="31" t="s">
        <v>19</v>
      </c>
      <c r="BA363" s="34" t="s">
        <v>493</v>
      </c>
      <c r="BB363" s="499"/>
      <c r="BC363" s="271"/>
      <c r="BD363" s="279">
        <v>1</v>
      </c>
      <c r="BE363" s="271"/>
      <c r="BF363" s="271"/>
      <c r="BG363" s="271"/>
      <c r="BH363" s="271"/>
      <c r="BI363" s="271"/>
      <c r="BJ363" s="271"/>
      <c r="BK363" s="271"/>
      <c r="BL363" s="271"/>
    </row>
    <row r="364" spans="18:64" ht="21" customHeight="1" x14ac:dyDescent="0.25">
      <c r="S364" s="451"/>
      <c r="T364" s="28" t="s">
        <v>15</v>
      </c>
      <c r="V364" s="475">
        <v>9</v>
      </c>
      <c r="W364" s="475" t="str">
        <f>IF($AC$364="","",$W$360)</f>
        <v/>
      </c>
      <c r="X364" s="476" t="str">
        <f>IF($AC$364="","",$X$360)</f>
        <v/>
      </c>
      <c r="Y364" s="477" t="str">
        <f>IF($X$364="","",$Y$360)</f>
        <v/>
      </c>
      <c r="Z364" s="477" t="str">
        <f>IF($X$364="","",$Z$360)</f>
        <v/>
      </c>
      <c r="AA364" s="477" t="str">
        <f>IF($AC$364="","",ROW($A$364)-ROW($A$360))</f>
        <v/>
      </c>
      <c r="AB364" s="478"/>
      <c r="AC364" s="34"/>
      <c r="AD364" s="356"/>
      <c r="AE364" s="479"/>
      <c r="AF364" s="475"/>
      <c r="AG364" s="480" t="str">
        <f t="shared" si="100"/>
        <v/>
      </c>
      <c r="AH364" s="481" t="str">
        <f t="shared" si="101"/>
        <v/>
      </c>
      <c r="AI364" s="477" t="str">
        <f>IF($AC$364="","",IFERROR(INDEX($AZ$74:$AZ$119,MATCH($AH$364,$AY$74:$AY$119,0)),"AUTRE"))</f>
        <v/>
      </c>
      <c r="AJ364" s="482" t="str">
        <f>IF($AC$364="","",IFERROR(INDEX($BA$74:$BA$119,MATCH($AH$364,$AY$74:$AY$119,0)),1))</f>
        <v/>
      </c>
      <c r="AK364" s="482" t="str">
        <f t="shared" si="102"/>
        <v/>
      </c>
      <c r="AL364" s="477" t="str">
        <f>IF($AC$364="","",IFERROR(INDEX($BB$74:$BB$119,MATCH($AH$364,$AY$74:$AY$119,0)),$AH$364))</f>
        <v/>
      </c>
      <c r="AM364" s="483" t="str">
        <f t="shared" si="103"/>
        <v/>
      </c>
      <c r="AN364" s="484" t="str">
        <f t="shared" si="104"/>
        <v/>
      </c>
      <c r="AO364" s="473" t="str">
        <f t="shared" si="105"/>
        <v/>
      </c>
      <c r="AP364" s="473" t="str">
        <f t="shared" si="106"/>
        <v/>
      </c>
      <c r="AQ364" s="473" t="str">
        <f t="shared" si="107"/>
        <v/>
      </c>
      <c r="AR364" s="473" t="str">
        <f t="shared" si="108"/>
        <v/>
      </c>
      <c r="AS364" s="473" t="str">
        <f t="shared" si="109"/>
        <v/>
      </c>
      <c r="AT364" s="473" t="str">
        <f t="shared" si="110"/>
        <v/>
      </c>
      <c r="AU364" s="473" t="str">
        <f t="shared" si="111"/>
        <v/>
      </c>
      <c r="AZ364" s="31" t="s">
        <v>211</v>
      </c>
      <c r="BA364" s="34" t="s">
        <v>494</v>
      </c>
      <c r="BB364" s="499"/>
      <c r="BC364" s="271"/>
      <c r="BD364" s="279">
        <v>1</v>
      </c>
      <c r="BE364" s="271"/>
      <c r="BF364" s="271"/>
      <c r="BG364" s="271"/>
      <c r="BH364" s="271"/>
      <c r="BI364" s="271"/>
      <c r="BJ364" s="271"/>
      <c r="BK364" s="271"/>
      <c r="BL364" s="271"/>
    </row>
    <row r="365" spans="18:64" ht="21" customHeight="1" x14ac:dyDescent="0.25">
      <c r="R365" s="25" t="s">
        <v>6115</v>
      </c>
      <c r="S365" s="451"/>
      <c r="T365" s="28" t="s">
        <v>21</v>
      </c>
      <c r="V365" s="475">
        <v>9</v>
      </c>
      <c r="W365" s="475" t="str">
        <f>IF($AC$365="","",$W$360)</f>
        <v/>
      </c>
      <c r="X365" s="476" t="str">
        <f>IF($AC$365="","",$X$360)</f>
        <v/>
      </c>
      <c r="Y365" s="477" t="str">
        <f>IF($X$365="","",$Y$360)</f>
        <v/>
      </c>
      <c r="Z365" s="477" t="str">
        <f>IF($X$365="","",$Z$360)</f>
        <v/>
      </c>
      <c r="AA365" s="477" t="str">
        <f>IF($AC$365="","",ROW($A$365)-ROW($A$360))</f>
        <v/>
      </c>
      <c r="AB365" s="478"/>
      <c r="AC365" s="34"/>
      <c r="AD365" s="356"/>
      <c r="AE365" s="479"/>
      <c r="AF365" s="475"/>
      <c r="AG365" s="480" t="str">
        <f t="shared" si="100"/>
        <v/>
      </c>
      <c r="AH365" s="481" t="str">
        <f t="shared" si="101"/>
        <v/>
      </c>
      <c r="AI365" s="477" t="str">
        <f>IF($AC$365="","",IFERROR(INDEX($AZ$74:$AZ$119,MATCH($AH$365,$AY$74:$AY$119,0)),"AUTRE"))</f>
        <v/>
      </c>
      <c r="AJ365" s="482" t="str">
        <f>IF($AC$365="","",IFERROR(INDEX($BA$74:$BA$119,MATCH($AH$365,$AY$74:$AY$119,0)),1))</f>
        <v/>
      </c>
      <c r="AK365" s="482" t="str">
        <f t="shared" si="102"/>
        <v/>
      </c>
      <c r="AL365" s="477" t="str">
        <f>IF($AC$365="","",IFERROR(INDEX($BB$74:$BB$119,MATCH($AH$365,$AY$74:$AY$119,0)),$AH$365))</f>
        <v/>
      </c>
      <c r="AM365" s="483" t="str">
        <f t="shared" si="103"/>
        <v/>
      </c>
      <c r="AN365" s="484" t="str">
        <f t="shared" si="104"/>
        <v/>
      </c>
      <c r="AO365" s="473" t="str">
        <f t="shared" si="105"/>
        <v/>
      </c>
      <c r="AP365" s="473" t="str">
        <f t="shared" si="106"/>
        <v/>
      </c>
      <c r="AQ365" s="473" t="str">
        <f t="shared" si="107"/>
        <v/>
      </c>
      <c r="AR365" s="473" t="str">
        <f t="shared" si="108"/>
        <v/>
      </c>
      <c r="AS365" s="473" t="str">
        <f t="shared" si="109"/>
        <v/>
      </c>
      <c r="AT365" s="473" t="str">
        <f t="shared" si="110"/>
        <v/>
      </c>
      <c r="AU365" s="473" t="str">
        <f t="shared" si="111"/>
        <v/>
      </c>
      <c r="AZ365" s="31" t="s">
        <v>20</v>
      </c>
      <c r="BB365" s="499"/>
      <c r="BC365" s="271"/>
      <c r="BD365" s="279">
        <v>1</v>
      </c>
      <c r="BE365" s="271"/>
      <c r="BF365" s="271"/>
      <c r="BG365" s="271"/>
      <c r="BH365" s="271"/>
      <c r="BI365" s="271"/>
      <c r="BJ365" s="271"/>
      <c r="BK365" s="271"/>
      <c r="BL365" s="271"/>
    </row>
    <row r="366" spans="18:64" ht="21" customHeight="1" x14ac:dyDescent="0.25">
      <c r="R366" s="34" t="s">
        <v>471</v>
      </c>
      <c r="S366" s="451"/>
      <c r="T366" s="28" t="s">
        <v>22</v>
      </c>
      <c r="V366" s="475">
        <v>9</v>
      </c>
      <c r="W366" s="475" t="str">
        <f>IF($AC$366="","",$W$360)</f>
        <v/>
      </c>
      <c r="X366" s="476" t="str">
        <f>IF($AC$366="","",$X$360)</f>
        <v/>
      </c>
      <c r="Y366" s="477" t="str">
        <f>IF($X$366="","",$Y$360)</f>
        <v/>
      </c>
      <c r="Z366" s="477" t="str">
        <f>IF($X$366="","",$Z$360)</f>
        <v/>
      </c>
      <c r="AA366" s="477" t="str">
        <f>IF($AC$366="","",ROW($A$366)-ROW($A$360))</f>
        <v/>
      </c>
      <c r="AB366" s="478"/>
      <c r="AC366" s="34"/>
      <c r="AD366" s="356"/>
      <c r="AE366" s="479"/>
      <c r="AF366" s="475"/>
      <c r="AG366" s="480" t="str">
        <f t="shared" si="100"/>
        <v/>
      </c>
      <c r="AH366" s="481" t="str">
        <f t="shared" si="101"/>
        <v/>
      </c>
      <c r="AI366" s="477" t="str">
        <f>IF($AC$366="","",IFERROR(INDEX($AZ$74:$AZ$119,MATCH($AH$366,$AY$74:$AY$119,0)),"AUTRE"))</f>
        <v/>
      </c>
      <c r="AJ366" s="482" t="str">
        <f>IF($AC$366="","",IFERROR(INDEX($BA$74:$BA$119,MATCH($AH$366,$AY$74:$AY$119,0)),1))</f>
        <v/>
      </c>
      <c r="AK366" s="482" t="str">
        <f t="shared" si="102"/>
        <v/>
      </c>
      <c r="AL366" s="477" t="str">
        <f>IF($AC$366="","",IFERROR(INDEX($BB$74:$BB$119,MATCH($AH$366,$AY$74:$AY$119,0)),$AH$366))</f>
        <v/>
      </c>
      <c r="AM366" s="483" t="str">
        <f t="shared" si="103"/>
        <v/>
      </c>
      <c r="AN366" s="484" t="str">
        <f t="shared" si="104"/>
        <v/>
      </c>
      <c r="AO366" s="473" t="str">
        <f t="shared" si="105"/>
        <v/>
      </c>
      <c r="AP366" s="473" t="str">
        <f t="shared" si="106"/>
        <v/>
      </c>
      <c r="AQ366" s="473" t="str">
        <f t="shared" si="107"/>
        <v/>
      </c>
      <c r="AR366" s="473" t="str">
        <f t="shared" si="108"/>
        <v/>
      </c>
      <c r="AS366" s="473" t="str">
        <f t="shared" si="109"/>
        <v/>
      </c>
      <c r="AT366" s="473" t="str">
        <f t="shared" si="110"/>
        <v/>
      </c>
      <c r="AU366" s="473" t="str">
        <f t="shared" si="111"/>
        <v/>
      </c>
      <c r="AZ366" s="31" t="s">
        <v>304</v>
      </c>
      <c r="BA366" s="25" t="s">
        <v>6115</v>
      </c>
      <c r="BB366" s="499"/>
      <c r="BC366" s="271"/>
      <c r="BD366" s="279">
        <v>1</v>
      </c>
      <c r="BE366" s="271"/>
      <c r="BF366" s="271"/>
      <c r="BG366" s="271"/>
      <c r="BH366" s="271"/>
      <c r="BI366" s="271"/>
      <c r="BJ366" s="271"/>
      <c r="BK366" s="271"/>
      <c r="BL366" s="271"/>
    </row>
    <row r="367" spans="18:64" ht="21" customHeight="1" x14ac:dyDescent="0.25">
      <c r="R367" s="34" t="s">
        <v>472</v>
      </c>
      <c r="S367" s="451"/>
      <c r="T367" s="28" t="s">
        <v>23</v>
      </c>
      <c r="V367" s="475">
        <v>9</v>
      </c>
      <c r="W367" s="475" t="str">
        <f>IF($AC$367="","",$W$360)</f>
        <v/>
      </c>
      <c r="X367" s="476" t="str">
        <f>IF($AC$367="","",$X$360)</f>
        <v/>
      </c>
      <c r="Y367" s="477" t="str">
        <f>IF($X$367="","",$Y$360)</f>
        <v/>
      </c>
      <c r="Z367" s="477" t="str">
        <f>IF($X$367="","",$Z$360)</f>
        <v/>
      </c>
      <c r="AA367" s="477" t="str">
        <f>IF($AC$367="","",ROW($A$367)-ROW($A$360))</f>
        <v/>
      </c>
      <c r="AB367" s="478"/>
      <c r="AC367" s="34"/>
      <c r="AD367" s="356"/>
      <c r="AE367" s="479"/>
      <c r="AF367" s="475"/>
      <c r="AG367" s="480" t="str">
        <f t="shared" si="100"/>
        <v/>
      </c>
      <c r="AH367" s="481" t="str">
        <f t="shared" si="101"/>
        <v/>
      </c>
      <c r="AI367" s="477" t="str">
        <f>IF($AC$367="","",IFERROR(INDEX($AZ$74:$AZ$119,MATCH($AH$367,$AY$74:$AY$119,0)),"AUTRE"))</f>
        <v/>
      </c>
      <c r="AJ367" s="482" t="str">
        <f>IF($AC$367="","",IFERROR(INDEX($BA$74:$BA$119,MATCH($AH$367,$AY$74:$AY$119,0)),1))</f>
        <v/>
      </c>
      <c r="AK367" s="482" t="str">
        <f t="shared" si="102"/>
        <v/>
      </c>
      <c r="AL367" s="477" t="str">
        <f>IF($AC$367="","",IFERROR(INDEX($BB$74:$BB$119,MATCH($AH$367,$AY$74:$AY$119,0)),$AH$367))</f>
        <v/>
      </c>
      <c r="AM367" s="483" t="str">
        <f t="shared" si="103"/>
        <v/>
      </c>
      <c r="AN367" s="484" t="str">
        <f t="shared" si="104"/>
        <v/>
      </c>
      <c r="AO367" s="473" t="str">
        <f t="shared" si="105"/>
        <v/>
      </c>
      <c r="AP367" s="473" t="str">
        <f t="shared" si="106"/>
        <v/>
      </c>
      <c r="AQ367" s="473" t="str">
        <f t="shared" si="107"/>
        <v/>
      </c>
      <c r="AR367" s="473" t="str">
        <f t="shared" si="108"/>
        <v/>
      </c>
      <c r="AS367" s="473" t="str">
        <f t="shared" si="109"/>
        <v/>
      </c>
      <c r="AT367" s="473" t="str">
        <f t="shared" si="110"/>
        <v/>
      </c>
      <c r="AU367" s="473" t="str">
        <f t="shared" si="111"/>
        <v/>
      </c>
      <c r="AZ367" s="31" t="s">
        <v>352</v>
      </c>
      <c r="BA367" s="34" t="s">
        <v>471</v>
      </c>
      <c r="BB367" s="499"/>
      <c r="BC367" s="271"/>
      <c r="BD367" s="279">
        <v>1</v>
      </c>
      <c r="BE367" s="271"/>
      <c r="BF367" s="271"/>
      <c r="BG367" s="271"/>
      <c r="BH367" s="271"/>
      <c r="BI367" s="271"/>
      <c r="BJ367" s="271"/>
      <c r="BK367" s="271"/>
      <c r="BL367" s="271"/>
    </row>
    <row r="368" spans="18:64" ht="21" customHeight="1" x14ac:dyDescent="0.25">
      <c r="R368" s="34" t="s">
        <v>6112</v>
      </c>
      <c r="S368" s="451"/>
      <c r="T368" s="28" t="s">
        <v>24</v>
      </c>
      <c r="V368" s="475">
        <v>9</v>
      </c>
      <c r="W368" s="475" t="str">
        <f>IF($AC$368="","",$W$360)</f>
        <v/>
      </c>
      <c r="X368" s="476" t="str">
        <f>IF($AC$368="","",$X$360)</f>
        <v/>
      </c>
      <c r="Y368" s="477" t="str">
        <f>IF($X$368="","",$Y$360)</f>
        <v/>
      </c>
      <c r="Z368" s="477" t="str">
        <f>IF($X$368="","",$Z$360)</f>
        <v/>
      </c>
      <c r="AA368" s="477" t="str">
        <f>IF($AC$368="","",ROW($A$368)-ROW($A$360))</f>
        <v/>
      </c>
      <c r="AB368" s="478"/>
      <c r="AC368" s="34"/>
      <c r="AD368" s="356"/>
      <c r="AE368" s="479"/>
      <c r="AF368" s="475"/>
      <c r="AG368" s="480" t="str">
        <f t="shared" si="100"/>
        <v/>
      </c>
      <c r="AH368" s="481" t="str">
        <f t="shared" si="101"/>
        <v/>
      </c>
      <c r="AI368" s="477" t="str">
        <f>IF($AC$368="","",IFERROR(INDEX($AZ$74:$AZ$119,MATCH($AH$368,$AY$74:$AY$119,0)),"AUTRE"))</f>
        <v/>
      </c>
      <c r="AJ368" s="482" t="str">
        <f>IF($AC$368="","",IFERROR(INDEX($BA$74:$BA$119,MATCH($AH$368,$AY$74:$AY$119,0)),1))</f>
        <v/>
      </c>
      <c r="AK368" s="482" t="str">
        <f t="shared" si="102"/>
        <v/>
      </c>
      <c r="AL368" s="477" t="str">
        <f>IF($AC$368="","",IFERROR(INDEX($BB$74:$BB$119,MATCH($AH$368,$AY$74:$AY$119,0)),$AH$368))</f>
        <v/>
      </c>
      <c r="AM368" s="483" t="str">
        <f t="shared" si="103"/>
        <v/>
      </c>
      <c r="AN368" s="484" t="str">
        <f t="shared" si="104"/>
        <v/>
      </c>
      <c r="AO368" s="473" t="str">
        <f t="shared" si="105"/>
        <v/>
      </c>
      <c r="AP368" s="473" t="str">
        <f t="shared" si="106"/>
        <v/>
      </c>
      <c r="AQ368" s="473" t="str">
        <f t="shared" si="107"/>
        <v/>
      </c>
      <c r="AR368" s="473" t="str">
        <f t="shared" si="108"/>
        <v/>
      </c>
      <c r="AS368" s="473" t="str">
        <f t="shared" si="109"/>
        <v/>
      </c>
      <c r="AT368" s="473" t="str">
        <f t="shared" si="110"/>
        <v/>
      </c>
      <c r="AU368" s="473" t="str">
        <f t="shared" si="111"/>
        <v/>
      </c>
      <c r="AZ368" s="31" t="s">
        <v>27</v>
      </c>
      <c r="BA368" s="34" t="s">
        <v>472</v>
      </c>
      <c r="BB368" s="499"/>
      <c r="BC368" s="271"/>
      <c r="BD368" s="279">
        <v>1</v>
      </c>
      <c r="BE368" s="271"/>
      <c r="BF368" s="271"/>
      <c r="BG368" s="271"/>
      <c r="BH368" s="271"/>
      <c r="BI368" s="271"/>
      <c r="BJ368" s="271"/>
      <c r="BK368" s="271"/>
      <c r="BL368" s="271"/>
    </row>
    <row r="369" spans="18:64" ht="21" customHeight="1" x14ac:dyDescent="0.25">
      <c r="R369" s="25" t="s">
        <v>6116</v>
      </c>
      <c r="S369" s="451"/>
      <c r="T369" s="29" t="s">
        <v>9</v>
      </c>
      <c r="V369" s="475">
        <v>9</v>
      </c>
      <c r="W369" s="475" t="str">
        <f>IF($AC$369="","",$W$360)</f>
        <v/>
      </c>
      <c r="X369" s="476" t="str">
        <f>IF($AC$369="","",$X$360)</f>
        <v/>
      </c>
      <c r="Y369" s="477" t="str">
        <f>IF($X$369="","",$Y$360)</f>
        <v/>
      </c>
      <c r="Z369" s="477" t="str">
        <f>IF($X$369="","",$Z$360)</f>
        <v/>
      </c>
      <c r="AA369" s="477" t="str">
        <f>IF($AC$369="","",ROW($A$369)-ROW($A$360))</f>
        <v/>
      </c>
      <c r="AB369" s="478"/>
      <c r="AC369" s="34"/>
      <c r="AD369" s="356"/>
      <c r="AE369" s="479"/>
      <c r="AF369" s="475"/>
      <c r="AG369" s="480" t="str">
        <f t="shared" si="100"/>
        <v/>
      </c>
      <c r="AH369" s="481" t="str">
        <f t="shared" si="101"/>
        <v/>
      </c>
      <c r="AI369" s="477" t="str">
        <f>IF($AC$369="","",IFERROR(INDEX($AZ$74:$AZ$119,MATCH($AH$369,$AY$74:$AY$119,0)),"AUTRE"))</f>
        <v/>
      </c>
      <c r="AJ369" s="482" t="str">
        <f>IF($AC$369="","",IFERROR(INDEX($BA$74:$BA$119,MATCH($AH$369,$AY$74:$AY$119,0)),1))</f>
        <v/>
      </c>
      <c r="AK369" s="482" t="str">
        <f t="shared" si="102"/>
        <v/>
      </c>
      <c r="AL369" s="477" t="str">
        <f>IF($AC$369="","",IFERROR(INDEX($BB$74:$BB$119,MATCH($AH$369,$AY$74:$AY$119,0)),$AH$369))</f>
        <v/>
      </c>
      <c r="AM369" s="483" t="str">
        <f t="shared" si="103"/>
        <v/>
      </c>
      <c r="AN369" s="484" t="str">
        <f t="shared" si="104"/>
        <v/>
      </c>
      <c r="AO369" s="473" t="str">
        <f t="shared" si="105"/>
        <v/>
      </c>
      <c r="AP369" s="473" t="str">
        <f t="shared" si="106"/>
        <v/>
      </c>
      <c r="AQ369" s="473" t="str">
        <f t="shared" si="107"/>
        <v/>
      </c>
      <c r="AR369" s="473" t="str">
        <f t="shared" si="108"/>
        <v/>
      </c>
      <c r="AS369" s="473" t="str">
        <f t="shared" si="109"/>
        <v/>
      </c>
      <c r="AT369" s="473" t="str">
        <f t="shared" si="110"/>
        <v/>
      </c>
      <c r="AU369" s="473" t="str">
        <f t="shared" si="111"/>
        <v/>
      </c>
      <c r="AZ369" s="31" t="s">
        <v>28</v>
      </c>
      <c r="BA369" s="34" t="s">
        <v>6112</v>
      </c>
      <c r="BB369" s="499"/>
      <c r="BC369" s="271"/>
      <c r="BD369" s="279">
        <v>1</v>
      </c>
      <c r="BE369" s="271"/>
      <c r="BF369" s="271"/>
      <c r="BG369" s="271"/>
      <c r="BH369" s="271"/>
      <c r="BI369" s="271"/>
      <c r="BJ369" s="271"/>
      <c r="BK369" s="271"/>
      <c r="BL369" s="271"/>
    </row>
    <row r="370" spans="18:64" ht="21" customHeight="1" x14ac:dyDescent="0.25">
      <c r="R370" s="34" t="s">
        <v>6117</v>
      </c>
      <c r="S370" s="451"/>
      <c r="T370" s="30" t="s">
        <v>10</v>
      </c>
      <c r="V370" s="475">
        <v>9</v>
      </c>
      <c r="W370" s="475" t="str">
        <f>IF($AC$370="","",$W$360)</f>
        <v/>
      </c>
      <c r="X370" s="476" t="str">
        <f>IF($AC$370="","",$X$360)</f>
        <v/>
      </c>
      <c r="Y370" s="477" t="str">
        <f>IF($X$370="","",$Y$360)</f>
        <v/>
      </c>
      <c r="Z370" s="477" t="str">
        <f>IF($X$370="","",$Z$360)</f>
        <v/>
      </c>
      <c r="AA370" s="477" t="str">
        <f>IF($AC$370="","",ROW($A$370)-ROW($A$360))</f>
        <v/>
      </c>
      <c r="AB370" s="478"/>
      <c r="AC370" s="34"/>
      <c r="AD370" s="356"/>
      <c r="AE370" s="479"/>
      <c r="AF370" s="475"/>
      <c r="AG370" s="480" t="str">
        <f t="shared" si="100"/>
        <v/>
      </c>
      <c r="AH370" s="481" t="str">
        <f t="shared" si="101"/>
        <v/>
      </c>
      <c r="AI370" s="477" t="str">
        <f>IF($AC$370="","",IFERROR(INDEX($AZ$74:$AZ$119,MATCH($AH$370,$AY$74:$AY$119,0)),"AUTRE"))</f>
        <v/>
      </c>
      <c r="AJ370" s="482" t="str">
        <f>IF($AC$370="","",IFERROR(INDEX($BA$74:$BA$119,MATCH($AH$370,$AY$74:$AY$119,0)),1))</f>
        <v/>
      </c>
      <c r="AK370" s="482" t="str">
        <f t="shared" si="102"/>
        <v/>
      </c>
      <c r="AL370" s="477" t="str">
        <f>IF($AC$370="","",IFERROR(INDEX($BB$74:$BB$119,MATCH($AH$370,$AY$74:$AY$119,0)),$AH$370))</f>
        <v/>
      </c>
      <c r="AM370" s="483" t="str">
        <f t="shared" si="103"/>
        <v/>
      </c>
      <c r="AN370" s="484" t="str">
        <f t="shared" si="104"/>
        <v/>
      </c>
      <c r="AO370" s="473" t="str">
        <f t="shared" si="105"/>
        <v/>
      </c>
      <c r="AP370" s="473" t="str">
        <f t="shared" si="106"/>
        <v/>
      </c>
      <c r="AQ370" s="473" t="str">
        <f t="shared" si="107"/>
        <v/>
      </c>
      <c r="AR370" s="473" t="str">
        <f t="shared" si="108"/>
        <v/>
      </c>
      <c r="AS370" s="473" t="str">
        <f t="shared" si="109"/>
        <v/>
      </c>
      <c r="AT370" s="473" t="str">
        <f t="shared" si="110"/>
        <v/>
      </c>
      <c r="AU370" s="473" t="str">
        <f t="shared" si="111"/>
        <v/>
      </c>
      <c r="AZ370" s="31" t="s">
        <v>29</v>
      </c>
      <c r="BA370" s="25" t="s">
        <v>6116</v>
      </c>
      <c r="BB370" s="499"/>
      <c r="BC370" s="271"/>
      <c r="BD370" s="279">
        <v>1</v>
      </c>
      <c r="BE370" s="271"/>
      <c r="BF370" s="271"/>
      <c r="BG370" s="271"/>
      <c r="BH370" s="271"/>
      <c r="BI370" s="271"/>
      <c r="BJ370" s="271"/>
      <c r="BK370" s="271"/>
      <c r="BL370" s="271"/>
    </row>
    <row r="371" spans="18:64" ht="21" customHeight="1" x14ac:dyDescent="0.25">
      <c r="R371" s="34" t="s">
        <v>469</v>
      </c>
      <c r="S371" s="451"/>
      <c r="T371" s="30" t="s">
        <v>11</v>
      </c>
      <c r="V371" s="475">
        <v>9</v>
      </c>
      <c r="W371" s="475" t="str">
        <f>IF($AC$371="","",$W$360)</f>
        <v/>
      </c>
      <c r="X371" s="476" t="str">
        <f>IF($AC$371="","",$X$360)</f>
        <v/>
      </c>
      <c r="Y371" s="477" t="str">
        <f>IF($X$371="","",$Y$360)</f>
        <v/>
      </c>
      <c r="Z371" s="477" t="str">
        <f>IF($X$371="","",$Z$360)</f>
        <v/>
      </c>
      <c r="AA371" s="477" t="str">
        <f>IF($AC$371="","",ROW($A$371)-ROW($A$360))</f>
        <v/>
      </c>
      <c r="AB371" s="478"/>
      <c r="AC371" s="34"/>
      <c r="AD371" s="356"/>
      <c r="AE371" s="479"/>
      <c r="AF371" s="475"/>
      <c r="AG371" s="480" t="str">
        <f t="shared" si="100"/>
        <v/>
      </c>
      <c r="AH371" s="481" t="str">
        <f t="shared" si="101"/>
        <v/>
      </c>
      <c r="AI371" s="477" t="str">
        <f>IF($AC$371="","",IFERROR(INDEX($AZ$74:$AZ$119,MATCH($AH$371,$AY$74:$AY$119,0)),"AUTRE"))</f>
        <v/>
      </c>
      <c r="AJ371" s="482" t="str">
        <f>IF($AC$371="","",IFERROR(INDEX($BA$74:$BA$119,MATCH($AH$371,$AY$74:$AY$119,0)),1))</f>
        <v/>
      </c>
      <c r="AK371" s="482" t="str">
        <f t="shared" si="102"/>
        <v/>
      </c>
      <c r="AL371" s="477" t="str">
        <f>IF($AC$371="","",IFERROR(INDEX($BB$74:$BB$119,MATCH($AH$371,$AY$74:$AY$119,0)),$AH$371))</f>
        <v/>
      </c>
      <c r="AM371" s="483" t="str">
        <f t="shared" si="103"/>
        <v/>
      </c>
      <c r="AN371" s="484" t="str">
        <f t="shared" si="104"/>
        <v/>
      </c>
      <c r="AO371" s="473" t="str">
        <f t="shared" si="105"/>
        <v/>
      </c>
      <c r="AP371" s="473" t="str">
        <f t="shared" si="106"/>
        <v/>
      </c>
      <c r="AQ371" s="473" t="str">
        <f t="shared" si="107"/>
        <v/>
      </c>
      <c r="AR371" s="473" t="str">
        <f t="shared" si="108"/>
        <v/>
      </c>
      <c r="AS371" s="473" t="str">
        <f t="shared" si="109"/>
        <v/>
      </c>
      <c r="AT371" s="473" t="str">
        <f t="shared" si="110"/>
        <v/>
      </c>
      <c r="AU371" s="473" t="str">
        <f t="shared" si="111"/>
        <v/>
      </c>
      <c r="AZ371" s="31" t="s">
        <v>30</v>
      </c>
      <c r="BA371" s="34" t="s">
        <v>6117</v>
      </c>
      <c r="BB371" s="499"/>
      <c r="BC371" s="271"/>
      <c r="BD371" s="279">
        <v>1</v>
      </c>
      <c r="BE371" s="271"/>
      <c r="BF371" s="271"/>
      <c r="BG371" s="271"/>
      <c r="BH371" s="271"/>
      <c r="BI371" s="271"/>
      <c r="BJ371" s="271"/>
      <c r="BK371" s="271"/>
      <c r="BL371" s="271"/>
    </row>
    <row r="372" spans="18:64" ht="21" customHeight="1" x14ac:dyDescent="0.25">
      <c r="R372" s="34" t="s">
        <v>6118</v>
      </c>
      <c r="S372" s="451"/>
      <c r="T372" s="30" t="s">
        <v>12</v>
      </c>
      <c r="V372" s="475">
        <v>9</v>
      </c>
      <c r="W372" s="475" t="str">
        <f>IF($AC$372="","",$W$360)</f>
        <v/>
      </c>
      <c r="X372" s="476" t="str">
        <f>IF($AC$372="","",$X$360)</f>
        <v/>
      </c>
      <c r="Y372" s="477" t="str">
        <f>IF($X$372="","",$Y$360)</f>
        <v/>
      </c>
      <c r="Z372" s="477" t="str">
        <f>IF($X$372="","",$Z$360)</f>
        <v/>
      </c>
      <c r="AA372" s="477" t="str">
        <f>IF($AC$372="","",ROW($A$372)-ROW($A$360))</f>
        <v/>
      </c>
      <c r="AB372" s="478"/>
      <c r="AC372" s="34"/>
      <c r="AD372" s="356"/>
      <c r="AE372" s="479"/>
      <c r="AF372" s="475"/>
      <c r="AG372" s="480" t="str">
        <f t="shared" si="100"/>
        <v/>
      </c>
      <c r="AH372" s="481" t="str">
        <f t="shared" si="101"/>
        <v/>
      </c>
      <c r="AI372" s="477" t="str">
        <f>IF($AC$372="","",IFERROR(INDEX($AZ$74:$AZ$119,MATCH($AH$372,$AY$74:$AY$119,0)),"AUTRE"))</f>
        <v/>
      </c>
      <c r="AJ372" s="482" t="str">
        <f>IF($AC$372="","",IFERROR(INDEX($BA$74:$BA$119,MATCH($AH$372,$AY$74:$AY$119,0)),1))</f>
        <v/>
      </c>
      <c r="AK372" s="482" t="str">
        <f t="shared" si="102"/>
        <v/>
      </c>
      <c r="AL372" s="477" t="str">
        <f>IF($AC$372="","",IFERROR(INDEX($BB$74:$BB$119,MATCH($AH$372,$AY$74:$AY$119,0)),$AH$372))</f>
        <v/>
      </c>
      <c r="AM372" s="483" t="str">
        <f t="shared" si="103"/>
        <v/>
      </c>
      <c r="AN372" s="484" t="str">
        <f t="shared" si="104"/>
        <v/>
      </c>
      <c r="AO372" s="473" t="str">
        <f t="shared" si="105"/>
        <v/>
      </c>
      <c r="AP372" s="473" t="str">
        <f t="shared" si="106"/>
        <v/>
      </c>
      <c r="AQ372" s="473" t="str">
        <f t="shared" si="107"/>
        <v/>
      </c>
      <c r="AR372" s="473" t="str">
        <f t="shared" si="108"/>
        <v/>
      </c>
      <c r="AS372" s="473" t="str">
        <f t="shared" si="109"/>
        <v/>
      </c>
      <c r="AT372" s="473" t="str">
        <f t="shared" si="110"/>
        <v/>
      </c>
      <c r="AU372" s="473" t="str">
        <f t="shared" si="111"/>
        <v/>
      </c>
      <c r="AZ372" s="32" t="s">
        <v>33</v>
      </c>
      <c r="BA372" s="34" t="s">
        <v>469</v>
      </c>
      <c r="BB372" s="499"/>
      <c r="BC372" s="271"/>
      <c r="BD372" s="279">
        <v>1</v>
      </c>
      <c r="BE372" s="271"/>
      <c r="BF372" s="271"/>
      <c r="BG372" s="271"/>
      <c r="BH372" s="271"/>
      <c r="BI372" s="271"/>
      <c r="BJ372" s="271"/>
      <c r="BK372" s="271"/>
      <c r="BL372" s="271"/>
    </row>
    <row r="373" spans="18:64" ht="21" customHeight="1" x14ac:dyDescent="0.25">
      <c r="R373" s="34" t="s">
        <v>492</v>
      </c>
      <c r="S373" s="451"/>
      <c r="T373" s="31" t="s">
        <v>16</v>
      </c>
      <c r="V373" s="475">
        <v>9</v>
      </c>
      <c r="W373" s="475" t="str">
        <f>IF($AC$373="","",$W$360)</f>
        <v/>
      </c>
      <c r="X373" s="476" t="str">
        <f>IF($AC$373="","",$X$360)</f>
        <v/>
      </c>
      <c r="Y373" s="477" t="str">
        <f>IF($X$373="","",$Y$360)</f>
        <v/>
      </c>
      <c r="Z373" s="477" t="str">
        <f>IF($X$373="","",$Z$360)</f>
        <v/>
      </c>
      <c r="AA373" s="477" t="str">
        <f>IF($AC$373="","",ROW($A$373)-ROW($A$360))</f>
        <v/>
      </c>
      <c r="AB373" s="478"/>
      <c r="AC373" s="34"/>
      <c r="AD373" s="356"/>
      <c r="AE373" s="479"/>
      <c r="AF373" s="475"/>
      <c r="AG373" s="480" t="str">
        <f t="shared" si="100"/>
        <v/>
      </c>
      <c r="AH373" s="481" t="str">
        <f t="shared" si="101"/>
        <v/>
      </c>
      <c r="AI373" s="477" t="str">
        <f>IF($AC$373="","",IFERROR(INDEX($AZ$74:$AZ$119,MATCH($AH$373,$AY$74:$AY$119,0)),"AUTRE"))</f>
        <v/>
      </c>
      <c r="AJ373" s="482" t="str">
        <f>IF($AC$373="","",IFERROR(INDEX($BA$74:$BA$119,MATCH($AH$373,$AY$74:$AY$119,0)),1))</f>
        <v/>
      </c>
      <c r="AK373" s="482" t="str">
        <f t="shared" si="102"/>
        <v/>
      </c>
      <c r="AL373" s="477" t="str">
        <f>IF($AC$373="","",IFERROR(INDEX($BB$74:$BB$119,MATCH($AH$373,$AY$74:$AY$119,0)),$AH$373))</f>
        <v/>
      </c>
      <c r="AM373" s="483" t="str">
        <f t="shared" si="103"/>
        <v/>
      </c>
      <c r="AN373" s="484" t="str">
        <f t="shared" si="104"/>
        <v/>
      </c>
      <c r="AO373" s="473" t="str">
        <f t="shared" si="105"/>
        <v/>
      </c>
      <c r="AP373" s="473" t="str">
        <f t="shared" si="106"/>
        <v/>
      </c>
      <c r="AQ373" s="473" t="str">
        <f t="shared" si="107"/>
        <v/>
      </c>
      <c r="AR373" s="473" t="str">
        <f t="shared" si="108"/>
        <v/>
      </c>
      <c r="AS373" s="473" t="str">
        <f t="shared" si="109"/>
        <v/>
      </c>
      <c r="AT373" s="473" t="str">
        <f t="shared" si="110"/>
        <v/>
      </c>
      <c r="AU373" s="473" t="str">
        <f t="shared" si="111"/>
        <v/>
      </c>
      <c r="AZ373" s="32" t="s">
        <v>8125</v>
      </c>
      <c r="BA373" s="34" t="s">
        <v>6118</v>
      </c>
      <c r="BB373" s="499"/>
      <c r="BC373" s="271"/>
      <c r="BD373" s="279">
        <v>1</v>
      </c>
      <c r="BE373" s="271"/>
      <c r="BF373" s="271"/>
      <c r="BG373" s="271"/>
      <c r="BH373" s="271"/>
      <c r="BI373" s="271"/>
      <c r="BJ373" s="271"/>
      <c r="BK373" s="271"/>
      <c r="BL373" s="271"/>
    </row>
    <row r="374" spans="18:64" ht="21" customHeight="1" x14ac:dyDescent="0.25">
      <c r="R374" s="34" t="s">
        <v>458</v>
      </c>
      <c r="S374" s="451"/>
      <c r="T374" s="31" t="s">
        <v>17</v>
      </c>
      <c r="V374" s="475">
        <v>9</v>
      </c>
      <c r="W374" s="475" t="str">
        <f>IF($AC$374="","",$W$360)</f>
        <v/>
      </c>
      <c r="X374" s="476" t="str">
        <f>IF($AC$374="","",$X$360)</f>
        <v/>
      </c>
      <c r="Y374" s="477" t="str">
        <f>IF($X$374="","",$Y$360)</f>
        <v/>
      </c>
      <c r="Z374" s="477" t="str">
        <f>IF($X$374="","",$Z$360)</f>
        <v/>
      </c>
      <c r="AA374" s="477" t="str">
        <f>IF($AC$374="","",ROW($A$374)-ROW($A$360))</f>
        <v/>
      </c>
      <c r="AB374" s="478"/>
      <c r="AC374" s="34"/>
      <c r="AD374" s="356"/>
      <c r="AE374" s="479"/>
      <c r="AF374" s="475"/>
      <c r="AG374" s="480" t="str">
        <f t="shared" si="100"/>
        <v/>
      </c>
      <c r="AH374" s="481" t="str">
        <f t="shared" si="101"/>
        <v/>
      </c>
      <c r="AI374" s="477" t="str">
        <f>IF($AC$374="","",IFERROR(INDEX($AZ$74:$AZ$119,MATCH($AH$374,$AY$74:$AY$119,0)),"AUTRE"))</f>
        <v/>
      </c>
      <c r="AJ374" s="482" t="str">
        <f>IF($AC$374="","",IFERROR(INDEX($BA$74:$BA$119,MATCH($AH$374,$AY$74:$AY$119,0)),1))</f>
        <v/>
      </c>
      <c r="AK374" s="482" t="str">
        <f t="shared" si="102"/>
        <v/>
      </c>
      <c r="AL374" s="477" t="str">
        <f>IF($AC$374="","",IFERROR(INDEX($BB$74:$BB$119,MATCH($AH$374,$AY$74:$AY$119,0)),$AH$374))</f>
        <v/>
      </c>
      <c r="AM374" s="483" t="str">
        <f t="shared" si="103"/>
        <v/>
      </c>
      <c r="AN374" s="484" t="str">
        <f t="shared" si="104"/>
        <v/>
      </c>
      <c r="AO374" s="473" t="str">
        <f t="shared" si="105"/>
        <v/>
      </c>
      <c r="AP374" s="473" t="str">
        <f t="shared" si="106"/>
        <v/>
      </c>
      <c r="AQ374" s="473" t="str">
        <f t="shared" si="107"/>
        <v/>
      </c>
      <c r="AR374" s="473" t="str">
        <f t="shared" si="108"/>
        <v/>
      </c>
      <c r="AS374" s="473" t="str">
        <f t="shared" si="109"/>
        <v/>
      </c>
      <c r="AT374" s="473" t="str">
        <f t="shared" si="110"/>
        <v/>
      </c>
      <c r="AU374" s="473" t="str">
        <f t="shared" si="111"/>
        <v/>
      </c>
      <c r="AZ374" s="32" t="s">
        <v>8127</v>
      </c>
      <c r="BA374" s="34" t="s">
        <v>492</v>
      </c>
      <c r="BB374" s="499"/>
      <c r="BC374" s="271"/>
      <c r="BD374" s="279">
        <v>1</v>
      </c>
      <c r="BE374" s="271"/>
      <c r="BF374" s="271"/>
      <c r="BG374" s="271"/>
      <c r="BH374" s="271"/>
      <c r="BI374" s="271"/>
      <c r="BJ374" s="271"/>
      <c r="BK374" s="271"/>
      <c r="BL374" s="271"/>
    </row>
    <row r="375" spans="18:64" ht="21" customHeight="1" x14ac:dyDescent="0.25">
      <c r="R375" s="490"/>
      <c r="S375" s="451"/>
      <c r="T375" s="31" t="s">
        <v>18</v>
      </c>
      <c r="V375" s="475">
        <v>9</v>
      </c>
      <c r="W375" s="475" t="str">
        <f>IF($AC$375="","",$W$360)</f>
        <v/>
      </c>
      <c r="X375" s="476" t="str">
        <f>IF($AC$375="","",$X$360)</f>
        <v/>
      </c>
      <c r="Y375" s="477" t="str">
        <f>IF($X$375="","",$Y$360)</f>
        <v/>
      </c>
      <c r="Z375" s="477" t="str">
        <f>IF($X$375="","",$Z$360)</f>
        <v/>
      </c>
      <c r="AA375" s="477" t="str">
        <f>IF($AC$375="","",ROW($A$375)-ROW($A$360))</f>
        <v/>
      </c>
      <c r="AB375" s="478"/>
      <c r="AC375" s="34"/>
      <c r="AD375" s="356"/>
      <c r="AE375" s="479"/>
      <c r="AF375" s="475"/>
      <c r="AG375" s="480" t="str">
        <f t="shared" si="100"/>
        <v/>
      </c>
      <c r="AH375" s="481" t="str">
        <f t="shared" si="101"/>
        <v/>
      </c>
      <c r="AI375" s="477" t="str">
        <f>IF($AC$375="","",IFERROR(INDEX($AZ$74:$AZ$119,MATCH($AH$375,$AY$74:$AY$119,0)),"AUTRE"))</f>
        <v/>
      </c>
      <c r="AJ375" s="482" t="str">
        <f>IF($AC$375="","",IFERROR(INDEX($BA$74:$BA$119,MATCH($AH$375,$AY$74:$AY$119,0)),1))</f>
        <v/>
      </c>
      <c r="AK375" s="482" t="str">
        <f t="shared" si="102"/>
        <v/>
      </c>
      <c r="AL375" s="477" t="str">
        <f>IF($AC$375="","",IFERROR(INDEX($BB$74:$BB$119,MATCH($AH$375,$AY$74:$AY$119,0)),$AH$375))</f>
        <v/>
      </c>
      <c r="AM375" s="483" t="str">
        <f t="shared" si="103"/>
        <v/>
      </c>
      <c r="AN375" s="484" t="str">
        <f t="shared" si="104"/>
        <v/>
      </c>
      <c r="AO375" s="473" t="str">
        <f t="shared" si="105"/>
        <v/>
      </c>
      <c r="AP375" s="473" t="str">
        <f t="shared" si="106"/>
        <v/>
      </c>
      <c r="AQ375" s="473" t="str">
        <f t="shared" si="107"/>
        <v/>
      </c>
      <c r="AR375" s="473" t="str">
        <f t="shared" si="108"/>
        <v/>
      </c>
      <c r="AS375" s="473" t="str">
        <f t="shared" si="109"/>
        <v/>
      </c>
      <c r="AT375" s="473" t="str">
        <f t="shared" si="110"/>
        <v/>
      </c>
      <c r="AU375" s="473" t="str">
        <f t="shared" si="111"/>
        <v/>
      </c>
      <c r="AZ375" s="32" t="s">
        <v>320</v>
      </c>
      <c r="BA375" s="34" t="s">
        <v>458</v>
      </c>
      <c r="BB375" s="499"/>
      <c r="BC375" s="271"/>
      <c r="BD375" s="279">
        <v>1</v>
      </c>
      <c r="BE375" s="271"/>
      <c r="BF375" s="271"/>
      <c r="BG375" s="271"/>
      <c r="BH375" s="271"/>
      <c r="BI375" s="271"/>
      <c r="BJ375" s="271"/>
      <c r="BK375" s="271"/>
      <c r="BL375" s="271"/>
    </row>
    <row r="376" spans="18:64" ht="21" customHeight="1" x14ac:dyDescent="0.25">
      <c r="R376" s="25" t="s">
        <v>6119</v>
      </c>
      <c r="S376" s="451"/>
      <c r="T376" s="31" t="s">
        <v>19</v>
      </c>
      <c r="V376" s="475">
        <v>9</v>
      </c>
      <c r="W376" s="475" t="str">
        <f>IF($AC$376="","",$W$360)</f>
        <v/>
      </c>
      <c r="X376" s="476" t="str">
        <f>IF($AC$376="","",$X$360)</f>
        <v/>
      </c>
      <c r="Y376" s="477" t="str">
        <f>IF($X$376="","",$Y$360)</f>
        <v/>
      </c>
      <c r="Z376" s="477" t="str">
        <f>IF($X$376="","",$Z$360)</f>
        <v/>
      </c>
      <c r="AA376" s="477" t="str">
        <f>IF($AC$376="","",ROW($A$376)-ROW($A$360))</f>
        <v/>
      </c>
      <c r="AB376" s="478"/>
      <c r="AC376" s="34"/>
      <c r="AD376" s="356"/>
      <c r="AE376" s="479"/>
      <c r="AF376" s="475"/>
      <c r="AG376" s="480" t="str">
        <f t="shared" si="100"/>
        <v/>
      </c>
      <c r="AH376" s="481" t="str">
        <f t="shared" si="101"/>
        <v/>
      </c>
      <c r="AI376" s="477" t="str">
        <f>IF($AC$376="","",IFERROR(INDEX($AZ$74:$AZ$119,MATCH($AH$376,$AY$74:$AY$119,0)),"AUTRE"))</f>
        <v/>
      </c>
      <c r="AJ376" s="482" t="str">
        <f>IF($AC$376="","",IFERROR(INDEX($BA$74:$BA$119,MATCH($AH$376,$AY$74:$AY$119,0)),1))</f>
        <v/>
      </c>
      <c r="AK376" s="482" t="str">
        <f t="shared" si="102"/>
        <v/>
      </c>
      <c r="AL376" s="477" t="str">
        <f>IF($AC$376="","",IFERROR(INDEX($BB$74:$BB$119,MATCH($AH$376,$AY$74:$AY$119,0)),$AH$376))</f>
        <v/>
      </c>
      <c r="AM376" s="483" t="str">
        <f t="shared" si="103"/>
        <v/>
      </c>
      <c r="AN376" s="484" t="str">
        <f t="shared" si="104"/>
        <v/>
      </c>
      <c r="AO376" s="473" t="str">
        <f t="shared" si="105"/>
        <v/>
      </c>
      <c r="AP376" s="473" t="str">
        <f t="shared" si="106"/>
        <v/>
      </c>
      <c r="AQ376" s="473" t="str">
        <f t="shared" si="107"/>
        <v/>
      </c>
      <c r="AR376" s="473" t="str">
        <f t="shared" si="108"/>
        <v/>
      </c>
      <c r="AS376" s="473" t="str">
        <f t="shared" si="109"/>
        <v/>
      </c>
      <c r="AT376" s="473" t="str">
        <f t="shared" si="110"/>
        <v/>
      </c>
      <c r="AU376" s="473" t="str">
        <f t="shared" si="111"/>
        <v/>
      </c>
      <c r="AZ376" s="32" t="s">
        <v>318</v>
      </c>
      <c r="BA376" s="490"/>
      <c r="BB376" s="499"/>
      <c r="BC376" s="271"/>
      <c r="BD376" s="279">
        <v>1</v>
      </c>
      <c r="BE376" s="271"/>
      <c r="BF376" s="271"/>
      <c r="BG376" s="271"/>
      <c r="BH376" s="271"/>
      <c r="BI376" s="271"/>
      <c r="BJ376" s="271"/>
      <c r="BK376" s="271"/>
      <c r="BL376" s="271"/>
    </row>
    <row r="377" spans="18:64" ht="21" customHeight="1" x14ac:dyDescent="0.25">
      <c r="R377" s="34" t="s">
        <v>6120</v>
      </c>
      <c r="S377" s="451"/>
      <c r="T377" s="31" t="s">
        <v>211</v>
      </c>
      <c r="V377" s="475">
        <v>9</v>
      </c>
      <c r="W377" s="475" t="str">
        <f>IF($AC$377="","",$W$360)</f>
        <v/>
      </c>
      <c r="X377" s="476" t="str">
        <f>IF($AC$377="","",$X$360)</f>
        <v/>
      </c>
      <c r="Y377" s="477" t="str">
        <f>IF($X$377="","",$Y$360)</f>
        <v/>
      </c>
      <c r="Z377" s="477" t="str">
        <f>IF($X$377="","",$Z$360)</f>
        <v/>
      </c>
      <c r="AA377" s="477" t="str">
        <f>IF($AC$377="","",ROW($A$377)-ROW($A$360))</f>
        <v/>
      </c>
      <c r="AB377" s="478"/>
      <c r="AC377" s="34"/>
      <c r="AD377" s="356"/>
      <c r="AE377" s="479"/>
      <c r="AF377" s="475"/>
      <c r="AG377" s="480" t="str">
        <f t="shared" si="100"/>
        <v/>
      </c>
      <c r="AH377" s="481" t="str">
        <f t="shared" si="101"/>
        <v/>
      </c>
      <c r="AI377" s="477" t="str">
        <f>IF($AC$377="","",IFERROR(INDEX($AZ$74:$AZ$119,MATCH($AH$377,$AY$74:$AY$119,0)),"AUTRE"))</f>
        <v/>
      </c>
      <c r="AJ377" s="482" t="str">
        <f>IF($AC$377="","",IFERROR(INDEX($BA$74:$BA$119,MATCH($AH$377,$AY$74:$AY$119,0)),1))</f>
        <v/>
      </c>
      <c r="AK377" s="482" t="str">
        <f t="shared" si="102"/>
        <v/>
      </c>
      <c r="AL377" s="477" t="str">
        <f>IF($AC$377="","",IFERROR(INDEX($BB$74:$BB$119,MATCH($AH$377,$AY$74:$AY$119,0)),$AH$377))</f>
        <v/>
      </c>
      <c r="AM377" s="483" t="str">
        <f t="shared" si="103"/>
        <v/>
      </c>
      <c r="AN377" s="484" t="str">
        <f t="shared" si="104"/>
        <v/>
      </c>
      <c r="AO377" s="473" t="str">
        <f t="shared" si="105"/>
        <v/>
      </c>
      <c r="AP377" s="473" t="str">
        <f t="shared" si="106"/>
        <v/>
      </c>
      <c r="AQ377" s="473" t="str">
        <f t="shared" si="107"/>
        <v/>
      </c>
      <c r="AR377" s="473" t="str">
        <f t="shared" si="108"/>
        <v/>
      </c>
      <c r="AS377" s="473" t="str">
        <f t="shared" si="109"/>
        <v/>
      </c>
      <c r="AT377" s="473" t="str">
        <f t="shared" si="110"/>
        <v/>
      </c>
      <c r="AU377" s="473" t="str">
        <f t="shared" si="111"/>
        <v/>
      </c>
      <c r="AZ377" s="32" t="s">
        <v>316</v>
      </c>
      <c r="BA377" s="25" t="s">
        <v>6119</v>
      </c>
      <c r="BB377" s="499"/>
      <c r="BC377" s="271"/>
      <c r="BD377" s="279">
        <v>1</v>
      </c>
      <c r="BE377" s="271"/>
      <c r="BF377" s="271"/>
      <c r="BG377" s="271"/>
      <c r="BH377" s="271"/>
      <c r="BI377" s="271"/>
      <c r="BJ377" s="271"/>
      <c r="BK377" s="271"/>
      <c r="BL377" s="271"/>
    </row>
    <row r="378" spans="18:64" ht="21" customHeight="1" x14ac:dyDescent="0.25">
      <c r="R378" s="34" t="s">
        <v>6121</v>
      </c>
      <c r="S378" s="451"/>
      <c r="T378" s="31" t="s">
        <v>20</v>
      </c>
      <c r="V378" s="475">
        <v>9</v>
      </c>
      <c r="W378" s="475" t="str">
        <f>IF($AC$378="","",$W$360)</f>
        <v/>
      </c>
      <c r="X378" s="476" t="str">
        <f>IF($AC$378="","",$X$360)</f>
        <v/>
      </c>
      <c r="Y378" s="477" t="str">
        <f>IF($X$378="","",$Y$360)</f>
        <v/>
      </c>
      <c r="Z378" s="477" t="str">
        <f>IF($X$378="","",$Z$360)</f>
        <v/>
      </c>
      <c r="AA378" s="477" t="str">
        <f>IF($AC$378="","",ROW($A$378)-ROW($A$360))</f>
        <v/>
      </c>
      <c r="AB378" s="478"/>
      <c r="AC378" s="34"/>
      <c r="AD378" s="356"/>
      <c r="AE378" s="479"/>
      <c r="AF378" s="475"/>
      <c r="AG378" s="480" t="str">
        <f t="shared" si="100"/>
        <v/>
      </c>
      <c r="AH378" s="481" t="str">
        <f t="shared" si="101"/>
        <v/>
      </c>
      <c r="AI378" s="477" t="str">
        <f>IF($AC$378="","",IFERROR(INDEX($AZ$74:$AZ$119,MATCH($AH$378,$AY$74:$AY$119,0)),"AUTRE"))</f>
        <v/>
      </c>
      <c r="AJ378" s="482" t="str">
        <f>IF($AC$378="","",IFERROR(INDEX($BA$74:$BA$119,MATCH($AH$378,$AY$74:$AY$119,0)),1))</f>
        <v/>
      </c>
      <c r="AK378" s="482" t="str">
        <f t="shared" si="102"/>
        <v/>
      </c>
      <c r="AL378" s="477" t="str">
        <f>IF($AC$378="","",IFERROR(INDEX($BB$74:$BB$119,MATCH($AH$378,$AY$74:$AY$119,0)),$AH$378))</f>
        <v/>
      </c>
      <c r="AM378" s="483" t="str">
        <f t="shared" si="103"/>
        <v/>
      </c>
      <c r="AN378" s="484" t="str">
        <f t="shared" si="104"/>
        <v/>
      </c>
      <c r="AO378" s="473" t="str">
        <f t="shared" si="105"/>
        <v/>
      </c>
      <c r="AP378" s="473" t="str">
        <f t="shared" si="106"/>
        <v/>
      </c>
      <c r="AQ378" s="473" t="str">
        <f t="shared" si="107"/>
        <v/>
      </c>
      <c r="AR378" s="473" t="str">
        <f t="shared" si="108"/>
        <v/>
      </c>
      <c r="AS378" s="473" t="str">
        <f t="shared" si="109"/>
        <v/>
      </c>
      <c r="AT378" s="473" t="str">
        <f t="shared" si="110"/>
        <v/>
      </c>
      <c r="AU378" s="473" t="str">
        <f t="shared" si="111"/>
        <v/>
      </c>
      <c r="AZ378" s="32" t="s">
        <v>313</v>
      </c>
      <c r="BA378" s="34" t="s">
        <v>6120</v>
      </c>
      <c r="BB378" s="499"/>
      <c r="BC378" s="271"/>
      <c r="BD378" s="279">
        <v>1</v>
      </c>
      <c r="BE378" s="271"/>
      <c r="BF378" s="271"/>
      <c r="BG378" s="271"/>
      <c r="BH378" s="271"/>
      <c r="BI378" s="271"/>
      <c r="BJ378" s="271"/>
      <c r="BK378" s="271"/>
      <c r="BL378" s="271"/>
    </row>
    <row r="379" spans="18:64" ht="21" customHeight="1" x14ac:dyDescent="0.25">
      <c r="R379" s="34" t="s">
        <v>6122</v>
      </c>
      <c r="S379" s="451"/>
      <c r="T379" s="31" t="s">
        <v>304</v>
      </c>
      <c r="V379" s="475">
        <v>9</v>
      </c>
      <c r="W379" s="475" t="str">
        <f>IF($AC$379="","",$W$360)</f>
        <v/>
      </c>
      <c r="X379" s="476" t="str">
        <f>IF($AC$379="","",$X$360)</f>
        <v/>
      </c>
      <c r="Y379" s="477" t="str">
        <f>IF($X$379="","",$Y$360)</f>
        <v/>
      </c>
      <c r="Z379" s="477" t="str">
        <f>IF($X$379="","",$Z$360)</f>
        <v/>
      </c>
      <c r="AA379" s="477" t="str">
        <f>IF($AC$379="","",ROW($A$379)-ROW($A$360))</f>
        <v/>
      </c>
      <c r="AB379" s="478"/>
      <c r="AC379" s="34"/>
      <c r="AD379" s="356"/>
      <c r="AE379" s="479"/>
      <c r="AF379" s="475"/>
      <c r="AG379" s="480" t="str">
        <f t="shared" si="100"/>
        <v/>
      </c>
      <c r="AH379" s="481" t="str">
        <f t="shared" si="101"/>
        <v/>
      </c>
      <c r="AI379" s="477" t="str">
        <f>IF($AC$379="","",IFERROR(INDEX($AZ$74:$AZ$119,MATCH($AH$379,$AY$74:$AY$119,0)),"AUTRE"))</f>
        <v/>
      </c>
      <c r="AJ379" s="482" t="str">
        <f>IF($AC$379="","",IFERROR(INDEX($BA$74:$BA$119,MATCH($AH$379,$AY$74:$AY$119,0)),1))</f>
        <v/>
      </c>
      <c r="AK379" s="482" t="str">
        <f t="shared" si="102"/>
        <v/>
      </c>
      <c r="AL379" s="477" t="str">
        <f>IF($AC$379="","",IFERROR(INDEX($BB$74:$BB$119,MATCH($AH$379,$AY$74:$AY$119,0)),$AH$379))</f>
        <v/>
      </c>
      <c r="AM379" s="483" t="str">
        <f t="shared" si="103"/>
        <v/>
      </c>
      <c r="AN379" s="484" t="str">
        <f t="shared" si="104"/>
        <v/>
      </c>
      <c r="AO379" s="473" t="str">
        <f t="shared" si="105"/>
        <v/>
      </c>
      <c r="AP379" s="473" t="str">
        <f t="shared" si="106"/>
        <v/>
      </c>
      <c r="AQ379" s="473" t="str">
        <f t="shared" si="107"/>
        <v/>
      </c>
      <c r="AR379" s="473" t="str">
        <f t="shared" si="108"/>
        <v/>
      </c>
      <c r="AS379" s="473" t="str">
        <f t="shared" si="109"/>
        <v/>
      </c>
      <c r="AT379" s="473" t="str">
        <f t="shared" si="110"/>
        <v/>
      </c>
      <c r="AU379" s="473" t="str">
        <f t="shared" si="111"/>
        <v/>
      </c>
      <c r="AZ379" s="32" t="s">
        <v>307</v>
      </c>
      <c r="BA379" s="34" t="s">
        <v>6121</v>
      </c>
      <c r="BB379" s="499"/>
      <c r="BC379" s="271"/>
      <c r="BD379" s="279">
        <v>1</v>
      </c>
      <c r="BE379" s="271"/>
      <c r="BF379" s="271"/>
      <c r="BG379" s="271"/>
      <c r="BH379" s="271"/>
      <c r="BI379" s="271"/>
      <c r="BJ379" s="271"/>
      <c r="BK379" s="271"/>
      <c r="BL379" s="271"/>
    </row>
    <row r="380" spans="18:64" ht="21" customHeight="1" x14ac:dyDescent="0.25">
      <c r="R380" s="34" t="s">
        <v>6123</v>
      </c>
      <c r="S380" s="451"/>
      <c r="T380" s="31" t="s">
        <v>352</v>
      </c>
      <c r="V380" s="475">
        <v>9</v>
      </c>
      <c r="W380" s="475" t="str">
        <f>IF($AC$380="","",$W$360)</f>
        <v/>
      </c>
      <c r="X380" s="476" t="str">
        <f>IF($AC$380="","",$X$360)</f>
        <v/>
      </c>
      <c r="Y380" s="477" t="str">
        <f>IF($X$380="","",$Y$360)</f>
        <v/>
      </c>
      <c r="Z380" s="477" t="str">
        <f>IF($X$380="","",$Z$360)</f>
        <v/>
      </c>
      <c r="AA380" s="477" t="str">
        <f>IF($AC$380="","",ROW($A$380)-ROW($A$360))</f>
        <v/>
      </c>
      <c r="AB380" s="478"/>
      <c r="AC380" s="34"/>
      <c r="AD380" s="356"/>
      <c r="AE380" s="479"/>
      <c r="AF380" s="475"/>
      <c r="AG380" s="480" t="str">
        <f t="shared" si="100"/>
        <v/>
      </c>
      <c r="AH380" s="481" t="str">
        <f t="shared" si="101"/>
        <v/>
      </c>
      <c r="AI380" s="477" t="str">
        <f>IF($AC$380="","",IFERROR(INDEX($AZ$74:$AZ$119,MATCH($AH$380,$AY$74:$AY$119,0)),"AUTRE"))</f>
        <v/>
      </c>
      <c r="AJ380" s="482" t="str">
        <f>IF($AC$380="","",IFERROR(INDEX($BA$74:$BA$119,MATCH($AH$380,$AY$74:$AY$119,0)),1))</f>
        <v/>
      </c>
      <c r="AK380" s="482" t="str">
        <f t="shared" si="102"/>
        <v/>
      </c>
      <c r="AL380" s="477" t="str">
        <f>IF($AC$380="","",IFERROR(INDEX($BB$74:$BB$119,MATCH($AH$380,$AY$74:$AY$119,0)),$AH$380))</f>
        <v/>
      </c>
      <c r="AM380" s="483" t="str">
        <f t="shared" si="103"/>
        <v/>
      </c>
      <c r="AN380" s="484" t="str">
        <f t="shared" si="104"/>
        <v/>
      </c>
      <c r="AO380" s="473" t="str">
        <f t="shared" si="105"/>
        <v/>
      </c>
      <c r="AP380" s="473" t="str">
        <f t="shared" si="106"/>
        <v/>
      </c>
      <c r="AQ380" s="473" t="str">
        <f t="shared" si="107"/>
        <v/>
      </c>
      <c r="AR380" s="473" t="str">
        <f t="shared" si="108"/>
        <v/>
      </c>
      <c r="AS380" s="473" t="str">
        <f t="shared" si="109"/>
        <v/>
      </c>
      <c r="AT380" s="473" t="str">
        <f t="shared" si="110"/>
        <v/>
      </c>
      <c r="AU380" s="473" t="str">
        <f t="shared" si="111"/>
        <v/>
      </c>
      <c r="AZ380" s="32" t="s">
        <v>322</v>
      </c>
      <c r="BA380" s="34" t="s">
        <v>6122</v>
      </c>
      <c r="BB380" s="499"/>
      <c r="BC380" s="271"/>
      <c r="BD380" s="279">
        <v>1</v>
      </c>
      <c r="BE380" s="271"/>
      <c r="BF380" s="271"/>
      <c r="BG380" s="271"/>
      <c r="BH380" s="271"/>
      <c r="BI380" s="271"/>
      <c r="BJ380" s="271"/>
      <c r="BK380" s="271"/>
      <c r="BL380" s="271"/>
    </row>
    <row r="381" spans="18:64" ht="21" customHeight="1" x14ac:dyDescent="0.25">
      <c r="R381" s="34" t="s">
        <v>6124</v>
      </c>
      <c r="S381" s="451"/>
      <c r="T381" s="31" t="s">
        <v>25</v>
      </c>
      <c r="V381" s="475">
        <v>9</v>
      </c>
      <c r="W381" s="475" t="str">
        <f>IF($AC$381="","",$W$360)</f>
        <v/>
      </c>
      <c r="X381" s="476" t="str">
        <f>IF($AC$381="","",$X$360)</f>
        <v/>
      </c>
      <c r="Y381" s="477" t="str">
        <f>IF($X$381="","",$Y$360)</f>
        <v/>
      </c>
      <c r="Z381" s="477" t="str">
        <f>IF($X$381="","",$Z$360)</f>
        <v/>
      </c>
      <c r="AA381" s="477" t="str">
        <f>IF($AC$381="","",ROW($A$381)-ROW($A$360))</f>
        <v/>
      </c>
      <c r="AB381" s="478"/>
      <c r="AC381" s="34"/>
      <c r="AD381" s="356"/>
      <c r="AE381" s="479"/>
      <c r="AF381" s="475"/>
      <c r="AG381" s="480" t="str">
        <f t="shared" si="100"/>
        <v/>
      </c>
      <c r="AH381" s="481" t="str">
        <f t="shared" si="101"/>
        <v/>
      </c>
      <c r="AI381" s="477" t="str">
        <f>IF($AC$381="","",IFERROR(INDEX($AZ$74:$AZ$119,MATCH($AH$381,$AY$74:$AY$119,0)),"AUTRE"))</f>
        <v/>
      </c>
      <c r="AJ381" s="482" t="str">
        <f>IF($AC$381="","",IFERROR(INDEX($BA$74:$BA$119,MATCH($AH$381,$AY$74:$AY$119,0)),1))</f>
        <v/>
      </c>
      <c r="AK381" s="482" t="str">
        <f t="shared" si="102"/>
        <v/>
      </c>
      <c r="AL381" s="477" t="str">
        <f>IF($AC$381="","",IFERROR(INDEX($BB$74:$BB$119,MATCH($AH$381,$AY$74:$AY$119,0)),$AH$381))</f>
        <v/>
      </c>
      <c r="AM381" s="483" t="str">
        <f t="shared" si="103"/>
        <v/>
      </c>
      <c r="AN381" s="484" t="str">
        <f t="shared" si="104"/>
        <v/>
      </c>
      <c r="AO381" s="473" t="str">
        <f t="shared" si="105"/>
        <v/>
      </c>
      <c r="AP381" s="473" t="str">
        <f t="shared" si="106"/>
        <v/>
      </c>
      <c r="AQ381" s="473" t="str">
        <f t="shared" si="107"/>
        <v/>
      </c>
      <c r="AR381" s="473" t="str">
        <f t="shared" si="108"/>
        <v/>
      </c>
      <c r="AS381" s="473" t="str">
        <f t="shared" si="109"/>
        <v/>
      </c>
      <c r="AT381" s="473" t="str">
        <f t="shared" si="110"/>
        <v/>
      </c>
      <c r="AU381" s="473" t="str">
        <f t="shared" si="111"/>
        <v/>
      </c>
      <c r="AZ381" s="32" t="s">
        <v>305</v>
      </c>
      <c r="BA381" s="34" t="s">
        <v>6123</v>
      </c>
      <c r="BB381" s="499"/>
      <c r="BC381" s="271"/>
      <c r="BD381" s="279">
        <v>1</v>
      </c>
      <c r="BE381" s="271"/>
      <c r="BF381" s="271"/>
      <c r="BG381" s="271"/>
      <c r="BH381" s="271"/>
      <c r="BI381" s="271"/>
      <c r="BJ381" s="271"/>
      <c r="BK381" s="271"/>
      <c r="BL381" s="271"/>
    </row>
    <row r="382" spans="18:64" ht="21" customHeight="1" x14ac:dyDescent="0.25">
      <c r="R382" s="34" t="s">
        <v>6125</v>
      </c>
      <c r="S382" s="451"/>
      <c r="T382" s="31" t="s">
        <v>26</v>
      </c>
      <c r="V382" s="475">
        <v>9</v>
      </c>
      <c r="W382" s="475" t="str">
        <f>IF($AC$382="","",$W$360)</f>
        <v/>
      </c>
      <c r="X382" s="476" t="str">
        <f>IF($AC$382="","",$X$360)</f>
        <v/>
      </c>
      <c r="Y382" s="477" t="str">
        <f>IF($X$382="","",$Y$360)</f>
        <v/>
      </c>
      <c r="Z382" s="477" t="str">
        <f>IF($X$382="","",$Z$360)</f>
        <v/>
      </c>
      <c r="AA382" s="477" t="str">
        <f>IF($AC$382="","",ROW($A$382)-ROW($A$360))</f>
        <v/>
      </c>
      <c r="AB382" s="478"/>
      <c r="AC382" s="34"/>
      <c r="AD382" s="356"/>
      <c r="AE382" s="479"/>
      <c r="AF382" s="475"/>
      <c r="AG382" s="480" t="str">
        <f t="shared" si="100"/>
        <v/>
      </c>
      <c r="AH382" s="481" t="str">
        <f t="shared" si="101"/>
        <v/>
      </c>
      <c r="AI382" s="477" t="str">
        <f>IF($AC$382="","",IFERROR(INDEX($AZ$74:$AZ$119,MATCH($AH$382,$AY$74:$AY$119,0)),"AUTRE"))</f>
        <v/>
      </c>
      <c r="AJ382" s="482" t="str">
        <f>IF($AC$382="","",IFERROR(INDEX($BA$74:$BA$119,MATCH($AH$382,$AY$74:$AY$119,0)),1))</f>
        <v/>
      </c>
      <c r="AK382" s="482" t="str">
        <f t="shared" si="102"/>
        <v/>
      </c>
      <c r="AL382" s="477" t="str">
        <f>IF($AC$382="","",IFERROR(INDEX($BB$74:$BB$119,MATCH($AH$382,$AY$74:$AY$119,0)),$AH$382))</f>
        <v/>
      </c>
      <c r="AM382" s="483" t="str">
        <f t="shared" si="103"/>
        <v/>
      </c>
      <c r="AN382" s="484" t="str">
        <f t="shared" si="104"/>
        <v/>
      </c>
      <c r="AO382" s="473" t="str">
        <f t="shared" si="105"/>
        <v/>
      </c>
      <c r="AP382" s="473" t="str">
        <f t="shared" si="106"/>
        <v/>
      </c>
      <c r="AQ382" s="473" t="str">
        <f t="shared" si="107"/>
        <v/>
      </c>
      <c r="AR382" s="473" t="str">
        <f t="shared" si="108"/>
        <v/>
      </c>
      <c r="AS382" s="473" t="str">
        <f t="shared" si="109"/>
        <v/>
      </c>
      <c r="AT382" s="473" t="str">
        <f t="shared" si="110"/>
        <v/>
      </c>
      <c r="AU382" s="473" t="str">
        <f t="shared" si="111"/>
        <v/>
      </c>
      <c r="AZ382" s="32" t="s">
        <v>8129</v>
      </c>
      <c r="BA382" s="34" t="s">
        <v>6124</v>
      </c>
      <c r="BB382" s="499"/>
      <c r="BC382" s="271"/>
      <c r="BD382" s="279">
        <v>1</v>
      </c>
      <c r="BE382" s="271"/>
      <c r="BF382" s="271"/>
      <c r="BG382" s="271"/>
      <c r="BH382" s="271"/>
      <c r="BI382" s="271"/>
      <c r="BJ382" s="271"/>
      <c r="BK382" s="271"/>
      <c r="BL382" s="271"/>
    </row>
    <row r="383" spans="18:64" ht="21" customHeight="1" x14ac:dyDescent="0.25">
      <c r="R383" s="34" t="s">
        <v>6126</v>
      </c>
      <c r="S383" s="451"/>
      <c r="T383" s="31" t="s">
        <v>27</v>
      </c>
      <c r="V383" s="475">
        <v>9</v>
      </c>
      <c r="W383" s="475" t="str">
        <f>IF($AC$383="","",$W$360)</f>
        <v/>
      </c>
      <c r="X383" s="476" t="str">
        <f>IF($AC$383="","",$X$360)</f>
        <v/>
      </c>
      <c r="Y383" s="477" t="str">
        <f>IF($X$383="","",$Y$360)</f>
        <v/>
      </c>
      <c r="Z383" s="477" t="str">
        <f>IF($X$383="","",$Z$360)</f>
        <v/>
      </c>
      <c r="AA383" s="477" t="str">
        <f>IF($AC$383="","",ROW($A$383)-ROW($A$360))</f>
        <v/>
      </c>
      <c r="AB383" s="478"/>
      <c r="AC383" s="34"/>
      <c r="AD383" s="356"/>
      <c r="AE383" s="479"/>
      <c r="AF383" s="475"/>
      <c r="AG383" s="480" t="str">
        <f t="shared" si="100"/>
        <v/>
      </c>
      <c r="AH383" s="481" t="str">
        <f t="shared" si="101"/>
        <v/>
      </c>
      <c r="AI383" s="477" t="str">
        <f>IF($AC$383="","",IFERROR(INDEX($AZ$74:$AZ$119,MATCH($AH$383,$AY$74:$AY$119,0)),"AUTRE"))</f>
        <v/>
      </c>
      <c r="AJ383" s="482" t="str">
        <f>IF($AC$383="","",IFERROR(INDEX($BA$74:$BA$119,MATCH($AH$383,$AY$74:$AY$119,0)),1))</f>
        <v/>
      </c>
      <c r="AK383" s="482" t="str">
        <f t="shared" si="102"/>
        <v/>
      </c>
      <c r="AL383" s="477" t="str">
        <f>IF($AC$383="","",IFERROR(INDEX($BB$74:$BB$119,MATCH($AH$383,$AY$74:$AY$119,0)),$AH$383))</f>
        <v/>
      </c>
      <c r="AM383" s="483" t="str">
        <f t="shared" si="103"/>
        <v/>
      </c>
      <c r="AN383" s="484" t="str">
        <f t="shared" si="104"/>
        <v/>
      </c>
      <c r="AO383" s="473" t="str">
        <f t="shared" si="105"/>
        <v/>
      </c>
      <c r="AP383" s="473" t="str">
        <f t="shared" si="106"/>
        <v/>
      </c>
      <c r="AQ383" s="473" t="str">
        <f t="shared" si="107"/>
        <v/>
      </c>
      <c r="AR383" s="473" t="str">
        <f t="shared" si="108"/>
        <v/>
      </c>
      <c r="AS383" s="473" t="str">
        <f t="shared" si="109"/>
        <v/>
      </c>
      <c r="AT383" s="473" t="str">
        <f t="shared" si="110"/>
        <v/>
      </c>
      <c r="AU383" s="473" t="str">
        <f t="shared" si="111"/>
        <v/>
      </c>
      <c r="AZ383" s="32" t="s">
        <v>8131</v>
      </c>
      <c r="BA383" s="34" t="s">
        <v>6125</v>
      </c>
      <c r="BB383" s="499"/>
      <c r="BC383" s="271"/>
      <c r="BD383" s="279">
        <v>1</v>
      </c>
      <c r="BE383" s="271"/>
      <c r="BF383" s="271"/>
      <c r="BG383" s="271"/>
      <c r="BH383" s="271"/>
      <c r="BI383" s="271"/>
      <c r="BJ383" s="271"/>
      <c r="BK383" s="271"/>
      <c r="BL383" s="271"/>
    </row>
    <row r="384" spans="18:64" ht="21" customHeight="1" x14ac:dyDescent="0.25">
      <c r="R384" s="34" t="s">
        <v>6127</v>
      </c>
      <c r="S384" s="451"/>
      <c r="T384" s="31" t="s">
        <v>28</v>
      </c>
      <c r="V384" s="475">
        <v>9</v>
      </c>
      <c r="W384" s="475" t="str">
        <f>IF($AC$384="","",$W$360)</f>
        <v/>
      </c>
      <c r="X384" s="476" t="str">
        <f>IF($AC$384="","",$X$360)</f>
        <v/>
      </c>
      <c r="Y384" s="477" t="str">
        <f>IF($X$384="","",$Y$360)</f>
        <v/>
      </c>
      <c r="Z384" s="477" t="str">
        <f>IF($X$384="","",$Z$360)</f>
        <v/>
      </c>
      <c r="AA384" s="477" t="str">
        <f>IF($AC$384="","",ROW($A$384)-ROW($A$360))</f>
        <v/>
      </c>
      <c r="AB384" s="478"/>
      <c r="AC384" s="34"/>
      <c r="AD384" s="356"/>
      <c r="AE384" s="479"/>
      <c r="AF384" s="475"/>
      <c r="AG384" s="480" t="str">
        <f t="shared" si="100"/>
        <v/>
      </c>
      <c r="AH384" s="481" t="str">
        <f t="shared" si="101"/>
        <v/>
      </c>
      <c r="AI384" s="477" t="str">
        <f>IF($AC$384="","",IFERROR(INDEX($AZ$74:$AZ$119,MATCH($AH$384,$AY$74:$AY$119,0)),"AUTRE"))</f>
        <v/>
      </c>
      <c r="AJ384" s="482" t="str">
        <f>IF($AC$384="","",IFERROR(INDEX($BA$74:$BA$119,MATCH($AH$384,$AY$74:$AY$119,0)),1))</f>
        <v/>
      </c>
      <c r="AK384" s="482" t="str">
        <f t="shared" si="102"/>
        <v/>
      </c>
      <c r="AL384" s="477" t="str">
        <f>IF($AC$384="","",IFERROR(INDEX($BB$74:$BB$119,MATCH($AH$384,$AY$74:$AY$119,0)),$AH$384))</f>
        <v/>
      </c>
      <c r="AM384" s="483" t="str">
        <f t="shared" si="103"/>
        <v/>
      </c>
      <c r="AN384" s="484" t="str">
        <f t="shared" si="104"/>
        <v/>
      </c>
      <c r="AO384" s="473" t="str">
        <f t="shared" si="105"/>
        <v/>
      </c>
      <c r="AP384" s="473" t="str">
        <f t="shared" si="106"/>
        <v/>
      </c>
      <c r="AQ384" s="473" t="str">
        <f t="shared" si="107"/>
        <v/>
      </c>
      <c r="AR384" s="473" t="str">
        <f t="shared" si="108"/>
        <v/>
      </c>
      <c r="AS384" s="473" t="str">
        <f t="shared" si="109"/>
        <v/>
      </c>
      <c r="AT384" s="473" t="str">
        <f t="shared" si="110"/>
        <v/>
      </c>
      <c r="AU384" s="473" t="str">
        <f t="shared" si="111"/>
        <v/>
      </c>
      <c r="AZ384" s="32" t="s">
        <v>309</v>
      </c>
      <c r="BA384" s="34" t="s">
        <v>6126</v>
      </c>
      <c r="BB384" s="499"/>
      <c r="BC384" s="271"/>
      <c r="BD384" s="279">
        <v>1</v>
      </c>
      <c r="BE384" s="271"/>
      <c r="BF384" s="271"/>
      <c r="BG384" s="271"/>
      <c r="BH384" s="271"/>
      <c r="BI384" s="271"/>
      <c r="BJ384" s="271"/>
      <c r="BK384" s="271"/>
      <c r="BL384" s="271"/>
    </row>
    <row r="385" spans="18:64" ht="21" customHeight="1" x14ac:dyDescent="0.25">
      <c r="R385" s="25" t="s">
        <v>6128</v>
      </c>
      <c r="S385" s="451"/>
      <c r="T385" s="31" t="s">
        <v>29</v>
      </c>
      <c r="V385" s="475">
        <v>9</v>
      </c>
      <c r="W385" s="475" t="str">
        <f>IF($AC$385="","",$W$360)</f>
        <v/>
      </c>
      <c r="X385" s="476" t="str">
        <f>IF($AC$385="","",$X$360)</f>
        <v/>
      </c>
      <c r="Y385" s="477" t="str">
        <f>IF($X$385="","",$Y$360)</f>
        <v/>
      </c>
      <c r="Z385" s="477" t="str">
        <f>IF($X$385="","",$Z$360)</f>
        <v/>
      </c>
      <c r="AA385" s="477" t="str">
        <f>IF($AC$385="","",ROW($A$385)-ROW($A$360))</f>
        <v/>
      </c>
      <c r="AB385" s="478"/>
      <c r="AC385" s="34"/>
      <c r="AD385" s="356"/>
      <c r="AE385" s="479"/>
      <c r="AF385" s="475"/>
      <c r="AG385" s="480" t="str">
        <f t="shared" si="100"/>
        <v/>
      </c>
      <c r="AH385" s="481" t="str">
        <f t="shared" si="101"/>
        <v/>
      </c>
      <c r="AI385" s="477" t="str">
        <f>IF($AC$385="","",IFERROR(INDEX($AZ$74:$AZ$119,MATCH($AH$385,$AY$74:$AY$119,0)),"AUTRE"))</f>
        <v/>
      </c>
      <c r="AJ385" s="482" t="str">
        <f>IF($AC$385="","",IFERROR(INDEX($BA$74:$BA$119,MATCH($AH$385,$AY$74:$AY$119,0)),1))</f>
        <v/>
      </c>
      <c r="AK385" s="482" t="str">
        <f t="shared" si="102"/>
        <v/>
      </c>
      <c r="AL385" s="477" t="str">
        <f>IF($AC$385="","",IFERROR(INDEX($BB$74:$BB$119,MATCH($AH$385,$AY$74:$AY$119,0)),$AH$385))</f>
        <v/>
      </c>
      <c r="AM385" s="483" t="str">
        <f t="shared" si="103"/>
        <v/>
      </c>
      <c r="AN385" s="484" t="str">
        <f t="shared" si="104"/>
        <v/>
      </c>
      <c r="AO385" s="473" t="str">
        <f t="shared" si="105"/>
        <v/>
      </c>
      <c r="AP385" s="473" t="str">
        <f t="shared" si="106"/>
        <v/>
      </c>
      <c r="AQ385" s="473" t="str">
        <f t="shared" si="107"/>
        <v/>
      </c>
      <c r="AR385" s="473" t="str">
        <f t="shared" si="108"/>
        <v/>
      </c>
      <c r="AS385" s="473" t="str">
        <f t="shared" si="109"/>
        <v/>
      </c>
      <c r="AT385" s="473" t="str">
        <f t="shared" si="110"/>
        <v/>
      </c>
      <c r="AU385" s="473" t="str">
        <f t="shared" si="111"/>
        <v/>
      </c>
      <c r="AZ385" s="32" t="s">
        <v>311</v>
      </c>
      <c r="BA385" s="34" t="s">
        <v>6127</v>
      </c>
      <c r="BB385" s="499"/>
      <c r="BC385" s="271"/>
      <c r="BD385" s="279">
        <v>1</v>
      </c>
      <c r="BE385" s="271"/>
      <c r="BF385" s="271"/>
      <c r="BG385" s="271"/>
      <c r="BH385" s="271"/>
      <c r="BI385" s="271"/>
      <c r="BJ385" s="271"/>
      <c r="BK385" s="271"/>
      <c r="BL385" s="271"/>
    </row>
    <row r="386" spans="18:64" ht="21" customHeight="1" x14ac:dyDescent="0.25">
      <c r="R386" s="34" t="s">
        <v>474</v>
      </c>
      <c r="S386" s="451"/>
      <c r="T386" s="31" t="s">
        <v>30</v>
      </c>
      <c r="V386" s="475">
        <v>9</v>
      </c>
      <c r="W386" s="475" t="str">
        <f>IF($AC$386="","",$W$360)</f>
        <v/>
      </c>
      <c r="X386" s="476" t="str">
        <f>IF($AC$386="","",$X$360)</f>
        <v/>
      </c>
      <c r="Y386" s="477" t="str">
        <f>IF($X$386="","",$Y$360)</f>
        <v/>
      </c>
      <c r="Z386" s="477" t="str">
        <f>IF($X$386="","",$Z$360)</f>
        <v/>
      </c>
      <c r="AA386" s="477" t="str">
        <f>IF($AC$386="","",ROW($A$386)-ROW($A$360))</f>
        <v/>
      </c>
      <c r="AB386" s="478"/>
      <c r="AC386" s="34"/>
      <c r="AD386" s="356"/>
      <c r="AE386" s="479"/>
      <c r="AF386" s="475"/>
      <c r="AG386" s="480" t="str">
        <f t="shared" si="100"/>
        <v/>
      </c>
      <c r="AH386" s="481" t="str">
        <f t="shared" si="101"/>
        <v/>
      </c>
      <c r="AI386" s="477" t="str">
        <f>IF($AC$386="","",IFERROR(INDEX($AZ$74:$AZ$119,MATCH($AH$386,$AY$74:$AY$119,0)),"AUTRE"))</f>
        <v/>
      </c>
      <c r="AJ386" s="482" t="str">
        <f>IF($AC$386="","",IFERROR(INDEX($BA$74:$BA$119,MATCH($AH$386,$AY$74:$AY$119,0)),1))</f>
        <v/>
      </c>
      <c r="AK386" s="482" t="str">
        <f t="shared" si="102"/>
        <v/>
      </c>
      <c r="AL386" s="477" t="str">
        <f>IF($AC$386="","",IFERROR(INDEX($BB$74:$BB$119,MATCH($AH$386,$AY$74:$AY$119,0)),$AH$386))</f>
        <v/>
      </c>
      <c r="AM386" s="483" t="str">
        <f t="shared" si="103"/>
        <v/>
      </c>
      <c r="AN386" s="484" t="str">
        <f t="shared" si="104"/>
        <v/>
      </c>
      <c r="AO386" s="473" t="str">
        <f t="shared" si="105"/>
        <v/>
      </c>
      <c r="AP386" s="473" t="str">
        <f t="shared" si="106"/>
        <v/>
      </c>
      <c r="AQ386" s="473" t="str">
        <f t="shared" si="107"/>
        <v/>
      </c>
      <c r="AR386" s="473" t="str">
        <f t="shared" si="108"/>
        <v/>
      </c>
      <c r="AS386" s="473" t="str">
        <f t="shared" si="109"/>
        <v/>
      </c>
      <c r="AT386" s="473" t="str">
        <f t="shared" si="110"/>
        <v/>
      </c>
      <c r="AU386" s="473" t="str">
        <f t="shared" si="111"/>
        <v/>
      </c>
      <c r="AZ386" s="32" t="s">
        <v>8135</v>
      </c>
      <c r="BA386" s="25" t="s">
        <v>6128</v>
      </c>
      <c r="BB386" s="499"/>
      <c r="BC386" s="271"/>
      <c r="BD386" s="279">
        <v>1</v>
      </c>
      <c r="BE386" s="271"/>
      <c r="BF386" s="271"/>
      <c r="BG386" s="271"/>
      <c r="BH386" s="271"/>
      <c r="BI386" s="271"/>
      <c r="BJ386" s="271"/>
      <c r="BK386" s="271"/>
      <c r="BL386" s="271"/>
    </row>
    <row r="387" spans="18:64" ht="21" customHeight="1" x14ac:dyDescent="0.25">
      <c r="R387" s="34" t="s">
        <v>490</v>
      </c>
      <c r="S387" s="451"/>
      <c r="T387" s="31" t="s">
        <v>31</v>
      </c>
      <c r="V387" s="475">
        <v>9</v>
      </c>
      <c r="W387" s="475" t="str">
        <f>IF($AC$387="","",$W$360)</f>
        <v/>
      </c>
      <c r="X387" s="476" t="str">
        <f>IF($AC$387="","",$X$360)</f>
        <v/>
      </c>
      <c r="Y387" s="477" t="str">
        <f>IF($X$387="","",$Y$360)</f>
        <v/>
      </c>
      <c r="Z387" s="477" t="str">
        <f>IF($X$387="","",$Z$360)</f>
        <v/>
      </c>
      <c r="AA387" s="477" t="str">
        <f>IF($AC$387="","",ROW($A$387)-ROW($A$360))</f>
        <v/>
      </c>
      <c r="AB387" s="478"/>
      <c r="AC387" s="34"/>
      <c r="AD387" s="356"/>
      <c r="AE387" s="479"/>
      <c r="AF387" s="475"/>
      <c r="AG387" s="480" t="str">
        <f t="shared" si="100"/>
        <v/>
      </c>
      <c r="AH387" s="481" t="str">
        <f t="shared" si="101"/>
        <v/>
      </c>
      <c r="AI387" s="477" t="str">
        <f>IF($AC$387="","",IFERROR(INDEX($AZ$74:$AZ$119,MATCH($AH$387,$AY$74:$AY$119,0)),"AUTRE"))</f>
        <v/>
      </c>
      <c r="AJ387" s="482" t="str">
        <f>IF($AC$387="","",IFERROR(INDEX($BA$74:$BA$119,MATCH($AH$387,$AY$74:$AY$119,0)),1))</f>
        <v/>
      </c>
      <c r="AK387" s="482" t="str">
        <f t="shared" si="102"/>
        <v/>
      </c>
      <c r="AL387" s="477" t="str">
        <f>IF($AC$387="","",IFERROR(INDEX($BB$74:$BB$119,MATCH($AH$387,$AY$74:$AY$119,0)),$AH$387))</f>
        <v/>
      </c>
      <c r="AM387" s="483" t="str">
        <f t="shared" si="103"/>
        <v/>
      </c>
      <c r="AN387" s="484" t="str">
        <f t="shared" si="104"/>
        <v/>
      </c>
      <c r="AO387" s="473" t="str">
        <f t="shared" si="105"/>
        <v/>
      </c>
      <c r="AP387" s="473" t="str">
        <f t="shared" si="106"/>
        <v/>
      </c>
      <c r="AQ387" s="473" t="str">
        <f t="shared" si="107"/>
        <v/>
      </c>
      <c r="AR387" s="473" t="str">
        <f t="shared" si="108"/>
        <v/>
      </c>
      <c r="AS387" s="473" t="str">
        <f t="shared" si="109"/>
        <v/>
      </c>
      <c r="AT387" s="473" t="str">
        <f t="shared" si="110"/>
        <v/>
      </c>
      <c r="AU387" s="473" t="str">
        <f t="shared" si="111"/>
        <v/>
      </c>
      <c r="AZ387" s="32" t="s">
        <v>8137</v>
      </c>
      <c r="BA387" s="34" t="s">
        <v>474</v>
      </c>
      <c r="BB387" s="499"/>
      <c r="BC387" s="271"/>
      <c r="BD387" s="279">
        <v>1</v>
      </c>
      <c r="BE387" s="271"/>
      <c r="BF387" s="271"/>
      <c r="BG387" s="271"/>
      <c r="BH387" s="271"/>
      <c r="BI387" s="271"/>
      <c r="BJ387" s="271"/>
      <c r="BK387" s="271"/>
      <c r="BL387" s="271"/>
    </row>
    <row r="388" spans="18:64" ht="21" customHeight="1" x14ac:dyDescent="0.25">
      <c r="R388" s="34" t="s">
        <v>6129</v>
      </c>
      <c r="S388" s="451"/>
      <c r="T388" s="32" t="s">
        <v>33</v>
      </c>
      <c r="V388" s="475">
        <v>9</v>
      </c>
      <c r="W388" s="475" t="str">
        <f>IF($AC$388="","",$W$360)</f>
        <v/>
      </c>
      <c r="X388" s="476" t="str">
        <f>IF($AC$388="","",$X$360)</f>
        <v/>
      </c>
      <c r="Y388" s="477" t="str">
        <f>IF($X$388="","",$Y$360)</f>
        <v/>
      </c>
      <c r="Z388" s="477" t="str">
        <f>IF($X$388="","",$Z$360)</f>
        <v/>
      </c>
      <c r="AA388" s="477" t="str">
        <f>IF($AC$388="","",ROW($A$388)-ROW($A$360))</f>
        <v/>
      </c>
      <c r="AB388" s="478"/>
      <c r="AC388" s="34"/>
      <c r="AD388" s="356"/>
      <c r="AE388" s="479"/>
      <c r="AF388" s="475"/>
      <c r="AG388" s="480" t="str">
        <f t="shared" si="100"/>
        <v/>
      </c>
      <c r="AH388" s="481" t="str">
        <f t="shared" si="101"/>
        <v/>
      </c>
      <c r="AI388" s="477" t="str">
        <f>IF($AC$388="","",IFERROR(INDEX($AZ$74:$AZ$119,MATCH($AH$388,$AY$74:$AY$119,0)),"AUTRE"))</f>
        <v/>
      </c>
      <c r="AJ388" s="482" t="str">
        <f>IF($AC$388="","",IFERROR(INDEX($BA$74:$BA$119,MATCH($AH$388,$AY$74:$AY$119,0)),1))</f>
        <v/>
      </c>
      <c r="AK388" s="482" t="str">
        <f t="shared" si="102"/>
        <v/>
      </c>
      <c r="AL388" s="477" t="str">
        <f>IF($AC$388="","",IFERROR(INDEX($BB$74:$BB$119,MATCH($AH$388,$AY$74:$AY$119,0)),$AH$388))</f>
        <v/>
      </c>
      <c r="AM388" s="483" t="str">
        <f t="shared" si="103"/>
        <v/>
      </c>
      <c r="AN388" s="484" t="str">
        <f t="shared" si="104"/>
        <v/>
      </c>
      <c r="AO388" s="473" t="str">
        <f t="shared" si="105"/>
        <v/>
      </c>
      <c r="AP388" s="473" t="str">
        <f t="shared" si="106"/>
        <v/>
      </c>
      <c r="AQ388" s="473" t="str">
        <f t="shared" si="107"/>
        <v/>
      </c>
      <c r="AR388" s="473" t="str">
        <f t="shared" si="108"/>
        <v/>
      </c>
      <c r="AS388" s="473" t="str">
        <f t="shared" si="109"/>
        <v/>
      </c>
      <c r="AT388" s="473" t="str">
        <f t="shared" si="110"/>
        <v/>
      </c>
      <c r="AU388" s="473" t="str">
        <f t="shared" si="111"/>
        <v/>
      </c>
      <c r="AY388" s="271"/>
      <c r="AZ388" s="32" t="s">
        <v>8139</v>
      </c>
      <c r="BA388" s="34" t="s">
        <v>490</v>
      </c>
      <c r="BB388" s="499"/>
      <c r="BC388" s="271"/>
      <c r="BD388" s="279">
        <v>1</v>
      </c>
      <c r="BE388" s="271"/>
      <c r="BF388" s="271"/>
      <c r="BG388" s="271"/>
      <c r="BH388" s="271"/>
      <c r="BI388" s="271"/>
      <c r="BJ388" s="271"/>
      <c r="BK388" s="271"/>
      <c r="BL388" s="271"/>
    </row>
    <row r="389" spans="18:64" ht="21" customHeight="1" x14ac:dyDescent="0.25">
      <c r="R389" s="34" t="s">
        <v>478</v>
      </c>
      <c r="S389" s="451"/>
      <c r="T389" s="32" t="s">
        <v>8125</v>
      </c>
      <c r="V389" s="475">
        <v>9</v>
      </c>
      <c r="W389" s="475" t="str">
        <f>IF($AC$389="","",$W$360)</f>
        <v/>
      </c>
      <c r="X389" s="476" t="str">
        <f>IF($AC$389="","",$X$360)</f>
        <v/>
      </c>
      <c r="Y389" s="477" t="str">
        <f>IF($X$389="","",$Y$360)</f>
        <v/>
      </c>
      <c r="Z389" s="477" t="str">
        <f>IF($X$389="","",$Z$360)</f>
        <v/>
      </c>
      <c r="AA389" s="477" t="str">
        <f>IF($AC$389="","",ROW($A$389)-ROW($A$360))</f>
        <v/>
      </c>
      <c r="AB389" s="478"/>
      <c r="AC389" s="34"/>
      <c r="AD389" s="356"/>
      <c r="AE389" s="479"/>
      <c r="AF389" s="475"/>
      <c r="AG389" s="480" t="str">
        <f t="shared" si="100"/>
        <v/>
      </c>
      <c r="AH389" s="481" t="str">
        <f t="shared" si="101"/>
        <v/>
      </c>
      <c r="AI389" s="477" t="str">
        <f>IF($AC$389="","",IFERROR(INDEX($AZ$74:$AZ$119,MATCH($AH$389,$AY$74:$AY$119,0)),"AUTRE"))</f>
        <v/>
      </c>
      <c r="AJ389" s="482" t="str">
        <f>IF($AC$389="","",IFERROR(INDEX($BA$74:$BA$119,MATCH($AH$389,$AY$74:$AY$119,0)),1))</f>
        <v/>
      </c>
      <c r="AK389" s="482" t="str">
        <f t="shared" si="102"/>
        <v/>
      </c>
      <c r="AL389" s="477" t="str">
        <f>IF($AC$389="","",IFERROR(INDEX($BB$74:$BB$119,MATCH($AH$389,$AY$74:$AY$119,0)),$AH$389))</f>
        <v/>
      </c>
      <c r="AM389" s="483" t="str">
        <f t="shared" si="103"/>
        <v/>
      </c>
      <c r="AN389" s="484" t="str">
        <f t="shared" si="104"/>
        <v/>
      </c>
      <c r="AO389" s="473" t="str">
        <f t="shared" si="105"/>
        <v/>
      </c>
      <c r="AP389" s="473" t="str">
        <f t="shared" si="106"/>
        <v/>
      </c>
      <c r="AQ389" s="473" t="str">
        <f t="shared" si="107"/>
        <v/>
      </c>
      <c r="AR389" s="473" t="str">
        <f t="shared" si="108"/>
        <v/>
      </c>
      <c r="AS389" s="473" t="str">
        <f t="shared" si="109"/>
        <v/>
      </c>
      <c r="AT389" s="473" t="str">
        <f t="shared" si="110"/>
        <v/>
      </c>
      <c r="AU389" s="473" t="str">
        <f t="shared" si="111"/>
        <v/>
      </c>
      <c r="AY389" s="497" t="s">
        <v>8145</v>
      </c>
      <c r="AZ389" s="32" t="s">
        <v>8141</v>
      </c>
      <c r="BA389" s="34" t="s">
        <v>6129</v>
      </c>
      <c r="BB389" s="499"/>
      <c r="BC389" s="271"/>
      <c r="BD389" s="279">
        <v>1</v>
      </c>
      <c r="BE389" s="271"/>
      <c r="BF389" s="271"/>
      <c r="BG389" s="271"/>
      <c r="BH389" s="271"/>
      <c r="BI389" s="271"/>
      <c r="BJ389" s="271"/>
      <c r="BK389" s="271"/>
      <c r="BL389" s="271"/>
    </row>
    <row r="390" spans="18:64" ht="21" customHeight="1" x14ac:dyDescent="0.25">
      <c r="R390" s="34" t="s">
        <v>6130</v>
      </c>
      <c r="S390" s="451"/>
      <c r="T390" s="32" t="s">
        <v>8127</v>
      </c>
      <c r="V390" s="475">
        <v>9</v>
      </c>
      <c r="W390" s="475" t="str">
        <f>IF($AC$390="","",$W$360)</f>
        <v/>
      </c>
      <c r="X390" s="476" t="str">
        <f>IF($AC$390="","",$X$360)</f>
        <v/>
      </c>
      <c r="Y390" s="477" t="str">
        <f>IF($X$390="","",$Y$360)</f>
        <v/>
      </c>
      <c r="Z390" s="477" t="str">
        <f>IF($X$390="","",$Z$360)</f>
        <v/>
      </c>
      <c r="AA390" s="477" t="str">
        <f>IF($AC$390="","",ROW($A$390)-ROW($A$360))</f>
        <v/>
      </c>
      <c r="AB390" s="478"/>
      <c r="AC390" s="34"/>
      <c r="AD390" s="356"/>
      <c r="AE390" s="479"/>
      <c r="AF390" s="475"/>
      <c r="AG390" s="480" t="str">
        <f t="shared" si="100"/>
        <v/>
      </c>
      <c r="AH390" s="481" t="str">
        <f t="shared" si="101"/>
        <v/>
      </c>
      <c r="AI390" s="477" t="str">
        <f>IF($AC$390="","",IFERROR(INDEX($AZ$74:$AZ$119,MATCH($AH$390,$AY$74:$AY$119,0)),"AUTRE"))</f>
        <v/>
      </c>
      <c r="AJ390" s="482" t="str">
        <f>IF($AC$390="","",IFERROR(INDEX($BA$74:$BA$119,MATCH($AH$390,$AY$74:$AY$119,0)),1))</f>
        <v/>
      </c>
      <c r="AK390" s="482" t="str">
        <f t="shared" si="102"/>
        <v/>
      </c>
      <c r="AL390" s="477" t="str">
        <f>IF($AC$390="","",IFERROR(INDEX($BB$74:$BB$119,MATCH($AH$390,$AY$74:$AY$119,0)),$AH$390))</f>
        <v/>
      </c>
      <c r="AM390" s="483" t="str">
        <f t="shared" si="103"/>
        <v/>
      </c>
      <c r="AN390" s="484" t="str">
        <f t="shared" si="104"/>
        <v/>
      </c>
      <c r="AO390" s="473" t="str">
        <f t="shared" si="105"/>
        <v/>
      </c>
      <c r="AP390" s="473" t="str">
        <f t="shared" si="106"/>
        <v/>
      </c>
      <c r="AQ390" s="473" t="str">
        <f t="shared" si="107"/>
        <v/>
      </c>
      <c r="AR390" s="473" t="str">
        <f t="shared" si="108"/>
        <v/>
      </c>
      <c r="AS390" s="473" t="str">
        <f t="shared" si="109"/>
        <v/>
      </c>
      <c r="AT390" s="473" t="str">
        <f t="shared" si="110"/>
        <v/>
      </c>
      <c r="AU390" s="473" t="str">
        <f t="shared" si="111"/>
        <v/>
      </c>
      <c r="AY390" s="497" t="s">
        <v>462</v>
      </c>
      <c r="AZ390" s="32" t="s">
        <v>8143</v>
      </c>
      <c r="BA390" s="34" t="s">
        <v>478</v>
      </c>
      <c r="BB390" s="499"/>
      <c r="BC390" s="271"/>
      <c r="BD390" s="279">
        <v>1</v>
      </c>
      <c r="BE390" s="271"/>
      <c r="BF390" s="271"/>
      <c r="BG390" s="271"/>
      <c r="BH390" s="271"/>
      <c r="BI390" s="271"/>
      <c r="BJ390" s="271"/>
      <c r="BK390" s="271"/>
      <c r="BL390" s="271"/>
    </row>
    <row r="391" spans="18:64" ht="21" customHeight="1" x14ac:dyDescent="0.25">
      <c r="R391" s="34" t="s">
        <v>486</v>
      </c>
      <c r="S391" s="451"/>
      <c r="T391" s="32" t="s">
        <v>320</v>
      </c>
      <c r="V391" s="475">
        <v>9</v>
      </c>
      <c r="W391" s="475" t="str">
        <f>IF($AC$391="","",$W$360)</f>
        <v/>
      </c>
      <c r="X391" s="476" t="str">
        <f>IF($AC$391="","",$X$360)</f>
        <v/>
      </c>
      <c r="Y391" s="477" t="str">
        <f>IF($X$391="","",$Y$360)</f>
        <v/>
      </c>
      <c r="Z391" s="477" t="str">
        <f>IF($X$391="","",$Z$360)</f>
        <v/>
      </c>
      <c r="AA391" s="477" t="str">
        <f>IF($AC$391="","",ROW($A$391)-ROW($A$360))</f>
        <v/>
      </c>
      <c r="AB391" s="478"/>
      <c r="AC391" s="34"/>
      <c r="AD391" s="356"/>
      <c r="AE391" s="479"/>
      <c r="AF391" s="475"/>
      <c r="AG391" s="480" t="str">
        <f t="shared" si="100"/>
        <v/>
      </c>
      <c r="AH391" s="481" t="str">
        <f t="shared" si="101"/>
        <v/>
      </c>
      <c r="AI391" s="477" t="str">
        <f>IF($AC$391="","",IFERROR(INDEX($AZ$74:$AZ$119,MATCH($AH$391,$AY$74:$AY$119,0)),"AUTRE"))</f>
        <v/>
      </c>
      <c r="AJ391" s="482" t="str">
        <f>IF($AC$391="","",IFERROR(INDEX($BA$74:$BA$119,MATCH($AH$391,$AY$74:$AY$119,0)),1))</f>
        <v/>
      </c>
      <c r="AK391" s="482" t="str">
        <f t="shared" si="102"/>
        <v/>
      </c>
      <c r="AL391" s="477" t="str">
        <f>IF($AC$391="","",IFERROR(INDEX($BB$74:$BB$119,MATCH($AH$391,$AY$74:$AY$119,0)),$AH$391))</f>
        <v/>
      </c>
      <c r="AM391" s="483" t="str">
        <f t="shared" si="103"/>
        <v/>
      </c>
      <c r="AN391" s="484" t="str">
        <f t="shared" si="104"/>
        <v/>
      </c>
      <c r="AO391" s="473" t="str">
        <f t="shared" si="105"/>
        <v/>
      </c>
      <c r="AP391" s="473" t="str">
        <f t="shared" si="106"/>
        <v/>
      </c>
      <c r="AQ391" s="473" t="str">
        <f t="shared" si="107"/>
        <v/>
      </c>
      <c r="AR391" s="473" t="str">
        <f t="shared" si="108"/>
        <v/>
      </c>
      <c r="AS391" s="473" t="str">
        <f t="shared" si="109"/>
        <v/>
      </c>
      <c r="AT391" s="473" t="str">
        <f t="shared" si="110"/>
        <v/>
      </c>
      <c r="AU391" s="473" t="str">
        <f t="shared" si="111"/>
        <v/>
      </c>
      <c r="AY391" s="497" t="s">
        <v>463</v>
      </c>
      <c r="AZ391" s="497" t="s">
        <v>8145</v>
      </c>
      <c r="BA391" s="34" t="s">
        <v>6130</v>
      </c>
      <c r="BB391" s="499"/>
      <c r="BC391" s="271"/>
      <c r="BD391" s="279">
        <v>1</v>
      </c>
      <c r="BE391" s="271"/>
      <c r="BF391" s="271"/>
      <c r="BG391" s="271"/>
      <c r="BH391" s="271"/>
      <c r="BI391" s="271"/>
      <c r="BJ391" s="271"/>
      <c r="BK391" s="271"/>
      <c r="BL391" s="271"/>
    </row>
    <row r="392" spans="18:64" ht="21" customHeight="1" x14ac:dyDescent="0.25">
      <c r="R392" s="34" t="s">
        <v>479</v>
      </c>
      <c r="S392" s="451"/>
      <c r="T392" s="32" t="s">
        <v>318</v>
      </c>
      <c r="V392" s="475">
        <v>9</v>
      </c>
      <c r="W392" s="475" t="str">
        <f>IF($AC$392="","",$W$360)</f>
        <v/>
      </c>
      <c r="X392" s="476" t="str">
        <f>IF($AC$392="","",$X$360)</f>
        <v/>
      </c>
      <c r="Y392" s="477" t="str">
        <f>IF($X$392="","",$Y$360)</f>
        <v/>
      </c>
      <c r="Z392" s="477" t="str">
        <f>IF($X$392="","",$Z$360)</f>
        <v/>
      </c>
      <c r="AA392" s="477" t="str">
        <f>IF($AC$392="","",ROW($A$392)-ROW($A$360))</f>
        <v/>
      </c>
      <c r="AB392" s="478"/>
      <c r="AC392" s="34"/>
      <c r="AD392" s="356"/>
      <c r="AE392" s="479"/>
      <c r="AF392" s="475"/>
      <c r="AG392" s="480" t="str">
        <f t="shared" si="100"/>
        <v/>
      </c>
      <c r="AH392" s="481" t="str">
        <f t="shared" si="101"/>
        <v/>
      </c>
      <c r="AI392" s="477" t="str">
        <f>IF($AC$392="","",IFERROR(INDEX($AZ$74:$AZ$119,MATCH($AH$392,$AY$74:$AY$119,0)),"AUTRE"))</f>
        <v/>
      </c>
      <c r="AJ392" s="482" t="str">
        <f>IF($AC$392="","",IFERROR(INDEX($BA$74:$BA$119,MATCH($AH$392,$AY$74:$AY$119,0)),1))</f>
        <v/>
      </c>
      <c r="AK392" s="482" t="str">
        <f t="shared" si="102"/>
        <v/>
      </c>
      <c r="AL392" s="477" t="str">
        <f>IF($AC$392="","",IFERROR(INDEX($BB$74:$BB$119,MATCH($AH$392,$AY$74:$AY$119,0)),$AH$392))</f>
        <v/>
      </c>
      <c r="AM392" s="483" t="str">
        <f t="shared" si="103"/>
        <v/>
      </c>
      <c r="AN392" s="484" t="str">
        <f t="shared" si="104"/>
        <v/>
      </c>
      <c r="AO392" s="473" t="str">
        <f t="shared" si="105"/>
        <v/>
      </c>
      <c r="AP392" s="473" t="str">
        <f t="shared" si="106"/>
        <v/>
      </c>
      <c r="AQ392" s="473" t="str">
        <f t="shared" si="107"/>
        <v/>
      </c>
      <c r="AR392" s="473" t="str">
        <f t="shared" si="108"/>
        <v/>
      </c>
      <c r="AS392" s="473" t="str">
        <f t="shared" si="109"/>
        <v/>
      </c>
      <c r="AT392" s="473" t="str">
        <f t="shared" si="110"/>
        <v/>
      </c>
      <c r="AU392" s="473" t="str">
        <f t="shared" si="111"/>
        <v/>
      </c>
      <c r="AY392" s="497" t="s">
        <v>8147</v>
      </c>
      <c r="AZ392" s="497" t="s">
        <v>462</v>
      </c>
      <c r="BA392" s="34" t="s">
        <v>486</v>
      </c>
      <c r="BB392" s="499"/>
      <c r="BC392" s="271"/>
      <c r="BD392" s="279">
        <v>1</v>
      </c>
      <c r="BE392" s="271"/>
      <c r="BF392" s="271"/>
      <c r="BG392" s="271"/>
      <c r="BH392" s="271"/>
      <c r="BI392" s="271"/>
      <c r="BJ392" s="271"/>
      <c r="BK392" s="271"/>
      <c r="BL392" s="271"/>
    </row>
    <row r="393" spans="18:64" ht="21" customHeight="1" x14ac:dyDescent="0.25">
      <c r="R393" s="34" t="s">
        <v>6131</v>
      </c>
      <c r="S393" s="451"/>
      <c r="T393" s="32" t="s">
        <v>316</v>
      </c>
      <c r="V393" s="475">
        <v>9</v>
      </c>
      <c r="W393" s="475" t="str">
        <f>IF($AC$393="","",$W$360)</f>
        <v/>
      </c>
      <c r="X393" s="476" t="str">
        <f>IF($AC$393="","",$X$360)</f>
        <v/>
      </c>
      <c r="Y393" s="477" t="str">
        <f>IF($X$393="","",$Y$360)</f>
        <v/>
      </c>
      <c r="Z393" s="477" t="str">
        <f>IF($X$393="","",$Z$360)</f>
        <v/>
      </c>
      <c r="AA393" s="477" t="str">
        <f>IF($AC$393="","",ROW($A$393)-ROW($A$360))</f>
        <v/>
      </c>
      <c r="AB393" s="478"/>
      <c r="AC393" s="34"/>
      <c r="AD393" s="356"/>
      <c r="AE393" s="479"/>
      <c r="AF393" s="475"/>
      <c r="AG393" s="480" t="str">
        <f t="shared" si="100"/>
        <v/>
      </c>
      <c r="AH393" s="481" t="str">
        <f t="shared" si="101"/>
        <v/>
      </c>
      <c r="AI393" s="477" t="str">
        <f>IF($AC$393="","",IFERROR(INDEX($AZ$74:$AZ$119,MATCH($AH$393,$AY$74:$AY$119,0)),"AUTRE"))</f>
        <v/>
      </c>
      <c r="AJ393" s="482" t="str">
        <f>IF($AC$393="","",IFERROR(INDEX($BA$74:$BA$119,MATCH($AH$393,$AY$74:$AY$119,0)),1))</f>
        <v/>
      </c>
      <c r="AK393" s="482" t="str">
        <f t="shared" si="102"/>
        <v/>
      </c>
      <c r="AL393" s="477" t="str">
        <f>IF($AC$393="","",IFERROR(INDEX($BB$74:$BB$119,MATCH($AH$393,$AY$74:$AY$119,0)),$AH$393))</f>
        <v/>
      </c>
      <c r="AM393" s="483" t="str">
        <f t="shared" si="103"/>
        <v/>
      </c>
      <c r="AN393" s="484" t="str">
        <f t="shared" si="104"/>
        <v/>
      </c>
      <c r="AO393" s="473" t="str">
        <f t="shared" si="105"/>
        <v/>
      </c>
      <c r="AP393" s="473" t="str">
        <f t="shared" si="106"/>
        <v/>
      </c>
      <c r="AQ393" s="473" t="str">
        <f t="shared" si="107"/>
        <v/>
      </c>
      <c r="AR393" s="473" t="str">
        <f t="shared" si="108"/>
        <v/>
      </c>
      <c r="AS393" s="473" t="str">
        <f t="shared" si="109"/>
        <v/>
      </c>
      <c r="AT393" s="473" t="str">
        <f t="shared" si="110"/>
        <v/>
      </c>
      <c r="AU393" s="473" t="str">
        <f t="shared" si="111"/>
        <v/>
      </c>
      <c r="AY393" s="497" t="s">
        <v>465</v>
      </c>
      <c r="AZ393" s="497" t="s">
        <v>463</v>
      </c>
      <c r="BA393" s="34" t="s">
        <v>479</v>
      </c>
      <c r="BB393" s="499"/>
      <c r="BC393" s="271"/>
      <c r="BD393" s="279">
        <v>1</v>
      </c>
      <c r="BE393" s="271"/>
      <c r="BF393" s="271"/>
      <c r="BG393" s="271"/>
      <c r="BH393" s="271"/>
      <c r="BI393" s="271"/>
      <c r="BJ393" s="271"/>
      <c r="BK393" s="271"/>
      <c r="BL393" s="271"/>
    </row>
    <row r="394" spans="18:64" ht="21" customHeight="1" x14ac:dyDescent="0.25">
      <c r="R394" s="34" t="s">
        <v>485</v>
      </c>
      <c r="S394" s="451"/>
      <c r="T394" s="32" t="s">
        <v>313</v>
      </c>
      <c r="V394" s="475">
        <v>9</v>
      </c>
      <c r="W394" s="475" t="str">
        <f>IF($AC$394="","",$W$360)</f>
        <v/>
      </c>
      <c r="X394" s="476" t="str">
        <f>IF($AC$394="","",$X$360)</f>
        <v/>
      </c>
      <c r="Y394" s="477" t="str">
        <f>IF($X$394="","",$Y$360)</f>
        <v/>
      </c>
      <c r="Z394" s="477" t="str">
        <f>IF($X$394="","",$Z$360)</f>
        <v/>
      </c>
      <c r="AA394" s="477" t="str">
        <f>IF($AC$394="","",ROW($A$394)-ROW($A$360))</f>
        <v/>
      </c>
      <c r="AB394" s="478"/>
      <c r="AC394" s="34"/>
      <c r="AD394" s="356"/>
      <c r="AE394" s="479"/>
      <c r="AF394" s="475"/>
      <c r="AG394" s="491" t="str">
        <f t="shared" si="100"/>
        <v/>
      </c>
      <c r="AH394" s="481" t="str">
        <f t="shared" si="101"/>
        <v/>
      </c>
      <c r="AI394" s="477" t="str">
        <f>IF($AC$394="","",IFERROR(INDEX($AZ$74:$AZ$119,MATCH($AH$394,$AY$74:$AY$119,0)),"AUTRE"))</f>
        <v/>
      </c>
      <c r="AJ394" s="482" t="str">
        <f>IF($AC$394="","",IFERROR(INDEX($BA$74:$BA$119,MATCH($AH$394,$AY$74:$AY$119,0)),1))</f>
        <v/>
      </c>
      <c r="AK394" s="482" t="str">
        <f t="shared" si="102"/>
        <v/>
      </c>
      <c r="AL394" s="477" t="str">
        <f>IF($AC$394="","",IFERROR(INDEX($BB$74:$BB$119,MATCH($AH$394,$AY$74:$AY$119,0)),$AH$394))</f>
        <v/>
      </c>
      <c r="AM394" s="483" t="str">
        <f t="shared" si="103"/>
        <v/>
      </c>
      <c r="AN394" s="484" t="str">
        <f t="shared" si="104"/>
        <v/>
      </c>
      <c r="AO394" s="473" t="str">
        <f t="shared" si="105"/>
        <v/>
      </c>
      <c r="AP394" s="473" t="str">
        <f t="shared" si="106"/>
        <v/>
      </c>
      <c r="AQ394" s="473" t="str">
        <f t="shared" si="107"/>
        <v/>
      </c>
      <c r="AR394" s="473" t="str">
        <f t="shared" si="108"/>
        <v/>
      </c>
      <c r="AS394" s="473" t="str">
        <f t="shared" si="109"/>
        <v/>
      </c>
      <c r="AT394" s="473" t="str">
        <f t="shared" si="110"/>
        <v/>
      </c>
      <c r="AU394" s="473" t="str">
        <f t="shared" si="111"/>
        <v/>
      </c>
      <c r="AY394" s="497" t="s">
        <v>466</v>
      </c>
      <c r="AZ394" s="497" t="s">
        <v>8147</v>
      </c>
      <c r="BA394" s="34" t="s">
        <v>6131</v>
      </c>
      <c r="BB394" s="499"/>
      <c r="BC394" s="271"/>
      <c r="BD394" s="279">
        <v>1</v>
      </c>
      <c r="BE394" s="271"/>
      <c r="BF394" s="271"/>
      <c r="BG394" s="271"/>
      <c r="BH394" s="271"/>
      <c r="BI394" s="271"/>
      <c r="BJ394" s="271"/>
      <c r="BK394" s="271"/>
      <c r="BL394" s="271"/>
    </row>
    <row r="395" spans="18:64" ht="30" customHeight="1" x14ac:dyDescent="0.25">
      <c r="R395" s="34" t="s">
        <v>6132</v>
      </c>
      <c r="S395" s="451"/>
      <c r="T395" s="32" t="s">
        <v>307</v>
      </c>
      <c r="V395" s="453" t="s">
        <v>324</v>
      </c>
      <c r="W395" s="453" t="s">
        <v>7912</v>
      </c>
      <c r="X395" s="453" t="s">
        <v>326</v>
      </c>
      <c r="Y395" s="453" t="s">
        <v>327</v>
      </c>
      <c r="Z395" s="454" t="s">
        <v>7930</v>
      </c>
      <c r="AA395" s="453" t="s">
        <v>7937</v>
      </c>
      <c r="AB395" s="501" t="s">
        <v>39</v>
      </c>
      <c r="AC395" s="501" t="s">
        <v>338</v>
      </c>
      <c r="AD395" s="501" t="s">
        <v>8114</v>
      </c>
      <c r="AE395" s="501" t="s">
        <v>339</v>
      </c>
      <c r="AF395" s="501" t="s">
        <v>7997</v>
      </c>
      <c r="AG395" s="453" t="s">
        <v>8018</v>
      </c>
      <c r="AH395" s="453" t="s">
        <v>8023</v>
      </c>
      <c r="AI395" s="453" t="s">
        <v>330</v>
      </c>
      <c r="AJ395" s="453" t="s">
        <v>8031</v>
      </c>
      <c r="AK395" s="453" t="s">
        <v>8037</v>
      </c>
      <c r="AL395" s="453" t="s">
        <v>8041</v>
      </c>
      <c r="AM395" s="453" t="s">
        <v>343</v>
      </c>
      <c r="AN395" s="457" t="s">
        <v>8115</v>
      </c>
      <c r="AO395" s="457" t="s">
        <v>8116</v>
      </c>
      <c r="AP395" s="656" t="s">
        <v>8117</v>
      </c>
      <c r="AQ395" s="656"/>
      <c r="AR395" s="656"/>
      <c r="AS395" s="656"/>
      <c r="AT395" s="656"/>
      <c r="AU395" s="657"/>
      <c r="AZ395" s="497" t="s">
        <v>465</v>
      </c>
      <c r="BA395" s="34" t="s">
        <v>485</v>
      </c>
      <c r="BB395" s="499"/>
      <c r="BC395" s="271"/>
      <c r="BD395" s="279">
        <v>1</v>
      </c>
      <c r="BE395" s="271"/>
      <c r="BF395" s="271"/>
      <c r="BG395" s="271"/>
      <c r="BH395" s="271"/>
      <c r="BI395" s="271"/>
      <c r="BJ395" s="271"/>
      <c r="BK395" s="271"/>
      <c r="BL395" s="271"/>
    </row>
    <row r="396" spans="18:64" ht="30" customHeight="1" x14ac:dyDescent="0.25">
      <c r="R396" s="25" t="s">
        <v>6133</v>
      </c>
      <c r="S396" s="451"/>
      <c r="T396" s="32" t="s">
        <v>322</v>
      </c>
      <c r="V396" s="459">
        <v>10</v>
      </c>
      <c r="W396" s="460" t="s">
        <v>8159</v>
      </c>
      <c r="X396" s="461" t="s">
        <v>8164</v>
      </c>
      <c r="Y396" s="502"/>
      <c r="Z396" s="463">
        <v>100</v>
      </c>
      <c r="AA396" s="464">
        <f>IF($AC$396="","",ROW($A$396)-ROW($A$396))</f>
        <v>0</v>
      </c>
      <c r="AB396" s="461"/>
      <c r="AC396" s="465" t="s">
        <v>8165</v>
      </c>
      <c r="AD396" s="390"/>
      <c r="AE396" s="390"/>
      <c r="AF396" s="466"/>
      <c r="AG396" s="467" t="str">
        <f t="shared" ref="AG396:AG430" si="112">IF($AC396="","",IF(LEN($AN396&amp;"")=0,"",$AN396))</f>
        <v/>
      </c>
      <c r="AH396" s="468" t="str">
        <f t="shared" ref="AH396:AH430" si="113">IF($AC396="","",IF($AF396&lt;&gt;"",UPPER(TRIM(SUBSTITUTE(SUBSTITUTE($AF396&amp;"",CHAR(160)," ")," "," "))),$AP396))</f>
        <v/>
      </c>
      <c r="AI396" s="469" t="str">
        <f>IF($AC$396="","",IFERROR(INDEX($AZ$74:$AZ$119,MATCH($AH$396,$AY$74:$AY$119,0)),"AUTRE"))</f>
        <v>AUTRE</v>
      </c>
      <c r="AJ396" s="470">
        <f>IF($AC$396="","",IFERROR(INDEX($BA$74:$BA$119,MATCH($AH$396,$AY$74:$AY$119,0)),1))</f>
        <v>1</v>
      </c>
      <c r="AK396" s="470" t="str">
        <f t="shared" ref="AK396:AK430" si="114">IF(OR(AG396="",AJ396=""),"",AG396*AJ396)</f>
        <v/>
      </c>
      <c r="AL396" s="469" t="str">
        <f>IF($AC$396="","",IFERROR(INDEX($BB$74:$BB$119,MATCH($AH$396,$AY$74:$AY$119,0)),$AH$396))</f>
        <v/>
      </c>
      <c r="AM396" s="471" t="str">
        <f t="shared" ref="AM396:AM430" si="115">IF($AC396="","",IF($AH396="QT. SUFFISANTE","OK",IF($AG396="","TEXTE",IF(NOT(ISNUMBER($AG396)),"QUANTITÉ À CONTRÔLER",IF(COUNTIF($AY$74:$AY$119,$AH396)=0,"UNITÉ À CONTRÔLER","OK")))))</f>
        <v>TEXTE</v>
      </c>
      <c r="AN396" s="474" t="str">
        <f t="shared" ref="AN396:AN430" si="116">IF($AE396&lt;&gt;"",$AE396,IF($AD396="","",IF(ISNUMBER($AD396),$AD396,IF($AO396="QT",0,IF($AO396="","",IFERROR(IF(ISNUMBER(SEARCH("/",$AO396)),VALUE(TRIM(LEFT($AO396,SEARCH("/",$AO396)-1)))/VALUE(TRIM(MID($AO396,SEARCH("/",$AO396)+1,99))),VALUE(SUBSTITUTE($AO396,".",","))),""))))))</f>
        <v/>
      </c>
      <c r="AO396" s="473" t="str">
        <f t="shared" ref="AO396:AO430" si="117">IF($AD396="","",IF(ISNUMBER($AD396),$AD396,IF(OR(LEFT($AQ396,3)="QT.",LEFT($AQ396,4)="QUAN"),"QT",IF($AR396=999,$AQ396,TRIM(LEFT($AQ396,$AR396-1))))))</f>
        <v/>
      </c>
      <c r="AP396" s="473" t="str">
        <f t="shared" ref="AP396:AP430" si="118">IF($AD396="","",IF(ISNUMBER($AD396),"",IF(OR(LEFT($AQ396,3)="QT.",LEFT($AQ396,4)="QUAN"),"QT. SUFFISANTE",IF($AO396="","",TRIM(MID($AQ396,LEN($AO396&amp;"")+1,999))))))</f>
        <v/>
      </c>
      <c r="AQ396" s="473" t="str">
        <f t="shared" ref="AQ396:AQ430" si="119">IF($AD396="","",UPPER(TRIM(SUBSTITUTE(SUBSTITUTE($AD396&amp;"",CHAR(160)," ")," "," "))))</f>
        <v/>
      </c>
      <c r="AR396" s="473" t="str">
        <f t="shared" ref="AR396:AR430" si="120">IF($AQ396="","",MIN($AS396,$AT396,$AU396))</f>
        <v/>
      </c>
      <c r="AS396" s="473" t="str">
        <f t="shared" ref="AS396:AS430" si="121">IF($AQ396="","",MIN(IFERROR(SEARCH("A",$AQ396),999),IFERROR(SEARCH("B",$AQ396),999),IFERROR(SEARCH("C",$AQ396),999),IFERROR(SEARCH("D",$AQ396),999),IFERROR(SEARCH("E",$AQ396),999),IFERROR(SEARCH("F",$AQ396),999),IFERROR(SEARCH("G",$AQ396),999),IFERROR(SEARCH("H",$AQ396),999),IFERROR(SEARCH("I",$AQ396),999)))</f>
        <v/>
      </c>
      <c r="AT396" s="473" t="str">
        <f t="shared" ref="AT396:AT430" si="122">IF($AQ396="","",MIN(IFERROR(SEARCH("J",$AQ396),999),IFERROR(SEARCH("K",$AQ396),999),IFERROR(SEARCH("L",$AQ396),999),IFERROR(SEARCH("M",$AQ396),999),IFERROR(SEARCH("N",$AQ396),999),IFERROR(SEARCH("O",$AQ396),999),IFERROR(SEARCH("P",$AQ396),999),IFERROR(SEARCH("Q",$AQ396),999),IFERROR(SEARCH("R",$AQ396),999)))</f>
        <v/>
      </c>
      <c r="AU396" s="473" t="str">
        <f t="shared" ref="AU396:AU430" si="123">IF($AQ396="","",MIN(IFERROR(SEARCH("S",$AQ396),999),IFERROR(SEARCH("T",$AQ396),999),IFERROR(SEARCH("U",$AQ396),999),IFERROR(SEARCH("V",$AQ396),999),IFERROR(SEARCH("W",$AQ396),999),IFERROR(SEARCH("X",$AQ396),999),IFERROR(SEARCH("Y",$AQ396),999),IFERROR(SEARCH("Z",$AQ396),999)))</f>
        <v/>
      </c>
      <c r="AZ396" s="497" t="s">
        <v>466</v>
      </c>
      <c r="BA396" s="34" t="s">
        <v>6132</v>
      </c>
      <c r="BB396" s="499"/>
      <c r="BC396" s="271"/>
      <c r="BD396" s="279">
        <v>1</v>
      </c>
      <c r="BE396" s="271"/>
      <c r="BF396" s="271"/>
      <c r="BG396" s="271"/>
      <c r="BH396" s="271"/>
      <c r="BI396" s="271"/>
      <c r="BJ396" s="271"/>
      <c r="BK396" s="271"/>
      <c r="BL396" s="271"/>
    </row>
    <row r="397" spans="18:64" ht="21" customHeight="1" x14ac:dyDescent="0.25">
      <c r="R397" s="34" t="s">
        <v>476</v>
      </c>
      <c r="S397" s="451"/>
      <c r="T397" s="32" t="s">
        <v>305</v>
      </c>
      <c r="V397" s="475">
        <f>$V$396</f>
        <v>10</v>
      </c>
      <c r="W397" s="475" t="str">
        <f>IF($AC$397="","",$W$396)</f>
        <v/>
      </c>
      <c r="X397" s="476" t="str">
        <f>IF($AC$397="","",$X$396)</f>
        <v/>
      </c>
      <c r="Y397" s="477" t="str">
        <f>IF($X$397="","",$Y$396)</f>
        <v/>
      </c>
      <c r="Z397" s="477" t="str">
        <f>IF($X$397="","",$Z$396)</f>
        <v/>
      </c>
      <c r="AA397" s="477" t="str">
        <f>IF($AC$397="","",ROW($A$397)-ROW($A$396))</f>
        <v/>
      </c>
      <c r="AB397" s="478"/>
      <c r="AC397" s="34"/>
      <c r="AD397" s="356"/>
      <c r="AE397" s="479"/>
      <c r="AF397" s="475"/>
      <c r="AG397" s="480" t="str">
        <f t="shared" si="112"/>
        <v/>
      </c>
      <c r="AH397" s="481" t="str">
        <f t="shared" si="113"/>
        <v/>
      </c>
      <c r="AI397" s="477" t="str">
        <f>IF($AC$397="","",IFERROR(INDEX($AZ$74:$AZ$119,MATCH($AH$397,$AY$74:$AY$119,0)),"AUTRE"))</f>
        <v/>
      </c>
      <c r="AJ397" s="482" t="str">
        <f>IF($AC$397="","",IFERROR(INDEX($BA$74:$BA$119,MATCH($AH$397,$AY$74:$AY$119,0)),1))</f>
        <v/>
      </c>
      <c r="AK397" s="482" t="str">
        <f t="shared" si="114"/>
        <v/>
      </c>
      <c r="AL397" s="477" t="str">
        <f>IF($AC$397="","",IFERROR(INDEX($BB$74:$BB$119,MATCH($AH$397,$AY$74:$AY$119,0)),$AH$397))</f>
        <v/>
      </c>
      <c r="AM397" s="483" t="str">
        <f t="shared" si="115"/>
        <v/>
      </c>
      <c r="AN397" s="484" t="str">
        <f t="shared" si="116"/>
        <v/>
      </c>
      <c r="AO397" s="473" t="str">
        <f t="shared" si="117"/>
        <v/>
      </c>
      <c r="AP397" s="473" t="str">
        <f t="shared" si="118"/>
        <v/>
      </c>
      <c r="AQ397" s="473" t="str">
        <f t="shared" si="119"/>
        <v/>
      </c>
      <c r="AR397" s="473" t="str">
        <f t="shared" si="120"/>
        <v/>
      </c>
      <c r="AS397" s="473" t="str">
        <f t="shared" si="121"/>
        <v/>
      </c>
      <c r="AT397" s="473" t="str">
        <f t="shared" si="122"/>
        <v/>
      </c>
      <c r="AU397" s="473" t="str">
        <f t="shared" si="123"/>
        <v/>
      </c>
      <c r="AZ397" s="14" t="s">
        <v>7</v>
      </c>
      <c r="BA397" s="25" t="s">
        <v>6133</v>
      </c>
      <c r="BB397" s="499"/>
      <c r="BC397" s="271"/>
      <c r="BD397" s="279">
        <v>1</v>
      </c>
      <c r="BE397" s="271"/>
      <c r="BF397" s="271"/>
      <c r="BG397" s="271"/>
      <c r="BH397" s="271"/>
      <c r="BI397" s="271"/>
      <c r="BJ397" s="271"/>
      <c r="BK397" s="271"/>
      <c r="BL397" s="271"/>
    </row>
    <row r="398" spans="18:64" ht="21" customHeight="1" x14ac:dyDescent="0.25">
      <c r="R398" s="34" t="s">
        <v>468</v>
      </c>
      <c r="S398" s="451"/>
      <c r="T398" s="32" t="s">
        <v>309</v>
      </c>
      <c r="V398" s="475">
        <v>10</v>
      </c>
      <c r="W398" s="475" t="str">
        <f>IF($AC$398="","",$W$396)</f>
        <v/>
      </c>
      <c r="X398" s="476" t="str">
        <f>IF($AC$398="","",$X$396)</f>
        <v/>
      </c>
      <c r="Y398" s="477" t="str">
        <f>IF($X$398="","",$Y$396)</f>
        <v/>
      </c>
      <c r="Z398" s="477" t="str">
        <f>IF($X$398="","",$Z$396)</f>
        <v/>
      </c>
      <c r="AA398" s="477" t="str">
        <f>IF($AC$398="","",ROW($A$398)-ROW($A$396))</f>
        <v/>
      </c>
      <c r="AB398" s="478"/>
      <c r="AC398" s="34"/>
      <c r="AD398" s="356"/>
      <c r="AE398" s="479"/>
      <c r="AF398" s="475"/>
      <c r="AG398" s="480" t="str">
        <f t="shared" si="112"/>
        <v/>
      </c>
      <c r="AH398" s="481" t="str">
        <f t="shared" si="113"/>
        <v/>
      </c>
      <c r="AI398" s="477" t="str">
        <f>IF($AC$398="","",IFERROR(INDEX($AZ$74:$AZ$119,MATCH($AH$398,$AY$74:$AY$119,0)),"AUTRE"))</f>
        <v/>
      </c>
      <c r="AJ398" s="482" t="str">
        <f>IF($AC$398="","",IFERROR(INDEX($BA$74:$BA$119,MATCH($AH$398,$AY$74:$AY$119,0)),1))</f>
        <v/>
      </c>
      <c r="AK398" s="482" t="str">
        <f t="shared" si="114"/>
        <v/>
      </c>
      <c r="AL398" s="477" t="str">
        <f>IF($AC$398="","",IFERROR(INDEX($BB$74:$BB$119,MATCH($AH$398,$AY$74:$AY$119,0)),$AH$398))</f>
        <v/>
      </c>
      <c r="AM398" s="483" t="str">
        <f t="shared" si="115"/>
        <v/>
      </c>
      <c r="AN398" s="484" t="str">
        <f t="shared" si="116"/>
        <v/>
      </c>
      <c r="AO398" s="473" t="str">
        <f t="shared" si="117"/>
        <v/>
      </c>
      <c r="AP398" s="473" t="str">
        <f t="shared" si="118"/>
        <v/>
      </c>
      <c r="AQ398" s="473" t="str">
        <f t="shared" si="119"/>
        <v/>
      </c>
      <c r="AR398" s="473" t="str">
        <f t="shared" si="120"/>
        <v/>
      </c>
      <c r="AS398" s="473" t="str">
        <f t="shared" si="121"/>
        <v/>
      </c>
      <c r="AT398" s="473" t="str">
        <f t="shared" si="122"/>
        <v/>
      </c>
      <c r="AU398" s="473" t="str">
        <f t="shared" si="123"/>
        <v/>
      </c>
      <c r="AZ398" s="27" t="s">
        <v>8</v>
      </c>
      <c r="BA398" s="34" t="s">
        <v>476</v>
      </c>
      <c r="BB398" s="499"/>
      <c r="BC398" s="271"/>
      <c r="BD398" s="279">
        <v>1</v>
      </c>
      <c r="BE398" s="271"/>
      <c r="BF398" s="271"/>
      <c r="BG398" s="271"/>
      <c r="BH398" s="271"/>
      <c r="BI398" s="271"/>
      <c r="BJ398" s="271"/>
      <c r="BK398" s="271"/>
      <c r="BL398" s="271"/>
    </row>
    <row r="399" spans="18:64" ht="21" customHeight="1" x14ac:dyDescent="0.25">
      <c r="R399" s="34" t="s">
        <v>473</v>
      </c>
      <c r="S399" s="451"/>
      <c r="T399" s="32" t="s">
        <v>311</v>
      </c>
      <c r="V399" s="475">
        <v>10</v>
      </c>
      <c r="W399" s="475" t="str">
        <f>IF($AC$399="","",$W$396)</f>
        <v/>
      </c>
      <c r="X399" s="476" t="str">
        <f>IF($AC$399="","",$X$396)</f>
        <v/>
      </c>
      <c r="Y399" s="477" t="str">
        <f>IF($X$399="","",$Y$396)</f>
        <v/>
      </c>
      <c r="Z399" s="477" t="str">
        <f>IF($X$399="","",$Z$396)</f>
        <v/>
      </c>
      <c r="AA399" s="477" t="str">
        <f>IF($AC$399="","",ROW($A$399)-ROW($A$396))</f>
        <v/>
      </c>
      <c r="AB399" s="478"/>
      <c r="AC399" s="34"/>
      <c r="AD399" s="356"/>
      <c r="AE399" s="479"/>
      <c r="AF399" s="475"/>
      <c r="AG399" s="480" t="str">
        <f t="shared" si="112"/>
        <v/>
      </c>
      <c r="AH399" s="481" t="str">
        <f t="shared" si="113"/>
        <v/>
      </c>
      <c r="AI399" s="477" t="str">
        <f>IF($AC$399="","",IFERROR(INDEX($AZ$74:$AZ$119,MATCH($AH$399,$AY$74:$AY$119,0)),"AUTRE"))</f>
        <v/>
      </c>
      <c r="AJ399" s="482" t="str">
        <f>IF($AC$399="","",IFERROR(INDEX($BA$74:$BA$119,MATCH($AH$399,$AY$74:$AY$119,0)),1))</f>
        <v/>
      </c>
      <c r="AK399" s="482" t="str">
        <f t="shared" si="114"/>
        <v/>
      </c>
      <c r="AL399" s="477" t="str">
        <f>IF($AC$399="","",IFERROR(INDEX($BB$74:$BB$119,MATCH($AH$399,$AY$74:$AY$119,0)),$AH$399))</f>
        <v/>
      </c>
      <c r="AM399" s="483" t="str">
        <f t="shared" si="115"/>
        <v/>
      </c>
      <c r="AN399" s="484" t="str">
        <f t="shared" si="116"/>
        <v/>
      </c>
      <c r="AO399" s="473" t="str">
        <f t="shared" si="117"/>
        <v/>
      </c>
      <c r="AP399" s="473" t="str">
        <f t="shared" si="118"/>
        <v/>
      </c>
      <c r="AQ399" s="473" t="str">
        <f t="shared" si="119"/>
        <v/>
      </c>
      <c r="AR399" s="473" t="str">
        <f t="shared" si="120"/>
        <v/>
      </c>
      <c r="AS399" s="473" t="str">
        <f t="shared" si="121"/>
        <v/>
      </c>
      <c r="AT399" s="473" t="str">
        <f t="shared" si="122"/>
        <v/>
      </c>
      <c r="AU399" s="473" t="str">
        <f t="shared" si="123"/>
        <v/>
      </c>
      <c r="AZ399" s="28" t="s">
        <v>13</v>
      </c>
      <c r="BA399" s="34" t="s">
        <v>468</v>
      </c>
      <c r="BB399" s="499"/>
      <c r="BC399" s="271"/>
      <c r="BD399" s="279">
        <v>1</v>
      </c>
      <c r="BE399" s="271"/>
      <c r="BF399" s="271"/>
      <c r="BG399" s="271"/>
      <c r="BH399" s="271"/>
      <c r="BI399" s="271"/>
      <c r="BJ399" s="271"/>
      <c r="BK399" s="271"/>
      <c r="BL399" s="271"/>
    </row>
    <row r="400" spans="18:64" ht="21" customHeight="1" x14ac:dyDescent="0.25">
      <c r="R400" s="34" t="s">
        <v>497</v>
      </c>
      <c r="S400" s="451"/>
      <c r="T400" s="32" t="s">
        <v>8135</v>
      </c>
      <c r="V400" s="475">
        <v>10</v>
      </c>
      <c r="W400" s="475" t="str">
        <f>IF($AC$400="","",$W$396)</f>
        <v/>
      </c>
      <c r="X400" s="476" t="str">
        <f>IF($AC$400="","",$X$396)</f>
        <v/>
      </c>
      <c r="Y400" s="477" t="str">
        <f>IF($X$400="","",$Y$396)</f>
        <v/>
      </c>
      <c r="Z400" s="477" t="str">
        <f>IF($X$400="","",$Z$396)</f>
        <v/>
      </c>
      <c r="AA400" s="477" t="str">
        <f>IF($AC$400="","",ROW($A$400)-ROW($A$396))</f>
        <v/>
      </c>
      <c r="AB400" s="478"/>
      <c r="AC400" s="34"/>
      <c r="AD400" s="356"/>
      <c r="AE400" s="479"/>
      <c r="AF400" s="475"/>
      <c r="AG400" s="480" t="str">
        <f t="shared" si="112"/>
        <v/>
      </c>
      <c r="AH400" s="481" t="str">
        <f t="shared" si="113"/>
        <v/>
      </c>
      <c r="AI400" s="477" t="str">
        <f>IF($AC$400="","",IFERROR(INDEX($AZ$74:$AZ$119,MATCH($AH$400,$AY$74:$AY$119,0)),"AUTRE"))</f>
        <v/>
      </c>
      <c r="AJ400" s="482" t="str">
        <f>IF($AC$400="","",IFERROR(INDEX($BA$74:$BA$119,MATCH($AH$400,$AY$74:$AY$119,0)),1))</f>
        <v/>
      </c>
      <c r="AK400" s="482" t="str">
        <f t="shared" si="114"/>
        <v/>
      </c>
      <c r="AL400" s="477" t="str">
        <f>IF($AC$400="","",IFERROR(INDEX($BB$74:$BB$119,MATCH($AH$400,$AY$74:$AY$119,0)),$AH$400))</f>
        <v/>
      </c>
      <c r="AM400" s="483" t="str">
        <f t="shared" si="115"/>
        <v/>
      </c>
      <c r="AN400" s="484" t="str">
        <f t="shared" si="116"/>
        <v/>
      </c>
      <c r="AO400" s="473" t="str">
        <f t="shared" si="117"/>
        <v/>
      </c>
      <c r="AP400" s="473" t="str">
        <f t="shared" si="118"/>
        <v/>
      </c>
      <c r="AQ400" s="473" t="str">
        <f t="shared" si="119"/>
        <v/>
      </c>
      <c r="AR400" s="473" t="str">
        <f t="shared" si="120"/>
        <v/>
      </c>
      <c r="AS400" s="473" t="str">
        <f t="shared" si="121"/>
        <v/>
      </c>
      <c r="AT400" s="473" t="str">
        <f t="shared" si="122"/>
        <v/>
      </c>
      <c r="AU400" s="473" t="str">
        <f t="shared" si="123"/>
        <v/>
      </c>
      <c r="AZ400" s="28" t="s">
        <v>14</v>
      </c>
      <c r="BA400" s="34" t="s">
        <v>473</v>
      </c>
      <c r="BB400" s="499"/>
      <c r="BC400" s="271"/>
      <c r="BD400" s="279">
        <v>1</v>
      </c>
      <c r="BE400" s="271"/>
      <c r="BF400" s="271"/>
      <c r="BG400" s="271"/>
      <c r="BH400" s="271"/>
      <c r="BI400" s="271"/>
      <c r="BJ400" s="271"/>
      <c r="BK400" s="271"/>
      <c r="BL400" s="271"/>
    </row>
    <row r="401" spans="18:64" ht="21" customHeight="1" x14ac:dyDescent="0.25">
      <c r="R401" s="34" t="s">
        <v>470</v>
      </c>
      <c r="S401" s="451"/>
      <c r="T401" s="497" t="s">
        <v>462</v>
      </c>
      <c r="V401" s="475">
        <v>10</v>
      </c>
      <c r="W401" s="475" t="str">
        <f>IF($AC$401="","",$W$396)</f>
        <v/>
      </c>
      <c r="X401" s="476" t="str">
        <f>IF($AC$401="","",$X$396)</f>
        <v/>
      </c>
      <c r="Y401" s="477" t="str">
        <f>IF($X$401="","",$Y$396)</f>
        <v/>
      </c>
      <c r="Z401" s="477" t="str">
        <f>IF($X$401="","",$Z$396)</f>
        <v/>
      </c>
      <c r="AA401" s="477" t="str">
        <f>IF($AC$401="","",ROW($A$401)-ROW($A$396))</f>
        <v/>
      </c>
      <c r="AB401" s="478"/>
      <c r="AC401" s="34"/>
      <c r="AD401" s="356"/>
      <c r="AE401" s="479"/>
      <c r="AF401" s="475"/>
      <c r="AG401" s="480" t="str">
        <f t="shared" si="112"/>
        <v/>
      </c>
      <c r="AH401" s="481" t="str">
        <f t="shared" si="113"/>
        <v/>
      </c>
      <c r="AI401" s="477" t="str">
        <f>IF($AC$401="","",IFERROR(INDEX($AZ$74:$AZ$119,MATCH($AH$401,$AY$74:$AY$119,0)),"AUTRE"))</f>
        <v/>
      </c>
      <c r="AJ401" s="482" t="str">
        <f>IF($AC$401="","",IFERROR(INDEX($BA$74:$BA$119,MATCH($AH$401,$AY$74:$AY$119,0)),1))</f>
        <v/>
      </c>
      <c r="AK401" s="482" t="str">
        <f t="shared" si="114"/>
        <v/>
      </c>
      <c r="AL401" s="477" t="str">
        <f>IF($AC$401="","",IFERROR(INDEX($BB$74:$BB$119,MATCH($AH$401,$AY$74:$AY$119,0)),$AH$401))</f>
        <v/>
      </c>
      <c r="AM401" s="483" t="str">
        <f t="shared" si="115"/>
        <v/>
      </c>
      <c r="AN401" s="484" t="str">
        <f t="shared" si="116"/>
        <v/>
      </c>
      <c r="AO401" s="473" t="str">
        <f t="shared" si="117"/>
        <v/>
      </c>
      <c r="AP401" s="473" t="str">
        <f t="shared" si="118"/>
        <v/>
      </c>
      <c r="AQ401" s="473" t="str">
        <f t="shared" si="119"/>
        <v/>
      </c>
      <c r="AR401" s="473" t="str">
        <f t="shared" si="120"/>
        <v/>
      </c>
      <c r="AS401" s="473" t="str">
        <f t="shared" si="121"/>
        <v/>
      </c>
      <c r="AT401" s="473" t="str">
        <f t="shared" si="122"/>
        <v/>
      </c>
      <c r="AU401" s="473" t="str">
        <f t="shared" si="123"/>
        <v/>
      </c>
      <c r="AZ401" s="28" t="s">
        <v>15</v>
      </c>
      <c r="BA401" s="34" t="s">
        <v>497</v>
      </c>
      <c r="BB401" s="499"/>
      <c r="BC401" s="271"/>
      <c r="BD401" s="279">
        <v>1</v>
      </c>
      <c r="BE401" s="271"/>
      <c r="BF401" s="271"/>
      <c r="BG401" s="271"/>
      <c r="BH401" s="271"/>
      <c r="BI401" s="271"/>
      <c r="BJ401" s="271"/>
      <c r="BK401" s="271"/>
      <c r="BL401" s="271"/>
    </row>
    <row r="402" spans="18:64" ht="21" customHeight="1" x14ac:dyDescent="0.25">
      <c r="R402" s="34" t="s">
        <v>477</v>
      </c>
      <c r="S402" s="451"/>
      <c r="T402" s="497" t="s">
        <v>463</v>
      </c>
      <c r="V402" s="475">
        <v>10</v>
      </c>
      <c r="W402" s="475" t="str">
        <f>IF($AC$402="","",$W$396)</f>
        <v/>
      </c>
      <c r="X402" s="476" t="str">
        <f>IF($AC$402="","",$X$396)</f>
        <v/>
      </c>
      <c r="Y402" s="477" t="str">
        <f>IF($X$402="","",$Y$396)</f>
        <v/>
      </c>
      <c r="Z402" s="477" t="str">
        <f>IF($X$402="","",$Z$396)</f>
        <v/>
      </c>
      <c r="AA402" s="477" t="str">
        <f>IF($AC$402="","",ROW($A$402)-ROW($A$396))</f>
        <v/>
      </c>
      <c r="AB402" s="478"/>
      <c r="AC402" s="34"/>
      <c r="AD402" s="356"/>
      <c r="AE402" s="479"/>
      <c r="AF402" s="475"/>
      <c r="AG402" s="480" t="str">
        <f t="shared" si="112"/>
        <v/>
      </c>
      <c r="AH402" s="481" t="str">
        <f t="shared" si="113"/>
        <v/>
      </c>
      <c r="AI402" s="477" t="str">
        <f>IF($AC$402="","",IFERROR(INDEX($AZ$74:$AZ$119,MATCH($AH$402,$AY$74:$AY$119,0)),"AUTRE"))</f>
        <v/>
      </c>
      <c r="AJ402" s="482" t="str">
        <f>IF($AC$402="","",IFERROR(INDEX($BA$74:$BA$119,MATCH($AH$402,$AY$74:$AY$119,0)),1))</f>
        <v/>
      </c>
      <c r="AK402" s="482" t="str">
        <f t="shared" si="114"/>
        <v/>
      </c>
      <c r="AL402" s="477" t="str">
        <f>IF($AC$402="","",IFERROR(INDEX($BB$74:$BB$119,MATCH($AH$402,$AY$74:$AY$119,0)),$AH$402))</f>
        <v/>
      </c>
      <c r="AM402" s="483" t="str">
        <f t="shared" si="115"/>
        <v/>
      </c>
      <c r="AN402" s="484" t="str">
        <f t="shared" si="116"/>
        <v/>
      </c>
      <c r="AO402" s="473" t="str">
        <f t="shared" si="117"/>
        <v/>
      </c>
      <c r="AP402" s="473" t="str">
        <f t="shared" si="118"/>
        <v/>
      </c>
      <c r="AQ402" s="473" t="str">
        <f t="shared" si="119"/>
        <v/>
      </c>
      <c r="AR402" s="473" t="str">
        <f t="shared" si="120"/>
        <v/>
      </c>
      <c r="AS402" s="473" t="str">
        <f t="shared" si="121"/>
        <v/>
      </c>
      <c r="AT402" s="473" t="str">
        <f t="shared" si="122"/>
        <v/>
      </c>
      <c r="AU402" s="473" t="str">
        <f t="shared" si="123"/>
        <v/>
      </c>
      <c r="AZ402" s="29" t="s">
        <v>9</v>
      </c>
      <c r="BA402" s="34" t="s">
        <v>470</v>
      </c>
      <c r="BB402" s="499"/>
      <c r="BC402" s="271"/>
      <c r="BD402" s="279">
        <v>1</v>
      </c>
      <c r="BE402" s="271"/>
      <c r="BF402" s="271"/>
      <c r="BG402" s="271"/>
      <c r="BH402" s="271"/>
      <c r="BI402" s="271"/>
      <c r="BJ402" s="271"/>
      <c r="BK402" s="271"/>
      <c r="BL402" s="271"/>
    </row>
    <row r="403" spans="18:64" ht="21" customHeight="1" x14ac:dyDescent="0.25">
      <c r="S403" s="451"/>
      <c r="T403" s="497" t="s">
        <v>8147</v>
      </c>
      <c r="V403" s="475">
        <v>10</v>
      </c>
      <c r="W403" s="475" t="str">
        <f>IF($AC$403="","",$W$396)</f>
        <v/>
      </c>
      <c r="X403" s="476" t="str">
        <f>IF($AC$403="","",$X$396)</f>
        <v/>
      </c>
      <c r="Y403" s="477" t="str">
        <f>IF($X$403="","",$Y$396)</f>
        <v/>
      </c>
      <c r="Z403" s="477" t="str">
        <f>IF($X$403="","",$Z$396)</f>
        <v/>
      </c>
      <c r="AA403" s="477" t="str">
        <f>IF($AC$403="","",ROW($A$403)-ROW($A$396))</f>
        <v/>
      </c>
      <c r="AB403" s="478"/>
      <c r="AC403" s="34"/>
      <c r="AD403" s="356"/>
      <c r="AE403" s="479"/>
      <c r="AF403" s="475"/>
      <c r="AG403" s="480" t="str">
        <f t="shared" si="112"/>
        <v/>
      </c>
      <c r="AH403" s="481" t="str">
        <f t="shared" si="113"/>
        <v/>
      </c>
      <c r="AI403" s="477" t="str">
        <f>IF($AC$403="","",IFERROR(INDEX($AZ$74:$AZ$119,MATCH($AH$403,$AY$74:$AY$119,0)),"AUTRE"))</f>
        <v/>
      </c>
      <c r="AJ403" s="482" t="str">
        <f>IF($AC$403="","",IFERROR(INDEX($BA$74:$BA$119,MATCH($AH$403,$AY$74:$AY$119,0)),1))</f>
        <v/>
      </c>
      <c r="AK403" s="482" t="str">
        <f t="shared" si="114"/>
        <v/>
      </c>
      <c r="AL403" s="477" t="str">
        <f>IF($AC$403="","",IFERROR(INDEX($BB$74:$BB$119,MATCH($AH$403,$AY$74:$AY$119,0)),$AH$403))</f>
        <v/>
      </c>
      <c r="AM403" s="483" t="str">
        <f t="shared" si="115"/>
        <v/>
      </c>
      <c r="AN403" s="484" t="str">
        <f t="shared" si="116"/>
        <v/>
      </c>
      <c r="AO403" s="473" t="str">
        <f t="shared" si="117"/>
        <v/>
      </c>
      <c r="AP403" s="473" t="str">
        <f t="shared" si="118"/>
        <v/>
      </c>
      <c r="AQ403" s="473" t="str">
        <f t="shared" si="119"/>
        <v/>
      </c>
      <c r="AR403" s="473" t="str">
        <f t="shared" si="120"/>
        <v/>
      </c>
      <c r="AS403" s="473" t="str">
        <f t="shared" si="121"/>
        <v/>
      </c>
      <c r="AT403" s="473" t="str">
        <f t="shared" si="122"/>
        <v/>
      </c>
      <c r="AU403" s="473" t="str">
        <f t="shared" si="123"/>
        <v/>
      </c>
      <c r="AZ403" s="30" t="s">
        <v>10</v>
      </c>
      <c r="BA403" s="34" t="s">
        <v>477</v>
      </c>
      <c r="BB403" s="499"/>
      <c r="BC403" s="271"/>
      <c r="BD403" s="279">
        <v>1</v>
      </c>
      <c r="BE403" s="271"/>
      <c r="BF403" s="271"/>
      <c r="BG403" s="271"/>
      <c r="BH403" s="271"/>
      <c r="BI403" s="271"/>
      <c r="BJ403" s="271"/>
      <c r="BK403" s="271"/>
      <c r="BL403" s="271"/>
    </row>
    <row r="404" spans="18:64" ht="21" customHeight="1" x14ac:dyDescent="0.25">
      <c r="R404" s="25" t="s">
        <v>6134</v>
      </c>
      <c r="S404" s="451"/>
      <c r="T404" s="497" t="s">
        <v>465</v>
      </c>
      <c r="V404" s="475">
        <v>10</v>
      </c>
      <c r="W404" s="475" t="str">
        <f>IF($AC$404="","",$W$396)</f>
        <v/>
      </c>
      <c r="X404" s="476" t="str">
        <f>IF($AC$404="","",$X$396)</f>
        <v/>
      </c>
      <c r="Y404" s="477" t="str">
        <f>IF($X$404="","",$Y$396)</f>
        <v/>
      </c>
      <c r="Z404" s="477" t="str">
        <f>IF($X$404="","",$Z$396)</f>
        <v/>
      </c>
      <c r="AA404" s="477" t="str">
        <f>IF($AC$404="","",ROW($A$404)-ROW($A$396))</f>
        <v/>
      </c>
      <c r="AB404" s="478"/>
      <c r="AC404" s="34"/>
      <c r="AD404" s="356"/>
      <c r="AE404" s="479"/>
      <c r="AF404" s="475"/>
      <c r="AG404" s="480" t="str">
        <f t="shared" si="112"/>
        <v/>
      </c>
      <c r="AH404" s="481" t="str">
        <f t="shared" si="113"/>
        <v/>
      </c>
      <c r="AI404" s="477" t="str">
        <f>IF($AC$404="","",IFERROR(INDEX($AZ$74:$AZ$119,MATCH($AH$404,$AY$74:$AY$119,0)),"AUTRE"))</f>
        <v/>
      </c>
      <c r="AJ404" s="482" t="str">
        <f>IF($AC$404="","",IFERROR(INDEX($BA$74:$BA$119,MATCH($AH$404,$AY$74:$AY$119,0)),1))</f>
        <v/>
      </c>
      <c r="AK404" s="482" t="str">
        <f t="shared" si="114"/>
        <v/>
      </c>
      <c r="AL404" s="477" t="str">
        <f>IF($AC$404="","",IFERROR(INDEX($BB$74:$BB$119,MATCH($AH$404,$AY$74:$AY$119,0)),$AH$404))</f>
        <v/>
      </c>
      <c r="AM404" s="483" t="str">
        <f t="shared" si="115"/>
        <v/>
      </c>
      <c r="AN404" s="484" t="str">
        <f t="shared" si="116"/>
        <v/>
      </c>
      <c r="AO404" s="473" t="str">
        <f t="shared" si="117"/>
        <v/>
      </c>
      <c r="AP404" s="473" t="str">
        <f t="shared" si="118"/>
        <v/>
      </c>
      <c r="AQ404" s="473" t="str">
        <f t="shared" si="119"/>
        <v/>
      </c>
      <c r="AR404" s="473" t="str">
        <f t="shared" si="120"/>
        <v/>
      </c>
      <c r="AS404" s="473" t="str">
        <f t="shared" si="121"/>
        <v/>
      </c>
      <c r="AT404" s="473" t="str">
        <f t="shared" si="122"/>
        <v/>
      </c>
      <c r="AU404" s="473" t="str">
        <f t="shared" si="123"/>
        <v/>
      </c>
      <c r="AZ404" s="30" t="s">
        <v>11</v>
      </c>
      <c r="BB404" s="499"/>
      <c r="BC404" s="271"/>
      <c r="BD404" s="279">
        <v>1</v>
      </c>
      <c r="BE404" s="271"/>
      <c r="BF404" s="271"/>
      <c r="BG404" s="271"/>
      <c r="BH404" s="271"/>
      <c r="BI404" s="271"/>
      <c r="BJ404" s="271"/>
      <c r="BK404" s="271"/>
      <c r="BL404" s="271"/>
    </row>
    <row r="405" spans="18:64" ht="21" customHeight="1" x14ac:dyDescent="0.25">
      <c r="R405" s="34" t="s">
        <v>481</v>
      </c>
      <c r="S405" s="451"/>
      <c r="T405" s="497" t="s">
        <v>466</v>
      </c>
      <c r="V405" s="475">
        <v>10</v>
      </c>
      <c r="W405" s="475" t="str">
        <f>IF($AC$405="","",$W$396)</f>
        <v/>
      </c>
      <c r="X405" s="476" t="str">
        <f>IF($AC$405="","",$X$396)</f>
        <v/>
      </c>
      <c r="Y405" s="477" t="str">
        <f>IF($X$405="","",$Y$396)</f>
        <v/>
      </c>
      <c r="Z405" s="477" t="str">
        <f>IF($X$405="","",$Z$396)</f>
        <v/>
      </c>
      <c r="AA405" s="477" t="str">
        <f>IF($AC$405="","",ROW($A$405)-ROW($A$396))</f>
        <v/>
      </c>
      <c r="AB405" s="478"/>
      <c r="AC405" s="34"/>
      <c r="AD405" s="356"/>
      <c r="AE405" s="479"/>
      <c r="AF405" s="475"/>
      <c r="AG405" s="480" t="str">
        <f t="shared" si="112"/>
        <v/>
      </c>
      <c r="AH405" s="481" t="str">
        <f t="shared" si="113"/>
        <v/>
      </c>
      <c r="AI405" s="477" t="str">
        <f>IF($AC$405="","",IFERROR(INDEX($AZ$74:$AZ$119,MATCH($AH$405,$AY$74:$AY$119,0)),"AUTRE"))</f>
        <v/>
      </c>
      <c r="AJ405" s="482" t="str">
        <f>IF($AC$405="","",IFERROR(INDEX($BA$74:$BA$119,MATCH($AH$405,$AY$74:$AY$119,0)),1))</f>
        <v/>
      </c>
      <c r="AK405" s="482" t="str">
        <f t="shared" si="114"/>
        <v/>
      </c>
      <c r="AL405" s="477" t="str">
        <f>IF($AC$405="","",IFERROR(INDEX($BB$74:$BB$119,MATCH($AH$405,$AY$74:$AY$119,0)),$AH$405))</f>
        <v/>
      </c>
      <c r="AM405" s="483" t="str">
        <f t="shared" si="115"/>
        <v/>
      </c>
      <c r="AN405" s="484" t="str">
        <f t="shared" si="116"/>
        <v/>
      </c>
      <c r="AO405" s="473" t="str">
        <f t="shared" si="117"/>
        <v/>
      </c>
      <c r="AP405" s="473" t="str">
        <f t="shared" si="118"/>
        <v/>
      </c>
      <c r="AQ405" s="473" t="str">
        <f t="shared" si="119"/>
        <v/>
      </c>
      <c r="AR405" s="473" t="str">
        <f t="shared" si="120"/>
        <v/>
      </c>
      <c r="AS405" s="473" t="str">
        <f t="shared" si="121"/>
        <v/>
      </c>
      <c r="AT405" s="473" t="str">
        <f t="shared" si="122"/>
        <v/>
      </c>
      <c r="AU405" s="473" t="str">
        <f t="shared" si="123"/>
        <v/>
      </c>
      <c r="AZ405" s="30" t="s">
        <v>12</v>
      </c>
      <c r="BA405" s="25" t="s">
        <v>6134</v>
      </c>
      <c r="BB405" s="499"/>
      <c r="BC405" s="271"/>
      <c r="BD405" s="279">
        <v>1</v>
      </c>
      <c r="BE405" s="271"/>
      <c r="BF405" s="271"/>
      <c r="BG405" s="271"/>
      <c r="BH405" s="271"/>
      <c r="BI405" s="271"/>
      <c r="BJ405" s="271"/>
      <c r="BK405" s="271"/>
      <c r="BL405" s="271"/>
    </row>
    <row r="406" spans="18:64" ht="21" customHeight="1" x14ac:dyDescent="0.25">
      <c r="R406" s="34" t="s">
        <v>475</v>
      </c>
      <c r="S406" s="451"/>
      <c r="T406" s="440" t="s">
        <v>8110</v>
      </c>
      <c r="V406" s="475">
        <v>10</v>
      </c>
      <c r="W406" s="475" t="str">
        <f>IF($AC$406="","",$W$396)</f>
        <v/>
      </c>
      <c r="X406" s="476" t="str">
        <f>IF($AC$406="","",$X$396)</f>
        <v/>
      </c>
      <c r="Y406" s="477" t="str">
        <f>IF($X$406="","",$Y$396)</f>
        <v/>
      </c>
      <c r="Z406" s="477" t="str">
        <f>IF($X$406="","",$Z$396)</f>
        <v/>
      </c>
      <c r="AA406" s="477" t="str">
        <f>IF($AC$406="","",ROW($A$406)-ROW($A$396))</f>
        <v/>
      </c>
      <c r="AB406" s="478"/>
      <c r="AC406" s="34"/>
      <c r="AD406" s="356"/>
      <c r="AE406" s="479"/>
      <c r="AF406" s="475"/>
      <c r="AG406" s="480" t="str">
        <f t="shared" si="112"/>
        <v/>
      </c>
      <c r="AH406" s="481" t="str">
        <f t="shared" si="113"/>
        <v/>
      </c>
      <c r="AI406" s="477" t="str">
        <f>IF($AC$406="","",IFERROR(INDEX($AZ$74:$AZ$119,MATCH($AH$406,$AY$74:$AY$119,0)),"AUTRE"))</f>
        <v/>
      </c>
      <c r="AJ406" s="482" t="str">
        <f>IF($AC$406="","",IFERROR(INDEX($BA$74:$BA$119,MATCH($AH$406,$AY$74:$AY$119,0)),1))</f>
        <v/>
      </c>
      <c r="AK406" s="482" t="str">
        <f t="shared" si="114"/>
        <v/>
      </c>
      <c r="AL406" s="477" t="str">
        <f>IF($AC$406="","",IFERROR(INDEX($BB$74:$BB$119,MATCH($AH$406,$AY$74:$AY$119,0)),$AH$406))</f>
        <v/>
      </c>
      <c r="AM406" s="483" t="str">
        <f t="shared" si="115"/>
        <v/>
      </c>
      <c r="AN406" s="484" t="str">
        <f t="shared" si="116"/>
        <v/>
      </c>
      <c r="AO406" s="473" t="str">
        <f t="shared" si="117"/>
        <v/>
      </c>
      <c r="AP406" s="473" t="str">
        <f t="shared" si="118"/>
        <v/>
      </c>
      <c r="AQ406" s="473" t="str">
        <f t="shared" si="119"/>
        <v/>
      </c>
      <c r="AR406" s="473" t="str">
        <f t="shared" si="120"/>
        <v/>
      </c>
      <c r="AS406" s="473" t="str">
        <f t="shared" si="121"/>
        <v/>
      </c>
      <c r="AT406" s="473" t="str">
        <f t="shared" si="122"/>
        <v/>
      </c>
      <c r="AU406" s="473" t="str">
        <f t="shared" si="123"/>
        <v/>
      </c>
      <c r="AZ406" s="31" t="s">
        <v>16</v>
      </c>
      <c r="BA406" s="34" t="s">
        <v>481</v>
      </c>
      <c r="BB406" s="499"/>
      <c r="BC406" s="271"/>
      <c r="BD406" s="279">
        <v>1</v>
      </c>
      <c r="BE406" s="271"/>
      <c r="BF406" s="271"/>
      <c r="BG406" s="271"/>
      <c r="BH406" s="271"/>
      <c r="BI406" s="271"/>
      <c r="BJ406" s="271"/>
      <c r="BK406" s="271"/>
      <c r="BL406" s="271"/>
    </row>
    <row r="407" spans="18:64" ht="21" customHeight="1" x14ac:dyDescent="0.25">
      <c r="R407" s="34" t="s">
        <v>457</v>
      </c>
      <c r="S407" s="451"/>
      <c r="T407" s="452" t="s">
        <v>8113</v>
      </c>
      <c r="V407" s="475">
        <v>10</v>
      </c>
      <c r="W407" s="475" t="str">
        <f>IF($AC$407="","",$W$396)</f>
        <v/>
      </c>
      <c r="X407" s="476" t="str">
        <f>IF($AC$407="","",$X$396)</f>
        <v/>
      </c>
      <c r="Y407" s="477" t="str">
        <f>IF($X$407="","",$Y$396)</f>
        <v/>
      </c>
      <c r="Z407" s="477" t="str">
        <f>IF($X$407="","",$Z$396)</f>
        <v/>
      </c>
      <c r="AA407" s="477" t="str">
        <f>IF($AC$407="","",ROW($A$407)-ROW($A$396))</f>
        <v/>
      </c>
      <c r="AB407" s="478"/>
      <c r="AC407" s="34"/>
      <c r="AD407" s="356"/>
      <c r="AE407" s="479"/>
      <c r="AF407" s="475"/>
      <c r="AG407" s="480" t="str">
        <f t="shared" si="112"/>
        <v/>
      </c>
      <c r="AH407" s="481" t="str">
        <f t="shared" si="113"/>
        <v/>
      </c>
      <c r="AI407" s="477" t="str">
        <f>IF($AC$407="","",IFERROR(INDEX($AZ$74:$AZ$119,MATCH($AH$407,$AY$74:$AY$119,0)),"AUTRE"))</f>
        <v/>
      </c>
      <c r="AJ407" s="482" t="str">
        <f>IF($AC$407="","",IFERROR(INDEX($BA$74:$BA$119,MATCH($AH$407,$AY$74:$AY$119,0)),1))</f>
        <v/>
      </c>
      <c r="AK407" s="482" t="str">
        <f t="shared" si="114"/>
        <v/>
      </c>
      <c r="AL407" s="477" t="str">
        <f>IF($AC$407="","",IFERROR(INDEX($BB$74:$BB$119,MATCH($AH$407,$AY$74:$AY$119,0)),$AH$407))</f>
        <v/>
      </c>
      <c r="AM407" s="483" t="str">
        <f t="shared" si="115"/>
        <v/>
      </c>
      <c r="AN407" s="484" t="str">
        <f t="shared" si="116"/>
        <v/>
      </c>
      <c r="AO407" s="473" t="str">
        <f t="shared" si="117"/>
        <v/>
      </c>
      <c r="AP407" s="473" t="str">
        <f t="shared" si="118"/>
        <v/>
      </c>
      <c r="AQ407" s="473" t="str">
        <f t="shared" si="119"/>
        <v/>
      </c>
      <c r="AR407" s="473" t="str">
        <f t="shared" si="120"/>
        <v/>
      </c>
      <c r="AS407" s="473" t="str">
        <f t="shared" si="121"/>
        <v/>
      </c>
      <c r="AT407" s="473" t="str">
        <f t="shared" si="122"/>
        <v/>
      </c>
      <c r="AU407" s="473" t="str">
        <f t="shared" si="123"/>
        <v/>
      </c>
      <c r="AZ407" s="31" t="s">
        <v>17</v>
      </c>
      <c r="BA407" s="34" t="s">
        <v>475</v>
      </c>
      <c r="BB407" s="499"/>
      <c r="BC407" s="271"/>
      <c r="BD407" s="279">
        <v>1</v>
      </c>
      <c r="BE407" s="271"/>
      <c r="BF407" s="271"/>
      <c r="BG407" s="271"/>
      <c r="BH407" s="271"/>
      <c r="BI407" s="271"/>
      <c r="BJ407" s="271"/>
      <c r="BK407" s="271"/>
      <c r="BL407" s="271"/>
    </row>
    <row r="408" spans="18:64" ht="21" customHeight="1" x14ac:dyDescent="0.25">
      <c r="R408" s="34" t="s">
        <v>482</v>
      </c>
      <c r="S408" s="451"/>
      <c r="T408" s="14" t="s">
        <v>7</v>
      </c>
      <c r="V408" s="475">
        <v>10</v>
      </c>
      <c r="W408" s="475" t="str">
        <f>IF($AC$408="","",$W$396)</f>
        <v/>
      </c>
      <c r="X408" s="476" t="str">
        <f>IF($AC$408="","",$X$396)</f>
        <v/>
      </c>
      <c r="Y408" s="477" t="str">
        <f>IF($X$408="","",$Y$396)</f>
        <v/>
      </c>
      <c r="Z408" s="477" t="str">
        <f>IF($X$408="","",$Z$396)</f>
        <v/>
      </c>
      <c r="AA408" s="477" t="str">
        <f>IF($AC$408="","",ROW($A$408)-ROW($A$396))</f>
        <v/>
      </c>
      <c r="AB408" s="478"/>
      <c r="AC408" s="34"/>
      <c r="AD408" s="356"/>
      <c r="AE408" s="479"/>
      <c r="AF408" s="475"/>
      <c r="AG408" s="480" t="str">
        <f t="shared" si="112"/>
        <v/>
      </c>
      <c r="AH408" s="481" t="str">
        <f t="shared" si="113"/>
        <v/>
      </c>
      <c r="AI408" s="477" t="str">
        <f>IF($AC$408="","",IFERROR(INDEX($AZ$74:$AZ$119,MATCH($AH$408,$AY$74:$AY$119,0)),"AUTRE"))</f>
        <v/>
      </c>
      <c r="AJ408" s="482" t="str">
        <f>IF($AC$408="","",IFERROR(INDEX($BA$74:$BA$119,MATCH($AH$408,$AY$74:$AY$119,0)),1))</f>
        <v/>
      </c>
      <c r="AK408" s="482" t="str">
        <f t="shared" si="114"/>
        <v/>
      </c>
      <c r="AL408" s="477" t="str">
        <f>IF($AC$408="","",IFERROR(INDEX($BB$74:$BB$119,MATCH($AH$408,$AY$74:$AY$119,0)),$AH$408))</f>
        <v/>
      </c>
      <c r="AM408" s="483" t="str">
        <f t="shared" si="115"/>
        <v/>
      </c>
      <c r="AN408" s="484" t="str">
        <f t="shared" si="116"/>
        <v/>
      </c>
      <c r="AO408" s="473" t="str">
        <f t="shared" si="117"/>
        <v/>
      </c>
      <c r="AP408" s="473" t="str">
        <f t="shared" si="118"/>
        <v/>
      </c>
      <c r="AQ408" s="473" t="str">
        <f t="shared" si="119"/>
        <v/>
      </c>
      <c r="AR408" s="473" t="str">
        <f t="shared" si="120"/>
        <v/>
      </c>
      <c r="AS408" s="473" t="str">
        <f t="shared" si="121"/>
        <v/>
      </c>
      <c r="AT408" s="473" t="str">
        <f t="shared" si="122"/>
        <v/>
      </c>
      <c r="AU408" s="473" t="str">
        <f t="shared" si="123"/>
        <v/>
      </c>
      <c r="AZ408" s="31" t="s">
        <v>18</v>
      </c>
      <c r="BA408" s="34" t="s">
        <v>457</v>
      </c>
      <c r="BB408" s="499"/>
      <c r="BC408" s="271"/>
      <c r="BD408" s="279">
        <v>1</v>
      </c>
      <c r="BE408" s="271"/>
      <c r="BF408" s="271"/>
      <c r="BG408" s="271"/>
      <c r="BH408" s="271"/>
      <c r="BI408" s="271"/>
      <c r="BJ408" s="271"/>
      <c r="BK408" s="271"/>
      <c r="BL408" s="271"/>
    </row>
    <row r="409" spans="18:64" ht="21" customHeight="1" x14ac:dyDescent="0.25">
      <c r="R409" s="34" t="s">
        <v>496</v>
      </c>
      <c r="S409" s="451"/>
      <c r="T409" s="27" t="s">
        <v>8</v>
      </c>
      <c r="V409" s="475">
        <v>10</v>
      </c>
      <c r="W409" s="475" t="str">
        <f>IF($AC$409="","",$W$396)</f>
        <v/>
      </c>
      <c r="X409" s="476" t="str">
        <f>IF($AC$409="","",$X$396)</f>
        <v/>
      </c>
      <c r="Y409" s="477" t="str">
        <f>IF($X$409="","",$Y$396)</f>
        <v/>
      </c>
      <c r="Z409" s="477" t="str">
        <f>IF($X$409="","",$Z$396)</f>
        <v/>
      </c>
      <c r="AA409" s="477" t="str">
        <f>IF($AC$409="","",ROW($A$409)-ROW($A$396))</f>
        <v/>
      </c>
      <c r="AB409" s="478"/>
      <c r="AC409" s="34"/>
      <c r="AD409" s="356"/>
      <c r="AE409" s="479"/>
      <c r="AF409" s="475"/>
      <c r="AG409" s="480" t="str">
        <f t="shared" si="112"/>
        <v/>
      </c>
      <c r="AH409" s="481" t="str">
        <f t="shared" si="113"/>
        <v/>
      </c>
      <c r="AI409" s="477" t="str">
        <f>IF($AC$409="","",IFERROR(INDEX($AZ$74:$AZ$119,MATCH($AH$409,$AY$74:$AY$119,0)),"AUTRE"))</f>
        <v/>
      </c>
      <c r="AJ409" s="482" t="str">
        <f>IF($AC$409="","",IFERROR(INDEX($BA$74:$BA$119,MATCH($AH$409,$AY$74:$AY$119,0)),1))</f>
        <v/>
      </c>
      <c r="AK409" s="482" t="str">
        <f t="shared" si="114"/>
        <v/>
      </c>
      <c r="AL409" s="477" t="str">
        <f>IF($AC$409="","",IFERROR(INDEX($BB$74:$BB$119,MATCH($AH$409,$AY$74:$AY$119,0)),$AH$409))</f>
        <v/>
      </c>
      <c r="AM409" s="483" t="str">
        <f t="shared" si="115"/>
        <v/>
      </c>
      <c r="AN409" s="484" t="str">
        <f t="shared" si="116"/>
        <v/>
      </c>
      <c r="AO409" s="473" t="str">
        <f t="shared" si="117"/>
        <v/>
      </c>
      <c r="AP409" s="473" t="str">
        <f t="shared" si="118"/>
        <v/>
      </c>
      <c r="AQ409" s="473" t="str">
        <f t="shared" si="119"/>
        <v/>
      </c>
      <c r="AR409" s="473" t="str">
        <f t="shared" si="120"/>
        <v/>
      </c>
      <c r="AS409" s="473" t="str">
        <f t="shared" si="121"/>
        <v/>
      </c>
      <c r="AT409" s="473" t="str">
        <f t="shared" si="122"/>
        <v/>
      </c>
      <c r="AU409" s="473" t="str">
        <f t="shared" si="123"/>
        <v/>
      </c>
      <c r="AZ409" s="31" t="s">
        <v>19</v>
      </c>
      <c r="BA409" s="34" t="s">
        <v>482</v>
      </c>
      <c r="BB409" s="499"/>
      <c r="BC409" s="271"/>
      <c r="BD409" s="279">
        <v>1</v>
      </c>
      <c r="BE409" s="271"/>
      <c r="BF409" s="271"/>
      <c r="BG409" s="271"/>
      <c r="BH409" s="271"/>
      <c r="BI409" s="271"/>
      <c r="BJ409" s="271"/>
      <c r="BK409" s="271"/>
      <c r="BL409" s="271"/>
    </row>
    <row r="410" spans="18:64" ht="21" customHeight="1" x14ac:dyDescent="0.25">
      <c r="R410" s="34" t="s">
        <v>483</v>
      </c>
      <c r="S410" s="451"/>
      <c r="T410" s="28" t="s">
        <v>13</v>
      </c>
      <c r="V410" s="475">
        <v>10</v>
      </c>
      <c r="W410" s="475" t="str">
        <f>IF($AC$410="","",$W$396)</f>
        <v/>
      </c>
      <c r="X410" s="476" t="str">
        <f>IF($AC$410="","",$X$396)</f>
        <v/>
      </c>
      <c r="Y410" s="477" t="str">
        <f>IF($X$410="","",$Y$396)</f>
        <v/>
      </c>
      <c r="Z410" s="477" t="str">
        <f>IF($X$410="","",$Z$396)</f>
        <v/>
      </c>
      <c r="AA410" s="477" t="str">
        <f>IF($AC$410="","",ROW($A$410)-ROW($A$396))</f>
        <v/>
      </c>
      <c r="AB410" s="478"/>
      <c r="AC410" s="34"/>
      <c r="AD410" s="356"/>
      <c r="AE410" s="479"/>
      <c r="AF410" s="475"/>
      <c r="AG410" s="480" t="str">
        <f t="shared" si="112"/>
        <v/>
      </c>
      <c r="AH410" s="481" t="str">
        <f t="shared" si="113"/>
        <v/>
      </c>
      <c r="AI410" s="477" t="str">
        <f>IF($AC$410="","",IFERROR(INDEX($AZ$74:$AZ$119,MATCH($AH$410,$AY$74:$AY$119,0)),"AUTRE"))</f>
        <v/>
      </c>
      <c r="AJ410" s="482" t="str">
        <f>IF($AC$410="","",IFERROR(INDEX($BA$74:$BA$119,MATCH($AH$410,$AY$74:$AY$119,0)),1))</f>
        <v/>
      </c>
      <c r="AK410" s="482" t="str">
        <f t="shared" si="114"/>
        <v/>
      </c>
      <c r="AL410" s="477" t="str">
        <f>IF($AC$410="","",IFERROR(INDEX($BB$74:$BB$119,MATCH($AH$410,$AY$74:$AY$119,0)),$AH$410))</f>
        <v/>
      </c>
      <c r="AM410" s="483" t="str">
        <f t="shared" si="115"/>
        <v/>
      </c>
      <c r="AN410" s="484" t="str">
        <f t="shared" si="116"/>
        <v/>
      </c>
      <c r="AO410" s="473" t="str">
        <f t="shared" si="117"/>
        <v/>
      </c>
      <c r="AP410" s="473" t="str">
        <f t="shared" si="118"/>
        <v/>
      </c>
      <c r="AQ410" s="473" t="str">
        <f t="shared" si="119"/>
        <v/>
      </c>
      <c r="AR410" s="473" t="str">
        <f t="shared" si="120"/>
        <v/>
      </c>
      <c r="AS410" s="473" t="str">
        <f t="shared" si="121"/>
        <v/>
      </c>
      <c r="AT410" s="473" t="str">
        <f t="shared" si="122"/>
        <v/>
      </c>
      <c r="AU410" s="473" t="str">
        <f t="shared" si="123"/>
        <v/>
      </c>
      <c r="AZ410" s="31" t="s">
        <v>211</v>
      </c>
      <c r="BA410" s="34" t="s">
        <v>496</v>
      </c>
      <c r="BB410" s="499"/>
      <c r="BC410" s="271"/>
      <c r="BD410" s="279">
        <v>1</v>
      </c>
      <c r="BE410" s="271"/>
      <c r="BF410" s="271"/>
      <c r="BG410" s="271"/>
      <c r="BH410" s="271"/>
      <c r="BI410" s="271"/>
      <c r="BJ410" s="271"/>
      <c r="BK410" s="271"/>
      <c r="BL410" s="271"/>
    </row>
    <row r="411" spans="18:64" ht="21" customHeight="1" x14ac:dyDescent="0.25">
      <c r="R411" s="34" t="s">
        <v>493</v>
      </c>
      <c r="S411" s="451"/>
      <c r="T411" s="28" t="s">
        <v>14</v>
      </c>
      <c r="V411" s="475">
        <v>10</v>
      </c>
      <c r="W411" s="475" t="str">
        <f>IF($AC$411="","",$W$396)</f>
        <v/>
      </c>
      <c r="X411" s="476" t="str">
        <f>IF($AC$411="","",$X$396)</f>
        <v/>
      </c>
      <c r="Y411" s="477" t="str">
        <f>IF($X$411="","",$Y$396)</f>
        <v/>
      </c>
      <c r="Z411" s="477" t="str">
        <f>IF($X$411="","",$Z$396)</f>
        <v/>
      </c>
      <c r="AA411" s="477" t="str">
        <f>IF($AC$411="","",ROW($A$411)-ROW($A$396))</f>
        <v/>
      </c>
      <c r="AB411" s="478"/>
      <c r="AC411" s="34"/>
      <c r="AD411" s="356"/>
      <c r="AE411" s="479"/>
      <c r="AF411" s="475"/>
      <c r="AG411" s="480" t="str">
        <f t="shared" si="112"/>
        <v/>
      </c>
      <c r="AH411" s="481" t="str">
        <f t="shared" si="113"/>
        <v/>
      </c>
      <c r="AI411" s="477" t="str">
        <f>IF($AC$411="","",IFERROR(INDEX($AZ$74:$AZ$119,MATCH($AH$411,$AY$74:$AY$119,0)),"AUTRE"))</f>
        <v/>
      </c>
      <c r="AJ411" s="482" t="str">
        <f>IF($AC$411="","",IFERROR(INDEX($BA$74:$BA$119,MATCH($AH$411,$AY$74:$AY$119,0)),1))</f>
        <v/>
      </c>
      <c r="AK411" s="482" t="str">
        <f t="shared" si="114"/>
        <v/>
      </c>
      <c r="AL411" s="477" t="str">
        <f>IF($AC$411="","",IFERROR(INDEX($BB$74:$BB$119,MATCH($AH$411,$AY$74:$AY$119,0)),$AH$411))</f>
        <v/>
      </c>
      <c r="AM411" s="483" t="str">
        <f t="shared" si="115"/>
        <v/>
      </c>
      <c r="AN411" s="484" t="str">
        <f t="shared" si="116"/>
        <v/>
      </c>
      <c r="AO411" s="473" t="str">
        <f t="shared" si="117"/>
        <v/>
      </c>
      <c r="AP411" s="473" t="str">
        <f t="shared" si="118"/>
        <v/>
      </c>
      <c r="AQ411" s="473" t="str">
        <f t="shared" si="119"/>
        <v/>
      </c>
      <c r="AR411" s="473" t="str">
        <f t="shared" si="120"/>
        <v/>
      </c>
      <c r="AS411" s="473" t="str">
        <f t="shared" si="121"/>
        <v/>
      </c>
      <c r="AT411" s="473" t="str">
        <f t="shared" si="122"/>
        <v/>
      </c>
      <c r="AU411" s="473" t="str">
        <f t="shared" si="123"/>
        <v/>
      </c>
      <c r="AZ411" s="31" t="s">
        <v>20</v>
      </c>
      <c r="BA411" s="34" t="s">
        <v>483</v>
      </c>
      <c r="BB411" s="499"/>
      <c r="BC411" s="271"/>
      <c r="BD411" s="279">
        <v>1</v>
      </c>
      <c r="BE411" s="271"/>
      <c r="BF411" s="271"/>
      <c r="BG411" s="271"/>
      <c r="BH411" s="271"/>
      <c r="BI411" s="271"/>
      <c r="BJ411" s="271"/>
      <c r="BK411" s="271"/>
      <c r="BL411" s="271"/>
    </row>
    <row r="412" spans="18:64" ht="21" customHeight="1" x14ac:dyDescent="0.25">
      <c r="R412" s="34" t="s">
        <v>494</v>
      </c>
      <c r="S412" s="451"/>
      <c r="T412" s="28" t="s">
        <v>15</v>
      </c>
      <c r="V412" s="475">
        <v>10</v>
      </c>
      <c r="W412" s="475" t="str">
        <f>IF($AC$412="","",$W$396)</f>
        <v/>
      </c>
      <c r="X412" s="476" t="str">
        <f>IF($AC$412="","",$X$396)</f>
        <v/>
      </c>
      <c r="Y412" s="477" t="str">
        <f>IF($X$412="","",$Y$396)</f>
        <v/>
      </c>
      <c r="Z412" s="477" t="str">
        <f>IF($X$412="","",$Z$396)</f>
        <v/>
      </c>
      <c r="AA412" s="477" t="str">
        <f>IF($AC$412="","",ROW($A$412)-ROW($A$396))</f>
        <v/>
      </c>
      <c r="AB412" s="478"/>
      <c r="AC412" s="34"/>
      <c r="AD412" s="356"/>
      <c r="AE412" s="479"/>
      <c r="AF412" s="475"/>
      <c r="AG412" s="480" t="str">
        <f t="shared" si="112"/>
        <v/>
      </c>
      <c r="AH412" s="481" t="str">
        <f t="shared" si="113"/>
        <v/>
      </c>
      <c r="AI412" s="477" t="str">
        <f>IF($AC$412="","",IFERROR(INDEX($AZ$74:$AZ$119,MATCH($AH$412,$AY$74:$AY$119,0)),"AUTRE"))</f>
        <v/>
      </c>
      <c r="AJ412" s="482" t="str">
        <f>IF($AC$412="","",IFERROR(INDEX($BA$74:$BA$119,MATCH($AH$412,$AY$74:$AY$119,0)),1))</f>
        <v/>
      </c>
      <c r="AK412" s="482" t="str">
        <f t="shared" si="114"/>
        <v/>
      </c>
      <c r="AL412" s="477" t="str">
        <f>IF($AC$412="","",IFERROR(INDEX($BB$74:$BB$119,MATCH($AH$412,$AY$74:$AY$119,0)),$AH$412))</f>
        <v/>
      </c>
      <c r="AM412" s="483" t="str">
        <f t="shared" si="115"/>
        <v/>
      </c>
      <c r="AN412" s="484" t="str">
        <f t="shared" si="116"/>
        <v/>
      </c>
      <c r="AO412" s="473" t="str">
        <f t="shared" si="117"/>
        <v/>
      </c>
      <c r="AP412" s="473" t="str">
        <f t="shared" si="118"/>
        <v/>
      </c>
      <c r="AQ412" s="473" t="str">
        <f t="shared" si="119"/>
        <v/>
      </c>
      <c r="AR412" s="473" t="str">
        <f t="shared" si="120"/>
        <v/>
      </c>
      <c r="AS412" s="473" t="str">
        <f t="shared" si="121"/>
        <v/>
      </c>
      <c r="AT412" s="473" t="str">
        <f t="shared" si="122"/>
        <v/>
      </c>
      <c r="AU412" s="473" t="str">
        <f t="shared" si="123"/>
        <v/>
      </c>
      <c r="AZ412" s="31" t="s">
        <v>304</v>
      </c>
      <c r="BA412" s="34" t="s">
        <v>493</v>
      </c>
      <c r="BB412" s="499"/>
      <c r="BC412" s="271"/>
      <c r="BD412" s="279">
        <v>1</v>
      </c>
      <c r="BE412" s="271"/>
      <c r="BF412" s="271"/>
      <c r="BG412" s="271"/>
      <c r="BH412" s="271"/>
      <c r="BI412" s="271"/>
      <c r="BJ412" s="271"/>
      <c r="BK412" s="271"/>
      <c r="BL412" s="271"/>
    </row>
    <row r="413" spans="18:64" ht="21" customHeight="1" x14ac:dyDescent="0.25">
      <c r="S413" s="451"/>
      <c r="T413" s="28" t="s">
        <v>21</v>
      </c>
      <c r="V413" s="475">
        <v>10</v>
      </c>
      <c r="W413" s="475" t="str">
        <f>IF($AC$413="","",$W$396)</f>
        <v/>
      </c>
      <c r="X413" s="476" t="str">
        <f>IF($AC$413="","",$X$396)</f>
        <v/>
      </c>
      <c r="Y413" s="477" t="str">
        <f>IF($X$413="","",$Y$396)</f>
        <v/>
      </c>
      <c r="Z413" s="477" t="str">
        <f>IF($X$413="","",$Z$396)</f>
        <v/>
      </c>
      <c r="AA413" s="477" t="str">
        <f>IF($AC$413="","",ROW($A$413)-ROW($A$396))</f>
        <v/>
      </c>
      <c r="AB413" s="478"/>
      <c r="AC413" s="34"/>
      <c r="AD413" s="356"/>
      <c r="AE413" s="479"/>
      <c r="AF413" s="475"/>
      <c r="AG413" s="480" t="str">
        <f t="shared" si="112"/>
        <v/>
      </c>
      <c r="AH413" s="481" t="str">
        <f t="shared" si="113"/>
        <v/>
      </c>
      <c r="AI413" s="477" t="str">
        <f>IF($AC$413="","",IFERROR(INDEX($AZ$74:$AZ$119,MATCH($AH$413,$AY$74:$AY$119,0)),"AUTRE"))</f>
        <v/>
      </c>
      <c r="AJ413" s="482" t="str">
        <f>IF($AC$413="","",IFERROR(INDEX($BA$74:$BA$119,MATCH($AH$413,$AY$74:$AY$119,0)),1))</f>
        <v/>
      </c>
      <c r="AK413" s="482" t="str">
        <f t="shared" si="114"/>
        <v/>
      </c>
      <c r="AL413" s="477" t="str">
        <f>IF($AC$413="","",IFERROR(INDEX($BB$74:$BB$119,MATCH($AH$413,$AY$74:$AY$119,0)),$AH$413))</f>
        <v/>
      </c>
      <c r="AM413" s="483" t="str">
        <f t="shared" si="115"/>
        <v/>
      </c>
      <c r="AN413" s="484" t="str">
        <f t="shared" si="116"/>
        <v/>
      </c>
      <c r="AO413" s="473" t="str">
        <f t="shared" si="117"/>
        <v/>
      </c>
      <c r="AP413" s="473" t="str">
        <f t="shared" si="118"/>
        <v/>
      </c>
      <c r="AQ413" s="473" t="str">
        <f t="shared" si="119"/>
        <v/>
      </c>
      <c r="AR413" s="473" t="str">
        <f t="shared" si="120"/>
        <v/>
      </c>
      <c r="AS413" s="473" t="str">
        <f t="shared" si="121"/>
        <v/>
      </c>
      <c r="AT413" s="473" t="str">
        <f t="shared" si="122"/>
        <v/>
      </c>
      <c r="AU413" s="473" t="str">
        <f t="shared" si="123"/>
        <v/>
      </c>
      <c r="AZ413" s="31" t="s">
        <v>352</v>
      </c>
      <c r="BA413" s="34" t="s">
        <v>494</v>
      </c>
      <c r="BB413" s="499"/>
      <c r="BC413" s="271"/>
      <c r="BD413" s="279">
        <v>1</v>
      </c>
      <c r="BE413" s="271"/>
      <c r="BF413" s="271"/>
      <c r="BG413" s="271"/>
      <c r="BH413" s="271"/>
      <c r="BI413" s="271"/>
      <c r="BJ413" s="271"/>
      <c r="BK413" s="271"/>
      <c r="BL413" s="271"/>
    </row>
    <row r="414" spans="18:64" ht="21" customHeight="1" x14ac:dyDescent="0.25">
      <c r="R414" s="25" t="s">
        <v>6115</v>
      </c>
      <c r="S414" s="451"/>
      <c r="T414" s="28" t="s">
        <v>22</v>
      </c>
      <c r="V414" s="475">
        <v>10</v>
      </c>
      <c r="W414" s="475" t="str">
        <f>IF($AC$414="","",$W$396)</f>
        <v/>
      </c>
      <c r="X414" s="476" t="str">
        <f>IF($AC$414="","",$X$396)</f>
        <v/>
      </c>
      <c r="Y414" s="477" t="str">
        <f>IF($X$414="","",$Y$396)</f>
        <v/>
      </c>
      <c r="Z414" s="477" t="str">
        <f>IF($X$414="","",$Z$396)</f>
        <v/>
      </c>
      <c r="AA414" s="477" t="str">
        <f>IF($AC$414="","",ROW($A$414)-ROW($A$396))</f>
        <v/>
      </c>
      <c r="AB414" s="478"/>
      <c r="AC414" s="34"/>
      <c r="AD414" s="356"/>
      <c r="AE414" s="479"/>
      <c r="AF414" s="475"/>
      <c r="AG414" s="480" t="str">
        <f t="shared" si="112"/>
        <v/>
      </c>
      <c r="AH414" s="481" t="str">
        <f t="shared" si="113"/>
        <v/>
      </c>
      <c r="AI414" s="477" t="str">
        <f>IF($AC$414="","",IFERROR(INDEX($AZ$74:$AZ$119,MATCH($AH$414,$AY$74:$AY$119,0)),"AUTRE"))</f>
        <v/>
      </c>
      <c r="AJ414" s="482" t="str">
        <f>IF($AC$414="","",IFERROR(INDEX($BA$74:$BA$119,MATCH($AH$414,$AY$74:$AY$119,0)),1))</f>
        <v/>
      </c>
      <c r="AK414" s="482" t="str">
        <f t="shared" si="114"/>
        <v/>
      </c>
      <c r="AL414" s="477" t="str">
        <f>IF($AC$414="","",IFERROR(INDEX($BB$74:$BB$119,MATCH($AH$414,$AY$74:$AY$119,0)),$AH$414))</f>
        <v/>
      </c>
      <c r="AM414" s="483" t="str">
        <f t="shared" si="115"/>
        <v/>
      </c>
      <c r="AN414" s="484" t="str">
        <f t="shared" si="116"/>
        <v/>
      </c>
      <c r="AO414" s="473" t="str">
        <f t="shared" si="117"/>
        <v/>
      </c>
      <c r="AP414" s="473" t="str">
        <f t="shared" si="118"/>
        <v/>
      </c>
      <c r="AQ414" s="473" t="str">
        <f t="shared" si="119"/>
        <v/>
      </c>
      <c r="AR414" s="473" t="str">
        <f t="shared" si="120"/>
        <v/>
      </c>
      <c r="AS414" s="473" t="str">
        <f t="shared" si="121"/>
        <v/>
      </c>
      <c r="AT414" s="473" t="str">
        <f t="shared" si="122"/>
        <v/>
      </c>
      <c r="AU414" s="473" t="str">
        <f t="shared" si="123"/>
        <v/>
      </c>
      <c r="AZ414" s="31" t="s">
        <v>27</v>
      </c>
      <c r="BB414" s="499"/>
      <c r="BC414" s="271"/>
      <c r="BD414" s="279">
        <v>1</v>
      </c>
      <c r="BE414" s="271"/>
      <c r="BF414" s="271"/>
      <c r="BG414" s="271"/>
      <c r="BH414" s="271"/>
      <c r="BI414" s="271"/>
      <c r="BJ414" s="271"/>
      <c r="BK414" s="271"/>
      <c r="BL414" s="271"/>
    </row>
    <row r="415" spans="18:64" ht="21" customHeight="1" x14ac:dyDescent="0.25">
      <c r="R415" s="34" t="s">
        <v>471</v>
      </c>
      <c r="S415" s="451"/>
      <c r="T415" s="28" t="s">
        <v>23</v>
      </c>
      <c r="V415" s="475">
        <v>10</v>
      </c>
      <c r="W415" s="475" t="str">
        <f>IF($AC$415="","",$W$396)</f>
        <v/>
      </c>
      <c r="X415" s="476" t="str">
        <f>IF($AC$415="","",$X$396)</f>
        <v/>
      </c>
      <c r="Y415" s="477" t="str">
        <f>IF($X$415="","",$Y$396)</f>
        <v/>
      </c>
      <c r="Z415" s="477" t="str">
        <f>IF($X$415="","",$Z$396)</f>
        <v/>
      </c>
      <c r="AA415" s="477" t="str">
        <f>IF($AC$415="","",ROW($A$415)-ROW($A$396))</f>
        <v/>
      </c>
      <c r="AB415" s="478"/>
      <c r="AC415" s="34"/>
      <c r="AD415" s="356"/>
      <c r="AE415" s="479"/>
      <c r="AF415" s="475"/>
      <c r="AG415" s="480" t="str">
        <f t="shared" si="112"/>
        <v/>
      </c>
      <c r="AH415" s="481" t="str">
        <f t="shared" si="113"/>
        <v/>
      </c>
      <c r="AI415" s="477" t="str">
        <f>IF($AC$415="","",IFERROR(INDEX($AZ$74:$AZ$119,MATCH($AH$415,$AY$74:$AY$119,0)),"AUTRE"))</f>
        <v/>
      </c>
      <c r="AJ415" s="482" t="str">
        <f>IF($AC$415="","",IFERROR(INDEX($BA$74:$BA$119,MATCH($AH$415,$AY$74:$AY$119,0)),1))</f>
        <v/>
      </c>
      <c r="AK415" s="482" t="str">
        <f t="shared" si="114"/>
        <v/>
      </c>
      <c r="AL415" s="477" t="str">
        <f>IF($AC$415="","",IFERROR(INDEX($BB$74:$BB$119,MATCH($AH$415,$AY$74:$AY$119,0)),$AH$415))</f>
        <v/>
      </c>
      <c r="AM415" s="483" t="str">
        <f t="shared" si="115"/>
        <v/>
      </c>
      <c r="AN415" s="484" t="str">
        <f t="shared" si="116"/>
        <v/>
      </c>
      <c r="AO415" s="473" t="str">
        <f t="shared" si="117"/>
        <v/>
      </c>
      <c r="AP415" s="473" t="str">
        <f t="shared" si="118"/>
        <v/>
      </c>
      <c r="AQ415" s="473" t="str">
        <f t="shared" si="119"/>
        <v/>
      </c>
      <c r="AR415" s="473" t="str">
        <f t="shared" si="120"/>
        <v/>
      </c>
      <c r="AS415" s="473" t="str">
        <f t="shared" si="121"/>
        <v/>
      </c>
      <c r="AT415" s="473" t="str">
        <f t="shared" si="122"/>
        <v/>
      </c>
      <c r="AU415" s="473" t="str">
        <f t="shared" si="123"/>
        <v/>
      </c>
      <c r="AZ415" s="31" t="s">
        <v>28</v>
      </c>
      <c r="BA415" s="25" t="s">
        <v>6115</v>
      </c>
      <c r="BB415" s="499"/>
      <c r="BC415" s="271"/>
      <c r="BD415" s="279">
        <v>1</v>
      </c>
      <c r="BE415" s="271"/>
      <c r="BF415" s="271"/>
      <c r="BG415" s="271"/>
      <c r="BH415" s="271"/>
      <c r="BI415" s="271"/>
      <c r="BJ415" s="271"/>
      <c r="BK415" s="271"/>
      <c r="BL415" s="271"/>
    </row>
    <row r="416" spans="18:64" ht="21" customHeight="1" x14ac:dyDescent="0.25">
      <c r="R416" s="34" t="s">
        <v>472</v>
      </c>
      <c r="S416" s="451"/>
      <c r="T416" s="28" t="s">
        <v>24</v>
      </c>
      <c r="V416" s="475">
        <v>10</v>
      </c>
      <c r="W416" s="475" t="str">
        <f>IF($AC$416="","",$W$396)</f>
        <v/>
      </c>
      <c r="X416" s="476" t="str">
        <f>IF($AC$416="","",$X$396)</f>
        <v/>
      </c>
      <c r="Y416" s="477" t="str">
        <f>IF($X$416="","",$Y$396)</f>
        <v/>
      </c>
      <c r="Z416" s="477" t="str">
        <f>IF($X$416="","",$Z$396)</f>
        <v/>
      </c>
      <c r="AA416" s="477" t="str">
        <f>IF($AC$416="","",ROW($A$416)-ROW($A$396))</f>
        <v/>
      </c>
      <c r="AB416" s="478"/>
      <c r="AC416" s="34"/>
      <c r="AD416" s="356"/>
      <c r="AE416" s="479"/>
      <c r="AF416" s="475"/>
      <c r="AG416" s="480" t="str">
        <f t="shared" si="112"/>
        <v/>
      </c>
      <c r="AH416" s="481" t="str">
        <f t="shared" si="113"/>
        <v/>
      </c>
      <c r="AI416" s="477" t="str">
        <f>IF($AC$416="","",IFERROR(INDEX($AZ$74:$AZ$119,MATCH($AH$416,$AY$74:$AY$119,0)),"AUTRE"))</f>
        <v/>
      </c>
      <c r="AJ416" s="482" t="str">
        <f>IF($AC$416="","",IFERROR(INDEX($BA$74:$BA$119,MATCH($AH$416,$AY$74:$AY$119,0)),1))</f>
        <v/>
      </c>
      <c r="AK416" s="482" t="str">
        <f t="shared" si="114"/>
        <v/>
      </c>
      <c r="AL416" s="477" t="str">
        <f>IF($AC$416="","",IFERROR(INDEX($BB$74:$BB$119,MATCH($AH$416,$AY$74:$AY$119,0)),$AH$416))</f>
        <v/>
      </c>
      <c r="AM416" s="483" t="str">
        <f t="shared" si="115"/>
        <v/>
      </c>
      <c r="AN416" s="484" t="str">
        <f t="shared" si="116"/>
        <v/>
      </c>
      <c r="AO416" s="473" t="str">
        <f t="shared" si="117"/>
        <v/>
      </c>
      <c r="AP416" s="473" t="str">
        <f t="shared" si="118"/>
        <v/>
      </c>
      <c r="AQ416" s="473" t="str">
        <f t="shared" si="119"/>
        <v/>
      </c>
      <c r="AR416" s="473" t="str">
        <f t="shared" si="120"/>
        <v/>
      </c>
      <c r="AS416" s="473" t="str">
        <f t="shared" si="121"/>
        <v/>
      </c>
      <c r="AT416" s="473" t="str">
        <f t="shared" si="122"/>
        <v/>
      </c>
      <c r="AU416" s="473" t="str">
        <f t="shared" si="123"/>
        <v/>
      </c>
      <c r="AZ416" s="31" t="s">
        <v>29</v>
      </c>
      <c r="BA416" s="34" t="s">
        <v>471</v>
      </c>
      <c r="BB416" s="499"/>
      <c r="BC416" s="271"/>
      <c r="BD416" s="279">
        <v>1</v>
      </c>
      <c r="BE416" s="271"/>
      <c r="BF416" s="271"/>
      <c r="BG416" s="271"/>
      <c r="BH416" s="271"/>
      <c r="BI416" s="271"/>
      <c r="BJ416" s="271"/>
      <c r="BK416" s="271"/>
      <c r="BL416" s="271"/>
    </row>
    <row r="417" spans="1:64" ht="21" customHeight="1" x14ac:dyDescent="0.25">
      <c r="R417" s="34" t="s">
        <v>6112</v>
      </c>
      <c r="S417" s="451"/>
      <c r="T417" s="29" t="s">
        <v>9</v>
      </c>
      <c r="V417" s="475">
        <v>10</v>
      </c>
      <c r="W417" s="475" t="str">
        <f>IF($AC$417="","",$W$396)</f>
        <v/>
      </c>
      <c r="X417" s="476" t="str">
        <f>IF($AC$417="","",$X$396)</f>
        <v/>
      </c>
      <c r="Y417" s="477" t="str">
        <f>IF($X$417="","",$Y$396)</f>
        <v/>
      </c>
      <c r="Z417" s="477" t="str">
        <f>IF($X$417="","",$Z$396)</f>
        <v/>
      </c>
      <c r="AA417" s="477" t="str">
        <f>IF($AC$417="","",ROW($A$417)-ROW($A$396))</f>
        <v/>
      </c>
      <c r="AB417" s="478"/>
      <c r="AC417" s="34"/>
      <c r="AD417" s="356"/>
      <c r="AE417" s="479"/>
      <c r="AF417" s="475"/>
      <c r="AG417" s="480" t="str">
        <f t="shared" si="112"/>
        <v/>
      </c>
      <c r="AH417" s="481" t="str">
        <f t="shared" si="113"/>
        <v/>
      </c>
      <c r="AI417" s="477" t="str">
        <f>IF($AC$417="","",IFERROR(INDEX($AZ$74:$AZ$119,MATCH($AH$417,$AY$74:$AY$119,0)),"AUTRE"))</f>
        <v/>
      </c>
      <c r="AJ417" s="482" t="str">
        <f>IF($AC$417="","",IFERROR(INDEX($BA$74:$BA$119,MATCH($AH$417,$AY$74:$AY$119,0)),1))</f>
        <v/>
      </c>
      <c r="AK417" s="482" t="str">
        <f t="shared" si="114"/>
        <v/>
      </c>
      <c r="AL417" s="477" t="str">
        <f>IF($AC$417="","",IFERROR(INDEX($BB$74:$BB$119,MATCH($AH$417,$AY$74:$AY$119,0)),$AH$417))</f>
        <v/>
      </c>
      <c r="AM417" s="483" t="str">
        <f t="shared" si="115"/>
        <v/>
      </c>
      <c r="AN417" s="484" t="str">
        <f t="shared" si="116"/>
        <v/>
      </c>
      <c r="AO417" s="473" t="str">
        <f t="shared" si="117"/>
        <v/>
      </c>
      <c r="AP417" s="473" t="str">
        <f t="shared" si="118"/>
        <v/>
      </c>
      <c r="AQ417" s="473" t="str">
        <f t="shared" si="119"/>
        <v/>
      </c>
      <c r="AR417" s="473" t="str">
        <f t="shared" si="120"/>
        <v/>
      </c>
      <c r="AS417" s="473" t="str">
        <f t="shared" si="121"/>
        <v/>
      </c>
      <c r="AT417" s="473" t="str">
        <f t="shared" si="122"/>
        <v/>
      </c>
      <c r="AU417" s="473" t="str">
        <f t="shared" si="123"/>
        <v/>
      </c>
      <c r="AZ417" s="31" t="s">
        <v>30</v>
      </c>
      <c r="BA417" s="34" t="s">
        <v>472</v>
      </c>
      <c r="BB417" s="499"/>
      <c r="BC417" s="271"/>
      <c r="BD417" s="279">
        <v>1</v>
      </c>
      <c r="BE417" s="271"/>
      <c r="BF417" s="271"/>
      <c r="BG417" s="271"/>
      <c r="BH417" s="271"/>
      <c r="BI417" s="271"/>
      <c r="BJ417" s="271"/>
      <c r="BK417" s="271"/>
      <c r="BL417" s="271"/>
    </row>
    <row r="418" spans="1:64" ht="21" customHeight="1" x14ac:dyDescent="0.25">
      <c r="R418" s="25" t="s">
        <v>6116</v>
      </c>
      <c r="S418" s="451"/>
      <c r="T418" s="30" t="s">
        <v>10</v>
      </c>
      <c r="V418" s="475">
        <v>10</v>
      </c>
      <c r="W418" s="475" t="str">
        <f>IF($AC$418="","",$W$396)</f>
        <v/>
      </c>
      <c r="X418" s="476" t="str">
        <f>IF($AC$418="","",$X$396)</f>
        <v/>
      </c>
      <c r="Y418" s="477" t="str">
        <f>IF($X$418="","",$Y$396)</f>
        <v/>
      </c>
      <c r="Z418" s="477" t="str">
        <f>IF($X$418="","",$Z$396)</f>
        <v/>
      </c>
      <c r="AA418" s="477" t="str">
        <f>IF($AC$418="","",ROW($A$418)-ROW($A$396))</f>
        <v/>
      </c>
      <c r="AB418" s="478"/>
      <c r="AC418" s="34"/>
      <c r="AD418" s="356"/>
      <c r="AE418" s="479"/>
      <c r="AF418" s="475"/>
      <c r="AG418" s="480" t="str">
        <f t="shared" si="112"/>
        <v/>
      </c>
      <c r="AH418" s="481" t="str">
        <f t="shared" si="113"/>
        <v/>
      </c>
      <c r="AI418" s="477" t="str">
        <f>IF($AC$418="","",IFERROR(INDEX($AZ$74:$AZ$119,MATCH($AH$418,$AY$74:$AY$119,0)),"AUTRE"))</f>
        <v/>
      </c>
      <c r="AJ418" s="482" t="str">
        <f>IF($AC$418="","",IFERROR(INDEX($BA$74:$BA$119,MATCH($AH$418,$AY$74:$AY$119,0)),1))</f>
        <v/>
      </c>
      <c r="AK418" s="482" t="str">
        <f t="shared" si="114"/>
        <v/>
      </c>
      <c r="AL418" s="477" t="str">
        <f>IF($AC$418="","",IFERROR(INDEX($BB$74:$BB$119,MATCH($AH$418,$AY$74:$AY$119,0)),$AH$418))</f>
        <v/>
      </c>
      <c r="AM418" s="483" t="str">
        <f t="shared" si="115"/>
        <v/>
      </c>
      <c r="AN418" s="484" t="str">
        <f t="shared" si="116"/>
        <v/>
      </c>
      <c r="AO418" s="473" t="str">
        <f t="shared" si="117"/>
        <v/>
      </c>
      <c r="AP418" s="473" t="str">
        <f t="shared" si="118"/>
        <v/>
      </c>
      <c r="AQ418" s="473" t="str">
        <f t="shared" si="119"/>
        <v/>
      </c>
      <c r="AR418" s="473" t="str">
        <f t="shared" si="120"/>
        <v/>
      </c>
      <c r="AS418" s="473" t="str">
        <f t="shared" si="121"/>
        <v/>
      </c>
      <c r="AT418" s="473" t="str">
        <f t="shared" si="122"/>
        <v/>
      </c>
      <c r="AU418" s="473" t="str">
        <f t="shared" si="123"/>
        <v/>
      </c>
      <c r="AZ418" s="32" t="s">
        <v>33</v>
      </c>
      <c r="BA418" s="34" t="s">
        <v>6112</v>
      </c>
      <c r="BB418" s="499"/>
      <c r="BC418" s="271"/>
      <c r="BD418" s="279">
        <v>1</v>
      </c>
      <c r="BE418" s="271"/>
      <c r="BF418" s="271"/>
      <c r="BG418" s="271"/>
      <c r="BH418" s="271"/>
      <c r="BI418" s="271"/>
      <c r="BJ418" s="271"/>
      <c r="BK418" s="271"/>
      <c r="BL418" s="271"/>
    </row>
    <row r="419" spans="1:64" ht="21" customHeight="1" x14ac:dyDescent="0.25">
      <c r="R419" s="34" t="s">
        <v>6117</v>
      </c>
      <c r="S419" s="451"/>
      <c r="T419" s="30" t="s">
        <v>11</v>
      </c>
      <c r="V419" s="475">
        <v>10</v>
      </c>
      <c r="W419" s="475" t="str">
        <f>IF($AC$419="","",$W$396)</f>
        <v/>
      </c>
      <c r="X419" s="476" t="str">
        <f>IF($AC$419="","",$X$396)</f>
        <v/>
      </c>
      <c r="Y419" s="477" t="str">
        <f>IF($X$419="","",$Y$396)</f>
        <v/>
      </c>
      <c r="Z419" s="477" t="str">
        <f>IF($X$419="","",$Z$396)</f>
        <v/>
      </c>
      <c r="AA419" s="477" t="str">
        <f>IF($AC$419="","",ROW($A$419)-ROW($A$396))</f>
        <v/>
      </c>
      <c r="AB419" s="478"/>
      <c r="AC419" s="34"/>
      <c r="AD419" s="356"/>
      <c r="AE419" s="479"/>
      <c r="AF419" s="475"/>
      <c r="AG419" s="480" t="str">
        <f t="shared" si="112"/>
        <v/>
      </c>
      <c r="AH419" s="481" t="str">
        <f t="shared" si="113"/>
        <v/>
      </c>
      <c r="AI419" s="477" t="str">
        <f>IF($AC$419="","",IFERROR(INDEX($AZ$74:$AZ$119,MATCH($AH$419,$AY$74:$AY$119,0)),"AUTRE"))</f>
        <v/>
      </c>
      <c r="AJ419" s="482" t="str">
        <f>IF($AC$419="","",IFERROR(INDEX($BA$74:$BA$119,MATCH($AH$419,$AY$74:$AY$119,0)),1))</f>
        <v/>
      </c>
      <c r="AK419" s="482" t="str">
        <f t="shared" si="114"/>
        <v/>
      </c>
      <c r="AL419" s="477" t="str">
        <f>IF($AC$419="","",IFERROR(INDEX($BB$74:$BB$119,MATCH($AH$419,$AY$74:$AY$119,0)),$AH$419))</f>
        <v/>
      </c>
      <c r="AM419" s="483" t="str">
        <f t="shared" si="115"/>
        <v/>
      </c>
      <c r="AN419" s="484" t="str">
        <f t="shared" si="116"/>
        <v/>
      </c>
      <c r="AO419" s="473" t="str">
        <f t="shared" si="117"/>
        <v/>
      </c>
      <c r="AP419" s="473" t="str">
        <f t="shared" si="118"/>
        <v/>
      </c>
      <c r="AQ419" s="473" t="str">
        <f t="shared" si="119"/>
        <v/>
      </c>
      <c r="AR419" s="473" t="str">
        <f t="shared" si="120"/>
        <v/>
      </c>
      <c r="AS419" s="473" t="str">
        <f t="shared" si="121"/>
        <v/>
      </c>
      <c r="AT419" s="473" t="str">
        <f t="shared" si="122"/>
        <v/>
      </c>
      <c r="AU419" s="473" t="str">
        <f t="shared" si="123"/>
        <v/>
      </c>
      <c r="AZ419" s="32" t="s">
        <v>8125</v>
      </c>
      <c r="BA419" s="25" t="s">
        <v>6116</v>
      </c>
      <c r="BB419" s="499"/>
      <c r="BC419" s="271"/>
      <c r="BD419" s="279">
        <v>1</v>
      </c>
      <c r="BE419" s="271"/>
      <c r="BF419" s="271"/>
      <c r="BG419" s="271"/>
      <c r="BH419" s="271"/>
      <c r="BI419" s="271"/>
      <c r="BJ419" s="271"/>
      <c r="BK419" s="271"/>
      <c r="BL419" s="271"/>
    </row>
    <row r="420" spans="1:64" ht="21" customHeight="1" x14ac:dyDescent="0.25">
      <c r="R420" s="34" t="s">
        <v>469</v>
      </c>
      <c r="S420" s="451"/>
      <c r="T420" s="30" t="s">
        <v>12</v>
      </c>
      <c r="V420" s="475">
        <v>10</v>
      </c>
      <c r="W420" s="475" t="str">
        <f>IF($AC$420="","",$W$396)</f>
        <v/>
      </c>
      <c r="X420" s="476" t="str">
        <f>IF($AC$420="","",$X$396)</f>
        <v/>
      </c>
      <c r="Y420" s="477" t="str">
        <f>IF($X$420="","",$Y$396)</f>
        <v/>
      </c>
      <c r="Z420" s="477" t="str">
        <f>IF($X$420="","",$Z$396)</f>
        <v/>
      </c>
      <c r="AA420" s="477" t="str">
        <f>IF($AC$420="","",ROW($A$420)-ROW($A$396))</f>
        <v/>
      </c>
      <c r="AB420" s="478"/>
      <c r="AC420" s="34"/>
      <c r="AD420" s="356"/>
      <c r="AE420" s="479"/>
      <c r="AF420" s="475"/>
      <c r="AG420" s="480" t="str">
        <f t="shared" si="112"/>
        <v/>
      </c>
      <c r="AH420" s="481" t="str">
        <f t="shared" si="113"/>
        <v/>
      </c>
      <c r="AI420" s="477" t="str">
        <f>IF($AC$420="","",IFERROR(INDEX($AZ$74:$AZ$119,MATCH($AH$420,$AY$74:$AY$119,0)),"AUTRE"))</f>
        <v/>
      </c>
      <c r="AJ420" s="482" t="str">
        <f>IF($AC$420="","",IFERROR(INDEX($BA$74:$BA$119,MATCH($AH$420,$AY$74:$AY$119,0)),1))</f>
        <v/>
      </c>
      <c r="AK420" s="482" t="str">
        <f t="shared" si="114"/>
        <v/>
      </c>
      <c r="AL420" s="477" t="str">
        <f>IF($AC$420="","",IFERROR(INDEX($BB$74:$BB$119,MATCH($AH$420,$AY$74:$AY$119,0)),$AH$420))</f>
        <v/>
      </c>
      <c r="AM420" s="483" t="str">
        <f t="shared" si="115"/>
        <v/>
      </c>
      <c r="AN420" s="484" t="str">
        <f t="shared" si="116"/>
        <v/>
      </c>
      <c r="AO420" s="473" t="str">
        <f t="shared" si="117"/>
        <v/>
      </c>
      <c r="AP420" s="473" t="str">
        <f t="shared" si="118"/>
        <v/>
      </c>
      <c r="AQ420" s="473" t="str">
        <f t="shared" si="119"/>
        <v/>
      </c>
      <c r="AR420" s="473" t="str">
        <f t="shared" si="120"/>
        <v/>
      </c>
      <c r="AS420" s="473" t="str">
        <f t="shared" si="121"/>
        <v/>
      </c>
      <c r="AT420" s="473" t="str">
        <f t="shared" si="122"/>
        <v/>
      </c>
      <c r="AU420" s="473" t="str">
        <f t="shared" si="123"/>
        <v/>
      </c>
      <c r="AZ420" s="32" t="s">
        <v>8127</v>
      </c>
      <c r="BA420" s="34" t="s">
        <v>6117</v>
      </c>
      <c r="BB420" s="499"/>
      <c r="BC420" s="271"/>
      <c r="BD420" s="279">
        <v>1</v>
      </c>
      <c r="BE420" s="271"/>
      <c r="BF420" s="271"/>
      <c r="BG420" s="271"/>
      <c r="BH420" s="271"/>
      <c r="BI420" s="271"/>
      <c r="BJ420" s="271"/>
      <c r="BK420" s="271"/>
      <c r="BL420" s="271"/>
    </row>
    <row r="421" spans="1:64" ht="21" customHeight="1" x14ac:dyDescent="0.25">
      <c r="R421" s="34" t="s">
        <v>6118</v>
      </c>
      <c r="S421" s="451"/>
      <c r="T421" s="31" t="s">
        <v>16</v>
      </c>
      <c r="V421" s="475">
        <v>10</v>
      </c>
      <c r="W421" s="475" t="str">
        <f>IF($AC$421="","",$W$396)</f>
        <v/>
      </c>
      <c r="X421" s="476" t="str">
        <f>IF($AC$421="","",$X$396)</f>
        <v/>
      </c>
      <c r="Y421" s="477" t="str">
        <f>IF($X$421="","",$Y$396)</f>
        <v/>
      </c>
      <c r="Z421" s="477" t="str">
        <f>IF($X$421="","",$Z$396)</f>
        <v/>
      </c>
      <c r="AA421" s="477" t="str">
        <f>IF($AC$421="","",ROW($A$421)-ROW($A$396))</f>
        <v/>
      </c>
      <c r="AB421" s="478"/>
      <c r="AC421" s="34"/>
      <c r="AD421" s="356"/>
      <c r="AE421" s="479"/>
      <c r="AF421" s="475"/>
      <c r="AG421" s="480" t="str">
        <f t="shared" si="112"/>
        <v/>
      </c>
      <c r="AH421" s="481" t="str">
        <f t="shared" si="113"/>
        <v/>
      </c>
      <c r="AI421" s="477" t="str">
        <f>IF($AC$421="","",IFERROR(INDEX($AZ$74:$AZ$119,MATCH($AH$421,$AY$74:$AY$119,0)),"AUTRE"))</f>
        <v/>
      </c>
      <c r="AJ421" s="482" t="str">
        <f>IF($AC$421="","",IFERROR(INDEX($BA$74:$BA$119,MATCH($AH$421,$AY$74:$AY$119,0)),1))</f>
        <v/>
      </c>
      <c r="AK421" s="482" t="str">
        <f t="shared" si="114"/>
        <v/>
      </c>
      <c r="AL421" s="477" t="str">
        <f>IF($AC$421="","",IFERROR(INDEX($BB$74:$BB$119,MATCH($AH$421,$AY$74:$AY$119,0)),$AH$421))</f>
        <v/>
      </c>
      <c r="AM421" s="483" t="str">
        <f t="shared" si="115"/>
        <v/>
      </c>
      <c r="AN421" s="484" t="str">
        <f t="shared" si="116"/>
        <v/>
      </c>
      <c r="AO421" s="473" t="str">
        <f t="shared" si="117"/>
        <v/>
      </c>
      <c r="AP421" s="473" t="str">
        <f t="shared" si="118"/>
        <v/>
      </c>
      <c r="AQ421" s="473" t="str">
        <f t="shared" si="119"/>
        <v/>
      </c>
      <c r="AR421" s="473" t="str">
        <f t="shared" si="120"/>
        <v/>
      </c>
      <c r="AS421" s="473" t="str">
        <f t="shared" si="121"/>
        <v/>
      </c>
      <c r="AT421" s="473" t="str">
        <f t="shared" si="122"/>
        <v/>
      </c>
      <c r="AU421" s="473" t="str">
        <f t="shared" si="123"/>
        <v/>
      </c>
      <c r="AZ421" s="32" t="s">
        <v>320</v>
      </c>
      <c r="BA421" s="34" t="s">
        <v>469</v>
      </c>
      <c r="BB421" s="499"/>
      <c r="BC421" s="271"/>
      <c r="BD421" s="279">
        <v>1</v>
      </c>
      <c r="BE421" s="271"/>
      <c r="BF421" s="271"/>
      <c r="BG421" s="271"/>
      <c r="BH421" s="271"/>
      <c r="BI421" s="271"/>
      <c r="BJ421" s="271"/>
      <c r="BK421" s="271"/>
      <c r="BL421" s="271"/>
    </row>
    <row r="422" spans="1:64" ht="21" customHeight="1" x14ac:dyDescent="0.25">
      <c r="R422" s="34" t="s">
        <v>492</v>
      </c>
      <c r="S422" s="451"/>
      <c r="T422" s="31" t="s">
        <v>17</v>
      </c>
      <c r="V422" s="475">
        <v>10</v>
      </c>
      <c r="W422" s="475" t="str">
        <f>IF($AC$422="","",$W$396)</f>
        <v/>
      </c>
      <c r="X422" s="476" t="str">
        <f>IF($AC$422="","",$X$396)</f>
        <v/>
      </c>
      <c r="Y422" s="477" t="str">
        <f>IF($X$422="","",$Y$396)</f>
        <v/>
      </c>
      <c r="Z422" s="477" t="str">
        <f>IF($X$422="","",$Z$396)</f>
        <v/>
      </c>
      <c r="AA422" s="477" t="str">
        <f>IF($AC$422="","",ROW($A$422)-ROW($A$396))</f>
        <v/>
      </c>
      <c r="AB422" s="478"/>
      <c r="AC422" s="34"/>
      <c r="AD422" s="356"/>
      <c r="AE422" s="479"/>
      <c r="AF422" s="475"/>
      <c r="AG422" s="480" t="str">
        <f t="shared" si="112"/>
        <v/>
      </c>
      <c r="AH422" s="481" t="str">
        <f t="shared" si="113"/>
        <v/>
      </c>
      <c r="AI422" s="477" t="str">
        <f>IF($AC$422="","",IFERROR(INDEX($AZ$74:$AZ$119,MATCH($AH$422,$AY$74:$AY$119,0)),"AUTRE"))</f>
        <v/>
      </c>
      <c r="AJ422" s="482" t="str">
        <f>IF($AC$422="","",IFERROR(INDEX($BA$74:$BA$119,MATCH($AH$422,$AY$74:$AY$119,0)),1))</f>
        <v/>
      </c>
      <c r="AK422" s="482" t="str">
        <f t="shared" si="114"/>
        <v/>
      </c>
      <c r="AL422" s="477" t="str">
        <f>IF($AC$422="","",IFERROR(INDEX($BB$74:$BB$119,MATCH($AH$422,$AY$74:$AY$119,0)),$AH$422))</f>
        <v/>
      </c>
      <c r="AM422" s="483" t="str">
        <f t="shared" si="115"/>
        <v/>
      </c>
      <c r="AN422" s="484" t="str">
        <f t="shared" si="116"/>
        <v/>
      </c>
      <c r="AO422" s="473" t="str">
        <f t="shared" si="117"/>
        <v/>
      </c>
      <c r="AP422" s="473" t="str">
        <f t="shared" si="118"/>
        <v/>
      </c>
      <c r="AQ422" s="473" t="str">
        <f t="shared" si="119"/>
        <v/>
      </c>
      <c r="AR422" s="473" t="str">
        <f t="shared" si="120"/>
        <v/>
      </c>
      <c r="AS422" s="473" t="str">
        <f t="shared" si="121"/>
        <v/>
      </c>
      <c r="AT422" s="473" t="str">
        <f t="shared" si="122"/>
        <v/>
      </c>
      <c r="AU422" s="473" t="str">
        <f t="shared" si="123"/>
        <v/>
      </c>
      <c r="AZ422" s="32" t="s">
        <v>318</v>
      </c>
      <c r="BA422" s="34" t="s">
        <v>6118</v>
      </c>
      <c r="BB422" s="499"/>
      <c r="BC422" s="271"/>
      <c r="BD422" s="279">
        <v>1</v>
      </c>
      <c r="BE422" s="271"/>
      <c r="BF422" s="271"/>
      <c r="BG422" s="271"/>
      <c r="BH422" s="271"/>
      <c r="BI422" s="271"/>
      <c r="BJ422" s="271"/>
      <c r="BK422" s="271"/>
      <c r="BL422" s="271"/>
    </row>
    <row r="423" spans="1:64" ht="21" customHeight="1" x14ac:dyDescent="0.25">
      <c r="R423" s="34" t="s">
        <v>458</v>
      </c>
      <c r="S423" s="451"/>
      <c r="T423" s="31" t="s">
        <v>18</v>
      </c>
      <c r="V423" s="475">
        <v>10</v>
      </c>
      <c r="W423" s="475" t="str">
        <f>IF($AC$423="","",$W$396)</f>
        <v/>
      </c>
      <c r="X423" s="476" t="str">
        <f>IF($AC$423="","",$X$396)</f>
        <v/>
      </c>
      <c r="Y423" s="477" t="str">
        <f>IF($X$423="","",$Y$396)</f>
        <v/>
      </c>
      <c r="Z423" s="477" t="str">
        <f>IF($X$423="","",$Z$396)</f>
        <v/>
      </c>
      <c r="AA423" s="477" t="str">
        <f>IF($AC$423="","",ROW($A$423)-ROW($A$396))</f>
        <v/>
      </c>
      <c r="AB423" s="478"/>
      <c r="AC423" s="34"/>
      <c r="AD423" s="356"/>
      <c r="AE423" s="479"/>
      <c r="AF423" s="475"/>
      <c r="AG423" s="480" t="str">
        <f t="shared" si="112"/>
        <v/>
      </c>
      <c r="AH423" s="481" t="str">
        <f t="shared" si="113"/>
        <v/>
      </c>
      <c r="AI423" s="477" t="str">
        <f>IF($AC$423="","",IFERROR(INDEX($AZ$74:$AZ$119,MATCH($AH$423,$AY$74:$AY$119,0)),"AUTRE"))</f>
        <v/>
      </c>
      <c r="AJ423" s="482" t="str">
        <f>IF($AC$423="","",IFERROR(INDEX($BA$74:$BA$119,MATCH($AH$423,$AY$74:$AY$119,0)),1))</f>
        <v/>
      </c>
      <c r="AK423" s="482" t="str">
        <f t="shared" si="114"/>
        <v/>
      </c>
      <c r="AL423" s="477" t="str">
        <f>IF($AC$423="","",IFERROR(INDEX($BB$74:$BB$119,MATCH($AH$423,$AY$74:$AY$119,0)),$AH$423))</f>
        <v/>
      </c>
      <c r="AM423" s="483" t="str">
        <f t="shared" si="115"/>
        <v/>
      </c>
      <c r="AN423" s="484" t="str">
        <f t="shared" si="116"/>
        <v/>
      </c>
      <c r="AO423" s="473" t="str">
        <f t="shared" si="117"/>
        <v/>
      </c>
      <c r="AP423" s="473" t="str">
        <f t="shared" si="118"/>
        <v/>
      </c>
      <c r="AQ423" s="473" t="str">
        <f t="shared" si="119"/>
        <v/>
      </c>
      <c r="AR423" s="473" t="str">
        <f t="shared" si="120"/>
        <v/>
      </c>
      <c r="AS423" s="473" t="str">
        <f t="shared" si="121"/>
        <v/>
      </c>
      <c r="AT423" s="473" t="str">
        <f t="shared" si="122"/>
        <v/>
      </c>
      <c r="AU423" s="473" t="str">
        <f t="shared" si="123"/>
        <v/>
      </c>
      <c r="AZ423" s="32" t="s">
        <v>316</v>
      </c>
      <c r="BA423" s="34" t="s">
        <v>492</v>
      </c>
      <c r="BB423" s="499"/>
      <c r="BC423" s="271"/>
      <c r="BD423" s="279">
        <v>1</v>
      </c>
      <c r="BE423" s="271"/>
      <c r="BF423" s="271"/>
      <c r="BG423" s="271"/>
      <c r="BH423" s="271"/>
      <c r="BI423" s="271"/>
      <c r="BJ423" s="271"/>
      <c r="BK423" s="271"/>
      <c r="BL423" s="271"/>
    </row>
    <row r="424" spans="1:64" ht="21" customHeight="1" x14ac:dyDescent="0.25">
      <c r="R424" s="490"/>
      <c r="S424" s="451"/>
      <c r="T424" s="31" t="s">
        <v>19</v>
      </c>
      <c r="V424" s="475">
        <v>10</v>
      </c>
      <c r="W424" s="475" t="str">
        <f>IF($AC$424="","",$W$396)</f>
        <v/>
      </c>
      <c r="X424" s="476" t="str">
        <f>IF($AC$424="","",$X$396)</f>
        <v/>
      </c>
      <c r="Y424" s="477" t="str">
        <f>IF($X$424="","",$Y$396)</f>
        <v/>
      </c>
      <c r="Z424" s="477" t="str">
        <f>IF($X$424="","",$Z$396)</f>
        <v/>
      </c>
      <c r="AA424" s="477" t="str">
        <f>IF($AC$424="","",ROW($A$424)-ROW($A$396))</f>
        <v/>
      </c>
      <c r="AB424" s="478"/>
      <c r="AC424" s="34"/>
      <c r="AD424" s="356"/>
      <c r="AE424" s="479"/>
      <c r="AF424" s="475"/>
      <c r="AG424" s="480" t="str">
        <f t="shared" si="112"/>
        <v/>
      </c>
      <c r="AH424" s="481" t="str">
        <f t="shared" si="113"/>
        <v/>
      </c>
      <c r="AI424" s="477" t="str">
        <f>IF($AC$424="","",IFERROR(INDEX($AZ$74:$AZ$119,MATCH($AH$424,$AY$74:$AY$119,0)),"AUTRE"))</f>
        <v/>
      </c>
      <c r="AJ424" s="482" t="str">
        <f>IF($AC$424="","",IFERROR(INDEX($BA$74:$BA$119,MATCH($AH$424,$AY$74:$AY$119,0)),1))</f>
        <v/>
      </c>
      <c r="AK424" s="482" t="str">
        <f t="shared" si="114"/>
        <v/>
      </c>
      <c r="AL424" s="477" t="str">
        <f>IF($AC$424="","",IFERROR(INDEX($BB$74:$BB$119,MATCH($AH$424,$AY$74:$AY$119,0)),$AH$424))</f>
        <v/>
      </c>
      <c r="AM424" s="483" t="str">
        <f t="shared" si="115"/>
        <v/>
      </c>
      <c r="AN424" s="484" t="str">
        <f t="shared" si="116"/>
        <v/>
      </c>
      <c r="AO424" s="473" t="str">
        <f t="shared" si="117"/>
        <v/>
      </c>
      <c r="AP424" s="473" t="str">
        <f t="shared" si="118"/>
        <v/>
      </c>
      <c r="AQ424" s="473" t="str">
        <f t="shared" si="119"/>
        <v/>
      </c>
      <c r="AR424" s="473" t="str">
        <f t="shared" si="120"/>
        <v/>
      </c>
      <c r="AS424" s="473" t="str">
        <f t="shared" si="121"/>
        <v/>
      </c>
      <c r="AT424" s="473" t="str">
        <f t="shared" si="122"/>
        <v/>
      </c>
      <c r="AU424" s="473" t="str">
        <f t="shared" si="123"/>
        <v/>
      </c>
      <c r="AY424" s="271"/>
      <c r="AZ424" s="32" t="s">
        <v>313</v>
      </c>
      <c r="BA424" s="34" t="s">
        <v>458</v>
      </c>
      <c r="BB424" s="499"/>
      <c r="BC424" s="271"/>
      <c r="BD424" s="279">
        <v>1</v>
      </c>
      <c r="BE424" s="271"/>
      <c r="BF424" s="271"/>
      <c r="BG424" s="271"/>
      <c r="BH424" s="271"/>
      <c r="BI424" s="271"/>
      <c r="BJ424" s="271"/>
      <c r="BK424" s="271"/>
      <c r="BL424" s="271"/>
    </row>
    <row r="425" spans="1:64" ht="21" customHeight="1" x14ac:dyDescent="0.25">
      <c r="R425" s="25" t="s">
        <v>6119</v>
      </c>
      <c r="S425" s="451"/>
      <c r="T425" s="31" t="s">
        <v>211</v>
      </c>
      <c r="V425" s="475">
        <v>10</v>
      </c>
      <c r="W425" s="475" t="str">
        <f>IF($AC$425="","",$W$396)</f>
        <v/>
      </c>
      <c r="X425" s="476" t="str">
        <f>IF($AC$425="","",$X$396)</f>
        <v/>
      </c>
      <c r="Y425" s="477" t="str">
        <f>IF($X$425="","",$Y$396)</f>
        <v/>
      </c>
      <c r="Z425" s="477" t="str">
        <f>IF($X$425="","",$Z$396)</f>
        <v/>
      </c>
      <c r="AA425" s="477" t="str">
        <f>IF($AC$425="","",ROW($A$425)-ROW($A$396))</f>
        <v/>
      </c>
      <c r="AB425" s="478"/>
      <c r="AC425" s="34"/>
      <c r="AD425" s="356"/>
      <c r="AE425" s="479"/>
      <c r="AF425" s="475"/>
      <c r="AG425" s="480" t="str">
        <f t="shared" si="112"/>
        <v/>
      </c>
      <c r="AH425" s="481" t="str">
        <f t="shared" si="113"/>
        <v/>
      </c>
      <c r="AI425" s="477" t="str">
        <f>IF($AC$425="","",IFERROR(INDEX($AZ$74:$AZ$119,MATCH($AH$425,$AY$74:$AY$119,0)),"AUTRE"))</f>
        <v/>
      </c>
      <c r="AJ425" s="482" t="str">
        <f>IF($AC$425="","",IFERROR(INDEX($BA$74:$BA$119,MATCH($AH$425,$AY$74:$AY$119,0)),1))</f>
        <v/>
      </c>
      <c r="AK425" s="482" t="str">
        <f t="shared" si="114"/>
        <v/>
      </c>
      <c r="AL425" s="477" t="str">
        <f>IF($AC$425="","",IFERROR(INDEX($BB$74:$BB$119,MATCH($AH$425,$AY$74:$AY$119,0)),$AH$425))</f>
        <v/>
      </c>
      <c r="AM425" s="483" t="str">
        <f t="shared" si="115"/>
        <v/>
      </c>
      <c r="AN425" s="484" t="str">
        <f t="shared" si="116"/>
        <v/>
      </c>
      <c r="AO425" s="473" t="str">
        <f t="shared" si="117"/>
        <v/>
      </c>
      <c r="AP425" s="473" t="str">
        <f t="shared" si="118"/>
        <v/>
      </c>
      <c r="AQ425" s="473" t="str">
        <f t="shared" si="119"/>
        <v/>
      </c>
      <c r="AR425" s="473" t="str">
        <f t="shared" si="120"/>
        <v/>
      </c>
      <c r="AS425" s="473" t="str">
        <f t="shared" si="121"/>
        <v/>
      </c>
      <c r="AT425" s="473" t="str">
        <f t="shared" si="122"/>
        <v/>
      </c>
      <c r="AU425" s="473" t="str">
        <f t="shared" si="123"/>
        <v/>
      </c>
      <c r="AY425" s="497" t="s">
        <v>8145</v>
      </c>
      <c r="AZ425" s="32" t="s">
        <v>307</v>
      </c>
      <c r="BA425" s="490"/>
      <c r="BB425" s="499"/>
      <c r="BC425" s="271"/>
      <c r="BD425" s="279">
        <v>1</v>
      </c>
      <c r="BE425" s="271"/>
      <c r="BF425" s="271"/>
      <c r="BG425" s="271"/>
      <c r="BH425" s="271"/>
      <c r="BI425" s="271"/>
      <c r="BJ425" s="271"/>
      <c r="BK425" s="271"/>
      <c r="BL425" s="271"/>
    </row>
    <row r="426" spans="1:64" ht="21" customHeight="1" x14ac:dyDescent="0.25">
      <c r="R426" s="34" t="s">
        <v>6120</v>
      </c>
      <c r="S426" s="451"/>
      <c r="T426" s="31" t="s">
        <v>20</v>
      </c>
      <c r="V426" s="475">
        <v>10</v>
      </c>
      <c r="W426" s="475" t="str">
        <f>IF($AC$426="","",$W$396)</f>
        <v/>
      </c>
      <c r="X426" s="476" t="str">
        <f>IF($AC$426="","",$X$396)</f>
        <v/>
      </c>
      <c r="Y426" s="477" t="str">
        <f>IF($X$426="","",$Y$396)</f>
        <v/>
      </c>
      <c r="Z426" s="477" t="str">
        <f>IF($X$426="","",$Z$396)</f>
        <v/>
      </c>
      <c r="AA426" s="477" t="str">
        <f>IF($AC$426="","",ROW($A$426)-ROW($A$396))</f>
        <v/>
      </c>
      <c r="AB426" s="478"/>
      <c r="AC426" s="34"/>
      <c r="AD426" s="356"/>
      <c r="AE426" s="479"/>
      <c r="AF426" s="475"/>
      <c r="AG426" s="480" t="str">
        <f t="shared" si="112"/>
        <v/>
      </c>
      <c r="AH426" s="481" t="str">
        <f t="shared" si="113"/>
        <v/>
      </c>
      <c r="AI426" s="477" t="str">
        <f>IF($AC$426="","",IFERROR(INDEX($AZ$74:$AZ$119,MATCH($AH$426,$AY$74:$AY$119,0)),"AUTRE"))</f>
        <v/>
      </c>
      <c r="AJ426" s="482" t="str">
        <f>IF($AC$426="","",IFERROR(INDEX($BA$74:$BA$119,MATCH($AH$426,$AY$74:$AY$119,0)),1))</f>
        <v/>
      </c>
      <c r="AK426" s="482" t="str">
        <f t="shared" si="114"/>
        <v/>
      </c>
      <c r="AL426" s="477" t="str">
        <f>IF($AC$426="","",IFERROR(INDEX($BB$74:$BB$119,MATCH($AH$426,$AY$74:$AY$119,0)),$AH$426))</f>
        <v/>
      </c>
      <c r="AM426" s="483" t="str">
        <f t="shared" si="115"/>
        <v/>
      </c>
      <c r="AN426" s="484" t="str">
        <f t="shared" si="116"/>
        <v/>
      </c>
      <c r="AO426" s="473" t="str">
        <f t="shared" si="117"/>
        <v/>
      </c>
      <c r="AP426" s="473" t="str">
        <f t="shared" si="118"/>
        <v/>
      </c>
      <c r="AQ426" s="473" t="str">
        <f t="shared" si="119"/>
        <v/>
      </c>
      <c r="AR426" s="473" t="str">
        <f t="shared" si="120"/>
        <v/>
      </c>
      <c r="AS426" s="473" t="str">
        <f t="shared" si="121"/>
        <v/>
      </c>
      <c r="AT426" s="473" t="str">
        <f t="shared" si="122"/>
        <v/>
      </c>
      <c r="AU426" s="473" t="str">
        <f t="shared" si="123"/>
        <v/>
      </c>
      <c r="AY426" s="497" t="s">
        <v>462</v>
      </c>
      <c r="AZ426" s="32" t="s">
        <v>322</v>
      </c>
      <c r="BA426" s="25" t="s">
        <v>6119</v>
      </c>
      <c r="BB426" s="499"/>
      <c r="BC426" s="271"/>
      <c r="BD426" s="279">
        <v>1</v>
      </c>
      <c r="BE426" s="271"/>
      <c r="BF426" s="271"/>
      <c r="BG426" s="271"/>
      <c r="BH426" s="271"/>
      <c r="BI426" s="271"/>
      <c r="BJ426" s="271"/>
      <c r="BK426" s="271"/>
      <c r="BL426" s="271"/>
    </row>
    <row r="427" spans="1:64" ht="21" customHeight="1" x14ac:dyDescent="0.25">
      <c r="R427" s="34" t="s">
        <v>6121</v>
      </c>
      <c r="S427" s="451"/>
      <c r="T427" s="31" t="s">
        <v>304</v>
      </c>
      <c r="V427" s="475">
        <v>10</v>
      </c>
      <c r="W427" s="475" t="str">
        <f>IF($AC$427="","",$W$396)</f>
        <v/>
      </c>
      <c r="X427" s="476" t="str">
        <f>IF($AC$427="","",$X$396)</f>
        <v/>
      </c>
      <c r="Y427" s="477" t="str">
        <f>IF($X$427="","",$Y$396)</f>
        <v/>
      </c>
      <c r="Z427" s="477" t="str">
        <f>IF($X$427="","",$Z$396)</f>
        <v/>
      </c>
      <c r="AA427" s="477" t="str">
        <f>IF($AC$427="","",ROW($A$427)-ROW($A$396))</f>
        <v/>
      </c>
      <c r="AB427" s="478"/>
      <c r="AC427" s="34"/>
      <c r="AD427" s="356"/>
      <c r="AE427" s="479"/>
      <c r="AF427" s="475"/>
      <c r="AG427" s="480" t="str">
        <f t="shared" si="112"/>
        <v/>
      </c>
      <c r="AH427" s="481" t="str">
        <f t="shared" si="113"/>
        <v/>
      </c>
      <c r="AI427" s="477" t="str">
        <f>IF($AC$427="","",IFERROR(INDEX($AZ$74:$AZ$119,MATCH($AH$427,$AY$74:$AY$119,0)),"AUTRE"))</f>
        <v/>
      </c>
      <c r="AJ427" s="482" t="str">
        <f>IF($AC$427="","",IFERROR(INDEX($BA$74:$BA$119,MATCH($AH$427,$AY$74:$AY$119,0)),1))</f>
        <v/>
      </c>
      <c r="AK427" s="482" t="str">
        <f t="shared" si="114"/>
        <v/>
      </c>
      <c r="AL427" s="477" t="str">
        <f>IF($AC$427="","",IFERROR(INDEX($BB$74:$BB$119,MATCH($AH$427,$AY$74:$AY$119,0)),$AH$427))</f>
        <v/>
      </c>
      <c r="AM427" s="483" t="str">
        <f t="shared" si="115"/>
        <v/>
      </c>
      <c r="AN427" s="484" t="str">
        <f t="shared" si="116"/>
        <v/>
      </c>
      <c r="AO427" s="473" t="str">
        <f t="shared" si="117"/>
        <v/>
      </c>
      <c r="AP427" s="473" t="str">
        <f t="shared" si="118"/>
        <v/>
      </c>
      <c r="AQ427" s="473" t="str">
        <f t="shared" si="119"/>
        <v/>
      </c>
      <c r="AR427" s="473" t="str">
        <f t="shared" si="120"/>
        <v/>
      </c>
      <c r="AS427" s="473" t="str">
        <f t="shared" si="121"/>
        <v/>
      </c>
      <c r="AT427" s="473" t="str">
        <f t="shared" si="122"/>
        <v/>
      </c>
      <c r="AU427" s="473" t="str">
        <f t="shared" si="123"/>
        <v/>
      </c>
      <c r="AY427" s="497" t="s">
        <v>463</v>
      </c>
      <c r="AZ427" s="32" t="s">
        <v>305</v>
      </c>
      <c r="BA427" s="34" t="s">
        <v>6120</v>
      </c>
      <c r="BB427" s="499"/>
      <c r="BC427" s="271"/>
      <c r="BD427" s="279">
        <v>1</v>
      </c>
      <c r="BE427" s="271"/>
      <c r="BF427" s="271"/>
      <c r="BG427" s="271"/>
      <c r="BH427" s="271"/>
      <c r="BI427" s="271"/>
      <c r="BJ427" s="271"/>
      <c r="BK427" s="271"/>
      <c r="BL427" s="271"/>
    </row>
    <row r="428" spans="1:64" ht="21" customHeight="1" x14ac:dyDescent="0.25">
      <c r="R428" s="34" t="s">
        <v>6122</v>
      </c>
      <c r="S428" s="451"/>
      <c r="T428" s="31" t="s">
        <v>352</v>
      </c>
      <c r="V428" s="475">
        <v>10</v>
      </c>
      <c r="W428" s="475" t="str">
        <f>IF($AC$428="","",$W$396)</f>
        <v/>
      </c>
      <c r="X428" s="476" t="str">
        <f>IF($AC$428="","",$X$396)</f>
        <v/>
      </c>
      <c r="Y428" s="477" t="str">
        <f>IF($X$428="","",$Y$396)</f>
        <v/>
      </c>
      <c r="Z428" s="477" t="str">
        <f>IF($X$428="","",$Z$396)</f>
        <v/>
      </c>
      <c r="AA428" s="477" t="str">
        <f>IF($AC$428="","",ROW($A$428)-ROW($A$396))</f>
        <v/>
      </c>
      <c r="AB428" s="478"/>
      <c r="AC428" s="34"/>
      <c r="AD428" s="356"/>
      <c r="AE428" s="479"/>
      <c r="AF428" s="475"/>
      <c r="AG428" s="480" t="str">
        <f t="shared" si="112"/>
        <v/>
      </c>
      <c r="AH428" s="481" t="str">
        <f t="shared" si="113"/>
        <v/>
      </c>
      <c r="AI428" s="477" t="str">
        <f>IF($AC$428="","",IFERROR(INDEX($AZ$74:$AZ$119,MATCH($AH$428,$AY$74:$AY$119,0)),"AUTRE"))</f>
        <v/>
      </c>
      <c r="AJ428" s="482" t="str">
        <f>IF($AC$428="","",IFERROR(INDEX($BA$74:$BA$119,MATCH($AH$428,$AY$74:$AY$119,0)),1))</f>
        <v/>
      </c>
      <c r="AK428" s="482" t="str">
        <f t="shared" si="114"/>
        <v/>
      </c>
      <c r="AL428" s="477" t="str">
        <f>IF($AC$428="","",IFERROR(INDEX($BB$74:$BB$119,MATCH($AH$428,$AY$74:$AY$119,0)),$AH$428))</f>
        <v/>
      </c>
      <c r="AM428" s="483" t="str">
        <f t="shared" si="115"/>
        <v/>
      </c>
      <c r="AN428" s="484" t="str">
        <f t="shared" si="116"/>
        <v/>
      </c>
      <c r="AO428" s="473" t="str">
        <f t="shared" si="117"/>
        <v/>
      </c>
      <c r="AP428" s="473" t="str">
        <f t="shared" si="118"/>
        <v/>
      </c>
      <c r="AQ428" s="473" t="str">
        <f t="shared" si="119"/>
        <v/>
      </c>
      <c r="AR428" s="473" t="str">
        <f t="shared" si="120"/>
        <v/>
      </c>
      <c r="AS428" s="473" t="str">
        <f t="shared" si="121"/>
        <v/>
      </c>
      <c r="AT428" s="473" t="str">
        <f t="shared" si="122"/>
        <v/>
      </c>
      <c r="AU428" s="473" t="str">
        <f t="shared" si="123"/>
        <v/>
      </c>
      <c r="AY428" s="497" t="s">
        <v>8147</v>
      </c>
      <c r="AZ428" s="32" t="s">
        <v>8129</v>
      </c>
      <c r="BA428" s="34" t="s">
        <v>6121</v>
      </c>
      <c r="BB428" s="499"/>
      <c r="BC428" s="271"/>
      <c r="BD428" s="279">
        <v>1</v>
      </c>
      <c r="BE428" s="271"/>
      <c r="BF428" s="271"/>
      <c r="BG428" s="271"/>
      <c r="BH428" s="271"/>
      <c r="BI428" s="271"/>
      <c r="BJ428" s="271"/>
      <c r="BK428" s="271"/>
      <c r="BL428" s="271"/>
    </row>
    <row r="429" spans="1:64" ht="21" customHeight="1" x14ac:dyDescent="0.25">
      <c r="R429" s="34" t="s">
        <v>6123</v>
      </c>
      <c r="S429" s="451"/>
      <c r="T429" s="31" t="s">
        <v>25</v>
      </c>
      <c r="V429" s="475">
        <v>10</v>
      </c>
      <c r="W429" s="475" t="str">
        <f>IF($AC$429="","",$W$396)</f>
        <v/>
      </c>
      <c r="X429" s="476" t="str">
        <f>IF($AC$429="","",$X$396)</f>
        <v/>
      </c>
      <c r="Y429" s="477" t="str">
        <f>IF($X$429="","",$Y$396)</f>
        <v/>
      </c>
      <c r="Z429" s="477" t="str">
        <f>IF($X$429="","",$Z$396)</f>
        <v/>
      </c>
      <c r="AA429" s="477" t="str">
        <f>IF($AC$429="","",ROW($A$429)-ROW($A$396))</f>
        <v/>
      </c>
      <c r="AB429" s="478"/>
      <c r="AC429" s="34"/>
      <c r="AD429" s="356"/>
      <c r="AE429" s="479"/>
      <c r="AF429" s="475"/>
      <c r="AG429" s="480" t="str">
        <f t="shared" si="112"/>
        <v/>
      </c>
      <c r="AH429" s="481" t="str">
        <f t="shared" si="113"/>
        <v/>
      </c>
      <c r="AI429" s="477" t="str">
        <f>IF($AC$429="","",IFERROR(INDEX($AZ$74:$AZ$119,MATCH($AH$429,$AY$74:$AY$119,0)),"AUTRE"))</f>
        <v/>
      </c>
      <c r="AJ429" s="482" t="str">
        <f>IF($AC$429="","",IFERROR(INDEX($BA$74:$BA$119,MATCH($AH$429,$AY$74:$AY$119,0)),1))</f>
        <v/>
      </c>
      <c r="AK429" s="482" t="str">
        <f t="shared" si="114"/>
        <v/>
      </c>
      <c r="AL429" s="477" t="str">
        <f>IF($AC$429="","",IFERROR(INDEX($BB$74:$BB$119,MATCH($AH$429,$AY$74:$AY$119,0)),$AH$429))</f>
        <v/>
      </c>
      <c r="AM429" s="483" t="str">
        <f t="shared" si="115"/>
        <v/>
      </c>
      <c r="AN429" s="484" t="str">
        <f t="shared" si="116"/>
        <v/>
      </c>
      <c r="AO429" s="473" t="str">
        <f t="shared" si="117"/>
        <v/>
      </c>
      <c r="AP429" s="473" t="str">
        <f t="shared" si="118"/>
        <v/>
      </c>
      <c r="AQ429" s="473" t="str">
        <f t="shared" si="119"/>
        <v/>
      </c>
      <c r="AR429" s="473" t="str">
        <f t="shared" si="120"/>
        <v/>
      </c>
      <c r="AS429" s="473" t="str">
        <f t="shared" si="121"/>
        <v/>
      </c>
      <c r="AT429" s="473" t="str">
        <f t="shared" si="122"/>
        <v/>
      </c>
      <c r="AU429" s="473" t="str">
        <f t="shared" si="123"/>
        <v/>
      </c>
      <c r="AY429" s="497" t="s">
        <v>465</v>
      </c>
      <c r="AZ429" s="32" t="s">
        <v>8131</v>
      </c>
      <c r="BA429" s="34" t="s">
        <v>6122</v>
      </c>
      <c r="BB429" s="499"/>
      <c r="BC429" s="271"/>
      <c r="BD429" s="279">
        <v>1</v>
      </c>
      <c r="BE429" s="271"/>
      <c r="BF429" s="271"/>
      <c r="BG429" s="271"/>
      <c r="BH429" s="271"/>
      <c r="BI429" s="271"/>
      <c r="BJ429" s="271"/>
      <c r="BK429" s="271"/>
      <c r="BL429" s="271"/>
    </row>
    <row r="430" spans="1:64" ht="21" customHeight="1" x14ac:dyDescent="0.25">
      <c r="R430" s="34" t="s">
        <v>6124</v>
      </c>
      <c r="S430" s="451"/>
      <c r="T430" s="31" t="s">
        <v>26</v>
      </c>
      <c r="V430" s="475">
        <v>10</v>
      </c>
      <c r="W430" s="475" t="str">
        <f>IF($AC$430="","",$W$396)</f>
        <v/>
      </c>
      <c r="X430" s="476" t="str">
        <f>IF($AC$430="","",$X$396)</f>
        <v/>
      </c>
      <c r="Y430" s="477" t="str">
        <f>IF($X$430="","",$Y$396)</f>
        <v/>
      </c>
      <c r="Z430" s="477" t="str">
        <f>IF($X$430="","",$Z$396)</f>
        <v/>
      </c>
      <c r="AA430" s="477" t="str">
        <f>IF($AC$430="","",ROW($A$430)-ROW($A$396))</f>
        <v/>
      </c>
      <c r="AB430" s="478"/>
      <c r="AC430" s="34"/>
      <c r="AD430" s="356"/>
      <c r="AE430" s="479"/>
      <c r="AF430" s="475"/>
      <c r="AG430" s="491" t="str">
        <f t="shared" si="112"/>
        <v/>
      </c>
      <c r="AH430" s="481" t="str">
        <f t="shared" si="113"/>
        <v/>
      </c>
      <c r="AI430" s="477" t="str">
        <f>IF($AC$430="","",IFERROR(INDEX($AZ$74:$AZ$119,MATCH($AH$430,$AY$74:$AY$119,0)),"AUTRE"))</f>
        <v/>
      </c>
      <c r="AJ430" s="482" t="str">
        <f>IF($AC$430="","",IFERROR(INDEX($BA$74:$BA$119,MATCH($AH$430,$AY$74:$AY$119,0)),1))</f>
        <v/>
      </c>
      <c r="AK430" s="482" t="str">
        <f t="shared" si="114"/>
        <v/>
      </c>
      <c r="AL430" s="477" t="str">
        <f>IF($AC$430="","",IFERROR(INDEX($BB$74:$BB$119,MATCH($AH$430,$AY$74:$AY$119,0)),$AH$430))</f>
        <v/>
      </c>
      <c r="AM430" s="483" t="str">
        <f t="shared" si="115"/>
        <v/>
      </c>
      <c r="AN430" s="484" t="str">
        <f t="shared" si="116"/>
        <v/>
      </c>
      <c r="AO430" s="473" t="str">
        <f t="shared" si="117"/>
        <v/>
      </c>
      <c r="AP430" s="473" t="str">
        <f t="shared" si="118"/>
        <v/>
      </c>
      <c r="AQ430" s="473" t="str">
        <f t="shared" si="119"/>
        <v/>
      </c>
      <c r="AR430" s="473" t="str">
        <f t="shared" si="120"/>
        <v/>
      </c>
      <c r="AS430" s="473" t="str">
        <f t="shared" si="121"/>
        <v/>
      </c>
      <c r="AT430" s="473" t="str">
        <f t="shared" si="122"/>
        <v/>
      </c>
      <c r="AU430" s="473" t="str">
        <f t="shared" si="123"/>
        <v/>
      </c>
      <c r="AY430" s="497" t="s">
        <v>466</v>
      </c>
      <c r="AZ430" s="32" t="s">
        <v>309</v>
      </c>
      <c r="BA430" s="34" t="s">
        <v>6123</v>
      </c>
      <c r="BB430" s="503" t="s">
        <v>8166</v>
      </c>
      <c r="BC430" s="271"/>
      <c r="BD430" s="279">
        <v>1</v>
      </c>
      <c r="BE430" s="271"/>
      <c r="BF430" s="271"/>
      <c r="BG430" s="271"/>
      <c r="BH430" s="271"/>
      <c r="BI430" s="271"/>
      <c r="BJ430" s="271"/>
      <c r="BK430" s="271"/>
      <c r="BL430" s="271"/>
    </row>
    <row r="431" spans="1:64" ht="21" customHeight="1" x14ac:dyDescent="0.25">
      <c r="R431" s="34" t="s">
        <v>6125</v>
      </c>
      <c r="S431" s="451"/>
      <c r="T431" s="31" t="s">
        <v>27</v>
      </c>
      <c r="V431" s="271"/>
      <c r="W431" s="271"/>
      <c r="X431" s="271"/>
      <c r="Y431" s="271"/>
      <c r="Z431" s="271"/>
      <c r="AA431" s="271"/>
      <c r="AB431" s="271"/>
      <c r="AC431" s="271"/>
      <c r="AD431" s="271"/>
      <c r="AE431" s="271"/>
      <c r="AF431" s="271"/>
      <c r="AG431" s="271"/>
      <c r="AH431" s="271"/>
      <c r="AI431" s="271"/>
      <c r="AJ431" s="271"/>
      <c r="AK431" s="271"/>
      <c r="AL431" s="271"/>
      <c r="AM431" s="271"/>
      <c r="AN431" s="271"/>
      <c r="AO431" s="271"/>
      <c r="AP431" s="271"/>
      <c r="AY431" s="271"/>
      <c r="AZ431" s="32" t="s">
        <v>311</v>
      </c>
      <c r="BA431" s="34" t="s">
        <v>6124</v>
      </c>
      <c r="BB431" s="271"/>
      <c r="BC431" s="271"/>
      <c r="BD431" s="504" t="s">
        <v>5889</v>
      </c>
      <c r="BE431" s="271"/>
      <c r="BF431" s="271"/>
      <c r="BG431" s="271"/>
      <c r="BH431" s="271"/>
      <c r="BI431" s="271"/>
      <c r="BJ431" s="271"/>
      <c r="BK431" s="271"/>
      <c r="BL431" s="271"/>
    </row>
    <row r="432" spans="1:64" ht="21" customHeight="1" x14ac:dyDescent="0.25">
      <c r="A432" s="279">
        <v>1</v>
      </c>
      <c r="B432" s="279">
        <v>1</v>
      </c>
      <c r="C432" s="279">
        <v>1</v>
      </c>
      <c r="D432" s="279">
        <v>1</v>
      </c>
      <c r="E432" s="279">
        <v>1</v>
      </c>
      <c r="F432" s="279">
        <v>1</v>
      </c>
      <c r="G432" s="279">
        <v>1</v>
      </c>
      <c r="H432" s="279">
        <v>1</v>
      </c>
      <c r="I432" s="279">
        <v>1</v>
      </c>
      <c r="J432" s="279">
        <v>1</v>
      </c>
      <c r="K432" s="279">
        <v>1</v>
      </c>
      <c r="L432" s="279">
        <v>1</v>
      </c>
      <c r="M432" s="279">
        <v>1</v>
      </c>
      <c r="N432" s="279">
        <v>1</v>
      </c>
      <c r="O432" s="279">
        <v>1</v>
      </c>
      <c r="P432" s="279">
        <v>1</v>
      </c>
      <c r="Q432" s="279">
        <v>1</v>
      </c>
      <c r="R432" s="279">
        <v>1</v>
      </c>
      <c r="S432" s="279">
        <v>1</v>
      </c>
      <c r="T432" s="279">
        <v>1</v>
      </c>
      <c r="U432" s="279">
        <v>1</v>
      </c>
      <c r="V432" s="279">
        <v>1</v>
      </c>
      <c r="W432" s="279">
        <v>1</v>
      </c>
      <c r="X432" s="279">
        <v>1</v>
      </c>
      <c r="Y432" s="279">
        <v>1</v>
      </c>
      <c r="Z432" s="279">
        <v>1</v>
      </c>
      <c r="AA432" s="279">
        <v>1</v>
      </c>
      <c r="AB432" s="279">
        <v>1</v>
      </c>
      <c r="AC432" s="279">
        <v>1</v>
      </c>
      <c r="AD432" s="279">
        <v>1</v>
      </c>
      <c r="AE432" s="279">
        <v>1</v>
      </c>
      <c r="AF432" s="279">
        <v>1</v>
      </c>
      <c r="AG432" s="279">
        <v>1</v>
      </c>
      <c r="AH432" s="279">
        <v>1</v>
      </c>
      <c r="AI432" s="279">
        <v>1</v>
      </c>
      <c r="AJ432" s="279">
        <v>1</v>
      </c>
      <c r="AK432" s="279"/>
      <c r="AL432" s="279">
        <v>1</v>
      </c>
      <c r="AM432" s="279">
        <v>1</v>
      </c>
      <c r="AN432" s="279">
        <v>1</v>
      </c>
      <c r="AO432" s="279">
        <v>1</v>
      </c>
      <c r="AP432" s="279">
        <v>1</v>
      </c>
      <c r="AQ432" s="279">
        <v>1</v>
      </c>
      <c r="AR432" s="279">
        <v>1</v>
      </c>
      <c r="AS432" s="279">
        <v>1</v>
      </c>
      <c r="AT432" s="279">
        <v>1</v>
      </c>
      <c r="AU432" s="279">
        <v>1</v>
      </c>
      <c r="AV432" s="279">
        <v>1</v>
      </c>
      <c r="AW432" s="279"/>
      <c r="AX432" s="279"/>
      <c r="AY432" s="279">
        <v>1</v>
      </c>
      <c r="AZ432" s="279">
        <v>1</v>
      </c>
      <c r="BA432" s="279">
        <v>1</v>
      </c>
      <c r="BB432" s="279">
        <v>1</v>
      </c>
      <c r="BC432" s="279">
        <v>1</v>
      </c>
      <c r="BD432" s="505" t="str">
        <f>ADDRESS(ROW(),COLUMN(),4)</f>
        <v>BD432</v>
      </c>
      <c r="BE432" s="271"/>
      <c r="BF432" s="271"/>
      <c r="BG432" s="271"/>
      <c r="BH432" s="271"/>
      <c r="BI432" s="271"/>
      <c r="BJ432" s="271"/>
      <c r="BK432" s="271"/>
      <c r="BL432" s="271"/>
    </row>
    <row r="433" spans="18:64" ht="21" customHeight="1" x14ac:dyDescent="0.25">
      <c r="S433" s="451"/>
      <c r="V433" s="271"/>
      <c r="W433" s="271"/>
      <c r="X433" s="271"/>
      <c r="Y433" s="271"/>
      <c r="Z433" s="271"/>
      <c r="AA433" s="271"/>
      <c r="AB433" s="271"/>
      <c r="AC433" s="271"/>
      <c r="AD433" s="271"/>
      <c r="AE433" s="271"/>
      <c r="AF433" s="271"/>
      <c r="AG433" s="271"/>
      <c r="AH433" s="271"/>
      <c r="AI433" s="271"/>
      <c r="AJ433" s="271"/>
      <c r="AK433" s="271"/>
      <c r="AL433" s="271"/>
      <c r="AM433" s="271"/>
      <c r="AN433" s="271"/>
      <c r="AO433" s="271"/>
      <c r="AP433" s="271"/>
      <c r="AY433" s="271"/>
      <c r="AZ433" s="271"/>
      <c r="BA433" s="271"/>
      <c r="BB433" s="271"/>
      <c r="BC433" s="271"/>
      <c r="BE433" s="271"/>
      <c r="BF433" s="271"/>
      <c r="BG433" s="271"/>
      <c r="BH433" s="271"/>
      <c r="BI433" s="271"/>
      <c r="BJ433" s="271"/>
      <c r="BK433" s="271"/>
      <c r="BL433" s="271"/>
    </row>
    <row r="434" spans="18:64" ht="21" customHeight="1" x14ac:dyDescent="0.25">
      <c r="S434" s="451"/>
      <c r="V434" s="271"/>
      <c r="W434" s="271"/>
      <c r="X434" s="271"/>
      <c r="Y434" s="271"/>
      <c r="Z434" s="271"/>
      <c r="AA434" s="271"/>
      <c r="AB434" s="271"/>
      <c r="AC434" s="271"/>
      <c r="AD434" s="271"/>
      <c r="AE434" s="271"/>
      <c r="AF434" s="271"/>
      <c r="AG434" s="271"/>
      <c r="AH434" s="271"/>
      <c r="AI434" s="271"/>
      <c r="AJ434" s="271"/>
      <c r="AK434" s="271"/>
      <c r="AL434" s="271"/>
      <c r="AM434" s="271"/>
      <c r="AN434" s="271"/>
      <c r="AO434" s="271"/>
      <c r="AP434" s="271"/>
      <c r="AY434" s="271"/>
      <c r="AZ434" s="271"/>
      <c r="BA434" s="271"/>
      <c r="BB434" s="271"/>
      <c r="BC434" s="271"/>
      <c r="BE434" s="271"/>
      <c r="BF434" s="271"/>
      <c r="BG434" s="271"/>
      <c r="BH434" s="271"/>
      <c r="BI434" s="271"/>
      <c r="BJ434" s="271"/>
      <c r="BK434" s="271"/>
      <c r="BL434" s="271"/>
    </row>
    <row r="435" spans="18:64" ht="21" customHeight="1" x14ac:dyDescent="0.25">
      <c r="S435" s="451"/>
    </row>
    <row r="436" spans="18:64" ht="21" customHeight="1" x14ac:dyDescent="0.25">
      <c r="S436" s="451"/>
    </row>
    <row r="437" spans="18:64" ht="21" customHeight="1" x14ac:dyDescent="0.25">
      <c r="S437" s="451"/>
    </row>
    <row r="438" spans="18:64" ht="21" customHeight="1" x14ac:dyDescent="0.25">
      <c r="S438" s="451"/>
    </row>
    <row r="439" spans="18:64" ht="21" customHeight="1" x14ac:dyDescent="0.25">
      <c r="S439" s="451"/>
    </row>
    <row r="440" spans="18:64" ht="21" customHeight="1" x14ac:dyDescent="0.25">
      <c r="R440" s="451"/>
      <c r="S440" s="451"/>
    </row>
    <row r="441" spans="18:64" ht="21" customHeight="1" x14ac:dyDescent="0.25">
      <c r="R441" s="451"/>
      <c r="S441" s="451"/>
    </row>
    <row r="442" spans="18:64" ht="21" customHeight="1" x14ac:dyDescent="0.25">
      <c r="R442" s="451"/>
      <c r="S442" s="451"/>
    </row>
    <row r="443" spans="18:64" ht="21" customHeight="1" x14ac:dyDescent="0.25"/>
    <row r="444" spans="18:64" ht="21" customHeight="1" x14ac:dyDescent="0.25"/>
    <row r="445" spans="18:64" ht="21" customHeight="1" x14ac:dyDescent="0.25"/>
    <row r="446" spans="18:64" ht="21" customHeight="1" x14ac:dyDescent="0.25"/>
    <row r="447" spans="18:64" ht="21" customHeight="1" x14ac:dyDescent="0.25"/>
    <row r="448" spans="18:64" ht="21" customHeight="1" x14ac:dyDescent="0.25"/>
    <row r="449" ht="21" customHeight="1" x14ac:dyDescent="0.25"/>
    <row r="450" ht="21" customHeight="1" x14ac:dyDescent="0.25"/>
    <row r="451" ht="21" customHeight="1" x14ac:dyDescent="0.25"/>
    <row r="452" ht="21" customHeight="1" x14ac:dyDescent="0.25"/>
    <row r="453" ht="21" customHeight="1" x14ac:dyDescent="0.25"/>
    <row r="454" ht="21" customHeight="1" x14ac:dyDescent="0.25"/>
  </sheetData>
  <mergeCells count="106">
    <mergeCell ref="A1:I1"/>
    <mergeCell ref="U1:AA1"/>
    <mergeCell ref="A2:I2"/>
    <mergeCell ref="U2:AA4"/>
    <mergeCell ref="AG3:AH3"/>
    <mergeCell ref="A4:I4"/>
    <mergeCell ref="R4:S5"/>
    <mergeCell ref="C5:I5"/>
    <mergeCell ref="AG5:AH5"/>
    <mergeCell ref="A9:I9"/>
    <mergeCell ref="AG9:AH9"/>
    <mergeCell ref="A10:D10"/>
    <mergeCell ref="F10:I10"/>
    <mergeCell ref="U10:AA11"/>
    <mergeCell ref="AG10:AH10"/>
    <mergeCell ref="B11:D11"/>
    <mergeCell ref="B6:I6"/>
    <mergeCell ref="U6:AA6"/>
    <mergeCell ref="AG6:AH6"/>
    <mergeCell ref="B7:C7"/>
    <mergeCell ref="E7:F7"/>
    <mergeCell ref="H7:I7"/>
    <mergeCell ref="U7:AA8"/>
    <mergeCell ref="AG7:AH7"/>
    <mergeCell ref="AG8:AH8"/>
    <mergeCell ref="A19:I19"/>
    <mergeCell ref="E20:F20"/>
    <mergeCell ref="G20:I20"/>
    <mergeCell ref="U20:U21"/>
    <mergeCell ref="V20:V21"/>
    <mergeCell ref="W20:AA21"/>
    <mergeCell ref="U12:AA13"/>
    <mergeCell ref="F13:I14"/>
    <mergeCell ref="A15:I15"/>
    <mergeCell ref="U15:AA15"/>
    <mergeCell ref="B16:I16"/>
    <mergeCell ref="U16:U17"/>
    <mergeCell ref="V16:V17"/>
    <mergeCell ref="W16:AA17"/>
    <mergeCell ref="B17:I17"/>
    <mergeCell ref="K17:Q21"/>
    <mergeCell ref="U22:U23"/>
    <mergeCell ref="V22:V23"/>
    <mergeCell ref="W22:AA23"/>
    <mergeCell ref="U24:U25"/>
    <mergeCell ref="V24:V25"/>
    <mergeCell ref="W24:AA25"/>
    <mergeCell ref="AG17:AH17"/>
    <mergeCell ref="U18:U19"/>
    <mergeCell ref="V18:V19"/>
    <mergeCell ref="W18:AA19"/>
    <mergeCell ref="U30:AA30"/>
    <mergeCell ref="AG30:AH30"/>
    <mergeCell ref="U31:V32"/>
    <mergeCell ref="W31:AA32"/>
    <mergeCell ref="AG31:AH31"/>
    <mergeCell ref="AG32:AH32"/>
    <mergeCell ref="U26:U27"/>
    <mergeCell ref="V26:V27"/>
    <mergeCell ref="W26:AA27"/>
    <mergeCell ref="AG26:AH26"/>
    <mergeCell ref="AG27:AH27"/>
    <mergeCell ref="U28:U29"/>
    <mergeCell ref="W28:AA29"/>
    <mergeCell ref="AG29:AH29"/>
    <mergeCell ref="U37:V38"/>
    <mergeCell ref="W37:AA38"/>
    <mergeCell ref="AG37:AH37"/>
    <mergeCell ref="AG38:AH38"/>
    <mergeCell ref="U39:V40"/>
    <mergeCell ref="W39:AA40"/>
    <mergeCell ref="AG39:AH39"/>
    <mergeCell ref="AG40:AH40"/>
    <mergeCell ref="U33:V34"/>
    <mergeCell ref="W33:AA34"/>
    <mergeCell ref="AG33:AH33"/>
    <mergeCell ref="AG34:AH34"/>
    <mergeCell ref="U35:V36"/>
    <mergeCell ref="W35:AA36"/>
    <mergeCell ref="AG35:AH35"/>
    <mergeCell ref="AG46:AH46"/>
    <mergeCell ref="AN55:BB65"/>
    <mergeCell ref="A58:I58"/>
    <mergeCell ref="A60:I60"/>
    <mergeCell ref="B61:I63"/>
    <mergeCell ref="AN66:BB67"/>
    <mergeCell ref="AB67:AC68"/>
    <mergeCell ref="U41:AA41"/>
    <mergeCell ref="AG41:AH41"/>
    <mergeCell ref="U42:V43"/>
    <mergeCell ref="W42:AA43"/>
    <mergeCell ref="AG43:AH43"/>
    <mergeCell ref="U44:V45"/>
    <mergeCell ref="W44:AA45"/>
    <mergeCell ref="AG44:AH44"/>
    <mergeCell ref="AG45:AH45"/>
    <mergeCell ref="AP287:AU287"/>
    <mergeCell ref="AP323:AU323"/>
    <mergeCell ref="AP359:AU359"/>
    <mergeCell ref="AP395:AU395"/>
    <mergeCell ref="AP71:AU71"/>
    <mergeCell ref="AP107:AU107"/>
    <mergeCell ref="AP143:AU143"/>
    <mergeCell ref="AP179:AU179"/>
    <mergeCell ref="AP215:AU215"/>
    <mergeCell ref="AP251:AU251"/>
  </mergeCells>
  <conditionalFormatting sqref="I22:I56">
    <cfRule type="expression" dxfId="13" priority="1">
      <formula>I22="A CONTROLER"</formula>
    </cfRule>
    <cfRule type="expression" dxfId="12" priority="2">
      <formula>I22="OK"</formula>
    </cfRule>
  </conditionalFormatting>
  <dataValidations count="1">
    <dataValidation type="list" sqref="B5" xr:uid="{0291055A-F335-40D7-9172-318D350A4592}">
      <formula1>"1,2,3,4,5,6,7,8,9,10"</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17FA3-601E-4F81-98ED-1512D609E520}">
  <dimension ref="A1:DG454"/>
  <sheetViews>
    <sheetView workbookViewId="0">
      <selection activeCell="S26" sqref="S26"/>
    </sheetView>
  </sheetViews>
  <sheetFormatPr baseColWidth="10" defaultColWidth="10.28515625" defaultRowHeight="15.75" x14ac:dyDescent="0.25"/>
  <cols>
    <col min="1" max="1" width="23.7109375" style="151" customWidth="1"/>
    <col min="2" max="2" width="40.28515625" style="151" customWidth="1"/>
    <col min="3" max="3" width="13.140625" style="151" customWidth="1"/>
    <col min="4" max="4" width="16.28515625" style="151" customWidth="1"/>
    <col min="5" max="5" width="15.140625" style="151" customWidth="1"/>
    <col min="6" max="6" width="18.85546875" style="151" customWidth="1"/>
    <col min="7" max="7" width="15.42578125" style="151" customWidth="1"/>
    <col min="8" max="8" width="13.140625" style="151" customWidth="1"/>
    <col min="9" max="9" width="19.7109375" style="151" customWidth="1"/>
    <col min="10" max="12" width="10.28515625" style="151"/>
    <col min="13" max="13" width="31.140625" style="151" customWidth="1"/>
    <col min="14" max="14" width="14.85546875" style="151" customWidth="1"/>
    <col min="15" max="15" width="10.28515625" style="151"/>
    <col min="16" max="17" width="14.85546875" style="151" customWidth="1"/>
    <col min="18" max="18" width="41.7109375" style="151" customWidth="1"/>
    <col min="19" max="19" width="10.5703125" style="151" customWidth="1"/>
    <col min="20" max="20" width="18.85546875" style="151" customWidth="1"/>
    <col min="21" max="21" width="7.42578125" style="151" customWidth="1"/>
    <col min="22" max="22" width="16.85546875" style="151" customWidth="1"/>
    <col min="23" max="23" width="17.7109375" style="151" customWidth="1"/>
    <col min="24" max="24" width="55.7109375" style="151" customWidth="1"/>
    <col min="25" max="25" width="12" style="151" customWidth="1"/>
    <col min="26" max="26" width="10.85546875" style="151" customWidth="1"/>
    <col min="27" max="27" width="11.42578125" style="151" customWidth="1"/>
    <col min="28" max="28" width="23.7109375" style="151" customWidth="1"/>
    <col min="29" max="29" width="46.5703125" style="151" customWidth="1"/>
    <col min="30" max="30" width="25.7109375" style="151" customWidth="1"/>
    <col min="31" max="31" width="18.5703125" style="151" customWidth="1"/>
    <col min="32" max="34" width="18.28515625" style="151" customWidth="1"/>
    <col min="35" max="35" width="16.85546875" style="151" customWidth="1"/>
    <col min="36" max="38" width="16" style="151" customWidth="1"/>
    <col min="39" max="39" width="32.28515625" style="151" customWidth="1"/>
    <col min="40" max="40" width="16" style="151" customWidth="1"/>
    <col min="41" max="41" width="24.5703125" style="151" customWidth="1"/>
    <col min="42" max="42" width="20.5703125" style="151" customWidth="1"/>
    <col min="43" max="50" width="10.28515625" style="151"/>
    <col min="51" max="51" width="20.28515625" style="151" customWidth="1"/>
    <col min="52" max="52" width="16" style="151" customWidth="1"/>
    <col min="53" max="53" width="35.42578125" style="151" customWidth="1"/>
    <col min="54" max="54" width="17.140625" style="151" customWidth="1"/>
    <col min="55" max="55" width="13.7109375" style="151" customWidth="1"/>
    <col min="56" max="56" width="10.28515625" style="92"/>
    <col min="57" max="57" width="11.42578125" style="151" customWidth="1"/>
    <col min="58" max="58" width="14.85546875" style="151" customWidth="1"/>
    <col min="59" max="59" width="3.42578125" style="151" customWidth="1"/>
    <col min="60" max="60" width="11.42578125" style="151" customWidth="1"/>
    <col min="61" max="61" width="13.7109375" style="151" customWidth="1"/>
    <col min="62" max="62" width="11.42578125" style="151" customWidth="1"/>
    <col min="63" max="64" width="14.85546875" style="151" customWidth="1"/>
    <col min="65" max="16384" width="10.28515625" style="151"/>
  </cols>
  <sheetData>
    <row r="1" spans="1:111" ht="48" customHeight="1" x14ac:dyDescent="0.25">
      <c r="A1" s="726" t="str">
        <f>"RECETTES DE COLLECTIVITÉ &gt; ENTRÉES CHAUDES"&amp;" - "&amp;B6</f>
        <v>RECETTES DE COLLECTIVITÉ &gt; ENTRÉES CHAUDES - GOUGÈRES A L'EMMENTHAL</v>
      </c>
      <c r="B1" s="727"/>
      <c r="C1" s="727"/>
      <c r="D1" s="727"/>
      <c r="E1" s="727"/>
      <c r="F1" s="727"/>
      <c r="G1" s="727"/>
      <c r="H1" s="727"/>
      <c r="I1" s="728"/>
      <c r="J1" s="271"/>
      <c r="K1" s="272" t="s">
        <v>7897</v>
      </c>
      <c r="L1" s="273"/>
      <c r="M1" s="273"/>
      <c r="N1" s="273"/>
      <c r="O1" s="273"/>
      <c r="P1" s="274"/>
      <c r="Q1" s="274"/>
      <c r="R1" s="274"/>
      <c r="S1" s="274"/>
      <c r="T1" s="274"/>
      <c r="U1" s="538" t="s">
        <v>7898</v>
      </c>
      <c r="V1" s="539"/>
      <c r="W1" s="539"/>
      <c r="X1" s="539"/>
      <c r="Y1" s="539"/>
      <c r="Z1" s="539"/>
      <c r="AA1" s="540"/>
      <c r="AC1" s="275"/>
      <c r="AD1" s="276" t="s">
        <v>7899</v>
      </c>
      <c r="AE1" s="277"/>
      <c r="AF1" s="277"/>
      <c r="AG1" s="277"/>
      <c r="AH1" s="277"/>
      <c r="AI1" s="277"/>
      <c r="AJ1" s="277"/>
      <c r="AK1" s="277"/>
      <c r="AL1" s="277"/>
      <c r="AM1" s="277"/>
      <c r="AN1" s="277"/>
      <c r="AO1" s="277"/>
      <c r="AP1" s="277"/>
      <c r="AQ1" s="277"/>
      <c r="AS1" s="278" t="s">
        <v>0</v>
      </c>
      <c r="BB1" s="271"/>
      <c r="BC1" s="271"/>
      <c r="BD1" s="279">
        <v>1</v>
      </c>
      <c r="BE1" s="271"/>
      <c r="BF1" s="271"/>
      <c r="BG1" s="271"/>
      <c r="BH1" s="271"/>
      <c r="BI1" s="271"/>
      <c r="BJ1" s="271"/>
      <c r="BK1" s="271"/>
      <c r="BL1" s="271"/>
    </row>
    <row r="2" spans="1:111" ht="21.95" customHeight="1" x14ac:dyDescent="0.25">
      <c r="A2" s="705" t="s">
        <v>7900</v>
      </c>
      <c r="B2" s="706"/>
      <c r="C2" s="706"/>
      <c r="D2" s="706"/>
      <c r="E2" s="706"/>
      <c r="F2" s="706"/>
      <c r="G2" s="706"/>
      <c r="H2" s="706"/>
      <c r="I2" s="707"/>
      <c r="J2" s="271"/>
      <c r="K2" s="280"/>
      <c r="L2" s="280"/>
      <c r="M2" s="280"/>
      <c r="N2" s="281" t="s">
        <v>8218</v>
      </c>
      <c r="O2" s="280"/>
      <c r="P2" s="274"/>
      <c r="Q2" s="274"/>
      <c r="R2" s="274"/>
      <c r="S2" s="274"/>
      <c r="T2" s="274"/>
      <c r="U2" s="541" t="s">
        <v>7901</v>
      </c>
      <c r="V2" s="542"/>
      <c r="W2" s="542"/>
      <c r="X2" s="542"/>
      <c r="Y2" s="542"/>
      <c r="Z2" s="542"/>
      <c r="AA2" s="543"/>
      <c r="AC2" s="275"/>
      <c r="AD2" s="282" t="s">
        <v>7902</v>
      </c>
      <c r="AE2" s="283"/>
      <c r="AF2" s="283"/>
      <c r="AG2" s="283"/>
      <c r="AH2" s="283"/>
      <c r="AI2" s="283"/>
      <c r="AJ2" s="283"/>
      <c r="AK2" s="283"/>
      <c r="AL2" s="283"/>
      <c r="AM2" s="283"/>
      <c r="AN2" s="283"/>
      <c r="AO2" s="283"/>
      <c r="AP2" s="283"/>
      <c r="AQ2" s="283"/>
      <c r="BC2" s="271"/>
      <c r="BD2" s="279">
        <v>1</v>
      </c>
      <c r="BE2" s="271"/>
      <c r="BF2" s="271"/>
      <c r="BG2" s="271"/>
      <c r="BH2" s="271"/>
      <c r="BI2" s="271"/>
      <c r="BJ2" s="271"/>
      <c r="BK2" s="271"/>
      <c r="BL2" s="271"/>
    </row>
    <row r="3" spans="1:111" ht="21.95" customHeight="1" thickBot="1" x14ac:dyDescent="0.3">
      <c r="A3" s="152" t="s">
        <v>7903</v>
      </c>
      <c r="B3" s="284"/>
      <c r="C3" s="284"/>
      <c r="D3" s="284"/>
      <c r="E3" s="284"/>
      <c r="F3" s="284"/>
      <c r="G3" s="284"/>
      <c r="H3" s="284"/>
      <c r="I3" s="284"/>
      <c r="J3" s="271"/>
      <c r="K3" s="285" t="s">
        <v>344</v>
      </c>
      <c r="R3" s="274"/>
      <c r="S3" s="274"/>
      <c r="T3" s="274"/>
      <c r="U3" s="544"/>
      <c r="V3" s="545"/>
      <c r="W3" s="545"/>
      <c r="X3" s="545"/>
      <c r="Y3" s="545"/>
      <c r="Z3" s="545"/>
      <c r="AA3" s="546"/>
      <c r="AC3" s="275"/>
      <c r="AD3" s="286" t="s">
        <v>5975</v>
      </c>
      <c r="AE3" s="287" t="s">
        <v>7904</v>
      </c>
      <c r="AF3" s="287" t="s">
        <v>7905</v>
      </c>
      <c r="AG3" s="550" t="s">
        <v>7906</v>
      </c>
      <c r="AH3" s="550"/>
      <c r="AI3" s="288" t="s">
        <v>7907</v>
      </c>
      <c r="AJ3" s="289"/>
      <c r="AK3" s="289"/>
      <c r="AL3" s="289"/>
      <c r="AM3" s="290"/>
      <c r="AN3" s="290"/>
      <c r="AO3" s="290"/>
      <c r="AP3" s="290"/>
      <c r="AQ3" s="290"/>
      <c r="BC3" s="271"/>
      <c r="BD3" s="279">
        <v>1</v>
      </c>
      <c r="BE3" s="271"/>
      <c r="BF3" s="271"/>
      <c r="BG3" s="271"/>
      <c r="BH3" s="271"/>
      <c r="BI3" s="271"/>
      <c r="BJ3" s="271"/>
      <c r="BK3" s="271"/>
      <c r="BL3" s="271"/>
    </row>
    <row r="4" spans="1:111" ht="21.95" customHeight="1" x14ac:dyDescent="0.25">
      <c r="A4" s="729" t="s">
        <v>328</v>
      </c>
      <c r="B4" s="730"/>
      <c r="C4" s="730"/>
      <c r="D4" s="730"/>
      <c r="E4" s="730"/>
      <c r="F4" s="730"/>
      <c r="G4" s="730"/>
      <c r="H4" s="730"/>
      <c r="I4" s="731"/>
      <c r="J4" s="271"/>
      <c r="K4" s="291" t="s">
        <v>7908</v>
      </c>
      <c r="L4" s="292"/>
      <c r="M4" s="292"/>
      <c r="N4" s="292"/>
      <c r="O4" s="292"/>
      <c r="P4" s="292"/>
      <c r="Q4" s="292"/>
      <c r="R4" s="711" t="s">
        <v>5849</v>
      </c>
      <c r="S4" s="711"/>
      <c r="T4" s="293" t="str">
        <f>$BD$432</f>
        <v>BD432</v>
      </c>
      <c r="U4" s="547"/>
      <c r="V4" s="548"/>
      <c r="W4" s="548"/>
      <c r="X4" s="548"/>
      <c r="Y4" s="548"/>
      <c r="Z4" s="548"/>
      <c r="AA4" s="549"/>
      <c r="AC4" s="275"/>
      <c r="AD4" s="294" t="s">
        <v>7909</v>
      </c>
      <c r="AE4" s="295"/>
      <c r="AF4" s="296"/>
      <c r="AG4" s="295"/>
      <c r="AH4" s="295"/>
      <c r="AI4" s="295"/>
      <c r="AJ4" s="295"/>
      <c r="AK4" s="295"/>
      <c r="AL4" s="295"/>
      <c r="AM4" s="295"/>
      <c r="AN4" s="295"/>
      <c r="AO4" s="295"/>
      <c r="AP4" s="295"/>
      <c r="AQ4" s="295"/>
      <c r="BC4" s="271"/>
      <c r="BD4" s="279">
        <v>1</v>
      </c>
      <c r="BE4" s="271"/>
      <c r="BF4" s="271"/>
      <c r="BG4" s="271"/>
    </row>
    <row r="5" spans="1:111" ht="21.95" customHeight="1" x14ac:dyDescent="0.25">
      <c r="A5" s="297" t="s">
        <v>8170</v>
      </c>
      <c r="B5" s="153">
        <v>4</v>
      </c>
      <c r="C5" s="712" t="s">
        <v>7911</v>
      </c>
      <c r="D5" s="712"/>
      <c r="E5" s="712"/>
      <c r="F5" s="712"/>
      <c r="G5" s="712"/>
      <c r="H5" s="712"/>
      <c r="I5" s="713"/>
      <c r="J5" s="271"/>
      <c r="K5" s="298" t="s">
        <v>324</v>
      </c>
      <c r="L5" s="298" t="s">
        <v>7912</v>
      </c>
      <c r="M5" s="298" t="s">
        <v>326</v>
      </c>
      <c r="N5" s="298" t="s">
        <v>7913</v>
      </c>
      <c r="O5" s="298" t="s">
        <v>7914</v>
      </c>
      <c r="P5" s="298" t="s">
        <v>333</v>
      </c>
      <c r="Q5" s="298" t="s">
        <v>327</v>
      </c>
      <c r="R5" s="711"/>
      <c r="S5" s="711"/>
      <c r="U5" s="299"/>
      <c r="V5" s="271"/>
      <c r="W5" s="271"/>
      <c r="X5" s="271"/>
      <c r="Y5" s="271"/>
      <c r="Z5" s="271"/>
      <c r="AA5" s="300"/>
      <c r="AC5" s="275"/>
      <c r="AD5" s="301" t="s">
        <v>7858</v>
      </c>
      <c r="AE5" s="302" t="s">
        <v>7910</v>
      </c>
      <c r="AF5" s="303" t="s">
        <v>7915</v>
      </c>
      <c r="AG5" s="551" t="s">
        <v>281</v>
      </c>
      <c r="AH5" s="551"/>
      <c r="AI5" s="304" t="s">
        <v>7916</v>
      </c>
      <c r="AJ5" s="304"/>
      <c r="AK5" s="304"/>
      <c r="AL5" s="304"/>
      <c r="AM5" s="304"/>
      <c r="AN5" s="304"/>
      <c r="AO5" s="304"/>
      <c r="AP5" s="304"/>
      <c r="AQ5" s="304"/>
      <c r="BC5" s="271"/>
      <c r="BD5" s="279">
        <v>1</v>
      </c>
      <c r="BE5" s="271"/>
      <c r="BF5" s="271"/>
      <c r="BG5" s="271"/>
    </row>
    <row r="6" spans="1:111" ht="21.95" customHeight="1" x14ac:dyDescent="0.25">
      <c r="A6" s="305" t="s">
        <v>329</v>
      </c>
      <c r="B6" s="698" t="str" cm="1">
        <f t="array" ref="B6">IFERROR(INDEX($M$6:$M$15,$B$5),"")</f>
        <v>GOUGÈRES A L'EMMENTHAL</v>
      </c>
      <c r="C6" s="698"/>
      <c r="D6" s="698"/>
      <c r="E6" s="698"/>
      <c r="F6" s="698"/>
      <c r="G6" s="698"/>
      <c r="H6" s="698"/>
      <c r="I6" s="699"/>
      <c r="J6" s="271"/>
      <c r="K6" s="154">
        <f>$V$72</f>
        <v>1</v>
      </c>
      <c r="L6" s="306" t="str">
        <f>$W$72</f>
        <v>N° 25</v>
      </c>
      <c r="M6" s="307" t="str">
        <f>$X$72</f>
        <v>BLINIS</v>
      </c>
      <c r="N6" s="308">
        <f>IF(AK72="","",AK72)</f>
        <v>2</v>
      </c>
      <c r="O6" s="308" t="str">
        <f>IF(AL72="","",AL72)</f>
        <v>kg</v>
      </c>
      <c r="P6" s="309">
        <f>$Z$72</f>
        <v>100</v>
      </c>
      <c r="Q6" s="310">
        <f>$Y$72</f>
        <v>42</v>
      </c>
      <c r="U6" s="558" t="s">
        <v>7917</v>
      </c>
      <c r="V6" s="559"/>
      <c r="W6" s="559"/>
      <c r="X6" s="559"/>
      <c r="Y6" s="559"/>
      <c r="Z6" s="559"/>
      <c r="AA6" s="560"/>
      <c r="AC6" s="275"/>
      <c r="AD6" s="301" t="s">
        <v>7858</v>
      </c>
      <c r="AE6" s="302" t="s">
        <v>7912</v>
      </c>
      <c r="AF6" s="303" t="s">
        <v>7918</v>
      </c>
      <c r="AG6" s="561" t="s">
        <v>7919</v>
      </c>
      <c r="AH6" s="561"/>
      <c r="AI6" s="311" t="s">
        <v>7920</v>
      </c>
      <c r="AJ6" s="311"/>
      <c r="AK6" s="311"/>
      <c r="AL6" s="311"/>
      <c r="AM6" s="311"/>
      <c r="AN6" s="311"/>
      <c r="AO6" s="311"/>
      <c r="AP6" s="311"/>
      <c r="AQ6" s="311"/>
      <c r="BC6" s="271"/>
      <c r="BD6" s="279">
        <v>1</v>
      </c>
      <c r="BE6" s="271"/>
      <c r="BF6" s="271"/>
      <c r="BG6" s="271"/>
    </row>
    <row r="7" spans="1:111" ht="15.75" customHeight="1" x14ac:dyDescent="0.25">
      <c r="A7" s="312" t="s">
        <v>325</v>
      </c>
      <c r="B7" s="700" t="str" cm="1">
        <f t="array" ref="B7">IFERROR(INDEX($L$6:$L$15,$B$5),"")</f>
        <v>N° 28</v>
      </c>
      <c r="C7" s="700"/>
      <c r="D7" s="313" t="s">
        <v>330</v>
      </c>
      <c r="E7" s="700" t="s">
        <v>3</v>
      </c>
      <c r="F7" s="700"/>
      <c r="G7" s="313" t="s">
        <v>327</v>
      </c>
      <c r="H7" s="700" cm="1">
        <f t="array" ref="H7">IFERROR(INDEX($Y$72:$Y$430,1+($B$5-1)*36),"")</f>
        <v>45</v>
      </c>
      <c r="I7" s="701"/>
      <c r="J7" s="271"/>
      <c r="K7" s="155">
        <f>$V$108</f>
        <v>2</v>
      </c>
      <c r="L7" s="306" t="str">
        <f>$W$108</f>
        <v>N° 26</v>
      </c>
      <c r="M7" s="307" t="str">
        <f>$X$108</f>
        <v>CAKE OLIVES JAMBON</v>
      </c>
      <c r="N7" s="308">
        <f>IF(AK108="","",AK108)</f>
        <v>2</v>
      </c>
      <c r="O7" s="308" t="str">
        <f>IF(AL108="","",AL108)</f>
        <v>kg</v>
      </c>
      <c r="P7" s="309">
        <f>$Z$108</f>
        <v>100</v>
      </c>
      <c r="Q7" s="310">
        <f>$Y$108</f>
        <v>43</v>
      </c>
      <c r="U7" s="562" t="s">
        <v>7921</v>
      </c>
      <c r="V7" s="563"/>
      <c r="W7" s="563"/>
      <c r="X7" s="563"/>
      <c r="Y7" s="563"/>
      <c r="Z7" s="563"/>
      <c r="AA7" s="564"/>
      <c r="AC7" s="275"/>
      <c r="AD7" s="301" t="s">
        <v>7858</v>
      </c>
      <c r="AE7" s="302" t="s">
        <v>326</v>
      </c>
      <c r="AF7" s="303" t="s">
        <v>7922</v>
      </c>
      <c r="AG7" s="565" t="s">
        <v>7923</v>
      </c>
      <c r="AH7" s="565"/>
      <c r="AI7" s="311" t="s">
        <v>7924</v>
      </c>
      <c r="AJ7" s="311"/>
      <c r="AK7" s="311"/>
      <c r="AL7" s="311"/>
      <c r="AM7" s="311"/>
      <c r="AN7" s="311"/>
      <c r="AO7" s="311"/>
      <c r="AP7" s="311"/>
      <c r="AQ7" s="311"/>
      <c r="BC7" s="271"/>
      <c r="BD7" s="279">
        <v>1</v>
      </c>
      <c r="BE7" s="271"/>
      <c r="BF7" s="271"/>
      <c r="BG7" s="271"/>
    </row>
    <row r="8" spans="1:111" ht="23.1" customHeight="1" x14ac:dyDescent="0.25">
      <c r="A8" s="284"/>
      <c r="B8" s="284"/>
      <c r="C8" s="284"/>
      <c r="D8" s="284"/>
      <c r="E8" s="284"/>
      <c r="F8" s="284"/>
      <c r="G8" s="284"/>
      <c r="H8" s="284"/>
      <c r="I8" s="284"/>
      <c r="J8" s="271" t="s">
        <v>7925</v>
      </c>
      <c r="K8" s="155">
        <f>$V$144</f>
        <v>3</v>
      </c>
      <c r="L8" s="306" t="str">
        <f>$W$144</f>
        <v>N° 27</v>
      </c>
      <c r="M8" s="307" t="str">
        <f>$X$144</f>
        <v>FOUACE OLIVES PETITS POIS LARDONS</v>
      </c>
      <c r="N8" s="308">
        <f>IF(AK144="","",AK144)</f>
        <v>10</v>
      </c>
      <c r="O8" s="308" t="str">
        <f>IF(AL144="","",AL144)</f>
        <v>kg</v>
      </c>
      <c r="P8" s="309">
        <f>$Z$144</f>
        <v>100</v>
      </c>
      <c r="Q8" s="310">
        <f>$Y$144</f>
        <v>44</v>
      </c>
      <c r="U8" s="553"/>
      <c r="V8" s="554"/>
      <c r="W8" s="554"/>
      <c r="X8" s="554"/>
      <c r="Y8" s="554"/>
      <c r="Z8" s="554"/>
      <c r="AA8" s="555"/>
      <c r="AC8" s="275"/>
      <c r="AD8" s="301" t="s">
        <v>7858</v>
      </c>
      <c r="AE8" s="302" t="s">
        <v>327</v>
      </c>
      <c r="AF8" s="303" t="s">
        <v>7926</v>
      </c>
      <c r="AG8" s="566" t="s">
        <v>7927</v>
      </c>
      <c r="AH8" s="566"/>
      <c r="AI8" s="311" t="s">
        <v>7928</v>
      </c>
      <c r="AJ8" s="311"/>
      <c r="AK8" s="311"/>
      <c r="AL8" s="311"/>
      <c r="AM8" s="311"/>
      <c r="AN8" s="311"/>
      <c r="AO8" s="311"/>
      <c r="AP8" s="311"/>
      <c r="AQ8" s="311"/>
      <c r="BC8" s="271"/>
      <c r="BD8" s="279">
        <v>1</v>
      </c>
      <c r="BE8" s="271"/>
      <c r="BF8" s="271"/>
      <c r="BG8" s="271"/>
    </row>
    <row r="9" spans="1:111" ht="23.1" customHeight="1" x14ac:dyDescent="0.25">
      <c r="A9" s="723" t="s">
        <v>331</v>
      </c>
      <c r="B9" s="724"/>
      <c r="C9" s="724"/>
      <c r="D9" s="724"/>
      <c r="E9" s="724"/>
      <c r="F9" s="724"/>
      <c r="G9" s="724"/>
      <c r="H9" s="724"/>
      <c r="I9" s="725"/>
      <c r="J9" s="271"/>
      <c r="K9" s="155">
        <f>$V$180</f>
        <v>4</v>
      </c>
      <c r="L9" s="306" t="str">
        <f>$W$180</f>
        <v>N° 28</v>
      </c>
      <c r="M9" s="307" t="str">
        <f>$X$180</f>
        <v>GOUGÈRES A L'EMMENTHAL</v>
      </c>
      <c r="N9" s="308">
        <f>IF(AK180="","",AK180)</f>
        <v>3</v>
      </c>
      <c r="O9" s="308" t="str">
        <f>IF(AL180="","",AL180)</f>
        <v>L</v>
      </c>
      <c r="P9" s="309">
        <f>$Z$180</f>
        <v>100</v>
      </c>
      <c r="Q9" s="310">
        <f>$Y$180</f>
        <v>45</v>
      </c>
      <c r="U9" s="314" t="s">
        <v>7929</v>
      </c>
      <c r="V9" s="315"/>
      <c r="W9" s="315"/>
      <c r="X9" s="315"/>
      <c r="Y9" s="315"/>
      <c r="Z9" s="315"/>
      <c r="AA9" s="316"/>
      <c r="AC9" s="275"/>
      <c r="AD9" s="301" t="s">
        <v>7858</v>
      </c>
      <c r="AE9" s="317" t="s">
        <v>7930</v>
      </c>
      <c r="AF9" s="303" t="s">
        <v>7931</v>
      </c>
      <c r="AG9" s="552" t="s">
        <v>239</v>
      </c>
      <c r="AH9" s="551"/>
      <c r="AI9" s="304" t="s">
        <v>7932</v>
      </c>
      <c r="AJ9" s="304"/>
      <c r="AK9" s="304"/>
      <c r="AL9" s="304"/>
      <c r="AM9" s="304"/>
      <c r="AN9" s="304"/>
      <c r="AO9" s="304"/>
      <c r="AP9" s="304"/>
      <c r="AQ9" s="304"/>
      <c r="BC9" s="271"/>
      <c r="BD9" s="279">
        <v>1</v>
      </c>
      <c r="BE9" s="271"/>
      <c r="BF9" s="271"/>
      <c r="BG9" s="271"/>
      <c r="CL9" s="151">
        <v>1</v>
      </c>
      <c r="CM9" s="151">
        <v>2</v>
      </c>
      <c r="CN9" s="151">
        <v>3</v>
      </c>
      <c r="CO9" s="151">
        <v>4</v>
      </c>
      <c r="CP9" s="151">
        <v>5</v>
      </c>
      <c r="CQ9" s="151">
        <v>6</v>
      </c>
      <c r="CR9" s="151">
        <v>7</v>
      </c>
      <c r="CS9" s="151">
        <v>8</v>
      </c>
      <c r="CT9" s="151">
        <v>9</v>
      </c>
      <c r="CU9" s="151">
        <v>10</v>
      </c>
      <c r="CV9" s="151">
        <v>11</v>
      </c>
      <c r="CW9" s="151">
        <v>12</v>
      </c>
      <c r="CX9" s="151">
        <v>13</v>
      </c>
      <c r="CY9" s="151">
        <v>14</v>
      </c>
      <c r="CZ9" s="151">
        <v>15</v>
      </c>
      <c r="DA9" s="151">
        <v>16</v>
      </c>
      <c r="DB9" s="151">
        <v>17</v>
      </c>
      <c r="DC9" s="151">
        <v>18</v>
      </c>
      <c r="DD9" s="151">
        <v>19</v>
      </c>
      <c r="DE9" s="151">
        <v>20</v>
      </c>
      <c r="DF9" s="151">
        <v>21</v>
      </c>
      <c r="DG9" s="151">
        <v>22</v>
      </c>
    </row>
    <row r="10" spans="1:111" ht="23.1" customHeight="1" thickBot="1" x14ac:dyDescent="0.3">
      <c r="A10" s="690" t="s">
        <v>7933</v>
      </c>
      <c r="B10" s="691"/>
      <c r="C10" s="691"/>
      <c r="D10" s="692"/>
      <c r="E10" s="318"/>
      <c r="F10" s="693" t="s">
        <v>7934</v>
      </c>
      <c r="G10" s="694"/>
      <c r="H10" s="694"/>
      <c r="I10" s="695"/>
      <c r="J10" s="271"/>
      <c r="K10" s="155">
        <f>$V$216</f>
        <v>5</v>
      </c>
      <c r="L10" s="306" t="str">
        <f>$W$216</f>
        <v>N° 29</v>
      </c>
      <c r="M10" s="307" t="str">
        <f>$X$216</f>
        <v>PISSALADIÈRE</v>
      </c>
      <c r="N10" s="308">
        <f>IF(AK216="","",AK216)</f>
        <v>9</v>
      </c>
      <c r="O10" s="308" t="str">
        <f>IF(AL216="","",AL216)</f>
        <v>kg</v>
      </c>
      <c r="P10" s="309">
        <f>$Z$216</f>
        <v>100</v>
      </c>
      <c r="Q10" s="310">
        <f>$Y$216</f>
        <v>46</v>
      </c>
      <c r="U10" s="553" t="s">
        <v>7935</v>
      </c>
      <c r="V10" s="554"/>
      <c r="W10" s="554"/>
      <c r="X10" s="554"/>
      <c r="Y10" s="554"/>
      <c r="Z10" s="554"/>
      <c r="AA10" s="555"/>
      <c r="AC10" s="275"/>
      <c r="AD10" s="319" t="s">
        <v>7936</v>
      </c>
      <c r="AE10" s="320" t="s">
        <v>7937</v>
      </c>
      <c r="AF10" s="321" t="s">
        <v>7938</v>
      </c>
      <c r="AG10" s="556" t="s">
        <v>7939</v>
      </c>
      <c r="AH10" s="557"/>
      <c r="AI10" s="311" t="s">
        <v>7940</v>
      </c>
      <c r="AJ10" s="311"/>
      <c r="AK10" s="311"/>
      <c r="AL10" s="311"/>
      <c r="AM10" s="311"/>
      <c r="AN10" s="311"/>
      <c r="AO10" s="311"/>
      <c r="AP10" s="311"/>
      <c r="AQ10" s="311"/>
      <c r="BC10" s="271"/>
      <c r="BD10" s="279">
        <v>1</v>
      </c>
      <c r="BE10" s="271"/>
      <c r="BF10" s="271"/>
      <c r="BG10" s="271"/>
    </row>
    <row r="11" spans="1:111" ht="23.1" customHeight="1" x14ac:dyDescent="0.25">
      <c r="A11" s="323" t="s">
        <v>332</v>
      </c>
      <c r="B11" s="696" t="str" cm="1">
        <f t="array" ref="B11">IFERROR(INDEX($AC$72:$AC$430,1+($B$5-1)*36),"")</f>
        <v>Eau</v>
      </c>
      <c r="C11" s="696"/>
      <c r="D11" s="697"/>
      <c r="E11" s="318"/>
      <c r="F11" s="324" t="s">
        <v>333</v>
      </c>
      <c r="G11" s="325" cm="1">
        <f t="array" ref="G11">IFERROR(INDEX($Z$72:$Z$430,1+($B$5-1)*36),"")</f>
        <v>100</v>
      </c>
      <c r="H11" s="326" t="s">
        <v>7941</v>
      </c>
      <c r="I11" s="327"/>
      <c r="J11" s="271"/>
      <c r="K11" s="155">
        <f>$V$252</f>
        <v>6</v>
      </c>
      <c r="L11" s="306" t="str">
        <f>$W$252</f>
        <v>N° 30</v>
      </c>
      <c r="M11" s="307" t="str">
        <f>$X$252</f>
        <v>QUICHE LORRAINE</v>
      </c>
      <c r="N11" s="308">
        <f>IF(AK252="","",AK252)</f>
        <v>3.9</v>
      </c>
      <c r="O11" s="308" t="str">
        <f>IF(AL252="","",AL252)</f>
        <v>kg</v>
      </c>
      <c r="P11" s="309">
        <f>$Z$252</f>
        <v>100</v>
      </c>
      <c r="Q11" s="310">
        <f>$Y$252</f>
        <v>47</v>
      </c>
      <c r="U11" s="553"/>
      <c r="V11" s="554"/>
      <c r="W11" s="554"/>
      <c r="X11" s="554"/>
      <c r="Y11" s="554"/>
      <c r="Z11" s="554"/>
      <c r="AA11" s="555"/>
      <c r="AC11" s="275"/>
      <c r="AD11" s="328" t="s">
        <v>7942</v>
      </c>
      <c r="AE11" s="329"/>
      <c r="AF11" s="330"/>
      <c r="AG11" s="329"/>
      <c r="AH11" s="329"/>
      <c r="AI11" s="329"/>
      <c r="AJ11" s="329"/>
      <c r="AK11" s="329"/>
      <c r="AL11" s="329"/>
      <c r="AM11" s="329"/>
      <c r="AN11" s="329"/>
      <c r="AO11" s="329"/>
      <c r="AP11" s="329"/>
      <c r="AQ11" s="329"/>
      <c r="BC11" s="271"/>
      <c r="BD11" s="279">
        <v>1</v>
      </c>
      <c r="BE11" s="271"/>
      <c r="BF11" s="271"/>
      <c r="BG11" s="271"/>
    </row>
    <row r="12" spans="1:111" ht="23.1" customHeight="1" x14ac:dyDescent="0.25">
      <c r="A12" s="305" t="s">
        <v>334</v>
      </c>
      <c r="B12" s="331" cm="1">
        <f t="array" ref="B12">IFERROR(INDEX($N$6:$N$15,$B$5),"")</f>
        <v>3</v>
      </c>
      <c r="C12" s="332" t="str" cm="1">
        <f t="array" ref="C12">IFERROR(INDEX($O$6:$O$15,$B$5),"")</f>
        <v>L</v>
      </c>
      <c r="D12" s="333"/>
      <c r="E12" s="506" t="s">
        <v>8169</v>
      </c>
      <c r="F12" s="334" t="s">
        <v>335</v>
      </c>
      <c r="G12" s="335">
        <v>200</v>
      </c>
      <c r="H12" s="336" t="s">
        <v>7941</v>
      </c>
      <c r="I12" s="337"/>
      <c r="J12" s="271"/>
      <c r="K12" s="155">
        <f>$V$288</f>
        <v>7</v>
      </c>
      <c r="L12" s="306" t="str">
        <f>$W$288</f>
        <v>N° 31</v>
      </c>
      <c r="M12" s="307" t="str">
        <f>$X$288</f>
        <v>PIZZA AUX TROIS FROMAGES</v>
      </c>
      <c r="N12" s="308">
        <f>IF(AK288="","",AK288)</f>
        <v>24</v>
      </c>
      <c r="O12" s="308" t="str">
        <f>IF(AL288="","",AL288)</f>
        <v>kg</v>
      </c>
      <c r="P12" s="309">
        <f>$Z$288</f>
        <v>100</v>
      </c>
      <c r="Q12" s="310">
        <f>$Y$288</f>
        <v>48</v>
      </c>
      <c r="U12" s="553" t="s">
        <v>7943</v>
      </c>
      <c r="V12" s="554"/>
      <c r="W12" s="554"/>
      <c r="X12" s="554"/>
      <c r="Y12" s="554"/>
      <c r="Z12" s="554"/>
      <c r="AA12" s="555"/>
      <c r="AC12" s="275"/>
      <c r="AD12" s="301" t="s">
        <v>7944</v>
      </c>
      <c r="AE12" s="311" t="s">
        <v>7945</v>
      </c>
      <c r="AF12" s="303" t="s">
        <v>7946</v>
      </c>
      <c r="AG12" s="17" t="s">
        <v>7947</v>
      </c>
      <c r="AH12" s="17"/>
      <c r="AI12" s="311" t="s">
        <v>7948</v>
      </c>
      <c r="AJ12" s="311"/>
      <c r="AK12" s="311"/>
      <c r="AL12" s="311"/>
      <c r="AM12" s="311"/>
      <c r="AN12" s="311"/>
      <c r="AO12" s="311"/>
      <c r="AP12" s="311"/>
      <c r="AQ12" s="311"/>
      <c r="BC12" s="271"/>
      <c r="BD12" s="279">
        <v>1</v>
      </c>
      <c r="BE12" s="271"/>
      <c r="BF12" s="271"/>
      <c r="BG12" s="271"/>
    </row>
    <row r="13" spans="1:111" ht="23.1" customHeight="1" x14ac:dyDescent="0.25">
      <c r="A13" s="338" t="s">
        <v>336</v>
      </c>
      <c r="B13" s="339">
        <v>2</v>
      </c>
      <c r="C13" s="340" t="s">
        <v>9</v>
      </c>
      <c r="D13" s="341"/>
      <c r="E13" s="318"/>
      <c r="F13" s="676" t="s">
        <v>7950</v>
      </c>
      <c r="G13" s="676"/>
      <c r="H13" s="676"/>
      <c r="I13" s="676"/>
      <c r="J13" s="271"/>
      <c r="K13" s="155">
        <f>$V$324</f>
        <v>8</v>
      </c>
      <c r="L13" s="306" t="str">
        <f>$W$324</f>
        <v>N° 32</v>
      </c>
      <c r="M13" s="307" t="str">
        <f>$X$324</f>
        <v>MOUSSE DE FOIE DE VOLAILLE OLIVE</v>
      </c>
      <c r="N13" s="308">
        <f>IF(AK324="","",AK324)</f>
        <v>2</v>
      </c>
      <c r="O13" s="308" t="str">
        <f>IF(AL324="","",AL324)</f>
        <v>kg</v>
      </c>
      <c r="P13" s="309">
        <f>$Z$324</f>
        <v>100</v>
      </c>
      <c r="Q13" s="310">
        <f>$Y$324</f>
        <v>49</v>
      </c>
      <c r="U13" s="567"/>
      <c r="V13" s="568"/>
      <c r="W13" s="568"/>
      <c r="X13" s="568"/>
      <c r="Y13" s="568"/>
      <c r="Z13" s="568"/>
      <c r="AA13" s="569"/>
      <c r="AC13" s="275"/>
      <c r="AD13" s="301" t="s">
        <v>7828</v>
      </c>
      <c r="AE13" s="322" t="s">
        <v>338</v>
      </c>
      <c r="AF13" s="303" t="s">
        <v>7951</v>
      </c>
      <c r="AG13" s="34" t="s">
        <v>7952</v>
      </c>
      <c r="AH13" s="34"/>
      <c r="AI13" s="311" t="s">
        <v>7953</v>
      </c>
      <c r="AJ13" s="311"/>
      <c r="AK13" s="311"/>
      <c r="AL13" s="311"/>
      <c r="AM13" s="311"/>
      <c r="AN13" s="311"/>
      <c r="AO13" s="311"/>
      <c r="AP13" s="311"/>
      <c r="AQ13" s="311"/>
      <c r="BC13" s="271"/>
      <c r="BD13" s="279">
        <v>1</v>
      </c>
      <c r="BE13" s="271"/>
      <c r="BF13" s="271"/>
      <c r="BG13" s="271"/>
    </row>
    <row r="14" spans="1:111" ht="23.1" customHeight="1" x14ac:dyDescent="0.25">
      <c r="A14" s="284"/>
      <c r="B14" s="507" t="s">
        <v>8167</v>
      </c>
      <c r="C14" s="507" t="s">
        <v>8168</v>
      </c>
      <c r="D14" s="284"/>
      <c r="E14" s="318"/>
      <c r="F14" s="677"/>
      <c r="G14" s="677"/>
      <c r="H14" s="677"/>
      <c r="I14" s="677"/>
      <c r="J14" s="271"/>
      <c r="K14" s="155">
        <f>$V$360</f>
        <v>9</v>
      </c>
      <c r="L14" s="306" t="str">
        <f>$W$360</f>
        <v>N° 33</v>
      </c>
      <c r="M14" s="307" t="str">
        <f>$X$360</f>
        <v>TOMATES SOUFFLÉES AU FROMAGE</v>
      </c>
      <c r="N14" s="308">
        <f>IF(AK360="","",AK360)</f>
        <v>12</v>
      </c>
      <c r="O14" s="308" t="str">
        <f>IF(AL360="","",AL360)</f>
        <v>kg</v>
      </c>
      <c r="P14" s="309">
        <f>$Z$360</f>
        <v>100</v>
      </c>
      <c r="Q14" s="310">
        <f>$Y$360</f>
        <v>50</v>
      </c>
      <c r="U14" s="299"/>
      <c r="V14" s="271"/>
      <c r="W14" s="271"/>
      <c r="X14" s="271"/>
      <c r="Y14" s="271"/>
      <c r="Z14" s="271"/>
      <c r="AA14" s="300"/>
      <c r="AC14" s="275"/>
      <c r="AD14" s="301" t="s">
        <v>7828</v>
      </c>
      <c r="AE14" s="322" t="s">
        <v>338</v>
      </c>
      <c r="AF14" s="303" t="s">
        <v>7951</v>
      </c>
      <c r="AG14" s="34" t="s">
        <v>7954</v>
      </c>
      <c r="AH14" s="34"/>
      <c r="AI14" s="311" t="s">
        <v>7955</v>
      </c>
      <c r="AJ14" s="311"/>
      <c r="AK14" s="311"/>
      <c r="AL14" s="311"/>
      <c r="AM14" s="311"/>
      <c r="AN14" s="311"/>
      <c r="AO14" s="311"/>
      <c r="AP14" s="311"/>
      <c r="AQ14" s="311"/>
      <c r="BC14" s="271"/>
      <c r="BD14" s="279">
        <v>1</v>
      </c>
      <c r="BE14" s="271"/>
      <c r="BF14" s="271"/>
      <c r="BG14" s="271"/>
    </row>
    <row r="15" spans="1:111" ht="23.1" customHeight="1" x14ac:dyDescent="0.25">
      <c r="A15" s="723" t="s">
        <v>7956</v>
      </c>
      <c r="B15" s="724"/>
      <c r="C15" s="724"/>
      <c r="D15" s="724"/>
      <c r="E15" s="724"/>
      <c r="F15" s="724"/>
      <c r="G15" s="724"/>
      <c r="H15" s="724"/>
      <c r="I15" s="725"/>
      <c r="J15" s="271"/>
      <c r="K15" s="157">
        <f>$V$396</f>
        <v>10</v>
      </c>
      <c r="L15" s="342" t="str">
        <f>$W$396</f>
        <v>N°00 ?</v>
      </c>
      <c r="M15" s="343" t="str">
        <f>$X$396</f>
        <v>Saisissez votre recette X396</v>
      </c>
      <c r="N15" s="344" t="str">
        <f>IF(AK396="","",AK396)</f>
        <v/>
      </c>
      <c r="O15" s="344" t="str">
        <f>IF(AL396="","",AL396)</f>
        <v/>
      </c>
      <c r="P15" s="345">
        <f>$Z$396</f>
        <v>100</v>
      </c>
      <c r="Q15" s="346">
        <f>$Y$396</f>
        <v>0</v>
      </c>
      <c r="U15" s="558" t="s">
        <v>7899</v>
      </c>
      <c r="V15" s="559"/>
      <c r="W15" s="559"/>
      <c r="X15" s="559"/>
      <c r="Y15" s="559"/>
      <c r="Z15" s="559"/>
      <c r="AA15" s="560"/>
      <c r="AC15" s="275"/>
      <c r="AD15" s="301" t="s">
        <v>7828</v>
      </c>
      <c r="AE15" s="322" t="s">
        <v>338</v>
      </c>
      <c r="AF15" s="303" t="s">
        <v>7951</v>
      </c>
      <c r="AG15" s="34" t="s">
        <v>139</v>
      </c>
      <c r="AH15" s="34"/>
      <c r="AI15" s="311" t="s">
        <v>7957</v>
      </c>
      <c r="AJ15" s="311"/>
      <c r="AK15" s="311"/>
      <c r="AL15" s="311"/>
      <c r="AM15" s="311"/>
      <c r="AN15" s="311"/>
      <c r="AO15" s="311"/>
      <c r="AP15" s="311"/>
      <c r="AQ15" s="311"/>
      <c r="BC15" s="271"/>
      <c r="BD15" s="279">
        <v>1</v>
      </c>
      <c r="BE15" s="271"/>
      <c r="BF15" s="271"/>
      <c r="BG15" s="271"/>
    </row>
    <row r="16" spans="1:111" ht="23.1" customHeight="1" x14ac:dyDescent="0.25">
      <c r="A16" s="347" t="s">
        <v>7958</v>
      </c>
      <c r="B16" s="678" t="str">
        <f>IF(AND($B$13&lt;&gt;"",$G$12&lt;&gt;""),"DEUX CALCULS ACTIFS — A ET B",IF($B$13&lt;&gt;"","MODE A ACTIF — ÉLÉMENT PRINCIPAL",IF($G$12&lt;&gt;"","MODE B ACTIF — COUVERTS","AUCUN CALCUL ACTIF")))</f>
        <v>DEUX CALCULS ACTIFS — A ET B</v>
      </c>
      <c r="C16" s="678"/>
      <c r="D16" s="678"/>
      <c r="E16" s="678"/>
      <c r="F16" s="678"/>
      <c r="G16" s="678"/>
      <c r="H16" s="678"/>
      <c r="I16" s="678"/>
      <c r="J16" s="271"/>
      <c r="K16" s="271"/>
      <c r="L16" s="271"/>
      <c r="M16" s="271"/>
      <c r="N16" s="271"/>
      <c r="O16" s="271"/>
      <c r="P16" s="271"/>
      <c r="Q16" s="271"/>
      <c r="U16" s="570" t="s">
        <v>281</v>
      </c>
      <c r="V16" s="572" t="s">
        <v>7959</v>
      </c>
      <c r="W16" s="574" t="s">
        <v>7911</v>
      </c>
      <c r="X16" s="574"/>
      <c r="Y16" s="574"/>
      <c r="Z16" s="574"/>
      <c r="AA16" s="575"/>
      <c r="AC16" s="275"/>
      <c r="AD16" s="301" t="s">
        <v>7828</v>
      </c>
      <c r="AE16" s="322" t="s">
        <v>7960</v>
      </c>
      <c r="AF16" s="303" t="s">
        <v>7951</v>
      </c>
      <c r="AG16" s="34" t="s">
        <v>7961</v>
      </c>
      <c r="AH16" s="34"/>
      <c r="AI16" s="311" t="s">
        <v>7962</v>
      </c>
      <c r="AJ16" s="311"/>
      <c r="AK16" s="311"/>
      <c r="AL16" s="311"/>
      <c r="AM16" s="311"/>
      <c r="AN16" s="311"/>
      <c r="AO16" s="311"/>
      <c r="AP16" s="311"/>
      <c r="AQ16" s="311"/>
      <c r="BC16" s="271"/>
      <c r="BD16" s="279">
        <v>1</v>
      </c>
      <c r="BE16" s="271"/>
      <c r="BF16" s="271"/>
      <c r="BG16" s="271"/>
    </row>
    <row r="17" spans="1:59" ht="23.1" customHeight="1" thickBot="1" x14ac:dyDescent="0.3">
      <c r="A17" s="348" t="s">
        <v>6113</v>
      </c>
      <c r="B17" s="679" t="str">
        <f>IF(AND(COUNTIF(B22:B57,"*~**")=0,COUNTIF(B22:B57,"*~?*")=0),"",IF(COUNTIF(B22:B57,"*~**")&gt;0,COUNTIF(B22:B57,"*~**")&amp;" allergène"&amp;IF(COUNTIF(B22:B57,"*~**")&gt;1,"s","")&amp;" repéré"&amp;IF(COUNTIF(B22:B57,"*~**")&gt;1,"s","")&amp;" par *","")&amp;IF(AND(COUNTIF(B22:B57,"*~**")&gt;0,COUNTIF(B22:B57,"*~?*")&gt;0)," | ","")&amp;IF(COUNTIF(B22:B57,"*~?*")&gt;0,COUNTIF(B22:B57,"*~?*")&amp;" produit"&amp;IF(COUNTIF(B22:B57,"*~?*")&gt;1,"s","")&amp;" à vérifier par ?",""))</f>
        <v>5 allergènes repérés par * | 1 produit à vérifier par ?</v>
      </c>
      <c r="C17" s="679"/>
      <c r="D17" s="679"/>
      <c r="E17" s="679"/>
      <c r="F17" s="679"/>
      <c r="G17" s="679"/>
      <c r="H17" s="679"/>
      <c r="I17" s="680"/>
      <c r="J17" s="271"/>
      <c r="K17" s="681" t="s">
        <v>7963</v>
      </c>
      <c r="L17" s="682"/>
      <c r="M17" s="682"/>
      <c r="N17" s="682"/>
      <c r="O17" s="682"/>
      <c r="P17" s="682"/>
      <c r="Q17" s="683"/>
      <c r="U17" s="571"/>
      <c r="V17" s="573"/>
      <c r="W17" s="576"/>
      <c r="X17" s="576"/>
      <c r="Y17" s="576"/>
      <c r="Z17" s="576"/>
      <c r="AA17" s="577"/>
      <c r="AC17" s="275"/>
      <c r="AD17" s="301" t="s">
        <v>7964</v>
      </c>
      <c r="AE17" s="322" t="s">
        <v>7965</v>
      </c>
      <c r="AF17" s="303" t="s">
        <v>7966</v>
      </c>
      <c r="AG17" s="578" t="s">
        <v>7967</v>
      </c>
      <c r="AH17" s="578"/>
      <c r="AI17" s="311" t="s">
        <v>7968</v>
      </c>
      <c r="AJ17" s="311"/>
      <c r="AK17" s="311"/>
      <c r="AL17" s="311"/>
      <c r="AM17" s="311"/>
      <c r="AN17" s="311"/>
      <c r="AO17" s="311"/>
      <c r="AP17" s="311"/>
      <c r="AQ17" s="311"/>
      <c r="BC17" s="271"/>
      <c r="BD17" s="279">
        <v>1</v>
      </c>
      <c r="BE17" s="271"/>
      <c r="BF17" s="271"/>
      <c r="BG17" s="271"/>
    </row>
    <row r="18" spans="1:59" ht="18.75" x14ac:dyDescent="0.25">
      <c r="A18" s="349"/>
      <c r="B18" s="350" t="s">
        <v>6114</v>
      </c>
      <c r="C18" s="351"/>
      <c r="D18" s="351"/>
      <c r="E18" s="351"/>
      <c r="F18" s="351"/>
      <c r="G18" s="351"/>
      <c r="H18" s="351"/>
      <c r="I18" s="351"/>
      <c r="J18" s="271"/>
      <c r="K18" s="684"/>
      <c r="L18" s="685"/>
      <c r="M18" s="685"/>
      <c r="N18" s="685"/>
      <c r="O18" s="685"/>
      <c r="P18" s="685"/>
      <c r="Q18" s="686"/>
      <c r="U18" s="579" t="s">
        <v>6154</v>
      </c>
      <c r="V18" s="581" t="s">
        <v>7969</v>
      </c>
      <c r="W18" s="583" t="s">
        <v>7970</v>
      </c>
      <c r="X18" s="583"/>
      <c r="Y18" s="583"/>
      <c r="Z18" s="583"/>
      <c r="AA18" s="584"/>
      <c r="AC18" s="275"/>
      <c r="AD18" s="352" t="s">
        <v>7971</v>
      </c>
      <c r="AE18" s="353"/>
      <c r="AF18" s="354"/>
      <c r="AG18" s="353"/>
      <c r="AH18" s="353"/>
      <c r="AI18" s="353"/>
      <c r="AJ18" s="353"/>
      <c r="AK18" s="353"/>
      <c r="AL18" s="353"/>
      <c r="AM18" s="353"/>
      <c r="AN18" s="353"/>
      <c r="AO18" s="353"/>
      <c r="AP18" s="353"/>
      <c r="AQ18" s="353"/>
      <c r="BC18" s="271"/>
      <c r="BD18" s="279">
        <v>1</v>
      </c>
      <c r="BE18" s="271"/>
      <c r="BF18" s="271"/>
      <c r="BG18" s="271"/>
    </row>
    <row r="19" spans="1:59" ht="23.1" customHeight="1" x14ac:dyDescent="0.25">
      <c r="A19" s="723" t="s">
        <v>7972</v>
      </c>
      <c r="B19" s="724"/>
      <c r="C19" s="724"/>
      <c r="D19" s="724"/>
      <c r="E19" s="724"/>
      <c r="F19" s="724"/>
      <c r="G19" s="724"/>
      <c r="H19" s="724"/>
      <c r="I19" s="725"/>
      <c r="J19" s="271"/>
      <c r="K19" s="684"/>
      <c r="L19" s="685"/>
      <c r="M19" s="685"/>
      <c r="N19" s="685"/>
      <c r="O19" s="685"/>
      <c r="P19" s="685"/>
      <c r="Q19" s="686"/>
      <c r="U19" s="580"/>
      <c r="V19" s="582"/>
      <c r="W19" s="585"/>
      <c r="X19" s="585"/>
      <c r="Y19" s="585"/>
      <c r="Z19" s="585"/>
      <c r="AA19" s="586"/>
      <c r="AC19" s="275"/>
      <c r="AD19" s="301" t="s">
        <v>7973</v>
      </c>
      <c r="AE19" s="355" t="s">
        <v>7974</v>
      </c>
      <c r="AF19" s="303" t="s">
        <v>7975</v>
      </c>
      <c r="AG19" s="356" t="s">
        <v>7976</v>
      </c>
      <c r="AH19" s="357"/>
      <c r="AI19" s="358" t="s">
        <v>7977</v>
      </c>
      <c r="AJ19" s="358"/>
      <c r="AK19" s="358"/>
      <c r="AL19" s="358"/>
      <c r="AM19" s="358"/>
      <c r="AN19" s="358"/>
      <c r="AO19" s="358"/>
      <c r="AP19" s="358"/>
      <c r="AQ19" s="358"/>
      <c r="BC19" s="271"/>
      <c r="BD19" s="279">
        <v>1</v>
      </c>
      <c r="BE19" s="271"/>
      <c r="BF19" s="271"/>
      <c r="BG19" s="271"/>
    </row>
    <row r="20" spans="1:59" ht="21.95" customHeight="1" x14ac:dyDescent="0.25">
      <c r="A20" s="359"/>
      <c r="B20" s="359"/>
      <c r="C20" s="360" cm="1">
        <f t="array" ref="C20">IFERROR(INDEX($P$6:$P$15,$B$5),"")</f>
        <v>100</v>
      </c>
      <c r="D20" s="361" t="s">
        <v>7941</v>
      </c>
      <c r="E20" s="673" t="str">
        <f>IF($B$13="","MODE A NON RENSEIGNÉ","MODE A — "&amp;$B$13&amp;" "&amp;$C$13)</f>
        <v>MODE A — 2 L</v>
      </c>
      <c r="F20" s="673"/>
      <c r="G20" s="674" t="str">
        <f>IF($G$12="","MODE B NON RENSEIGNÉ","MODE B — "&amp;$G$12&amp;" COUVERTS")</f>
        <v>MODE B — 200 COUVERTS</v>
      </c>
      <c r="H20" s="674"/>
      <c r="I20" s="675"/>
      <c r="J20" s="271"/>
      <c r="K20" s="684"/>
      <c r="L20" s="685"/>
      <c r="M20" s="685"/>
      <c r="N20" s="685"/>
      <c r="O20" s="685"/>
      <c r="P20" s="685"/>
      <c r="Q20" s="686"/>
      <c r="U20" s="587" t="s">
        <v>6146</v>
      </c>
      <c r="V20" s="589" t="s">
        <v>7978</v>
      </c>
      <c r="W20" s="591" t="s">
        <v>7979</v>
      </c>
      <c r="X20" s="591"/>
      <c r="Y20" s="591"/>
      <c r="Z20" s="591"/>
      <c r="AA20" s="592"/>
      <c r="AC20" s="275"/>
      <c r="AD20" s="301" t="s">
        <v>7973</v>
      </c>
      <c r="AE20" s="355" t="s">
        <v>7974</v>
      </c>
      <c r="AF20" s="303" t="s">
        <v>7975</v>
      </c>
      <c r="AG20" s="356" t="s">
        <v>7980</v>
      </c>
      <c r="AH20" s="357"/>
      <c r="AI20" s="362" t="s">
        <v>7981</v>
      </c>
      <c r="AJ20" s="362"/>
      <c r="AK20" s="362"/>
      <c r="AL20" s="362"/>
      <c r="AM20" s="362"/>
      <c r="AN20" s="362"/>
      <c r="AO20" s="362"/>
      <c r="AP20" s="362"/>
      <c r="AQ20" s="362"/>
      <c r="BC20" s="271"/>
      <c r="BD20" s="279">
        <v>1</v>
      </c>
      <c r="BE20" s="271"/>
      <c r="BF20" s="271"/>
      <c r="BG20" s="271"/>
    </row>
    <row r="21" spans="1:59" ht="21.95" customHeight="1" x14ac:dyDescent="0.25">
      <c r="A21" s="363" t="s">
        <v>337</v>
      </c>
      <c r="B21" s="364" t="s">
        <v>338</v>
      </c>
      <c r="C21" s="364" t="s">
        <v>339</v>
      </c>
      <c r="D21" s="364" t="s">
        <v>340</v>
      </c>
      <c r="E21" s="365" t="s">
        <v>7982</v>
      </c>
      <c r="F21" s="366" t="s">
        <v>341</v>
      </c>
      <c r="G21" s="367" t="s">
        <v>7983</v>
      </c>
      <c r="H21" s="368" t="s">
        <v>342</v>
      </c>
      <c r="I21" s="369" t="s">
        <v>343</v>
      </c>
      <c r="J21" s="271"/>
      <c r="K21" s="687"/>
      <c r="L21" s="688"/>
      <c r="M21" s="688"/>
      <c r="N21" s="688"/>
      <c r="O21" s="688"/>
      <c r="P21" s="688"/>
      <c r="Q21" s="689"/>
      <c r="U21" s="588"/>
      <c r="V21" s="590"/>
      <c r="W21" s="593"/>
      <c r="X21" s="593"/>
      <c r="Y21" s="593"/>
      <c r="Z21" s="593"/>
      <c r="AA21" s="594"/>
      <c r="AC21" s="275"/>
      <c r="AD21" s="370" t="s">
        <v>7984</v>
      </c>
      <c r="AE21" s="371" t="s">
        <v>7974</v>
      </c>
      <c r="AF21" s="372" t="s">
        <v>7975</v>
      </c>
      <c r="AG21" s="356" t="s">
        <v>7985</v>
      </c>
      <c r="AH21" s="357"/>
      <c r="AI21" s="373" t="s">
        <v>7986</v>
      </c>
      <c r="AJ21" s="373"/>
      <c r="AK21" s="373"/>
      <c r="AL21" s="373"/>
      <c r="AM21" s="373"/>
      <c r="AN21" s="373"/>
      <c r="AO21" s="373"/>
      <c r="AP21" s="373"/>
      <c r="AQ21" s="373"/>
      <c r="BC21" s="271"/>
      <c r="BD21" s="279">
        <v>1</v>
      </c>
      <c r="BE21" s="271"/>
      <c r="BF21" s="271"/>
      <c r="BG21" s="271"/>
    </row>
    <row r="22" spans="1:59" ht="21.95" customHeight="1" thickBot="1" x14ac:dyDescent="0.3">
      <c r="A22" s="374">
        <f>IF($B22="","",0)</f>
        <v>0</v>
      </c>
      <c r="B22" s="375" t="str" cm="1">
        <f t="array" ref="B22">IFERROR(IF(INDEX($AC$72:$AC$430,$K22)="","",INDEX($AC$72:$AC$430,$K22)),"")</f>
        <v>Eau</v>
      </c>
      <c r="C22" s="376" cm="1">
        <f t="array" ref="C22">IF($B22="","",INDEX($AG$72:$AG$430,$K22))</f>
        <v>3</v>
      </c>
      <c r="D22" s="377" t="str" cm="1">
        <f t="array" ref="D22">IF($B22="","",INDEX($AH$72:$AH$430,$K22))</f>
        <v>L</v>
      </c>
      <c r="E22" s="378">
        <f t="shared" ref="E22:E56" si="0">IF($B22="","",IF(UPPER(TRIM($D22))="QT. SUFFISANTE","",IF($N22="","",IF($L22="MASSE",IF($N22&gt;=1,ROUND($N22,2),ROUND($N22*1000,0)),IF($L22="VOLUME",IF($N22&gt;=1,ROUND($N22,2),ROUND($N22*100,0)),ROUND($N22,0))))))</f>
        <v>2</v>
      </c>
      <c r="F22" s="379" t="str" cm="1">
        <f t="array" ref="F22">IF($B22="","",IF(UPPER(TRIM($D22))="QT. SUFFISANTE","Qt. suffisante",IF($N22="","",IF($L22="MASSE",IF($N22&gt;=1,"Kg","g"),IF($L22="VOLUME",IF($N22&gt;=1,"L","cl"),INDEX($AL$72:$AL$430,$K22))))))</f>
        <v>L</v>
      </c>
      <c r="G22" s="380">
        <f t="shared" ref="G22:G56" si="1">IF($B22="","",IF(UPPER(TRIM($D22))="QT. SUFFISANTE","",IF($O22="","",IF($L22="MASSE",IF($O22&gt;=1,ROUND($O22,2),ROUND($O22*1000,0)),IF($L22="VOLUME",IF($O22&gt;=1,ROUND($O22,2),ROUND($O22*100,0)),ROUND($O22,0))))))</f>
        <v>6</v>
      </c>
      <c r="H22" s="381" t="str" cm="1">
        <f t="array" ref="H22">IF($B22="","",IF(UPPER(TRIM($D22))="QT. SUFFISANTE","Qt. suffisante",IF($O22="","",IF($L22="MASSE",IF($O22&gt;=1,"Kg","g"),IF($L22="VOLUME",IF($O22&gt;=1,"L","cl"),INDEX($AL$72:$AL$430,$K22))))))</f>
        <v>L</v>
      </c>
      <c r="I22" s="382" t="str" cm="1">
        <f t="array" ref="I22">IF($B22="","",INDEX($AM$72:$AM$430,$K22))</f>
        <v>OK</v>
      </c>
      <c r="J22" s="271"/>
      <c r="K22" s="383">
        <f>1+($B$5-1)*36+0</f>
        <v>109</v>
      </c>
      <c r="L22" s="383" t="str" cm="1">
        <f t="array" ref="L22">IF($B22="","",INDEX($AI$72:$AI$430,$K22))</f>
        <v>VOLUME</v>
      </c>
      <c r="M22" s="383" cm="1">
        <f t="array" ref="M22">IF($B22="","",INDEX($AJ$72:$AJ$430,$K22))</f>
        <v>1</v>
      </c>
      <c r="N22" s="384" cm="1">
        <f t="array" ref="N22">IF(OR($B22="",$B$13="",$B$12="",$B$12=0),"",IF($L$22="AUTRE",IFERROR(INDEX($AK$72:$AK$430,$K22)*($B$13/$B$12),""),IF(OR($C$12="",$C$13=""),"",IFERROR(INDEX($AK$72:$AK$430,$K22)*(($B$13*VLOOKUP($C$13,$AY$74:$BA$119,3,FALSE))/($B$12*VLOOKUP($C$12,$AY$74:$BA$119,3,FALSE))),""))))</f>
        <v>2</v>
      </c>
      <c r="O22" s="384" cm="1">
        <f t="array" ref="O22">IF(OR($B22="",$G$12="",$G$11="",$G$11=0),"",IFERROR(INDEX($AK$72:$AK$430,$K22)*($G$12/$G$11),""))</f>
        <v>6</v>
      </c>
      <c r="U22" s="602" t="s">
        <v>6174</v>
      </c>
      <c r="V22" s="604" t="s">
        <v>7987</v>
      </c>
      <c r="W22" s="606" t="s">
        <v>7988</v>
      </c>
      <c r="X22" s="606"/>
      <c r="Y22" s="606"/>
      <c r="Z22" s="606"/>
      <c r="AA22" s="607"/>
      <c r="AC22" s="275"/>
      <c r="AD22" s="370" t="s">
        <v>7984</v>
      </c>
      <c r="AE22" s="385" t="s">
        <v>7974</v>
      </c>
      <c r="AF22" s="372" t="s">
        <v>7975</v>
      </c>
      <c r="AG22" s="356" t="s">
        <v>7989</v>
      </c>
      <c r="AH22" s="357"/>
      <c r="AI22" s="373" t="s">
        <v>7990</v>
      </c>
      <c r="AJ22" s="373"/>
      <c r="AK22" s="373"/>
      <c r="AL22" s="373"/>
      <c r="AM22" s="373"/>
      <c r="AN22" s="373"/>
      <c r="AO22" s="373"/>
      <c r="AP22" s="373"/>
      <c r="AQ22" s="373"/>
      <c r="BC22" s="271"/>
      <c r="BD22" s="279">
        <v>1</v>
      </c>
      <c r="BE22" s="271"/>
      <c r="BF22" s="271"/>
      <c r="BG22" s="271"/>
    </row>
    <row r="23" spans="1:59" ht="21.95" customHeight="1" x14ac:dyDescent="0.25">
      <c r="A23" s="374">
        <f>IF($B23="","",1)</f>
        <v>1</v>
      </c>
      <c r="B23" s="375" t="str" cm="1">
        <f t="array" ref="B23">IFERROR(IF(INDEX($AC$72:$AC$430,$K23)="","",INDEX($AC$72:$AC$430,$K23)),"")</f>
        <v>Margarine ?</v>
      </c>
      <c r="C23" s="376" cm="1">
        <f t="array" ref="C23">IF($B23="","",INDEX($AG$72:$AG$430,$K23))</f>
        <v>1.5</v>
      </c>
      <c r="D23" s="377" t="str" cm="1">
        <f t="array" ref="D23">IF($B23="","",INDEX($AH$72:$AH$430,$K23))</f>
        <v>KG</v>
      </c>
      <c r="E23" s="378">
        <f t="shared" si="0"/>
        <v>1</v>
      </c>
      <c r="F23" s="379" t="str" cm="1">
        <f t="array" ref="F23">IF($B23="","",IF(UPPER(TRIM($D23))="QT. SUFFISANTE","Qt. suffisante",IF($N23="","",IF($L23="MASSE",IF($N23&gt;=1,"Kg","g"),IF($L23="VOLUME",IF($N23&gt;=1,"L","cl"),INDEX($AL$72:$AL$430,$K23))))))</f>
        <v>Kg</v>
      </c>
      <c r="G23" s="380">
        <f t="shared" si="1"/>
        <v>3</v>
      </c>
      <c r="H23" s="381" t="str" cm="1">
        <f t="array" ref="H23">IF($B23="","",IF(UPPER(TRIM($D23))="QT. SUFFISANTE","Qt. suffisante",IF($O23="","",IF($L23="MASSE",IF($O23&gt;=1,"Kg","g"),IF($L23="VOLUME",IF($O23&gt;=1,"L","cl"),INDEX($AL$72:$AL$430,$K23))))))</f>
        <v>Kg</v>
      </c>
      <c r="I23" s="382" t="str" cm="1">
        <f t="array" ref="I23">IF($B23="","",INDEX($AM$72:$AM$430,$K23))</f>
        <v>OK</v>
      </c>
      <c r="J23" s="271"/>
      <c r="K23" s="383">
        <f>1+($B$5-1)*36+1</f>
        <v>110</v>
      </c>
      <c r="L23" s="383" t="str" cm="1">
        <f t="array" ref="L23">IF($B23="","",INDEX($AI$72:$AI$430,$K23))</f>
        <v>MASSE</v>
      </c>
      <c r="M23" s="383" cm="1">
        <f t="array" ref="M23">IF($B23="","",INDEX($AJ$72:$AJ$430,$K23))</f>
        <v>1</v>
      </c>
      <c r="N23" s="384" cm="1">
        <f t="array" ref="N23">IF(OR($B23="",$B$13="",$B$12="",$B$12=0),"",IF($L$22="AUTRE",IFERROR(INDEX($AK$72:$AK$430,$K23)*($B$13/$B$12),""),IF(OR($C$12="",$C$13=""),"",IFERROR(INDEX($AK$72:$AK$430,$K23)*(($B$13*VLOOKUP($C$13,$AY$74:$BA$119,3,FALSE))/($B$12*VLOOKUP($C$12,$AY$74:$BA$119,3,FALSE))),""))))</f>
        <v>1</v>
      </c>
      <c r="O23" s="384" cm="1">
        <f t="array" ref="O23">IF(OR($B23="",$G$12="",$G$11="",$G$11=0),"",IFERROR(INDEX($AK$72:$AK$430,$K23)*($G$12/$G$11),""))</f>
        <v>3</v>
      </c>
      <c r="U23" s="603"/>
      <c r="V23" s="605"/>
      <c r="W23" s="608"/>
      <c r="X23" s="608"/>
      <c r="Y23" s="608"/>
      <c r="Z23" s="608"/>
      <c r="AA23" s="609"/>
      <c r="AC23" s="275"/>
      <c r="AD23" s="386" t="s">
        <v>7991</v>
      </c>
      <c r="AE23" s="387"/>
      <c r="AF23" s="388"/>
      <c r="AG23" s="387"/>
      <c r="AH23" s="387"/>
      <c r="AI23" s="387"/>
      <c r="AJ23" s="387"/>
      <c r="AK23" s="387"/>
      <c r="AL23" s="387"/>
      <c r="AM23" s="387"/>
      <c r="AN23" s="387"/>
      <c r="AO23" s="387"/>
      <c r="AP23" s="387"/>
      <c r="AQ23" s="387"/>
      <c r="BB23" s="271"/>
      <c r="BC23" s="271"/>
      <c r="BD23" s="279">
        <v>1</v>
      </c>
      <c r="BE23" s="271"/>
      <c r="BF23" s="271"/>
      <c r="BG23" s="271"/>
    </row>
    <row r="24" spans="1:59" ht="21.95" customHeight="1" x14ac:dyDescent="0.25">
      <c r="A24" s="374">
        <f>IF($B24="","",2)</f>
        <v>2</v>
      </c>
      <c r="B24" s="375" t="str" cm="1">
        <f t="array" ref="B24">IFERROR(IF(INDEX($AC$72:$AC$430,$K24)="","",INDEX($AC$72:$AC$430,$K24)),"")</f>
        <v>Farine *</v>
      </c>
      <c r="C24" s="376" cm="1">
        <f t="array" ref="C24">IF($B24="","",INDEX($AG$72:$AG$430,$K24))</f>
        <v>1.5</v>
      </c>
      <c r="D24" s="377" t="str" cm="1">
        <f t="array" ref="D24">IF($B24="","",INDEX($AH$72:$AH$430,$K24))</f>
        <v>KG</v>
      </c>
      <c r="E24" s="378">
        <f t="shared" si="0"/>
        <v>1</v>
      </c>
      <c r="F24" s="379" t="str" cm="1">
        <f t="array" ref="F24">IF($B24="","",IF(UPPER(TRIM($D24))="QT. SUFFISANTE","Qt. suffisante",IF($N24="","",IF($L24="MASSE",IF($N24&gt;=1,"Kg","g"),IF($L24="VOLUME",IF($N24&gt;=1,"L","cl"),INDEX($AL$72:$AL$430,$K24))))))</f>
        <v>Kg</v>
      </c>
      <c r="G24" s="380">
        <f t="shared" si="1"/>
        <v>3</v>
      </c>
      <c r="H24" s="381" t="str" cm="1">
        <f t="array" ref="H24">IF($B24="","",IF(UPPER(TRIM($D24))="QT. SUFFISANTE","Qt. suffisante",IF($O24="","",IF($L24="MASSE",IF($O24&gt;=1,"Kg","g"),IF($L24="VOLUME",IF($O24&gt;=1,"L","cl"),INDEX($AL$72:$AL$430,$K24))))))</f>
        <v>Kg</v>
      </c>
      <c r="I24" s="382" t="str" cm="1">
        <f t="array" ref="I24">IF($B24="","",INDEX($AM$72:$AM$430,$K24))</f>
        <v>OK</v>
      </c>
      <c r="J24" s="271"/>
      <c r="K24" s="383">
        <f>1+($B$5-1)*36+2</f>
        <v>111</v>
      </c>
      <c r="L24" s="383" t="str" cm="1">
        <f t="array" ref="L24">IF($B24="","",INDEX($AI$72:$AI$430,$K24))</f>
        <v>MASSE</v>
      </c>
      <c r="M24" s="383" cm="1">
        <f t="array" ref="M24">IF($B24="","",INDEX($AJ$72:$AJ$430,$K24))</f>
        <v>1</v>
      </c>
      <c r="N24" s="384" cm="1">
        <f t="array" ref="N24">IF(OR($B24="",$B$13="",$B$12="",$B$12=0),"",IF($L$22="AUTRE",IFERROR(INDEX($AK$72:$AK$430,$K24)*($B$13/$B$12),""),IF(OR($C$12="",$C$13=""),"",IFERROR(INDEX($AK$72:$AK$430,$K24)*(($B$13*VLOOKUP($C$13,$AY$74:$BA$119,3,FALSE))/($B$12*VLOOKUP($C$12,$AY$74:$BA$119,3,FALSE))),""))))</f>
        <v>1</v>
      </c>
      <c r="O24" s="384" cm="1">
        <f t="array" ref="O24">IF(OR($B24="",$G$12="",$G$11="",$G$11=0),"",IFERROR(INDEX($AK$72:$AK$430,$K24)*($G$12/$G$11),""))</f>
        <v>3</v>
      </c>
      <c r="U24" s="610" t="s">
        <v>136</v>
      </c>
      <c r="V24" s="612" t="s">
        <v>7992</v>
      </c>
      <c r="W24" s="614" t="s">
        <v>7993</v>
      </c>
      <c r="X24" s="614"/>
      <c r="Y24" s="614"/>
      <c r="Z24" s="614"/>
      <c r="AA24" s="615"/>
      <c r="AC24" s="275"/>
      <c r="AD24" s="301" t="s">
        <v>7994</v>
      </c>
      <c r="AE24" s="322" t="s">
        <v>339</v>
      </c>
      <c r="AF24" s="303" t="s">
        <v>7995</v>
      </c>
      <c r="AG24" s="389" t="s">
        <v>136</v>
      </c>
      <c r="AH24" s="14"/>
      <c r="AI24" s="304" t="s">
        <v>7996</v>
      </c>
      <c r="AJ24" s="304"/>
      <c r="AK24" s="304"/>
      <c r="AL24" s="304"/>
      <c r="AM24" s="304"/>
      <c r="AN24" s="304"/>
      <c r="AO24" s="304"/>
      <c r="AP24" s="304"/>
      <c r="AQ24" s="304"/>
      <c r="BB24" s="271"/>
      <c r="BC24" s="271"/>
      <c r="BD24" s="279">
        <v>1</v>
      </c>
      <c r="BE24" s="271"/>
      <c r="BF24" s="271"/>
      <c r="BG24" s="271"/>
    </row>
    <row r="25" spans="1:59" ht="21.95" customHeight="1" x14ac:dyDescent="0.25">
      <c r="A25" s="374">
        <f>IF($B25="","",3)</f>
        <v>3</v>
      </c>
      <c r="B25" s="375" t="str" cm="1">
        <f t="array" ref="B25">IFERROR(IF(INDEX($AC$72:$AC$430,$K25)="","",INDEX($AC$72:$AC$430,$K25)),"")</f>
        <v xml:space="preserve">Œufs frais * </v>
      </c>
      <c r="C25" s="376" cm="1">
        <f t="array" ref="C25">IF($B25="","",INDEX($AG$72:$AG$430,$K25))</f>
        <v>50</v>
      </c>
      <c r="D25" s="377" t="str" cm="1">
        <f t="array" ref="D25">IF($B25="","",INDEX($AH$72:$AH$430,$K25))</f>
        <v>ŒUF(S)</v>
      </c>
      <c r="E25" s="378">
        <f t="shared" si="0"/>
        <v>33</v>
      </c>
      <c r="F25" s="379" t="str" cm="1">
        <f t="array" ref="F25">IF($B25="","",IF(UPPER(TRIM($D25))="QT. SUFFISANTE","Qt. suffisante",IF($N25="","",IF($L25="MASSE",IF($N25&gt;=1,"Kg","g"),IF($L25="VOLUME",IF($N25&gt;=1,"L","cl"),INDEX($AL$72:$AL$430,$K25))))))</f>
        <v>œuf(s)</v>
      </c>
      <c r="G25" s="380">
        <f t="shared" si="1"/>
        <v>100</v>
      </c>
      <c r="H25" s="381" t="str" cm="1">
        <f t="array" ref="H25">IF($B25="","",IF(UPPER(TRIM($D25))="QT. SUFFISANTE","Qt. suffisante",IF($O25="","",IF($L25="MASSE",IF($O25&gt;=1,"Kg","g"),IF($L25="VOLUME",IF($O25&gt;=1,"L","cl"),INDEX($AL$72:$AL$430,$K25))))))</f>
        <v>œuf(s)</v>
      </c>
      <c r="I25" s="382" t="str" cm="1">
        <f t="array" ref="I25">IF($B25="","",INDEX($AM$72:$AM$430,$K25))</f>
        <v>OK</v>
      </c>
      <c r="J25" s="271"/>
      <c r="K25" s="383">
        <f>1+($B$5-1)*36+3</f>
        <v>112</v>
      </c>
      <c r="L25" s="383" t="str" cm="1">
        <f t="array" ref="L25">IF($B25="","",INDEX($AI$72:$AI$430,$K25))</f>
        <v>AUTRE</v>
      </c>
      <c r="M25" s="383" cm="1">
        <f t="array" ref="M25">IF($B25="","",INDEX($AJ$72:$AJ$430,$K25))</f>
        <v>1</v>
      </c>
      <c r="N25" s="384" cm="1">
        <f t="array" ref="N25">IF(OR($B25="",$B$13="",$B$12="",$B$12=0),"",IF($L$22="AUTRE",IFERROR(INDEX($AK$72:$AK$430,$K25)*($B$13/$B$12),""),IF(OR($C$12="",$C$13=""),"",IFERROR(INDEX($AK$72:$AK$430,$K25)*(($B$13*VLOOKUP($C$13,$AY$74:$BA$119,3,FALSE))/($B$12*VLOOKUP($C$12,$AY$74:$BA$119,3,FALSE))),""))))</f>
        <v>33.333333333333329</v>
      </c>
      <c r="O25" s="384" cm="1">
        <f t="array" ref="O25">IF(OR($B25="",$G$12="",$G$11="",$G$11=0),"",IFERROR(INDEX($AK$72:$AK$430,$K25)*($G$12/$G$11),""))</f>
        <v>100</v>
      </c>
      <c r="U25" s="611"/>
      <c r="V25" s="613"/>
      <c r="W25" s="616"/>
      <c r="X25" s="616"/>
      <c r="Y25" s="616"/>
      <c r="Z25" s="616"/>
      <c r="AA25" s="617"/>
      <c r="AC25" s="275"/>
      <c r="AD25" s="301" t="s">
        <v>7994</v>
      </c>
      <c r="AE25" s="322" t="s">
        <v>7997</v>
      </c>
      <c r="AF25" s="303" t="s">
        <v>7998</v>
      </c>
      <c r="AG25" s="390"/>
      <c r="AH25" s="391" t="s">
        <v>7999</v>
      </c>
      <c r="AI25" s="311" t="s">
        <v>8000</v>
      </c>
      <c r="AJ25" s="311"/>
      <c r="AK25" s="311"/>
      <c r="AL25" s="311"/>
      <c r="AM25" s="311"/>
      <c r="AN25" s="311"/>
      <c r="AO25" s="311"/>
      <c r="AP25" s="311"/>
      <c r="AQ25" s="311"/>
      <c r="BB25" s="271"/>
      <c r="BC25" s="271"/>
      <c r="BD25" s="279">
        <v>1</v>
      </c>
      <c r="BE25" s="271"/>
      <c r="BF25" s="271"/>
      <c r="BG25" s="271"/>
    </row>
    <row r="26" spans="1:59" ht="21.95" customHeight="1" x14ac:dyDescent="0.25">
      <c r="A26" s="374">
        <f>IF($B26="","",4)</f>
        <v>4</v>
      </c>
      <c r="B26" s="375" t="str" cm="1">
        <f t="array" ref="B26">IFERROR(IF(INDEX($AC$72:$AC$430,$K26)="","",INDEX($AC$72:$AC$430,$K26)),"")</f>
        <v>OU Œufs liquides pasteurisés *</v>
      </c>
      <c r="C26" s="376" cm="1">
        <f t="array" ref="C26">IF($B26="","",INDEX($AG$72:$AG$430,$K26))</f>
        <v>2.5</v>
      </c>
      <c r="D26" s="377" t="str" cm="1">
        <f t="array" ref="D26">IF($B26="","",INDEX($AH$72:$AH$430,$K26))</f>
        <v>L</v>
      </c>
      <c r="E26" s="378">
        <f t="shared" si="0"/>
        <v>1.67</v>
      </c>
      <c r="F26" s="379" t="str" cm="1">
        <f t="array" ref="F26">IF($B26="","",IF(UPPER(TRIM($D26))="QT. SUFFISANTE","Qt. suffisante",IF($N26="","",IF($L26="MASSE",IF($N26&gt;=1,"Kg","g"),IF($L26="VOLUME",IF($N26&gt;=1,"L","cl"),INDEX($AL$72:$AL$430,$K26))))))</f>
        <v>L</v>
      </c>
      <c r="G26" s="380">
        <f t="shared" si="1"/>
        <v>5</v>
      </c>
      <c r="H26" s="381" t="str" cm="1">
        <f t="array" ref="H26">IF($B26="","",IF(UPPER(TRIM($D26))="QT. SUFFISANTE","Qt. suffisante",IF($O26="","",IF($L26="MASSE",IF($O26&gt;=1,"Kg","g"),IF($L26="VOLUME",IF($O26&gt;=1,"L","cl"),INDEX($AL$72:$AL$430,$K26))))))</f>
        <v>L</v>
      </c>
      <c r="I26" s="382" t="str" cm="1">
        <f t="array" ref="I26">IF($B26="","",INDEX($AM$72:$AM$430,$K26))</f>
        <v>OK</v>
      </c>
      <c r="J26" s="271"/>
      <c r="K26" s="383">
        <f>1+($B$5-1)*36+4</f>
        <v>113</v>
      </c>
      <c r="L26" s="383" t="str" cm="1">
        <f t="array" ref="L26">IF($B26="","",INDEX($AI$72:$AI$430,$K26))</f>
        <v>VOLUME</v>
      </c>
      <c r="M26" s="383" cm="1">
        <f t="array" ref="M26">IF($B26="","",INDEX($AJ$72:$AJ$430,$K26))</f>
        <v>1</v>
      </c>
      <c r="N26" s="384" cm="1">
        <f t="array" ref="N26">IF(OR($B26="",$B$13="",$B$12="",$B$12=0),"",IF($L$22="AUTRE",IFERROR(INDEX($AK$72:$AK$430,$K26)*($B$13/$B$12),""),IF(OR($C$12="",$C$13=""),"",IFERROR(INDEX($AK$72:$AK$430,$K26)*(($B$13*VLOOKUP($C$13,$AY$74:$BA$119,3,FALSE))/($B$12*VLOOKUP($C$12,$AY$74:$BA$119,3,FALSE))),""))))</f>
        <v>1.6666666666666665</v>
      </c>
      <c r="O26" s="384" cm="1">
        <f t="array" ref="O26">IF(OR($B26="",$G$12="",$G$11="",$G$11=0),"",IFERROR(INDEX($AK$72:$AK$430,$K26)*($G$12/$G$11),""))</f>
        <v>5</v>
      </c>
      <c r="U26" s="618" t="s">
        <v>8001</v>
      </c>
      <c r="V26" s="619" t="s">
        <v>8002</v>
      </c>
      <c r="W26" s="620" t="s">
        <v>8003</v>
      </c>
      <c r="X26" s="620"/>
      <c r="Y26" s="620"/>
      <c r="Z26" s="620"/>
      <c r="AA26" s="621"/>
      <c r="AC26" s="275"/>
      <c r="AD26" s="301" t="s">
        <v>8004</v>
      </c>
      <c r="AE26" s="322" t="s">
        <v>8005</v>
      </c>
      <c r="AF26" s="303" t="s">
        <v>8006</v>
      </c>
      <c r="AG26" s="624" t="s">
        <v>8007</v>
      </c>
      <c r="AH26" s="624"/>
      <c r="AI26" s="311" t="s">
        <v>8008</v>
      </c>
      <c r="AJ26" s="311"/>
      <c r="AK26" s="311"/>
      <c r="AL26" s="311"/>
      <c r="AM26" s="311"/>
      <c r="AN26" s="311"/>
      <c r="AO26" s="311"/>
      <c r="AP26" s="311"/>
      <c r="AQ26" s="311"/>
      <c r="BB26" s="271"/>
      <c r="BC26" s="271"/>
      <c r="BD26" s="279">
        <v>1</v>
      </c>
      <c r="BE26" s="271"/>
      <c r="BF26" s="271"/>
      <c r="BG26" s="271"/>
    </row>
    <row r="27" spans="1:59" ht="21.95" customHeight="1" thickBot="1" x14ac:dyDescent="0.3">
      <c r="A27" s="374">
        <f>IF($B27="","",5)</f>
        <v>5</v>
      </c>
      <c r="B27" s="375" t="str" cm="1">
        <f t="array" ref="B27">IFERROR(IF(INDEX($AC$72:$AC$430,$K27)="","",INDEX($AC$72:$AC$430,$K27)),"")</f>
        <v>Emmenthal râpé *</v>
      </c>
      <c r="C27" s="376" cm="1">
        <f t="array" ref="C27">IF($B27="","",INDEX($AG$72:$AG$430,$K27))</f>
        <v>1.2</v>
      </c>
      <c r="D27" s="377" t="str" cm="1">
        <f t="array" ref="D27">IF($B27="","",INDEX($AH$72:$AH$430,$K27))</f>
        <v>KG</v>
      </c>
      <c r="E27" s="378">
        <f t="shared" si="0"/>
        <v>800</v>
      </c>
      <c r="F27" s="379" t="str" cm="1">
        <f t="array" ref="F27">IF($B27="","",IF(UPPER(TRIM($D27))="QT. SUFFISANTE","Qt. suffisante",IF($N27="","",IF($L27="MASSE",IF($N27&gt;=1,"Kg","g"),IF($L27="VOLUME",IF($N27&gt;=1,"L","cl"),INDEX($AL$72:$AL$430,$K27))))))</f>
        <v>g</v>
      </c>
      <c r="G27" s="380">
        <f t="shared" si="1"/>
        <v>2.4</v>
      </c>
      <c r="H27" s="381" t="str" cm="1">
        <f t="array" ref="H27">IF($B27="","",IF(UPPER(TRIM($D27))="QT. SUFFISANTE","Qt. suffisante",IF($O27="","",IF($L27="MASSE",IF($O27&gt;=1,"Kg","g"),IF($L27="VOLUME",IF($O27&gt;=1,"L","cl"),INDEX($AL$72:$AL$430,$K27))))))</f>
        <v>Kg</v>
      </c>
      <c r="I27" s="382" t="str" cm="1">
        <f t="array" ref="I27">IF($B27="","",INDEX($AM$72:$AM$430,$K27))</f>
        <v>OK</v>
      </c>
      <c r="J27" s="271"/>
      <c r="K27" s="383">
        <f>1+($B$5-1)*36+5</f>
        <v>114</v>
      </c>
      <c r="L27" s="383" t="str" cm="1">
        <f t="array" ref="L27">IF($B27="","",INDEX($AI$72:$AI$430,$K27))</f>
        <v>MASSE</v>
      </c>
      <c r="M27" s="383" cm="1">
        <f t="array" ref="M27">IF($B27="","",INDEX($AJ$72:$AJ$430,$K27))</f>
        <v>1</v>
      </c>
      <c r="N27" s="384" cm="1">
        <f t="array" ref="N27">IF(OR($B27="",$B$13="",$B$12="",$B$12=0),"",IF($L$22="AUTRE",IFERROR(INDEX($AK$72:$AK$430,$K27)*($B$13/$B$12),""),IF(OR($C$12="",$C$13=""),"",IFERROR(INDEX($AK$72:$AK$430,$K27)*(($B$13*VLOOKUP($C$13,$AY$74:$BA$119,3,FALSE))/($B$12*VLOOKUP($C$12,$AY$74:$BA$119,3,FALSE))),""))))</f>
        <v>0.79999999999999993</v>
      </c>
      <c r="O27" s="384" cm="1">
        <f t="array" ref="O27">IF(OR($B27="",$G$12="",$G$11="",$G$11=0),"",IFERROR(INDEX($AK$72:$AK$430,$K27)*($G$12/$G$11),""))</f>
        <v>2.4</v>
      </c>
      <c r="U27" s="588"/>
      <c r="V27" s="590"/>
      <c r="W27" s="622"/>
      <c r="X27" s="622"/>
      <c r="Y27" s="622"/>
      <c r="Z27" s="622"/>
      <c r="AA27" s="623"/>
      <c r="AC27" s="275"/>
      <c r="AD27" s="301" t="s">
        <v>8009</v>
      </c>
      <c r="AE27" s="355" t="s">
        <v>8010</v>
      </c>
      <c r="AF27" s="303" t="s">
        <v>8011</v>
      </c>
      <c r="AG27" s="625" t="s">
        <v>8012</v>
      </c>
      <c r="AH27" s="625"/>
      <c r="AI27" s="304" t="s">
        <v>8013</v>
      </c>
      <c r="AJ27" s="304"/>
      <c r="AK27" s="304"/>
      <c r="AL27" s="304"/>
      <c r="AM27" s="304"/>
      <c r="AN27" s="304"/>
      <c r="AO27" s="304"/>
      <c r="AP27" s="304"/>
      <c r="AQ27" s="304"/>
      <c r="BB27" s="271"/>
      <c r="BC27" s="271"/>
      <c r="BD27" s="279">
        <v>1</v>
      </c>
      <c r="BE27" s="271"/>
      <c r="BF27" s="271"/>
      <c r="BG27" s="271"/>
    </row>
    <row r="28" spans="1:59" ht="21.95" customHeight="1" x14ac:dyDescent="0.25">
      <c r="A28" s="374">
        <f>IF($B28="","",6)</f>
        <v>6</v>
      </c>
      <c r="B28" s="375" t="str" cm="1">
        <f t="array" ref="B28">IFERROR(IF(INDEX($AC$72:$AC$430,$K28)="","",INDEX($AC$72:$AC$430,$K28)),"")</f>
        <v>Muscade</v>
      </c>
      <c r="C28" s="376" cm="1">
        <f t="array" ref="C28">IF($B28="","",INDEX($AG$72:$AG$430,$K28))</f>
        <v>2.5</v>
      </c>
      <c r="D28" s="377" t="str" cm="1">
        <f t="array" ref="D28">IF($B28="","",INDEX($AH$72:$AH$430,$K28))</f>
        <v>G</v>
      </c>
      <c r="E28" s="378">
        <f t="shared" si="0"/>
        <v>2</v>
      </c>
      <c r="F28" s="379" t="str" cm="1">
        <f t="array" ref="F28">IF($B28="","",IF(UPPER(TRIM($D28))="QT. SUFFISANTE","Qt. suffisante",IF($N28="","",IF($L28="MASSE",IF($N28&gt;=1,"Kg","g"),IF($L28="VOLUME",IF($N28&gt;=1,"L","cl"),INDEX($AL$72:$AL$430,$K28))))))</f>
        <v>g</v>
      </c>
      <c r="G28" s="380">
        <f t="shared" si="1"/>
        <v>5</v>
      </c>
      <c r="H28" s="381" t="str" cm="1">
        <f t="array" ref="H28">IF($B28="","",IF(UPPER(TRIM($D28))="QT. SUFFISANTE","Qt. suffisante",IF($O28="","",IF($L28="MASSE",IF($O28&gt;=1,"Kg","g"),IF($L28="VOLUME",IF($O28&gt;=1,"L","cl"),INDEX($AL$72:$AL$430,$K28))))))</f>
        <v>g</v>
      </c>
      <c r="I28" s="382" t="str" cm="1">
        <f t="array" ref="I28">IF($B28="","",INDEX($AM$72:$AM$430,$K28))</f>
        <v>OK</v>
      </c>
      <c r="J28" s="271"/>
      <c r="K28" s="383">
        <f>1+($B$5-1)*36+6</f>
        <v>115</v>
      </c>
      <c r="L28" s="383" t="str" cm="1">
        <f t="array" ref="L28">IF($B28="","",INDEX($AI$72:$AI$430,$K28))</f>
        <v>MASSE</v>
      </c>
      <c r="M28" s="383" cm="1">
        <f t="array" ref="M28">IF($B28="","",INDEX($AJ$72:$AJ$430,$K28))</f>
        <v>1E-3</v>
      </c>
      <c r="N28" s="384" cm="1">
        <f t="array" ref="N28">IF(OR($B28="",$B$13="",$B$12="",$B$12=0),"",IF($L$22="AUTRE",IFERROR(INDEX($AK$72:$AK$430,$K28)*($B$13/$B$12),""),IF(OR($C$12="",$C$13=""),"",IFERROR(INDEX($AK$72:$AK$430,$K28)*(($B$13*VLOOKUP($C$13,$AY$74:$BA$119,3,FALSE))/($B$12*VLOOKUP($C$12,$AY$74:$BA$119,3,FALSE))),""))))</f>
        <v>1.6666666666666666E-3</v>
      </c>
      <c r="O28" s="384" cm="1">
        <f t="array" ref="O28">IF(OR($B28="",$G$12="",$G$11="",$G$11=0),"",IFERROR(INDEX($AK$72:$AK$430,$K28)*($G$12/$G$11),""))</f>
        <v>5.0000000000000001E-3</v>
      </c>
      <c r="U28" s="595" t="s">
        <v>8014</v>
      </c>
      <c r="V28" s="392" t="s">
        <v>4</v>
      </c>
      <c r="W28" s="597" t="s">
        <v>8015</v>
      </c>
      <c r="X28" s="597"/>
      <c r="Y28" s="597"/>
      <c r="Z28" s="597"/>
      <c r="AA28" s="598"/>
      <c r="AC28" s="275"/>
      <c r="AD28" s="328" t="s">
        <v>8016</v>
      </c>
      <c r="AE28" s="329"/>
      <c r="AF28" s="330"/>
      <c r="AG28" s="329"/>
      <c r="AH28" s="329"/>
      <c r="AI28" s="329"/>
      <c r="AJ28" s="329"/>
      <c r="AK28" s="329"/>
      <c r="AL28" s="329"/>
      <c r="AM28" s="329"/>
      <c r="AN28" s="329"/>
      <c r="AO28" s="329"/>
      <c r="AP28" s="329"/>
      <c r="AQ28" s="329"/>
      <c r="BB28" s="271"/>
      <c r="BC28" s="271"/>
      <c r="BD28" s="279">
        <v>1</v>
      </c>
      <c r="BE28" s="271"/>
      <c r="BF28" s="271"/>
      <c r="BG28" s="271"/>
    </row>
    <row r="29" spans="1:59" ht="21.95" customHeight="1" x14ac:dyDescent="0.25">
      <c r="A29" s="374">
        <f>IF($B29="","",7)</f>
        <v>7</v>
      </c>
      <c r="B29" s="375" t="str" cm="1">
        <f t="array" ref="B29">IFERROR(IF(INDEX($AC$72:$AC$430,$K29)="","",INDEX($AC$72:$AC$430,$K29)),"")</f>
        <v>Sel fin</v>
      </c>
      <c r="C29" s="376" cm="1">
        <f t="array" ref="C29">IF($B29="","",INDEX($AG$72:$AG$430,$K29))</f>
        <v>30</v>
      </c>
      <c r="D29" s="377" t="str" cm="1">
        <f t="array" ref="D29">IF($B29="","",INDEX($AH$72:$AH$430,$K29))</f>
        <v>G</v>
      </c>
      <c r="E29" s="378">
        <f t="shared" si="0"/>
        <v>20</v>
      </c>
      <c r="F29" s="379" t="str" cm="1">
        <f t="array" ref="F29">IF($B29="","",IF(UPPER(TRIM($D29))="QT. SUFFISANTE","Qt. suffisante",IF($N29="","",IF($L29="MASSE",IF($N29&gt;=1,"Kg","g"),IF($L29="VOLUME",IF($N29&gt;=1,"L","cl"),INDEX($AL$72:$AL$430,$K29))))))</f>
        <v>g</v>
      </c>
      <c r="G29" s="380">
        <f t="shared" si="1"/>
        <v>60</v>
      </c>
      <c r="H29" s="381" t="str" cm="1">
        <f t="array" ref="H29">IF($B29="","",IF(UPPER(TRIM($D29))="QT. SUFFISANTE","Qt. suffisante",IF($O29="","",IF($L29="MASSE",IF($O29&gt;=1,"Kg","g"),IF($L29="VOLUME",IF($O29&gt;=1,"L","cl"),INDEX($AL$72:$AL$430,$K29))))))</f>
        <v>g</v>
      </c>
      <c r="I29" s="382" t="str" cm="1">
        <f t="array" ref="I29">IF($B29="","",INDEX($AM$72:$AM$430,$K29))</f>
        <v>OK</v>
      </c>
      <c r="J29" s="271"/>
      <c r="K29" s="383">
        <f>1+($B$5-1)*36+7</f>
        <v>116</v>
      </c>
      <c r="L29" s="383" t="str" cm="1">
        <f t="array" ref="L29">IF($B29="","",INDEX($AI$72:$AI$430,$K29))</f>
        <v>MASSE</v>
      </c>
      <c r="M29" s="383" cm="1">
        <f t="array" ref="M29">IF($B29="","",INDEX($AJ$72:$AJ$430,$K29))</f>
        <v>1E-3</v>
      </c>
      <c r="N29" s="384" cm="1">
        <f t="array" ref="N29">IF(OR($B29="",$B$13="",$B$12="",$B$12=0),"",IF($L$22="AUTRE",IFERROR(INDEX($AK$72:$AK$430,$K29)*($B$13/$B$12),""),IF(OR($C$12="",$C$13=""),"",IFERROR(INDEX($AK$72:$AK$430,$K29)*(($B$13*VLOOKUP($C$13,$AY$74:$BA$119,3,FALSE))/($B$12*VLOOKUP($C$12,$AY$74:$BA$119,3,FALSE))),""))))</f>
        <v>1.9999999999999997E-2</v>
      </c>
      <c r="O29" s="384" cm="1">
        <f t="array" ref="O29">IF(OR($B29="",$G$12="",$G$11="",$G$11=0),"",IFERROR(INDEX($AK$72:$AK$430,$K29)*($G$12/$G$11),""))</f>
        <v>0.06</v>
      </c>
      <c r="U29" s="596"/>
      <c r="V29" s="393"/>
      <c r="W29" s="599"/>
      <c r="X29" s="599"/>
      <c r="Y29" s="599"/>
      <c r="Z29" s="599"/>
      <c r="AA29" s="600"/>
      <c r="AC29" s="275"/>
      <c r="AD29" s="319" t="s">
        <v>8017</v>
      </c>
      <c r="AE29" s="394" t="s">
        <v>8018</v>
      </c>
      <c r="AF29" s="395" t="s">
        <v>8019</v>
      </c>
      <c r="AG29" s="601" t="s">
        <v>8020</v>
      </c>
      <c r="AH29" s="601"/>
      <c r="AI29" s="304" t="s">
        <v>8021</v>
      </c>
      <c r="AJ29" s="304"/>
      <c r="AK29" s="304"/>
      <c r="AL29" s="304"/>
      <c r="AM29" s="304"/>
      <c r="AN29" s="304"/>
      <c r="AO29" s="304"/>
      <c r="AP29" s="304"/>
      <c r="AQ29" s="304"/>
      <c r="BB29" s="271"/>
      <c r="BC29" s="271"/>
      <c r="BD29" s="279">
        <v>1</v>
      </c>
      <c r="BE29" s="271"/>
      <c r="BF29" s="271"/>
      <c r="BG29" s="271"/>
    </row>
    <row r="30" spans="1:59" ht="21.95" customHeight="1" x14ac:dyDescent="0.25">
      <c r="A30" s="374">
        <f>IF($B30="","",8)</f>
        <v>8</v>
      </c>
      <c r="B30" s="375" t="str" cm="1">
        <f t="array" ref="B30">IFERROR(IF(INDEX($AC$72:$AC$430,$K30)="","",INDEX($AC$72:$AC$430,$K30)),"")</f>
        <v>Poivre</v>
      </c>
      <c r="C30" s="376" cm="1">
        <f t="array" ref="C30">IF($B30="","",INDEX($AG$72:$AG$430,$K30))</f>
        <v>2</v>
      </c>
      <c r="D30" s="377" t="str" cm="1">
        <f t="array" ref="D30">IF($B30="","",INDEX($AH$72:$AH$430,$K30))</f>
        <v>G</v>
      </c>
      <c r="E30" s="378">
        <f t="shared" si="0"/>
        <v>1</v>
      </c>
      <c r="F30" s="379" t="str" cm="1">
        <f t="array" ref="F30">IF($B30="","",IF(UPPER(TRIM($D30))="QT. SUFFISANTE","Qt. suffisante",IF($N30="","",IF($L30="MASSE",IF($N30&gt;=1,"Kg","g"),IF($L30="VOLUME",IF($N30&gt;=1,"L","cl"),INDEX($AL$72:$AL$430,$K30))))))</f>
        <v>g</v>
      </c>
      <c r="G30" s="380">
        <f t="shared" si="1"/>
        <v>4</v>
      </c>
      <c r="H30" s="381" t="str" cm="1">
        <f t="array" ref="H30">IF($B30="","",IF(UPPER(TRIM($D30))="QT. SUFFISANTE","Qt. suffisante",IF($O30="","",IF($L30="MASSE",IF($O30&gt;=1,"Kg","g"),IF($L30="VOLUME",IF($O30&gt;=1,"L","cl"),INDEX($AL$72:$AL$430,$K30))))))</f>
        <v>g</v>
      </c>
      <c r="I30" s="382" t="str" cm="1">
        <f t="array" ref="I30">IF($B30="","",INDEX($AM$72:$AM$430,$K30))</f>
        <v>OK</v>
      </c>
      <c r="J30" s="271"/>
      <c r="K30" s="383">
        <f>1+($B$5-1)*36+8</f>
        <v>117</v>
      </c>
      <c r="L30" s="383" t="str" cm="1">
        <f t="array" ref="L30">IF($B30="","",INDEX($AI$72:$AI$430,$K30))</f>
        <v>MASSE</v>
      </c>
      <c r="M30" s="383" cm="1">
        <f t="array" ref="M30">IF($B30="","",INDEX($AJ$72:$AJ$430,$K30))</f>
        <v>1E-3</v>
      </c>
      <c r="N30" s="384" cm="1">
        <f t="array" ref="N30">IF(OR($B30="",$B$13="",$B$12="",$B$12=0),"",IF($L$22="AUTRE",IFERROR(INDEX($AK$72:$AK$430,$K30)*($B$13/$B$12),""),IF(OR($C$12="",$C$13=""),"",IFERROR(INDEX($AK$72:$AK$430,$K30)*(($B$13*VLOOKUP($C$13,$AY$74:$BA$119,3,FALSE))/($B$12*VLOOKUP($C$12,$AY$74:$BA$119,3,FALSE))),""))))</f>
        <v>1.3333333333333333E-3</v>
      </c>
      <c r="O30" s="384" cm="1">
        <f t="array" ref="O30">IF(OR($B30="",$G$12="",$G$11="",$G$11=0),"",IFERROR(INDEX($AK$72:$AK$430,$K30)*($G$12/$G$11),""))</f>
        <v>4.0000000000000001E-3</v>
      </c>
      <c r="U30" s="626" t="s">
        <v>8022</v>
      </c>
      <c r="V30" s="627"/>
      <c r="W30" s="627"/>
      <c r="X30" s="627"/>
      <c r="Y30" s="627"/>
      <c r="Z30" s="627"/>
      <c r="AA30" s="628"/>
      <c r="AC30" s="275"/>
      <c r="AD30" s="319" t="s">
        <v>8017</v>
      </c>
      <c r="AE30" s="320" t="s">
        <v>8023</v>
      </c>
      <c r="AF30" s="395" t="s">
        <v>8024</v>
      </c>
      <c r="AG30" s="629" t="s">
        <v>7</v>
      </c>
      <c r="AH30" s="629"/>
      <c r="AI30" s="304" t="s">
        <v>8025</v>
      </c>
      <c r="AJ30" s="304"/>
      <c r="AK30" s="304"/>
      <c r="AL30" s="304"/>
      <c r="AM30" s="304"/>
      <c r="AN30" s="304"/>
      <c r="AO30" s="304"/>
      <c r="AP30" s="304"/>
      <c r="AQ30" s="304"/>
      <c r="BB30" s="271"/>
      <c r="BC30" s="271"/>
      <c r="BD30" s="279">
        <v>1</v>
      </c>
      <c r="BE30" s="271"/>
      <c r="BF30" s="271"/>
      <c r="BG30" s="271"/>
    </row>
    <row r="31" spans="1:59" ht="21.95" customHeight="1" x14ac:dyDescent="0.25">
      <c r="A31" s="374" t="str">
        <f>IF($B31="","",9)</f>
        <v/>
      </c>
      <c r="B31" s="375" t="str" cm="1">
        <f t="array" ref="B31">IFERROR(IF(INDEX($AC$72:$AC$430,$K31)="","",INDEX($AC$72:$AC$430,$K31)),"")</f>
        <v/>
      </c>
      <c r="C31" s="376" t="str" cm="1">
        <f t="array" ref="C31">IF($B31="","",INDEX($AG$72:$AG$430,$K31))</f>
        <v/>
      </c>
      <c r="D31" s="377" t="str" cm="1">
        <f t="array" ref="D31">IF($B31="","",INDEX($AH$72:$AH$430,$K31))</f>
        <v/>
      </c>
      <c r="E31" s="378" t="str">
        <f t="shared" si="0"/>
        <v/>
      </c>
      <c r="F31" s="379" t="str" cm="1">
        <f t="array" ref="F31">IF($B31="","",IF(UPPER(TRIM($D31))="QT. SUFFISANTE","Qt. suffisante",IF($N31="","",IF($L31="MASSE",IF($N31&gt;=1,"Kg","g"),IF($L31="VOLUME",IF($N31&gt;=1,"L","cl"),INDEX($AL$72:$AL$430,$K31))))))</f>
        <v/>
      </c>
      <c r="G31" s="380" t="str">
        <f t="shared" si="1"/>
        <v/>
      </c>
      <c r="H31" s="381" t="str" cm="1">
        <f t="array" ref="H31">IF($B31="","",IF(UPPER(TRIM($D31))="QT. SUFFISANTE","Qt. suffisante",IF($O31="","",IF($L31="MASSE",IF($O31&gt;=1,"Kg","g"),IF($L31="VOLUME",IF($O31&gt;=1,"L","cl"),INDEX($AL$72:$AL$430,$K31))))))</f>
        <v/>
      </c>
      <c r="I31" s="382" t="str" cm="1">
        <f t="array" ref="I31">IF($B31="","",INDEX($AM$72:$AM$430,$K31))</f>
        <v/>
      </c>
      <c r="J31" s="271"/>
      <c r="K31" s="383">
        <f>1+($B$5-1)*36+9</f>
        <v>118</v>
      </c>
      <c r="L31" s="383" t="str" cm="1">
        <f t="array" ref="L31">IF($B31="","",INDEX($AI$72:$AI$430,$K31))</f>
        <v/>
      </c>
      <c r="M31" s="383" t="str" cm="1">
        <f t="array" ref="M31">IF($B31="","",INDEX($AJ$72:$AJ$430,$K31))</f>
        <v/>
      </c>
      <c r="N31" s="384" t="str" cm="1">
        <f t="array" ref="N31">IF(OR($B31="",$B$13="",$B$12="",$B$12=0),"",IF($L$22="AUTRE",IFERROR(INDEX($AK$72:$AK$430,$K31)*($B$13/$B$12),""),IF(OR($C$12="",$C$13=""),"",IFERROR(INDEX($AK$72:$AK$430,$K31)*(($B$13*VLOOKUP($C$13,$AY$74:$BA$119,3,FALSE))/($B$12*VLOOKUP($C$12,$AY$74:$BA$119,3,FALSE))),""))))</f>
        <v/>
      </c>
      <c r="O31" s="384" t="str" cm="1">
        <f t="array" ref="O31">IF(OR($B31="",$G$12="",$G$11="",$G$11=0),"",IFERROR(INDEX($AK$72:$AK$430,$K31)*($G$12/$G$11),""))</f>
        <v/>
      </c>
      <c r="U31" s="630" t="s">
        <v>8026</v>
      </c>
      <c r="V31" s="631"/>
      <c r="W31" s="632" t="s">
        <v>8027</v>
      </c>
      <c r="X31" s="632"/>
      <c r="Y31" s="632"/>
      <c r="Z31" s="632"/>
      <c r="AA31" s="633"/>
      <c r="AC31" s="275"/>
      <c r="AD31" s="319" t="s">
        <v>8017</v>
      </c>
      <c r="AE31" s="320" t="s">
        <v>330</v>
      </c>
      <c r="AF31" s="395" t="s">
        <v>8028</v>
      </c>
      <c r="AG31" s="634" t="s">
        <v>8029</v>
      </c>
      <c r="AH31" s="634"/>
      <c r="AI31" s="304" t="s">
        <v>8030</v>
      </c>
      <c r="AJ31" s="304"/>
      <c r="AK31" s="304"/>
      <c r="AL31" s="304"/>
      <c r="AM31" s="304"/>
      <c r="AN31" s="304"/>
      <c r="AO31" s="304"/>
      <c r="AP31" s="304"/>
      <c r="AQ31" s="304"/>
      <c r="BB31" s="271"/>
      <c r="BC31" s="271"/>
      <c r="BD31" s="279">
        <v>1</v>
      </c>
      <c r="BE31" s="271"/>
      <c r="BF31" s="271"/>
      <c r="BG31" s="271"/>
    </row>
    <row r="32" spans="1:59" ht="21.95" customHeight="1" x14ac:dyDescent="0.25">
      <c r="A32" s="374">
        <f>IF($B32="","",10)</f>
        <v>10</v>
      </c>
      <c r="B32" s="375" t="str" cm="1">
        <f t="array" ref="B32">IFERROR(IF(INDEX($AC$72:$AC$430,$K32)="","",INDEX($AC$72:$AC$430,$K32)),"")</f>
        <v>Œufs *</v>
      </c>
      <c r="C32" s="376" cm="1">
        <f t="array" ref="C32">IF($B32="","",INDEX($AG$72:$AG$430,$K32))</f>
        <v>3</v>
      </c>
      <c r="D32" s="377" t="str" cm="1">
        <f t="array" ref="D32">IF($B32="","",INDEX($AH$72:$AH$430,$K32))</f>
        <v>ŒUF(S)</v>
      </c>
      <c r="E32" s="378">
        <f t="shared" si="0"/>
        <v>2</v>
      </c>
      <c r="F32" s="379" t="str" cm="1">
        <f t="array" ref="F32">IF($B32="","",IF(UPPER(TRIM($D32))="QT. SUFFISANTE","Qt. suffisante",IF($N32="","",IF($L32="MASSE",IF($N32&gt;=1,"Kg","g"),IF($L32="VOLUME",IF($N32&gt;=1,"L","cl"),INDEX($AL$72:$AL$430,$K32))))))</f>
        <v>œuf(s)</v>
      </c>
      <c r="G32" s="380">
        <f t="shared" si="1"/>
        <v>6</v>
      </c>
      <c r="H32" s="381" t="str" cm="1">
        <f t="array" ref="H32">IF($B32="","",IF(UPPER(TRIM($D32))="QT. SUFFISANTE","Qt. suffisante",IF($O32="","",IF($L32="MASSE",IF($O32&gt;=1,"Kg","g"),IF($L32="VOLUME",IF($O32&gt;=1,"L","cl"),INDEX($AL$72:$AL$430,$K32))))))</f>
        <v>œuf(s)</v>
      </c>
      <c r="I32" s="382" t="str" cm="1">
        <f t="array" ref="I32">IF($B32="","",INDEX($AM$72:$AM$430,$K32))</f>
        <v>OK</v>
      </c>
      <c r="J32" s="271"/>
      <c r="K32" s="383">
        <f>1+($B$5-1)*36+10</f>
        <v>119</v>
      </c>
      <c r="L32" s="383" t="str" cm="1">
        <f t="array" ref="L32">IF($B32="","",INDEX($AI$72:$AI$430,$K32))</f>
        <v>AUTRE</v>
      </c>
      <c r="M32" s="383" cm="1">
        <f t="array" ref="M32">IF($B32="","",INDEX($AJ$72:$AJ$430,$K32))</f>
        <v>1</v>
      </c>
      <c r="N32" s="384" cm="1">
        <f t="array" ref="N32">IF(OR($B32="",$B$13="",$B$12="",$B$12=0),"",IF($L$22="AUTRE",IFERROR(INDEX($AK$72:$AK$430,$K32)*($B$13/$B$12),""),IF(OR($C$12="",$C$13=""),"",IFERROR(INDEX($AK$72:$AK$430,$K32)*(($B$13*VLOOKUP($C$13,$AY$74:$BA$119,3,FALSE))/($B$12*VLOOKUP($C$12,$AY$74:$BA$119,3,FALSE))),""))))</f>
        <v>2</v>
      </c>
      <c r="O32" s="384" cm="1">
        <f t="array" ref="O32">IF(OR($B32="",$G$12="",$G$11="",$G$11=0),"",IFERROR(INDEX($AK$72:$AK$430,$K32)*($G$12/$G$11),""))</f>
        <v>6</v>
      </c>
      <c r="U32" s="630"/>
      <c r="V32" s="631"/>
      <c r="W32" s="632"/>
      <c r="X32" s="632"/>
      <c r="Y32" s="632"/>
      <c r="Z32" s="632"/>
      <c r="AA32" s="633"/>
      <c r="AC32" s="275"/>
      <c r="AD32" s="319" t="s">
        <v>8017</v>
      </c>
      <c r="AE32" s="320" t="s">
        <v>8031</v>
      </c>
      <c r="AF32" s="395" t="s">
        <v>8032</v>
      </c>
      <c r="AG32" s="634" t="s">
        <v>8033</v>
      </c>
      <c r="AH32" s="634"/>
      <c r="AI32" s="311" t="s">
        <v>8034</v>
      </c>
      <c r="AJ32" s="311"/>
      <c r="AK32" s="311"/>
      <c r="AL32" s="311"/>
      <c r="AM32" s="311"/>
      <c r="AN32" s="311"/>
      <c r="AO32" s="311"/>
      <c r="AP32" s="311"/>
      <c r="AQ32" s="311"/>
      <c r="BB32" s="271"/>
      <c r="BC32" s="271"/>
      <c r="BD32" s="279">
        <v>1</v>
      </c>
      <c r="BE32" s="271"/>
      <c r="BF32" s="271"/>
      <c r="BG32" s="271"/>
    </row>
    <row r="33" spans="1:59" ht="21.95" customHeight="1" x14ac:dyDescent="0.25">
      <c r="A33" s="374" t="str">
        <f>IF($B33="","",11)</f>
        <v/>
      </c>
      <c r="B33" s="375" t="str" cm="1">
        <f t="array" ref="B33">IFERROR(IF(INDEX($AC$72:$AC$430,$K33)="","",INDEX($AC$72:$AC$430,$K33)),"")</f>
        <v/>
      </c>
      <c r="C33" s="376" t="str" cm="1">
        <f t="array" ref="C33">IF($B33="","",INDEX($AG$72:$AG$430,$K33))</f>
        <v/>
      </c>
      <c r="D33" s="377" t="str" cm="1">
        <f t="array" ref="D33">IF($B33="","",INDEX($AH$72:$AH$430,$K33))</f>
        <v/>
      </c>
      <c r="E33" s="378" t="str">
        <f t="shared" si="0"/>
        <v/>
      </c>
      <c r="F33" s="379" t="str" cm="1">
        <f t="array" ref="F33">IF($B33="","",IF(UPPER(TRIM($D33))="QT. SUFFISANTE","Qt. suffisante",IF($N33="","",IF($L33="MASSE",IF($N33&gt;=1,"Kg","g"),IF($L33="VOLUME",IF($N33&gt;=1,"L","cl"),INDEX($AL$72:$AL$430,$K33))))))</f>
        <v/>
      </c>
      <c r="G33" s="380" t="str">
        <f t="shared" si="1"/>
        <v/>
      </c>
      <c r="H33" s="381" t="str" cm="1">
        <f t="array" ref="H33">IF($B33="","",IF(UPPER(TRIM($D33))="QT. SUFFISANTE","Qt. suffisante",IF($O33="","",IF($L33="MASSE",IF($O33&gt;=1,"Kg","g"),IF($L33="VOLUME",IF($O33&gt;=1,"L","cl"),INDEX($AL$72:$AL$430,$K33))))))</f>
        <v/>
      </c>
      <c r="I33" s="382" t="str" cm="1">
        <f t="array" ref="I33">IF($B33="","",INDEX($AM$72:$AM$430,$K33))</f>
        <v/>
      </c>
      <c r="J33" s="271"/>
      <c r="K33" s="383">
        <f>1+($B$5-1)*36+11</f>
        <v>120</v>
      </c>
      <c r="L33" s="383" t="str" cm="1">
        <f t="array" ref="L33">IF($B33="","",INDEX($AI$72:$AI$430,$K33))</f>
        <v/>
      </c>
      <c r="M33" s="383" t="str" cm="1">
        <f t="array" ref="M33">IF($B33="","",INDEX($AJ$72:$AJ$430,$K33))</f>
        <v/>
      </c>
      <c r="N33" s="384" t="str" cm="1">
        <f t="array" ref="N33">IF(OR($B33="",$B$13="",$B$12="",$B$12=0),"",IF($L$22="AUTRE",IFERROR(INDEX($AK$72:$AK$430,$K33)*($B$13/$B$12),""),IF(OR($C$12="",$C$13=""),"",IFERROR(INDEX($AK$72:$AK$430,$K33)*(($B$13*VLOOKUP($C$13,$AY$74:$BA$119,3,FALSE))/($B$12*VLOOKUP($C$12,$AY$74:$BA$119,3,FALSE))),""))))</f>
        <v/>
      </c>
      <c r="O33" s="384" t="str" cm="1">
        <f t="array" ref="O33">IF(OR($B33="",$G$12="",$G$11="",$G$11=0),"",IFERROR(INDEX($AK$72:$AK$430,$K33)*($G$12/$G$11),""))</f>
        <v/>
      </c>
      <c r="U33" s="635" t="s">
        <v>8035</v>
      </c>
      <c r="V33" s="636"/>
      <c r="W33" s="637" t="s">
        <v>8036</v>
      </c>
      <c r="X33" s="637"/>
      <c r="Y33" s="637"/>
      <c r="Z33" s="637"/>
      <c r="AA33" s="638"/>
      <c r="AC33" s="275"/>
      <c r="AD33" s="319" t="s">
        <v>8017</v>
      </c>
      <c r="AE33" s="394" t="s">
        <v>8037</v>
      </c>
      <c r="AF33" s="395" t="s">
        <v>8038</v>
      </c>
      <c r="AG33" s="634" t="s">
        <v>8039</v>
      </c>
      <c r="AH33" s="634"/>
      <c r="AI33" s="311" t="s">
        <v>8040</v>
      </c>
      <c r="AJ33" s="311"/>
      <c r="AK33" s="311"/>
      <c r="AL33" s="311"/>
      <c r="AM33" s="311"/>
      <c r="AN33" s="311"/>
      <c r="AO33" s="311"/>
      <c r="AP33" s="311"/>
      <c r="AQ33" s="311"/>
      <c r="BB33" s="271"/>
      <c r="BC33" s="271"/>
      <c r="BD33" s="279">
        <v>1</v>
      </c>
      <c r="BE33" s="271"/>
      <c r="BF33" s="271"/>
      <c r="BG33" s="271"/>
    </row>
    <row r="34" spans="1:59" ht="21.95" customHeight="1" x14ac:dyDescent="0.25">
      <c r="A34" s="374" t="str">
        <f>IF($B34="","",12)</f>
        <v/>
      </c>
      <c r="B34" s="375" t="str" cm="1">
        <f t="array" ref="B34">IFERROR(IF(INDEX($AC$72:$AC$430,$K34)="","",INDEX($AC$72:$AC$430,$K34)),"")</f>
        <v/>
      </c>
      <c r="C34" s="376" t="str" cm="1">
        <f t="array" ref="C34">IF($B34="","",INDEX($AG$72:$AG$430,$K34))</f>
        <v/>
      </c>
      <c r="D34" s="377" t="str" cm="1">
        <f t="array" ref="D34">IF($B34="","",INDEX($AH$72:$AH$430,$K34))</f>
        <v/>
      </c>
      <c r="E34" s="378" t="str">
        <f t="shared" si="0"/>
        <v/>
      </c>
      <c r="F34" s="379" t="str" cm="1">
        <f t="array" ref="F34">IF($B34="","",IF(UPPER(TRIM($D34))="QT. SUFFISANTE","Qt. suffisante",IF($N34="","",IF($L34="MASSE",IF($N34&gt;=1,"Kg","g"),IF($L34="VOLUME",IF($N34&gt;=1,"L","cl"),INDEX($AL$72:$AL$430,$K34))))))</f>
        <v/>
      </c>
      <c r="G34" s="380" t="str">
        <f t="shared" si="1"/>
        <v/>
      </c>
      <c r="H34" s="381" t="str" cm="1">
        <f t="array" ref="H34">IF($B34="","",IF(UPPER(TRIM($D34))="QT. SUFFISANTE","Qt. suffisante",IF($O34="","",IF($L34="MASSE",IF($O34&gt;=1,"Kg","g"),IF($L34="VOLUME",IF($O34&gt;=1,"L","cl"),INDEX($AL$72:$AL$430,$K34))))))</f>
        <v/>
      </c>
      <c r="I34" s="382" t="str" cm="1">
        <f t="array" ref="I34">IF($B34="","",INDEX($AM$72:$AM$430,$K34))</f>
        <v/>
      </c>
      <c r="J34" s="271"/>
      <c r="K34" s="383">
        <f>1+($B$5-1)*36+12</f>
        <v>121</v>
      </c>
      <c r="L34" s="383" t="str" cm="1">
        <f t="array" ref="L34">IF($B34="","",INDEX($AI$72:$AI$430,$K34))</f>
        <v/>
      </c>
      <c r="M34" s="383" t="str" cm="1">
        <f t="array" ref="M34">IF($B34="","",INDEX($AJ$72:$AJ$430,$K34))</f>
        <v/>
      </c>
      <c r="N34" s="384" t="str" cm="1">
        <f t="array" ref="N34">IF(OR($B34="",$B$13="",$B$12="",$B$12=0),"",IF($L$22="AUTRE",IFERROR(INDEX($AK$72:$AK$430,$K34)*($B$13/$B$12),""),IF(OR($C$12="",$C$13=""),"",IFERROR(INDEX($AK$72:$AK$430,$K34)*(($B$13*VLOOKUP($C$13,$AY$74:$BA$119,3,FALSE))/($B$12*VLOOKUP($C$12,$AY$74:$BA$119,3,FALSE))),""))))</f>
        <v/>
      </c>
      <c r="O34" s="384" t="str" cm="1">
        <f t="array" ref="O34">IF(OR($B34="",$G$12="",$G$11="",$G$11=0),"",IFERROR(INDEX($AK$72:$AK$430,$K34)*($G$12/$G$11),""))</f>
        <v/>
      </c>
      <c r="U34" s="635"/>
      <c r="V34" s="636"/>
      <c r="W34" s="637"/>
      <c r="X34" s="637"/>
      <c r="Y34" s="637"/>
      <c r="Z34" s="637"/>
      <c r="AA34" s="638"/>
      <c r="AC34" s="275"/>
      <c r="AD34" s="319" t="s">
        <v>8017</v>
      </c>
      <c r="AE34" s="320" t="s">
        <v>8041</v>
      </c>
      <c r="AF34" s="395" t="s">
        <v>8042</v>
      </c>
      <c r="AG34" s="634" t="s">
        <v>8043</v>
      </c>
      <c r="AH34" s="634"/>
      <c r="AI34" s="311" t="s">
        <v>8044</v>
      </c>
      <c r="AJ34" s="311"/>
      <c r="AK34" s="311"/>
      <c r="AL34" s="311"/>
      <c r="AM34" s="311"/>
      <c r="AN34" s="311"/>
      <c r="AO34" s="311"/>
      <c r="AP34" s="311"/>
      <c r="AQ34" s="311"/>
      <c r="BB34" s="271"/>
      <c r="BC34" s="271"/>
      <c r="BD34" s="279">
        <v>1</v>
      </c>
      <c r="BE34" s="271"/>
      <c r="BF34" s="271"/>
      <c r="BG34" s="271"/>
    </row>
    <row r="35" spans="1:59" ht="21.95" customHeight="1" thickBot="1" x14ac:dyDescent="0.3">
      <c r="A35" s="374" t="str">
        <f>IF($B35="","",13)</f>
        <v/>
      </c>
      <c r="B35" s="375" t="str" cm="1">
        <f t="array" ref="B35">IFERROR(IF(INDEX($AC$72:$AC$430,$K35)="","",INDEX($AC$72:$AC$430,$K35)),"")</f>
        <v/>
      </c>
      <c r="C35" s="376" t="str" cm="1">
        <f t="array" ref="C35">IF($B35="","",INDEX($AG$72:$AG$430,$K35))</f>
        <v/>
      </c>
      <c r="D35" s="377" t="str" cm="1">
        <f t="array" ref="D35">IF($B35="","",INDEX($AH$72:$AH$430,$K35))</f>
        <v/>
      </c>
      <c r="E35" s="378" t="str">
        <f t="shared" si="0"/>
        <v/>
      </c>
      <c r="F35" s="379" t="str" cm="1">
        <f t="array" ref="F35">IF($B35="","",IF(UPPER(TRIM($D35))="QT. SUFFISANTE","Qt. suffisante",IF($N35="","",IF($L35="MASSE",IF($N35&gt;=1,"Kg","g"),IF($L35="VOLUME",IF($N35&gt;=1,"L","cl"),INDEX($AL$72:$AL$430,$K35))))))</f>
        <v/>
      </c>
      <c r="G35" s="380" t="str">
        <f t="shared" si="1"/>
        <v/>
      </c>
      <c r="H35" s="381" t="str" cm="1">
        <f t="array" ref="H35">IF($B35="","",IF(UPPER(TRIM($D35))="QT. SUFFISANTE","Qt. suffisante",IF($O35="","",IF($L35="MASSE",IF($O35&gt;=1,"Kg","g"),IF($L35="VOLUME",IF($O35&gt;=1,"L","cl"),INDEX($AL$72:$AL$430,$K35))))))</f>
        <v/>
      </c>
      <c r="I35" s="382" t="str" cm="1">
        <f t="array" ref="I35">IF($B35="","",INDEX($AM$72:$AM$430,$K35))</f>
        <v/>
      </c>
      <c r="J35" s="271"/>
      <c r="K35" s="383">
        <f>1+($B$5-1)*36+13</f>
        <v>122</v>
      </c>
      <c r="L35" s="383" t="str" cm="1">
        <f t="array" ref="L35">IF($B35="","",INDEX($AI$72:$AI$430,$K35))</f>
        <v/>
      </c>
      <c r="M35" s="383" t="str" cm="1">
        <f t="array" ref="M35">IF($B35="","",INDEX($AJ$72:$AJ$430,$K35))</f>
        <v/>
      </c>
      <c r="N35" s="384" t="str" cm="1">
        <f t="array" ref="N35">IF(OR($B35="",$B$13="",$B$12="",$B$12=0),"",IF($L$22="AUTRE",IFERROR(INDEX($AK$72:$AK$430,$K35)*($B$13/$B$12),""),IF(OR($C$12="",$C$13=""),"",IFERROR(INDEX($AK$72:$AK$430,$K35)*(($B$13*VLOOKUP($C$13,$AY$74:$BA$119,3,FALSE))/($B$12*VLOOKUP($C$12,$AY$74:$BA$119,3,FALSE))),""))))</f>
        <v/>
      </c>
      <c r="O35" s="384" t="str" cm="1">
        <f t="array" ref="O35">IF(OR($B35="",$G$12="",$G$11="",$G$11=0),"",IFERROR(INDEX($AK$72:$AK$430,$K35)*($G$12/$G$11),""))</f>
        <v/>
      </c>
      <c r="U35" s="635" t="s">
        <v>8045</v>
      </c>
      <c r="V35" s="636"/>
      <c r="W35" s="637" t="s">
        <v>8046</v>
      </c>
      <c r="X35" s="637"/>
      <c r="Y35" s="637"/>
      <c r="Z35" s="637"/>
      <c r="AA35" s="638"/>
      <c r="AC35" s="275"/>
      <c r="AD35" s="301" t="s">
        <v>343</v>
      </c>
      <c r="AE35" s="322" t="s">
        <v>343</v>
      </c>
      <c r="AF35" s="396" t="s">
        <v>8047</v>
      </c>
      <c r="AG35" s="639" t="s">
        <v>8048</v>
      </c>
      <c r="AH35" s="639"/>
      <c r="AI35" s="311" t="s">
        <v>8049</v>
      </c>
      <c r="AJ35" s="311"/>
      <c r="AK35" s="311"/>
      <c r="AL35" s="311"/>
      <c r="AM35" s="311"/>
      <c r="AN35" s="311"/>
      <c r="AO35" s="311"/>
      <c r="AP35" s="311"/>
      <c r="AQ35" s="311"/>
      <c r="BB35" s="271"/>
      <c r="BC35" s="271"/>
      <c r="BD35" s="279">
        <v>1</v>
      </c>
      <c r="BE35" s="271"/>
      <c r="BF35" s="271"/>
      <c r="BG35" s="271"/>
    </row>
    <row r="36" spans="1:59" ht="20.100000000000001" customHeight="1" x14ac:dyDescent="0.25">
      <c r="A36" s="374" t="str">
        <f>IF($B36="","",14)</f>
        <v/>
      </c>
      <c r="B36" s="375" t="str" cm="1">
        <f t="array" ref="B36">IFERROR(IF(INDEX($AC$72:$AC$430,$K36)="","",INDEX($AC$72:$AC$430,$K36)),"")</f>
        <v/>
      </c>
      <c r="C36" s="376" t="str" cm="1">
        <f t="array" ref="C36">IF($B36="","",INDEX($AG$72:$AG$430,$K36))</f>
        <v/>
      </c>
      <c r="D36" s="377" t="str" cm="1">
        <f t="array" ref="D36">IF($B36="","",INDEX($AH$72:$AH$430,$K36))</f>
        <v/>
      </c>
      <c r="E36" s="378" t="str">
        <f t="shared" si="0"/>
        <v/>
      </c>
      <c r="F36" s="379" t="str" cm="1">
        <f t="array" ref="F36">IF($B36="","",IF(UPPER(TRIM($D36))="QT. SUFFISANTE","Qt. suffisante",IF($N36="","",IF($L36="MASSE",IF($N36&gt;=1,"Kg","g"),IF($L36="VOLUME",IF($N36&gt;=1,"L","cl"),INDEX($AL$72:$AL$430,$K36))))))</f>
        <v/>
      </c>
      <c r="G36" s="380" t="str">
        <f t="shared" si="1"/>
        <v/>
      </c>
      <c r="H36" s="381" t="str" cm="1">
        <f t="array" ref="H36">IF($B36="","",IF(UPPER(TRIM($D36))="QT. SUFFISANTE","Qt. suffisante",IF($O36="","",IF($L36="MASSE",IF($O36&gt;=1,"Kg","g"),IF($L36="VOLUME",IF($O36&gt;=1,"L","cl"),INDEX($AL$72:$AL$430,$K36))))))</f>
        <v/>
      </c>
      <c r="I36" s="382" t="str" cm="1">
        <f t="array" ref="I36">IF($B36="","",INDEX($AM$72:$AM$430,$K36))</f>
        <v/>
      </c>
      <c r="J36" s="271"/>
      <c r="K36" s="383">
        <f>1+($B$5-1)*36+14</f>
        <v>123</v>
      </c>
      <c r="L36" s="383" t="str" cm="1">
        <f t="array" ref="L36">IF($B36="","",INDEX($AI$72:$AI$430,$K36))</f>
        <v/>
      </c>
      <c r="M36" s="383" t="str" cm="1">
        <f t="array" ref="M36">IF($B36="","",INDEX($AJ$72:$AJ$430,$K36))</f>
        <v/>
      </c>
      <c r="N36" s="384" t="str" cm="1">
        <f t="array" ref="N36">IF(OR($B36="",$B$13="",$B$12="",$B$12=0),"",IF($L$22="AUTRE",IFERROR(INDEX($AK$72:$AK$430,$K36)*($B$13/$B$12),""),IF(OR($C$12="",$C$13=""),"",IFERROR(INDEX($AK$72:$AK$430,$K36)*(($B$13*VLOOKUP($C$13,$AY$74:$BA$119,3,FALSE))/($B$12*VLOOKUP($C$12,$AY$74:$BA$119,3,FALSE))),""))))</f>
        <v/>
      </c>
      <c r="O36" s="384" t="str" cm="1">
        <f t="array" ref="O36">IF(OR($B36="",$G$12="",$G$11="",$G$11=0),"",IFERROR(INDEX($AK$72:$AK$430,$K36)*($G$12/$G$11),""))</f>
        <v/>
      </c>
      <c r="U36" s="635"/>
      <c r="V36" s="636"/>
      <c r="W36" s="637"/>
      <c r="X36" s="637"/>
      <c r="Y36" s="637"/>
      <c r="Z36" s="637"/>
      <c r="AA36" s="638"/>
      <c r="AC36" s="275"/>
      <c r="AD36" s="352" t="s">
        <v>8050</v>
      </c>
      <c r="AE36" s="353"/>
      <c r="AF36" s="354"/>
      <c r="AG36" s="353"/>
      <c r="AH36" s="353"/>
      <c r="AI36" s="353"/>
      <c r="AJ36" s="353"/>
      <c r="AK36" s="353"/>
      <c r="AL36" s="353"/>
      <c r="AM36" s="353"/>
      <c r="AN36" s="353"/>
      <c r="AO36" s="353"/>
      <c r="AP36" s="353"/>
      <c r="AQ36" s="353"/>
      <c r="BB36" s="271"/>
      <c r="BC36" s="271"/>
      <c r="BD36" s="279">
        <v>1</v>
      </c>
      <c r="BE36" s="271"/>
      <c r="BF36" s="271"/>
      <c r="BG36" s="271"/>
    </row>
    <row r="37" spans="1:59" ht="23.1" customHeight="1" x14ac:dyDescent="0.25">
      <c r="A37" s="374" t="str">
        <f>IF($B37="","",15)</f>
        <v/>
      </c>
      <c r="B37" s="375" t="str" cm="1">
        <f t="array" ref="B37">IFERROR(IF(INDEX($AC$72:$AC$430,$K37)="","",INDEX($AC$72:$AC$430,$K37)),"")</f>
        <v/>
      </c>
      <c r="C37" s="376" t="str" cm="1">
        <f t="array" ref="C37">IF($B37="","",INDEX($AG$72:$AG$430,$K37))</f>
        <v/>
      </c>
      <c r="D37" s="377" t="str" cm="1">
        <f t="array" ref="D37">IF($B37="","",INDEX($AH$72:$AH$430,$K37))</f>
        <v/>
      </c>
      <c r="E37" s="378" t="str">
        <f t="shared" si="0"/>
        <v/>
      </c>
      <c r="F37" s="379" t="str" cm="1">
        <f t="array" ref="F37">IF($B37="","",IF(UPPER(TRIM($D37))="QT. SUFFISANTE","Qt. suffisante",IF($N37="","",IF($L37="MASSE",IF($N37&gt;=1,"Kg","g"),IF($L37="VOLUME",IF($N37&gt;=1,"L","cl"),INDEX($AL$72:$AL$430,$K37))))))</f>
        <v/>
      </c>
      <c r="G37" s="380" t="str">
        <f t="shared" si="1"/>
        <v/>
      </c>
      <c r="H37" s="381" t="str" cm="1">
        <f t="array" ref="H37">IF($B37="","",IF(UPPER(TRIM($D37))="QT. SUFFISANTE","Qt. suffisante",IF($O37="","",IF($L37="MASSE",IF($O37&gt;=1,"Kg","g"),IF($L37="VOLUME",IF($O37&gt;=1,"L","cl"),INDEX($AL$72:$AL$430,$K37))))))</f>
        <v/>
      </c>
      <c r="I37" s="382" t="str" cm="1">
        <f t="array" ref="I37">IF($B37="","",INDEX($AM$72:$AM$430,$K37))</f>
        <v/>
      </c>
      <c r="J37" s="271"/>
      <c r="K37" s="383">
        <f>1+($B$5-1)*36+15</f>
        <v>124</v>
      </c>
      <c r="L37" s="383" t="str" cm="1">
        <f t="array" ref="L37">IF($B37="","",INDEX($AI$72:$AI$430,$K37))</f>
        <v/>
      </c>
      <c r="M37" s="383" t="str" cm="1">
        <f t="array" ref="M37">IF($B37="","",INDEX($AJ$72:$AJ$430,$K37))</f>
        <v/>
      </c>
      <c r="N37" s="384" t="str" cm="1">
        <f t="array" ref="N37">IF(OR($B37="",$B$13="",$B$12="",$B$12=0),"",IF($L$22="AUTRE",IFERROR(INDEX($AK$72:$AK$430,$K37)*($B$13/$B$12),""),IF(OR($C$12="",$C$13=""),"",IFERROR(INDEX($AK$72:$AK$430,$K37)*(($B$13*VLOOKUP($C$13,$AY$74:$BA$119,3,FALSE))/($B$12*VLOOKUP($C$12,$AY$74:$BA$119,3,FALSE))),""))))</f>
        <v/>
      </c>
      <c r="O37" s="384" t="str" cm="1">
        <f t="array" ref="O37">IF(OR($B37="",$G$12="",$G$11="",$G$11=0),"",IFERROR(INDEX($AK$72:$AK$430,$K37)*($G$12/$G$11),""))</f>
        <v/>
      </c>
      <c r="U37" s="635" t="s">
        <v>8051</v>
      </c>
      <c r="V37" s="636"/>
      <c r="W37" s="637" t="s">
        <v>8052</v>
      </c>
      <c r="X37" s="637"/>
      <c r="Y37" s="637"/>
      <c r="Z37" s="637"/>
      <c r="AA37" s="638"/>
      <c r="AC37" s="275"/>
      <c r="AD37" s="398" t="s">
        <v>343</v>
      </c>
      <c r="AE37" s="397" t="s">
        <v>8048</v>
      </c>
      <c r="AF37" s="396" t="s">
        <v>8047</v>
      </c>
      <c r="AG37" s="639" t="s">
        <v>8048</v>
      </c>
      <c r="AH37" s="639"/>
      <c r="AI37" s="399" t="s">
        <v>8053</v>
      </c>
      <c r="AJ37" s="399"/>
      <c r="AK37" s="399"/>
      <c r="AL37" s="399"/>
      <c r="AM37" s="399"/>
      <c r="AN37" s="399"/>
      <c r="AO37" s="399"/>
      <c r="AP37" s="399"/>
      <c r="AQ37" s="399"/>
      <c r="BB37" s="271"/>
      <c r="BC37" s="271"/>
      <c r="BD37" s="279">
        <v>1</v>
      </c>
      <c r="BE37" s="271"/>
      <c r="BF37" s="271"/>
      <c r="BG37" s="271"/>
    </row>
    <row r="38" spans="1:59" ht="20.100000000000001" customHeight="1" x14ac:dyDescent="0.25">
      <c r="A38" s="374" t="str">
        <f>IF($B38="","",16)</f>
        <v/>
      </c>
      <c r="B38" s="375" t="str" cm="1">
        <f t="array" ref="B38">IFERROR(IF(INDEX($AC$72:$AC$430,$K38)="","",INDEX($AC$72:$AC$430,$K38)),"")</f>
        <v/>
      </c>
      <c r="C38" s="376" t="str" cm="1">
        <f t="array" ref="C38">IF($B38="","",INDEX($AG$72:$AG$430,$K38))</f>
        <v/>
      </c>
      <c r="D38" s="377" t="str" cm="1">
        <f t="array" ref="D38">IF($B38="","",INDEX($AH$72:$AH$430,$K38))</f>
        <v/>
      </c>
      <c r="E38" s="378" t="str">
        <f t="shared" si="0"/>
        <v/>
      </c>
      <c r="F38" s="379" t="str" cm="1">
        <f t="array" ref="F38">IF($B38="","",IF(UPPER(TRIM($D38))="QT. SUFFISANTE","Qt. suffisante",IF($N38="","",IF($L38="MASSE",IF($N38&gt;=1,"Kg","g"),IF($L38="VOLUME",IF($N38&gt;=1,"L","cl"),INDEX($AL$72:$AL$430,$K38))))))</f>
        <v/>
      </c>
      <c r="G38" s="380" t="str">
        <f t="shared" si="1"/>
        <v/>
      </c>
      <c r="H38" s="381" t="str" cm="1">
        <f t="array" ref="H38">IF($B38="","",IF(UPPER(TRIM($D38))="QT. SUFFISANTE","Qt. suffisante",IF($O38="","",IF($L38="MASSE",IF($O38&gt;=1,"Kg","g"),IF($L38="VOLUME",IF($O38&gt;=1,"L","cl"),INDEX($AL$72:$AL$430,$K38))))))</f>
        <v/>
      </c>
      <c r="I38" s="382" t="str" cm="1">
        <f t="array" ref="I38">IF($B38="","",INDEX($AM$72:$AM$430,$K38))</f>
        <v/>
      </c>
      <c r="J38" s="271"/>
      <c r="K38" s="383">
        <f>1+($B$5-1)*36+16</f>
        <v>125</v>
      </c>
      <c r="L38" s="383" t="str" cm="1">
        <f t="array" ref="L38">IF($B38="","",INDEX($AI$72:$AI$430,$K38))</f>
        <v/>
      </c>
      <c r="M38" s="383" t="str" cm="1">
        <f t="array" ref="M38">IF($B38="","",INDEX($AJ$72:$AJ$430,$K38))</f>
        <v/>
      </c>
      <c r="N38" s="384" t="str" cm="1">
        <f t="array" ref="N38">IF(OR($B38="",$B$13="",$B$12="",$B$12=0),"",IF($L$22="AUTRE",IFERROR(INDEX($AK$72:$AK$430,$K38)*($B$13/$B$12),""),IF(OR($C$12="",$C$13=""),"",IFERROR(INDEX($AK$72:$AK$430,$K38)*(($B$13*VLOOKUP($C$13,$AY$74:$BA$119,3,FALSE))/($B$12*VLOOKUP($C$12,$AY$74:$BA$119,3,FALSE))),""))))</f>
        <v/>
      </c>
      <c r="O38" s="384" t="str" cm="1">
        <f t="array" ref="O38">IF(OR($B38="",$G$12="",$G$11="",$G$11=0),"",IFERROR(INDEX($AK$72:$AK$430,$K38)*($G$12/$G$11),""))</f>
        <v/>
      </c>
      <c r="U38" s="635"/>
      <c r="V38" s="636"/>
      <c r="W38" s="637"/>
      <c r="X38" s="637"/>
      <c r="Y38" s="637"/>
      <c r="Z38" s="637"/>
      <c r="AA38" s="638"/>
      <c r="AC38" s="275"/>
      <c r="AD38" s="400" t="s">
        <v>343</v>
      </c>
      <c r="AE38" s="401" t="s">
        <v>8054</v>
      </c>
      <c r="AF38" s="396" t="s">
        <v>8047</v>
      </c>
      <c r="AG38" s="644" t="s">
        <v>8054</v>
      </c>
      <c r="AH38" s="644"/>
      <c r="AI38" s="402" t="s">
        <v>8055</v>
      </c>
      <c r="AJ38" s="403"/>
      <c r="AK38" s="403"/>
      <c r="AL38" s="403"/>
      <c r="AM38" s="403"/>
      <c r="AN38" s="403"/>
      <c r="AO38" s="403"/>
      <c r="AP38" s="403"/>
      <c r="AQ38" s="403"/>
      <c r="BB38" s="271"/>
      <c r="BC38" s="271"/>
      <c r="BD38" s="279">
        <v>1</v>
      </c>
      <c r="BE38" s="271"/>
      <c r="BF38" s="271"/>
      <c r="BG38" s="271"/>
    </row>
    <row r="39" spans="1:59" ht="20.100000000000001" customHeight="1" x14ac:dyDescent="0.25">
      <c r="A39" s="374" t="str">
        <f>IF($B39="","",17)</f>
        <v/>
      </c>
      <c r="B39" s="375" t="str" cm="1">
        <f t="array" ref="B39">IFERROR(IF(INDEX($AC$72:$AC$430,$K39)="","",INDEX($AC$72:$AC$430,$K39)),"")</f>
        <v/>
      </c>
      <c r="C39" s="376" t="str" cm="1">
        <f t="array" ref="C39">IF($B39="","",INDEX($AG$72:$AG$430,$K39))</f>
        <v/>
      </c>
      <c r="D39" s="377" t="str" cm="1">
        <f t="array" ref="D39">IF($B39="","",INDEX($AH$72:$AH$430,$K39))</f>
        <v/>
      </c>
      <c r="E39" s="378" t="str">
        <f t="shared" si="0"/>
        <v/>
      </c>
      <c r="F39" s="379" t="str" cm="1">
        <f t="array" ref="F39">IF($B39="","",IF(UPPER(TRIM($D39))="QT. SUFFISANTE","Qt. suffisante",IF($N39="","",IF($L39="MASSE",IF($N39&gt;=1,"Kg","g"),IF($L39="VOLUME",IF($N39&gt;=1,"L","cl"),INDEX($AL$72:$AL$430,$K39))))))</f>
        <v/>
      </c>
      <c r="G39" s="380" t="str">
        <f t="shared" si="1"/>
        <v/>
      </c>
      <c r="H39" s="381" t="str" cm="1">
        <f t="array" ref="H39">IF($B39="","",IF(UPPER(TRIM($D39))="QT. SUFFISANTE","Qt. suffisante",IF($O39="","",IF($L39="MASSE",IF($O39&gt;=1,"Kg","g"),IF($L39="VOLUME",IF($O39&gt;=1,"L","cl"),INDEX($AL$72:$AL$430,$K39))))))</f>
        <v/>
      </c>
      <c r="I39" s="382" t="str" cm="1">
        <f t="array" ref="I39">IF($B39="","",INDEX($AM$72:$AM$430,$K39))</f>
        <v/>
      </c>
      <c r="J39" s="271"/>
      <c r="K39" s="383">
        <f>1+($B$5-1)*36+17</f>
        <v>126</v>
      </c>
      <c r="L39" s="383" t="str" cm="1">
        <f t="array" ref="L39">IF($B39="","",INDEX($AI$72:$AI$430,$K39))</f>
        <v/>
      </c>
      <c r="M39" s="383" t="str" cm="1">
        <f t="array" ref="M39">IF($B39="","",INDEX($AJ$72:$AJ$430,$K39))</f>
        <v/>
      </c>
      <c r="N39" s="384" t="str" cm="1">
        <f t="array" ref="N39">IF(OR($B39="",$B$13="",$B$12="",$B$12=0),"",IF($L$22="AUTRE",IFERROR(INDEX($AK$72:$AK$430,$K39)*($B$13/$B$12),""),IF(OR($C$12="",$C$13=""),"",IFERROR(INDEX($AK$72:$AK$430,$K39)*(($B$13*VLOOKUP($C$13,$AY$74:$BA$119,3,FALSE))/($B$12*VLOOKUP($C$12,$AY$74:$BA$119,3,FALSE))),""))))</f>
        <v/>
      </c>
      <c r="O39" s="384" t="str" cm="1">
        <f t="array" ref="O39">IF(OR($B39="",$G$12="",$G$11="",$G$11=0),"",IFERROR(INDEX($AK$72:$AK$430,$K39)*($G$12/$G$11),""))</f>
        <v/>
      </c>
      <c r="U39" s="635" t="s">
        <v>8056</v>
      </c>
      <c r="V39" s="636"/>
      <c r="W39" s="637" t="s">
        <v>8057</v>
      </c>
      <c r="X39" s="637"/>
      <c r="Y39" s="637"/>
      <c r="Z39" s="637"/>
      <c r="AA39" s="638"/>
      <c r="AC39" s="275"/>
      <c r="AD39" s="370" t="s">
        <v>343</v>
      </c>
      <c r="AE39" s="404" t="s">
        <v>8058</v>
      </c>
      <c r="AF39" s="396" t="s">
        <v>8047</v>
      </c>
      <c r="AG39" s="645" t="s">
        <v>8058</v>
      </c>
      <c r="AH39" s="645"/>
      <c r="AI39" s="405" t="s">
        <v>8059</v>
      </c>
      <c r="AJ39" s="406"/>
      <c r="AK39" s="406"/>
      <c r="AL39" s="406"/>
      <c r="AM39" s="406"/>
      <c r="AN39" s="406"/>
      <c r="AO39" s="406"/>
      <c r="AP39" s="406"/>
      <c r="AQ39" s="406"/>
      <c r="BB39" s="271"/>
      <c r="BC39" s="271"/>
      <c r="BD39" s="279">
        <v>1</v>
      </c>
      <c r="BE39" s="271"/>
      <c r="BF39" s="271"/>
      <c r="BG39" s="271"/>
    </row>
    <row r="40" spans="1:59" ht="20.100000000000001" customHeight="1" x14ac:dyDescent="0.25">
      <c r="A40" s="374" t="str">
        <f>IF($B40="","",18)</f>
        <v/>
      </c>
      <c r="B40" s="375" t="str" cm="1">
        <f t="array" ref="B40">IFERROR(IF(INDEX($AC$72:$AC$430,$K40)="","",INDEX($AC$72:$AC$430,$K40)),"")</f>
        <v/>
      </c>
      <c r="C40" s="376" t="str" cm="1">
        <f t="array" ref="C40">IF($B40="","",INDEX($AG$72:$AG$430,$K40))</f>
        <v/>
      </c>
      <c r="D40" s="377" t="str" cm="1">
        <f t="array" ref="D40">IF($B40="","",INDEX($AH$72:$AH$430,$K40))</f>
        <v/>
      </c>
      <c r="E40" s="378" t="str">
        <f t="shared" si="0"/>
        <v/>
      </c>
      <c r="F40" s="379" t="str" cm="1">
        <f t="array" ref="F40">IF($B40="","",IF(UPPER(TRIM($D40))="QT. SUFFISANTE","Qt. suffisante",IF($N40="","",IF($L40="MASSE",IF($N40&gt;=1,"Kg","g"),IF($L40="VOLUME",IF($N40&gt;=1,"L","cl"),INDEX($AL$72:$AL$430,$K40))))))</f>
        <v/>
      </c>
      <c r="G40" s="380" t="str">
        <f t="shared" si="1"/>
        <v/>
      </c>
      <c r="H40" s="381" t="str" cm="1">
        <f t="array" ref="H40">IF($B40="","",IF(UPPER(TRIM($D40))="QT. SUFFISANTE","Qt. suffisante",IF($O40="","",IF($L40="MASSE",IF($O40&gt;=1,"Kg","g"),IF($L40="VOLUME",IF($O40&gt;=1,"L","cl"),INDEX($AL$72:$AL$430,$K40))))))</f>
        <v/>
      </c>
      <c r="I40" s="382" t="str" cm="1">
        <f t="array" ref="I40">IF($B40="","",INDEX($AM$72:$AM$430,$K40))</f>
        <v/>
      </c>
      <c r="J40" s="271"/>
      <c r="K40" s="383">
        <f>1+($B$5-1)*36+18</f>
        <v>127</v>
      </c>
      <c r="L40" s="383" t="str" cm="1">
        <f t="array" ref="L40">IF($B40="","",INDEX($AI$72:$AI$430,$K40))</f>
        <v/>
      </c>
      <c r="M40" s="383" t="str" cm="1">
        <f t="array" ref="M40">IF($B40="","",INDEX($AJ$72:$AJ$430,$K40))</f>
        <v/>
      </c>
      <c r="N40" s="384" t="str" cm="1">
        <f t="array" ref="N40">IF(OR($B40="",$B$13="",$B$12="",$B$12=0),"",IF($L$22="AUTRE",IFERROR(INDEX($AK$72:$AK$430,$K40)*($B$13/$B$12),""),IF(OR($C$12="",$C$13=""),"",IFERROR(INDEX($AK$72:$AK$430,$K40)*(($B$13*VLOOKUP($C$13,$AY$74:$BA$119,3,FALSE))/($B$12*VLOOKUP($C$12,$AY$74:$BA$119,3,FALSE))),""))))</f>
        <v/>
      </c>
      <c r="O40" s="384" t="str" cm="1">
        <f t="array" ref="O40">IF(OR($B40="",$G$12="",$G$11="",$G$11=0),"",IFERROR(INDEX($AK$72:$AK$430,$K40)*($G$12/$G$11),""))</f>
        <v/>
      </c>
      <c r="U40" s="635"/>
      <c r="V40" s="636"/>
      <c r="W40" s="637"/>
      <c r="X40" s="637"/>
      <c r="Y40" s="637"/>
      <c r="Z40" s="637"/>
      <c r="AA40" s="638"/>
      <c r="AC40" s="275"/>
      <c r="AD40" s="370" t="s">
        <v>343</v>
      </c>
      <c r="AE40" s="407" t="s">
        <v>8060</v>
      </c>
      <c r="AF40" s="396" t="s">
        <v>8047</v>
      </c>
      <c r="AG40" s="646" t="s">
        <v>8060</v>
      </c>
      <c r="AH40" s="646"/>
      <c r="AI40" s="406" t="s">
        <v>8061</v>
      </c>
      <c r="AJ40" s="406"/>
      <c r="AK40" s="406"/>
      <c r="AL40" s="406"/>
      <c r="AM40" s="406"/>
      <c r="AN40" s="406"/>
      <c r="AO40" s="406"/>
      <c r="AP40" s="406"/>
      <c r="AQ40" s="406"/>
      <c r="BB40" s="271"/>
      <c r="BC40" s="271"/>
      <c r="BD40" s="279">
        <v>1</v>
      </c>
      <c r="BE40" s="271"/>
      <c r="BF40" s="271"/>
      <c r="BG40" s="271"/>
    </row>
    <row r="41" spans="1:59" ht="20.100000000000001" customHeight="1" thickBot="1" x14ac:dyDescent="0.3">
      <c r="A41" s="374" t="str">
        <f>IF($B41="","",19)</f>
        <v/>
      </c>
      <c r="B41" s="375" t="str" cm="1">
        <f t="array" ref="B41">IFERROR(IF(INDEX($AC$72:$AC$430,$K41)="","",INDEX($AC$72:$AC$430,$K41)),"")</f>
        <v/>
      </c>
      <c r="C41" s="376" t="str" cm="1">
        <f t="array" ref="C41">IF($B41="","",INDEX($AG$72:$AG$430,$K41))</f>
        <v/>
      </c>
      <c r="D41" s="377" t="str" cm="1">
        <f t="array" ref="D41">IF($B41="","",INDEX($AH$72:$AH$430,$K41))</f>
        <v/>
      </c>
      <c r="E41" s="378" t="str">
        <f t="shared" si="0"/>
        <v/>
      </c>
      <c r="F41" s="379" t="str" cm="1">
        <f t="array" ref="F41">IF($B41="","",IF(UPPER(TRIM($D41))="QT. SUFFISANTE","Qt. suffisante",IF($N41="","",IF($L41="MASSE",IF($N41&gt;=1,"Kg","g"),IF($L41="VOLUME",IF($N41&gt;=1,"L","cl"),INDEX($AL$72:$AL$430,$K41))))))</f>
        <v/>
      </c>
      <c r="G41" s="380" t="str">
        <f t="shared" si="1"/>
        <v/>
      </c>
      <c r="H41" s="381" t="str" cm="1">
        <f t="array" ref="H41">IF($B41="","",IF(UPPER(TRIM($D41))="QT. SUFFISANTE","Qt. suffisante",IF($O41="","",IF($L41="MASSE",IF($O41&gt;=1,"Kg","g"),IF($L41="VOLUME",IF($O41&gt;=1,"L","cl"),INDEX($AL$72:$AL$430,$K41))))))</f>
        <v/>
      </c>
      <c r="I41" s="382" t="str" cm="1">
        <f t="array" ref="I41">IF($B41="","",INDEX($AM$72:$AM$430,$K41))</f>
        <v/>
      </c>
      <c r="J41" s="271"/>
      <c r="K41" s="383">
        <f>1+($B$5-1)*36+19</f>
        <v>128</v>
      </c>
      <c r="L41" s="383" t="str" cm="1">
        <f t="array" ref="L41">IF($B41="","",INDEX($AI$72:$AI$430,$K41))</f>
        <v/>
      </c>
      <c r="M41" s="383" t="str" cm="1">
        <f t="array" ref="M41">IF($B41="","",INDEX($AJ$72:$AJ$430,$K41))</f>
        <v/>
      </c>
      <c r="N41" s="384" t="str" cm="1">
        <f t="array" ref="N41">IF(OR($B41="",$B$13="",$B$12="",$B$12=0),"",IF($L$22="AUTRE",IFERROR(INDEX($AK$72:$AK$430,$K41)*($B$13/$B$12),""),IF(OR($C$12="",$C$13=""),"",IFERROR(INDEX($AK$72:$AK$430,$K41)*(($B$13*VLOOKUP($C$13,$AY$74:$BA$119,3,FALSE))/($B$12*VLOOKUP($C$12,$AY$74:$BA$119,3,FALSE))),""))))</f>
        <v/>
      </c>
      <c r="O41" s="384" t="str" cm="1">
        <f t="array" ref="O41">IF(OR($B41="",$G$12="",$G$11="",$G$11=0),"",IFERROR(INDEX($AK$72:$AK$430,$K41)*($G$12/$G$11),""))</f>
        <v/>
      </c>
      <c r="U41" s="647" t="s">
        <v>8062</v>
      </c>
      <c r="V41" s="648"/>
      <c r="W41" s="648"/>
      <c r="X41" s="648"/>
      <c r="Y41" s="648"/>
      <c r="Z41" s="648"/>
      <c r="AA41" s="649"/>
      <c r="AD41" s="408" t="s">
        <v>8063</v>
      </c>
      <c r="AE41" s="409" t="s">
        <v>8064</v>
      </c>
      <c r="AF41" s="410" t="s">
        <v>8065</v>
      </c>
      <c r="AG41" s="650" t="s">
        <v>8066</v>
      </c>
      <c r="AH41" s="650"/>
      <c r="AI41" s="411" t="s">
        <v>8067</v>
      </c>
      <c r="AJ41" s="411"/>
      <c r="AK41" s="411"/>
      <c r="AL41" s="411"/>
      <c r="AM41" s="411"/>
      <c r="AN41" s="411"/>
      <c r="AO41" s="411"/>
      <c r="AP41" s="411"/>
      <c r="AQ41" s="411"/>
      <c r="BB41" s="271"/>
      <c r="BC41" s="271"/>
      <c r="BD41" s="279">
        <v>1</v>
      </c>
      <c r="BE41" s="271"/>
      <c r="BF41" s="271"/>
      <c r="BG41" s="271"/>
    </row>
    <row r="42" spans="1:59" ht="20.100000000000001" customHeight="1" x14ac:dyDescent="0.25">
      <c r="A42" s="374" t="str">
        <f>IF($B42="","",20)</f>
        <v/>
      </c>
      <c r="B42" s="375" t="str" cm="1">
        <f t="array" ref="B42">IFERROR(IF(INDEX($AC$72:$AC$430,$K42)="","",INDEX($AC$72:$AC$430,$K42)),"")</f>
        <v/>
      </c>
      <c r="C42" s="376" t="str" cm="1">
        <f t="array" ref="C42">IF($B42="","",INDEX($AG$72:$AG$430,$K42))</f>
        <v/>
      </c>
      <c r="D42" s="377" t="str" cm="1">
        <f t="array" ref="D42">IF($B42="","",INDEX($AH$72:$AH$430,$K42))</f>
        <v/>
      </c>
      <c r="E42" s="378" t="str">
        <f t="shared" si="0"/>
        <v/>
      </c>
      <c r="F42" s="379" t="str" cm="1">
        <f t="array" ref="F42">IF($B42="","",IF(UPPER(TRIM($D42))="QT. SUFFISANTE","Qt. suffisante",IF($N42="","",IF($L42="MASSE",IF($N42&gt;=1,"Kg","g"),IF($L42="VOLUME",IF($N42&gt;=1,"L","cl"),INDEX($AL$72:$AL$430,$K42))))))</f>
        <v/>
      </c>
      <c r="G42" s="380" t="str">
        <f t="shared" si="1"/>
        <v/>
      </c>
      <c r="H42" s="381" t="str" cm="1">
        <f t="array" ref="H42">IF($B42="","",IF(UPPER(TRIM($D42))="QT. SUFFISANTE","Qt. suffisante",IF($O42="","",IF($L42="MASSE",IF($O42&gt;=1,"Kg","g"),IF($L42="VOLUME",IF($O42&gt;=1,"L","cl"),INDEX($AL$72:$AL$430,$K42))))))</f>
        <v/>
      </c>
      <c r="I42" s="382" t="str" cm="1">
        <f t="array" ref="I42">IF($B42="","",INDEX($AM$72:$AM$430,$K42))</f>
        <v/>
      </c>
      <c r="J42" s="271"/>
      <c r="K42" s="383">
        <f>1+($B$5-1)*36+20</f>
        <v>129</v>
      </c>
      <c r="L42" s="383" t="str" cm="1">
        <f t="array" ref="L42">IF($B42="","",INDEX($AI$72:$AI$430,$K42))</f>
        <v/>
      </c>
      <c r="M42" s="383" t="str" cm="1">
        <f t="array" ref="M42">IF($B42="","",INDEX($AJ$72:$AJ$430,$K42))</f>
        <v/>
      </c>
      <c r="N42" s="384" t="str" cm="1">
        <f t="array" ref="N42">IF(OR($B42="",$B$13="",$B$12="",$B$12=0),"",IF($L$22="AUTRE",IFERROR(INDEX($AK$72:$AK$430,$K42)*($B$13/$B$12),""),IF(OR($C$12="",$C$13=""),"",IFERROR(INDEX($AK$72:$AK$430,$K42)*(($B$13*VLOOKUP($C$13,$AY$74:$BA$119,3,FALSE))/($B$12*VLOOKUP($C$12,$AY$74:$BA$119,3,FALSE))),""))))</f>
        <v/>
      </c>
      <c r="O42" s="384" t="str" cm="1">
        <f t="array" ref="O42">IF(OR($B42="",$G$12="",$G$11="",$G$11=0),"",IFERROR(INDEX($AK$72:$AK$430,$K42)*($G$12/$G$11),""))</f>
        <v/>
      </c>
      <c r="U42" s="651" t="s">
        <v>8068</v>
      </c>
      <c r="V42" s="652"/>
      <c r="W42" s="653" t="s">
        <v>8069</v>
      </c>
      <c r="X42" s="653"/>
      <c r="Y42" s="653"/>
      <c r="Z42" s="653"/>
      <c r="AA42" s="654"/>
      <c r="AD42" s="294" t="s">
        <v>8070</v>
      </c>
      <c r="AE42" s="295"/>
      <c r="AF42" s="296"/>
      <c r="AG42" s="295"/>
      <c r="AH42" s="295"/>
      <c r="AI42" s="295"/>
      <c r="AJ42" s="295"/>
      <c r="AK42" s="295"/>
      <c r="AL42" s="295"/>
      <c r="AM42" s="295"/>
      <c r="AN42" s="295"/>
      <c r="AO42" s="295"/>
      <c r="AP42" s="295"/>
      <c r="AQ42" s="295"/>
      <c r="BB42" s="271"/>
      <c r="BC42" s="271"/>
      <c r="BD42" s="279">
        <v>1</v>
      </c>
      <c r="BE42" s="271"/>
      <c r="BF42" s="271"/>
      <c r="BG42" s="271"/>
    </row>
    <row r="43" spans="1:59" ht="20.100000000000001" customHeight="1" x14ac:dyDescent="0.25">
      <c r="A43" s="374" t="str">
        <f>IF($B43="","",21)</f>
        <v/>
      </c>
      <c r="B43" s="375" t="str" cm="1">
        <f t="array" ref="B43">IFERROR(IF(INDEX($AC$72:$AC$430,$K43)="","",INDEX($AC$72:$AC$430,$K43)),"")</f>
        <v/>
      </c>
      <c r="C43" s="376" t="str" cm="1">
        <f t="array" ref="C43">IF($B43="","",INDEX($AG$72:$AG$430,$K43))</f>
        <v/>
      </c>
      <c r="D43" s="377" t="str" cm="1">
        <f t="array" ref="D43">IF($B43="","",INDEX($AH$72:$AH$430,$K43))</f>
        <v/>
      </c>
      <c r="E43" s="378" t="str">
        <f t="shared" si="0"/>
        <v/>
      </c>
      <c r="F43" s="379" t="str" cm="1">
        <f t="array" ref="F43">IF($B43="","",IF(UPPER(TRIM($D43))="QT. SUFFISANTE","Qt. suffisante",IF($N43="","",IF($L43="MASSE",IF($N43&gt;=1,"Kg","g"),IF($L43="VOLUME",IF($N43&gt;=1,"L","cl"),INDEX($AL$72:$AL$430,$K43))))))</f>
        <v/>
      </c>
      <c r="G43" s="380" t="str">
        <f t="shared" si="1"/>
        <v/>
      </c>
      <c r="H43" s="381" t="str" cm="1">
        <f t="array" ref="H43">IF($B43="","",IF(UPPER(TRIM($D43))="QT. SUFFISANTE","Qt. suffisante",IF($O43="","",IF($L43="MASSE",IF($O43&gt;=1,"Kg","g"),IF($L43="VOLUME",IF($O43&gt;=1,"L","cl"),INDEX($AL$72:$AL$430,$K43))))))</f>
        <v/>
      </c>
      <c r="I43" s="382" t="str" cm="1">
        <f t="array" ref="I43">IF($B43="","",INDEX($AM$72:$AM$430,$K43))</f>
        <v/>
      </c>
      <c r="J43" s="271"/>
      <c r="K43" s="383">
        <f>1+($B$5-1)*36+21</f>
        <v>130</v>
      </c>
      <c r="L43" s="383" t="str" cm="1">
        <f t="array" ref="L43">IF($B43="","",INDEX($AI$72:$AI$430,$K43))</f>
        <v/>
      </c>
      <c r="M43" s="383" t="str" cm="1">
        <f t="array" ref="M43">IF($B43="","",INDEX($AJ$72:$AJ$430,$K43))</f>
        <v/>
      </c>
      <c r="N43" s="384" t="str" cm="1">
        <f t="array" ref="N43">IF(OR($B43="",$B$13="",$B$12="",$B$12=0),"",IF($L$22="AUTRE",IFERROR(INDEX($AK$72:$AK$430,$K43)*($B$13/$B$12),""),IF(OR($C$12="",$C$13=""),"",IFERROR(INDEX($AK$72:$AK$430,$K43)*(($B$13*VLOOKUP($C$13,$AY$74:$BA$119,3,FALSE))/($B$12*VLOOKUP($C$12,$AY$74:$BA$119,3,FALSE))),""))))</f>
        <v/>
      </c>
      <c r="O43" s="384" t="str" cm="1">
        <f t="array" ref="O43">IF(OR($B43="",$G$12="",$G$11="",$G$11=0),"",IFERROR(INDEX($AK$72:$AK$430,$K43)*($G$12/$G$11),""))</f>
        <v/>
      </c>
      <c r="U43" s="651"/>
      <c r="V43" s="652"/>
      <c r="W43" s="653"/>
      <c r="X43" s="653"/>
      <c r="Y43" s="653"/>
      <c r="Z43" s="653"/>
      <c r="AA43" s="654"/>
      <c r="AD43" s="301" t="s">
        <v>8071</v>
      </c>
      <c r="AE43" s="322" t="s">
        <v>8072</v>
      </c>
      <c r="AF43" s="303"/>
      <c r="AG43" s="557" t="s">
        <v>8073</v>
      </c>
      <c r="AH43" s="557"/>
      <c r="AI43" s="311" t="s">
        <v>8074</v>
      </c>
      <c r="AJ43" s="311"/>
      <c r="AK43" s="311"/>
      <c r="AL43" s="311"/>
      <c r="AM43" s="311"/>
      <c r="AN43" s="311"/>
      <c r="AO43" s="311"/>
      <c r="AP43" s="311"/>
      <c r="AQ43" s="311"/>
      <c r="BB43" s="271"/>
      <c r="BC43" s="271"/>
      <c r="BD43" s="279">
        <v>1</v>
      </c>
      <c r="BE43" s="271"/>
      <c r="BF43" s="271"/>
      <c r="BG43" s="271"/>
    </row>
    <row r="44" spans="1:59" ht="20.100000000000001" customHeight="1" x14ac:dyDescent="0.25">
      <c r="A44" s="374" t="str">
        <f>IF($B44="","",22)</f>
        <v/>
      </c>
      <c r="B44" s="375" t="str" cm="1">
        <f t="array" ref="B44">IFERROR(IF(INDEX($AC$72:$AC$430,$K44)="","",INDEX($AC$72:$AC$430,$K44)),"")</f>
        <v/>
      </c>
      <c r="C44" s="376" t="str" cm="1">
        <f t="array" ref="C44">IF($B44="","",INDEX($AG$72:$AG$430,$K44))</f>
        <v/>
      </c>
      <c r="D44" s="377" t="str" cm="1">
        <f t="array" ref="D44">IF($B44="","",INDEX($AH$72:$AH$430,$K44))</f>
        <v/>
      </c>
      <c r="E44" s="378" t="str">
        <f t="shared" si="0"/>
        <v/>
      </c>
      <c r="F44" s="379" t="str" cm="1">
        <f t="array" ref="F44">IF($B44="","",IF(UPPER(TRIM($D44))="QT. SUFFISANTE","Qt. suffisante",IF($N44="","",IF($L44="MASSE",IF($N44&gt;=1,"Kg","g"),IF($L44="VOLUME",IF($N44&gt;=1,"L","cl"),INDEX($AL$72:$AL$430,$K44))))))</f>
        <v/>
      </c>
      <c r="G44" s="380" t="str">
        <f t="shared" si="1"/>
        <v/>
      </c>
      <c r="H44" s="381" t="str" cm="1">
        <f t="array" ref="H44">IF($B44="","",IF(UPPER(TRIM($D44))="QT. SUFFISANTE","Qt. suffisante",IF($O44="","",IF($L44="MASSE",IF($O44&gt;=1,"Kg","g"),IF($L44="VOLUME",IF($O44&gt;=1,"L","cl"),INDEX($AL$72:$AL$430,$K44))))))</f>
        <v/>
      </c>
      <c r="I44" s="382" t="str" cm="1">
        <f t="array" ref="I44">IF($B44="","",INDEX($AM$72:$AM$430,$K44))</f>
        <v/>
      </c>
      <c r="J44" s="271"/>
      <c r="K44" s="383">
        <f>1+($B$5-1)*36+22</f>
        <v>131</v>
      </c>
      <c r="L44" s="383" t="str" cm="1">
        <f t="array" ref="L44">IF($B44="","",INDEX($AI$72:$AI$430,$K44))</f>
        <v/>
      </c>
      <c r="M44" s="383" t="str" cm="1">
        <f t="array" ref="M44">IF($B44="","",INDEX($AJ$72:$AJ$430,$K44))</f>
        <v/>
      </c>
      <c r="N44" s="384" t="str" cm="1">
        <f t="array" ref="N44">IF(OR($B44="",$B$13="",$B$12="",$B$12=0),"",IF($L$22="AUTRE",IFERROR(INDEX($AK$72:$AK$430,$K44)*($B$13/$B$12),""),IF(OR($C$12="",$C$13=""),"",IFERROR(INDEX($AK$72:$AK$430,$K44)*(($B$13*VLOOKUP($C$13,$AY$74:$BA$119,3,FALSE))/($B$12*VLOOKUP($C$12,$AY$74:$BA$119,3,FALSE))),""))))</f>
        <v/>
      </c>
      <c r="O44" s="384" t="str" cm="1">
        <f t="array" ref="O44">IF(OR($B44="",$G$12="",$G$11="",$G$11=0),"",IFERROR(INDEX($AK$72:$AK$430,$K44)*($G$12/$G$11),""))</f>
        <v/>
      </c>
      <c r="U44" s="640" t="s">
        <v>343</v>
      </c>
      <c r="V44" s="641"/>
      <c r="W44" s="642" t="s">
        <v>8075</v>
      </c>
      <c r="X44" s="642"/>
      <c r="Y44" s="642"/>
      <c r="Z44" s="642"/>
      <c r="AA44" s="643"/>
      <c r="AD44" s="301" t="s">
        <v>8071</v>
      </c>
      <c r="AE44" s="322" t="s">
        <v>8076</v>
      </c>
      <c r="AF44" s="303"/>
      <c r="AG44" s="557" t="s">
        <v>8077</v>
      </c>
      <c r="AH44" s="557"/>
      <c r="AI44" s="311" t="s">
        <v>8078</v>
      </c>
      <c r="AJ44" s="311"/>
      <c r="AK44" s="311"/>
      <c r="AL44" s="311"/>
      <c r="AM44" s="311"/>
      <c r="AN44" s="311"/>
      <c r="AO44" s="311"/>
      <c r="AP44" s="311"/>
      <c r="AQ44" s="311"/>
      <c r="BB44" s="271"/>
      <c r="BC44" s="271"/>
      <c r="BD44" s="279">
        <v>1</v>
      </c>
      <c r="BE44" s="271"/>
      <c r="BF44" s="271"/>
      <c r="BG44" s="271"/>
    </row>
    <row r="45" spans="1:59" ht="20.100000000000001" customHeight="1" x14ac:dyDescent="0.25">
      <c r="A45" s="374" t="str">
        <f>IF($B45="","",23)</f>
        <v/>
      </c>
      <c r="B45" s="375" t="str" cm="1">
        <f t="array" ref="B45">IFERROR(IF(INDEX($AC$72:$AC$430,$K45)="","",INDEX($AC$72:$AC$430,$K45)),"")</f>
        <v/>
      </c>
      <c r="C45" s="376" t="str" cm="1">
        <f t="array" ref="C45">IF($B45="","",INDEX($AG$72:$AG$430,$K45))</f>
        <v/>
      </c>
      <c r="D45" s="377" t="str" cm="1">
        <f t="array" ref="D45">IF($B45="","",INDEX($AH$72:$AH$430,$K45))</f>
        <v/>
      </c>
      <c r="E45" s="378" t="str">
        <f t="shared" si="0"/>
        <v/>
      </c>
      <c r="F45" s="379" t="str" cm="1">
        <f t="array" ref="F45">IF($B45="","",IF(UPPER(TRIM($D45))="QT. SUFFISANTE","Qt. suffisante",IF($N45="","",IF($L45="MASSE",IF($N45&gt;=1,"Kg","g"),IF($L45="VOLUME",IF($N45&gt;=1,"L","cl"),INDEX($AL$72:$AL$430,$K45))))))</f>
        <v/>
      </c>
      <c r="G45" s="380" t="str">
        <f t="shared" si="1"/>
        <v/>
      </c>
      <c r="H45" s="381" t="str" cm="1">
        <f t="array" ref="H45">IF($B45="","",IF(UPPER(TRIM($D45))="QT. SUFFISANTE","Qt. suffisante",IF($O45="","",IF($L45="MASSE",IF($O45&gt;=1,"Kg","g"),IF($L45="VOLUME",IF($O45&gt;=1,"L","cl"),INDEX($AL$72:$AL$430,$K45))))))</f>
        <v/>
      </c>
      <c r="I45" s="382" t="str" cm="1">
        <f t="array" ref="I45">IF($B45="","",INDEX($AM$72:$AM$430,$K45))</f>
        <v/>
      </c>
      <c r="J45" s="271"/>
      <c r="K45" s="383">
        <f>1+($B$5-1)*36+23</f>
        <v>132</v>
      </c>
      <c r="L45" s="383" t="str" cm="1">
        <f t="array" ref="L45">IF($B45="","",INDEX($AI$72:$AI$430,$K45))</f>
        <v/>
      </c>
      <c r="M45" s="383" t="str" cm="1">
        <f t="array" ref="M45">IF($B45="","",INDEX($AJ$72:$AJ$430,$K45))</f>
        <v/>
      </c>
      <c r="N45" s="384" t="str" cm="1">
        <f t="array" ref="N45">IF(OR($B45="",$B$13="",$B$12="",$B$12=0),"",IF($L$22="AUTRE",IFERROR(INDEX($AK$72:$AK$430,$K45)*($B$13/$B$12),""),IF(OR($C$12="",$C$13=""),"",IFERROR(INDEX($AK$72:$AK$430,$K45)*(($B$13*VLOOKUP($C$13,$AY$74:$BA$119,3,FALSE))/($B$12*VLOOKUP($C$12,$AY$74:$BA$119,3,FALSE))),""))))</f>
        <v/>
      </c>
      <c r="O45" s="384" t="str" cm="1">
        <f t="array" ref="O45">IF(OR($B45="",$G$12="",$G$11="",$G$11=0),"",IFERROR(INDEX($AK$72:$AK$430,$K45)*($G$12/$G$11),""))</f>
        <v/>
      </c>
      <c r="U45" s="640"/>
      <c r="V45" s="641"/>
      <c r="W45" s="642"/>
      <c r="X45" s="642"/>
      <c r="Y45" s="642"/>
      <c r="Z45" s="642"/>
      <c r="AA45" s="643"/>
      <c r="AD45" s="301" t="s">
        <v>8071</v>
      </c>
      <c r="AE45" s="322" t="s">
        <v>8079</v>
      </c>
      <c r="AF45" s="303"/>
      <c r="AG45" s="557" t="s">
        <v>8080</v>
      </c>
      <c r="AH45" s="557"/>
      <c r="AI45" s="311" t="s">
        <v>8081</v>
      </c>
      <c r="AJ45" s="311"/>
      <c r="AK45" s="311"/>
      <c r="AL45" s="311"/>
      <c r="AM45" s="311"/>
      <c r="AN45" s="311"/>
      <c r="AO45" s="311"/>
      <c r="AP45" s="311"/>
      <c r="AQ45" s="311"/>
      <c r="BB45" s="271"/>
      <c r="BC45" s="271"/>
      <c r="BD45" s="279">
        <v>1</v>
      </c>
      <c r="BE45" s="271"/>
      <c r="BF45" s="271"/>
      <c r="BG45" s="271"/>
    </row>
    <row r="46" spans="1:59" ht="20.100000000000001" customHeight="1" x14ac:dyDescent="0.25">
      <c r="A46" s="374" t="str">
        <f>IF($B46="","",24)</f>
        <v/>
      </c>
      <c r="B46" s="375" t="str" cm="1">
        <f t="array" ref="B46">IFERROR(IF(INDEX($AC$72:$AC$430,$K46)="","",INDEX($AC$72:$AC$430,$K46)),"")</f>
        <v/>
      </c>
      <c r="C46" s="376" t="str" cm="1">
        <f t="array" ref="C46">IF($B46="","",INDEX($AG$72:$AG$430,$K46))</f>
        <v/>
      </c>
      <c r="D46" s="377" t="str" cm="1">
        <f t="array" ref="D46">IF($B46="","",INDEX($AH$72:$AH$430,$K46))</f>
        <v/>
      </c>
      <c r="E46" s="378" t="str">
        <f t="shared" si="0"/>
        <v/>
      </c>
      <c r="F46" s="379" t="str" cm="1">
        <f t="array" ref="F46">IF($B46="","",IF(UPPER(TRIM($D46))="QT. SUFFISANTE","Qt. suffisante",IF($N46="","",IF($L46="MASSE",IF($N46&gt;=1,"Kg","g"),IF($L46="VOLUME",IF($N46&gt;=1,"L","cl"),INDEX($AL$72:$AL$430,$K46))))))</f>
        <v/>
      </c>
      <c r="G46" s="380" t="str">
        <f t="shared" si="1"/>
        <v/>
      </c>
      <c r="H46" s="381" t="str" cm="1">
        <f t="array" ref="H46">IF($B46="","",IF(UPPER(TRIM($D46))="QT. SUFFISANTE","Qt. suffisante",IF($O46="","",IF($L46="MASSE",IF($O46&gt;=1,"Kg","g"),IF($L46="VOLUME",IF($O46&gt;=1,"L","cl"),INDEX($AL$72:$AL$430,$K46))))))</f>
        <v/>
      </c>
      <c r="I46" s="382" t="str" cm="1">
        <f t="array" ref="I46">IF($B46="","",INDEX($AM$72:$AM$430,$K46))</f>
        <v/>
      </c>
      <c r="J46" s="271"/>
      <c r="K46" s="383">
        <f>1+($B$5-1)*36+24</f>
        <v>133</v>
      </c>
      <c r="L46" s="383" t="str" cm="1">
        <f t="array" ref="L46">IF($B46="","",INDEX($AI$72:$AI$430,$K46))</f>
        <v/>
      </c>
      <c r="M46" s="383" t="str" cm="1">
        <f t="array" ref="M46">IF($B46="","",INDEX($AJ$72:$AJ$430,$K46))</f>
        <v/>
      </c>
      <c r="N46" s="384" t="str" cm="1">
        <f t="array" ref="N46">IF(OR($B46="",$B$13="",$B$12="",$B$12=0),"",IF($L$22="AUTRE",IFERROR(INDEX($AK$72:$AK$430,$K46)*($B$13/$B$12),""),IF(OR($C$12="",$C$13=""),"",IFERROR(INDEX($AK$72:$AK$430,$K46)*(($B$13*VLOOKUP($C$13,$AY$74:$BA$119,3,FALSE))/($B$12*VLOOKUP($C$12,$AY$74:$BA$119,3,FALSE))),""))))</f>
        <v/>
      </c>
      <c r="O46" s="384" t="str" cm="1">
        <f t="array" ref="O46">IF(OR($B46="",$G$12="",$G$11="",$G$11=0),"",IFERROR(INDEX($AK$72:$AK$430,$K46)*($G$12/$G$11),""))</f>
        <v/>
      </c>
      <c r="U46" s="156"/>
      <c r="V46" s="156"/>
      <c r="W46" s="156"/>
      <c r="X46" s="156"/>
      <c r="Y46" s="156"/>
      <c r="Z46" s="156"/>
      <c r="AA46" s="156"/>
      <c r="AD46" s="412" t="s">
        <v>8082</v>
      </c>
      <c r="AE46" s="413" t="s">
        <v>8035</v>
      </c>
      <c r="AF46" s="414"/>
      <c r="AG46" s="658" t="s">
        <v>33</v>
      </c>
      <c r="AH46" s="658"/>
      <c r="AI46" s="415" t="s">
        <v>8083</v>
      </c>
      <c r="AJ46" s="415"/>
      <c r="AK46" s="415"/>
      <c r="AL46" s="415"/>
      <c r="AM46" s="415"/>
      <c r="AN46" s="415"/>
      <c r="AO46" s="415"/>
      <c r="AP46" s="415"/>
      <c r="AQ46" s="415"/>
      <c r="AY46" s="416" t="s">
        <v>8084</v>
      </c>
      <c r="AZ46" s="220"/>
      <c r="BA46" s="220"/>
      <c r="BB46" s="220"/>
      <c r="BC46" s="271"/>
      <c r="BD46" s="279">
        <v>1</v>
      </c>
      <c r="BE46" s="271"/>
      <c r="BF46" s="271"/>
      <c r="BG46" s="271"/>
    </row>
    <row r="47" spans="1:59" ht="20.100000000000001" customHeight="1" x14ac:dyDescent="0.25">
      <c r="A47" s="374" t="str">
        <f>IF($B47="","",25)</f>
        <v/>
      </c>
      <c r="B47" s="375" t="str" cm="1">
        <f t="array" ref="B47">IFERROR(IF(INDEX($AC$72:$AC$430,$K47)="","",INDEX($AC$72:$AC$430,$K47)),"")</f>
        <v/>
      </c>
      <c r="C47" s="376" t="str" cm="1">
        <f t="array" ref="C47">IF($B47="","",INDEX($AG$72:$AG$430,$K47))</f>
        <v/>
      </c>
      <c r="D47" s="377" t="str" cm="1">
        <f t="array" ref="D47">IF($B47="","",INDEX($AH$72:$AH$430,$K47))</f>
        <v/>
      </c>
      <c r="E47" s="378" t="str">
        <f t="shared" si="0"/>
        <v/>
      </c>
      <c r="F47" s="379" t="str" cm="1">
        <f t="array" ref="F47">IF($B47="","",IF(UPPER(TRIM($D47))="QT. SUFFISANTE","Qt. suffisante",IF($N47="","",IF($L47="MASSE",IF($N47&gt;=1,"Kg","g"),IF($L47="VOLUME",IF($N47&gt;=1,"L","cl"),INDEX($AL$72:$AL$430,$K47))))))</f>
        <v/>
      </c>
      <c r="G47" s="380" t="str">
        <f t="shared" si="1"/>
        <v/>
      </c>
      <c r="H47" s="381" t="str" cm="1">
        <f t="array" ref="H47">IF($B47="","",IF(UPPER(TRIM($D47))="QT. SUFFISANTE","Qt. suffisante",IF($O47="","",IF($L47="MASSE",IF($O47&gt;=1,"Kg","g"),IF($L47="VOLUME",IF($O47&gt;=1,"L","cl"),INDEX($AL$72:$AL$430,$K47))))))</f>
        <v/>
      </c>
      <c r="I47" s="382" t="str" cm="1">
        <f t="array" ref="I47">IF($B47="","",INDEX($AM$72:$AM$430,$K47))</f>
        <v/>
      </c>
      <c r="J47" s="271"/>
      <c r="K47" s="383">
        <f>1+($B$5-1)*36+25</f>
        <v>134</v>
      </c>
      <c r="L47" s="383" t="str" cm="1">
        <f t="array" ref="L47">IF($B47="","",INDEX($AI$72:$AI$430,$K47))</f>
        <v/>
      </c>
      <c r="M47" s="383" t="str" cm="1">
        <f t="array" ref="M47">IF($B47="","",INDEX($AJ$72:$AJ$430,$K47))</f>
        <v/>
      </c>
      <c r="N47" s="384" t="str" cm="1">
        <f t="array" ref="N47">IF(OR($B47="",$B$13="",$B$12="",$B$12=0),"",IF($L$22="AUTRE",IFERROR(INDEX($AK$72:$AK$430,$K47)*($B$13/$B$12),""),IF(OR($C$12="",$C$13=""),"",IFERROR(INDEX($AK$72:$AK$430,$K47)*(($B$13*VLOOKUP($C$13,$AY$74:$BA$119,3,FALSE))/($B$12*VLOOKUP($C$12,$AY$74:$BA$119,3,FALSE))),""))))</f>
        <v/>
      </c>
      <c r="O47" s="384" t="str" cm="1">
        <f t="array" ref="O47">IF(OR($B47="",$G$12="",$G$11="",$G$11=0),"",IFERROR(INDEX($AK$72:$AK$430,$K47)*($G$12/$G$11),""))</f>
        <v/>
      </c>
      <c r="U47" s="156"/>
      <c r="V47" s="156"/>
      <c r="W47" s="156"/>
      <c r="X47" s="156"/>
      <c r="Y47" s="156"/>
      <c r="Z47" s="156"/>
      <c r="AA47" s="156"/>
      <c r="AY47" s="28" t="s">
        <v>21</v>
      </c>
      <c r="AZ47" s="417" t="s">
        <v>35</v>
      </c>
      <c r="BA47" s="418">
        <v>2.835E-2</v>
      </c>
      <c r="BB47" s="419" t="s">
        <v>36</v>
      </c>
      <c r="BC47" s="271"/>
      <c r="BD47" s="279">
        <v>1</v>
      </c>
      <c r="BE47" s="271"/>
      <c r="BF47" s="271"/>
      <c r="BG47" s="271"/>
    </row>
    <row r="48" spans="1:59" ht="20.100000000000001" customHeight="1" x14ac:dyDescent="0.25">
      <c r="A48" s="374" t="str">
        <f>IF($B48="","",26)</f>
        <v/>
      </c>
      <c r="B48" s="375" t="str" cm="1">
        <f t="array" ref="B48">IFERROR(IF(INDEX($AC$72:$AC$430,$K48)="","",INDEX($AC$72:$AC$430,$K48)),"")</f>
        <v/>
      </c>
      <c r="C48" s="376" t="str" cm="1">
        <f t="array" ref="C48">IF($B48="","",INDEX($AG$72:$AG$430,$K48))</f>
        <v/>
      </c>
      <c r="D48" s="377" t="str" cm="1">
        <f t="array" ref="D48">IF($B48="","",INDEX($AH$72:$AH$430,$K48))</f>
        <v/>
      </c>
      <c r="E48" s="378" t="str">
        <f t="shared" si="0"/>
        <v/>
      </c>
      <c r="F48" s="379" t="str" cm="1">
        <f t="array" ref="F48">IF($B48="","",IF(UPPER(TRIM($D48))="QT. SUFFISANTE","Qt. suffisante",IF($N48="","",IF($L48="MASSE",IF($N48&gt;=1,"Kg","g"),IF($L48="VOLUME",IF($N48&gt;=1,"L","cl"),INDEX($AL$72:$AL$430,$K48))))))</f>
        <v/>
      </c>
      <c r="G48" s="380" t="str">
        <f t="shared" si="1"/>
        <v/>
      </c>
      <c r="H48" s="381" t="str" cm="1">
        <f t="array" ref="H48">IF($B48="","",IF(UPPER(TRIM($D48))="QT. SUFFISANTE","Qt. suffisante",IF($O48="","",IF($L48="MASSE",IF($O48&gt;=1,"Kg","g"),IF($L48="VOLUME",IF($O48&gt;=1,"L","cl"),INDEX($AL$72:$AL$430,$K48))))))</f>
        <v/>
      </c>
      <c r="I48" s="382" t="str" cm="1">
        <f t="array" ref="I48">IF($B48="","",INDEX($AM$72:$AM$430,$K48))</f>
        <v/>
      </c>
      <c r="J48" s="271"/>
      <c r="K48" s="383">
        <f>1+($B$5-1)*36+26</f>
        <v>135</v>
      </c>
      <c r="L48" s="383" t="str" cm="1">
        <f t="array" ref="L48">IF($B48="","",INDEX($AI$72:$AI$430,$K48))</f>
        <v/>
      </c>
      <c r="M48" s="383" t="str" cm="1">
        <f t="array" ref="M48">IF($B48="","",INDEX($AJ$72:$AJ$430,$K48))</f>
        <v/>
      </c>
      <c r="N48" s="384" t="str" cm="1">
        <f t="array" ref="N48">IF(OR($B48="",$B$13="",$B$12="",$B$12=0),"",IF($L$22="AUTRE",IFERROR(INDEX($AK$72:$AK$430,$K48)*($B$13/$B$12),""),IF(OR($C$12="",$C$13=""),"",IFERROR(INDEX($AK$72:$AK$430,$K48)*(($B$13*VLOOKUP($C$13,$AY$74:$BA$119,3,FALSE))/($B$12*VLOOKUP($C$12,$AY$74:$BA$119,3,FALSE))),""))))</f>
        <v/>
      </c>
      <c r="O48" s="384" t="str" cm="1">
        <f t="array" ref="O48">IF(OR($B48="",$G$12="",$G$11="",$G$11=0),"",IFERROR(INDEX($AK$72:$AK$430,$K48)*($G$12/$G$11),""))</f>
        <v/>
      </c>
      <c r="U48" s="156"/>
      <c r="V48" s="156"/>
      <c r="W48" s="156"/>
      <c r="X48" s="156"/>
      <c r="Y48" s="156"/>
      <c r="Z48" s="156"/>
      <c r="AA48" s="156"/>
      <c r="AD48" s="10" t="s">
        <v>8171</v>
      </c>
      <c r="AY48" s="28" t="s">
        <v>22</v>
      </c>
      <c r="AZ48" s="417" t="s">
        <v>35</v>
      </c>
      <c r="BA48" s="418">
        <v>0.13</v>
      </c>
      <c r="BB48" s="419" t="s">
        <v>36</v>
      </c>
      <c r="BC48" s="271"/>
      <c r="BD48" s="279">
        <v>1</v>
      </c>
      <c r="BE48" s="271"/>
      <c r="BF48" s="271"/>
      <c r="BG48" s="271"/>
    </row>
    <row r="49" spans="1:64" ht="20.100000000000001" customHeight="1" x14ac:dyDescent="0.25">
      <c r="A49" s="374" t="str">
        <f>IF($B49="","",27)</f>
        <v/>
      </c>
      <c r="B49" s="375" t="str" cm="1">
        <f t="array" ref="B49">IFERROR(IF(INDEX($AC$72:$AC$430,$K49)="","",INDEX($AC$72:$AC$430,$K49)),"")</f>
        <v/>
      </c>
      <c r="C49" s="376" t="str" cm="1">
        <f t="array" ref="C49">IF($B49="","",INDEX($AG$72:$AG$430,$K49))</f>
        <v/>
      </c>
      <c r="D49" s="377" t="str" cm="1">
        <f t="array" ref="D49">IF($B49="","",INDEX($AH$72:$AH$430,$K49))</f>
        <v/>
      </c>
      <c r="E49" s="378" t="str">
        <f t="shared" si="0"/>
        <v/>
      </c>
      <c r="F49" s="379" t="str" cm="1">
        <f t="array" ref="F49">IF($B49="","",IF(UPPER(TRIM($D49))="QT. SUFFISANTE","Qt. suffisante",IF($N49="","",IF($L49="MASSE",IF($N49&gt;=1,"Kg","g"),IF($L49="VOLUME",IF($N49&gt;=1,"L","cl"),INDEX($AL$72:$AL$430,$K49))))))</f>
        <v/>
      </c>
      <c r="G49" s="380" t="str">
        <f t="shared" si="1"/>
        <v/>
      </c>
      <c r="H49" s="381" t="str" cm="1">
        <f t="array" ref="H49">IF($B49="","",IF(UPPER(TRIM($D49))="QT. SUFFISANTE","Qt. suffisante",IF($O49="","",IF($L49="MASSE",IF($O49&gt;=1,"Kg","g"),IF($L49="VOLUME",IF($O49&gt;=1,"L","cl"),INDEX($AL$72:$AL$430,$K49))))))</f>
        <v/>
      </c>
      <c r="I49" s="382" t="str" cm="1">
        <f t="array" ref="I49">IF($B49="","",INDEX($AM$72:$AM$430,$K49))</f>
        <v/>
      </c>
      <c r="J49" s="271"/>
      <c r="K49" s="383">
        <f>1+($B$5-1)*36+27</f>
        <v>136</v>
      </c>
      <c r="L49" s="383" t="str" cm="1">
        <f t="array" ref="L49">IF($B49="","",INDEX($AI$72:$AI$430,$K49))</f>
        <v/>
      </c>
      <c r="M49" s="383" t="str" cm="1">
        <f t="array" ref="M49">IF($B49="","",INDEX($AJ$72:$AJ$430,$K49))</f>
        <v/>
      </c>
      <c r="N49" s="384" t="str" cm="1">
        <f t="array" ref="N49">IF(OR($B49="",$B$13="",$B$12="",$B$12=0),"",IF($L$22="AUTRE",IFERROR(INDEX($AK$72:$AK$430,$K49)*($B$13/$B$12),""),IF(OR($C$12="",$C$13=""),"",IFERROR(INDEX($AK$72:$AK$430,$K49)*(($B$13*VLOOKUP($C$13,$AY$74:$BA$119,3,FALSE))/($B$12*VLOOKUP($C$12,$AY$74:$BA$119,3,FALSE))),""))))</f>
        <v/>
      </c>
      <c r="O49" s="384" t="str" cm="1">
        <f t="array" ref="O49">IF(OR($B49="",$G$12="",$G$11="",$G$11=0),"",IFERROR(INDEX($AK$72:$AK$430,$K49)*($G$12/$G$11),""))</f>
        <v/>
      </c>
      <c r="U49" s="156"/>
      <c r="V49" s="156"/>
      <c r="W49" s="156"/>
      <c r="X49" s="156"/>
      <c r="Y49" s="156"/>
      <c r="Z49" s="156"/>
      <c r="AA49" s="156"/>
      <c r="AD49" s="2" t="s">
        <v>1</v>
      </c>
      <c r="AY49" s="28" t="s">
        <v>23</v>
      </c>
      <c r="AZ49" s="417" t="s">
        <v>35</v>
      </c>
      <c r="BA49" s="418">
        <v>0.2</v>
      </c>
      <c r="BB49" s="419" t="s">
        <v>36</v>
      </c>
      <c r="BC49" s="271"/>
      <c r="BD49" s="279">
        <v>1</v>
      </c>
      <c r="BE49" s="271"/>
      <c r="BF49" s="271"/>
      <c r="BG49" s="271"/>
    </row>
    <row r="50" spans="1:64" ht="20.100000000000001" customHeight="1" x14ac:dyDescent="0.25">
      <c r="A50" s="374" t="str">
        <f>IF($B50="","",28)</f>
        <v/>
      </c>
      <c r="B50" s="375" t="str" cm="1">
        <f t="array" ref="B50">IFERROR(IF(INDEX($AC$72:$AC$430,$K50)="","",INDEX($AC$72:$AC$430,$K50)),"")</f>
        <v/>
      </c>
      <c r="C50" s="376" t="str" cm="1">
        <f t="array" ref="C50">IF($B50="","",INDEX($AG$72:$AG$430,$K50))</f>
        <v/>
      </c>
      <c r="D50" s="377" t="str" cm="1">
        <f t="array" ref="D50">IF($B50="","",INDEX($AH$72:$AH$430,$K50))</f>
        <v/>
      </c>
      <c r="E50" s="378" t="str">
        <f t="shared" si="0"/>
        <v/>
      </c>
      <c r="F50" s="379" t="str" cm="1">
        <f t="array" ref="F50">IF($B50="","",IF(UPPER(TRIM($D50))="QT. SUFFISANTE","Qt. suffisante",IF($N50="","",IF($L50="MASSE",IF($N50&gt;=1,"Kg","g"),IF($L50="VOLUME",IF($N50&gt;=1,"L","cl"),INDEX($AL$72:$AL$430,$K50))))))</f>
        <v/>
      </c>
      <c r="G50" s="380" t="str">
        <f t="shared" si="1"/>
        <v/>
      </c>
      <c r="H50" s="381" t="str" cm="1">
        <f t="array" ref="H50">IF($B50="","",IF(UPPER(TRIM($D50))="QT. SUFFISANTE","Qt. suffisante",IF($O50="","",IF($L50="MASSE",IF($O50&gt;=1,"Kg","g"),IF($L50="VOLUME",IF($O50&gt;=1,"L","cl"),INDEX($AL$72:$AL$430,$K50))))))</f>
        <v/>
      </c>
      <c r="I50" s="382" t="str" cm="1">
        <f t="array" ref="I50">IF($B50="","",INDEX($AM$72:$AM$430,$K50))</f>
        <v/>
      </c>
      <c r="J50" s="271"/>
      <c r="K50" s="383">
        <f>1+($B$5-1)*36+28</f>
        <v>137</v>
      </c>
      <c r="L50" s="383" t="str" cm="1">
        <f t="array" ref="L50">IF($B50="","",INDEX($AI$72:$AI$430,$K50))</f>
        <v/>
      </c>
      <c r="M50" s="383" t="str" cm="1">
        <f t="array" ref="M50">IF($B50="","",INDEX($AJ$72:$AJ$430,$K50))</f>
        <v/>
      </c>
      <c r="N50" s="384" t="str" cm="1">
        <f t="array" ref="N50">IF(OR($B50="",$B$13="",$B$12="",$B$12=0),"",IF($L$22="AUTRE",IFERROR(INDEX($AK$72:$AK$430,$K50)*($B$13/$B$12),""),IF(OR($C$12="",$C$13=""),"",IFERROR(INDEX($AK$72:$AK$430,$K50)*(($B$13*VLOOKUP($C$13,$AY$74:$BA$119,3,FALSE))/($B$12*VLOOKUP($C$12,$AY$74:$BA$119,3,FALSE))),""))))</f>
        <v/>
      </c>
      <c r="O50" s="384" t="str" cm="1">
        <f t="array" ref="O50">IF(OR($B50="",$G$12="",$G$11="",$G$11=0),"",IFERROR(INDEX($AK$72:$AK$430,$K50)*($G$12/$G$11),""))</f>
        <v/>
      </c>
      <c r="U50" s="156"/>
      <c r="V50" s="156"/>
      <c r="W50" s="156"/>
      <c r="X50" s="156"/>
      <c r="Y50" s="156"/>
      <c r="Z50" s="156"/>
      <c r="AA50" s="156"/>
      <c r="AD50" s="2" t="s">
        <v>8219</v>
      </c>
      <c r="AY50" s="28" t="s">
        <v>24</v>
      </c>
      <c r="AZ50" s="417" t="s">
        <v>35</v>
      </c>
      <c r="BA50" s="418">
        <v>0.23</v>
      </c>
      <c r="BB50" s="419" t="s">
        <v>36</v>
      </c>
      <c r="BC50" s="271"/>
      <c r="BD50" s="279">
        <v>1</v>
      </c>
      <c r="BE50" s="271"/>
      <c r="BF50" s="271"/>
      <c r="BG50" s="271"/>
    </row>
    <row r="51" spans="1:64" ht="23.1" customHeight="1" x14ac:dyDescent="0.25">
      <c r="A51" s="374" t="str">
        <f>IF($B51="","",29)</f>
        <v/>
      </c>
      <c r="B51" s="375" t="str" cm="1">
        <f t="array" ref="B51">IFERROR(IF(INDEX($AC$72:$AC$430,$K51)="","",INDEX($AC$72:$AC$430,$K51)),"")</f>
        <v/>
      </c>
      <c r="C51" s="376" t="str" cm="1">
        <f t="array" ref="C51">IF($B51="","",INDEX($AG$72:$AG$430,$K51))</f>
        <v/>
      </c>
      <c r="D51" s="377" t="str" cm="1">
        <f t="array" ref="D51">IF($B51="","",INDEX($AH$72:$AH$430,$K51))</f>
        <v/>
      </c>
      <c r="E51" s="378" t="str">
        <f t="shared" si="0"/>
        <v/>
      </c>
      <c r="F51" s="379" t="str" cm="1">
        <f t="array" ref="F51">IF($B51="","",IF(UPPER(TRIM($D51))="QT. SUFFISANTE","Qt. suffisante",IF($N51="","",IF($L51="MASSE",IF($N51&gt;=1,"Kg","g"),IF($L51="VOLUME",IF($N51&gt;=1,"L","cl"),INDEX($AL$72:$AL$430,$K51))))))</f>
        <v/>
      </c>
      <c r="G51" s="380" t="str">
        <f t="shared" si="1"/>
        <v/>
      </c>
      <c r="H51" s="381" t="str" cm="1">
        <f t="array" ref="H51">IF($B51="","",IF(UPPER(TRIM($D51))="QT. SUFFISANTE","Qt. suffisante",IF($O51="","",IF($L51="MASSE",IF($O51&gt;=1,"Kg","g"),IF($L51="VOLUME",IF($O51&gt;=1,"L","cl"),INDEX($AL$72:$AL$430,$K51))))))</f>
        <v/>
      </c>
      <c r="I51" s="382" t="str" cm="1">
        <f t="array" ref="I51">IF($B51="","",INDEX($AM$72:$AM$430,$K51))</f>
        <v/>
      </c>
      <c r="J51" s="271"/>
      <c r="K51" s="383">
        <f>1+($B$5-1)*36+29</f>
        <v>138</v>
      </c>
      <c r="L51" s="383" t="str" cm="1">
        <f t="array" ref="L51">IF($B51="","",INDEX($AI$72:$AI$430,$K51))</f>
        <v/>
      </c>
      <c r="M51" s="383" t="str" cm="1">
        <f t="array" ref="M51">IF($B51="","",INDEX($AJ$72:$AJ$430,$K51))</f>
        <v/>
      </c>
      <c r="N51" s="384" t="str" cm="1">
        <f t="array" ref="N51">IF(OR($B51="",$B$13="",$B$12="",$B$12=0),"",IF($L$22="AUTRE",IFERROR(INDEX($AK$72:$AK$430,$K51)*($B$13/$B$12),""),IF(OR($C$12="",$C$13=""),"",IFERROR(INDEX($AK$72:$AK$430,$K51)*(($B$13*VLOOKUP($C$13,$AY$74:$BA$119,3,FALSE))/($B$12*VLOOKUP($C$12,$AY$74:$BA$119,3,FALSE))),""))))</f>
        <v/>
      </c>
      <c r="O51" s="384" t="str" cm="1">
        <f t="array" ref="O51">IF(OR($B51="",$G$12="",$G$11="",$G$11=0),"",IFERROR(INDEX($AK$72:$AK$430,$K51)*($G$12/$G$11),""))</f>
        <v/>
      </c>
      <c r="U51" s="156"/>
      <c r="V51" s="156"/>
      <c r="W51" s="156"/>
      <c r="X51" s="156"/>
      <c r="Y51" s="156"/>
      <c r="Z51" s="156"/>
      <c r="AA51" s="156"/>
      <c r="AY51" s="31" t="s">
        <v>25</v>
      </c>
      <c r="AZ51" s="417" t="s">
        <v>37</v>
      </c>
      <c r="BA51" s="418">
        <v>0.22500000000000001</v>
      </c>
      <c r="BB51" s="419" t="s">
        <v>9</v>
      </c>
      <c r="BC51" s="271"/>
      <c r="BD51" s="279">
        <v>1</v>
      </c>
      <c r="BE51" s="271"/>
      <c r="BF51" s="271"/>
      <c r="BG51" s="271"/>
    </row>
    <row r="52" spans="1:64" ht="21" customHeight="1" x14ac:dyDescent="0.25">
      <c r="A52" s="374" t="str">
        <f>IF($B52="","",30)</f>
        <v/>
      </c>
      <c r="B52" s="375" t="str" cm="1">
        <f t="array" ref="B52">IFERROR(IF(INDEX($AC$72:$AC$430,$K52)="","",INDEX($AC$72:$AC$430,$K52)),"")</f>
        <v/>
      </c>
      <c r="C52" s="376" t="str" cm="1">
        <f t="array" ref="C52">IF($B52="","",INDEX($AG$72:$AG$430,$K52))</f>
        <v/>
      </c>
      <c r="D52" s="377" t="str" cm="1">
        <f t="array" ref="D52">IF($B52="","",INDEX($AH$72:$AH$430,$K52))</f>
        <v/>
      </c>
      <c r="E52" s="378" t="str">
        <f t="shared" si="0"/>
        <v/>
      </c>
      <c r="F52" s="379" t="str" cm="1">
        <f t="array" ref="F52">IF($B52="","",IF(UPPER(TRIM($D52))="QT. SUFFISANTE","Qt. suffisante",IF($N52="","",IF($L52="MASSE",IF($N52&gt;=1,"Kg","g"),IF($L52="VOLUME",IF($N52&gt;=1,"L","cl"),INDEX($AL$72:$AL$430,$K52))))))</f>
        <v/>
      </c>
      <c r="G52" s="380" t="str">
        <f t="shared" si="1"/>
        <v/>
      </c>
      <c r="H52" s="381" t="str" cm="1">
        <f t="array" ref="H52">IF($B52="","",IF(UPPER(TRIM($D52))="QT. SUFFISANTE","Qt. suffisante",IF($O52="","",IF($L52="MASSE",IF($O52&gt;=1,"Kg","g"),IF($L52="VOLUME",IF($O52&gt;=1,"L","cl"),INDEX($AL$72:$AL$430,$K52))))))</f>
        <v/>
      </c>
      <c r="I52" s="382" t="str" cm="1">
        <f t="array" ref="I52">IF($B52="","",INDEX($AM$72:$AM$430,$K52))</f>
        <v/>
      </c>
      <c r="J52" s="271"/>
      <c r="K52" s="383">
        <f>1+($B$5-1)*36+30</f>
        <v>139</v>
      </c>
      <c r="L52" s="383" t="str" cm="1">
        <f t="array" ref="L52">IF($B52="","",INDEX($AI$72:$AI$430,$K52))</f>
        <v/>
      </c>
      <c r="M52" s="383" t="str" cm="1">
        <f t="array" ref="M52">IF($B52="","",INDEX($AJ$72:$AJ$430,$K52))</f>
        <v/>
      </c>
      <c r="N52" s="384" t="str" cm="1">
        <f t="array" ref="N52">IF(OR($B52="",$B$13="",$B$12="",$B$12=0),"",IF($L$22="AUTRE",IFERROR(INDEX($AK$72:$AK$430,$K52)*($B$13/$B$12),""),IF(OR($C$12="",$C$13=""),"",IFERROR(INDEX($AK$72:$AK$430,$K52)*(($B$13*VLOOKUP($C$13,$AY$74:$BA$119,3,FALSE))/($B$12*VLOOKUP($C$12,$AY$74:$BA$119,3,FALSE))),""))))</f>
        <v/>
      </c>
      <c r="O52" s="384" t="str" cm="1">
        <f t="array" ref="O52">IF(OR($B52="",$G$12="",$G$11="",$G$11=0),"",IFERROR(INDEX($AK$72:$AK$430,$K52)*($G$12/$G$11),""))</f>
        <v/>
      </c>
      <c r="U52" s="156"/>
      <c r="V52" s="156"/>
      <c r="W52" s="156"/>
      <c r="X52" s="156"/>
      <c r="Y52" s="156"/>
      <c r="Z52" s="156"/>
      <c r="AA52" s="156"/>
      <c r="AY52" s="31" t="s">
        <v>26</v>
      </c>
      <c r="AZ52" s="417" t="s">
        <v>37</v>
      </c>
      <c r="BA52" s="418">
        <v>0.35</v>
      </c>
      <c r="BB52" s="419" t="s">
        <v>9</v>
      </c>
      <c r="BC52" s="271"/>
      <c r="BD52" s="279">
        <v>1</v>
      </c>
      <c r="BE52" s="271"/>
      <c r="BF52" s="271"/>
      <c r="BG52" s="271"/>
    </row>
    <row r="53" spans="1:64" ht="21" customHeight="1" x14ac:dyDescent="0.25">
      <c r="A53" s="374" t="str">
        <f>IF($B53="","",31)</f>
        <v/>
      </c>
      <c r="B53" s="375" t="str" cm="1">
        <f t="array" ref="B53">IFERROR(IF(INDEX($AC$72:$AC$430,$K53)="","",INDEX($AC$72:$AC$430,$K53)),"")</f>
        <v/>
      </c>
      <c r="C53" s="376" t="str" cm="1">
        <f t="array" ref="C53">IF($B53="","",INDEX($AG$72:$AG$430,$K53))</f>
        <v/>
      </c>
      <c r="D53" s="377" t="str" cm="1">
        <f t="array" ref="D53">IF($B53="","",INDEX($AH$72:$AH$430,$K53))</f>
        <v/>
      </c>
      <c r="E53" s="378" t="str">
        <f t="shared" si="0"/>
        <v/>
      </c>
      <c r="F53" s="379" t="str" cm="1">
        <f t="array" ref="F53">IF($B53="","",IF(UPPER(TRIM($D53))="QT. SUFFISANTE","Qt. suffisante",IF($N53="","",IF($L53="MASSE",IF($N53&gt;=1,"Kg","g"),IF($L53="VOLUME",IF($N53&gt;=1,"L","cl"),INDEX($AL$72:$AL$430,$K53))))))</f>
        <v/>
      </c>
      <c r="G53" s="380" t="str">
        <f t="shared" si="1"/>
        <v/>
      </c>
      <c r="H53" s="381" t="str" cm="1">
        <f t="array" ref="H53">IF($B53="","",IF(UPPER(TRIM($D53))="QT. SUFFISANTE","Qt. suffisante",IF($O53="","",IF($L53="MASSE",IF($O53&gt;=1,"Kg","g"),IF($L53="VOLUME",IF($O53&gt;=1,"L","cl"),INDEX($AL$72:$AL$430,$K53))))))</f>
        <v/>
      </c>
      <c r="I53" s="382" t="str" cm="1">
        <f t="array" ref="I53">IF($B53="","",INDEX($AM$72:$AM$430,$K53))</f>
        <v/>
      </c>
      <c r="J53" s="271"/>
      <c r="K53" s="383">
        <f>1+($B$5-1)*36+31</f>
        <v>140</v>
      </c>
      <c r="L53" s="383" t="str" cm="1">
        <f t="array" ref="L53">IF($B53="","",INDEX($AI$72:$AI$430,$K53))</f>
        <v/>
      </c>
      <c r="M53" s="383" t="str" cm="1">
        <f t="array" ref="M53">IF($B53="","",INDEX($AJ$72:$AJ$430,$K53))</f>
        <v/>
      </c>
      <c r="N53" s="384" t="str" cm="1">
        <f t="array" ref="N53">IF(OR($B53="",$B$13="",$B$12="",$B$12=0),"",IF($L$22="AUTRE",IFERROR(INDEX($AK$72:$AK$430,$K53)*($B$13/$B$12),""),IF(OR($C$12="",$C$13=""),"",IFERROR(INDEX($AK$72:$AK$430,$K53)*(($B$13*VLOOKUP($C$13,$AY$74:$BA$119,3,FALSE))/($B$12*VLOOKUP($C$12,$AY$74:$BA$119,3,FALSE))),""))))</f>
        <v/>
      </c>
      <c r="O53" s="384" t="str" cm="1">
        <f t="array" ref="O53">IF(OR($B53="",$G$12="",$G$11="",$G$11=0),"",IFERROR(INDEX($AK$72:$AK$430,$K53)*($G$12/$G$11),""))</f>
        <v/>
      </c>
      <c r="U53" s="420" t="s">
        <v>7905</v>
      </c>
      <c r="V53" s="421"/>
      <c r="W53" s="421" t="s">
        <v>8085</v>
      </c>
      <c r="X53" s="421"/>
      <c r="Y53" s="421"/>
      <c r="Z53" s="421"/>
      <c r="AA53" s="421"/>
      <c r="AY53" s="31" t="s">
        <v>31</v>
      </c>
      <c r="AZ53" s="417" t="s">
        <v>37</v>
      </c>
      <c r="BA53" s="418">
        <v>0.22500000000000001</v>
      </c>
      <c r="BB53" s="419" t="s">
        <v>9</v>
      </c>
      <c r="BC53" s="271"/>
      <c r="BD53" s="279">
        <v>1</v>
      </c>
      <c r="BE53" s="271"/>
      <c r="BF53" s="271"/>
      <c r="BG53" s="271"/>
    </row>
    <row r="54" spans="1:64" ht="21" customHeight="1" x14ac:dyDescent="0.25">
      <c r="A54" s="374">
        <f>IF($B54="","",32)</f>
        <v>32</v>
      </c>
      <c r="B54" s="375" t="str" cm="1">
        <f t="array" ref="B54">IFERROR(IF(INDEX($AC$72:$AC$430,$K54)="","",INDEX($AC$72:$AC$430,$K54)),"")</f>
        <v>grille(s) de cuisson 60X40</v>
      </c>
      <c r="C54" s="376" cm="1">
        <f t="array" ref="C54">IF($B54="","",INDEX($AG$72:$AG$430,$K54))</f>
        <v>5</v>
      </c>
      <c r="D54" s="377" t="str" cm="1">
        <f t="array" ref="D54">IF($B54="","",INDEX($AH$72:$AH$430,$K54))</f>
        <v>GRILLE(S)</v>
      </c>
      <c r="E54" s="378">
        <f t="shared" si="0"/>
        <v>3</v>
      </c>
      <c r="F54" s="379" t="str" cm="1">
        <f t="array" ref="F54">IF($B54="","",IF(UPPER(TRIM($D54))="QT. SUFFISANTE","Qt. suffisante",IF($N54="","",IF($L54="MASSE",IF($N54&gt;=1,"Kg","g"),IF($L54="VOLUME",IF($N54&gt;=1,"L","cl"),INDEX($AL$72:$AL$430,$K54))))))</f>
        <v>grille(s)</v>
      </c>
      <c r="G54" s="380">
        <f t="shared" si="1"/>
        <v>10</v>
      </c>
      <c r="H54" s="381" t="str" cm="1">
        <f t="array" ref="H54">IF($B54="","",IF(UPPER(TRIM($D54))="QT. SUFFISANTE","Qt. suffisante",IF($O54="","",IF($L54="MASSE",IF($O54&gt;=1,"Kg","g"),IF($L54="VOLUME",IF($O54&gt;=1,"L","cl"),INDEX($AL$72:$AL$430,$K54))))))</f>
        <v>grille(s)</v>
      </c>
      <c r="I54" s="382" t="str" cm="1">
        <f t="array" ref="I54">IF($B54="","",INDEX($AM$72:$AM$430,$K54))</f>
        <v>OK</v>
      </c>
      <c r="J54" s="271"/>
      <c r="K54" s="383">
        <f>1+($B$5-1)*36+32</f>
        <v>141</v>
      </c>
      <c r="L54" s="383" t="str" cm="1">
        <f t="array" ref="L54">IF($B54="","",INDEX($AI$72:$AI$430,$K54))</f>
        <v>AUTRE</v>
      </c>
      <c r="M54" s="383" cm="1">
        <f t="array" ref="M54">IF($B54="","",INDEX($AJ$72:$AJ$430,$K54))</f>
        <v>1</v>
      </c>
      <c r="N54" s="384" cm="1">
        <f t="array" ref="N54">IF(OR($B54="",$B$13="",$B$12="",$B$12=0),"",IF($L$22="AUTRE",IFERROR(INDEX($AK$72:$AK$430,$K54)*($B$13/$B$12),""),IF(OR($C$12="",$C$13=""),"",IFERROR(INDEX($AK$72:$AK$430,$K54)*(($B$13*VLOOKUP($C$13,$AY$74:$BA$119,3,FALSE))/($B$12*VLOOKUP($C$12,$AY$74:$BA$119,3,FALSE))),""))))</f>
        <v>3.333333333333333</v>
      </c>
      <c r="O54" s="384" cm="1">
        <f t="array" ref="O54">IF(OR($B54="",$G$12="",$G$11="",$G$11=0),"",IFERROR(INDEX($AK$72:$AK$430,$K54)*($G$12/$G$11),""))</f>
        <v>10</v>
      </c>
      <c r="U54" s="422" t="s">
        <v>7915</v>
      </c>
      <c r="V54" s="423" t="s">
        <v>8086</v>
      </c>
      <c r="W54" s="156"/>
      <c r="X54" s="156"/>
      <c r="Y54" s="156"/>
      <c r="Z54" s="156"/>
      <c r="AA54" s="156"/>
      <c r="AN54" s="424" t="s">
        <v>8087</v>
      </c>
      <c r="BD54" s="279">
        <v>1</v>
      </c>
    </row>
    <row r="55" spans="1:64" ht="21" customHeight="1" x14ac:dyDescent="0.25">
      <c r="A55" s="374">
        <f>IF($B55="","",33)</f>
        <v>33</v>
      </c>
      <c r="B55" s="375" t="str" cm="1">
        <f t="array" ref="B55">IFERROR(IF(INDEX($AC$72:$AC$430,$K55)="","",INDEX($AC$72:$AC$430,$K55)),"")</f>
        <v>plaque(s) patisserie 60X 40</v>
      </c>
      <c r="C55" s="376" cm="1">
        <f t="array" ref="C55">IF($B55="","",INDEX($AG$72:$AG$430,$K55))</f>
        <v>10</v>
      </c>
      <c r="D55" s="377" t="str" cm="1">
        <f t="array" ref="D55">IF($B55="","",INDEX($AH$72:$AH$430,$K55))</f>
        <v>PLAQUE(S)</v>
      </c>
      <c r="E55" s="378">
        <f t="shared" si="0"/>
        <v>7</v>
      </c>
      <c r="F55" s="379" t="str" cm="1">
        <f t="array" ref="F55">IF($B55="","",IF(UPPER(TRIM($D55))="QT. SUFFISANTE","Qt. suffisante",IF($N55="","",IF($L55="MASSE",IF($N55&gt;=1,"Kg","g"),IF($L55="VOLUME",IF($N55&gt;=1,"L","cl"),INDEX($AL$72:$AL$430,$K55))))))</f>
        <v>plaque(s)</v>
      </c>
      <c r="G55" s="380">
        <f t="shared" si="1"/>
        <v>20</v>
      </c>
      <c r="H55" s="381" t="str" cm="1">
        <f t="array" ref="H55">IF($B55="","",IF(UPPER(TRIM($D55))="QT. SUFFISANTE","Qt. suffisante",IF($O55="","",IF($L55="MASSE",IF($O55&gt;=1,"Kg","g"),IF($L55="VOLUME",IF($O55&gt;=1,"L","cl"),INDEX($AL$72:$AL$430,$K55))))))</f>
        <v>plaque(s)</v>
      </c>
      <c r="I55" s="382" t="str" cm="1">
        <f t="array" ref="I55">IF($B55="","",INDEX($AM$72:$AM$430,$K55))</f>
        <v>OK</v>
      </c>
      <c r="J55" s="271"/>
      <c r="K55" s="383">
        <f>1+($B$5-1)*36+33</f>
        <v>142</v>
      </c>
      <c r="L55" s="383" t="str" cm="1">
        <f t="array" ref="L55">IF($B55="","",INDEX($AI$72:$AI$430,$K55))</f>
        <v>AUTRE</v>
      </c>
      <c r="M55" s="383" cm="1">
        <f t="array" ref="M55">IF($B55="","",INDEX($AJ$72:$AJ$430,$K55))</f>
        <v>1</v>
      </c>
      <c r="N55" s="384" cm="1">
        <f t="array" ref="N55">IF(OR($B55="",$B$13="",$B$12="",$B$12=0),"",IF($L$22="AUTRE",IFERROR(INDEX($AK$72:$AK$430,$K55)*($B$13/$B$12),""),IF(OR($C$12="",$C$13=""),"",IFERROR(INDEX($AK$72:$AK$430,$K55)*(($B$13*VLOOKUP($C$13,$AY$74:$BA$119,3,FALSE))/($B$12*VLOOKUP($C$12,$AY$74:$BA$119,3,FALSE))),""))))</f>
        <v>6.6666666666666661</v>
      </c>
      <c r="O55" s="384" cm="1">
        <f t="array" ref="O55">IF(OR($B55="",$G$12="",$G$11="",$G$11=0),"",IFERROR(INDEX($AK$72:$AK$430,$K55)*($G$12/$G$11),""))</f>
        <v>20</v>
      </c>
      <c r="U55" s="422" t="s">
        <v>7918</v>
      </c>
      <c r="V55" s="423" t="s">
        <v>8088</v>
      </c>
      <c r="W55" s="156"/>
      <c r="X55" s="156"/>
      <c r="Y55" s="156"/>
      <c r="Z55" s="156"/>
      <c r="AA55" s="156"/>
      <c r="AN55" s="659" t="s">
        <v>8089</v>
      </c>
      <c r="AO55" s="659"/>
      <c r="AP55" s="659"/>
      <c r="AQ55" s="659"/>
      <c r="AR55" s="659"/>
      <c r="AS55" s="659"/>
      <c r="AT55" s="659"/>
      <c r="AU55" s="659"/>
      <c r="AV55" s="659"/>
      <c r="AW55" s="659"/>
      <c r="AX55" s="659"/>
      <c r="AY55" s="659"/>
      <c r="AZ55" s="659"/>
      <c r="BA55" s="659"/>
      <c r="BB55" s="659"/>
      <c r="BD55" s="279">
        <v>1</v>
      </c>
    </row>
    <row r="56" spans="1:64" ht="21" customHeight="1" x14ac:dyDescent="0.25">
      <c r="A56" s="374">
        <f>IF($B56="","",34)</f>
        <v>34</v>
      </c>
      <c r="B56" s="375" t="str" cm="1">
        <f t="array" ref="B56">IFERROR(IF(INDEX($AC$72:$AC$430,$K56)="","",INDEX($AC$72:$AC$430,$K56)),"")</f>
        <v>plaque(s) G/N 1/1</v>
      </c>
      <c r="C56" s="376" cm="1">
        <f t="array" ref="C56">IF($B56="","",INDEX($AG$72:$AG$430,$K56))</f>
        <v>20</v>
      </c>
      <c r="D56" s="377" t="str" cm="1">
        <f t="array" ref="D56">IF($B56="","",INDEX($AH$72:$AH$430,$K56))</f>
        <v>PLAQUE(S)</v>
      </c>
      <c r="E56" s="378">
        <f t="shared" si="0"/>
        <v>13</v>
      </c>
      <c r="F56" s="379" t="str" cm="1">
        <f t="array" ref="F56">IF($B56="","",IF(UPPER(TRIM($D56))="QT. SUFFISANTE","Qt. suffisante",IF($N56="","",IF($L56="MASSE",IF($N56&gt;=1,"Kg","g"),IF($L56="VOLUME",IF($N56&gt;=1,"L","cl"),INDEX($AL$72:$AL$430,$K56))))))</f>
        <v>plaque(s)</v>
      </c>
      <c r="G56" s="380">
        <f t="shared" si="1"/>
        <v>40</v>
      </c>
      <c r="H56" s="381" t="str" cm="1">
        <f t="array" ref="H56">IF($B56="","",IF(UPPER(TRIM($D56))="QT. SUFFISANTE","Qt. suffisante",IF($O56="","",IF($L56="MASSE",IF($O56&gt;=1,"Kg","g"),IF($L56="VOLUME",IF($O56&gt;=1,"L","cl"),INDEX($AL$72:$AL$430,$K56))))))</f>
        <v>plaque(s)</v>
      </c>
      <c r="I56" s="382" t="str" cm="1">
        <f t="array" ref="I56">IF($B56="","",INDEX($AM$72:$AM$430,$K56))</f>
        <v>OK</v>
      </c>
      <c r="J56" s="271"/>
      <c r="K56" s="383">
        <f>1+($B$5-1)*36+34</f>
        <v>143</v>
      </c>
      <c r="L56" s="383" t="str" cm="1">
        <f t="array" ref="L56">IF($B56="","",INDEX($AI$72:$AI$430,$K56))</f>
        <v>AUTRE</v>
      </c>
      <c r="M56" s="383" cm="1">
        <f t="array" ref="M56">IF($B56="","",INDEX($AJ$72:$AJ$430,$K56))</f>
        <v>1</v>
      </c>
      <c r="N56" s="384" cm="1">
        <f t="array" ref="N56">IF(OR($B56="",$B$13="",$B$12="",$B$12=0),"",IF($L$22="AUTRE",IFERROR(INDEX($AK$72:$AK$430,$K56)*($B$13/$B$12),""),IF(OR($C$12="",$C$13=""),"",IFERROR(INDEX($AK$72:$AK$430,$K56)*(($B$13*VLOOKUP($C$13,$AY$74:$BA$119,3,FALSE))/($B$12*VLOOKUP($C$12,$AY$74:$BA$119,3,FALSE))),""))))</f>
        <v>13.333333333333332</v>
      </c>
      <c r="O56" s="384" cm="1">
        <f t="array" ref="O56">IF(OR($B56="",$G$12="",$G$11="",$G$11=0),"",IFERROR(INDEX($AK$72:$AK$430,$K56)*($G$12/$G$11),""))</f>
        <v>40</v>
      </c>
      <c r="U56" s="422" t="s">
        <v>7922</v>
      </c>
      <c r="V56" s="423" t="s">
        <v>8090</v>
      </c>
      <c r="W56" s="156"/>
      <c r="X56" s="156"/>
      <c r="Y56" s="156"/>
      <c r="Z56" s="156"/>
      <c r="AA56" s="156"/>
      <c r="AN56" s="659"/>
      <c r="AO56" s="659"/>
      <c r="AP56" s="659"/>
      <c r="AQ56" s="659"/>
      <c r="AR56" s="659"/>
      <c r="AS56" s="659"/>
      <c r="AT56" s="659"/>
      <c r="AU56" s="659"/>
      <c r="AV56" s="659"/>
      <c r="AW56" s="659"/>
      <c r="AX56" s="659"/>
      <c r="AY56" s="659"/>
      <c r="AZ56" s="659"/>
      <c r="BA56" s="659"/>
      <c r="BB56" s="659"/>
      <c r="BD56" s="279">
        <v>1</v>
      </c>
    </row>
    <row r="57" spans="1:64" ht="21" customHeight="1" x14ac:dyDescent="0.25">
      <c r="A57" s="284"/>
      <c r="B57" s="425"/>
      <c r="C57" s="426"/>
      <c r="D57" s="426"/>
      <c r="E57" s="427"/>
      <c r="F57" s="427"/>
      <c r="G57" s="427"/>
      <c r="H57" s="427"/>
      <c r="I57" s="284"/>
      <c r="J57" s="271"/>
      <c r="U57" s="422" t="s">
        <v>7926</v>
      </c>
      <c r="V57" s="423" t="s">
        <v>8091</v>
      </c>
      <c r="W57" s="156"/>
      <c r="X57" s="156"/>
      <c r="Y57" s="156"/>
      <c r="Z57" s="156"/>
      <c r="AA57" s="156"/>
      <c r="AN57" s="659"/>
      <c r="AO57" s="659"/>
      <c r="AP57" s="659"/>
      <c r="AQ57" s="659"/>
      <c r="AR57" s="659"/>
      <c r="AS57" s="659"/>
      <c r="AT57" s="659"/>
      <c r="AU57" s="659"/>
      <c r="AV57" s="659"/>
      <c r="AW57" s="659"/>
      <c r="AX57" s="659"/>
      <c r="AY57" s="659"/>
      <c r="AZ57" s="659"/>
      <c r="BA57" s="659"/>
      <c r="BB57" s="659"/>
      <c r="BD57" s="279">
        <v>1</v>
      </c>
      <c r="BI57" s="271"/>
      <c r="BJ57" s="271"/>
      <c r="BK57" s="271"/>
      <c r="BL57" s="271"/>
    </row>
    <row r="58" spans="1:64" ht="21" customHeight="1" x14ac:dyDescent="0.25">
      <c r="A58" s="661" t="s">
        <v>8092</v>
      </c>
      <c r="B58" s="662"/>
      <c r="C58" s="662"/>
      <c r="D58" s="662"/>
      <c r="E58" s="662"/>
      <c r="F58" s="662"/>
      <c r="G58" s="662"/>
      <c r="H58" s="662"/>
      <c r="I58" s="663"/>
      <c r="J58" s="271"/>
      <c r="U58" s="422" t="s">
        <v>7931</v>
      </c>
      <c r="V58" s="423" t="s">
        <v>8093</v>
      </c>
      <c r="W58" s="156"/>
      <c r="X58" s="156"/>
      <c r="Y58" s="156"/>
      <c r="Z58" s="156"/>
      <c r="AA58" s="156"/>
      <c r="AN58" s="659"/>
      <c r="AO58" s="659"/>
      <c r="AP58" s="659"/>
      <c r="AQ58" s="659"/>
      <c r="AR58" s="659"/>
      <c r="AS58" s="659"/>
      <c r="AT58" s="659"/>
      <c r="AU58" s="659"/>
      <c r="AV58" s="659"/>
      <c r="AW58" s="659"/>
      <c r="AX58" s="659"/>
      <c r="AY58" s="659"/>
      <c r="AZ58" s="659"/>
      <c r="BA58" s="659"/>
      <c r="BB58" s="659"/>
      <c r="BD58" s="279">
        <v>1</v>
      </c>
      <c r="BI58" s="271"/>
      <c r="BJ58" s="271"/>
      <c r="BK58" s="271"/>
      <c r="BL58" s="271"/>
    </row>
    <row r="59" spans="1:64" ht="21" customHeight="1" x14ac:dyDescent="0.25">
      <c r="A59" s="284"/>
      <c r="B59" s="284"/>
      <c r="C59" s="284"/>
      <c r="D59" s="284"/>
      <c r="E59" s="284"/>
      <c r="F59" s="284"/>
      <c r="G59" s="284"/>
      <c r="H59" s="284"/>
      <c r="I59" s="284"/>
      <c r="J59" s="271"/>
      <c r="U59" s="422" t="s">
        <v>7938</v>
      </c>
      <c r="V59" s="423" t="s">
        <v>8094</v>
      </c>
      <c r="W59" s="156"/>
      <c r="X59" s="156"/>
      <c r="Y59" s="156"/>
      <c r="Z59" s="156"/>
      <c r="AA59" s="156"/>
      <c r="AN59" s="659"/>
      <c r="AO59" s="659"/>
      <c r="AP59" s="659"/>
      <c r="AQ59" s="659"/>
      <c r="AR59" s="659"/>
      <c r="AS59" s="659"/>
      <c r="AT59" s="659"/>
      <c r="AU59" s="659"/>
      <c r="AV59" s="659"/>
      <c r="AW59" s="659"/>
      <c r="AX59" s="659"/>
      <c r="AY59" s="659"/>
      <c r="AZ59" s="659"/>
      <c r="BA59" s="659"/>
      <c r="BB59" s="659"/>
      <c r="BD59" s="279">
        <v>1</v>
      </c>
      <c r="BI59" s="271"/>
      <c r="BJ59" s="271"/>
      <c r="BK59" s="271"/>
      <c r="BL59" s="271"/>
    </row>
    <row r="60" spans="1:64" ht="21" customHeight="1" x14ac:dyDescent="0.25">
      <c r="A60" s="723" t="s">
        <v>8095</v>
      </c>
      <c r="B60" s="724"/>
      <c r="C60" s="724"/>
      <c r="D60" s="724"/>
      <c r="E60" s="724"/>
      <c r="F60" s="724"/>
      <c r="G60" s="724"/>
      <c r="H60" s="724"/>
      <c r="I60" s="725"/>
      <c r="J60" s="271"/>
      <c r="U60" s="422" t="s">
        <v>7946</v>
      </c>
      <c r="V60" s="423" t="s">
        <v>8096</v>
      </c>
      <c r="W60" s="156"/>
      <c r="X60" s="156"/>
      <c r="Y60" s="156"/>
      <c r="Z60" s="156"/>
      <c r="AA60" s="156"/>
      <c r="AN60" s="659"/>
      <c r="AO60" s="659"/>
      <c r="AP60" s="659"/>
      <c r="AQ60" s="659"/>
      <c r="AR60" s="659"/>
      <c r="AS60" s="659"/>
      <c r="AT60" s="659"/>
      <c r="AU60" s="659"/>
      <c r="AV60" s="659"/>
      <c r="AW60" s="659"/>
      <c r="AX60" s="659"/>
      <c r="AY60" s="659"/>
      <c r="AZ60" s="659"/>
      <c r="BA60" s="659"/>
      <c r="BB60" s="659"/>
      <c r="BD60" s="279">
        <v>1</v>
      </c>
      <c r="BI60" s="271"/>
      <c r="BJ60" s="271"/>
      <c r="BK60" s="271"/>
      <c r="BL60" s="271"/>
    </row>
    <row r="61" spans="1:64" ht="21" customHeight="1" x14ac:dyDescent="0.25">
      <c r="A61" s="428"/>
      <c r="B61" s="667" t="s">
        <v>8097</v>
      </c>
      <c r="C61" s="667"/>
      <c r="D61" s="667"/>
      <c r="E61" s="667"/>
      <c r="F61" s="667"/>
      <c r="G61" s="667"/>
      <c r="H61" s="667"/>
      <c r="I61" s="668"/>
      <c r="J61" s="271"/>
      <c r="U61" s="422" t="s">
        <v>7951</v>
      </c>
      <c r="V61" s="423" t="s">
        <v>8098</v>
      </c>
      <c r="W61" s="156"/>
      <c r="X61" s="156"/>
      <c r="Y61" s="156"/>
      <c r="Z61" s="156"/>
      <c r="AA61" s="156"/>
      <c r="AN61" s="659"/>
      <c r="AO61" s="659"/>
      <c r="AP61" s="659"/>
      <c r="AQ61" s="659"/>
      <c r="AR61" s="659"/>
      <c r="AS61" s="659"/>
      <c r="AT61" s="659"/>
      <c r="AU61" s="659"/>
      <c r="AV61" s="659"/>
      <c r="AW61" s="659"/>
      <c r="AX61" s="659"/>
      <c r="AY61" s="659"/>
      <c r="AZ61" s="659"/>
      <c r="BA61" s="659"/>
      <c r="BB61" s="659"/>
      <c r="BD61" s="279">
        <v>1</v>
      </c>
      <c r="BI61" s="271"/>
      <c r="BJ61" s="271"/>
      <c r="BK61" s="271"/>
      <c r="BL61" s="271"/>
    </row>
    <row r="62" spans="1:64" ht="21" customHeight="1" x14ac:dyDescent="0.25">
      <c r="A62" s="429"/>
      <c r="B62" s="669"/>
      <c r="C62" s="669"/>
      <c r="D62" s="669"/>
      <c r="E62" s="669"/>
      <c r="F62" s="669"/>
      <c r="G62" s="669"/>
      <c r="H62" s="669"/>
      <c r="I62" s="670"/>
      <c r="J62" s="271"/>
      <c r="U62" s="422" t="s">
        <v>7975</v>
      </c>
      <c r="V62" s="430" t="s">
        <v>8099</v>
      </c>
      <c r="W62" s="156"/>
      <c r="X62" s="156"/>
      <c r="Y62" s="156"/>
      <c r="Z62" s="156"/>
      <c r="AA62" s="156"/>
      <c r="AN62" s="659"/>
      <c r="AO62" s="659"/>
      <c r="AP62" s="659"/>
      <c r="AQ62" s="659"/>
      <c r="AR62" s="659"/>
      <c r="AS62" s="659"/>
      <c r="AT62" s="659"/>
      <c r="AU62" s="659"/>
      <c r="AV62" s="659"/>
      <c r="AW62" s="659"/>
      <c r="AX62" s="659"/>
      <c r="AY62" s="659"/>
      <c r="AZ62" s="659"/>
      <c r="BA62" s="659"/>
      <c r="BB62" s="659"/>
      <c r="BD62" s="279">
        <v>1</v>
      </c>
      <c r="BI62" s="271"/>
      <c r="BJ62" s="271"/>
      <c r="BK62" s="271"/>
      <c r="BL62" s="271"/>
    </row>
    <row r="63" spans="1:64" ht="21" customHeight="1" x14ac:dyDescent="0.25">
      <c r="A63" s="431"/>
      <c r="B63" s="671"/>
      <c r="C63" s="671"/>
      <c r="D63" s="671"/>
      <c r="E63" s="671"/>
      <c r="F63" s="671"/>
      <c r="G63" s="671"/>
      <c r="H63" s="671"/>
      <c r="I63" s="672"/>
      <c r="J63" s="271"/>
      <c r="U63" s="422" t="s">
        <v>7995</v>
      </c>
      <c r="V63" s="423" t="s">
        <v>8100</v>
      </c>
      <c r="W63" s="156"/>
      <c r="X63" s="156"/>
      <c r="Y63" s="156"/>
      <c r="Z63" s="156"/>
      <c r="AA63" s="156"/>
      <c r="AN63" s="659"/>
      <c r="AO63" s="659"/>
      <c r="AP63" s="659"/>
      <c r="AQ63" s="659"/>
      <c r="AR63" s="659"/>
      <c r="AS63" s="659"/>
      <c r="AT63" s="659"/>
      <c r="AU63" s="659"/>
      <c r="AV63" s="659"/>
      <c r="AW63" s="659"/>
      <c r="AX63" s="659"/>
      <c r="AY63" s="659"/>
      <c r="AZ63" s="659"/>
      <c r="BA63" s="659"/>
      <c r="BB63" s="659"/>
      <c r="BC63" s="271"/>
      <c r="BD63" s="279">
        <v>1</v>
      </c>
      <c r="BE63" s="271"/>
      <c r="BF63" s="271"/>
      <c r="BG63" s="271"/>
      <c r="BH63" s="271"/>
      <c r="BI63" s="271"/>
      <c r="BJ63" s="271"/>
      <c r="BK63" s="271"/>
      <c r="BL63" s="271"/>
    </row>
    <row r="64" spans="1:64" ht="15.75" customHeight="1" x14ac:dyDescent="0.25">
      <c r="A64" s="432" t="s">
        <v>2</v>
      </c>
      <c r="B64" s="433" t="str" cm="1">
        <f t="array" aca="1" ref="B64" ca="1">CELL("nomfichier")</f>
        <v>D:\Données\1.UPRT\0-UPRT.fait\1-UPRT.FR-SITE-WEB\ff-fiches-fabrications\ff.fiches.fabrication.2023\ffr-restaurant-2026\[02-06-recettes-entrees-cuisine-collective-fiches-techniques.xlsx]H.O.FROIDS.11.à.20</v>
      </c>
      <c r="C64" s="271"/>
      <c r="D64" s="271"/>
      <c r="E64" s="271"/>
      <c r="F64" s="271"/>
      <c r="G64" s="271"/>
      <c r="H64" s="271"/>
      <c r="I64" s="271"/>
      <c r="J64" s="271"/>
      <c r="K64" s="271"/>
      <c r="L64" s="271"/>
      <c r="M64" s="271"/>
      <c r="N64" s="271"/>
      <c r="O64" s="271"/>
      <c r="P64" s="271"/>
      <c r="Q64" s="271"/>
      <c r="R64" s="271"/>
      <c r="S64" s="271"/>
      <c r="U64" s="422" t="s">
        <v>7998</v>
      </c>
      <c r="V64" s="423" t="s">
        <v>8101</v>
      </c>
      <c r="W64" s="156"/>
      <c r="X64" s="156"/>
      <c r="Y64" s="156"/>
      <c r="Z64" s="156"/>
      <c r="AA64" s="156"/>
      <c r="AB64" s="220"/>
      <c r="AC64" s="220"/>
      <c r="AD64" s="220"/>
      <c r="AE64" s="220"/>
      <c r="AF64" s="220"/>
      <c r="AG64" s="220"/>
      <c r="AH64" s="220"/>
      <c r="AI64" s="220"/>
      <c r="AJ64" s="220"/>
      <c r="AK64" s="220"/>
      <c r="AL64" s="220"/>
      <c r="AN64" s="659"/>
      <c r="AO64" s="659"/>
      <c r="AP64" s="659"/>
      <c r="AQ64" s="659"/>
      <c r="AR64" s="659"/>
      <c r="AS64" s="659"/>
      <c r="AT64" s="659"/>
      <c r="AU64" s="659"/>
      <c r="AV64" s="659"/>
      <c r="AW64" s="659"/>
      <c r="AX64" s="659"/>
      <c r="AY64" s="659"/>
      <c r="AZ64" s="659"/>
      <c r="BA64" s="659"/>
      <c r="BB64" s="659"/>
      <c r="BC64" s="271"/>
      <c r="BD64" s="279">
        <v>1</v>
      </c>
      <c r="BE64" s="271"/>
      <c r="BF64" s="271"/>
      <c r="BG64" s="271"/>
      <c r="BH64" s="271"/>
      <c r="BI64" s="271"/>
      <c r="BJ64" s="271"/>
      <c r="BK64" s="271"/>
      <c r="BL64" s="271"/>
    </row>
    <row r="65" spans="1:111" x14ac:dyDescent="0.25">
      <c r="A65" s="271"/>
      <c r="B65" s="271"/>
      <c r="C65" s="271"/>
      <c r="D65" s="271"/>
      <c r="E65" s="271"/>
      <c r="F65" s="271"/>
      <c r="G65" s="271"/>
      <c r="H65" s="271"/>
      <c r="I65" s="271"/>
      <c r="J65" s="271"/>
      <c r="K65" s="271"/>
      <c r="L65" s="271"/>
      <c r="M65" s="271"/>
      <c r="N65" s="271"/>
      <c r="O65" s="271"/>
      <c r="P65" s="271"/>
      <c r="Q65" s="271"/>
      <c r="R65" s="271"/>
      <c r="S65" s="271"/>
      <c r="T65" s="271"/>
      <c r="U65" s="422" t="s">
        <v>8102</v>
      </c>
      <c r="V65" s="434" t="s">
        <v>8103</v>
      </c>
      <c r="W65" s="156"/>
      <c r="X65" s="156"/>
      <c r="Y65" s="156"/>
      <c r="Z65" s="156"/>
      <c r="AA65" s="156"/>
      <c r="AB65" s="220"/>
      <c r="AC65" s="220"/>
      <c r="AD65" s="220"/>
      <c r="AE65" s="220"/>
      <c r="AF65" s="220"/>
      <c r="AG65" s="220"/>
      <c r="AH65" s="220"/>
      <c r="AI65" s="220"/>
      <c r="AJ65" s="220"/>
      <c r="AK65" s="271"/>
      <c r="AL65" s="271"/>
      <c r="AN65" s="659"/>
      <c r="AO65" s="659"/>
      <c r="AP65" s="659"/>
      <c r="AQ65" s="659"/>
      <c r="AR65" s="659"/>
      <c r="AS65" s="659"/>
      <c r="AT65" s="659"/>
      <c r="AU65" s="659"/>
      <c r="AV65" s="659"/>
      <c r="AW65" s="659"/>
      <c r="AX65" s="659"/>
      <c r="AY65" s="659"/>
      <c r="AZ65" s="659"/>
      <c r="BA65" s="659"/>
      <c r="BB65" s="659"/>
      <c r="BC65" s="271"/>
      <c r="BD65" s="279">
        <v>1</v>
      </c>
      <c r="BE65" s="271"/>
      <c r="BF65" s="271"/>
      <c r="BG65" s="271"/>
      <c r="BH65" s="271"/>
      <c r="BI65" s="271"/>
      <c r="BJ65" s="271"/>
      <c r="BK65" s="271"/>
      <c r="BL65" s="271"/>
      <c r="BM65" s="271"/>
      <c r="BN65" s="271"/>
      <c r="BO65" s="271"/>
      <c r="BP65" s="271"/>
      <c r="BQ65" s="271"/>
      <c r="BR65" s="271"/>
      <c r="BS65" s="271"/>
      <c r="BT65" s="271"/>
      <c r="BU65" s="271"/>
      <c r="BV65" s="271"/>
      <c r="BW65" s="271"/>
      <c r="BX65" s="271"/>
      <c r="BY65" s="271"/>
      <c r="BZ65" s="271"/>
      <c r="CA65" s="271"/>
      <c r="CB65" s="271"/>
      <c r="CC65" s="271"/>
      <c r="CD65" s="271"/>
      <c r="CE65" s="271"/>
      <c r="CF65" s="271"/>
      <c r="CG65" s="271"/>
      <c r="CH65" s="271"/>
      <c r="CI65" s="271"/>
      <c r="CJ65" s="271"/>
      <c r="CK65" s="271"/>
      <c r="CL65" s="271"/>
      <c r="CM65" s="271"/>
      <c r="CN65" s="271"/>
      <c r="CO65" s="271"/>
      <c r="CP65" s="271"/>
      <c r="CQ65" s="271"/>
      <c r="CR65" s="271"/>
      <c r="CS65" s="271"/>
      <c r="CT65" s="271"/>
      <c r="CU65" s="271"/>
      <c r="CV65" s="271"/>
      <c r="CW65" s="271"/>
      <c r="CX65" s="271"/>
      <c r="CY65" s="271"/>
      <c r="CZ65" s="271"/>
      <c r="DA65" s="271"/>
      <c r="DB65" s="271"/>
      <c r="DC65" s="271"/>
      <c r="DD65" s="271"/>
      <c r="DE65" s="271"/>
      <c r="DF65" s="271"/>
      <c r="DG65" s="271"/>
    </row>
    <row r="66" spans="1:111" ht="15.75" customHeight="1" x14ac:dyDescent="0.25">
      <c r="U66" s="422" t="s">
        <v>8047</v>
      </c>
      <c r="V66" s="434" t="s">
        <v>8104</v>
      </c>
      <c r="W66" s="435"/>
      <c r="X66" s="435"/>
      <c r="Y66" s="435"/>
      <c r="Z66" s="435"/>
      <c r="AA66" s="435"/>
      <c r="AB66" s="271"/>
      <c r="AC66" s="271"/>
      <c r="AD66" s="220"/>
      <c r="AE66" s="220"/>
      <c r="AF66" s="220"/>
      <c r="AG66" s="220"/>
      <c r="AH66" s="220"/>
      <c r="AI66" s="220"/>
      <c r="AJ66" s="220"/>
      <c r="AK66" s="271"/>
      <c r="AL66" s="271"/>
      <c r="AM66" s="271"/>
      <c r="AN66" s="660" t="s">
        <v>8105</v>
      </c>
      <c r="AO66" s="660"/>
      <c r="AP66" s="660"/>
      <c r="AQ66" s="660"/>
      <c r="AR66" s="660"/>
      <c r="AS66" s="660"/>
      <c r="AT66" s="660"/>
      <c r="AU66" s="660"/>
      <c r="AV66" s="660"/>
      <c r="AW66" s="660"/>
      <c r="AX66" s="660"/>
      <c r="AY66" s="660"/>
      <c r="AZ66" s="660"/>
      <c r="BA66" s="660"/>
      <c r="BB66" s="660"/>
      <c r="BC66" s="271"/>
      <c r="BD66" s="279">
        <v>1</v>
      </c>
      <c r="BE66" s="271"/>
      <c r="BF66" s="271"/>
      <c r="BG66" s="271"/>
      <c r="BH66" s="271"/>
      <c r="BI66" s="271"/>
      <c r="BJ66" s="271"/>
      <c r="BK66" s="271"/>
      <c r="BL66" s="271"/>
    </row>
    <row r="67" spans="1:111" ht="15.75" customHeight="1" x14ac:dyDescent="0.25">
      <c r="U67" s="156"/>
      <c r="V67" s="435"/>
      <c r="W67" s="435"/>
      <c r="X67" s="435"/>
      <c r="Y67" s="435"/>
      <c r="Z67" s="435"/>
      <c r="AA67" s="435"/>
      <c r="AB67" s="655" t="str">
        <f>IF(AND(COUNTIF(AC72:AC430,"*~**")=0,COUNTIF(AC72:AC430,"*~?*")=0),"",IF(COUNTIF(AC72:AC430,"*~**")&gt;0,COUNTIF(AC72:AC430,"*~**")&amp;" allergène"&amp;IF(COUNTIF(AC72:AC430,"*~**")&gt;1,"s","")&amp;" repéré"&amp;IF(COUNTIF(AC72:AC430,"*~**")&gt;1,"s","")&amp;" par *","")&amp;IF(AND(COUNTIF(AC72:AC430,"*~**")&gt;0,COUNTIF(AC72:AC430,"*~?*")&gt;0)," | ","")&amp;IF(COUNTIF(AC72:AC430,"*~?*")&gt;0,COUNTIF(AC72:AC430,"*~?*")&amp;" produit"&amp;IF(COUNTIF(AC72:AC430,"*~?*")&gt;1,"s","")&amp;" à vérifier par ?",""))</f>
        <v>53 allergènes repérés par * | 1 produit à vérifier par ?</v>
      </c>
      <c r="AC67" s="655"/>
      <c r="AD67" s="436" t="s">
        <v>8106</v>
      </c>
      <c r="AE67" s="436"/>
      <c r="AF67" s="436"/>
      <c r="AG67" s="271"/>
      <c r="AH67" s="271"/>
      <c r="AI67" s="271"/>
      <c r="AJ67" s="271"/>
      <c r="AK67" s="271"/>
      <c r="AL67" s="271"/>
      <c r="AM67" s="271"/>
      <c r="AN67" s="660"/>
      <c r="AO67" s="660"/>
      <c r="AP67" s="660"/>
      <c r="AQ67" s="660"/>
      <c r="AR67" s="660"/>
      <c r="AS67" s="660"/>
      <c r="AT67" s="660"/>
      <c r="AU67" s="660"/>
      <c r="AV67" s="660"/>
      <c r="AW67" s="660"/>
      <c r="AX67" s="660"/>
      <c r="AY67" s="660"/>
      <c r="AZ67" s="660"/>
      <c r="BA67" s="660"/>
      <c r="BB67" s="660"/>
      <c r="BC67" s="271"/>
      <c r="BD67" s="279"/>
      <c r="BE67" s="271"/>
      <c r="BF67" s="271"/>
      <c r="BG67" s="271"/>
      <c r="BH67" s="271"/>
      <c r="BI67" s="271"/>
      <c r="BJ67" s="271"/>
      <c r="BK67" s="271"/>
      <c r="BL67" s="271"/>
    </row>
    <row r="68" spans="1:111" ht="15.75" customHeight="1" x14ac:dyDescent="0.25">
      <c r="R68" s="437" t="s">
        <v>8107</v>
      </c>
      <c r="U68" s="156"/>
      <c r="V68" s="435"/>
      <c r="W68" s="435"/>
      <c r="X68" s="435"/>
      <c r="Y68" s="435"/>
      <c r="Z68" s="435"/>
      <c r="AA68" s="435"/>
      <c r="AB68" s="655"/>
      <c r="AC68" s="655"/>
      <c r="AD68" s="436" t="s">
        <v>8108</v>
      </c>
      <c r="AE68" s="436"/>
      <c r="AF68" s="436"/>
      <c r="AG68" s="271"/>
      <c r="AH68" s="271"/>
      <c r="AI68" s="271"/>
      <c r="AJ68" s="271"/>
      <c r="AK68" s="271"/>
      <c r="AL68" s="271"/>
      <c r="AM68" s="271"/>
      <c r="AN68" s="438" t="s">
        <v>8109</v>
      </c>
      <c r="AO68" s="438"/>
      <c r="AP68" s="271"/>
      <c r="BC68" s="271"/>
      <c r="BD68" s="279">
        <v>1</v>
      </c>
      <c r="BE68" s="271"/>
      <c r="BF68" s="271"/>
      <c r="BG68" s="271"/>
      <c r="BH68" s="271"/>
      <c r="BI68" s="271"/>
      <c r="BJ68" s="271"/>
      <c r="BK68" s="271"/>
      <c r="BL68" s="271"/>
    </row>
    <row r="69" spans="1:111" x14ac:dyDescent="0.25">
      <c r="R69" s="422" t="str">
        <f>SUBSTITUTE(ADDRESS(1,COLUMN(),4),"1","")</f>
        <v>R</v>
      </c>
      <c r="T69" s="422" t="str">
        <f>SUBSTITUTE(ADDRESS(1,COLUMN(),4),"1","")</f>
        <v>T</v>
      </c>
      <c r="V69" s="422" t="str">
        <f t="shared" ref="V69:AF69" si="2">SUBSTITUTE(ADDRESS(1,COLUMN(),4),"1","")</f>
        <v>V</v>
      </c>
      <c r="W69" s="422" t="str">
        <f t="shared" si="2"/>
        <v>W</v>
      </c>
      <c r="X69" s="422" t="str">
        <f t="shared" si="2"/>
        <v>X</v>
      </c>
      <c r="Y69" s="422" t="str">
        <f t="shared" si="2"/>
        <v>Y</v>
      </c>
      <c r="Z69" s="422" t="str">
        <f t="shared" si="2"/>
        <v>Z</v>
      </c>
      <c r="AA69" s="422" t="str">
        <f t="shared" si="2"/>
        <v>AA</v>
      </c>
      <c r="AB69" s="422" t="str">
        <f t="shared" si="2"/>
        <v>AB</v>
      </c>
      <c r="AC69" s="422" t="str">
        <f t="shared" si="2"/>
        <v>AC</v>
      </c>
      <c r="AD69" s="422" t="str">
        <f t="shared" si="2"/>
        <v>AD</v>
      </c>
      <c r="AE69" s="422" t="str">
        <f t="shared" si="2"/>
        <v>AE</v>
      </c>
      <c r="AF69" s="422" t="str">
        <f t="shared" si="2"/>
        <v>AF</v>
      </c>
      <c r="AG69" s="395"/>
      <c r="AH69" s="395"/>
      <c r="AI69" s="395"/>
      <c r="AJ69" s="395"/>
      <c r="AK69" s="395"/>
      <c r="AL69" s="395"/>
      <c r="AM69" s="439" t="str">
        <f>SUBSTITUTE(ADDRESS(1,COLUMN(),4),"1","")</f>
        <v>AM</v>
      </c>
      <c r="AN69" s="395" t="str">
        <f>SUBSTITUTE(ADDRESS(1,COLUMN(),4),"1","")</f>
        <v>AN</v>
      </c>
      <c r="AO69" s="395" t="str">
        <f>SUBSTITUTE(ADDRESS(1,COLUMN(),4),"1","")</f>
        <v>AO</v>
      </c>
      <c r="AP69" s="395" t="str">
        <f t="shared" ref="AP69:AU69" si="3">SUBSTITUTE(ADDRESS(1,COLUMN(),4),"1","")</f>
        <v>AP</v>
      </c>
      <c r="AQ69" s="395" t="str">
        <f t="shared" si="3"/>
        <v>AQ</v>
      </c>
      <c r="AR69" s="395" t="str">
        <f t="shared" si="3"/>
        <v>AR</v>
      </c>
      <c r="AS69" s="395" t="str">
        <f t="shared" si="3"/>
        <v>AS</v>
      </c>
      <c r="AT69" s="395" t="str">
        <f t="shared" si="3"/>
        <v>AT</v>
      </c>
      <c r="AU69" s="395" t="str">
        <f t="shared" si="3"/>
        <v>AU</v>
      </c>
      <c r="BC69" s="271"/>
      <c r="BD69" s="279">
        <v>1</v>
      </c>
      <c r="BE69" s="271"/>
      <c r="BF69" s="271"/>
      <c r="BG69" s="271"/>
      <c r="BH69" s="271"/>
      <c r="BI69" s="271"/>
      <c r="BJ69" s="271"/>
      <c r="BK69" s="271"/>
      <c r="BL69" s="271"/>
    </row>
    <row r="70" spans="1:111" ht="35.25" customHeight="1" x14ac:dyDescent="0.25">
      <c r="R70" s="440" t="s">
        <v>484</v>
      </c>
      <c r="T70" s="440" t="s">
        <v>8110</v>
      </c>
      <c r="V70" s="441" t="s">
        <v>8111</v>
      </c>
      <c r="W70" s="442"/>
      <c r="X70" s="442"/>
      <c r="Y70" s="442"/>
      <c r="Z70" s="442"/>
      <c r="AA70" s="442"/>
      <c r="AB70" s="442"/>
      <c r="AC70" s="442"/>
      <c r="AD70" s="443"/>
      <c r="AE70" s="442"/>
      <c r="AF70" s="442"/>
      <c r="AG70" s="444" t="s">
        <v>8112</v>
      </c>
      <c r="AH70" s="445"/>
      <c r="AI70" s="445"/>
      <c r="AJ70" s="445"/>
      <c r="AK70" s="445"/>
      <c r="AL70" s="445"/>
      <c r="AM70" s="446"/>
      <c r="AN70" s="444" t="s">
        <v>8112</v>
      </c>
      <c r="AO70" s="447"/>
      <c r="AP70" s="447"/>
      <c r="AQ70" s="447"/>
      <c r="AR70" s="447"/>
      <c r="AS70" s="447"/>
      <c r="AT70" s="447"/>
      <c r="AU70" s="447"/>
      <c r="AY70" s="448" t="str">
        <f>ADDRESS(ROW(),COLUMN(),4)</f>
        <v>AY70</v>
      </c>
      <c r="AZ70" s="449"/>
      <c r="BA70" s="449"/>
      <c r="BB70" s="450"/>
      <c r="BD70" s="279">
        <v>1</v>
      </c>
      <c r="BG70" s="271"/>
      <c r="BH70" s="271"/>
      <c r="BI70" s="271"/>
      <c r="BJ70" s="271"/>
      <c r="BK70" s="271"/>
      <c r="BL70" s="271"/>
    </row>
    <row r="71" spans="1:111" ht="34.5" customHeight="1" x14ac:dyDescent="0.25">
      <c r="R71" s="25" t="s">
        <v>6115</v>
      </c>
      <c r="S71" s="451"/>
      <c r="T71" s="452" t="s">
        <v>8113</v>
      </c>
      <c r="V71" s="453" t="s">
        <v>324</v>
      </c>
      <c r="W71" s="453" t="s">
        <v>7912</v>
      </c>
      <c r="X71" s="453" t="s">
        <v>326</v>
      </c>
      <c r="Y71" s="453" t="s">
        <v>327</v>
      </c>
      <c r="Z71" s="454" t="s">
        <v>7930</v>
      </c>
      <c r="AA71" s="453" t="s">
        <v>7937</v>
      </c>
      <c r="AB71" s="455" t="s">
        <v>39</v>
      </c>
      <c r="AC71" s="455" t="s">
        <v>338</v>
      </c>
      <c r="AD71" s="455" t="s">
        <v>8114</v>
      </c>
      <c r="AE71" s="455" t="s">
        <v>339</v>
      </c>
      <c r="AF71" s="455" t="s">
        <v>7997</v>
      </c>
      <c r="AG71" s="456" t="s">
        <v>8018</v>
      </c>
      <c r="AH71" s="456" t="s">
        <v>8023</v>
      </c>
      <c r="AI71" s="456" t="s">
        <v>330</v>
      </c>
      <c r="AJ71" s="456" t="s">
        <v>8031</v>
      </c>
      <c r="AK71" s="453" t="s">
        <v>8037</v>
      </c>
      <c r="AL71" s="453" t="s">
        <v>8041</v>
      </c>
      <c r="AM71" s="456" t="s">
        <v>343</v>
      </c>
      <c r="AN71" s="457" t="s">
        <v>8115</v>
      </c>
      <c r="AO71" s="457" t="s">
        <v>8116</v>
      </c>
      <c r="AP71" s="656" t="s">
        <v>8117</v>
      </c>
      <c r="AQ71" s="656"/>
      <c r="AR71" s="656"/>
      <c r="AS71" s="656"/>
      <c r="AT71" s="656"/>
      <c r="AU71" s="657"/>
      <c r="AY71" s="448" t="s">
        <v>8118</v>
      </c>
      <c r="AZ71" s="448" t="s">
        <v>8119</v>
      </c>
      <c r="BA71" s="448"/>
      <c r="BB71" s="458"/>
      <c r="BD71" s="279">
        <v>1</v>
      </c>
      <c r="BG71" s="271"/>
      <c r="BH71" s="271"/>
      <c r="BI71" s="271"/>
      <c r="BJ71" s="271"/>
      <c r="BK71" s="271"/>
      <c r="BL71" s="271"/>
    </row>
    <row r="72" spans="1:111" ht="30" customHeight="1" x14ac:dyDescent="0.25">
      <c r="R72" s="34" t="s">
        <v>471</v>
      </c>
      <c r="S72" s="451"/>
      <c r="T72" s="14" t="s">
        <v>7</v>
      </c>
      <c r="V72" s="459">
        <v>1</v>
      </c>
      <c r="W72" s="12" t="s">
        <v>190</v>
      </c>
      <c r="X72" s="492" t="s">
        <v>189</v>
      </c>
      <c r="Y72" s="462">
        <v>42</v>
      </c>
      <c r="Z72" s="463">
        <v>100</v>
      </c>
      <c r="AA72" s="464">
        <f>IF($AC$396="","",ROW($A$396)-ROW($A$396))</f>
        <v>0</v>
      </c>
      <c r="AB72" s="461"/>
      <c r="AC72" s="465" t="s">
        <v>382</v>
      </c>
      <c r="AD72" s="390"/>
      <c r="AE72" s="13">
        <v>2</v>
      </c>
      <c r="AF72" s="11" t="s">
        <v>7</v>
      </c>
      <c r="AG72" s="467">
        <f t="shared" ref="AG72:AG106" si="4">IF($AC72="","",IF(LEN($AN72&amp;"")=0,"",$AN72))</f>
        <v>2</v>
      </c>
      <c r="AH72" s="468" t="str">
        <f t="shared" ref="AH72:AH106" si="5">IF($AC72="","",IF($AF72&lt;&gt;"",UPPER(TRIM(SUBSTITUTE(SUBSTITUTE($AF72&amp;"",CHAR(160)," ")," "," "))),$AP72))</f>
        <v>KG</v>
      </c>
      <c r="AI72" s="469" t="str">
        <f>IF($AC$72="","",IFERROR(INDEX($AZ$74:$AZ$119,MATCH($AH$72,$AY$74:$AY$119,0)),"AUTRE"))</f>
        <v>MASSE</v>
      </c>
      <c r="AJ72" s="470">
        <f>IF($AC$72="","",IFERROR(INDEX($BA$74:$BA$119,MATCH($AH$72,$AY$74:$AY$119,0)),1))</f>
        <v>1</v>
      </c>
      <c r="AK72" s="470">
        <f t="shared" ref="AK72:AK106" si="6">IF(OR(AG72="",AJ72=""),"",AG72*AJ72)</f>
        <v>2</v>
      </c>
      <c r="AL72" s="469" t="str">
        <f>IF($AC$72="","",IFERROR(INDEX($BB$74:$BB$119,MATCH($AH$72,$AY$74:$AY$119,0)),$AH$72))</f>
        <v>kg</v>
      </c>
      <c r="AM72" s="471" t="str">
        <f t="shared" ref="AM72:AM106" si="7">IF($AC72="","",IF($AH72="QT. SUFFISANTE","OK",IF($AG72="","TEXTE",IF(NOT(ISNUMBER($AG72)),"QUANTITÉ À CONTRÔLER",IF(COUNTIF($AY$74:$AY$119,$AH72)=0,"UNITÉ À CONTRÔLER","OK")))))</f>
        <v>OK</v>
      </c>
      <c r="AN72" s="472">
        <f>IF($AE72&lt;&gt;"",$AE72,IF($AD72="","",IF(ISNUMBER($AD72),$AD72,IF($AO72="QT",0,IF($AO72="","",IFERROR(IF(ISNUMBER(SEARCH("/",$AO72)),VALUE(TRIM(LEFT($AO72,SEARCH("/",$AO72)-1)))/VALUE(TRIM(MID($AO72,SEARCH("/",$AO72)+1,99))),VALUE(SUBSTITUTE($AO72,".",","))),""))))))</f>
        <v>2</v>
      </c>
      <c r="AO72" s="473" t="str">
        <f t="shared" ref="AO72:AO106" si="8">IF($AD72="","",IF(ISNUMBER($AD72),$AD72,IF(OR(LEFT($AQ72,3)="QT.",LEFT($AQ72,4)="QUAN"),"QT",IF($AR72=999,$AQ72,TRIM(LEFT($AQ72,$AR72-1))))))</f>
        <v/>
      </c>
      <c r="AP72" s="473" t="str">
        <f t="shared" ref="AP72:AP106" si="9">IF($AD72="","",IF(ISNUMBER($AD72),"",IF(OR(LEFT($AQ72,3)="QT.",LEFT($AQ72,4)="QUAN"),"QT. SUFFISANTE",IF($AO72="","",TRIM(MID($AQ72,LEN($AO72&amp;"")+1,999))))))</f>
        <v/>
      </c>
      <c r="AQ72" s="474" t="str">
        <f t="shared" ref="AQ72:AQ106" si="10">IF($AD72="","",UPPER(TRIM(SUBSTITUTE(SUBSTITUTE($AD72&amp;"",CHAR(160)," ")," "," "))))</f>
        <v/>
      </c>
      <c r="AR72" s="474" t="str">
        <f t="shared" ref="AR72:AR106" si="11">IF($AQ72="","",MIN($AS72,$AT72,$AU72))</f>
        <v/>
      </c>
      <c r="AS72" s="474" t="str">
        <f t="shared" ref="AS72:AS106" si="12">IF($AQ72="","",MIN(IFERROR(SEARCH("A",$AQ72),999),IFERROR(SEARCH("B",$AQ72),999),IFERROR(SEARCH("C",$AQ72),999),IFERROR(SEARCH("D",$AQ72),999),IFERROR(SEARCH("E",$AQ72),999),IFERROR(SEARCH("F",$AQ72),999),IFERROR(SEARCH("G",$AQ72),999),IFERROR(SEARCH("H",$AQ72),999),IFERROR(SEARCH("I",$AQ72),999)))</f>
        <v/>
      </c>
      <c r="AT72" s="474" t="str">
        <f t="shared" ref="AT72:AT106" si="13">IF($AQ72="","",MIN(IFERROR(SEARCH("J",$AQ72),999),IFERROR(SEARCH("K",$AQ72),999),IFERROR(SEARCH("L",$AQ72),999),IFERROR(SEARCH("M",$AQ72),999),IFERROR(SEARCH("N",$AQ72),999),IFERROR(SEARCH("O",$AQ72),999),IFERROR(SEARCH("P",$AQ72),999),IFERROR(SEARCH("Q",$AQ72),999),IFERROR(SEARCH("R",$AQ72),999)))</f>
        <v/>
      </c>
      <c r="AU72" s="474" t="str">
        <f t="shared" ref="AU72:AU106" si="14">IF($AQ72="","",MIN(IFERROR(SEARCH("S",$AQ72),999),IFERROR(SEARCH("T",$AQ72),999),IFERROR(SEARCH("U",$AQ72),999),IFERROR(SEARCH("V",$AQ72),999),IFERROR(SEARCH("W",$AQ72),999),IFERROR(SEARCH("X",$AQ72),999),IFERROR(SEARCH("Y",$AQ72),999),IFERROR(SEARCH("Z",$AQ72),999)))</f>
        <v/>
      </c>
      <c r="AY72" s="418"/>
      <c r="AZ72" s="418"/>
      <c r="BA72" s="418"/>
      <c r="BB72" s="419"/>
      <c r="BD72" s="279">
        <v>1</v>
      </c>
      <c r="BG72" s="271"/>
      <c r="BH72" s="271"/>
      <c r="BI72" s="271"/>
      <c r="BJ72" s="271"/>
      <c r="BK72" s="271"/>
      <c r="BL72" s="271"/>
    </row>
    <row r="73" spans="1:111" ht="21" customHeight="1" x14ac:dyDescent="0.25">
      <c r="R73" s="34" t="s">
        <v>472</v>
      </c>
      <c r="S73" s="451"/>
      <c r="T73" s="27" t="s">
        <v>8</v>
      </c>
      <c r="V73" s="475">
        <f>$V$72</f>
        <v>1</v>
      </c>
      <c r="W73" s="475" t="str">
        <f>IF($AC$73="","",$W$72)</f>
        <v>N° 25</v>
      </c>
      <c r="X73" s="476" t="str">
        <f>IF($AC$73="","",$X$72)</f>
        <v>BLINIS</v>
      </c>
      <c r="Y73" s="477">
        <f>IF($X$73="","",$Y$72)</f>
        <v>42</v>
      </c>
      <c r="Z73" s="477">
        <f>IF($X$73="","",$Z$72)</f>
        <v>100</v>
      </c>
      <c r="AA73" s="477">
        <f>IF($AC$73="","",ROW($A$73)-ROW($A$72))</f>
        <v>1</v>
      </c>
      <c r="AB73" s="478"/>
      <c r="AC73" s="34" t="s">
        <v>428</v>
      </c>
      <c r="AD73" s="356"/>
      <c r="AE73" s="18">
        <v>30</v>
      </c>
      <c r="AF73" s="32" t="s">
        <v>8131</v>
      </c>
      <c r="AG73" s="480">
        <f t="shared" si="4"/>
        <v>30</v>
      </c>
      <c r="AH73" s="481" t="str">
        <f t="shared" si="5"/>
        <v>JAUNE(S) D'ŒUF</v>
      </c>
      <c r="AI73" s="477" t="str">
        <f>IF($AC$73="","",IFERROR(INDEX($AZ$74:$AZ$119,MATCH($AH$73,$AY$74:$AY$119,0)),"AUTRE"))</f>
        <v>AUTRE</v>
      </c>
      <c r="AJ73" s="482">
        <f>IF($AC$73="","",IFERROR(INDEX($BA$74:$BA$119,MATCH($AH$73,$AY$74:$AY$119,0)),1))</f>
        <v>1</v>
      </c>
      <c r="AK73" s="482">
        <f t="shared" si="6"/>
        <v>30</v>
      </c>
      <c r="AL73" s="477" t="str">
        <f>IF($AC$73="","",IFERROR(INDEX($BB$74:$BB$119,MATCH($AH$73,$AY$74:$AY$119,0)),$AH$73))</f>
        <v>jaune(s) d'œuf</v>
      </c>
      <c r="AM73" s="483" t="str">
        <f t="shared" si="7"/>
        <v>OK</v>
      </c>
      <c r="AN73" s="484">
        <f t="shared" ref="AN73:AN106" si="15">IF($AE73&lt;&gt;"",$AE73,IF($AD73="","",IF(ISNUMBER($AD73),$AD73,IF($AO73="QT",0,IF($AO73="","",IFERROR(IF(ISNUMBER(SEARCH("/",$AO73)),VALUE(TRIM(LEFT($AO73,SEARCH("/",$AO73)-1)))/VALUE(TRIM(MID($AO73,SEARCH("/",$AO73)+1,99))),VALUE(SUBSTITUTE($AO73,".",","))),""))))))</f>
        <v>30</v>
      </c>
      <c r="AO73" s="473" t="str">
        <f t="shared" si="8"/>
        <v/>
      </c>
      <c r="AP73" s="473" t="str">
        <f t="shared" si="9"/>
        <v/>
      </c>
      <c r="AQ73" s="473" t="str">
        <f t="shared" si="10"/>
        <v/>
      </c>
      <c r="AR73" s="473" t="str">
        <f t="shared" si="11"/>
        <v/>
      </c>
      <c r="AS73" s="473" t="str">
        <f t="shared" si="12"/>
        <v/>
      </c>
      <c r="AT73" s="473" t="str">
        <f t="shared" si="13"/>
        <v/>
      </c>
      <c r="AU73" s="473" t="str">
        <f t="shared" si="14"/>
        <v/>
      </c>
      <c r="AY73" s="440" t="s">
        <v>8110</v>
      </c>
      <c r="AZ73" s="485" t="s">
        <v>34</v>
      </c>
      <c r="BA73" s="485" t="s">
        <v>8123</v>
      </c>
      <c r="BB73" s="486" t="s">
        <v>8124</v>
      </c>
      <c r="BD73" s="279">
        <v>1</v>
      </c>
      <c r="BG73" s="271"/>
      <c r="BH73" s="271"/>
      <c r="BI73" s="271"/>
      <c r="BJ73" s="271"/>
      <c r="BK73" s="271"/>
      <c r="BL73" s="271"/>
    </row>
    <row r="74" spans="1:111" ht="21" customHeight="1" x14ac:dyDescent="0.25">
      <c r="R74" s="34" t="s">
        <v>6112</v>
      </c>
      <c r="S74" s="451"/>
      <c r="T74" s="28" t="s">
        <v>13</v>
      </c>
      <c r="V74" s="475">
        <v>1</v>
      </c>
      <c r="W74" s="475" t="str">
        <f>IF($AC$74="","",$W$72)</f>
        <v>N° 25</v>
      </c>
      <c r="X74" s="476" t="str">
        <f>IF($AC$74="","",$X$72)</f>
        <v>BLINIS</v>
      </c>
      <c r="Y74" s="477">
        <f>IF($X$74="","",$Y$72)</f>
        <v>42</v>
      </c>
      <c r="Z74" s="477">
        <f>IF($X$74="","",$Z$72)</f>
        <v>100</v>
      </c>
      <c r="AA74" s="477">
        <f>IF($AC$74="","",ROW($A$74)-ROW($A$72))</f>
        <v>2</v>
      </c>
      <c r="AB74" s="487"/>
      <c r="AC74" s="34" t="s">
        <v>429</v>
      </c>
      <c r="AD74" s="356"/>
      <c r="AE74" s="18">
        <v>30</v>
      </c>
      <c r="AF74" s="32" t="s">
        <v>8129</v>
      </c>
      <c r="AG74" s="480">
        <f t="shared" si="4"/>
        <v>30</v>
      </c>
      <c r="AH74" s="481" t="str">
        <f t="shared" si="5"/>
        <v>BLANC(S) D'ŒUF</v>
      </c>
      <c r="AI74" s="477" t="str">
        <f>IF($AC$74="","",IFERROR(INDEX($AZ$74:$AZ$119,MATCH($AH$74,$AY$74:$AY$119,0)),"AUTRE"))</f>
        <v>AUTRE</v>
      </c>
      <c r="AJ74" s="482">
        <f>IF($AC$74="","",IFERROR(INDEX($BA$74:$BA$119,MATCH($AH$74,$AY$74:$AY$119,0)),1))</f>
        <v>1</v>
      </c>
      <c r="AK74" s="482">
        <f t="shared" si="6"/>
        <v>30</v>
      </c>
      <c r="AL74" s="477" t="str">
        <f>IF($AC$74="","",IFERROR(INDEX($BB$74:$BB$119,MATCH($AH$74,$AY$74:$AY$119,0)),$AH$74))</f>
        <v>blanc(s) d'œuf</v>
      </c>
      <c r="AM74" s="483" t="str">
        <f t="shared" si="7"/>
        <v>OK</v>
      </c>
      <c r="AN74" s="484">
        <f t="shared" si="15"/>
        <v>30</v>
      </c>
      <c r="AO74" s="473" t="str">
        <f t="shared" si="8"/>
        <v/>
      </c>
      <c r="AP74" s="473" t="str">
        <f t="shared" si="9"/>
        <v/>
      </c>
      <c r="AQ74" s="473" t="str">
        <f t="shared" si="10"/>
        <v/>
      </c>
      <c r="AR74" s="473" t="str">
        <f t="shared" si="11"/>
        <v/>
      </c>
      <c r="AS74" s="473" t="str">
        <f t="shared" si="12"/>
        <v/>
      </c>
      <c r="AT74" s="473" t="str">
        <f t="shared" si="13"/>
        <v/>
      </c>
      <c r="AU74" s="473" t="str">
        <f t="shared" si="14"/>
        <v/>
      </c>
      <c r="AY74" s="14" t="s">
        <v>7</v>
      </c>
      <c r="AZ74" s="488" t="s">
        <v>35</v>
      </c>
      <c r="BA74" s="418">
        <v>1</v>
      </c>
      <c r="BB74" s="419" t="s">
        <v>36</v>
      </c>
      <c r="BD74" s="279">
        <v>1</v>
      </c>
      <c r="BG74" s="271"/>
      <c r="BH74" s="271"/>
      <c r="BI74" s="271"/>
      <c r="BJ74" s="271"/>
      <c r="BK74" s="271"/>
      <c r="BL74" s="271"/>
    </row>
    <row r="75" spans="1:111" ht="21" customHeight="1" x14ac:dyDescent="0.25">
      <c r="R75" s="25" t="s">
        <v>6116</v>
      </c>
      <c r="S75" s="451"/>
      <c r="T75" s="28" t="s">
        <v>14</v>
      </c>
      <c r="V75" s="475">
        <v>1</v>
      </c>
      <c r="W75" s="475" t="str">
        <f>IF($AC$75="","",$W$72)</f>
        <v>N° 25</v>
      </c>
      <c r="X75" s="476" t="str">
        <f>IF($AC$75="","",$X$72)</f>
        <v>BLINIS</v>
      </c>
      <c r="Y75" s="477">
        <f>IF($X$75="","",$Y$72)</f>
        <v>42</v>
      </c>
      <c r="Z75" s="477">
        <f>IF($X$75="","",$Z$72)</f>
        <v>100</v>
      </c>
      <c r="AA75" s="477">
        <f>IF($AC$75="","",ROW($A$75)-ROW($A$72))</f>
        <v>3</v>
      </c>
      <c r="AB75" s="478"/>
      <c r="AC75" s="34" t="s">
        <v>360</v>
      </c>
      <c r="AD75" s="356"/>
      <c r="AE75" s="18">
        <v>2</v>
      </c>
      <c r="AF75" s="20" t="s">
        <v>9</v>
      </c>
      <c r="AG75" s="480">
        <f t="shared" si="4"/>
        <v>2</v>
      </c>
      <c r="AH75" s="481" t="str">
        <f t="shared" si="5"/>
        <v>L</v>
      </c>
      <c r="AI75" s="477" t="str">
        <f>IF($AC$75="","",IFERROR(INDEX($AZ$74:$AZ$119,MATCH($AH$75,$AY$74:$AY$119,0)),"AUTRE"))</f>
        <v>VOLUME</v>
      </c>
      <c r="AJ75" s="482">
        <f>IF($AC$75="","",IFERROR(INDEX($BA$74:$BA$119,MATCH($AH$75,$AY$74:$AY$119,0)),1))</f>
        <v>1</v>
      </c>
      <c r="AK75" s="482">
        <f t="shared" si="6"/>
        <v>2</v>
      </c>
      <c r="AL75" s="477" t="str">
        <f>IF($AC$75="","",IFERROR(INDEX($BB$74:$BB$119,MATCH($AH$75,$AY$74:$AY$119,0)),$AH$75))</f>
        <v>L</v>
      </c>
      <c r="AM75" s="483" t="str">
        <f t="shared" si="7"/>
        <v>OK</v>
      </c>
      <c r="AN75" s="484">
        <f t="shared" si="15"/>
        <v>2</v>
      </c>
      <c r="AO75" s="473" t="str">
        <f t="shared" si="8"/>
        <v/>
      </c>
      <c r="AP75" s="473" t="str">
        <f t="shared" si="9"/>
        <v/>
      </c>
      <c r="AQ75" s="473" t="str">
        <f t="shared" si="10"/>
        <v/>
      </c>
      <c r="AR75" s="473" t="str">
        <f t="shared" si="11"/>
        <v/>
      </c>
      <c r="AS75" s="473" t="str">
        <f t="shared" si="12"/>
        <v/>
      </c>
      <c r="AT75" s="473" t="str">
        <f t="shared" si="13"/>
        <v/>
      </c>
      <c r="AU75" s="473" t="str">
        <f t="shared" si="14"/>
        <v/>
      </c>
      <c r="AY75" s="27" t="s">
        <v>8</v>
      </c>
      <c r="AZ75" s="488" t="s">
        <v>35</v>
      </c>
      <c r="BA75" s="489">
        <v>1E-3</v>
      </c>
      <c r="BB75" s="419" t="s">
        <v>36</v>
      </c>
      <c r="BD75" s="279">
        <v>1</v>
      </c>
      <c r="BG75" s="271"/>
      <c r="BH75" s="271"/>
      <c r="BI75" s="271"/>
      <c r="BJ75" s="271"/>
      <c r="BK75" s="271"/>
      <c r="BL75" s="271"/>
    </row>
    <row r="76" spans="1:111" ht="21" customHeight="1" x14ac:dyDescent="0.25">
      <c r="R76" s="34" t="s">
        <v>6117</v>
      </c>
      <c r="S76" s="451"/>
      <c r="T76" s="28" t="s">
        <v>15</v>
      </c>
      <c r="V76" s="475">
        <v>1</v>
      </c>
      <c r="W76" s="475" t="str">
        <f>IF($AC$76="","",$W$72)</f>
        <v>N° 25</v>
      </c>
      <c r="X76" s="476" t="str">
        <f>IF($AC$76="","",$X$72)</f>
        <v>BLINIS</v>
      </c>
      <c r="Y76" s="477">
        <f>IF($X$76="","",$Y$72)</f>
        <v>42</v>
      </c>
      <c r="Z76" s="477">
        <f>IF($X$76="","",$Z$72)</f>
        <v>100</v>
      </c>
      <c r="AA76" s="477">
        <f>IF($AC$76="","",ROW($A$76)-ROW($A$72))</f>
        <v>4</v>
      </c>
      <c r="AB76" s="478"/>
      <c r="AC76" s="34" t="s">
        <v>67</v>
      </c>
      <c r="AD76" s="356"/>
      <c r="AE76" s="18">
        <v>20</v>
      </c>
      <c r="AF76" s="16" t="s">
        <v>8</v>
      </c>
      <c r="AG76" s="480">
        <f t="shared" si="4"/>
        <v>20</v>
      </c>
      <c r="AH76" s="481" t="str">
        <f t="shared" si="5"/>
        <v>G</v>
      </c>
      <c r="AI76" s="477" t="str">
        <f>IF($AC$76="","",IFERROR(INDEX($AZ$74:$AZ$119,MATCH($AH$76,$AY$74:$AY$119,0)),"AUTRE"))</f>
        <v>MASSE</v>
      </c>
      <c r="AJ76" s="482">
        <f>IF($AC$76="","",IFERROR(INDEX($BA$74:$BA$119,MATCH($AH$76,$AY$74:$AY$119,0)),1))</f>
        <v>1E-3</v>
      </c>
      <c r="AK76" s="482">
        <f t="shared" si="6"/>
        <v>0.02</v>
      </c>
      <c r="AL76" s="477" t="str">
        <f>IF($AC$76="","",IFERROR(INDEX($BB$74:$BB$119,MATCH($AH$76,$AY$74:$AY$119,0)),$AH$76))</f>
        <v>kg</v>
      </c>
      <c r="AM76" s="483" t="str">
        <f t="shared" si="7"/>
        <v>OK</v>
      </c>
      <c r="AN76" s="484">
        <f t="shared" si="15"/>
        <v>20</v>
      </c>
      <c r="AO76" s="473" t="str">
        <f t="shared" si="8"/>
        <v/>
      </c>
      <c r="AP76" s="473" t="str">
        <f t="shared" si="9"/>
        <v/>
      </c>
      <c r="AQ76" s="473" t="str">
        <f t="shared" si="10"/>
        <v/>
      </c>
      <c r="AR76" s="473" t="str">
        <f t="shared" si="11"/>
        <v/>
      </c>
      <c r="AS76" s="473" t="str">
        <f t="shared" si="12"/>
        <v/>
      </c>
      <c r="AT76" s="473" t="str">
        <f t="shared" si="13"/>
        <v/>
      </c>
      <c r="AU76" s="473" t="str">
        <f t="shared" si="14"/>
        <v/>
      </c>
      <c r="AY76" s="28" t="s">
        <v>13</v>
      </c>
      <c r="AZ76" s="488" t="s">
        <v>35</v>
      </c>
      <c r="BA76" s="489">
        <v>0.25</v>
      </c>
      <c r="BB76" s="419" t="s">
        <v>36</v>
      </c>
      <c r="BD76" s="279">
        <v>1</v>
      </c>
      <c r="BG76" s="271"/>
      <c r="BH76" s="271"/>
      <c r="BI76" s="271"/>
      <c r="BJ76" s="271"/>
      <c r="BK76" s="271"/>
      <c r="BL76" s="271"/>
    </row>
    <row r="77" spans="1:111" ht="21" customHeight="1" x14ac:dyDescent="0.25">
      <c r="R77" s="34" t="s">
        <v>469</v>
      </c>
      <c r="S77" s="451"/>
      <c r="T77" s="28" t="s">
        <v>21</v>
      </c>
      <c r="V77" s="475">
        <v>1</v>
      </c>
      <c r="W77" s="475" t="str">
        <f>IF($AC$77="","",$W$72)</f>
        <v>N° 25</v>
      </c>
      <c r="X77" s="476" t="str">
        <f>IF($AC$77="","",$X$72)</f>
        <v>BLINIS</v>
      </c>
      <c r="Y77" s="477">
        <f>IF($X$77="","",$Y$72)</f>
        <v>42</v>
      </c>
      <c r="Z77" s="477">
        <f>IF($X$77="","",$Z$72)</f>
        <v>100</v>
      </c>
      <c r="AA77" s="477">
        <f>IF($AC$77="","",ROW($A$77)-ROW($A$72))</f>
        <v>5</v>
      </c>
      <c r="AB77" s="478"/>
      <c r="AC77" s="34" t="s">
        <v>373</v>
      </c>
      <c r="AD77" s="356"/>
      <c r="AE77" s="18">
        <v>1</v>
      </c>
      <c r="AF77" s="22" t="s">
        <v>18</v>
      </c>
      <c r="AG77" s="480">
        <f t="shared" si="4"/>
        <v>1</v>
      </c>
      <c r="AH77" s="481" t="str">
        <f t="shared" si="5"/>
        <v>3.QUART/L</v>
      </c>
      <c r="AI77" s="477" t="str">
        <f>IF($AC$77="","",IFERROR(INDEX($AZ$74:$AZ$119,MATCH($AH$77,$AY$74:$AY$119,0)),"AUTRE"))</f>
        <v>VOLUME</v>
      </c>
      <c r="AJ77" s="482">
        <f>IF($AC$77="","",IFERROR(INDEX($BA$74:$BA$119,MATCH($AH$77,$AY$74:$AY$119,0)),1))</f>
        <v>0.75</v>
      </c>
      <c r="AK77" s="482">
        <f t="shared" si="6"/>
        <v>0.75</v>
      </c>
      <c r="AL77" s="477" t="str">
        <f>IF($AC$77="","",IFERROR(INDEX($BB$74:$BB$119,MATCH($AH$77,$AY$74:$AY$119,0)),$AH$77))</f>
        <v>L</v>
      </c>
      <c r="AM77" s="483" t="str">
        <f t="shared" si="7"/>
        <v>OK</v>
      </c>
      <c r="AN77" s="484">
        <f t="shared" si="15"/>
        <v>1</v>
      </c>
      <c r="AO77" s="473" t="str">
        <f t="shared" si="8"/>
        <v/>
      </c>
      <c r="AP77" s="473" t="str">
        <f t="shared" si="9"/>
        <v/>
      </c>
      <c r="AQ77" s="473" t="str">
        <f t="shared" si="10"/>
        <v/>
      </c>
      <c r="AR77" s="473" t="str">
        <f t="shared" si="11"/>
        <v/>
      </c>
      <c r="AS77" s="473" t="str">
        <f t="shared" si="12"/>
        <v/>
      </c>
      <c r="AT77" s="473" t="str">
        <f t="shared" si="13"/>
        <v/>
      </c>
      <c r="AU77" s="473" t="str">
        <f t="shared" si="14"/>
        <v/>
      </c>
      <c r="AY77" s="28" t="s">
        <v>14</v>
      </c>
      <c r="AZ77" s="488" t="s">
        <v>35</v>
      </c>
      <c r="BA77" s="489">
        <v>0.33333333300000001</v>
      </c>
      <c r="BB77" s="419" t="s">
        <v>36</v>
      </c>
      <c r="BD77" s="279">
        <v>1</v>
      </c>
      <c r="BG77" s="271"/>
      <c r="BH77" s="271"/>
      <c r="BI77" s="271"/>
      <c r="BJ77" s="271"/>
      <c r="BK77" s="271"/>
      <c r="BL77" s="271"/>
    </row>
    <row r="78" spans="1:111" ht="21" customHeight="1" x14ac:dyDescent="0.25">
      <c r="R78" s="34" t="s">
        <v>6118</v>
      </c>
      <c r="S78" s="451"/>
      <c r="T78" s="28" t="s">
        <v>22</v>
      </c>
      <c r="V78" s="475">
        <v>1</v>
      </c>
      <c r="W78" s="475" t="str">
        <f>IF($AC$78="","",$W$72)</f>
        <v>N° 25</v>
      </c>
      <c r="X78" s="476" t="str">
        <f>IF($AC$78="","",$X$72)</f>
        <v>BLINIS</v>
      </c>
      <c r="Y78" s="477">
        <f>IF($X$78="","",$Y$72)</f>
        <v>42</v>
      </c>
      <c r="Z78" s="477">
        <f>IF($X$78="","",$Z$72)</f>
        <v>100</v>
      </c>
      <c r="AA78" s="477">
        <f>IF($AC$78="","",ROW($A$78)-ROW($A$72))</f>
        <v>6</v>
      </c>
      <c r="AB78" s="478"/>
      <c r="AC78" s="34" t="s">
        <v>74</v>
      </c>
      <c r="AD78" s="356"/>
      <c r="AE78" s="18">
        <v>1</v>
      </c>
      <c r="AF78" s="20" t="s">
        <v>9</v>
      </c>
      <c r="AG78" s="480">
        <f t="shared" si="4"/>
        <v>1</v>
      </c>
      <c r="AH78" s="481" t="str">
        <f t="shared" si="5"/>
        <v>L</v>
      </c>
      <c r="AI78" s="477" t="str">
        <f>IF($AC$78="","",IFERROR(INDEX($AZ$74:$AZ$119,MATCH($AH$78,$AY$74:$AY$119,0)),"AUTRE"))</f>
        <v>VOLUME</v>
      </c>
      <c r="AJ78" s="482">
        <f>IF($AC$78="","",IFERROR(INDEX($BA$74:$BA$119,MATCH($AH$78,$AY$74:$AY$119,0)),1))</f>
        <v>1</v>
      </c>
      <c r="AK78" s="482">
        <f t="shared" si="6"/>
        <v>1</v>
      </c>
      <c r="AL78" s="477" t="str">
        <f>IF($AC$78="","",IFERROR(INDEX($BB$74:$BB$119,MATCH($AH$78,$AY$74:$AY$119,0)),$AH$78))</f>
        <v>L</v>
      </c>
      <c r="AM78" s="483" t="str">
        <f t="shared" si="7"/>
        <v>OK</v>
      </c>
      <c r="AN78" s="484">
        <f t="shared" si="15"/>
        <v>1</v>
      </c>
      <c r="AO78" s="473" t="str">
        <f t="shared" si="8"/>
        <v/>
      </c>
      <c r="AP78" s="473" t="str">
        <f t="shared" si="9"/>
        <v/>
      </c>
      <c r="AQ78" s="473" t="str">
        <f t="shared" si="10"/>
        <v/>
      </c>
      <c r="AR78" s="473" t="str">
        <f t="shared" si="11"/>
        <v/>
      </c>
      <c r="AS78" s="473" t="str">
        <f t="shared" si="12"/>
        <v/>
      </c>
      <c r="AT78" s="473" t="str">
        <f t="shared" si="13"/>
        <v/>
      </c>
      <c r="AU78" s="473" t="str">
        <f t="shared" si="14"/>
        <v/>
      </c>
      <c r="AY78" s="28" t="s">
        <v>15</v>
      </c>
      <c r="AZ78" s="488" t="s">
        <v>35</v>
      </c>
      <c r="BA78" s="489">
        <v>0.5</v>
      </c>
      <c r="BB78" s="419" t="s">
        <v>36</v>
      </c>
      <c r="BD78" s="279">
        <v>1</v>
      </c>
      <c r="BG78" s="271"/>
      <c r="BH78" s="271"/>
      <c r="BI78" s="271"/>
      <c r="BJ78" s="271"/>
      <c r="BK78" s="271"/>
      <c r="BL78" s="271"/>
    </row>
    <row r="79" spans="1:111" ht="21" customHeight="1" x14ac:dyDescent="0.25">
      <c r="R79" s="34" t="s">
        <v>492</v>
      </c>
      <c r="S79" s="451"/>
      <c r="T79" s="28" t="s">
        <v>23</v>
      </c>
      <c r="V79" s="475">
        <v>1</v>
      </c>
      <c r="W79" s="475" t="str">
        <f>IF($AC$79="","",$W$72)</f>
        <v>N° 25</v>
      </c>
      <c r="X79" s="476" t="str">
        <f>IF($AC$79="","",$X$72)</f>
        <v>BLINIS</v>
      </c>
      <c r="Y79" s="477">
        <f>IF($X$79="","",$Y$72)</f>
        <v>42</v>
      </c>
      <c r="Z79" s="477">
        <f>IF($X$79="","",$Z$72)</f>
        <v>100</v>
      </c>
      <c r="AA79" s="477">
        <f>IF($AC$79="","",ROW($A$79)-ROW($A$72))</f>
        <v>7</v>
      </c>
      <c r="AB79" s="478"/>
      <c r="AC79" s="34" t="s">
        <v>445</v>
      </c>
      <c r="AD79" s="356"/>
      <c r="AE79" s="18">
        <v>1</v>
      </c>
      <c r="AF79" s="11" t="s">
        <v>7</v>
      </c>
      <c r="AG79" s="480">
        <f t="shared" si="4"/>
        <v>1</v>
      </c>
      <c r="AH79" s="481" t="str">
        <f t="shared" si="5"/>
        <v>KG</v>
      </c>
      <c r="AI79" s="477" t="str">
        <f>IF($AC$79="","",IFERROR(INDEX($AZ$74:$AZ$119,MATCH($AH$79,$AY$74:$AY$119,0)),"AUTRE"))</f>
        <v>MASSE</v>
      </c>
      <c r="AJ79" s="482">
        <f>IF($AC$79="","",IFERROR(INDEX($BA$74:$BA$119,MATCH($AH$79,$AY$74:$AY$119,0)),1))</f>
        <v>1</v>
      </c>
      <c r="AK79" s="482">
        <f t="shared" si="6"/>
        <v>1</v>
      </c>
      <c r="AL79" s="477" t="str">
        <f>IF($AC$79="","",IFERROR(INDEX($BB$74:$BB$119,MATCH($AH$79,$AY$74:$AY$119,0)),$AH$79))</f>
        <v>kg</v>
      </c>
      <c r="AM79" s="483" t="str">
        <f t="shared" si="7"/>
        <v>OK</v>
      </c>
      <c r="AN79" s="484">
        <f t="shared" si="15"/>
        <v>1</v>
      </c>
      <c r="AO79" s="473" t="str">
        <f t="shared" si="8"/>
        <v/>
      </c>
      <c r="AP79" s="473" t="str">
        <f t="shared" si="9"/>
        <v/>
      </c>
      <c r="AQ79" s="473" t="str">
        <f t="shared" si="10"/>
        <v/>
      </c>
      <c r="AR79" s="473" t="str">
        <f t="shared" si="11"/>
        <v/>
      </c>
      <c r="AS79" s="473" t="str">
        <f t="shared" si="12"/>
        <v/>
      </c>
      <c r="AT79" s="473" t="str">
        <f t="shared" si="13"/>
        <v/>
      </c>
      <c r="AU79" s="473" t="str">
        <f t="shared" si="14"/>
        <v/>
      </c>
      <c r="AY79" s="29" t="s">
        <v>9</v>
      </c>
      <c r="AZ79" s="488" t="s">
        <v>37</v>
      </c>
      <c r="BA79" s="489">
        <v>1</v>
      </c>
      <c r="BB79" s="419" t="s">
        <v>9</v>
      </c>
      <c r="BD79" s="279">
        <v>1</v>
      </c>
      <c r="BG79" s="271"/>
      <c r="BH79" s="271"/>
      <c r="BI79" s="271"/>
      <c r="BJ79" s="271"/>
      <c r="BK79" s="271"/>
      <c r="BL79" s="271"/>
    </row>
    <row r="80" spans="1:111" ht="21" customHeight="1" x14ac:dyDescent="0.25">
      <c r="R80" s="34" t="s">
        <v>458</v>
      </c>
      <c r="S80" s="451"/>
      <c r="T80" s="28" t="s">
        <v>24</v>
      </c>
      <c r="V80" s="475">
        <v>1</v>
      </c>
      <c r="W80" s="475" t="str">
        <f>IF($AC$80="","",$W$72)</f>
        <v>N° 25</v>
      </c>
      <c r="X80" s="476" t="str">
        <f>IF($AC$80="","",$X$72)</f>
        <v>BLINIS</v>
      </c>
      <c r="Y80" s="477">
        <f>IF($X$80="","",$Y$72)</f>
        <v>42</v>
      </c>
      <c r="Z80" s="477">
        <f>IF($X$80="","",$Z$72)</f>
        <v>100</v>
      </c>
      <c r="AA80" s="477">
        <f>IF($AC$80="","",ROW($A$80)-ROW($A$72))</f>
        <v>8</v>
      </c>
      <c r="AB80" s="478"/>
      <c r="AC80" s="34" t="s">
        <v>191</v>
      </c>
      <c r="AD80" s="356"/>
      <c r="AE80" s="18">
        <v>100</v>
      </c>
      <c r="AF80" s="16" t="s">
        <v>8</v>
      </c>
      <c r="AG80" s="480">
        <f t="shared" si="4"/>
        <v>100</v>
      </c>
      <c r="AH80" s="481" t="str">
        <f t="shared" si="5"/>
        <v>G</v>
      </c>
      <c r="AI80" s="477" t="str">
        <f>IF($AC$80="","",IFERROR(INDEX($AZ$74:$AZ$119,MATCH($AH$80,$AY$74:$AY$119,0)),"AUTRE"))</f>
        <v>MASSE</v>
      </c>
      <c r="AJ80" s="482">
        <f>IF($AC$80="","",IFERROR(INDEX($BA$74:$BA$119,MATCH($AH$80,$AY$74:$AY$119,0)),1))</f>
        <v>1E-3</v>
      </c>
      <c r="AK80" s="482">
        <f t="shared" si="6"/>
        <v>0.1</v>
      </c>
      <c r="AL80" s="477" t="str">
        <f>IF($AC$80="","",IFERROR(INDEX($BB$74:$BB$119,MATCH($AH$80,$AY$74:$AY$119,0)),$AH$80))</f>
        <v>kg</v>
      </c>
      <c r="AM80" s="483" t="str">
        <f t="shared" si="7"/>
        <v>OK</v>
      </c>
      <c r="AN80" s="484">
        <f t="shared" si="15"/>
        <v>100</v>
      </c>
      <c r="AO80" s="473" t="str">
        <f t="shared" si="8"/>
        <v/>
      </c>
      <c r="AP80" s="473" t="str">
        <f t="shared" si="9"/>
        <v/>
      </c>
      <c r="AQ80" s="473" t="str">
        <f t="shared" si="10"/>
        <v/>
      </c>
      <c r="AR80" s="473" t="str">
        <f t="shared" si="11"/>
        <v/>
      </c>
      <c r="AS80" s="473" t="str">
        <f t="shared" si="12"/>
        <v/>
      </c>
      <c r="AT80" s="473" t="str">
        <f t="shared" si="13"/>
        <v/>
      </c>
      <c r="AU80" s="473" t="str">
        <f t="shared" si="14"/>
        <v/>
      </c>
      <c r="AY80" s="30" t="s">
        <v>10</v>
      </c>
      <c r="AZ80" s="488" t="s">
        <v>37</v>
      </c>
      <c r="BA80" s="489">
        <v>0.1</v>
      </c>
      <c r="BB80" s="419" t="s">
        <v>9</v>
      </c>
      <c r="BD80" s="279">
        <v>1</v>
      </c>
      <c r="BG80" s="271"/>
      <c r="BH80" s="271"/>
      <c r="BI80" s="271"/>
      <c r="BJ80" s="271"/>
      <c r="BK80" s="271"/>
      <c r="BL80" s="271"/>
    </row>
    <row r="81" spans="18:64" ht="21" customHeight="1" x14ac:dyDescent="0.25">
      <c r="R81" s="490"/>
      <c r="S81" s="451"/>
      <c r="T81" s="29" t="s">
        <v>9</v>
      </c>
      <c r="V81" s="475">
        <v>1</v>
      </c>
      <c r="W81" s="475" t="str">
        <f>IF($AC$81="","",$W$72)</f>
        <v>N° 25</v>
      </c>
      <c r="X81" s="476" t="str">
        <f>IF($AC$81="","",$X$72)</f>
        <v>BLINIS</v>
      </c>
      <c r="Y81" s="477">
        <f>IF($X$81="","",$Y$72)</f>
        <v>42</v>
      </c>
      <c r="Z81" s="477">
        <f>IF($X$81="","",$Z$72)</f>
        <v>100</v>
      </c>
      <c r="AA81" s="477">
        <f>IF($AC$81="","",ROW($A$81)-ROW($A$72))</f>
        <v>9</v>
      </c>
      <c r="AB81" s="478"/>
      <c r="AC81" s="34" t="s">
        <v>360</v>
      </c>
      <c r="AD81" s="356"/>
      <c r="AE81" s="18">
        <v>1</v>
      </c>
      <c r="AF81" s="22" t="s">
        <v>16</v>
      </c>
      <c r="AG81" s="480">
        <f t="shared" si="4"/>
        <v>1</v>
      </c>
      <c r="AH81" s="481" t="str">
        <f t="shared" si="5"/>
        <v>DEMI/L</v>
      </c>
      <c r="AI81" s="477" t="str">
        <f>IF($AC$81="","",IFERROR(INDEX($AZ$74:$AZ$119,MATCH($AH$81,$AY$74:$AY$119,0)),"AUTRE"))</f>
        <v>VOLUME</v>
      </c>
      <c r="AJ81" s="482">
        <f>IF($AC$81="","",IFERROR(INDEX($BA$74:$BA$119,MATCH($AH$81,$AY$74:$AY$119,0)),1))</f>
        <v>0.5</v>
      </c>
      <c r="AK81" s="482">
        <f t="shared" si="6"/>
        <v>0.5</v>
      </c>
      <c r="AL81" s="477" t="str">
        <f>IF($AC$81="","",IFERROR(INDEX($BB$74:$BB$119,MATCH($AH$81,$AY$74:$AY$119,0)),$AH$81))</f>
        <v>L</v>
      </c>
      <c r="AM81" s="483" t="str">
        <f t="shared" si="7"/>
        <v>OK</v>
      </c>
      <c r="AN81" s="484">
        <f t="shared" si="15"/>
        <v>1</v>
      </c>
      <c r="AO81" s="473" t="str">
        <f t="shared" si="8"/>
        <v/>
      </c>
      <c r="AP81" s="473" t="str">
        <f t="shared" si="9"/>
        <v/>
      </c>
      <c r="AQ81" s="473" t="str">
        <f t="shared" si="10"/>
        <v/>
      </c>
      <c r="AR81" s="473" t="str">
        <f t="shared" si="11"/>
        <v/>
      </c>
      <c r="AS81" s="473" t="str">
        <f t="shared" si="12"/>
        <v/>
      </c>
      <c r="AT81" s="473" t="str">
        <f t="shared" si="13"/>
        <v/>
      </c>
      <c r="AU81" s="473" t="str">
        <f t="shared" si="14"/>
        <v/>
      </c>
      <c r="AY81" s="30" t="s">
        <v>11</v>
      </c>
      <c r="AZ81" s="488" t="s">
        <v>37</v>
      </c>
      <c r="BA81" s="489">
        <v>0.01</v>
      </c>
      <c r="BB81" s="419" t="s">
        <v>9</v>
      </c>
      <c r="BD81" s="279">
        <v>1</v>
      </c>
      <c r="BG81" s="271"/>
      <c r="BH81" s="271"/>
      <c r="BI81" s="271"/>
      <c r="BJ81" s="271"/>
      <c r="BK81" s="271"/>
      <c r="BL81" s="271"/>
    </row>
    <row r="82" spans="18:64" ht="21" customHeight="1" x14ac:dyDescent="0.25">
      <c r="R82" s="25" t="s">
        <v>6119</v>
      </c>
      <c r="S82" s="451"/>
      <c r="T82" s="30" t="s">
        <v>10</v>
      </c>
      <c r="V82" s="475">
        <v>1</v>
      </c>
      <c r="W82" s="475" t="str">
        <f>IF($AC$82="","",$W$72)</f>
        <v>N° 25</v>
      </c>
      <c r="X82" s="476" t="str">
        <f>IF($AC$82="","",$X$72)</f>
        <v>BLINIS</v>
      </c>
      <c r="Y82" s="477">
        <f>IF($X$82="","",$Y$72)</f>
        <v>42</v>
      </c>
      <c r="Z82" s="477">
        <f>IF($X$82="","",$Z$72)</f>
        <v>100</v>
      </c>
      <c r="AA82" s="477">
        <f>IF($AC$82="","",ROW($A$82)-ROW($A$72))</f>
        <v>10</v>
      </c>
      <c r="AB82" s="478"/>
      <c r="AC82" s="34" t="s">
        <v>382</v>
      </c>
      <c r="AD82" s="356"/>
      <c r="AE82" s="18">
        <v>500</v>
      </c>
      <c r="AF82" s="16" t="s">
        <v>8</v>
      </c>
      <c r="AG82" s="480">
        <f t="shared" si="4"/>
        <v>500</v>
      </c>
      <c r="AH82" s="481" t="str">
        <f t="shared" si="5"/>
        <v>G</v>
      </c>
      <c r="AI82" s="477" t="str">
        <f>IF($AC$82="","",IFERROR(INDEX($AZ$74:$AZ$119,MATCH($AH$82,$AY$74:$AY$119,0)),"AUTRE"))</f>
        <v>MASSE</v>
      </c>
      <c r="AJ82" s="482">
        <f>IF($AC$82="","",IFERROR(INDEX($BA$74:$BA$119,MATCH($AH$82,$AY$74:$AY$119,0)),1))</f>
        <v>1E-3</v>
      </c>
      <c r="AK82" s="482">
        <f t="shared" si="6"/>
        <v>0.5</v>
      </c>
      <c r="AL82" s="477" t="str">
        <f>IF($AC$82="","",IFERROR(INDEX($BB$74:$BB$119,MATCH($AH$82,$AY$74:$AY$119,0)),$AH$82))</f>
        <v>kg</v>
      </c>
      <c r="AM82" s="483" t="str">
        <f t="shared" si="7"/>
        <v>OK</v>
      </c>
      <c r="AN82" s="484">
        <f t="shared" si="15"/>
        <v>500</v>
      </c>
      <c r="AO82" s="473" t="str">
        <f t="shared" si="8"/>
        <v/>
      </c>
      <c r="AP82" s="473" t="str">
        <f t="shared" si="9"/>
        <v/>
      </c>
      <c r="AQ82" s="473" t="str">
        <f t="shared" si="10"/>
        <v/>
      </c>
      <c r="AR82" s="473" t="str">
        <f t="shared" si="11"/>
        <v/>
      </c>
      <c r="AS82" s="473" t="str">
        <f t="shared" si="12"/>
        <v/>
      </c>
      <c r="AT82" s="473" t="str">
        <f t="shared" si="13"/>
        <v/>
      </c>
      <c r="AU82" s="473" t="str">
        <f t="shared" si="14"/>
        <v/>
      </c>
      <c r="AY82" s="30" t="s">
        <v>12</v>
      </c>
      <c r="AZ82" s="488" t="s">
        <v>37</v>
      </c>
      <c r="BA82" s="489">
        <v>1E-3</v>
      </c>
      <c r="BB82" s="419" t="s">
        <v>9</v>
      </c>
      <c r="BD82" s="279">
        <v>1</v>
      </c>
      <c r="BG82" s="271"/>
      <c r="BH82" s="271"/>
      <c r="BI82" s="271"/>
      <c r="BJ82" s="271"/>
      <c r="BK82" s="271"/>
      <c r="BL82" s="271"/>
    </row>
    <row r="83" spans="18:64" ht="21" customHeight="1" x14ac:dyDescent="0.25">
      <c r="R83" s="34" t="s">
        <v>6120</v>
      </c>
      <c r="S83" s="451"/>
      <c r="T83" s="30" t="s">
        <v>11</v>
      </c>
      <c r="V83" s="475">
        <v>1</v>
      </c>
      <c r="W83" s="475" t="str">
        <f>IF($AC$83="","",$W$72)</f>
        <v/>
      </c>
      <c r="X83" s="476" t="str">
        <f>IF($AC$83="","",$X$72)</f>
        <v/>
      </c>
      <c r="Y83" s="477" t="str">
        <f>IF($X$83="","",$Y$72)</f>
        <v/>
      </c>
      <c r="Z83" s="477" t="str">
        <f>IF($X$83="","",$Z$72)</f>
        <v/>
      </c>
      <c r="AA83" s="477" t="str">
        <f>IF($AC$83="","",ROW($A$83)-ROW($A$72))</f>
        <v/>
      </c>
      <c r="AB83" s="478"/>
      <c r="AC83" s="34"/>
      <c r="AD83" s="356"/>
      <c r="AE83" s="18"/>
      <c r="AF83" s="19"/>
      <c r="AG83" s="480" t="str">
        <f t="shared" si="4"/>
        <v/>
      </c>
      <c r="AH83" s="481" t="str">
        <f t="shared" si="5"/>
        <v/>
      </c>
      <c r="AI83" s="477" t="str">
        <f>IF($AC$83="","",IFERROR(INDEX($AZ$74:$AZ$119,MATCH($AH$83,$AY$74:$AY$119,0)),"AUTRE"))</f>
        <v/>
      </c>
      <c r="AJ83" s="482" t="str">
        <f>IF($AC$83="","",IFERROR(INDEX($BA$74:$BA$119,MATCH($AH$83,$AY$74:$AY$119,0)),1))</f>
        <v/>
      </c>
      <c r="AK83" s="482" t="str">
        <f t="shared" si="6"/>
        <v/>
      </c>
      <c r="AL83" s="477" t="str">
        <f>IF($AC$83="","",IFERROR(INDEX($BB$74:$BB$119,MATCH($AH$83,$AY$74:$AY$119,0)),$AH$83))</f>
        <v/>
      </c>
      <c r="AM83" s="483" t="str">
        <f t="shared" si="7"/>
        <v/>
      </c>
      <c r="AN83" s="484" t="str">
        <f t="shared" si="15"/>
        <v/>
      </c>
      <c r="AO83" s="473" t="str">
        <f t="shared" si="8"/>
        <v/>
      </c>
      <c r="AP83" s="473" t="str">
        <f t="shared" si="9"/>
        <v/>
      </c>
      <c r="AQ83" s="473" t="str">
        <f t="shared" si="10"/>
        <v/>
      </c>
      <c r="AR83" s="473" t="str">
        <f t="shared" si="11"/>
        <v/>
      </c>
      <c r="AS83" s="473" t="str">
        <f t="shared" si="12"/>
        <v/>
      </c>
      <c r="AT83" s="473" t="str">
        <f t="shared" si="13"/>
        <v/>
      </c>
      <c r="AU83" s="473" t="str">
        <f t="shared" si="14"/>
        <v/>
      </c>
      <c r="AY83" s="31" t="s">
        <v>16</v>
      </c>
      <c r="AZ83" s="488" t="s">
        <v>37</v>
      </c>
      <c r="BA83" s="489">
        <v>0.5</v>
      </c>
      <c r="BB83" s="419" t="s">
        <v>9</v>
      </c>
      <c r="BD83" s="279">
        <v>1</v>
      </c>
      <c r="BG83" s="271"/>
      <c r="BH83" s="271"/>
      <c r="BI83" s="271"/>
      <c r="BJ83" s="271"/>
      <c r="BK83" s="271"/>
      <c r="BL83" s="271"/>
    </row>
    <row r="84" spans="18:64" ht="21" customHeight="1" x14ac:dyDescent="0.25">
      <c r="R84" s="34" t="s">
        <v>6121</v>
      </c>
      <c r="S84" s="451"/>
      <c r="T84" s="30" t="s">
        <v>12</v>
      </c>
      <c r="V84" s="475">
        <v>1</v>
      </c>
      <c r="W84" s="475" t="str">
        <f>IF($AC$84="","",$W$72)</f>
        <v/>
      </c>
      <c r="X84" s="476" t="str">
        <f>IF($AC$84="","",$X$72)</f>
        <v/>
      </c>
      <c r="Y84" s="477" t="str">
        <f>IF($X$84="","",$Y$72)</f>
        <v/>
      </c>
      <c r="Z84" s="477" t="str">
        <f>IF($X$84="","",$Z$72)</f>
        <v/>
      </c>
      <c r="AA84" s="477" t="str">
        <f>IF($AC$84="","",ROW($A$84)-ROW($A$72))</f>
        <v/>
      </c>
      <c r="AB84" s="478"/>
      <c r="AC84" s="34"/>
      <c r="AD84" s="356"/>
      <c r="AE84" s="18"/>
      <c r="AF84" s="19"/>
      <c r="AG84" s="480" t="str">
        <f t="shared" si="4"/>
        <v/>
      </c>
      <c r="AH84" s="481" t="str">
        <f t="shared" si="5"/>
        <v/>
      </c>
      <c r="AI84" s="477" t="str">
        <f>IF($AC$84="","",IFERROR(INDEX($AZ$74:$AZ$119,MATCH($AH$84,$AY$74:$AY$119,0)),"AUTRE"))</f>
        <v/>
      </c>
      <c r="AJ84" s="482" t="str">
        <f>IF($AC$84="","",IFERROR(INDEX($BA$74:$BA$119,MATCH($AH$84,$AY$74:$AY$119,0)),1))</f>
        <v/>
      </c>
      <c r="AK84" s="482" t="str">
        <f t="shared" si="6"/>
        <v/>
      </c>
      <c r="AL84" s="477" t="str">
        <f>IF($AC$84="","",IFERROR(INDEX($BB$74:$BB$119,MATCH($AH$84,$AY$74:$AY$119,0)),$AH$84))</f>
        <v/>
      </c>
      <c r="AM84" s="483" t="str">
        <f t="shared" si="7"/>
        <v/>
      </c>
      <c r="AN84" s="484" t="str">
        <f t="shared" si="15"/>
        <v/>
      </c>
      <c r="AO84" s="473" t="str">
        <f t="shared" si="8"/>
        <v/>
      </c>
      <c r="AP84" s="473" t="str">
        <f t="shared" si="9"/>
        <v/>
      </c>
      <c r="AQ84" s="473" t="str">
        <f t="shared" si="10"/>
        <v/>
      </c>
      <c r="AR84" s="473" t="str">
        <f t="shared" si="11"/>
        <v/>
      </c>
      <c r="AS84" s="473" t="str">
        <f t="shared" si="12"/>
        <v/>
      </c>
      <c r="AT84" s="473" t="str">
        <f t="shared" si="13"/>
        <v/>
      </c>
      <c r="AU84" s="473" t="str">
        <f t="shared" si="14"/>
        <v/>
      </c>
      <c r="AY84" s="31" t="s">
        <v>17</v>
      </c>
      <c r="AZ84" s="488" t="s">
        <v>37</v>
      </c>
      <c r="BA84" s="489">
        <v>0.25</v>
      </c>
      <c r="BB84" s="419" t="s">
        <v>9</v>
      </c>
      <c r="BD84" s="279">
        <v>1</v>
      </c>
      <c r="BG84" s="271"/>
      <c r="BH84" s="271"/>
      <c r="BI84" s="271"/>
      <c r="BJ84" s="271"/>
      <c r="BK84" s="271"/>
      <c r="BL84" s="271"/>
    </row>
    <row r="85" spans="18:64" ht="21" customHeight="1" x14ac:dyDescent="0.25">
      <c r="R85" s="34" t="s">
        <v>6122</v>
      </c>
      <c r="S85" s="451"/>
      <c r="T85" s="31" t="s">
        <v>16</v>
      </c>
      <c r="V85" s="475">
        <v>1</v>
      </c>
      <c r="W85" s="475" t="str">
        <f>IF($AC$85="","",$W$72)</f>
        <v/>
      </c>
      <c r="X85" s="476" t="str">
        <f>IF($AC$85="","",$X$72)</f>
        <v/>
      </c>
      <c r="Y85" s="477" t="str">
        <f>IF($X$85="","",$Y$72)</f>
        <v/>
      </c>
      <c r="Z85" s="477" t="str">
        <f>IF($X$85="","",$Z$72)</f>
        <v/>
      </c>
      <c r="AA85" s="477" t="str">
        <f>IF($AC$85="","",ROW($A$85)-ROW($A$72))</f>
        <v/>
      </c>
      <c r="AB85" s="478"/>
      <c r="AC85" s="34"/>
      <c r="AD85" s="356"/>
      <c r="AE85" s="18"/>
      <c r="AF85" s="19"/>
      <c r="AG85" s="480" t="str">
        <f t="shared" si="4"/>
        <v/>
      </c>
      <c r="AH85" s="481" t="str">
        <f t="shared" si="5"/>
        <v/>
      </c>
      <c r="AI85" s="477" t="str">
        <f>IF($AC$85="","",IFERROR(INDEX($AZ$74:$AZ$119,MATCH($AH$85,$AY$74:$AY$119,0)),"AUTRE"))</f>
        <v/>
      </c>
      <c r="AJ85" s="482" t="str">
        <f>IF($AC$85="","",IFERROR(INDEX($BA$74:$BA$119,MATCH($AH$85,$AY$74:$AY$119,0)),1))</f>
        <v/>
      </c>
      <c r="AK85" s="482" t="str">
        <f t="shared" si="6"/>
        <v/>
      </c>
      <c r="AL85" s="477" t="str">
        <f>IF($AC$85="","",IFERROR(INDEX($BB$74:$BB$119,MATCH($AH$85,$AY$74:$AY$119,0)),$AH$85))</f>
        <v/>
      </c>
      <c r="AM85" s="483" t="str">
        <f t="shared" si="7"/>
        <v/>
      </c>
      <c r="AN85" s="484" t="str">
        <f t="shared" si="15"/>
        <v/>
      </c>
      <c r="AO85" s="473" t="str">
        <f t="shared" si="8"/>
        <v/>
      </c>
      <c r="AP85" s="473" t="str">
        <f t="shared" si="9"/>
        <v/>
      </c>
      <c r="AQ85" s="473" t="str">
        <f t="shared" si="10"/>
        <v/>
      </c>
      <c r="AR85" s="473" t="str">
        <f t="shared" si="11"/>
        <v/>
      </c>
      <c r="AS85" s="473" t="str">
        <f t="shared" si="12"/>
        <v/>
      </c>
      <c r="AT85" s="473" t="str">
        <f t="shared" si="13"/>
        <v/>
      </c>
      <c r="AU85" s="473" t="str">
        <f t="shared" si="14"/>
        <v/>
      </c>
      <c r="AY85" s="31" t="s">
        <v>18</v>
      </c>
      <c r="AZ85" s="488" t="s">
        <v>37</v>
      </c>
      <c r="BA85" s="489">
        <v>0.75</v>
      </c>
      <c r="BB85" s="419" t="s">
        <v>9</v>
      </c>
      <c r="BD85" s="279">
        <v>1</v>
      </c>
      <c r="BG85" s="271"/>
      <c r="BH85" s="271"/>
      <c r="BI85" s="271"/>
      <c r="BJ85" s="271"/>
      <c r="BK85" s="271"/>
      <c r="BL85" s="271"/>
    </row>
    <row r="86" spans="18:64" ht="21" customHeight="1" x14ac:dyDescent="0.25">
      <c r="R86" s="34" t="s">
        <v>6123</v>
      </c>
      <c r="S86" s="451"/>
      <c r="T86" s="31" t="s">
        <v>17</v>
      </c>
      <c r="V86" s="475">
        <v>1</v>
      </c>
      <c r="W86" s="475" t="str">
        <f>IF($AC$86="","",$W$72)</f>
        <v/>
      </c>
      <c r="X86" s="476" t="str">
        <f>IF($AC$86="","",$X$72)</f>
        <v/>
      </c>
      <c r="Y86" s="477" t="str">
        <f>IF($X$86="","",$Y$72)</f>
        <v/>
      </c>
      <c r="Z86" s="477" t="str">
        <f>IF($X$86="","",$Z$72)</f>
        <v/>
      </c>
      <c r="AA86" s="477" t="str">
        <f>IF($AC$86="","",ROW($A$86)-ROW($A$72))</f>
        <v/>
      </c>
      <c r="AB86" s="478"/>
      <c r="AC86" s="34"/>
      <c r="AD86" s="356"/>
      <c r="AE86" s="18"/>
      <c r="AF86" s="19"/>
      <c r="AG86" s="480" t="str">
        <f t="shared" si="4"/>
        <v/>
      </c>
      <c r="AH86" s="481" t="str">
        <f t="shared" si="5"/>
        <v/>
      </c>
      <c r="AI86" s="477" t="str">
        <f>IF($AC$86="","",IFERROR(INDEX($AZ$74:$AZ$119,MATCH($AH$86,$AY$74:$AY$119,0)),"AUTRE"))</f>
        <v/>
      </c>
      <c r="AJ86" s="482" t="str">
        <f>IF($AC$86="","",IFERROR(INDEX($BA$74:$BA$119,MATCH($AH$86,$AY$74:$AY$119,0)),1))</f>
        <v/>
      </c>
      <c r="AK86" s="482" t="str">
        <f t="shared" si="6"/>
        <v/>
      </c>
      <c r="AL86" s="477" t="str">
        <f>IF($AC$86="","",IFERROR(INDEX($BB$74:$BB$119,MATCH($AH$86,$AY$74:$AY$119,0)),$AH$86))</f>
        <v/>
      </c>
      <c r="AM86" s="483" t="str">
        <f t="shared" si="7"/>
        <v/>
      </c>
      <c r="AN86" s="484" t="str">
        <f t="shared" si="15"/>
        <v/>
      </c>
      <c r="AO86" s="473" t="str">
        <f t="shared" si="8"/>
        <v/>
      </c>
      <c r="AP86" s="473" t="str">
        <f t="shared" si="9"/>
        <v/>
      </c>
      <c r="AQ86" s="473" t="str">
        <f t="shared" si="10"/>
        <v/>
      </c>
      <c r="AR86" s="473" t="str">
        <f t="shared" si="11"/>
        <v/>
      </c>
      <c r="AS86" s="473" t="str">
        <f t="shared" si="12"/>
        <v/>
      </c>
      <c r="AT86" s="473" t="str">
        <f t="shared" si="13"/>
        <v/>
      </c>
      <c r="AU86" s="473" t="str">
        <f t="shared" si="14"/>
        <v/>
      </c>
      <c r="AY86" s="31" t="s">
        <v>19</v>
      </c>
      <c r="AZ86" s="488" t="s">
        <v>37</v>
      </c>
      <c r="BA86" s="489">
        <v>0.33333333300000001</v>
      </c>
      <c r="BB86" s="419" t="s">
        <v>9</v>
      </c>
      <c r="BD86" s="279">
        <v>1</v>
      </c>
      <c r="BG86" s="271"/>
      <c r="BH86" s="271"/>
      <c r="BI86" s="271"/>
      <c r="BJ86" s="271"/>
      <c r="BK86" s="271"/>
      <c r="BL86" s="271"/>
    </row>
    <row r="87" spans="18:64" ht="21" customHeight="1" x14ac:dyDescent="0.25">
      <c r="R87" s="34" t="s">
        <v>6124</v>
      </c>
      <c r="S87" s="451"/>
      <c r="T87" s="31" t="s">
        <v>18</v>
      </c>
      <c r="V87" s="475">
        <v>1</v>
      </c>
      <c r="W87" s="475" t="str">
        <f>IF($AC$87="","",$W$72)</f>
        <v/>
      </c>
      <c r="X87" s="476" t="str">
        <f>IF($AC$87="","",$X$72)</f>
        <v/>
      </c>
      <c r="Y87" s="477" t="str">
        <f>IF($X$87="","",$Y$72)</f>
        <v/>
      </c>
      <c r="Z87" s="477" t="str">
        <f>IF($X$87="","",$Z$72)</f>
        <v/>
      </c>
      <c r="AA87" s="477" t="str">
        <f>IF($AC$87="","",ROW($A$87)-ROW($A$72))</f>
        <v/>
      </c>
      <c r="AB87" s="478"/>
      <c r="AC87" s="34"/>
      <c r="AD87" s="356"/>
      <c r="AE87" s="18"/>
      <c r="AF87" s="19"/>
      <c r="AG87" s="480" t="str">
        <f t="shared" si="4"/>
        <v/>
      </c>
      <c r="AH87" s="481" t="str">
        <f t="shared" si="5"/>
        <v/>
      </c>
      <c r="AI87" s="477" t="str">
        <f>IF($AC$87="","",IFERROR(INDEX($AZ$74:$AZ$119,MATCH($AH$87,$AY$74:$AY$119,0)),"AUTRE"))</f>
        <v/>
      </c>
      <c r="AJ87" s="482" t="str">
        <f>IF($AC$87="","",IFERROR(INDEX($BA$74:$BA$119,MATCH($AH$87,$AY$74:$AY$119,0)),1))</f>
        <v/>
      </c>
      <c r="AK87" s="482" t="str">
        <f t="shared" si="6"/>
        <v/>
      </c>
      <c r="AL87" s="477" t="str">
        <f>IF($AC$87="","",IFERROR(INDEX($BB$74:$BB$119,MATCH($AH$87,$AY$74:$AY$119,0)),$AH$87))</f>
        <v/>
      </c>
      <c r="AM87" s="483" t="str">
        <f t="shared" si="7"/>
        <v/>
      </c>
      <c r="AN87" s="484" t="str">
        <f t="shared" si="15"/>
        <v/>
      </c>
      <c r="AO87" s="473" t="str">
        <f t="shared" si="8"/>
        <v/>
      </c>
      <c r="AP87" s="473" t="str">
        <f t="shared" si="9"/>
        <v/>
      </c>
      <c r="AQ87" s="473" t="str">
        <f t="shared" si="10"/>
        <v/>
      </c>
      <c r="AR87" s="473" t="str">
        <f t="shared" si="11"/>
        <v/>
      </c>
      <c r="AS87" s="473" t="str">
        <f t="shared" si="12"/>
        <v/>
      </c>
      <c r="AT87" s="473" t="str">
        <f t="shared" si="13"/>
        <v/>
      </c>
      <c r="AU87" s="473" t="str">
        <f t="shared" si="14"/>
        <v/>
      </c>
      <c r="AY87" s="31" t="s">
        <v>211</v>
      </c>
      <c r="AZ87" s="488" t="s">
        <v>37</v>
      </c>
      <c r="BA87" s="489">
        <v>0.66666666699999999</v>
      </c>
      <c r="BB87" s="419" t="s">
        <v>9</v>
      </c>
      <c r="BD87" s="279">
        <v>1</v>
      </c>
      <c r="BG87" s="271"/>
      <c r="BH87" s="271"/>
      <c r="BI87" s="271"/>
      <c r="BJ87" s="271"/>
      <c r="BK87" s="271"/>
      <c r="BL87" s="271"/>
    </row>
    <row r="88" spans="18:64" ht="21" customHeight="1" x14ac:dyDescent="0.25">
      <c r="R88" s="34" t="s">
        <v>6125</v>
      </c>
      <c r="S88" s="451"/>
      <c r="T88" s="31" t="s">
        <v>19</v>
      </c>
      <c r="V88" s="475">
        <v>1</v>
      </c>
      <c r="W88" s="475" t="str">
        <f>IF($AC$88="","",$W$72)</f>
        <v/>
      </c>
      <c r="X88" s="476" t="str">
        <f>IF($AC$88="","",$X$72)</f>
        <v/>
      </c>
      <c r="Y88" s="477" t="str">
        <f>IF($X$88="","",$Y$72)</f>
        <v/>
      </c>
      <c r="Z88" s="477" t="str">
        <f>IF($X$88="","",$Z$72)</f>
        <v/>
      </c>
      <c r="AA88" s="477" t="str">
        <f>IF($AC$88="","",ROW($A$88)-ROW($A$72))</f>
        <v/>
      </c>
      <c r="AB88" s="478"/>
      <c r="AC88" s="34"/>
      <c r="AD88" s="356"/>
      <c r="AE88" s="18"/>
      <c r="AF88" s="19"/>
      <c r="AG88" s="480" t="str">
        <f t="shared" si="4"/>
        <v/>
      </c>
      <c r="AH88" s="481" t="str">
        <f t="shared" si="5"/>
        <v/>
      </c>
      <c r="AI88" s="477" t="str">
        <f>IF($AC$88="","",IFERROR(INDEX($AZ$74:$AZ$119,MATCH($AH$88,$AY$74:$AY$119,0)),"AUTRE"))</f>
        <v/>
      </c>
      <c r="AJ88" s="482" t="str">
        <f>IF($AC$88="","",IFERROR(INDEX($BA$74:$BA$119,MATCH($AH$88,$AY$74:$AY$119,0)),1))</f>
        <v/>
      </c>
      <c r="AK88" s="482" t="str">
        <f t="shared" si="6"/>
        <v/>
      </c>
      <c r="AL88" s="477" t="str">
        <f>IF($AC$88="","",IFERROR(INDEX($BB$74:$BB$119,MATCH($AH$88,$AY$74:$AY$119,0)),$AH$88))</f>
        <v/>
      </c>
      <c r="AM88" s="483" t="str">
        <f t="shared" si="7"/>
        <v/>
      </c>
      <c r="AN88" s="484" t="str">
        <f t="shared" si="15"/>
        <v/>
      </c>
      <c r="AO88" s="473" t="str">
        <f t="shared" si="8"/>
        <v/>
      </c>
      <c r="AP88" s="473" t="str">
        <f t="shared" si="9"/>
        <v/>
      </c>
      <c r="AQ88" s="473" t="str">
        <f t="shared" si="10"/>
        <v/>
      </c>
      <c r="AR88" s="473" t="str">
        <f t="shared" si="11"/>
        <v/>
      </c>
      <c r="AS88" s="473" t="str">
        <f t="shared" si="12"/>
        <v/>
      </c>
      <c r="AT88" s="473" t="str">
        <f t="shared" si="13"/>
        <v/>
      </c>
      <c r="AU88" s="473" t="str">
        <f t="shared" si="14"/>
        <v/>
      </c>
      <c r="AY88" s="31" t="s">
        <v>20</v>
      </c>
      <c r="AZ88" s="488" t="s">
        <v>37</v>
      </c>
      <c r="BA88" s="489">
        <v>0.2</v>
      </c>
      <c r="BB88" s="419" t="s">
        <v>9</v>
      </c>
      <c r="BD88" s="279">
        <v>1</v>
      </c>
      <c r="BG88" s="271"/>
      <c r="BH88" s="271"/>
      <c r="BI88" s="271"/>
      <c r="BJ88" s="271"/>
      <c r="BK88" s="271"/>
      <c r="BL88" s="271"/>
    </row>
    <row r="89" spans="18:64" ht="21" customHeight="1" x14ac:dyDescent="0.25">
      <c r="R89" s="34" t="s">
        <v>6126</v>
      </c>
      <c r="S89" s="451"/>
      <c r="T89" s="31" t="s">
        <v>211</v>
      </c>
      <c r="V89" s="475">
        <v>1</v>
      </c>
      <c r="W89" s="475" t="str">
        <f>IF($AC$89="","",$W$72)</f>
        <v/>
      </c>
      <c r="X89" s="476" t="str">
        <f>IF($AC$89="","",$X$72)</f>
        <v/>
      </c>
      <c r="Y89" s="477" t="str">
        <f>IF($X$89="","",$Y$72)</f>
        <v/>
      </c>
      <c r="Z89" s="477" t="str">
        <f>IF($X$89="","",$Z$72)</f>
        <v/>
      </c>
      <c r="AA89" s="477" t="str">
        <f>IF($AC$89="","",ROW($A$89)-ROW($A$72))</f>
        <v/>
      </c>
      <c r="AB89" s="478"/>
      <c r="AC89" s="34"/>
      <c r="AD89" s="356"/>
      <c r="AE89" s="18"/>
      <c r="AF89" s="19"/>
      <c r="AG89" s="480" t="str">
        <f t="shared" si="4"/>
        <v/>
      </c>
      <c r="AH89" s="481" t="str">
        <f t="shared" si="5"/>
        <v/>
      </c>
      <c r="AI89" s="477" t="str">
        <f>IF($AC$89="","",IFERROR(INDEX($AZ$74:$AZ$119,MATCH($AH$89,$AY$74:$AY$119,0)),"AUTRE"))</f>
        <v/>
      </c>
      <c r="AJ89" s="482" t="str">
        <f>IF($AC$89="","",IFERROR(INDEX($BA$74:$BA$119,MATCH($AH$89,$AY$74:$AY$119,0)),1))</f>
        <v/>
      </c>
      <c r="AK89" s="482" t="str">
        <f t="shared" si="6"/>
        <v/>
      </c>
      <c r="AL89" s="477" t="str">
        <f>IF($AC$89="","",IFERROR(INDEX($BB$74:$BB$119,MATCH($AH$89,$AY$74:$AY$119,0)),$AH$89))</f>
        <v/>
      </c>
      <c r="AM89" s="483" t="str">
        <f t="shared" si="7"/>
        <v/>
      </c>
      <c r="AN89" s="484" t="str">
        <f t="shared" si="15"/>
        <v/>
      </c>
      <c r="AO89" s="473" t="str">
        <f t="shared" si="8"/>
        <v/>
      </c>
      <c r="AP89" s="473" t="str">
        <f t="shared" si="9"/>
        <v/>
      </c>
      <c r="AQ89" s="473" t="str">
        <f t="shared" si="10"/>
        <v/>
      </c>
      <c r="AR89" s="473" t="str">
        <f t="shared" si="11"/>
        <v/>
      </c>
      <c r="AS89" s="473" t="str">
        <f t="shared" si="12"/>
        <v/>
      </c>
      <c r="AT89" s="473" t="str">
        <f t="shared" si="13"/>
        <v/>
      </c>
      <c r="AU89" s="473" t="str">
        <f t="shared" si="14"/>
        <v/>
      </c>
      <c r="AY89" s="31" t="s">
        <v>304</v>
      </c>
      <c r="AZ89" s="488" t="s">
        <v>37</v>
      </c>
      <c r="BA89" s="489">
        <v>0.125</v>
      </c>
      <c r="BB89" s="419" t="s">
        <v>9</v>
      </c>
      <c r="BC89" s="271"/>
      <c r="BD89" s="279">
        <v>1</v>
      </c>
      <c r="BG89" s="271"/>
      <c r="BH89" s="271"/>
      <c r="BI89" s="271"/>
      <c r="BJ89" s="271"/>
      <c r="BK89" s="271"/>
      <c r="BL89" s="271"/>
    </row>
    <row r="90" spans="18:64" ht="21" customHeight="1" x14ac:dyDescent="0.25">
      <c r="R90" s="34" t="s">
        <v>6127</v>
      </c>
      <c r="S90" s="451"/>
      <c r="T90" s="31" t="s">
        <v>20</v>
      </c>
      <c r="V90" s="475">
        <v>1</v>
      </c>
      <c r="W90" s="475" t="str">
        <f>IF($AC$90="","",$W$72)</f>
        <v/>
      </c>
      <c r="X90" s="476" t="str">
        <f>IF($AC$90="","",$X$72)</f>
        <v/>
      </c>
      <c r="Y90" s="477" t="str">
        <f>IF($X$90="","",$Y$72)</f>
        <v/>
      </c>
      <c r="Z90" s="477" t="str">
        <f>IF($X$90="","",$Z$72)</f>
        <v/>
      </c>
      <c r="AA90" s="477" t="str">
        <f>IF($AC$90="","",ROW($A$90)-ROW($A$72))</f>
        <v/>
      </c>
      <c r="AB90" s="478"/>
      <c r="AC90" s="34"/>
      <c r="AD90" s="356"/>
      <c r="AE90" s="18"/>
      <c r="AF90" s="19"/>
      <c r="AG90" s="480" t="str">
        <f t="shared" si="4"/>
        <v/>
      </c>
      <c r="AH90" s="481" t="str">
        <f t="shared" si="5"/>
        <v/>
      </c>
      <c r="AI90" s="477" t="str">
        <f>IF($AC$90="","",IFERROR(INDEX($AZ$74:$AZ$119,MATCH($AH$90,$AY$74:$AY$119,0)),"AUTRE"))</f>
        <v/>
      </c>
      <c r="AJ90" s="482" t="str">
        <f>IF($AC$90="","",IFERROR(INDEX($BA$74:$BA$119,MATCH($AH$90,$AY$74:$AY$119,0)),1))</f>
        <v/>
      </c>
      <c r="AK90" s="482" t="str">
        <f t="shared" si="6"/>
        <v/>
      </c>
      <c r="AL90" s="477" t="str">
        <f>IF($AC$90="","",IFERROR(INDEX($BB$74:$BB$119,MATCH($AH$90,$AY$74:$AY$119,0)),$AH$90))</f>
        <v/>
      </c>
      <c r="AM90" s="483" t="str">
        <f t="shared" si="7"/>
        <v/>
      </c>
      <c r="AN90" s="484" t="str">
        <f t="shared" si="15"/>
        <v/>
      </c>
      <c r="AO90" s="473" t="str">
        <f t="shared" si="8"/>
        <v/>
      </c>
      <c r="AP90" s="473" t="str">
        <f t="shared" si="9"/>
        <v/>
      </c>
      <c r="AQ90" s="473" t="str">
        <f t="shared" si="10"/>
        <v/>
      </c>
      <c r="AR90" s="473" t="str">
        <f t="shared" si="11"/>
        <v/>
      </c>
      <c r="AS90" s="473" t="str">
        <f t="shared" si="12"/>
        <v/>
      </c>
      <c r="AT90" s="473" t="str">
        <f t="shared" si="13"/>
        <v/>
      </c>
      <c r="AU90" s="473" t="str">
        <f t="shared" si="14"/>
        <v/>
      </c>
      <c r="AY90" s="31" t="s">
        <v>352</v>
      </c>
      <c r="AZ90" s="488" t="s">
        <v>37</v>
      </c>
      <c r="BA90" s="489">
        <v>0.125</v>
      </c>
      <c r="BB90" s="419" t="s">
        <v>9</v>
      </c>
      <c r="BC90" s="271"/>
      <c r="BD90" s="279">
        <v>1</v>
      </c>
      <c r="BG90" s="271"/>
      <c r="BH90" s="271"/>
      <c r="BI90" s="271"/>
      <c r="BJ90" s="271"/>
      <c r="BK90" s="271"/>
      <c r="BL90" s="271"/>
    </row>
    <row r="91" spans="18:64" ht="21" customHeight="1" x14ac:dyDescent="0.25">
      <c r="R91" s="25" t="s">
        <v>6128</v>
      </c>
      <c r="S91" s="451"/>
      <c r="T91" s="31" t="s">
        <v>304</v>
      </c>
      <c r="V91" s="475">
        <v>1</v>
      </c>
      <c r="W91" s="475" t="str">
        <f>IF($AC$91="","",$W$72)</f>
        <v/>
      </c>
      <c r="X91" s="476" t="str">
        <f>IF($AC$91="","",$X$72)</f>
        <v/>
      </c>
      <c r="Y91" s="477" t="str">
        <f>IF($X$91="","",$Y$72)</f>
        <v/>
      </c>
      <c r="Z91" s="477" t="str">
        <f>IF($X$91="","",$Z$72)</f>
        <v/>
      </c>
      <c r="AA91" s="477" t="str">
        <f>IF($AC$91="","",ROW($A$91)-ROW($A$72))</f>
        <v/>
      </c>
      <c r="AB91" s="478"/>
      <c r="AC91" s="34"/>
      <c r="AD91" s="356"/>
      <c r="AE91" s="18"/>
      <c r="AF91" s="19"/>
      <c r="AG91" s="480" t="str">
        <f t="shared" si="4"/>
        <v/>
      </c>
      <c r="AH91" s="481" t="str">
        <f t="shared" si="5"/>
        <v/>
      </c>
      <c r="AI91" s="477" t="str">
        <f>IF($AC$91="","",IFERROR(INDEX($AZ$74:$AZ$119,MATCH($AH$91,$AY$74:$AY$119,0)),"AUTRE"))</f>
        <v/>
      </c>
      <c r="AJ91" s="482" t="str">
        <f>IF($AC$91="","",IFERROR(INDEX($BA$74:$BA$119,MATCH($AH$91,$AY$74:$AY$119,0)),1))</f>
        <v/>
      </c>
      <c r="AK91" s="482" t="str">
        <f t="shared" si="6"/>
        <v/>
      </c>
      <c r="AL91" s="477" t="str">
        <f>IF($AC$91="","",IFERROR(INDEX($BB$74:$BB$119,MATCH($AH$91,$AY$74:$AY$119,0)),$AH$91))</f>
        <v/>
      </c>
      <c r="AM91" s="483" t="str">
        <f t="shared" si="7"/>
        <v/>
      </c>
      <c r="AN91" s="484" t="str">
        <f t="shared" si="15"/>
        <v/>
      </c>
      <c r="AO91" s="473" t="str">
        <f t="shared" si="8"/>
        <v/>
      </c>
      <c r="AP91" s="473" t="str">
        <f t="shared" si="9"/>
        <v/>
      </c>
      <c r="AQ91" s="473" t="str">
        <f t="shared" si="10"/>
        <v/>
      </c>
      <c r="AR91" s="473" t="str">
        <f t="shared" si="11"/>
        <v/>
      </c>
      <c r="AS91" s="473" t="str">
        <f t="shared" si="12"/>
        <v/>
      </c>
      <c r="AT91" s="473" t="str">
        <f t="shared" si="13"/>
        <v/>
      </c>
      <c r="AU91" s="473" t="str">
        <f t="shared" si="14"/>
        <v/>
      </c>
      <c r="AY91" s="31" t="s">
        <v>27</v>
      </c>
      <c r="AZ91" s="488" t="s">
        <v>37</v>
      </c>
      <c r="BA91" s="489">
        <v>5.0000000000000001E-3</v>
      </c>
      <c r="BB91" s="419" t="s">
        <v>9</v>
      </c>
      <c r="BC91" s="271"/>
      <c r="BD91" s="279">
        <v>1</v>
      </c>
      <c r="BG91" s="271"/>
      <c r="BH91" s="271"/>
      <c r="BI91" s="271"/>
      <c r="BJ91" s="271"/>
      <c r="BK91" s="271"/>
      <c r="BL91" s="271"/>
    </row>
    <row r="92" spans="18:64" ht="21" customHeight="1" x14ac:dyDescent="0.25">
      <c r="R92" s="34" t="s">
        <v>474</v>
      </c>
      <c r="S92" s="451"/>
      <c r="T92" s="31" t="s">
        <v>352</v>
      </c>
      <c r="V92" s="475">
        <v>1</v>
      </c>
      <c r="W92" s="475" t="str">
        <f>IF($AC$92="","",$W$72)</f>
        <v/>
      </c>
      <c r="X92" s="476" t="str">
        <f>IF($AC$92="","",$X$72)</f>
        <v/>
      </c>
      <c r="Y92" s="477" t="str">
        <f>IF($X$92="","",$Y$72)</f>
        <v/>
      </c>
      <c r="Z92" s="477" t="str">
        <f>IF($X$92="","",$Z$72)</f>
        <v/>
      </c>
      <c r="AA92" s="477" t="str">
        <f>IF($AC$92="","",ROW($A$92)-ROW($A$72))</f>
        <v/>
      </c>
      <c r="AB92" s="478"/>
      <c r="AC92" s="34"/>
      <c r="AD92" s="356"/>
      <c r="AE92" s="18"/>
      <c r="AF92" s="19"/>
      <c r="AG92" s="480" t="str">
        <f t="shared" si="4"/>
        <v/>
      </c>
      <c r="AH92" s="481" t="str">
        <f t="shared" si="5"/>
        <v/>
      </c>
      <c r="AI92" s="477" t="str">
        <f>IF($AC$92="","",IFERROR(INDEX($AZ$74:$AZ$119,MATCH($AH$92,$AY$74:$AY$119,0)),"AUTRE"))</f>
        <v/>
      </c>
      <c r="AJ92" s="482" t="str">
        <f>IF($AC$92="","",IFERROR(INDEX($BA$74:$BA$119,MATCH($AH$92,$AY$74:$AY$119,0)),1))</f>
        <v/>
      </c>
      <c r="AK92" s="482" t="str">
        <f t="shared" si="6"/>
        <v/>
      </c>
      <c r="AL92" s="477" t="str">
        <f>IF($AC$92="","",IFERROR(INDEX($BB$74:$BB$119,MATCH($AH$92,$AY$74:$AY$119,0)),$AH$92))</f>
        <v/>
      </c>
      <c r="AM92" s="483" t="str">
        <f t="shared" si="7"/>
        <v/>
      </c>
      <c r="AN92" s="484" t="str">
        <f t="shared" si="15"/>
        <v/>
      </c>
      <c r="AO92" s="473" t="str">
        <f t="shared" si="8"/>
        <v/>
      </c>
      <c r="AP92" s="473" t="str">
        <f t="shared" si="9"/>
        <v/>
      </c>
      <c r="AQ92" s="473" t="str">
        <f t="shared" si="10"/>
        <v/>
      </c>
      <c r="AR92" s="473" t="str">
        <f t="shared" si="11"/>
        <v/>
      </c>
      <c r="AS92" s="473" t="str">
        <f t="shared" si="12"/>
        <v/>
      </c>
      <c r="AT92" s="473" t="str">
        <f t="shared" si="13"/>
        <v/>
      </c>
      <c r="AU92" s="473" t="str">
        <f t="shared" si="14"/>
        <v/>
      </c>
      <c r="AY92" s="31" t="s">
        <v>28</v>
      </c>
      <c r="AZ92" s="488" t="s">
        <v>37</v>
      </c>
      <c r="BA92" s="489">
        <v>5.0000000000000001E-3</v>
      </c>
      <c r="BB92" s="419" t="s">
        <v>9</v>
      </c>
      <c r="BC92" s="271"/>
      <c r="BD92" s="279">
        <v>1</v>
      </c>
      <c r="BG92" s="271"/>
      <c r="BH92" s="271"/>
      <c r="BI92" s="271"/>
      <c r="BJ92" s="271"/>
      <c r="BK92" s="271"/>
      <c r="BL92" s="271"/>
    </row>
    <row r="93" spans="18:64" ht="21" customHeight="1" x14ac:dyDescent="0.25">
      <c r="R93" s="34" t="s">
        <v>490</v>
      </c>
      <c r="S93" s="451"/>
      <c r="T93" s="31" t="s">
        <v>25</v>
      </c>
      <c r="V93" s="475">
        <v>1</v>
      </c>
      <c r="W93" s="475" t="str">
        <f>IF($AC$93="","",$W$72)</f>
        <v/>
      </c>
      <c r="X93" s="476" t="str">
        <f>IF($AC$93="","",$X$72)</f>
        <v/>
      </c>
      <c r="Y93" s="477" t="str">
        <f>IF($X$93="","",$Y$72)</f>
        <v/>
      </c>
      <c r="Z93" s="477" t="str">
        <f>IF($X$93="","",$Z$72)</f>
        <v/>
      </c>
      <c r="AA93" s="477" t="str">
        <f>IF($AC$93="","",ROW($A$93)-ROW($A$72))</f>
        <v/>
      </c>
      <c r="AB93" s="478"/>
      <c r="AC93" s="34"/>
      <c r="AD93" s="356"/>
      <c r="AE93" s="18"/>
      <c r="AF93" s="19"/>
      <c r="AG93" s="480" t="str">
        <f t="shared" si="4"/>
        <v/>
      </c>
      <c r="AH93" s="481" t="str">
        <f t="shared" si="5"/>
        <v/>
      </c>
      <c r="AI93" s="477" t="str">
        <f>IF($AC$93="","",IFERROR(INDEX($AZ$74:$AZ$119,MATCH($AH$93,$AY$74:$AY$119,0)),"AUTRE"))</f>
        <v/>
      </c>
      <c r="AJ93" s="482" t="str">
        <f>IF($AC$93="","",IFERROR(INDEX($BA$74:$BA$119,MATCH($AH$93,$AY$74:$AY$119,0)),1))</f>
        <v/>
      </c>
      <c r="AK93" s="482" t="str">
        <f t="shared" si="6"/>
        <v/>
      </c>
      <c r="AL93" s="477" t="str">
        <f>IF($AC$93="","",IFERROR(INDEX($BB$74:$BB$119,MATCH($AH$93,$AY$74:$AY$119,0)),$AH$93))</f>
        <v/>
      </c>
      <c r="AM93" s="483" t="str">
        <f t="shared" si="7"/>
        <v/>
      </c>
      <c r="AN93" s="484" t="str">
        <f t="shared" si="15"/>
        <v/>
      </c>
      <c r="AO93" s="473" t="str">
        <f t="shared" si="8"/>
        <v/>
      </c>
      <c r="AP93" s="473" t="str">
        <f t="shared" si="9"/>
        <v/>
      </c>
      <c r="AQ93" s="473" t="str">
        <f t="shared" si="10"/>
        <v/>
      </c>
      <c r="AR93" s="473" t="str">
        <f t="shared" si="11"/>
        <v/>
      </c>
      <c r="AS93" s="473" t="str">
        <f t="shared" si="12"/>
        <v/>
      </c>
      <c r="AT93" s="473" t="str">
        <f t="shared" si="13"/>
        <v/>
      </c>
      <c r="AU93" s="473" t="str">
        <f t="shared" si="14"/>
        <v/>
      </c>
      <c r="AY93" s="31" t="s">
        <v>29</v>
      </c>
      <c r="AZ93" s="488" t="s">
        <v>37</v>
      </c>
      <c r="BA93" s="489">
        <v>1.4999999999999999E-2</v>
      </c>
      <c r="BB93" s="419" t="s">
        <v>9</v>
      </c>
      <c r="BC93" s="271"/>
      <c r="BD93" s="279">
        <v>1</v>
      </c>
      <c r="BG93" s="271"/>
      <c r="BH93" s="271"/>
      <c r="BI93" s="271"/>
      <c r="BJ93" s="271"/>
      <c r="BK93" s="271"/>
      <c r="BL93" s="271"/>
    </row>
    <row r="94" spans="18:64" ht="21" customHeight="1" x14ac:dyDescent="0.25">
      <c r="R94" s="34" t="s">
        <v>6129</v>
      </c>
      <c r="S94" s="451"/>
      <c r="T94" s="31" t="s">
        <v>26</v>
      </c>
      <c r="V94" s="475">
        <v>1</v>
      </c>
      <c r="W94" s="475" t="str">
        <f>IF($AC$94="","",$W$72)</f>
        <v/>
      </c>
      <c r="X94" s="476" t="str">
        <f>IF($AC$94="","",$X$72)</f>
        <v/>
      </c>
      <c r="Y94" s="477" t="str">
        <f>IF($X$94="","",$Y$72)</f>
        <v/>
      </c>
      <c r="Z94" s="477" t="str">
        <f>IF($X$94="","",$Z$72)</f>
        <v/>
      </c>
      <c r="AA94" s="477" t="str">
        <f>IF($AC$94="","",ROW($A$94)-ROW($A$72))</f>
        <v/>
      </c>
      <c r="AB94" s="478"/>
      <c r="AC94" s="34"/>
      <c r="AD94" s="356"/>
      <c r="AE94" s="18"/>
      <c r="AF94" s="19"/>
      <c r="AG94" s="480" t="str">
        <f t="shared" si="4"/>
        <v/>
      </c>
      <c r="AH94" s="481" t="str">
        <f t="shared" si="5"/>
        <v/>
      </c>
      <c r="AI94" s="477" t="str">
        <f>IF($AC$94="","",IFERROR(INDEX($AZ$74:$AZ$119,MATCH($AH$94,$AY$74:$AY$119,0)),"AUTRE"))</f>
        <v/>
      </c>
      <c r="AJ94" s="482" t="str">
        <f>IF($AC$94="","",IFERROR(INDEX($BA$74:$BA$119,MATCH($AH$94,$AY$74:$AY$119,0)),1))</f>
        <v/>
      </c>
      <c r="AK94" s="482" t="str">
        <f t="shared" si="6"/>
        <v/>
      </c>
      <c r="AL94" s="477" t="str">
        <f>IF($AC$94="","",IFERROR(INDEX($BB$74:$BB$119,MATCH($AH$94,$AY$74:$AY$119,0)),$AH$94))</f>
        <v/>
      </c>
      <c r="AM94" s="483" t="str">
        <f t="shared" si="7"/>
        <v/>
      </c>
      <c r="AN94" s="484" t="str">
        <f t="shared" si="15"/>
        <v/>
      </c>
      <c r="AO94" s="473" t="str">
        <f t="shared" si="8"/>
        <v/>
      </c>
      <c r="AP94" s="473" t="str">
        <f t="shared" si="9"/>
        <v/>
      </c>
      <c r="AQ94" s="473" t="str">
        <f t="shared" si="10"/>
        <v/>
      </c>
      <c r="AR94" s="473" t="str">
        <f t="shared" si="11"/>
        <v/>
      </c>
      <c r="AS94" s="473" t="str">
        <f t="shared" si="12"/>
        <v/>
      </c>
      <c r="AT94" s="473" t="str">
        <f t="shared" si="13"/>
        <v/>
      </c>
      <c r="AU94" s="473" t="str">
        <f t="shared" si="14"/>
        <v/>
      </c>
      <c r="AY94" s="31" t="s">
        <v>30</v>
      </c>
      <c r="AZ94" s="488" t="s">
        <v>37</v>
      </c>
      <c r="BA94" s="489">
        <v>0.1</v>
      </c>
      <c r="BB94" s="419" t="s">
        <v>9</v>
      </c>
      <c r="BC94" s="271"/>
      <c r="BD94" s="279">
        <v>1</v>
      </c>
      <c r="BG94" s="271"/>
      <c r="BH94" s="271"/>
      <c r="BI94" s="271"/>
      <c r="BJ94" s="271"/>
      <c r="BK94" s="271"/>
      <c r="BL94" s="271"/>
    </row>
    <row r="95" spans="18:64" ht="21" customHeight="1" x14ac:dyDescent="0.25">
      <c r="R95" s="34" t="s">
        <v>478</v>
      </c>
      <c r="S95" s="451"/>
      <c r="T95" s="31" t="s">
        <v>27</v>
      </c>
      <c r="V95" s="475">
        <v>1</v>
      </c>
      <c r="W95" s="475" t="str">
        <f>IF($AC$95="","",$W$72)</f>
        <v/>
      </c>
      <c r="X95" s="476" t="str">
        <f>IF($AC$95="","",$X$72)</f>
        <v/>
      </c>
      <c r="Y95" s="477" t="str">
        <f>IF($X$95="","",$Y$72)</f>
        <v/>
      </c>
      <c r="Z95" s="477" t="str">
        <f>IF($X$95="","",$Z$72)</f>
        <v/>
      </c>
      <c r="AA95" s="477" t="str">
        <f>IF($AC$95="","",ROW($A$95)-ROW($A$72))</f>
        <v/>
      </c>
      <c r="AB95" s="478"/>
      <c r="AC95" s="34"/>
      <c r="AD95" s="356"/>
      <c r="AE95" s="18"/>
      <c r="AF95" s="19"/>
      <c r="AG95" s="480" t="str">
        <f t="shared" si="4"/>
        <v/>
      </c>
      <c r="AH95" s="481" t="str">
        <f t="shared" si="5"/>
        <v/>
      </c>
      <c r="AI95" s="477" t="str">
        <f>IF($AC$95="","",IFERROR(INDEX($AZ$74:$AZ$119,MATCH($AH$95,$AY$74:$AY$119,0)),"AUTRE"))</f>
        <v/>
      </c>
      <c r="AJ95" s="482" t="str">
        <f>IF($AC$95="","",IFERROR(INDEX($BA$74:$BA$119,MATCH($AH$95,$AY$74:$AY$119,0)),1))</f>
        <v/>
      </c>
      <c r="AK95" s="482" t="str">
        <f t="shared" si="6"/>
        <v/>
      </c>
      <c r="AL95" s="477" t="str">
        <f>IF($AC$95="","",IFERROR(INDEX($BB$74:$BB$119,MATCH($AH$95,$AY$74:$AY$119,0)),$AH$95))</f>
        <v/>
      </c>
      <c r="AM95" s="483" t="str">
        <f t="shared" si="7"/>
        <v/>
      </c>
      <c r="AN95" s="484" t="str">
        <f t="shared" si="15"/>
        <v/>
      </c>
      <c r="AO95" s="473" t="str">
        <f t="shared" si="8"/>
        <v/>
      </c>
      <c r="AP95" s="473" t="str">
        <f t="shared" si="9"/>
        <v/>
      </c>
      <c r="AQ95" s="473" t="str">
        <f t="shared" si="10"/>
        <v/>
      </c>
      <c r="AR95" s="473" t="str">
        <f t="shared" si="11"/>
        <v/>
      </c>
      <c r="AS95" s="473" t="str">
        <f t="shared" si="12"/>
        <v/>
      </c>
      <c r="AT95" s="473" t="str">
        <f t="shared" si="13"/>
        <v/>
      </c>
      <c r="AU95" s="473" t="str">
        <f t="shared" si="14"/>
        <v/>
      </c>
      <c r="AY95" s="32" t="s">
        <v>33</v>
      </c>
      <c r="AZ95" s="488" t="s">
        <v>38</v>
      </c>
      <c r="BA95" s="489">
        <v>1</v>
      </c>
      <c r="BB95" s="419" t="s">
        <v>8035</v>
      </c>
      <c r="BC95" s="271"/>
      <c r="BD95" s="279">
        <v>1</v>
      </c>
      <c r="BG95" s="271"/>
      <c r="BH95" s="271"/>
      <c r="BI95" s="271"/>
      <c r="BJ95" s="271"/>
      <c r="BK95" s="271"/>
      <c r="BL95" s="271"/>
    </row>
    <row r="96" spans="18:64" ht="21" customHeight="1" x14ac:dyDescent="0.25">
      <c r="R96" s="34" t="s">
        <v>6130</v>
      </c>
      <c r="S96" s="451"/>
      <c r="T96" s="31" t="s">
        <v>28</v>
      </c>
      <c r="V96" s="475">
        <v>1</v>
      </c>
      <c r="W96" s="475" t="str">
        <f>IF($AC$96="","",$W$72)</f>
        <v/>
      </c>
      <c r="X96" s="476" t="str">
        <f>IF($AC$96="","",$X$72)</f>
        <v/>
      </c>
      <c r="Y96" s="477" t="str">
        <f>IF($X$96="","",$Y$72)</f>
        <v/>
      </c>
      <c r="Z96" s="477" t="str">
        <f>IF($X$96="","",$Z$72)</f>
        <v/>
      </c>
      <c r="AA96" s="477" t="str">
        <f>IF($AC$96="","",ROW($A$96)-ROW($A$72))</f>
        <v/>
      </c>
      <c r="AB96" s="478"/>
      <c r="AC96" s="34"/>
      <c r="AD96" s="356"/>
      <c r="AE96" s="18"/>
      <c r="AF96" s="19"/>
      <c r="AG96" s="480" t="str">
        <f t="shared" si="4"/>
        <v/>
      </c>
      <c r="AH96" s="481" t="str">
        <f t="shared" si="5"/>
        <v/>
      </c>
      <c r="AI96" s="477" t="str">
        <f>IF($AC$96="","",IFERROR(INDEX($AZ$74:$AZ$119,MATCH($AH$96,$AY$74:$AY$119,0)),"AUTRE"))</f>
        <v/>
      </c>
      <c r="AJ96" s="482" t="str">
        <f>IF($AC$96="","",IFERROR(INDEX($BA$74:$BA$119,MATCH($AH$96,$AY$74:$AY$119,0)),1))</f>
        <v/>
      </c>
      <c r="AK96" s="482" t="str">
        <f t="shared" si="6"/>
        <v/>
      </c>
      <c r="AL96" s="477" t="str">
        <f>IF($AC$96="","",IFERROR(INDEX($BB$74:$BB$119,MATCH($AH$96,$AY$74:$AY$119,0)),$AH$96))</f>
        <v/>
      </c>
      <c r="AM96" s="483" t="str">
        <f t="shared" si="7"/>
        <v/>
      </c>
      <c r="AN96" s="484" t="str">
        <f t="shared" si="15"/>
        <v/>
      </c>
      <c r="AO96" s="473" t="str">
        <f t="shared" si="8"/>
        <v/>
      </c>
      <c r="AP96" s="473" t="str">
        <f t="shared" si="9"/>
        <v/>
      </c>
      <c r="AQ96" s="473" t="str">
        <f t="shared" si="10"/>
        <v/>
      </c>
      <c r="AR96" s="473" t="str">
        <f t="shared" si="11"/>
        <v/>
      </c>
      <c r="AS96" s="473" t="str">
        <f t="shared" si="12"/>
        <v/>
      </c>
      <c r="AT96" s="473" t="str">
        <f t="shared" si="13"/>
        <v/>
      </c>
      <c r="AU96" s="473" t="str">
        <f t="shared" si="14"/>
        <v/>
      </c>
      <c r="AY96" s="32" t="s">
        <v>8125</v>
      </c>
      <c r="AZ96" s="488" t="s">
        <v>38</v>
      </c>
      <c r="BA96" s="489">
        <v>1</v>
      </c>
      <c r="BB96" s="419" t="s">
        <v>8126</v>
      </c>
      <c r="BC96" s="271"/>
      <c r="BD96" s="279">
        <v>1</v>
      </c>
      <c r="BG96" s="271"/>
      <c r="BH96" s="271"/>
      <c r="BI96" s="271"/>
      <c r="BJ96" s="271"/>
      <c r="BK96" s="271"/>
      <c r="BL96" s="271"/>
    </row>
    <row r="97" spans="18:64" ht="21" customHeight="1" x14ac:dyDescent="0.25">
      <c r="R97" s="34" t="s">
        <v>486</v>
      </c>
      <c r="S97" s="451"/>
      <c r="T97" s="31" t="s">
        <v>29</v>
      </c>
      <c r="V97" s="475">
        <v>1</v>
      </c>
      <c r="W97" s="475" t="str">
        <f>IF($AC$97="","",$W$72)</f>
        <v/>
      </c>
      <c r="X97" s="476" t="str">
        <f>IF($AC$97="","",$X$72)</f>
        <v/>
      </c>
      <c r="Y97" s="477" t="str">
        <f>IF($X$97="","",$Y$72)</f>
        <v/>
      </c>
      <c r="Z97" s="477" t="str">
        <f>IF($X$97="","",$Z$72)</f>
        <v/>
      </c>
      <c r="AA97" s="477" t="str">
        <f>IF($AC$97="","",ROW($A$97)-ROW($A$72))</f>
        <v/>
      </c>
      <c r="AB97" s="478"/>
      <c r="AC97" s="34"/>
      <c r="AD97" s="356"/>
      <c r="AE97" s="18"/>
      <c r="AF97" s="19"/>
      <c r="AG97" s="480" t="str">
        <f t="shared" si="4"/>
        <v/>
      </c>
      <c r="AH97" s="481" t="str">
        <f t="shared" si="5"/>
        <v/>
      </c>
      <c r="AI97" s="477" t="str">
        <f>IF($AC$97="","",IFERROR(INDEX($AZ$74:$AZ$119,MATCH($AH$97,$AY$74:$AY$119,0)),"AUTRE"))</f>
        <v/>
      </c>
      <c r="AJ97" s="482" t="str">
        <f>IF($AC$97="","",IFERROR(INDEX($BA$74:$BA$119,MATCH($AH$97,$AY$74:$AY$119,0)),1))</f>
        <v/>
      </c>
      <c r="AK97" s="482" t="str">
        <f t="shared" si="6"/>
        <v/>
      </c>
      <c r="AL97" s="477" t="str">
        <f>IF($AC$97="","",IFERROR(INDEX($BB$74:$BB$119,MATCH($AH$97,$AY$74:$AY$119,0)),$AH$97))</f>
        <v/>
      </c>
      <c r="AM97" s="483" t="str">
        <f t="shared" si="7"/>
        <v/>
      </c>
      <c r="AN97" s="484" t="str">
        <f t="shared" si="15"/>
        <v/>
      </c>
      <c r="AO97" s="473" t="str">
        <f t="shared" si="8"/>
        <v/>
      </c>
      <c r="AP97" s="473" t="str">
        <f t="shared" si="9"/>
        <v/>
      </c>
      <c r="AQ97" s="473" t="str">
        <f t="shared" si="10"/>
        <v/>
      </c>
      <c r="AR97" s="473" t="str">
        <f t="shared" si="11"/>
        <v/>
      </c>
      <c r="AS97" s="473" t="str">
        <f t="shared" si="12"/>
        <v/>
      </c>
      <c r="AT97" s="473" t="str">
        <f t="shared" si="13"/>
        <v/>
      </c>
      <c r="AU97" s="473" t="str">
        <f t="shared" si="14"/>
        <v/>
      </c>
      <c r="AY97" s="32" t="s">
        <v>8127</v>
      </c>
      <c r="AZ97" s="488" t="s">
        <v>38</v>
      </c>
      <c r="BA97" s="489">
        <v>1</v>
      </c>
      <c r="BB97" s="419" t="s">
        <v>8128</v>
      </c>
      <c r="BC97" s="271"/>
      <c r="BD97" s="279">
        <v>1</v>
      </c>
      <c r="BG97" s="271"/>
      <c r="BH97" s="271"/>
      <c r="BI97" s="271"/>
      <c r="BJ97" s="271"/>
      <c r="BK97" s="271"/>
      <c r="BL97" s="271"/>
    </row>
    <row r="98" spans="18:64" ht="21" customHeight="1" x14ac:dyDescent="0.25">
      <c r="R98" s="34" t="s">
        <v>479</v>
      </c>
      <c r="S98" s="451"/>
      <c r="T98" s="31" t="s">
        <v>30</v>
      </c>
      <c r="V98" s="475">
        <v>1</v>
      </c>
      <c r="W98" s="475" t="str">
        <f>IF($AC$98="","",$W$72)</f>
        <v/>
      </c>
      <c r="X98" s="476" t="str">
        <f>IF($AC$98="","",$X$72)</f>
        <v/>
      </c>
      <c r="Y98" s="477" t="str">
        <f>IF($X$98="","",$Y$72)</f>
        <v/>
      </c>
      <c r="Z98" s="477" t="str">
        <f>IF($X$98="","",$Z$72)</f>
        <v/>
      </c>
      <c r="AA98" s="477" t="str">
        <f>IF($AC$98="","",ROW($A$98)-ROW($A$72))</f>
        <v/>
      </c>
      <c r="AB98" s="478"/>
      <c r="AC98" s="34"/>
      <c r="AD98" s="356"/>
      <c r="AE98" s="18"/>
      <c r="AF98" s="19"/>
      <c r="AG98" s="480" t="str">
        <f t="shared" si="4"/>
        <v/>
      </c>
      <c r="AH98" s="481" t="str">
        <f t="shared" si="5"/>
        <v/>
      </c>
      <c r="AI98" s="477" t="str">
        <f>IF($AC$98="","",IFERROR(INDEX($AZ$74:$AZ$119,MATCH($AH$98,$AY$74:$AY$119,0)),"AUTRE"))</f>
        <v/>
      </c>
      <c r="AJ98" s="482" t="str">
        <f>IF($AC$98="","",IFERROR(INDEX($BA$74:$BA$119,MATCH($AH$98,$AY$74:$AY$119,0)),1))</f>
        <v/>
      </c>
      <c r="AK98" s="482" t="str">
        <f t="shared" si="6"/>
        <v/>
      </c>
      <c r="AL98" s="477" t="str">
        <f>IF($AC$98="","",IFERROR(INDEX($BB$74:$BB$119,MATCH($AH$98,$AY$74:$AY$119,0)),$AH$98))</f>
        <v/>
      </c>
      <c r="AM98" s="483" t="str">
        <f t="shared" si="7"/>
        <v/>
      </c>
      <c r="AN98" s="484" t="str">
        <f t="shared" si="15"/>
        <v/>
      </c>
      <c r="AO98" s="473" t="str">
        <f t="shared" si="8"/>
        <v/>
      </c>
      <c r="AP98" s="473" t="str">
        <f t="shared" si="9"/>
        <v/>
      </c>
      <c r="AQ98" s="473" t="str">
        <f t="shared" si="10"/>
        <v/>
      </c>
      <c r="AR98" s="473" t="str">
        <f t="shared" si="11"/>
        <v/>
      </c>
      <c r="AS98" s="473" t="str">
        <f t="shared" si="12"/>
        <v/>
      </c>
      <c r="AT98" s="473" t="str">
        <f t="shared" si="13"/>
        <v/>
      </c>
      <c r="AU98" s="473" t="str">
        <f t="shared" si="14"/>
        <v/>
      </c>
      <c r="AY98" s="32" t="s">
        <v>320</v>
      </c>
      <c r="AZ98" s="488" t="s">
        <v>38</v>
      </c>
      <c r="BA98" s="489">
        <v>1</v>
      </c>
      <c r="BB98" s="419" t="s">
        <v>321</v>
      </c>
      <c r="BC98" s="271"/>
      <c r="BD98" s="279">
        <v>1</v>
      </c>
      <c r="BG98" s="271"/>
      <c r="BH98" s="271"/>
      <c r="BI98" s="271"/>
      <c r="BJ98" s="271"/>
      <c r="BK98" s="271"/>
      <c r="BL98" s="271"/>
    </row>
    <row r="99" spans="18:64" ht="21" customHeight="1" x14ac:dyDescent="0.25">
      <c r="R99" s="34" t="s">
        <v>6131</v>
      </c>
      <c r="S99" s="451"/>
      <c r="T99" s="31" t="s">
        <v>31</v>
      </c>
      <c r="V99" s="475">
        <v>1</v>
      </c>
      <c r="W99" s="475" t="str">
        <f>IF($AC$99="","",$W$72)</f>
        <v/>
      </c>
      <c r="X99" s="476" t="str">
        <f>IF($AC$99="","",$X$72)</f>
        <v/>
      </c>
      <c r="Y99" s="477" t="str">
        <f>IF($X$99="","",$Y$72)</f>
        <v/>
      </c>
      <c r="Z99" s="477" t="str">
        <f>IF($X$99="","",$Z$72)</f>
        <v/>
      </c>
      <c r="AA99" s="477" t="str">
        <f>IF($AC$99="","",ROW($A$99)-ROW($A$72))</f>
        <v/>
      </c>
      <c r="AB99" s="478"/>
      <c r="AC99" s="34"/>
      <c r="AD99" s="356"/>
      <c r="AE99" s="18"/>
      <c r="AF99" s="19"/>
      <c r="AG99" s="480" t="str">
        <f t="shared" si="4"/>
        <v/>
      </c>
      <c r="AH99" s="481" t="str">
        <f t="shared" si="5"/>
        <v/>
      </c>
      <c r="AI99" s="477" t="str">
        <f>IF($AC$99="","",IFERROR(INDEX($AZ$74:$AZ$119,MATCH($AH$99,$AY$74:$AY$119,0)),"AUTRE"))</f>
        <v/>
      </c>
      <c r="AJ99" s="482" t="str">
        <f>IF($AC$99="","",IFERROR(INDEX($BA$74:$BA$119,MATCH($AH$99,$AY$74:$AY$119,0)),1))</f>
        <v/>
      </c>
      <c r="AK99" s="482" t="str">
        <f t="shared" si="6"/>
        <v/>
      </c>
      <c r="AL99" s="477" t="str">
        <f>IF($AC$99="","",IFERROR(INDEX($BB$74:$BB$119,MATCH($AH$99,$AY$74:$AY$119,0)),$AH$99))</f>
        <v/>
      </c>
      <c r="AM99" s="483" t="str">
        <f t="shared" si="7"/>
        <v/>
      </c>
      <c r="AN99" s="484" t="str">
        <f t="shared" si="15"/>
        <v/>
      </c>
      <c r="AO99" s="473" t="str">
        <f t="shared" si="8"/>
        <v/>
      </c>
      <c r="AP99" s="473" t="str">
        <f t="shared" si="9"/>
        <v/>
      </c>
      <c r="AQ99" s="473" t="str">
        <f t="shared" si="10"/>
        <v/>
      </c>
      <c r="AR99" s="473" t="str">
        <f t="shared" si="11"/>
        <v/>
      </c>
      <c r="AS99" s="473" t="str">
        <f t="shared" si="12"/>
        <v/>
      </c>
      <c r="AT99" s="473" t="str">
        <f t="shared" si="13"/>
        <v/>
      </c>
      <c r="AU99" s="473" t="str">
        <f t="shared" si="14"/>
        <v/>
      </c>
      <c r="AY99" s="32" t="s">
        <v>318</v>
      </c>
      <c r="AZ99" s="488" t="s">
        <v>38</v>
      </c>
      <c r="BA99" s="489">
        <v>1</v>
      </c>
      <c r="BB99" s="419" t="s">
        <v>319</v>
      </c>
      <c r="BC99" s="271"/>
      <c r="BD99" s="279">
        <v>1</v>
      </c>
      <c r="BG99" s="271"/>
      <c r="BH99" s="271"/>
      <c r="BI99" s="271"/>
      <c r="BJ99" s="271"/>
      <c r="BK99" s="271"/>
      <c r="BL99" s="271"/>
    </row>
    <row r="100" spans="18:64" ht="21" customHeight="1" x14ac:dyDescent="0.25">
      <c r="R100" s="34" t="s">
        <v>485</v>
      </c>
      <c r="S100" s="451"/>
      <c r="T100" s="32" t="s">
        <v>33</v>
      </c>
      <c r="V100" s="475">
        <v>1</v>
      </c>
      <c r="W100" s="475" t="str">
        <f>IF($AC$100="","",$W$72)</f>
        <v/>
      </c>
      <c r="X100" s="476" t="str">
        <f>IF($AC$100="","",$X$72)</f>
        <v/>
      </c>
      <c r="Y100" s="477" t="str">
        <f>IF($X$100="","",$Y$72)</f>
        <v/>
      </c>
      <c r="Z100" s="477" t="str">
        <f>IF($X$100="","",$Z$72)</f>
        <v/>
      </c>
      <c r="AA100" s="477" t="str">
        <f>IF($AC$100="","",ROW($A$100)-ROW($A$72))</f>
        <v/>
      </c>
      <c r="AB100" s="478"/>
      <c r="AC100" s="34"/>
      <c r="AD100" s="356"/>
      <c r="AE100" s="18"/>
      <c r="AF100" s="19"/>
      <c r="AG100" s="480" t="str">
        <f t="shared" si="4"/>
        <v/>
      </c>
      <c r="AH100" s="481" t="str">
        <f t="shared" si="5"/>
        <v/>
      </c>
      <c r="AI100" s="477" t="str">
        <f>IF($AC$100="","",IFERROR(INDEX($AZ$74:$AZ$119,MATCH($AH$100,$AY$74:$AY$119,0)),"AUTRE"))</f>
        <v/>
      </c>
      <c r="AJ100" s="482" t="str">
        <f>IF($AC$100="","",IFERROR(INDEX($BA$74:$BA$119,MATCH($AH$100,$AY$74:$AY$119,0)),1))</f>
        <v/>
      </c>
      <c r="AK100" s="482" t="str">
        <f t="shared" si="6"/>
        <v/>
      </c>
      <c r="AL100" s="477" t="str">
        <f>IF($AC$100="","",IFERROR(INDEX($BB$74:$BB$119,MATCH($AH$100,$AY$74:$AY$119,0)),$AH$100))</f>
        <v/>
      </c>
      <c r="AM100" s="483" t="str">
        <f t="shared" si="7"/>
        <v/>
      </c>
      <c r="AN100" s="484" t="str">
        <f t="shared" si="15"/>
        <v/>
      </c>
      <c r="AO100" s="473" t="str">
        <f t="shared" si="8"/>
        <v/>
      </c>
      <c r="AP100" s="473" t="str">
        <f t="shared" si="9"/>
        <v/>
      </c>
      <c r="AQ100" s="473" t="str">
        <f t="shared" si="10"/>
        <v/>
      </c>
      <c r="AR100" s="473" t="str">
        <f t="shared" si="11"/>
        <v/>
      </c>
      <c r="AS100" s="473" t="str">
        <f t="shared" si="12"/>
        <v/>
      </c>
      <c r="AT100" s="473" t="str">
        <f t="shared" si="13"/>
        <v/>
      </c>
      <c r="AU100" s="473" t="str">
        <f t="shared" si="14"/>
        <v/>
      </c>
      <c r="AY100" s="32" t="s">
        <v>316</v>
      </c>
      <c r="AZ100" s="488" t="s">
        <v>38</v>
      </c>
      <c r="BA100" s="489">
        <v>1</v>
      </c>
      <c r="BB100" s="419" t="s">
        <v>317</v>
      </c>
      <c r="BC100" s="271"/>
      <c r="BD100" s="279">
        <v>1</v>
      </c>
      <c r="BG100" s="271"/>
      <c r="BH100" s="271"/>
      <c r="BI100" s="271"/>
      <c r="BJ100" s="271"/>
      <c r="BK100" s="271"/>
      <c r="BL100" s="271"/>
    </row>
    <row r="101" spans="18:64" ht="21" customHeight="1" x14ac:dyDescent="0.25">
      <c r="R101" s="34" t="s">
        <v>6132</v>
      </c>
      <c r="S101" s="451"/>
      <c r="T101" s="32" t="s">
        <v>8125</v>
      </c>
      <c r="V101" s="475">
        <v>1</v>
      </c>
      <c r="W101" s="475" t="str">
        <f>IF($AC$101="","",$W$72)</f>
        <v/>
      </c>
      <c r="X101" s="476" t="str">
        <f>IF($AC$101="","",$X$72)</f>
        <v/>
      </c>
      <c r="Y101" s="477" t="str">
        <f>IF($X$101="","",$Y$72)</f>
        <v/>
      </c>
      <c r="Z101" s="477" t="str">
        <f>IF($X$101="","",$Z$72)</f>
        <v/>
      </c>
      <c r="AA101" s="477" t="str">
        <f>IF($AC$101="","",ROW($A$101)-ROW($A$72))</f>
        <v/>
      </c>
      <c r="AB101" s="478"/>
      <c r="AC101" s="34"/>
      <c r="AD101" s="356"/>
      <c r="AE101" s="18"/>
      <c r="AF101" s="19"/>
      <c r="AG101" s="480" t="str">
        <f t="shared" si="4"/>
        <v/>
      </c>
      <c r="AH101" s="481" t="str">
        <f t="shared" si="5"/>
        <v/>
      </c>
      <c r="AI101" s="477" t="str">
        <f>IF($AC$101="","",IFERROR(INDEX($AZ$74:$AZ$119,MATCH($AH$101,$AY$74:$AY$119,0)),"AUTRE"))</f>
        <v/>
      </c>
      <c r="AJ101" s="482" t="str">
        <f>IF($AC$101="","",IFERROR(INDEX($BA$74:$BA$119,MATCH($AH$101,$AY$74:$AY$119,0)),1))</f>
        <v/>
      </c>
      <c r="AK101" s="482" t="str">
        <f t="shared" si="6"/>
        <v/>
      </c>
      <c r="AL101" s="477" t="str">
        <f>IF($AC$101="","",IFERROR(INDEX($BB$74:$BB$119,MATCH($AH$101,$AY$74:$AY$119,0)),$AH$101))</f>
        <v/>
      </c>
      <c r="AM101" s="483" t="str">
        <f t="shared" si="7"/>
        <v/>
      </c>
      <c r="AN101" s="484" t="str">
        <f t="shared" si="15"/>
        <v/>
      </c>
      <c r="AO101" s="473" t="str">
        <f t="shared" si="8"/>
        <v/>
      </c>
      <c r="AP101" s="473" t="str">
        <f t="shared" si="9"/>
        <v/>
      </c>
      <c r="AQ101" s="473" t="str">
        <f t="shared" si="10"/>
        <v/>
      </c>
      <c r="AR101" s="473" t="str">
        <f t="shared" si="11"/>
        <v/>
      </c>
      <c r="AS101" s="473" t="str">
        <f t="shared" si="12"/>
        <v/>
      </c>
      <c r="AT101" s="473" t="str">
        <f t="shared" si="13"/>
        <v/>
      </c>
      <c r="AU101" s="473" t="str">
        <f t="shared" si="14"/>
        <v/>
      </c>
      <c r="AY101" s="32" t="s">
        <v>313</v>
      </c>
      <c r="AZ101" s="488" t="s">
        <v>38</v>
      </c>
      <c r="BA101" s="489">
        <v>1</v>
      </c>
      <c r="BB101" s="419" t="s">
        <v>314</v>
      </c>
      <c r="BC101" s="271"/>
      <c r="BD101" s="279">
        <v>1</v>
      </c>
      <c r="BG101" s="271"/>
      <c r="BH101" s="271"/>
      <c r="BI101" s="271"/>
      <c r="BJ101" s="271"/>
      <c r="BK101" s="271"/>
      <c r="BL101" s="271"/>
    </row>
    <row r="102" spans="18:64" ht="21" customHeight="1" x14ac:dyDescent="0.25">
      <c r="R102" s="25" t="s">
        <v>6133</v>
      </c>
      <c r="S102" s="451"/>
      <c r="T102" s="32" t="s">
        <v>8127</v>
      </c>
      <c r="V102" s="475">
        <v>1</v>
      </c>
      <c r="W102" s="475" t="str">
        <f>IF($AC$102="","",$W$72)</f>
        <v/>
      </c>
      <c r="X102" s="476" t="str">
        <f>IF($AC$102="","",$X$72)</f>
        <v/>
      </c>
      <c r="Y102" s="477" t="str">
        <f>IF($X$102="","",$Y$72)</f>
        <v/>
      </c>
      <c r="Z102" s="477" t="str">
        <f>IF($X$102="","",$Z$72)</f>
        <v/>
      </c>
      <c r="AA102" s="477" t="str">
        <f>IF($AC$102="","",ROW($A$102)-ROW($A$72))</f>
        <v/>
      </c>
      <c r="AB102" s="478"/>
      <c r="AC102" s="34"/>
      <c r="AD102" s="356"/>
      <c r="AE102" s="18"/>
      <c r="AF102" s="19"/>
      <c r="AG102" s="480" t="str">
        <f t="shared" si="4"/>
        <v/>
      </c>
      <c r="AH102" s="481" t="str">
        <f t="shared" si="5"/>
        <v/>
      </c>
      <c r="AI102" s="477" t="str">
        <f>IF($AC$102="","",IFERROR(INDEX($AZ$74:$AZ$119,MATCH($AH$102,$AY$74:$AY$119,0)),"AUTRE"))</f>
        <v/>
      </c>
      <c r="AJ102" s="482" t="str">
        <f>IF($AC$102="","",IFERROR(INDEX($BA$74:$BA$119,MATCH($AH$102,$AY$74:$AY$119,0)),1))</f>
        <v/>
      </c>
      <c r="AK102" s="482" t="str">
        <f t="shared" si="6"/>
        <v/>
      </c>
      <c r="AL102" s="477" t="str">
        <f>IF($AC$102="","",IFERROR(INDEX($BB$74:$BB$119,MATCH($AH$102,$AY$74:$AY$119,0)),$AH$102))</f>
        <v/>
      </c>
      <c r="AM102" s="483" t="str">
        <f t="shared" si="7"/>
        <v/>
      </c>
      <c r="AN102" s="484" t="str">
        <f t="shared" si="15"/>
        <v/>
      </c>
      <c r="AO102" s="473" t="str">
        <f t="shared" si="8"/>
        <v/>
      </c>
      <c r="AP102" s="473" t="str">
        <f t="shared" si="9"/>
        <v/>
      </c>
      <c r="AQ102" s="473" t="str">
        <f t="shared" si="10"/>
        <v/>
      </c>
      <c r="AR102" s="473" t="str">
        <f t="shared" si="11"/>
        <v/>
      </c>
      <c r="AS102" s="473" t="str">
        <f t="shared" si="12"/>
        <v/>
      </c>
      <c r="AT102" s="473" t="str">
        <f t="shared" si="13"/>
        <v/>
      </c>
      <c r="AU102" s="473" t="str">
        <f t="shared" si="14"/>
        <v/>
      </c>
      <c r="AY102" s="32" t="s">
        <v>307</v>
      </c>
      <c r="AZ102" s="488" t="s">
        <v>38</v>
      </c>
      <c r="BA102" s="489">
        <v>1</v>
      </c>
      <c r="BB102" s="419" t="s">
        <v>308</v>
      </c>
      <c r="BC102" s="271"/>
      <c r="BD102" s="279">
        <v>1</v>
      </c>
      <c r="BG102" s="271"/>
      <c r="BH102" s="271"/>
      <c r="BI102" s="271"/>
      <c r="BJ102" s="271"/>
      <c r="BK102" s="271"/>
      <c r="BL102" s="271"/>
    </row>
    <row r="103" spans="18:64" ht="21" customHeight="1" x14ac:dyDescent="0.25">
      <c r="R103" s="34" t="s">
        <v>476</v>
      </c>
      <c r="S103" s="451"/>
      <c r="T103" s="32" t="s">
        <v>320</v>
      </c>
      <c r="V103" s="475">
        <v>1</v>
      </c>
      <c r="W103" s="475" t="str">
        <f>IF($AC$103="","",$W$72)</f>
        <v/>
      </c>
      <c r="X103" s="476" t="str">
        <f>IF($AC$103="","",$X$72)</f>
        <v/>
      </c>
      <c r="Y103" s="477" t="str">
        <f>IF($X$103="","",$Y$72)</f>
        <v/>
      </c>
      <c r="Z103" s="477" t="str">
        <f>IF($X$103="","",$Z$72)</f>
        <v/>
      </c>
      <c r="AA103" s="477" t="str">
        <f>IF($AC$103="","",ROW($A$103)-ROW($A$72))</f>
        <v/>
      </c>
      <c r="AB103" s="478"/>
      <c r="AC103" s="34"/>
      <c r="AD103" s="356"/>
      <c r="AE103" s="18"/>
      <c r="AF103" s="19"/>
      <c r="AG103" s="480" t="str">
        <f t="shared" si="4"/>
        <v/>
      </c>
      <c r="AH103" s="481" t="str">
        <f t="shared" si="5"/>
        <v/>
      </c>
      <c r="AI103" s="477" t="str">
        <f>IF($AC$103="","",IFERROR(INDEX($AZ$74:$AZ$119,MATCH($AH$103,$AY$74:$AY$119,0)),"AUTRE"))</f>
        <v/>
      </c>
      <c r="AJ103" s="482" t="str">
        <f>IF($AC$103="","",IFERROR(INDEX($BA$74:$BA$119,MATCH($AH$103,$AY$74:$AY$119,0)),1))</f>
        <v/>
      </c>
      <c r="AK103" s="482" t="str">
        <f t="shared" si="6"/>
        <v/>
      </c>
      <c r="AL103" s="477" t="str">
        <f>IF($AC$103="","",IFERROR(INDEX($BB$74:$BB$119,MATCH($AH$103,$AY$74:$AY$119,0)),$AH$103))</f>
        <v/>
      </c>
      <c r="AM103" s="483" t="str">
        <f t="shared" si="7"/>
        <v/>
      </c>
      <c r="AN103" s="484" t="str">
        <f t="shared" si="15"/>
        <v/>
      </c>
      <c r="AO103" s="473" t="str">
        <f t="shared" si="8"/>
        <v/>
      </c>
      <c r="AP103" s="473" t="str">
        <f t="shared" si="9"/>
        <v/>
      </c>
      <c r="AQ103" s="473" t="str">
        <f t="shared" si="10"/>
        <v/>
      </c>
      <c r="AR103" s="473" t="str">
        <f t="shared" si="11"/>
        <v/>
      </c>
      <c r="AS103" s="473" t="str">
        <f t="shared" si="12"/>
        <v/>
      </c>
      <c r="AT103" s="473" t="str">
        <f t="shared" si="13"/>
        <v/>
      </c>
      <c r="AU103" s="473" t="str">
        <f t="shared" si="14"/>
        <v/>
      </c>
      <c r="AY103" s="32" t="s">
        <v>322</v>
      </c>
      <c r="AZ103" s="488" t="s">
        <v>38</v>
      </c>
      <c r="BA103" s="489">
        <v>1</v>
      </c>
      <c r="BB103" s="419" t="s">
        <v>323</v>
      </c>
      <c r="BC103" s="271"/>
      <c r="BD103" s="279">
        <v>1</v>
      </c>
      <c r="BG103" s="271"/>
      <c r="BH103" s="271"/>
      <c r="BI103" s="271"/>
      <c r="BJ103" s="271"/>
      <c r="BK103" s="271"/>
      <c r="BL103" s="271"/>
    </row>
    <row r="104" spans="18:64" ht="21" customHeight="1" x14ac:dyDescent="0.25">
      <c r="R104" s="34" t="s">
        <v>468</v>
      </c>
      <c r="S104" s="451"/>
      <c r="T104" s="32" t="s">
        <v>318</v>
      </c>
      <c r="V104" s="475">
        <v>1</v>
      </c>
      <c r="W104" s="475" t="str">
        <f>IF($AC$104="","",$W$72)</f>
        <v/>
      </c>
      <c r="X104" s="476" t="str">
        <f>IF($AC$104="","",$X$72)</f>
        <v/>
      </c>
      <c r="Y104" s="477" t="str">
        <f>IF($X$104="","",$Y$72)</f>
        <v/>
      </c>
      <c r="Z104" s="477" t="str">
        <f>IF($X$104="","",$Z$72)</f>
        <v/>
      </c>
      <c r="AA104" s="477" t="str">
        <f>IF($AC$104="","",ROW($A$104)-ROW($A$72))</f>
        <v/>
      </c>
      <c r="AB104" s="478"/>
      <c r="AC104" s="34"/>
      <c r="AD104" s="356"/>
      <c r="AE104" s="18"/>
      <c r="AF104" s="19"/>
      <c r="AG104" s="480" t="str">
        <f t="shared" si="4"/>
        <v/>
      </c>
      <c r="AH104" s="481" t="str">
        <f t="shared" si="5"/>
        <v/>
      </c>
      <c r="AI104" s="477" t="str">
        <f>IF($AC$104="","",IFERROR(INDEX($AZ$74:$AZ$119,MATCH($AH$104,$AY$74:$AY$119,0)),"AUTRE"))</f>
        <v/>
      </c>
      <c r="AJ104" s="482" t="str">
        <f>IF($AC$104="","",IFERROR(INDEX($BA$74:$BA$119,MATCH($AH$104,$AY$74:$AY$119,0)),1))</f>
        <v/>
      </c>
      <c r="AK104" s="482" t="str">
        <f t="shared" si="6"/>
        <v/>
      </c>
      <c r="AL104" s="477" t="str">
        <f>IF($AC$104="","",IFERROR(INDEX($BB$74:$BB$119,MATCH($AH$104,$AY$74:$AY$119,0)),$AH$104))</f>
        <v/>
      </c>
      <c r="AM104" s="483" t="str">
        <f t="shared" si="7"/>
        <v/>
      </c>
      <c r="AN104" s="484" t="str">
        <f t="shared" si="15"/>
        <v/>
      </c>
      <c r="AO104" s="473" t="str">
        <f t="shared" si="8"/>
        <v/>
      </c>
      <c r="AP104" s="473" t="str">
        <f t="shared" si="9"/>
        <v/>
      </c>
      <c r="AQ104" s="473" t="str">
        <f t="shared" si="10"/>
        <v/>
      </c>
      <c r="AR104" s="473" t="str">
        <f t="shared" si="11"/>
        <v/>
      </c>
      <c r="AS104" s="473" t="str">
        <f t="shared" si="12"/>
        <v/>
      </c>
      <c r="AT104" s="473" t="str">
        <f t="shared" si="13"/>
        <v/>
      </c>
      <c r="AU104" s="473" t="str">
        <f t="shared" si="14"/>
        <v/>
      </c>
      <c r="AY104" s="32" t="s">
        <v>305</v>
      </c>
      <c r="AZ104" s="488" t="s">
        <v>38</v>
      </c>
      <c r="BA104" s="489">
        <v>1</v>
      </c>
      <c r="BB104" s="419" t="s">
        <v>306</v>
      </c>
      <c r="BC104" s="271"/>
      <c r="BD104" s="279">
        <v>1</v>
      </c>
      <c r="BG104" s="271"/>
      <c r="BH104" s="271"/>
      <c r="BI104" s="271"/>
      <c r="BJ104" s="271"/>
      <c r="BK104" s="271"/>
      <c r="BL104" s="271"/>
    </row>
    <row r="105" spans="18:64" ht="21" customHeight="1" x14ac:dyDescent="0.25">
      <c r="R105" s="34" t="s">
        <v>473</v>
      </c>
      <c r="S105" s="451"/>
      <c r="T105" s="32" t="s">
        <v>316</v>
      </c>
      <c r="V105" s="475">
        <v>1</v>
      </c>
      <c r="W105" s="475" t="str">
        <f>IF($AC$105="","",$W$72)</f>
        <v/>
      </c>
      <c r="X105" s="476" t="str">
        <f>IF($AC$105="","",$X$72)</f>
        <v/>
      </c>
      <c r="Y105" s="477" t="str">
        <f>IF($X$105="","",$Y$72)</f>
        <v/>
      </c>
      <c r="Z105" s="477" t="str">
        <f>IF($X$105="","",$Z$72)</f>
        <v/>
      </c>
      <c r="AA105" s="477" t="str">
        <f>IF($AC$105="","",ROW($A$105)-ROW($A$72))</f>
        <v/>
      </c>
      <c r="AB105" s="478"/>
      <c r="AC105" s="34"/>
      <c r="AD105" s="356"/>
      <c r="AE105" s="18"/>
      <c r="AF105" s="19"/>
      <c r="AG105" s="480" t="str">
        <f t="shared" si="4"/>
        <v/>
      </c>
      <c r="AH105" s="481" t="str">
        <f t="shared" si="5"/>
        <v/>
      </c>
      <c r="AI105" s="477" t="str">
        <f>IF($AC$105="","",IFERROR(INDEX($AZ$74:$AZ$119,MATCH($AH$105,$AY$74:$AY$119,0)),"AUTRE"))</f>
        <v/>
      </c>
      <c r="AJ105" s="482" t="str">
        <f>IF($AC$105="","",IFERROR(INDEX($BA$74:$BA$119,MATCH($AH$105,$AY$74:$AY$119,0)),1))</f>
        <v/>
      </c>
      <c r="AK105" s="482" t="str">
        <f t="shared" si="6"/>
        <v/>
      </c>
      <c r="AL105" s="477" t="str">
        <f>IF($AC$105="","",IFERROR(INDEX($BB$74:$BB$119,MATCH($AH$105,$AY$74:$AY$119,0)),$AH$105))</f>
        <v/>
      </c>
      <c r="AM105" s="483" t="str">
        <f t="shared" si="7"/>
        <v/>
      </c>
      <c r="AN105" s="484" t="str">
        <f t="shared" si="15"/>
        <v/>
      </c>
      <c r="AO105" s="473" t="str">
        <f t="shared" si="8"/>
        <v/>
      </c>
      <c r="AP105" s="473" t="str">
        <f t="shared" si="9"/>
        <v/>
      </c>
      <c r="AQ105" s="473" t="str">
        <f t="shared" si="10"/>
        <v/>
      </c>
      <c r="AR105" s="473" t="str">
        <f t="shared" si="11"/>
        <v/>
      </c>
      <c r="AS105" s="473" t="str">
        <f t="shared" si="12"/>
        <v/>
      </c>
      <c r="AT105" s="473" t="str">
        <f t="shared" si="13"/>
        <v/>
      </c>
      <c r="AU105" s="473" t="str">
        <f t="shared" si="14"/>
        <v/>
      </c>
      <c r="AY105" s="32" t="s">
        <v>8129</v>
      </c>
      <c r="AZ105" s="488" t="s">
        <v>38</v>
      </c>
      <c r="BA105" s="489">
        <v>1</v>
      </c>
      <c r="BB105" s="419" t="s">
        <v>8130</v>
      </c>
      <c r="BC105" s="271"/>
      <c r="BD105" s="279">
        <v>1</v>
      </c>
      <c r="BG105" s="271"/>
      <c r="BH105" s="271"/>
      <c r="BI105" s="271"/>
      <c r="BJ105" s="271"/>
      <c r="BK105" s="271"/>
      <c r="BL105" s="271"/>
    </row>
    <row r="106" spans="18:64" ht="21" customHeight="1" x14ac:dyDescent="0.25">
      <c r="R106" s="34" t="s">
        <v>497</v>
      </c>
      <c r="S106" s="451"/>
      <c r="T106" s="32" t="s">
        <v>313</v>
      </c>
      <c r="V106" s="475">
        <v>1</v>
      </c>
      <c r="W106" s="475" t="str">
        <f>IF($AC$106="","",$W$72)</f>
        <v>N° 25</v>
      </c>
      <c r="X106" s="476" t="str">
        <f>IF($AC$106="","",$X$72)</f>
        <v>BLINIS</v>
      </c>
      <c r="Y106" s="477">
        <f>IF($X$106="","",$Y$72)</f>
        <v>42</v>
      </c>
      <c r="Z106" s="477">
        <f>IF($X$106="","",$Z$72)</f>
        <v>100</v>
      </c>
      <c r="AA106" s="477">
        <f>IF($AC$106="","",ROW($A$106)-ROW($A$72))</f>
        <v>34</v>
      </c>
      <c r="AB106" s="478"/>
      <c r="AC106" s="34" t="s">
        <v>478</v>
      </c>
      <c r="AD106" s="356"/>
      <c r="AE106" s="18">
        <v>4</v>
      </c>
      <c r="AF106" s="33" t="s">
        <v>462</v>
      </c>
      <c r="AG106" s="491">
        <f t="shared" si="4"/>
        <v>4</v>
      </c>
      <c r="AH106" s="481" t="str">
        <f t="shared" si="5"/>
        <v>BAC(S)</v>
      </c>
      <c r="AI106" s="477" t="str">
        <f>IF($AC$106="","",IFERROR(INDEX($AZ$74:$AZ$119,MATCH($AH$106,$AY$74:$AY$119,0)),"AUTRE"))</f>
        <v>AUTRE</v>
      </c>
      <c r="AJ106" s="482">
        <f>IF($AC$106="","",IFERROR(INDEX($BA$74:$BA$119,MATCH($AH$106,$AY$74:$AY$119,0)),1))</f>
        <v>1</v>
      </c>
      <c r="AK106" s="482">
        <f t="shared" si="6"/>
        <v>4</v>
      </c>
      <c r="AL106" s="477" t="str">
        <f>IF($AC$106="","",IFERROR(INDEX($BB$74:$BB$119,MATCH($AH$106,$AY$74:$AY$119,0)),$AH$106))</f>
        <v>bac(s)</v>
      </c>
      <c r="AM106" s="483" t="str">
        <f t="shared" si="7"/>
        <v>OK</v>
      </c>
      <c r="AN106" s="484">
        <f t="shared" si="15"/>
        <v>4</v>
      </c>
      <c r="AO106" s="473" t="str">
        <f t="shared" si="8"/>
        <v/>
      </c>
      <c r="AP106" s="473" t="str">
        <f t="shared" si="9"/>
        <v/>
      </c>
      <c r="AQ106" s="473" t="str">
        <f t="shared" si="10"/>
        <v/>
      </c>
      <c r="AR106" s="473" t="str">
        <f t="shared" si="11"/>
        <v/>
      </c>
      <c r="AS106" s="473" t="str">
        <f t="shared" si="12"/>
        <v/>
      </c>
      <c r="AT106" s="473" t="str">
        <f t="shared" si="13"/>
        <v/>
      </c>
      <c r="AU106" s="473" t="str">
        <f t="shared" si="14"/>
        <v/>
      </c>
      <c r="AY106" s="32" t="s">
        <v>8131</v>
      </c>
      <c r="AZ106" s="488" t="s">
        <v>38</v>
      </c>
      <c r="BA106" s="489">
        <v>1</v>
      </c>
      <c r="BB106" s="419" t="s">
        <v>8132</v>
      </c>
      <c r="BC106" s="271"/>
      <c r="BD106" s="279">
        <v>1</v>
      </c>
      <c r="BE106" s="271"/>
      <c r="BF106" s="271"/>
      <c r="BG106" s="271"/>
      <c r="BH106" s="271"/>
      <c r="BI106" s="271"/>
      <c r="BJ106" s="271"/>
      <c r="BK106" s="271"/>
      <c r="BL106" s="271"/>
    </row>
    <row r="107" spans="18:64" ht="30" customHeight="1" x14ac:dyDescent="0.25">
      <c r="R107" s="34" t="s">
        <v>470</v>
      </c>
      <c r="S107" s="451"/>
      <c r="T107" s="32" t="s">
        <v>307</v>
      </c>
      <c r="V107" s="453" t="s">
        <v>324</v>
      </c>
      <c r="W107" s="453" t="s">
        <v>7912</v>
      </c>
      <c r="X107" s="453" t="s">
        <v>326</v>
      </c>
      <c r="Y107" s="453" t="s">
        <v>327</v>
      </c>
      <c r="Z107" s="454" t="s">
        <v>7930</v>
      </c>
      <c r="AA107" s="453" t="s">
        <v>7937</v>
      </c>
      <c r="AB107" s="455" t="s">
        <v>39</v>
      </c>
      <c r="AC107" s="455" t="s">
        <v>338</v>
      </c>
      <c r="AD107" s="455" t="s">
        <v>8114</v>
      </c>
      <c r="AE107" s="455" t="s">
        <v>339</v>
      </c>
      <c r="AF107" s="455" t="s">
        <v>7997</v>
      </c>
      <c r="AG107" s="453" t="s">
        <v>8018</v>
      </c>
      <c r="AH107" s="453" t="s">
        <v>8023</v>
      </c>
      <c r="AI107" s="453" t="s">
        <v>330</v>
      </c>
      <c r="AJ107" s="453" t="s">
        <v>8031</v>
      </c>
      <c r="AK107" s="453" t="s">
        <v>8037</v>
      </c>
      <c r="AL107" s="453" t="s">
        <v>8041</v>
      </c>
      <c r="AM107" s="453" t="s">
        <v>343</v>
      </c>
      <c r="AN107" s="457" t="s">
        <v>8115</v>
      </c>
      <c r="AO107" s="457" t="s">
        <v>8116</v>
      </c>
      <c r="AP107" s="656" t="s">
        <v>8117</v>
      </c>
      <c r="AQ107" s="656"/>
      <c r="AR107" s="656"/>
      <c r="AS107" s="656"/>
      <c r="AT107" s="656"/>
      <c r="AU107" s="657"/>
      <c r="AY107" s="32" t="s">
        <v>309</v>
      </c>
      <c r="AZ107" s="488" t="s">
        <v>38</v>
      </c>
      <c r="BA107" s="489">
        <v>1</v>
      </c>
      <c r="BB107" s="419" t="s">
        <v>310</v>
      </c>
      <c r="BC107" s="271"/>
      <c r="BD107" s="279">
        <v>1</v>
      </c>
      <c r="BE107" s="271"/>
      <c r="BF107" s="271"/>
      <c r="BG107" s="271"/>
      <c r="BH107" s="271"/>
      <c r="BI107" s="271"/>
      <c r="BJ107" s="271"/>
      <c r="BK107" s="271"/>
      <c r="BL107" s="271"/>
    </row>
    <row r="108" spans="18:64" ht="30" customHeight="1" x14ac:dyDescent="0.25">
      <c r="R108" s="34" t="s">
        <v>477</v>
      </c>
      <c r="S108" s="451"/>
      <c r="T108" s="32" t="s">
        <v>322</v>
      </c>
      <c r="V108" s="459">
        <v>2</v>
      </c>
      <c r="W108" s="12" t="s">
        <v>193</v>
      </c>
      <c r="X108" s="492" t="s">
        <v>192</v>
      </c>
      <c r="Y108" s="15">
        <v>43</v>
      </c>
      <c r="Z108" s="463">
        <v>100</v>
      </c>
      <c r="AA108" s="464">
        <v>0</v>
      </c>
      <c r="AB108" s="493"/>
      <c r="AC108" s="494" t="s">
        <v>382</v>
      </c>
      <c r="AD108" s="495"/>
      <c r="AE108" s="13">
        <v>2</v>
      </c>
      <c r="AF108" s="11" t="s">
        <v>7</v>
      </c>
      <c r="AG108" s="467">
        <f t="shared" ref="AG108:AG142" si="16">IF($AC108="","",IF(LEN($AN108&amp;"")=0,"",$AN108))</f>
        <v>2</v>
      </c>
      <c r="AH108" s="468" t="str">
        <f t="shared" ref="AH108:AH142" si="17">IF($AC108="","",IF($AF108&lt;&gt;"",UPPER(TRIM(SUBSTITUTE(SUBSTITUTE($AF108&amp;"",CHAR(160)," ")," "," "))),$AP108))</f>
        <v>KG</v>
      </c>
      <c r="AI108" s="469" t="str">
        <f>IF($AC$108="","",IFERROR(INDEX($AZ$74:$AZ$119,MATCH($AH$108,$AY$74:$AY$119,0)),"AUTRE"))</f>
        <v>MASSE</v>
      </c>
      <c r="AJ108" s="470">
        <f>IF($AC$108="","",IFERROR(INDEX($BA$74:$BA$119,MATCH($AH$108,$AY$74:$AY$119,0)),1))</f>
        <v>1</v>
      </c>
      <c r="AK108" s="470">
        <f t="shared" ref="AK108:AK142" si="18">IF(OR(AG108="",AJ108=""),"",AG108*AJ108)</f>
        <v>2</v>
      </c>
      <c r="AL108" s="469" t="str">
        <f>IF($AC$108="","",IFERROR(INDEX($BB$74:$BB$119,MATCH($AH$108,$AY$74:$AY$119,0)),$AH$108))</f>
        <v>kg</v>
      </c>
      <c r="AM108" s="471" t="str">
        <f t="shared" ref="AM108:AM142" si="19">IF($AC108="","",IF($AH108="QT. SUFFISANTE","OK",IF($AG108="","TEXTE",IF(NOT(ISNUMBER($AG108)),"QUANTITÉ À CONTRÔLER",IF(COUNTIF($AY$74:$AY$119,$AH108)=0,"UNITÉ À CONTRÔLER","OK")))))</f>
        <v>OK</v>
      </c>
      <c r="AN108" s="474">
        <f t="shared" ref="AN108:AN142" si="20">IF($AE108&lt;&gt;"",$AE108,IF($AD108="","",IF(ISNUMBER($AD108),$AD108,IF($AO108="QT",0,IF($AO108="","",IFERROR(IF(ISNUMBER(SEARCH("/",$AO108)),VALUE(TRIM(LEFT($AO108,SEARCH("/",$AO108)-1)))/VALUE(TRIM(MID($AO108,SEARCH("/",$AO108)+1,99))),VALUE(SUBSTITUTE($AO108,".",","))),""))))))</f>
        <v>2</v>
      </c>
      <c r="AO108" s="473" t="str">
        <f t="shared" ref="AO108:AO142" si="21">IF($AD108="","",IF(ISNUMBER($AD108),$AD108,IF(OR(LEFT($AQ108,3)="QT.",LEFT($AQ108,4)="QUAN"),"QT",IF($AR108=999,$AQ108,TRIM(LEFT($AQ108,$AR108-1))))))</f>
        <v/>
      </c>
      <c r="AP108" s="473" t="str">
        <f t="shared" ref="AP108:AP142" si="22">IF($AD108="","",IF(ISNUMBER($AD108),"",IF(OR(LEFT($AQ108,3)="QT.",LEFT($AQ108,4)="QUAN"),"QT. SUFFISANTE",IF($AO108="","",TRIM(MID($AQ108,LEN($AO108&amp;"")+1,999))))))</f>
        <v/>
      </c>
      <c r="AQ108" s="473" t="str">
        <f t="shared" ref="AQ108:AQ142" si="23">IF($AD108="","",UPPER(TRIM(SUBSTITUTE(SUBSTITUTE($AD108&amp;"",CHAR(160)," ")," "," "))))</f>
        <v/>
      </c>
      <c r="AR108" s="473" t="str">
        <f t="shared" ref="AR108:AR142" si="24">IF($AQ108="","",MIN($AS108,$AT108,$AU108))</f>
        <v/>
      </c>
      <c r="AS108" s="473" t="str">
        <f t="shared" ref="AS108:AS142" si="25">IF($AQ108="","",MIN(IFERROR(SEARCH("A",$AQ108),999),IFERROR(SEARCH("B",$AQ108),999),IFERROR(SEARCH("C",$AQ108),999),IFERROR(SEARCH("D",$AQ108),999),IFERROR(SEARCH("E",$AQ108),999),IFERROR(SEARCH("F",$AQ108),999),IFERROR(SEARCH("G",$AQ108),999),IFERROR(SEARCH("H",$AQ108),999),IFERROR(SEARCH("I",$AQ108),999)))</f>
        <v/>
      </c>
      <c r="AT108" s="473" t="str">
        <f t="shared" ref="AT108:AT142" si="26">IF($AQ108="","",MIN(IFERROR(SEARCH("J",$AQ108),999),IFERROR(SEARCH("K",$AQ108),999),IFERROR(SEARCH("L",$AQ108),999),IFERROR(SEARCH("M",$AQ108),999),IFERROR(SEARCH("N",$AQ108),999),IFERROR(SEARCH("O",$AQ108),999),IFERROR(SEARCH("P",$AQ108),999),IFERROR(SEARCH("Q",$AQ108),999),IFERROR(SEARCH("R",$AQ108),999)))</f>
        <v/>
      </c>
      <c r="AU108" s="473" t="str">
        <f t="shared" ref="AU108:AU142" si="27">IF($AQ108="","",MIN(IFERROR(SEARCH("S",$AQ108),999),IFERROR(SEARCH("T",$AQ108),999),IFERROR(SEARCH("U",$AQ108),999),IFERROR(SEARCH("V",$AQ108),999),IFERROR(SEARCH("W",$AQ108),999),IFERROR(SEARCH("X",$AQ108),999),IFERROR(SEARCH("Y",$AQ108),999),IFERROR(SEARCH("Z",$AQ108),999)))</f>
        <v/>
      </c>
      <c r="AY108" s="32" t="s">
        <v>311</v>
      </c>
      <c r="AZ108" s="488" t="s">
        <v>38</v>
      </c>
      <c r="BA108" s="489">
        <v>1</v>
      </c>
      <c r="BB108" s="419" t="s">
        <v>312</v>
      </c>
      <c r="BC108" s="271"/>
      <c r="BD108" s="279">
        <v>1</v>
      </c>
      <c r="BE108" s="271"/>
      <c r="BF108" s="271"/>
      <c r="BG108" s="271"/>
      <c r="BH108" s="271"/>
      <c r="BI108" s="271"/>
      <c r="BJ108" s="271"/>
      <c r="BK108" s="271"/>
      <c r="BL108" s="271"/>
    </row>
    <row r="109" spans="18:64" ht="21" customHeight="1" x14ac:dyDescent="0.25">
      <c r="S109" s="451"/>
      <c r="T109" s="32" t="s">
        <v>305</v>
      </c>
      <c r="V109" s="475">
        <f>$V$108</f>
        <v>2</v>
      </c>
      <c r="W109" s="475" t="str">
        <f>IF($AC$109="","",$W$108)</f>
        <v>N° 26</v>
      </c>
      <c r="X109" s="476" t="str">
        <f>IF($AC$109="","",$X$108)</f>
        <v>CAKE OLIVES JAMBON</v>
      </c>
      <c r="Y109" s="477">
        <f>IF($X$109="","",$Y$108)</f>
        <v>43</v>
      </c>
      <c r="Z109" s="477">
        <f>IF($X$109="","",$Z$108)</f>
        <v>100</v>
      </c>
      <c r="AA109" s="477">
        <f>IF($AC$109="","",ROW($A$109)-ROW($A$108))</f>
        <v>1</v>
      </c>
      <c r="AB109" s="478"/>
      <c r="AC109" s="34" t="s">
        <v>372</v>
      </c>
      <c r="AD109" s="356"/>
      <c r="AE109" s="18">
        <v>1.5</v>
      </c>
      <c r="AF109" s="11" t="s">
        <v>7</v>
      </c>
      <c r="AG109" s="480">
        <f t="shared" si="16"/>
        <v>1.5</v>
      </c>
      <c r="AH109" s="481" t="str">
        <f t="shared" si="17"/>
        <v>KG</v>
      </c>
      <c r="AI109" s="477" t="str">
        <f>IF($AC$109="","",IFERROR(INDEX($AZ$74:$AZ$119,MATCH($AH$109,$AY$74:$AY$119,0)),"AUTRE"))</f>
        <v>MASSE</v>
      </c>
      <c r="AJ109" s="482">
        <f>IF($AC$109="","",IFERROR(INDEX($BA$74:$BA$119,MATCH($AH$109,$AY$74:$AY$119,0)),1))</f>
        <v>1</v>
      </c>
      <c r="AK109" s="482">
        <f t="shared" si="18"/>
        <v>1.5</v>
      </c>
      <c r="AL109" s="477" t="str">
        <f>IF($AC$109="","",IFERROR(INDEX($BB$74:$BB$119,MATCH($AH$109,$AY$74:$AY$119,0)),$AH$109))</f>
        <v>kg</v>
      </c>
      <c r="AM109" s="483" t="str">
        <f t="shared" si="19"/>
        <v>OK</v>
      </c>
      <c r="AN109" s="484">
        <f t="shared" si="20"/>
        <v>1.5</v>
      </c>
      <c r="AO109" s="473" t="str">
        <f t="shared" si="21"/>
        <v/>
      </c>
      <c r="AP109" s="473" t="str">
        <f t="shared" si="22"/>
        <v/>
      </c>
      <c r="AQ109" s="473" t="str">
        <f t="shared" si="23"/>
        <v/>
      </c>
      <c r="AR109" s="473" t="str">
        <f t="shared" si="24"/>
        <v/>
      </c>
      <c r="AS109" s="473" t="str">
        <f t="shared" si="25"/>
        <v/>
      </c>
      <c r="AT109" s="473" t="str">
        <f t="shared" si="26"/>
        <v/>
      </c>
      <c r="AU109" s="473" t="str">
        <f t="shared" si="27"/>
        <v/>
      </c>
      <c r="AY109" s="32" t="s">
        <v>8135</v>
      </c>
      <c r="AZ109" s="488" t="s">
        <v>38</v>
      </c>
      <c r="BA109" s="489">
        <v>1</v>
      </c>
      <c r="BB109" s="419" t="s">
        <v>8136</v>
      </c>
      <c r="BC109" s="271"/>
      <c r="BD109" s="279">
        <v>1</v>
      </c>
      <c r="BE109" s="271"/>
      <c r="BF109" s="271"/>
      <c r="BG109" s="271"/>
      <c r="BH109" s="271"/>
      <c r="BI109" s="271"/>
      <c r="BJ109" s="271"/>
      <c r="BK109" s="271"/>
      <c r="BL109" s="271"/>
    </row>
    <row r="110" spans="18:64" ht="21" customHeight="1" x14ac:dyDescent="0.25">
      <c r="R110" s="25" t="s">
        <v>6134</v>
      </c>
      <c r="S110" s="451"/>
      <c r="T110" s="32" t="s">
        <v>309</v>
      </c>
      <c r="V110" s="475">
        <v>2</v>
      </c>
      <c r="W110" s="475" t="str">
        <f>IF($AC$110="","",$W$108)</f>
        <v>N° 26</v>
      </c>
      <c r="X110" s="476" t="str">
        <f>IF($AC$110="","",$X$108)</f>
        <v>CAKE OLIVES JAMBON</v>
      </c>
      <c r="Y110" s="477">
        <f>IF($X$110="","",$Y$108)</f>
        <v>43</v>
      </c>
      <c r="Z110" s="477">
        <f>IF($X$110="","",$Z$108)</f>
        <v>100</v>
      </c>
      <c r="AA110" s="477">
        <f>IF($AC$110="","",ROW($A$110)-ROW($A$108))</f>
        <v>2</v>
      </c>
      <c r="AB110" s="478"/>
      <c r="AC110" s="34" t="s">
        <v>430</v>
      </c>
      <c r="AD110" s="356"/>
      <c r="AE110" s="18">
        <v>200</v>
      </c>
      <c r="AF110" s="16" t="s">
        <v>8</v>
      </c>
      <c r="AG110" s="480">
        <f t="shared" si="16"/>
        <v>200</v>
      </c>
      <c r="AH110" s="481" t="str">
        <f t="shared" si="17"/>
        <v>G</v>
      </c>
      <c r="AI110" s="477" t="str">
        <f>IF($AC$110="","",IFERROR(INDEX($AZ$74:$AZ$119,MATCH($AH$110,$AY$74:$AY$119,0)),"AUTRE"))</f>
        <v>MASSE</v>
      </c>
      <c r="AJ110" s="482">
        <f>IF($AC$110="","",IFERROR(INDEX($BA$74:$BA$119,MATCH($AH$110,$AY$74:$AY$119,0)),1))</f>
        <v>1E-3</v>
      </c>
      <c r="AK110" s="482">
        <f t="shared" si="18"/>
        <v>0.2</v>
      </c>
      <c r="AL110" s="477" t="str">
        <f>IF($AC$110="","",IFERROR(INDEX($BB$74:$BB$119,MATCH($AH$110,$AY$74:$AY$119,0)),$AH$110))</f>
        <v>kg</v>
      </c>
      <c r="AM110" s="483" t="str">
        <f t="shared" si="19"/>
        <v>OK</v>
      </c>
      <c r="AN110" s="484">
        <f t="shared" si="20"/>
        <v>200</v>
      </c>
      <c r="AO110" s="473" t="str">
        <f t="shared" si="21"/>
        <v/>
      </c>
      <c r="AP110" s="473" t="str">
        <f t="shared" si="22"/>
        <v/>
      </c>
      <c r="AQ110" s="473" t="str">
        <f t="shared" si="23"/>
        <v/>
      </c>
      <c r="AR110" s="473" t="str">
        <f t="shared" si="24"/>
        <v/>
      </c>
      <c r="AS110" s="473" t="str">
        <f t="shared" si="25"/>
        <v/>
      </c>
      <c r="AT110" s="473" t="str">
        <f t="shared" si="26"/>
        <v/>
      </c>
      <c r="AU110" s="473" t="str">
        <f t="shared" si="27"/>
        <v/>
      </c>
      <c r="AY110" s="32" t="s">
        <v>8137</v>
      </c>
      <c r="AZ110" s="488" t="s">
        <v>38</v>
      </c>
      <c r="BA110" s="489">
        <v>1</v>
      </c>
      <c r="BB110" s="419" t="s">
        <v>8138</v>
      </c>
      <c r="BC110" s="271"/>
      <c r="BD110" s="279">
        <v>1</v>
      </c>
      <c r="BE110" s="271"/>
      <c r="BF110" s="271"/>
      <c r="BG110" s="271"/>
      <c r="BH110" s="271"/>
      <c r="BI110" s="271"/>
      <c r="BJ110" s="271"/>
      <c r="BK110" s="271"/>
      <c r="BL110" s="271"/>
    </row>
    <row r="111" spans="18:64" ht="21" customHeight="1" x14ac:dyDescent="0.25">
      <c r="R111" s="34" t="s">
        <v>481</v>
      </c>
      <c r="S111" s="451"/>
      <c r="T111" s="32" t="s">
        <v>311</v>
      </c>
      <c r="V111" s="475">
        <v>2</v>
      </c>
      <c r="W111" s="475" t="str">
        <f>IF($AC$111="","",$W$108)</f>
        <v>N° 26</v>
      </c>
      <c r="X111" s="476" t="str">
        <f>IF($AC$111="","",$X$108)</f>
        <v>CAKE OLIVES JAMBON</v>
      </c>
      <c r="Y111" s="477">
        <f>IF($X$111="","",$Y$108)</f>
        <v>43</v>
      </c>
      <c r="Z111" s="477">
        <f>IF($X$111="","",$Z$108)</f>
        <v>100</v>
      </c>
      <c r="AA111" s="477">
        <f>IF($AC$111="","",ROW($A$111)-ROW($A$108))</f>
        <v>3</v>
      </c>
      <c r="AB111" s="478"/>
      <c r="AC111" s="34" t="s">
        <v>407</v>
      </c>
      <c r="AD111" s="356"/>
      <c r="AE111" s="18">
        <v>36</v>
      </c>
      <c r="AF111" s="23" t="s">
        <v>305</v>
      </c>
      <c r="AG111" s="480">
        <f t="shared" si="16"/>
        <v>36</v>
      </c>
      <c r="AH111" s="481" t="str">
        <f t="shared" si="17"/>
        <v>ŒUF(S)</v>
      </c>
      <c r="AI111" s="477" t="str">
        <f>IF($AC$111="","",IFERROR(INDEX($AZ$74:$AZ$119,MATCH($AH$111,$AY$74:$AY$119,0)),"AUTRE"))</f>
        <v>AUTRE</v>
      </c>
      <c r="AJ111" s="482">
        <f>IF($AC$111="","",IFERROR(INDEX($BA$74:$BA$119,MATCH($AH$111,$AY$74:$AY$119,0)),1))</f>
        <v>1</v>
      </c>
      <c r="AK111" s="482">
        <f t="shared" si="18"/>
        <v>36</v>
      </c>
      <c r="AL111" s="477" t="str">
        <f>IF($AC$111="","",IFERROR(INDEX($BB$74:$BB$119,MATCH($AH$111,$AY$74:$AY$119,0)),$AH$111))</f>
        <v>œuf(s)</v>
      </c>
      <c r="AM111" s="483" t="str">
        <f t="shared" si="19"/>
        <v>OK</v>
      </c>
      <c r="AN111" s="484">
        <f t="shared" si="20"/>
        <v>36</v>
      </c>
      <c r="AO111" s="473" t="str">
        <f t="shared" si="21"/>
        <v/>
      </c>
      <c r="AP111" s="473" t="str">
        <f t="shared" si="22"/>
        <v/>
      </c>
      <c r="AQ111" s="473" t="str">
        <f t="shared" si="23"/>
        <v/>
      </c>
      <c r="AR111" s="473" t="str">
        <f t="shared" si="24"/>
        <v/>
      </c>
      <c r="AS111" s="473" t="str">
        <f t="shared" si="25"/>
        <v/>
      </c>
      <c r="AT111" s="473" t="str">
        <f t="shared" si="26"/>
        <v/>
      </c>
      <c r="AU111" s="473" t="str">
        <f t="shared" si="27"/>
        <v/>
      </c>
      <c r="AY111" s="32" t="s">
        <v>8139</v>
      </c>
      <c r="AZ111" s="488" t="s">
        <v>38</v>
      </c>
      <c r="BA111" s="489">
        <v>1</v>
      </c>
      <c r="BB111" s="419" t="s">
        <v>8140</v>
      </c>
      <c r="BC111" s="271"/>
      <c r="BD111" s="279">
        <v>1</v>
      </c>
      <c r="BE111" s="271"/>
      <c r="BF111" s="271"/>
      <c r="BG111" s="271"/>
      <c r="BH111" s="271"/>
      <c r="BI111" s="271"/>
      <c r="BJ111" s="271"/>
      <c r="BK111" s="271"/>
      <c r="BL111" s="271"/>
    </row>
    <row r="112" spans="18:64" ht="21" customHeight="1" x14ac:dyDescent="0.25">
      <c r="R112" s="34" t="s">
        <v>475</v>
      </c>
      <c r="S112" s="451"/>
      <c r="T112" s="32" t="s">
        <v>8135</v>
      </c>
      <c r="V112" s="475">
        <v>2</v>
      </c>
      <c r="W112" s="475" t="str">
        <f>IF($AC$112="","",$W$108)</f>
        <v>N° 26</v>
      </c>
      <c r="X112" s="476" t="str">
        <f>IF($AC$112="","",$X$108)</f>
        <v>CAKE OLIVES JAMBON</v>
      </c>
      <c r="Y112" s="477">
        <f>IF($X$112="","",$Y$108)</f>
        <v>43</v>
      </c>
      <c r="Z112" s="477">
        <f>IF($X$112="","",$Z$108)</f>
        <v>100</v>
      </c>
      <c r="AA112" s="477">
        <f>IF($AC$112="","",ROW($A$112)-ROW($A$108))</f>
        <v>4</v>
      </c>
      <c r="AB112" s="478"/>
      <c r="AC112" s="34" t="s">
        <v>194</v>
      </c>
      <c r="AD112" s="356"/>
      <c r="AE112" s="18">
        <v>70</v>
      </c>
      <c r="AF112" s="16" t="s">
        <v>8</v>
      </c>
      <c r="AG112" s="480">
        <f t="shared" si="16"/>
        <v>70</v>
      </c>
      <c r="AH112" s="481" t="str">
        <f t="shared" si="17"/>
        <v>G</v>
      </c>
      <c r="AI112" s="477" t="str">
        <f>IF($AC$112="","",IFERROR(INDEX($AZ$74:$AZ$119,MATCH($AH$112,$AY$74:$AY$119,0)),"AUTRE"))</f>
        <v>MASSE</v>
      </c>
      <c r="AJ112" s="482">
        <f>IF($AC$112="","",IFERROR(INDEX($BA$74:$BA$119,MATCH($AH$112,$AY$74:$AY$119,0)),1))</f>
        <v>1E-3</v>
      </c>
      <c r="AK112" s="482">
        <f t="shared" si="18"/>
        <v>7.0000000000000007E-2</v>
      </c>
      <c r="AL112" s="477" t="str">
        <f>IF($AC$112="","",IFERROR(INDEX($BB$74:$BB$119,MATCH($AH$112,$AY$74:$AY$119,0)),$AH$112))</f>
        <v>kg</v>
      </c>
      <c r="AM112" s="483" t="str">
        <f t="shared" si="19"/>
        <v>OK</v>
      </c>
      <c r="AN112" s="484">
        <f t="shared" si="20"/>
        <v>70</v>
      </c>
      <c r="AO112" s="473" t="str">
        <f t="shared" si="21"/>
        <v/>
      </c>
      <c r="AP112" s="473" t="str">
        <f t="shared" si="22"/>
        <v/>
      </c>
      <c r="AQ112" s="473" t="str">
        <f t="shared" si="23"/>
        <v/>
      </c>
      <c r="AR112" s="473" t="str">
        <f t="shared" si="24"/>
        <v/>
      </c>
      <c r="AS112" s="473" t="str">
        <f t="shared" si="25"/>
        <v/>
      </c>
      <c r="AT112" s="473" t="str">
        <f t="shared" si="26"/>
        <v/>
      </c>
      <c r="AU112" s="473" t="str">
        <f t="shared" si="27"/>
        <v/>
      </c>
      <c r="AY112" s="32" t="s">
        <v>8141</v>
      </c>
      <c r="AZ112" s="488" t="s">
        <v>38</v>
      </c>
      <c r="BA112" s="489">
        <v>1</v>
      </c>
      <c r="BB112" s="419" t="s">
        <v>8142</v>
      </c>
      <c r="BC112" s="271"/>
      <c r="BD112" s="279">
        <v>1</v>
      </c>
      <c r="BE112" s="271"/>
      <c r="BF112" s="271"/>
      <c r="BG112" s="271"/>
      <c r="BH112" s="271"/>
      <c r="BI112" s="271"/>
      <c r="BJ112" s="271"/>
      <c r="BK112" s="271"/>
      <c r="BL112" s="271"/>
    </row>
    <row r="113" spans="18:64" ht="21" customHeight="1" x14ac:dyDescent="0.25">
      <c r="R113" s="34" t="s">
        <v>457</v>
      </c>
      <c r="S113" s="451"/>
      <c r="T113" s="497" t="s">
        <v>462</v>
      </c>
      <c r="V113" s="475">
        <v>2</v>
      </c>
      <c r="W113" s="475" t="str">
        <f>IF($AC$113="","",$W$108)</f>
        <v>N° 26</v>
      </c>
      <c r="X113" s="476" t="str">
        <f>IF($AC$113="","",$X$108)</f>
        <v>CAKE OLIVES JAMBON</v>
      </c>
      <c r="Y113" s="477">
        <f>IF($X$113="","",$Y$108)</f>
        <v>43</v>
      </c>
      <c r="Z113" s="477">
        <f>IF($X$113="","",$Z$108)</f>
        <v>100</v>
      </c>
      <c r="AA113" s="477">
        <f>IF($AC$113="","",ROW($A$113)-ROW($A$108))</f>
        <v>5</v>
      </c>
      <c r="AB113" s="478"/>
      <c r="AC113" s="34" t="s">
        <v>431</v>
      </c>
      <c r="AD113" s="356"/>
      <c r="AE113" s="18">
        <v>1</v>
      </c>
      <c r="AF113" s="11" t="s">
        <v>7</v>
      </c>
      <c r="AG113" s="480">
        <f t="shared" si="16"/>
        <v>1</v>
      </c>
      <c r="AH113" s="481" t="str">
        <f t="shared" si="17"/>
        <v>KG</v>
      </c>
      <c r="AI113" s="477" t="str">
        <f>IF($AC$113="","",IFERROR(INDEX($AZ$74:$AZ$119,MATCH($AH$113,$AY$74:$AY$119,0)),"AUTRE"))</f>
        <v>MASSE</v>
      </c>
      <c r="AJ113" s="482">
        <f>IF($AC$113="","",IFERROR(INDEX($BA$74:$BA$119,MATCH($AH$113,$AY$74:$AY$119,0)),1))</f>
        <v>1</v>
      </c>
      <c r="AK113" s="482">
        <f t="shared" si="18"/>
        <v>1</v>
      </c>
      <c r="AL113" s="477" t="str">
        <f>IF($AC$113="","",IFERROR(INDEX($BB$74:$BB$119,MATCH($AH$113,$AY$74:$AY$119,0)),$AH$113))</f>
        <v>kg</v>
      </c>
      <c r="AM113" s="483" t="str">
        <f t="shared" si="19"/>
        <v>OK</v>
      </c>
      <c r="AN113" s="484">
        <f t="shared" si="20"/>
        <v>1</v>
      </c>
      <c r="AO113" s="473" t="str">
        <f t="shared" si="21"/>
        <v/>
      </c>
      <c r="AP113" s="473" t="str">
        <f t="shared" si="22"/>
        <v/>
      </c>
      <c r="AQ113" s="473" t="str">
        <f t="shared" si="23"/>
        <v/>
      </c>
      <c r="AR113" s="473" t="str">
        <f t="shared" si="24"/>
        <v/>
      </c>
      <c r="AS113" s="473" t="str">
        <f t="shared" si="25"/>
        <v/>
      </c>
      <c r="AT113" s="473" t="str">
        <f t="shared" si="26"/>
        <v/>
      </c>
      <c r="AU113" s="473" t="str">
        <f t="shared" si="27"/>
        <v/>
      </c>
      <c r="AY113" s="32" t="s">
        <v>8143</v>
      </c>
      <c r="AZ113" s="488" t="s">
        <v>38</v>
      </c>
      <c r="BA113" s="489">
        <v>1</v>
      </c>
      <c r="BB113" s="419" t="s">
        <v>8144</v>
      </c>
      <c r="BC113" s="271"/>
      <c r="BD113" s="279">
        <v>1</v>
      </c>
      <c r="BE113" s="271"/>
      <c r="BF113" s="271"/>
      <c r="BG113" s="271"/>
      <c r="BH113" s="271"/>
      <c r="BI113" s="271"/>
      <c r="BJ113" s="271"/>
      <c r="BK113" s="271"/>
      <c r="BL113" s="271"/>
    </row>
    <row r="114" spans="18:64" ht="21" customHeight="1" x14ac:dyDescent="0.25">
      <c r="R114" s="34" t="s">
        <v>482</v>
      </c>
      <c r="S114" s="451"/>
      <c r="T114" s="497" t="s">
        <v>463</v>
      </c>
      <c r="V114" s="475">
        <v>2</v>
      </c>
      <c r="W114" s="475" t="str">
        <f>IF($AC$114="","",$W$108)</f>
        <v>N° 26</v>
      </c>
      <c r="X114" s="476" t="str">
        <f>IF($AC$114="","",$X$108)</f>
        <v>CAKE OLIVES JAMBON</v>
      </c>
      <c r="Y114" s="477">
        <f>IF($X$114="","",$Y$108)</f>
        <v>43</v>
      </c>
      <c r="Z114" s="477">
        <f>IF($X$114="","",$Z$108)</f>
        <v>100</v>
      </c>
      <c r="AA114" s="477">
        <f>IF($AC$114="","",ROW($A$114)-ROW($A$108))</f>
        <v>6</v>
      </c>
      <c r="AB114" s="478"/>
      <c r="AC114" s="34" t="s">
        <v>195</v>
      </c>
      <c r="AD114" s="356"/>
      <c r="AE114" s="18">
        <v>1</v>
      </c>
      <c r="AF114" s="11" t="s">
        <v>7</v>
      </c>
      <c r="AG114" s="480">
        <f t="shared" si="16"/>
        <v>1</v>
      </c>
      <c r="AH114" s="481" t="str">
        <f t="shared" si="17"/>
        <v>KG</v>
      </c>
      <c r="AI114" s="477" t="str">
        <f>IF($AC$114="","",IFERROR(INDEX($AZ$74:$AZ$119,MATCH($AH$114,$AY$74:$AY$119,0)),"AUTRE"))</f>
        <v>MASSE</v>
      </c>
      <c r="AJ114" s="482">
        <f>IF($AC$114="","",IFERROR(INDEX($BA$74:$BA$119,MATCH($AH$114,$AY$74:$AY$119,0)),1))</f>
        <v>1</v>
      </c>
      <c r="AK114" s="482">
        <f t="shared" si="18"/>
        <v>1</v>
      </c>
      <c r="AL114" s="477" t="str">
        <f>IF($AC$114="","",IFERROR(INDEX($BB$74:$BB$119,MATCH($AH$114,$AY$74:$AY$119,0)),$AH$114))</f>
        <v>kg</v>
      </c>
      <c r="AM114" s="483" t="str">
        <f t="shared" si="19"/>
        <v>OK</v>
      </c>
      <c r="AN114" s="484">
        <f t="shared" si="20"/>
        <v>1</v>
      </c>
      <c r="AO114" s="473" t="str">
        <f t="shared" si="21"/>
        <v/>
      </c>
      <c r="AP114" s="473" t="str">
        <f t="shared" si="22"/>
        <v/>
      </c>
      <c r="AQ114" s="473" t="str">
        <f t="shared" si="23"/>
        <v/>
      </c>
      <c r="AR114" s="473" t="str">
        <f t="shared" si="24"/>
        <v/>
      </c>
      <c r="AS114" s="473" t="str">
        <f t="shared" si="25"/>
        <v/>
      </c>
      <c r="AT114" s="473" t="str">
        <f t="shared" si="26"/>
        <v/>
      </c>
      <c r="AU114" s="473" t="str">
        <f t="shared" si="27"/>
        <v/>
      </c>
      <c r="AY114" s="497" t="s">
        <v>8145</v>
      </c>
      <c r="AZ114" s="488" t="s">
        <v>38</v>
      </c>
      <c r="BA114" s="489">
        <v>1</v>
      </c>
      <c r="BB114" s="419" t="s">
        <v>8146</v>
      </c>
      <c r="BC114" s="271"/>
      <c r="BD114" s="279">
        <v>1</v>
      </c>
      <c r="BE114" s="271"/>
      <c r="BF114" s="271"/>
      <c r="BG114" s="271"/>
      <c r="BH114" s="271"/>
      <c r="BI114" s="271"/>
      <c r="BJ114" s="271"/>
      <c r="BK114" s="271"/>
      <c r="BL114" s="271"/>
    </row>
    <row r="115" spans="18:64" ht="21" customHeight="1" x14ac:dyDescent="0.25">
      <c r="R115" s="34" t="s">
        <v>496</v>
      </c>
      <c r="S115" s="451"/>
      <c r="T115" s="497" t="s">
        <v>8147</v>
      </c>
      <c r="V115" s="475">
        <v>2</v>
      </c>
      <c r="W115" s="475" t="str">
        <f>IF($AC$115="","",$W$108)</f>
        <v>N° 26</v>
      </c>
      <c r="X115" s="476" t="str">
        <f>IF($AC$115="","",$X$108)</f>
        <v>CAKE OLIVES JAMBON</v>
      </c>
      <c r="Y115" s="477">
        <f>IF($X$115="","",$Y$108)</f>
        <v>43</v>
      </c>
      <c r="Z115" s="477">
        <f>IF($X$115="","",$Z$108)</f>
        <v>100</v>
      </c>
      <c r="AA115" s="477">
        <f>IF($AC$115="","",ROW($A$115)-ROW($A$108))</f>
        <v>7</v>
      </c>
      <c r="AB115" s="478"/>
      <c r="AC115" s="34" t="s">
        <v>196</v>
      </c>
      <c r="AD115" s="356"/>
      <c r="AE115" s="18">
        <v>1</v>
      </c>
      <c r="AF115" s="11" t="s">
        <v>7</v>
      </c>
      <c r="AG115" s="480">
        <f t="shared" si="16"/>
        <v>1</v>
      </c>
      <c r="AH115" s="481" t="str">
        <f t="shared" si="17"/>
        <v>KG</v>
      </c>
      <c r="AI115" s="477" t="str">
        <f>IF($AC$115="","",IFERROR(INDEX($AZ$74:$AZ$119,MATCH($AH$115,$AY$74:$AY$119,0)),"AUTRE"))</f>
        <v>MASSE</v>
      </c>
      <c r="AJ115" s="482">
        <f>IF($AC$115="","",IFERROR(INDEX($BA$74:$BA$119,MATCH($AH$115,$AY$74:$AY$119,0)),1))</f>
        <v>1</v>
      </c>
      <c r="AK115" s="482">
        <f t="shared" si="18"/>
        <v>1</v>
      </c>
      <c r="AL115" s="477" t="str">
        <f>IF($AC$115="","",IFERROR(INDEX($BB$74:$BB$119,MATCH($AH$115,$AY$74:$AY$119,0)),$AH$115))</f>
        <v>kg</v>
      </c>
      <c r="AM115" s="483" t="str">
        <f t="shared" si="19"/>
        <v>OK</v>
      </c>
      <c r="AN115" s="484">
        <f t="shared" si="20"/>
        <v>1</v>
      </c>
      <c r="AO115" s="473" t="str">
        <f t="shared" si="21"/>
        <v/>
      </c>
      <c r="AP115" s="473" t="str">
        <f t="shared" si="22"/>
        <v/>
      </c>
      <c r="AQ115" s="473" t="str">
        <f t="shared" si="23"/>
        <v/>
      </c>
      <c r="AR115" s="473" t="str">
        <f t="shared" si="24"/>
        <v/>
      </c>
      <c r="AS115" s="473" t="str">
        <f t="shared" si="25"/>
        <v/>
      </c>
      <c r="AT115" s="473" t="str">
        <f t="shared" si="26"/>
        <v/>
      </c>
      <c r="AU115" s="473" t="str">
        <f t="shared" si="27"/>
        <v/>
      </c>
      <c r="AY115" s="497" t="s">
        <v>462</v>
      </c>
      <c r="AZ115" s="488" t="s">
        <v>38</v>
      </c>
      <c r="BA115" s="489">
        <v>1</v>
      </c>
      <c r="BB115" s="419" t="s">
        <v>461</v>
      </c>
      <c r="BC115" s="271"/>
      <c r="BD115" s="279">
        <v>1</v>
      </c>
      <c r="BE115" s="271"/>
      <c r="BF115" s="271"/>
      <c r="BG115" s="271"/>
      <c r="BH115" s="271"/>
      <c r="BI115" s="271"/>
      <c r="BJ115" s="271"/>
      <c r="BK115" s="271"/>
      <c r="BL115" s="271"/>
    </row>
    <row r="116" spans="18:64" ht="21" customHeight="1" x14ac:dyDescent="0.25">
      <c r="R116" s="34" t="s">
        <v>483</v>
      </c>
      <c r="S116" s="451"/>
      <c r="T116" s="497" t="s">
        <v>465</v>
      </c>
      <c r="V116" s="475">
        <v>2</v>
      </c>
      <c r="W116" s="475" t="str">
        <f>IF($AC$116="","",$W$108)</f>
        <v>N° 26</v>
      </c>
      <c r="X116" s="476" t="str">
        <f>IF($AC$116="","",$X$108)</f>
        <v>CAKE OLIVES JAMBON</v>
      </c>
      <c r="Y116" s="477">
        <f>IF($X$116="","",$Y$108)</f>
        <v>43</v>
      </c>
      <c r="Z116" s="477">
        <f>IF($X$116="","",$Z$108)</f>
        <v>100</v>
      </c>
      <c r="AA116" s="477">
        <f>IF($AC$116="","",ROW($A$116)-ROW($A$108))</f>
        <v>8</v>
      </c>
      <c r="AB116" s="478"/>
      <c r="AC116" s="34" t="s">
        <v>67</v>
      </c>
      <c r="AD116" s="356"/>
      <c r="AE116" s="18">
        <v>35</v>
      </c>
      <c r="AF116" s="16" t="s">
        <v>8</v>
      </c>
      <c r="AG116" s="480">
        <f t="shared" si="16"/>
        <v>35</v>
      </c>
      <c r="AH116" s="481" t="str">
        <f t="shared" si="17"/>
        <v>G</v>
      </c>
      <c r="AI116" s="477" t="str">
        <f>IF($AC$116="","",IFERROR(INDEX($AZ$74:$AZ$119,MATCH($AH$116,$AY$74:$AY$119,0)),"AUTRE"))</f>
        <v>MASSE</v>
      </c>
      <c r="AJ116" s="482">
        <f>IF($AC$116="","",IFERROR(INDEX($BA$74:$BA$119,MATCH($AH$116,$AY$74:$AY$119,0)),1))</f>
        <v>1E-3</v>
      </c>
      <c r="AK116" s="482">
        <f t="shared" si="18"/>
        <v>3.5000000000000003E-2</v>
      </c>
      <c r="AL116" s="477" t="str">
        <f>IF($AC$116="","",IFERROR(INDEX($BB$74:$BB$119,MATCH($AH$116,$AY$74:$AY$119,0)),$AH$116))</f>
        <v>kg</v>
      </c>
      <c r="AM116" s="483" t="str">
        <f t="shared" si="19"/>
        <v>OK</v>
      </c>
      <c r="AN116" s="484">
        <f t="shared" si="20"/>
        <v>35</v>
      </c>
      <c r="AO116" s="473" t="str">
        <f t="shared" si="21"/>
        <v/>
      </c>
      <c r="AP116" s="473" t="str">
        <f t="shared" si="22"/>
        <v/>
      </c>
      <c r="AQ116" s="473" t="str">
        <f t="shared" si="23"/>
        <v/>
      </c>
      <c r="AR116" s="473" t="str">
        <f t="shared" si="24"/>
        <v/>
      </c>
      <c r="AS116" s="473" t="str">
        <f t="shared" si="25"/>
        <v/>
      </c>
      <c r="AT116" s="473" t="str">
        <f t="shared" si="26"/>
        <v/>
      </c>
      <c r="AU116" s="473" t="str">
        <f t="shared" si="27"/>
        <v/>
      </c>
      <c r="AY116" s="497" t="s">
        <v>463</v>
      </c>
      <c r="AZ116" s="488" t="s">
        <v>38</v>
      </c>
      <c r="BA116" s="489">
        <v>1</v>
      </c>
      <c r="BB116" s="419" t="s">
        <v>464</v>
      </c>
      <c r="BC116" s="271"/>
      <c r="BD116" s="279">
        <v>1</v>
      </c>
      <c r="BE116" s="271"/>
      <c r="BF116" s="271"/>
      <c r="BG116" s="271"/>
      <c r="BH116" s="271"/>
      <c r="BI116" s="271"/>
      <c r="BJ116" s="271"/>
      <c r="BK116" s="271"/>
      <c r="BL116" s="271"/>
    </row>
    <row r="117" spans="18:64" ht="21" customHeight="1" x14ac:dyDescent="0.25">
      <c r="R117" s="34" t="s">
        <v>493</v>
      </c>
      <c r="S117" s="451"/>
      <c r="T117" s="497" t="s">
        <v>466</v>
      </c>
      <c r="V117" s="475">
        <v>2</v>
      </c>
      <c r="W117" s="475" t="str">
        <f>IF($AC$117="","",$W$108)</f>
        <v>N° 26</v>
      </c>
      <c r="X117" s="476" t="str">
        <f>IF($AC$117="","",$X$108)</f>
        <v>CAKE OLIVES JAMBON</v>
      </c>
      <c r="Y117" s="477">
        <f>IF($X$117="","",$Y$108)</f>
        <v>43</v>
      </c>
      <c r="Z117" s="477">
        <f>IF($X$117="","",$Z$108)</f>
        <v>100</v>
      </c>
      <c r="AA117" s="477">
        <f>IF($AC$117="","",ROW($A$117)-ROW($A$108))</f>
        <v>9</v>
      </c>
      <c r="AB117" s="478"/>
      <c r="AC117" s="34" t="s">
        <v>44</v>
      </c>
      <c r="AD117" s="356"/>
      <c r="AE117" s="18">
        <v>10</v>
      </c>
      <c r="AF117" s="16" t="s">
        <v>8</v>
      </c>
      <c r="AG117" s="480">
        <f t="shared" si="16"/>
        <v>10</v>
      </c>
      <c r="AH117" s="481" t="str">
        <f t="shared" si="17"/>
        <v>G</v>
      </c>
      <c r="AI117" s="477" t="str">
        <f>IF($AC$117="","",IFERROR(INDEX($AZ$74:$AZ$119,MATCH($AH$117,$AY$74:$AY$119,0)),"AUTRE"))</f>
        <v>MASSE</v>
      </c>
      <c r="AJ117" s="482">
        <f>IF($AC$117="","",IFERROR(INDEX($BA$74:$BA$119,MATCH($AH$117,$AY$74:$AY$119,0)),1))</f>
        <v>1E-3</v>
      </c>
      <c r="AK117" s="482">
        <f t="shared" si="18"/>
        <v>0.01</v>
      </c>
      <c r="AL117" s="477" t="str">
        <f>IF($AC$117="","",IFERROR(INDEX($BB$74:$BB$119,MATCH($AH$117,$AY$74:$AY$119,0)),$AH$117))</f>
        <v>kg</v>
      </c>
      <c r="AM117" s="483" t="str">
        <f t="shared" si="19"/>
        <v>OK</v>
      </c>
      <c r="AN117" s="484">
        <f t="shared" si="20"/>
        <v>10</v>
      </c>
      <c r="AO117" s="473" t="str">
        <f t="shared" si="21"/>
        <v/>
      </c>
      <c r="AP117" s="473" t="str">
        <f t="shared" si="22"/>
        <v/>
      </c>
      <c r="AQ117" s="473" t="str">
        <f t="shared" si="23"/>
        <v/>
      </c>
      <c r="AR117" s="473" t="str">
        <f t="shared" si="24"/>
        <v/>
      </c>
      <c r="AS117" s="473" t="str">
        <f t="shared" si="25"/>
        <v/>
      </c>
      <c r="AT117" s="473" t="str">
        <f t="shared" si="26"/>
        <v/>
      </c>
      <c r="AU117" s="473" t="str">
        <f t="shared" si="27"/>
        <v/>
      </c>
      <c r="AY117" s="497" t="s">
        <v>8147</v>
      </c>
      <c r="AZ117" s="488" t="s">
        <v>38</v>
      </c>
      <c r="BA117" s="489">
        <v>1</v>
      </c>
      <c r="BB117" s="419" t="s">
        <v>8148</v>
      </c>
      <c r="BC117" s="271"/>
      <c r="BD117" s="279">
        <v>1</v>
      </c>
      <c r="BE117" s="271"/>
      <c r="BF117" s="271"/>
      <c r="BG117" s="271"/>
      <c r="BH117" s="271"/>
      <c r="BI117" s="271"/>
      <c r="BJ117" s="271"/>
      <c r="BK117" s="271"/>
      <c r="BL117" s="271"/>
    </row>
    <row r="118" spans="18:64" ht="21" customHeight="1" x14ac:dyDescent="0.25">
      <c r="R118" s="34" t="s">
        <v>494</v>
      </c>
      <c r="S118" s="451"/>
      <c r="T118" s="440" t="s">
        <v>8110</v>
      </c>
      <c r="V118" s="475">
        <v>2</v>
      </c>
      <c r="W118" s="475" t="str">
        <f>IF($AC$118="","",$W$108)</f>
        <v/>
      </c>
      <c r="X118" s="476" t="str">
        <f>IF($AC$118="","",$X$108)</f>
        <v/>
      </c>
      <c r="Y118" s="477" t="str">
        <f>IF($X$118="","",$Y$108)</f>
        <v/>
      </c>
      <c r="Z118" s="477" t="str">
        <f>IF($X$118="","",$Z$108)</f>
        <v/>
      </c>
      <c r="AA118" s="477" t="str">
        <f>IF($AC$118="","",ROW($A$118)-ROW($A$108))</f>
        <v/>
      </c>
      <c r="AB118" s="478"/>
      <c r="AC118" s="34" t="s">
        <v>345</v>
      </c>
      <c r="AD118" s="356"/>
      <c r="AE118" s="18"/>
      <c r="AF118" s="19"/>
      <c r="AG118" s="480" t="str">
        <f t="shared" si="16"/>
        <v/>
      </c>
      <c r="AH118" s="481" t="str">
        <f t="shared" si="17"/>
        <v/>
      </c>
      <c r="AI118" s="477" t="str">
        <f>IF($AC$118="","",IFERROR(INDEX($AZ$74:$AZ$119,MATCH($AH$118,$AY$74:$AY$119,0)),"AUTRE"))</f>
        <v/>
      </c>
      <c r="AJ118" s="482" t="str">
        <f>IF($AC$118="","",IFERROR(INDEX($BA$74:$BA$119,MATCH($AH$118,$AY$74:$AY$119,0)),1))</f>
        <v/>
      </c>
      <c r="AK118" s="482" t="str">
        <f t="shared" si="18"/>
        <v/>
      </c>
      <c r="AL118" s="477" t="str">
        <f>IF($AC$118="","",IFERROR(INDEX($BB$74:$BB$119,MATCH($AH$118,$AY$74:$AY$119,0)),$AH$118))</f>
        <v/>
      </c>
      <c r="AM118" s="483" t="str">
        <f t="shared" si="19"/>
        <v/>
      </c>
      <c r="AN118" s="484" t="str">
        <f t="shared" si="20"/>
        <v/>
      </c>
      <c r="AO118" s="473" t="str">
        <f t="shared" si="21"/>
        <v/>
      </c>
      <c r="AP118" s="473" t="str">
        <f t="shared" si="22"/>
        <v/>
      </c>
      <c r="AQ118" s="473" t="str">
        <f t="shared" si="23"/>
        <v/>
      </c>
      <c r="AR118" s="473" t="str">
        <f t="shared" si="24"/>
        <v/>
      </c>
      <c r="AS118" s="473" t="str">
        <f t="shared" si="25"/>
        <v/>
      </c>
      <c r="AT118" s="473" t="str">
        <f t="shared" si="26"/>
        <v/>
      </c>
      <c r="AU118" s="473" t="str">
        <f t="shared" si="27"/>
        <v/>
      </c>
      <c r="AY118" s="497" t="s">
        <v>465</v>
      </c>
      <c r="AZ118" s="488" t="s">
        <v>38</v>
      </c>
      <c r="BA118" s="489">
        <v>1</v>
      </c>
      <c r="BB118" s="419" t="s">
        <v>460</v>
      </c>
      <c r="BC118" s="271"/>
      <c r="BD118" s="279">
        <v>1</v>
      </c>
      <c r="BE118" s="271"/>
      <c r="BF118" s="271"/>
      <c r="BG118" s="271"/>
      <c r="BH118" s="271"/>
      <c r="BI118" s="271"/>
      <c r="BJ118" s="271"/>
      <c r="BK118" s="271"/>
      <c r="BL118" s="271"/>
    </row>
    <row r="119" spans="18:64" ht="21" customHeight="1" x14ac:dyDescent="0.25">
      <c r="S119" s="451"/>
      <c r="T119" s="452" t="s">
        <v>8113</v>
      </c>
      <c r="V119" s="475">
        <v>2</v>
      </c>
      <c r="W119" s="475" t="str">
        <f>IF($AC$119="","",$W$108)</f>
        <v>N° 26</v>
      </c>
      <c r="X119" s="476" t="str">
        <f>IF($AC$119="","",$X$108)</f>
        <v>CAKE OLIVES JAMBON</v>
      </c>
      <c r="Y119" s="477">
        <f>IF($X$119="","",$Y$108)</f>
        <v>43</v>
      </c>
      <c r="Z119" s="477">
        <f>IF($X$119="","",$Z$108)</f>
        <v>100</v>
      </c>
      <c r="AA119" s="477">
        <f>IF($AC$119="","",ROW($A$119)-ROW($A$108))</f>
        <v>11</v>
      </c>
      <c r="AB119" s="478"/>
      <c r="AC119" s="34" t="s">
        <v>382</v>
      </c>
      <c r="AD119" s="356"/>
      <c r="AE119" s="18">
        <v>1.5</v>
      </c>
      <c r="AF119" s="11" t="s">
        <v>7</v>
      </c>
      <c r="AG119" s="480">
        <f t="shared" si="16"/>
        <v>1.5</v>
      </c>
      <c r="AH119" s="481" t="str">
        <f t="shared" si="17"/>
        <v>KG</v>
      </c>
      <c r="AI119" s="477" t="str">
        <f>IF($AC$119="","",IFERROR(INDEX($AZ$74:$AZ$119,MATCH($AH$119,$AY$74:$AY$119,0)),"AUTRE"))</f>
        <v>MASSE</v>
      </c>
      <c r="AJ119" s="482">
        <f>IF($AC$119="","",IFERROR(INDEX($BA$74:$BA$119,MATCH($AH$119,$AY$74:$AY$119,0)),1))</f>
        <v>1</v>
      </c>
      <c r="AK119" s="482">
        <f t="shared" si="18"/>
        <v>1.5</v>
      </c>
      <c r="AL119" s="477" t="str">
        <f>IF($AC$119="","",IFERROR(INDEX($BB$74:$BB$119,MATCH($AH$119,$AY$74:$AY$119,0)),$AH$119))</f>
        <v>kg</v>
      </c>
      <c r="AM119" s="483" t="str">
        <f t="shared" si="19"/>
        <v>OK</v>
      </c>
      <c r="AN119" s="484">
        <f t="shared" si="20"/>
        <v>1.5</v>
      </c>
      <c r="AO119" s="473" t="str">
        <f t="shared" si="21"/>
        <v/>
      </c>
      <c r="AP119" s="473" t="str">
        <f t="shared" si="22"/>
        <v/>
      </c>
      <c r="AQ119" s="473" t="str">
        <f t="shared" si="23"/>
        <v/>
      </c>
      <c r="AR119" s="473" t="str">
        <f t="shared" si="24"/>
        <v/>
      </c>
      <c r="AS119" s="473" t="str">
        <f t="shared" si="25"/>
        <v/>
      </c>
      <c r="AT119" s="473" t="str">
        <f t="shared" si="26"/>
        <v/>
      </c>
      <c r="AU119" s="473" t="str">
        <f t="shared" si="27"/>
        <v/>
      </c>
      <c r="AY119" s="497" t="s">
        <v>466</v>
      </c>
      <c r="AZ119" s="488" t="s">
        <v>38</v>
      </c>
      <c r="BA119" s="489">
        <v>1</v>
      </c>
      <c r="BB119" s="419" t="s">
        <v>467</v>
      </c>
      <c r="BC119" s="271"/>
      <c r="BD119" s="279">
        <v>1</v>
      </c>
      <c r="BE119" s="271"/>
      <c r="BF119" s="271"/>
      <c r="BG119" s="271"/>
      <c r="BH119" s="271"/>
      <c r="BI119" s="271"/>
      <c r="BJ119" s="271"/>
      <c r="BK119" s="271"/>
      <c r="BL119" s="271"/>
    </row>
    <row r="120" spans="18:64" ht="21" customHeight="1" x14ac:dyDescent="0.25">
      <c r="R120" s="25" t="s">
        <v>6115</v>
      </c>
      <c r="S120" s="451"/>
      <c r="T120" s="14" t="s">
        <v>7</v>
      </c>
      <c r="V120" s="475">
        <v>2</v>
      </c>
      <c r="W120" s="475" t="str">
        <f>IF($AC$120="","",$W$108)</f>
        <v>N° 26</v>
      </c>
      <c r="X120" s="476" t="str">
        <f>IF($AC$120="","",$X$108)</f>
        <v>CAKE OLIVES JAMBON</v>
      </c>
      <c r="Y120" s="477">
        <f>IF($X$120="","",$Y$108)</f>
        <v>43</v>
      </c>
      <c r="Z120" s="477">
        <f>IF($X$120="","",$Z$108)</f>
        <v>100</v>
      </c>
      <c r="AA120" s="477">
        <f>IF($AC$120="","",ROW($A$120)-ROW($A$108))</f>
        <v>12</v>
      </c>
      <c r="AB120" s="478"/>
      <c r="AC120" s="34" t="s">
        <v>74</v>
      </c>
      <c r="AD120" s="356"/>
      <c r="AE120" s="18">
        <v>0.5</v>
      </c>
      <c r="AF120" s="20" t="s">
        <v>9</v>
      </c>
      <c r="AG120" s="480">
        <f t="shared" si="16"/>
        <v>0.5</v>
      </c>
      <c r="AH120" s="481" t="str">
        <f t="shared" si="17"/>
        <v>L</v>
      </c>
      <c r="AI120" s="477" t="str">
        <f>IF($AC$120="","",IFERROR(INDEX($AZ$74:$AZ$119,MATCH($AH$120,$AY$74:$AY$119,0)),"AUTRE"))</f>
        <v>VOLUME</v>
      </c>
      <c r="AJ120" s="482">
        <f>IF($AC$120="","",IFERROR(INDEX($BA$74:$BA$119,MATCH($AH$120,$AY$74:$AY$119,0)),1))</f>
        <v>1</v>
      </c>
      <c r="AK120" s="482">
        <f t="shared" si="18"/>
        <v>0.5</v>
      </c>
      <c r="AL120" s="477" t="str">
        <f>IF($AC$120="","",IFERROR(INDEX($BB$74:$BB$119,MATCH($AH$120,$AY$74:$AY$119,0)),$AH$120))</f>
        <v>L</v>
      </c>
      <c r="AM120" s="483" t="str">
        <f t="shared" si="19"/>
        <v>OK</v>
      </c>
      <c r="AN120" s="484">
        <f t="shared" si="20"/>
        <v>0.5</v>
      </c>
      <c r="AO120" s="473" t="str">
        <f t="shared" si="21"/>
        <v/>
      </c>
      <c r="AP120" s="473" t="str">
        <f t="shared" si="22"/>
        <v/>
      </c>
      <c r="AQ120" s="473" t="str">
        <f t="shared" si="23"/>
        <v/>
      </c>
      <c r="AR120" s="473" t="str">
        <f t="shared" si="24"/>
        <v/>
      </c>
      <c r="AS120" s="473" t="str">
        <f t="shared" si="25"/>
        <v/>
      </c>
      <c r="AT120" s="473" t="str">
        <f t="shared" si="26"/>
        <v/>
      </c>
      <c r="AU120" s="473" t="str">
        <f t="shared" si="27"/>
        <v/>
      </c>
      <c r="AY120" s="498"/>
      <c r="AZ120" s="498"/>
      <c r="BA120" s="498"/>
      <c r="BB120" s="448" t="str">
        <f>ADDRESS(ROW(),COLUMN(),4)</f>
        <v>BB120</v>
      </c>
      <c r="BC120" s="271"/>
      <c r="BD120" s="279">
        <v>1</v>
      </c>
      <c r="BE120" s="271"/>
      <c r="BF120" s="271"/>
      <c r="BG120" s="271"/>
      <c r="BH120" s="271"/>
      <c r="BI120" s="271"/>
      <c r="BJ120" s="271"/>
      <c r="BK120" s="271"/>
      <c r="BL120" s="271"/>
    </row>
    <row r="121" spans="18:64" ht="21" customHeight="1" x14ac:dyDescent="0.25">
      <c r="R121" s="34" t="s">
        <v>471</v>
      </c>
      <c r="S121" s="451"/>
      <c r="T121" s="27" t="s">
        <v>8</v>
      </c>
      <c r="V121" s="475">
        <v>2</v>
      </c>
      <c r="W121" s="475" t="str">
        <f>IF($AC$121="","",$W$108)</f>
        <v>N° 26</v>
      </c>
      <c r="X121" s="476" t="str">
        <f>IF($AC$121="","",$X$108)</f>
        <v>CAKE OLIVES JAMBON</v>
      </c>
      <c r="Y121" s="477">
        <f>IF($X$121="","",$Y$108)</f>
        <v>43</v>
      </c>
      <c r="Z121" s="477">
        <f>IF($X$121="","",$Z$108)</f>
        <v>100</v>
      </c>
      <c r="AA121" s="477">
        <f>IF($AC$121="","",ROW($A$121)-ROW($A$108))</f>
        <v>13</v>
      </c>
      <c r="AB121" s="478"/>
      <c r="AC121" s="34" t="s">
        <v>407</v>
      </c>
      <c r="AD121" s="356"/>
      <c r="AE121" s="18">
        <v>30</v>
      </c>
      <c r="AF121" s="23" t="s">
        <v>305</v>
      </c>
      <c r="AG121" s="480">
        <f t="shared" si="16"/>
        <v>30</v>
      </c>
      <c r="AH121" s="481" t="str">
        <f t="shared" si="17"/>
        <v>ŒUF(S)</v>
      </c>
      <c r="AI121" s="477" t="str">
        <f>IF($AC$121="","",IFERROR(INDEX($AZ$74:$AZ$119,MATCH($AH$121,$AY$74:$AY$119,0)),"AUTRE"))</f>
        <v>AUTRE</v>
      </c>
      <c r="AJ121" s="482">
        <f>IF($AC$121="","",IFERROR(INDEX($BA$74:$BA$119,MATCH($AH$121,$AY$74:$AY$119,0)),1))</f>
        <v>1</v>
      </c>
      <c r="AK121" s="482">
        <f t="shared" si="18"/>
        <v>30</v>
      </c>
      <c r="AL121" s="477" t="str">
        <f>IF($AC$121="","",IFERROR(INDEX($BB$74:$BB$119,MATCH($AH$121,$AY$74:$AY$119,0)),$AH$121))</f>
        <v>œuf(s)</v>
      </c>
      <c r="AM121" s="483" t="str">
        <f t="shared" si="19"/>
        <v>OK</v>
      </c>
      <c r="AN121" s="484">
        <f t="shared" si="20"/>
        <v>30</v>
      </c>
      <c r="AO121" s="473" t="str">
        <f t="shared" si="21"/>
        <v/>
      </c>
      <c r="AP121" s="473" t="str">
        <f t="shared" si="22"/>
        <v/>
      </c>
      <c r="AQ121" s="473" t="str">
        <f t="shared" si="23"/>
        <v/>
      </c>
      <c r="AR121" s="473" t="str">
        <f t="shared" si="24"/>
        <v/>
      </c>
      <c r="AS121" s="473" t="str">
        <f t="shared" si="25"/>
        <v/>
      </c>
      <c r="AT121" s="473" t="str">
        <f t="shared" si="26"/>
        <v/>
      </c>
      <c r="AU121" s="473" t="str">
        <f t="shared" si="27"/>
        <v/>
      </c>
      <c r="AY121" s="271"/>
      <c r="AZ121" s="14" t="s">
        <v>7</v>
      </c>
      <c r="BA121" s="25" t="s">
        <v>6115</v>
      </c>
      <c r="BB121" s="499"/>
      <c r="BC121" s="271"/>
      <c r="BD121" s="279">
        <v>1</v>
      </c>
      <c r="BE121" s="271"/>
      <c r="BF121" s="271"/>
      <c r="BG121" s="271"/>
      <c r="BH121" s="271"/>
      <c r="BI121" s="271"/>
      <c r="BJ121" s="271"/>
      <c r="BK121" s="271"/>
      <c r="BL121" s="271"/>
    </row>
    <row r="122" spans="18:64" ht="21" customHeight="1" x14ac:dyDescent="0.25">
      <c r="R122" s="34" t="s">
        <v>472</v>
      </c>
      <c r="S122" s="451"/>
      <c r="T122" s="28" t="s">
        <v>13</v>
      </c>
      <c r="V122" s="475">
        <v>2</v>
      </c>
      <c r="W122" s="475" t="str">
        <f>IF($AC$122="","",$W$108)</f>
        <v>N° 26</v>
      </c>
      <c r="X122" s="476" t="str">
        <f>IF($AC$122="","",$X$108)</f>
        <v>CAKE OLIVES JAMBON</v>
      </c>
      <c r="Y122" s="477">
        <f>IF($X$122="","",$Y$108)</f>
        <v>43</v>
      </c>
      <c r="Z122" s="477">
        <f>IF($X$122="","",$Z$108)</f>
        <v>100</v>
      </c>
      <c r="AA122" s="477">
        <f>IF($AC$122="","",ROW($A$122)-ROW($A$108))</f>
        <v>14</v>
      </c>
      <c r="AB122" s="478"/>
      <c r="AC122" s="34" t="s">
        <v>194</v>
      </c>
      <c r="AD122" s="356"/>
      <c r="AE122" s="18">
        <v>60</v>
      </c>
      <c r="AF122" s="16" t="s">
        <v>8</v>
      </c>
      <c r="AG122" s="480">
        <f t="shared" si="16"/>
        <v>60</v>
      </c>
      <c r="AH122" s="481" t="str">
        <f t="shared" si="17"/>
        <v>G</v>
      </c>
      <c r="AI122" s="477" t="str">
        <f>IF($AC$122="","",IFERROR(INDEX($AZ$74:$AZ$119,MATCH($AH$122,$AY$74:$AY$119,0)),"AUTRE"))</f>
        <v>MASSE</v>
      </c>
      <c r="AJ122" s="482">
        <f>IF($AC$122="","",IFERROR(INDEX($BA$74:$BA$119,MATCH($AH$122,$AY$74:$AY$119,0)),1))</f>
        <v>1E-3</v>
      </c>
      <c r="AK122" s="482">
        <f t="shared" si="18"/>
        <v>0.06</v>
      </c>
      <c r="AL122" s="477" t="str">
        <f>IF($AC$122="","",IFERROR(INDEX($BB$74:$BB$119,MATCH($AH$122,$AY$74:$AY$119,0)),$AH$122))</f>
        <v>kg</v>
      </c>
      <c r="AM122" s="483" t="str">
        <f t="shared" si="19"/>
        <v>OK</v>
      </c>
      <c r="AN122" s="484">
        <f t="shared" si="20"/>
        <v>60</v>
      </c>
      <c r="AO122" s="473" t="str">
        <f t="shared" si="21"/>
        <v/>
      </c>
      <c r="AP122" s="473" t="str">
        <f t="shared" si="22"/>
        <v/>
      </c>
      <c r="AQ122" s="473" t="str">
        <f t="shared" si="23"/>
        <v/>
      </c>
      <c r="AR122" s="473" t="str">
        <f t="shared" si="24"/>
        <v/>
      </c>
      <c r="AS122" s="473" t="str">
        <f t="shared" si="25"/>
        <v/>
      </c>
      <c r="AT122" s="473" t="str">
        <f t="shared" si="26"/>
        <v/>
      </c>
      <c r="AU122" s="473" t="str">
        <f t="shared" si="27"/>
        <v/>
      </c>
      <c r="AZ122" s="27" t="s">
        <v>8</v>
      </c>
      <c r="BA122" s="34" t="s">
        <v>471</v>
      </c>
      <c r="BB122" s="500"/>
      <c r="BC122" s="271"/>
      <c r="BD122" s="279">
        <v>1</v>
      </c>
      <c r="BE122" s="271"/>
      <c r="BF122" s="271"/>
      <c r="BG122" s="271"/>
      <c r="BH122" s="271"/>
      <c r="BI122" s="271"/>
      <c r="BJ122" s="271"/>
      <c r="BK122" s="271"/>
      <c r="BL122" s="271"/>
    </row>
    <row r="123" spans="18:64" ht="21" customHeight="1" x14ac:dyDescent="0.25">
      <c r="R123" s="34" t="s">
        <v>6112</v>
      </c>
      <c r="S123" s="451"/>
      <c r="T123" s="28" t="s">
        <v>14</v>
      </c>
      <c r="V123" s="475">
        <v>2</v>
      </c>
      <c r="W123" s="475" t="str">
        <f>IF($AC$123="","",$W$108)</f>
        <v>N° 26</v>
      </c>
      <c r="X123" s="476" t="str">
        <f>IF($AC$123="","",$X$108)</f>
        <v>CAKE OLIVES JAMBON</v>
      </c>
      <c r="Y123" s="477">
        <f>IF($X$123="","",$Y$108)</f>
        <v>43</v>
      </c>
      <c r="Z123" s="477">
        <f>IF($X$123="","",$Z$108)</f>
        <v>100</v>
      </c>
      <c r="AA123" s="477">
        <f>IF($AC$123="","",ROW($A$123)-ROW($A$108))</f>
        <v>15</v>
      </c>
      <c r="AB123" s="478"/>
      <c r="AC123" s="34" t="s">
        <v>422</v>
      </c>
      <c r="AD123" s="356"/>
      <c r="AE123" s="18">
        <v>1.5</v>
      </c>
      <c r="AF123" s="11" t="s">
        <v>7</v>
      </c>
      <c r="AG123" s="480">
        <f t="shared" si="16"/>
        <v>1.5</v>
      </c>
      <c r="AH123" s="481" t="str">
        <f t="shared" si="17"/>
        <v>KG</v>
      </c>
      <c r="AI123" s="477" t="str">
        <f>IF($AC$123="","",IFERROR(INDEX($AZ$74:$AZ$119,MATCH($AH$123,$AY$74:$AY$119,0)),"AUTRE"))</f>
        <v>MASSE</v>
      </c>
      <c r="AJ123" s="482">
        <f>IF($AC$123="","",IFERROR(INDEX($BA$74:$BA$119,MATCH($AH$123,$AY$74:$AY$119,0)),1))</f>
        <v>1</v>
      </c>
      <c r="AK123" s="482">
        <f t="shared" si="18"/>
        <v>1.5</v>
      </c>
      <c r="AL123" s="477" t="str">
        <f>IF($AC$123="","",IFERROR(INDEX($BB$74:$BB$119,MATCH($AH$123,$AY$74:$AY$119,0)),$AH$123))</f>
        <v>kg</v>
      </c>
      <c r="AM123" s="483" t="str">
        <f t="shared" si="19"/>
        <v>OK</v>
      </c>
      <c r="AN123" s="484">
        <f t="shared" si="20"/>
        <v>1.5</v>
      </c>
      <c r="AO123" s="473" t="str">
        <f t="shared" si="21"/>
        <v/>
      </c>
      <c r="AP123" s="473" t="str">
        <f t="shared" si="22"/>
        <v/>
      </c>
      <c r="AQ123" s="473" t="str">
        <f t="shared" si="23"/>
        <v/>
      </c>
      <c r="AR123" s="473" t="str">
        <f t="shared" si="24"/>
        <v/>
      </c>
      <c r="AS123" s="473" t="str">
        <f t="shared" si="25"/>
        <v/>
      </c>
      <c r="AT123" s="473" t="str">
        <f t="shared" si="26"/>
        <v/>
      </c>
      <c r="AU123" s="473" t="str">
        <f t="shared" si="27"/>
        <v/>
      </c>
      <c r="AZ123" s="28" t="s">
        <v>13</v>
      </c>
      <c r="BA123" s="34" t="s">
        <v>472</v>
      </c>
      <c r="BB123" s="500"/>
      <c r="BC123" s="271"/>
      <c r="BD123" s="279">
        <v>1</v>
      </c>
      <c r="BE123" s="271"/>
      <c r="BF123" s="271"/>
      <c r="BG123" s="271"/>
      <c r="BH123" s="271"/>
      <c r="BI123" s="271"/>
      <c r="BJ123" s="271"/>
      <c r="BK123" s="271"/>
      <c r="BL123" s="271"/>
    </row>
    <row r="124" spans="18:64" ht="21" customHeight="1" x14ac:dyDescent="0.25">
      <c r="R124" s="25" t="s">
        <v>6116</v>
      </c>
      <c r="S124" s="451"/>
      <c r="T124" s="28" t="s">
        <v>15</v>
      </c>
      <c r="V124" s="475">
        <v>2</v>
      </c>
      <c r="W124" s="475" t="str">
        <f>IF($AC$124="","",$W$108)</f>
        <v>N° 26</v>
      </c>
      <c r="X124" s="476" t="str">
        <f>IF($AC$124="","",$X$108)</f>
        <v>CAKE OLIVES JAMBON</v>
      </c>
      <c r="Y124" s="477">
        <f>IF($X$124="","",$Y$108)</f>
        <v>43</v>
      </c>
      <c r="Z124" s="477">
        <f>IF($X$124="","",$Z$108)</f>
        <v>100</v>
      </c>
      <c r="AA124" s="477">
        <f>IF($AC$124="","",ROW($A$124)-ROW($A$108))</f>
        <v>16</v>
      </c>
      <c r="AB124" s="478"/>
      <c r="AC124" s="34" t="s">
        <v>196</v>
      </c>
      <c r="AD124" s="356"/>
      <c r="AE124" s="18">
        <v>2</v>
      </c>
      <c r="AF124" s="11" t="s">
        <v>7</v>
      </c>
      <c r="AG124" s="480">
        <f t="shared" si="16"/>
        <v>2</v>
      </c>
      <c r="AH124" s="481" t="str">
        <f t="shared" si="17"/>
        <v>KG</v>
      </c>
      <c r="AI124" s="477" t="str">
        <f>IF($AC$124="","",IFERROR(INDEX($AZ$74:$AZ$119,MATCH($AH$124,$AY$74:$AY$119,0)),"AUTRE"))</f>
        <v>MASSE</v>
      </c>
      <c r="AJ124" s="482">
        <f>IF($AC$124="","",IFERROR(INDEX($BA$74:$BA$119,MATCH($AH$124,$AY$74:$AY$119,0)),1))</f>
        <v>1</v>
      </c>
      <c r="AK124" s="482">
        <f t="shared" si="18"/>
        <v>2</v>
      </c>
      <c r="AL124" s="477" t="str">
        <f>IF($AC$124="","",IFERROR(INDEX($BB$74:$BB$119,MATCH($AH$124,$AY$74:$AY$119,0)),$AH$124))</f>
        <v>kg</v>
      </c>
      <c r="AM124" s="483" t="str">
        <f t="shared" si="19"/>
        <v>OK</v>
      </c>
      <c r="AN124" s="484">
        <f t="shared" si="20"/>
        <v>2</v>
      </c>
      <c r="AO124" s="473" t="str">
        <f t="shared" si="21"/>
        <v/>
      </c>
      <c r="AP124" s="473" t="str">
        <f t="shared" si="22"/>
        <v/>
      </c>
      <c r="AQ124" s="473" t="str">
        <f t="shared" si="23"/>
        <v/>
      </c>
      <c r="AR124" s="473" t="str">
        <f t="shared" si="24"/>
        <v/>
      </c>
      <c r="AS124" s="473" t="str">
        <f t="shared" si="25"/>
        <v/>
      </c>
      <c r="AT124" s="473" t="str">
        <f t="shared" si="26"/>
        <v/>
      </c>
      <c r="AU124" s="473" t="str">
        <f t="shared" si="27"/>
        <v/>
      </c>
      <c r="AZ124" s="28" t="s">
        <v>14</v>
      </c>
      <c r="BA124" s="34" t="s">
        <v>6112</v>
      </c>
      <c r="BB124" s="500"/>
      <c r="BC124" s="271"/>
      <c r="BD124" s="279">
        <v>1</v>
      </c>
      <c r="BE124" s="271"/>
      <c r="BF124" s="271"/>
      <c r="BG124" s="271"/>
      <c r="BH124" s="271"/>
      <c r="BI124" s="271"/>
      <c r="BJ124" s="271"/>
      <c r="BK124" s="271"/>
      <c r="BL124" s="271"/>
    </row>
    <row r="125" spans="18:64" ht="21" customHeight="1" x14ac:dyDescent="0.25">
      <c r="R125" s="34" t="s">
        <v>6117</v>
      </c>
      <c r="S125" s="451"/>
      <c r="T125" s="28" t="s">
        <v>21</v>
      </c>
      <c r="V125" s="475">
        <v>2</v>
      </c>
      <c r="W125" s="475" t="str">
        <f>IF($AC$125="","",$W$108)</f>
        <v>N° 26</v>
      </c>
      <c r="X125" s="476" t="str">
        <f>IF($AC$125="","",$X$108)</f>
        <v>CAKE OLIVES JAMBON</v>
      </c>
      <c r="Y125" s="477">
        <f>IF($X$125="","",$Y$108)</f>
        <v>43</v>
      </c>
      <c r="Z125" s="477">
        <f>IF($X$125="","",$Z$108)</f>
        <v>100</v>
      </c>
      <c r="AA125" s="477">
        <f>IF($AC$125="","",ROW($A$125)-ROW($A$108))</f>
        <v>17</v>
      </c>
      <c r="AB125" s="478"/>
      <c r="AC125" s="34" t="s">
        <v>195</v>
      </c>
      <c r="AD125" s="356"/>
      <c r="AE125" s="18">
        <v>1.25</v>
      </c>
      <c r="AF125" s="11" t="s">
        <v>7</v>
      </c>
      <c r="AG125" s="480">
        <f t="shared" si="16"/>
        <v>1.25</v>
      </c>
      <c r="AH125" s="481" t="str">
        <f t="shared" si="17"/>
        <v>KG</v>
      </c>
      <c r="AI125" s="477" t="str">
        <f>IF($AC$125="","",IFERROR(INDEX($AZ$74:$AZ$119,MATCH($AH$125,$AY$74:$AY$119,0)),"AUTRE"))</f>
        <v>MASSE</v>
      </c>
      <c r="AJ125" s="482">
        <f>IF($AC$125="","",IFERROR(INDEX($BA$74:$BA$119,MATCH($AH$125,$AY$74:$AY$119,0)),1))</f>
        <v>1</v>
      </c>
      <c r="AK125" s="482">
        <f t="shared" si="18"/>
        <v>1.25</v>
      </c>
      <c r="AL125" s="477" t="str">
        <f>IF($AC$125="","",IFERROR(INDEX($BB$74:$BB$119,MATCH($AH$125,$AY$74:$AY$119,0)),$AH$125))</f>
        <v>kg</v>
      </c>
      <c r="AM125" s="483" t="str">
        <f t="shared" si="19"/>
        <v>OK</v>
      </c>
      <c r="AN125" s="484">
        <f t="shared" si="20"/>
        <v>1.25</v>
      </c>
      <c r="AO125" s="473" t="str">
        <f t="shared" si="21"/>
        <v/>
      </c>
      <c r="AP125" s="473" t="str">
        <f t="shared" si="22"/>
        <v/>
      </c>
      <c r="AQ125" s="473" t="str">
        <f t="shared" si="23"/>
        <v/>
      </c>
      <c r="AR125" s="473" t="str">
        <f t="shared" si="24"/>
        <v/>
      </c>
      <c r="AS125" s="473" t="str">
        <f t="shared" si="25"/>
        <v/>
      </c>
      <c r="AT125" s="473" t="str">
        <f t="shared" si="26"/>
        <v/>
      </c>
      <c r="AU125" s="473" t="str">
        <f t="shared" si="27"/>
        <v/>
      </c>
      <c r="AZ125" s="28" t="s">
        <v>15</v>
      </c>
      <c r="BA125" s="25" t="s">
        <v>6116</v>
      </c>
      <c r="BB125" s="500"/>
      <c r="BC125" s="271"/>
      <c r="BD125" s="279">
        <v>1</v>
      </c>
      <c r="BE125" s="271"/>
      <c r="BF125" s="271"/>
      <c r="BG125" s="271"/>
      <c r="BH125" s="271"/>
      <c r="BI125" s="271"/>
      <c r="BJ125" s="271"/>
      <c r="BK125" s="271"/>
      <c r="BL125" s="271"/>
    </row>
    <row r="126" spans="18:64" ht="21" customHeight="1" x14ac:dyDescent="0.25">
      <c r="R126" s="34" t="s">
        <v>469</v>
      </c>
      <c r="S126" s="451"/>
      <c r="T126" s="28" t="s">
        <v>22</v>
      </c>
      <c r="V126" s="475">
        <v>2</v>
      </c>
      <c r="W126" s="475" t="str">
        <f>IF($AC$126="","",$W$108)</f>
        <v>N° 26</v>
      </c>
      <c r="X126" s="476" t="str">
        <f>IF($AC$126="","",$X$108)</f>
        <v>CAKE OLIVES JAMBON</v>
      </c>
      <c r="Y126" s="477">
        <f>IF($X$126="","",$Y$108)</f>
        <v>43</v>
      </c>
      <c r="Z126" s="477">
        <f>IF($X$126="","",$Z$108)</f>
        <v>100</v>
      </c>
      <c r="AA126" s="477">
        <f>IF($AC$126="","",ROW($A$126)-ROW($A$108))</f>
        <v>18</v>
      </c>
      <c r="AB126" s="478"/>
      <c r="AC126" s="34" t="s">
        <v>67</v>
      </c>
      <c r="AD126" s="356"/>
      <c r="AE126" s="18">
        <v>35</v>
      </c>
      <c r="AF126" s="16" t="s">
        <v>8</v>
      </c>
      <c r="AG126" s="480">
        <f t="shared" si="16"/>
        <v>35</v>
      </c>
      <c r="AH126" s="481" t="str">
        <f t="shared" si="17"/>
        <v>G</v>
      </c>
      <c r="AI126" s="477" t="str">
        <f>IF($AC$126="","",IFERROR(INDEX($AZ$74:$AZ$119,MATCH($AH$126,$AY$74:$AY$119,0)),"AUTRE"))</f>
        <v>MASSE</v>
      </c>
      <c r="AJ126" s="482">
        <f>IF($AC$126="","",IFERROR(INDEX($BA$74:$BA$119,MATCH($AH$126,$AY$74:$AY$119,0)),1))</f>
        <v>1E-3</v>
      </c>
      <c r="AK126" s="482">
        <f t="shared" si="18"/>
        <v>3.5000000000000003E-2</v>
      </c>
      <c r="AL126" s="477" t="str">
        <f>IF($AC$126="","",IFERROR(INDEX($BB$74:$BB$119,MATCH($AH$126,$AY$74:$AY$119,0)),$AH$126))</f>
        <v>kg</v>
      </c>
      <c r="AM126" s="483" t="str">
        <f t="shared" si="19"/>
        <v>OK</v>
      </c>
      <c r="AN126" s="484">
        <f t="shared" si="20"/>
        <v>35</v>
      </c>
      <c r="AO126" s="473" t="str">
        <f t="shared" si="21"/>
        <v/>
      </c>
      <c r="AP126" s="473" t="str">
        <f t="shared" si="22"/>
        <v/>
      </c>
      <c r="AQ126" s="473" t="str">
        <f t="shared" si="23"/>
        <v/>
      </c>
      <c r="AR126" s="473" t="str">
        <f t="shared" si="24"/>
        <v/>
      </c>
      <c r="AS126" s="473" t="str">
        <f t="shared" si="25"/>
        <v/>
      </c>
      <c r="AT126" s="473" t="str">
        <f t="shared" si="26"/>
        <v/>
      </c>
      <c r="AU126" s="473" t="str">
        <f t="shared" si="27"/>
        <v/>
      </c>
      <c r="AZ126" s="29" t="s">
        <v>9</v>
      </c>
      <c r="BA126" s="34" t="s">
        <v>6117</v>
      </c>
      <c r="BB126" s="500"/>
      <c r="BC126" s="271"/>
      <c r="BD126" s="279">
        <v>1</v>
      </c>
      <c r="BE126" s="271"/>
      <c r="BF126" s="271"/>
      <c r="BG126" s="271"/>
      <c r="BH126" s="271"/>
      <c r="BI126" s="271"/>
      <c r="BJ126" s="271"/>
      <c r="BK126" s="271"/>
      <c r="BL126" s="271"/>
    </row>
    <row r="127" spans="18:64" ht="21" customHeight="1" x14ac:dyDescent="0.25">
      <c r="R127" s="34" t="s">
        <v>6118</v>
      </c>
      <c r="S127" s="451"/>
      <c r="T127" s="28" t="s">
        <v>23</v>
      </c>
      <c r="V127" s="475">
        <v>2</v>
      </c>
      <c r="W127" s="475" t="str">
        <f>IF($AC$127="","",$W$108)</f>
        <v>N° 26</v>
      </c>
      <c r="X127" s="476" t="str">
        <f>IF($AC$127="","",$X$108)</f>
        <v>CAKE OLIVES JAMBON</v>
      </c>
      <c r="Y127" s="477">
        <f>IF($X$127="","",$Y$108)</f>
        <v>43</v>
      </c>
      <c r="Z127" s="477">
        <f>IF($X$127="","",$Z$108)</f>
        <v>100</v>
      </c>
      <c r="AA127" s="477">
        <f>IF($AC$127="","",ROW($A$127)-ROW($A$108))</f>
        <v>19</v>
      </c>
      <c r="AB127" s="478"/>
      <c r="AC127" s="34" t="s">
        <v>44</v>
      </c>
      <c r="AD127" s="356"/>
      <c r="AE127" s="18">
        <v>10</v>
      </c>
      <c r="AF127" s="16" t="s">
        <v>8</v>
      </c>
      <c r="AG127" s="480">
        <f t="shared" si="16"/>
        <v>10</v>
      </c>
      <c r="AH127" s="481" t="str">
        <f t="shared" si="17"/>
        <v>G</v>
      </c>
      <c r="AI127" s="477" t="str">
        <f>IF($AC$127="","",IFERROR(INDEX($AZ$74:$AZ$119,MATCH($AH$127,$AY$74:$AY$119,0)),"AUTRE"))</f>
        <v>MASSE</v>
      </c>
      <c r="AJ127" s="482">
        <f>IF($AC$127="","",IFERROR(INDEX($BA$74:$BA$119,MATCH($AH$127,$AY$74:$AY$119,0)),1))</f>
        <v>1E-3</v>
      </c>
      <c r="AK127" s="482">
        <f t="shared" si="18"/>
        <v>0.01</v>
      </c>
      <c r="AL127" s="477" t="str">
        <f>IF($AC$127="","",IFERROR(INDEX($BB$74:$BB$119,MATCH($AH$127,$AY$74:$AY$119,0)),$AH$127))</f>
        <v>kg</v>
      </c>
      <c r="AM127" s="483" t="str">
        <f t="shared" si="19"/>
        <v>OK</v>
      </c>
      <c r="AN127" s="484">
        <f t="shared" si="20"/>
        <v>10</v>
      </c>
      <c r="AO127" s="473" t="str">
        <f t="shared" si="21"/>
        <v/>
      </c>
      <c r="AP127" s="473" t="str">
        <f t="shared" si="22"/>
        <v/>
      </c>
      <c r="AQ127" s="473" t="str">
        <f t="shared" si="23"/>
        <v/>
      </c>
      <c r="AR127" s="473" t="str">
        <f t="shared" si="24"/>
        <v/>
      </c>
      <c r="AS127" s="473" t="str">
        <f t="shared" si="25"/>
        <v/>
      </c>
      <c r="AT127" s="473" t="str">
        <f t="shared" si="26"/>
        <v/>
      </c>
      <c r="AU127" s="473" t="str">
        <f t="shared" si="27"/>
        <v/>
      </c>
      <c r="AZ127" s="30" t="s">
        <v>10</v>
      </c>
      <c r="BA127" s="34" t="s">
        <v>469</v>
      </c>
      <c r="BB127" s="500"/>
      <c r="BC127" s="271"/>
      <c r="BD127" s="279">
        <v>1</v>
      </c>
      <c r="BE127" s="271"/>
      <c r="BF127" s="271"/>
      <c r="BG127" s="271"/>
      <c r="BH127" s="271"/>
      <c r="BI127" s="271"/>
      <c r="BJ127" s="271"/>
      <c r="BK127" s="271"/>
      <c r="BL127" s="271"/>
    </row>
    <row r="128" spans="18:64" ht="21" customHeight="1" x14ac:dyDescent="0.25">
      <c r="R128" s="34" t="s">
        <v>492</v>
      </c>
      <c r="S128" s="451"/>
      <c r="T128" s="28" t="s">
        <v>24</v>
      </c>
      <c r="V128" s="475">
        <v>2</v>
      </c>
      <c r="W128" s="475" t="str">
        <f>IF($AC$128="","",$W$108)</f>
        <v/>
      </c>
      <c r="X128" s="476" t="str">
        <f>IF($AC$128="","",$X$108)</f>
        <v/>
      </c>
      <c r="Y128" s="477" t="str">
        <f>IF($X$128="","",$Y$108)</f>
        <v/>
      </c>
      <c r="Z128" s="477" t="str">
        <f>IF($X$128="","",$Z$108)</f>
        <v/>
      </c>
      <c r="AA128" s="477" t="str">
        <f>IF($AC$128="","",ROW($A$128)-ROW($A$108))</f>
        <v/>
      </c>
      <c r="AB128" s="478"/>
      <c r="AC128" s="34"/>
      <c r="AD128" s="356"/>
      <c r="AE128" s="18"/>
      <c r="AF128" s="19"/>
      <c r="AG128" s="480" t="str">
        <f t="shared" si="16"/>
        <v/>
      </c>
      <c r="AH128" s="481" t="str">
        <f t="shared" si="17"/>
        <v/>
      </c>
      <c r="AI128" s="477" t="str">
        <f>IF($AC$128="","",IFERROR(INDEX($AZ$74:$AZ$119,MATCH($AH$128,$AY$74:$AY$119,0)),"AUTRE"))</f>
        <v/>
      </c>
      <c r="AJ128" s="482" t="str">
        <f>IF($AC$128="","",IFERROR(INDEX($BA$74:$BA$119,MATCH($AH$128,$AY$74:$AY$119,0)),1))</f>
        <v/>
      </c>
      <c r="AK128" s="482" t="str">
        <f t="shared" si="18"/>
        <v/>
      </c>
      <c r="AL128" s="477" t="str">
        <f>IF($AC$128="","",IFERROR(INDEX($BB$74:$BB$119,MATCH($AH$128,$AY$74:$AY$119,0)),$AH$128))</f>
        <v/>
      </c>
      <c r="AM128" s="483" t="str">
        <f t="shared" si="19"/>
        <v/>
      </c>
      <c r="AN128" s="484" t="str">
        <f t="shared" si="20"/>
        <v/>
      </c>
      <c r="AO128" s="473" t="str">
        <f t="shared" si="21"/>
        <v/>
      </c>
      <c r="AP128" s="473" t="str">
        <f t="shared" si="22"/>
        <v/>
      </c>
      <c r="AQ128" s="473" t="str">
        <f t="shared" si="23"/>
        <v/>
      </c>
      <c r="AR128" s="473" t="str">
        <f t="shared" si="24"/>
        <v/>
      </c>
      <c r="AS128" s="473" t="str">
        <f t="shared" si="25"/>
        <v/>
      </c>
      <c r="AT128" s="473" t="str">
        <f t="shared" si="26"/>
        <v/>
      </c>
      <c r="AU128" s="473" t="str">
        <f t="shared" si="27"/>
        <v/>
      </c>
      <c r="AZ128" s="30" t="s">
        <v>11</v>
      </c>
      <c r="BA128" s="34" t="s">
        <v>6118</v>
      </c>
      <c r="BB128" s="500"/>
      <c r="BC128" s="271"/>
      <c r="BD128" s="279">
        <v>1</v>
      </c>
      <c r="BE128" s="271"/>
      <c r="BF128" s="271"/>
      <c r="BG128" s="271"/>
      <c r="BH128" s="271"/>
      <c r="BI128" s="271"/>
      <c r="BJ128" s="271"/>
      <c r="BK128" s="271"/>
      <c r="BL128" s="271"/>
    </row>
    <row r="129" spans="18:64" ht="21" customHeight="1" x14ac:dyDescent="0.25">
      <c r="R129" s="34" t="s">
        <v>458</v>
      </c>
      <c r="S129" s="451"/>
      <c r="T129" s="29" t="s">
        <v>9</v>
      </c>
      <c r="V129" s="475">
        <v>2</v>
      </c>
      <c r="W129" s="475" t="str">
        <f>IF($AC$129="","",$W$108)</f>
        <v/>
      </c>
      <c r="X129" s="476" t="str">
        <f>IF($AC$129="","",$X$108)</f>
        <v/>
      </c>
      <c r="Y129" s="477" t="str">
        <f>IF($X$129="","",$Y$108)</f>
        <v/>
      </c>
      <c r="Z129" s="477" t="str">
        <f>IF($X$129="","",$Z$108)</f>
        <v/>
      </c>
      <c r="AA129" s="477" t="str">
        <f>IF($AC$129="","",ROW($A$129)-ROW($A$108))</f>
        <v/>
      </c>
      <c r="AB129" s="478"/>
      <c r="AC129" s="34"/>
      <c r="AD129" s="356"/>
      <c r="AE129" s="18"/>
      <c r="AF129" s="19"/>
      <c r="AG129" s="480" t="str">
        <f t="shared" si="16"/>
        <v/>
      </c>
      <c r="AH129" s="481" t="str">
        <f t="shared" si="17"/>
        <v/>
      </c>
      <c r="AI129" s="477" t="str">
        <f>IF($AC$129="","",IFERROR(INDEX($AZ$74:$AZ$119,MATCH($AH$129,$AY$74:$AY$119,0)),"AUTRE"))</f>
        <v/>
      </c>
      <c r="AJ129" s="482" t="str">
        <f>IF($AC$129="","",IFERROR(INDEX($BA$74:$BA$119,MATCH($AH$129,$AY$74:$AY$119,0)),1))</f>
        <v/>
      </c>
      <c r="AK129" s="482" t="str">
        <f t="shared" si="18"/>
        <v/>
      </c>
      <c r="AL129" s="477" t="str">
        <f>IF($AC$129="","",IFERROR(INDEX($BB$74:$BB$119,MATCH($AH$129,$AY$74:$AY$119,0)),$AH$129))</f>
        <v/>
      </c>
      <c r="AM129" s="483" t="str">
        <f t="shared" si="19"/>
        <v/>
      </c>
      <c r="AN129" s="484" t="str">
        <f t="shared" si="20"/>
        <v/>
      </c>
      <c r="AO129" s="473" t="str">
        <f t="shared" si="21"/>
        <v/>
      </c>
      <c r="AP129" s="473" t="str">
        <f t="shared" si="22"/>
        <v/>
      </c>
      <c r="AQ129" s="473" t="str">
        <f t="shared" si="23"/>
        <v/>
      </c>
      <c r="AR129" s="473" t="str">
        <f t="shared" si="24"/>
        <v/>
      </c>
      <c r="AS129" s="473" t="str">
        <f t="shared" si="25"/>
        <v/>
      </c>
      <c r="AT129" s="473" t="str">
        <f t="shared" si="26"/>
        <v/>
      </c>
      <c r="AU129" s="473" t="str">
        <f t="shared" si="27"/>
        <v/>
      </c>
      <c r="AZ129" s="30" t="s">
        <v>12</v>
      </c>
      <c r="BA129" s="34" t="s">
        <v>492</v>
      </c>
      <c r="BB129" s="500"/>
      <c r="BC129" s="271"/>
      <c r="BD129" s="279">
        <v>1</v>
      </c>
      <c r="BE129" s="271"/>
      <c r="BF129" s="271"/>
      <c r="BG129" s="271"/>
      <c r="BH129" s="271"/>
      <c r="BI129" s="271"/>
      <c r="BJ129" s="271"/>
      <c r="BK129" s="271"/>
      <c r="BL129" s="271"/>
    </row>
    <row r="130" spans="18:64" ht="21" customHeight="1" x14ac:dyDescent="0.25">
      <c r="R130" s="490"/>
      <c r="S130" s="451"/>
      <c r="T130" s="30" t="s">
        <v>10</v>
      </c>
      <c r="V130" s="475">
        <v>2</v>
      </c>
      <c r="W130" s="475" t="str">
        <f>IF($AC$130="","",$W$108)</f>
        <v/>
      </c>
      <c r="X130" s="476" t="str">
        <f>IF($AC$130="","",$X$108)</f>
        <v/>
      </c>
      <c r="Y130" s="477" t="str">
        <f>IF($X$130="","",$Y$108)</f>
        <v/>
      </c>
      <c r="Z130" s="477" t="str">
        <f>IF($X$130="","",$Z$108)</f>
        <v/>
      </c>
      <c r="AA130" s="477" t="str">
        <f>IF($AC$130="","",ROW($A$130)-ROW($A$108))</f>
        <v/>
      </c>
      <c r="AB130" s="478"/>
      <c r="AC130" s="34"/>
      <c r="AD130" s="356"/>
      <c r="AE130" s="18"/>
      <c r="AF130" s="19"/>
      <c r="AG130" s="480" t="str">
        <f t="shared" si="16"/>
        <v/>
      </c>
      <c r="AH130" s="481" t="str">
        <f t="shared" si="17"/>
        <v/>
      </c>
      <c r="AI130" s="477" t="str">
        <f>IF($AC$130="","",IFERROR(INDEX($AZ$74:$AZ$119,MATCH($AH$130,$AY$74:$AY$119,0)),"AUTRE"))</f>
        <v/>
      </c>
      <c r="AJ130" s="482" t="str">
        <f>IF($AC$130="","",IFERROR(INDEX($BA$74:$BA$119,MATCH($AH$130,$AY$74:$AY$119,0)),1))</f>
        <v/>
      </c>
      <c r="AK130" s="482" t="str">
        <f t="shared" si="18"/>
        <v/>
      </c>
      <c r="AL130" s="477" t="str">
        <f>IF($AC$130="","",IFERROR(INDEX($BB$74:$BB$119,MATCH($AH$130,$AY$74:$AY$119,0)),$AH$130))</f>
        <v/>
      </c>
      <c r="AM130" s="483" t="str">
        <f t="shared" si="19"/>
        <v/>
      </c>
      <c r="AN130" s="484" t="str">
        <f t="shared" si="20"/>
        <v/>
      </c>
      <c r="AO130" s="473" t="str">
        <f t="shared" si="21"/>
        <v/>
      </c>
      <c r="AP130" s="473" t="str">
        <f t="shared" si="22"/>
        <v/>
      </c>
      <c r="AQ130" s="473" t="str">
        <f t="shared" si="23"/>
        <v/>
      </c>
      <c r="AR130" s="473" t="str">
        <f t="shared" si="24"/>
        <v/>
      </c>
      <c r="AS130" s="473" t="str">
        <f t="shared" si="25"/>
        <v/>
      </c>
      <c r="AT130" s="473" t="str">
        <f t="shared" si="26"/>
        <v/>
      </c>
      <c r="AU130" s="473" t="str">
        <f t="shared" si="27"/>
        <v/>
      </c>
      <c r="AZ130" s="31" t="s">
        <v>16</v>
      </c>
      <c r="BA130" s="34" t="s">
        <v>458</v>
      </c>
      <c r="BB130" s="500"/>
      <c r="BC130" s="271"/>
      <c r="BD130" s="279">
        <v>1</v>
      </c>
      <c r="BE130" s="271"/>
      <c r="BF130" s="271"/>
      <c r="BG130" s="271"/>
      <c r="BH130" s="271"/>
      <c r="BI130" s="271"/>
      <c r="BJ130" s="271"/>
      <c r="BK130" s="271"/>
      <c r="BL130" s="271"/>
    </row>
    <row r="131" spans="18:64" ht="21" customHeight="1" x14ac:dyDescent="0.25">
      <c r="R131" s="25" t="s">
        <v>6119</v>
      </c>
      <c r="S131" s="451"/>
      <c r="T131" s="30" t="s">
        <v>11</v>
      </c>
      <c r="V131" s="475">
        <v>2</v>
      </c>
      <c r="W131" s="475" t="str">
        <f>IF($AC$131="","",$W$108)</f>
        <v/>
      </c>
      <c r="X131" s="476" t="str">
        <f>IF($AC$131="","",$X$108)</f>
        <v/>
      </c>
      <c r="Y131" s="477" t="str">
        <f>IF($X$131="","",$Y$108)</f>
        <v/>
      </c>
      <c r="Z131" s="477" t="str">
        <f>IF($X$131="","",$Z$108)</f>
        <v/>
      </c>
      <c r="AA131" s="477" t="str">
        <f>IF($AC$131="","",ROW($A$131)-ROW($A$108))</f>
        <v/>
      </c>
      <c r="AB131" s="478"/>
      <c r="AC131" s="34"/>
      <c r="AD131" s="356"/>
      <c r="AE131" s="18"/>
      <c r="AF131" s="19"/>
      <c r="AG131" s="480" t="str">
        <f t="shared" si="16"/>
        <v/>
      </c>
      <c r="AH131" s="481" t="str">
        <f t="shared" si="17"/>
        <v/>
      </c>
      <c r="AI131" s="477" t="str">
        <f>IF($AC$131="","",IFERROR(INDEX($AZ$74:$AZ$119,MATCH($AH$131,$AY$74:$AY$119,0)),"AUTRE"))</f>
        <v/>
      </c>
      <c r="AJ131" s="482" t="str">
        <f>IF($AC$131="","",IFERROR(INDEX($BA$74:$BA$119,MATCH($AH$131,$AY$74:$AY$119,0)),1))</f>
        <v/>
      </c>
      <c r="AK131" s="482" t="str">
        <f t="shared" si="18"/>
        <v/>
      </c>
      <c r="AL131" s="477" t="str">
        <f>IF($AC$131="","",IFERROR(INDEX($BB$74:$BB$119,MATCH($AH$131,$AY$74:$AY$119,0)),$AH$131))</f>
        <v/>
      </c>
      <c r="AM131" s="483" t="str">
        <f t="shared" si="19"/>
        <v/>
      </c>
      <c r="AN131" s="484" t="str">
        <f t="shared" si="20"/>
        <v/>
      </c>
      <c r="AO131" s="473" t="str">
        <f t="shared" si="21"/>
        <v/>
      </c>
      <c r="AP131" s="473" t="str">
        <f t="shared" si="22"/>
        <v/>
      </c>
      <c r="AQ131" s="473" t="str">
        <f t="shared" si="23"/>
        <v/>
      </c>
      <c r="AR131" s="473" t="str">
        <f t="shared" si="24"/>
        <v/>
      </c>
      <c r="AS131" s="473" t="str">
        <f t="shared" si="25"/>
        <v/>
      </c>
      <c r="AT131" s="473" t="str">
        <f t="shared" si="26"/>
        <v/>
      </c>
      <c r="AU131" s="473" t="str">
        <f t="shared" si="27"/>
        <v/>
      </c>
      <c r="AZ131" s="31" t="s">
        <v>17</v>
      </c>
      <c r="BA131" s="490"/>
      <c r="BB131" s="500"/>
      <c r="BC131" s="271"/>
      <c r="BD131" s="279">
        <v>1</v>
      </c>
      <c r="BE131" s="271"/>
      <c r="BF131" s="271"/>
      <c r="BG131" s="271"/>
      <c r="BH131" s="271"/>
      <c r="BI131" s="271"/>
      <c r="BJ131" s="271"/>
      <c r="BK131" s="271"/>
      <c r="BL131" s="271"/>
    </row>
    <row r="132" spans="18:64" ht="21" customHeight="1" x14ac:dyDescent="0.25">
      <c r="R132" s="34" t="s">
        <v>6120</v>
      </c>
      <c r="S132" s="451"/>
      <c r="T132" s="30" t="s">
        <v>12</v>
      </c>
      <c r="V132" s="475">
        <v>2</v>
      </c>
      <c r="W132" s="475" t="str">
        <f>IF($AC$132="","",$W$108)</f>
        <v/>
      </c>
      <c r="X132" s="476" t="str">
        <f>IF($AC$132="","",$X$108)</f>
        <v/>
      </c>
      <c r="Y132" s="477" t="str">
        <f>IF($X$132="","",$Y$108)</f>
        <v/>
      </c>
      <c r="Z132" s="477" t="str">
        <f>IF($X$132="","",$Z$108)</f>
        <v/>
      </c>
      <c r="AA132" s="477" t="str">
        <f>IF($AC$132="","",ROW($A$132)-ROW($A$108))</f>
        <v/>
      </c>
      <c r="AB132" s="478"/>
      <c r="AC132" s="34"/>
      <c r="AD132" s="356"/>
      <c r="AE132" s="18"/>
      <c r="AF132" s="19"/>
      <c r="AG132" s="480" t="str">
        <f t="shared" si="16"/>
        <v/>
      </c>
      <c r="AH132" s="481" t="str">
        <f t="shared" si="17"/>
        <v/>
      </c>
      <c r="AI132" s="477" t="str">
        <f>IF($AC$132="","",IFERROR(INDEX($AZ$74:$AZ$119,MATCH($AH$132,$AY$74:$AY$119,0)),"AUTRE"))</f>
        <v/>
      </c>
      <c r="AJ132" s="482" t="str">
        <f>IF($AC$132="","",IFERROR(INDEX($BA$74:$BA$119,MATCH($AH$132,$AY$74:$AY$119,0)),1))</f>
        <v/>
      </c>
      <c r="AK132" s="482" t="str">
        <f t="shared" si="18"/>
        <v/>
      </c>
      <c r="AL132" s="477" t="str">
        <f>IF($AC$132="","",IFERROR(INDEX($BB$74:$BB$119,MATCH($AH$132,$AY$74:$AY$119,0)),$AH$132))</f>
        <v/>
      </c>
      <c r="AM132" s="483" t="str">
        <f t="shared" si="19"/>
        <v/>
      </c>
      <c r="AN132" s="484" t="str">
        <f t="shared" si="20"/>
        <v/>
      </c>
      <c r="AO132" s="473" t="str">
        <f t="shared" si="21"/>
        <v/>
      </c>
      <c r="AP132" s="473" t="str">
        <f t="shared" si="22"/>
        <v/>
      </c>
      <c r="AQ132" s="473" t="str">
        <f t="shared" si="23"/>
        <v/>
      </c>
      <c r="AR132" s="473" t="str">
        <f t="shared" si="24"/>
        <v/>
      </c>
      <c r="AS132" s="473" t="str">
        <f t="shared" si="25"/>
        <v/>
      </c>
      <c r="AT132" s="473" t="str">
        <f t="shared" si="26"/>
        <v/>
      </c>
      <c r="AU132" s="473" t="str">
        <f t="shared" si="27"/>
        <v/>
      </c>
      <c r="AZ132" s="31" t="s">
        <v>18</v>
      </c>
      <c r="BA132" s="25" t="s">
        <v>6119</v>
      </c>
      <c r="BB132" s="500"/>
      <c r="BC132" s="271"/>
      <c r="BD132" s="279">
        <v>1</v>
      </c>
      <c r="BE132" s="271"/>
      <c r="BF132" s="271"/>
      <c r="BG132" s="271"/>
      <c r="BH132" s="271"/>
      <c r="BI132" s="271"/>
      <c r="BJ132" s="271"/>
      <c r="BK132" s="271"/>
      <c r="BL132" s="271"/>
    </row>
    <row r="133" spans="18:64" ht="21" customHeight="1" x14ac:dyDescent="0.25">
      <c r="R133" s="34" t="s">
        <v>6121</v>
      </c>
      <c r="S133" s="451"/>
      <c r="T133" s="31" t="s">
        <v>16</v>
      </c>
      <c r="V133" s="475">
        <v>2</v>
      </c>
      <c r="W133" s="475" t="str">
        <f>IF($AC$133="","",$W$108)</f>
        <v/>
      </c>
      <c r="X133" s="476" t="str">
        <f>IF($AC$133="","",$X$108)</f>
        <v/>
      </c>
      <c r="Y133" s="477" t="str">
        <f>IF($X$133="","",$Y$108)</f>
        <v/>
      </c>
      <c r="Z133" s="477" t="str">
        <f>IF($X$133="","",$Z$108)</f>
        <v/>
      </c>
      <c r="AA133" s="477" t="str">
        <f>IF($AC$133="","",ROW($A$133)-ROW($A$108))</f>
        <v/>
      </c>
      <c r="AB133" s="478"/>
      <c r="AC133" s="34"/>
      <c r="AD133" s="356"/>
      <c r="AE133" s="18"/>
      <c r="AF133" s="19"/>
      <c r="AG133" s="480" t="str">
        <f t="shared" si="16"/>
        <v/>
      </c>
      <c r="AH133" s="481" t="str">
        <f t="shared" si="17"/>
        <v/>
      </c>
      <c r="AI133" s="477" t="str">
        <f>IF($AC$133="","",IFERROR(INDEX($AZ$74:$AZ$119,MATCH($AH$133,$AY$74:$AY$119,0)),"AUTRE"))</f>
        <v/>
      </c>
      <c r="AJ133" s="482" t="str">
        <f>IF($AC$133="","",IFERROR(INDEX($BA$74:$BA$119,MATCH($AH$133,$AY$74:$AY$119,0)),1))</f>
        <v/>
      </c>
      <c r="AK133" s="482" t="str">
        <f t="shared" si="18"/>
        <v/>
      </c>
      <c r="AL133" s="477" t="str">
        <f>IF($AC$133="","",IFERROR(INDEX($BB$74:$BB$119,MATCH($AH$133,$AY$74:$AY$119,0)),$AH$133))</f>
        <v/>
      </c>
      <c r="AM133" s="483" t="str">
        <f t="shared" si="19"/>
        <v/>
      </c>
      <c r="AN133" s="484" t="str">
        <f t="shared" si="20"/>
        <v/>
      </c>
      <c r="AO133" s="473" t="str">
        <f t="shared" si="21"/>
        <v/>
      </c>
      <c r="AP133" s="473" t="str">
        <f t="shared" si="22"/>
        <v/>
      </c>
      <c r="AQ133" s="473" t="str">
        <f t="shared" si="23"/>
        <v/>
      </c>
      <c r="AR133" s="473" t="str">
        <f t="shared" si="24"/>
        <v/>
      </c>
      <c r="AS133" s="473" t="str">
        <f t="shared" si="25"/>
        <v/>
      </c>
      <c r="AT133" s="473" t="str">
        <f t="shared" si="26"/>
        <v/>
      </c>
      <c r="AU133" s="473" t="str">
        <f t="shared" si="27"/>
        <v/>
      </c>
      <c r="AZ133" s="31" t="s">
        <v>19</v>
      </c>
      <c r="BA133" s="34" t="s">
        <v>6120</v>
      </c>
      <c r="BB133" s="500"/>
      <c r="BC133" s="271"/>
      <c r="BD133" s="279">
        <v>1</v>
      </c>
      <c r="BE133" s="271"/>
      <c r="BF133" s="271"/>
      <c r="BG133" s="271"/>
      <c r="BH133" s="271"/>
      <c r="BI133" s="271"/>
      <c r="BJ133" s="271"/>
      <c r="BK133" s="271"/>
      <c r="BL133" s="271"/>
    </row>
    <row r="134" spans="18:64" ht="21" customHeight="1" x14ac:dyDescent="0.25">
      <c r="R134" s="34" t="s">
        <v>6122</v>
      </c>
      <c r="S134" s="451"/>
      <c r="T134" s="31" t="s">
        <v>17</v>
      </c>
      <c r="V134" s="475">
        <v>2</v>
      </c>
      <c r="W134" s="475" t="str">
        <f>IF($AC$134="","",$W$108)</f>
        <v/>
      </c>
      <c r="X134" s="476" t="str">
        <f>IF($AC$134="","",$X$108)</f>
        <v/>
      </c>
      <c r="Y134" s="477" t="str">
        <f>IF($X$134="","",$Y$108)</f>
        <v/>
      </c>
      <c r="Z134" s="477" t="str">
        <f>IF($X$134="","",$Z$108)</f>
        <v/>
      </c>
      <c r="AA134" s="477" t="str">
        <f>IF($AC$134="","",ROW($A$134)-ROW($A$108))</f>
        <v/>
      </c>
      <c r="AB134" s="478"/>
      <c r="AC134" s="34"/>
      <c r="AD134" s="356"/>
      <c r="AE134" s="18"/>
      <c r="AF134" s="19"/>
      <c r="AG134" s="480" t="str">
        <f t="shared" si="16"/>
        <v/>
      </c>
      <c r="AH134" s="481" t="str">
        <f t="shared" si="17"/>
        <v/>
      </c>
      <c r="AI134" s="477" t="str">
        <f>IF($AC$134="","",IFERROR(INDEX($AZ$74:$AZ$119,MATCH($AH$134,$AY$74:$AY$119,0)),"AUTRE"))</f>
        <v/>
      </c>
      <c r="AJ134" s="482" t="str">
        <f>IF($AC$134="","",IFERROR(INDEX($BA$74:$BA$119,MATCH($AH$134,$AY$74:$AY$119,0)),1))</f>
        <v/>
      </c>
      <c r="AK134" s="482" t="str">
        <f t="shared" si="18"/>
        <v/>
      </c>
      <c r="AL134" s="477" t="str">
        <f>IF($AC$134="","",IFERROR(INDEX($BB$74:$BB$119,MATCH($AH$134,$AY$74:$AY$119,0)),$AH$134))</f>
        <v/>
      </c>
      <c r="AM134" s="483" t="str">
        <f t="shared" si="19"/>
        <v/>
      </c>
      <c r="AN134" s="484" t="str">
        <f t="shared" si="20"/>
        <v/>
      </c>
      <c r="AO134" s="473" t="str">
        <f t="shared" si="21"/>
        <v/>
      </c>
      <c r="AP134" s="473" t="str">
        <f t="shared" si="22"/>
        <v/>
      </c>
      <c r="AQ134" s="473" t="str">
        <f t="shared" si="23"/>
        <v/>
      </c>
      <c r="AR134" s="473" t="str">
        <f t="shared" si="24"/>
        <v/>
      </c>
      <c r="AS134" s="473" t="str">
        <f t="shared" si="25"/>
        <v/>
      </c>
      <c r="AT134" s="473" t="str">
        <f t="shared" si="26"/>
        <v/>
      </c>
      <c r="AU134" s="473" t="str">
        <f t="shared" si="27"/>
        <v/>
      </c>
      <c r="AZ134" s="31" t="s">
        <v>211</v>
      </c>
      <c r="BA134" s="34" t="s">
        <v>6121</v>
      </c>
      <c r="BB134" s="500"/>
      <c r="BC134" s="271"/>
      <c r="BD134" s="279">
        <v>1</v>
      </c>
      <c r="BE134" s="271"/>
      <c r="BF134" s="271"/>
      <c r="BG134" s="271"/>
      <c r="BH134" s="271"/>
      <c r="BI134" s="271"/>
      <c r="BJ134" s="271"/>
      <c r="BK134" s="271"/>
      <c r="BL134" s="271"/>
    </row>
    <row r="135" spans="18:64" ht="21" customHeight="1" x14ac:dyDescent="0.25">
      <c r="R135" s="34" t="s">
        <v>6123</v>
      </c>
      <c r="S135" s="451"/>
      <c r="T135" s="31" t="s">
        <v>18</v>
      </c>
      <c r="V135" s="475">
        <v>2</v>
      </c>
      <c r="W135" s="475" t="str">
        <f>IF($AC$135="","",$W$108)</f>
        <v/>
      </c>
      <c r="X135" s="476" t="str">
        <f>IF($AC$135="","",$X$108)</f>
        <v/>
      </c>
      <c r="Y135" s="477" t="str">
        <f>IF($X$135="","",$Y$108)</f>
        <v/>
      </c>
      <c r="Z135" s="477" t="str">
        <f>IF($X$135="","",$Z$108)</f>
        <v/>
      </c>
      <c r="AA135" s="477" t="str">
        <f>IF($AC$135="","",ROW($A$135)-ROW($A$108))</f>
        <v/>
      </c>
      <c r="AB135" s="478"/>
      <c r="AC135" s="34"/>
      <c r="AD135" s="356"/>
      <c r="AE135" s="18"/>
      <c r="AF135" s="19"/>
      <c r="AG135" s="480" t="str">
        <f t="shared" si="16"/>
        <v/>
      </c>
      <c r="AH135" s="481" t="str">
        <f t="shared" si="17"/>
        <v/>
      </c>
      <c r="AI135" s="477" t="str">
        <f>IF($AC$135="","",IFERROR(INDEX($AZ$74:$AZ$119,MATCH($AH$135,$AY$74:$AY$119,0)),"AUTRE"))</f>
        <v/>
      </c>
      <c r="AJ135" s="482" t="str">
        <f>IF($AC$135="","",IFERROR(INDEX($BA$74:$BA$119,MATCH($AH$135,$AY$74:$AY$119,0)),1))</f>
        <v/>
      </c>
      <c r="AK135" s="482" t="str">
        <f t="shared" si="18"/>
        <v/>
      </c>
      <c r="AL135" s="477" t="str">
        <f>IF($AC$135="","",IFERROR(INDEX($BB$74:$BB$119,MATCH($AH$135,$AY$74:$AY$119,0)),$AH$135))</f>
        <v/>
      </c>
      <c r="AM135" s="483" t="str">
        <f t="shared" si="19"/>
        <v/>
      </c>
      <c r="AN135" s="484" t="str">
        <f t="shared" si="20"/>
        <v/>
      </c>
      <c r="AO135" s="473" t="str">
        <f t="shared" si="21"/>
        <v/>
      </c>
      <c r="AP135" s="473" t="str">
        <f t="shared" si="22"/>
        <v/>
      </c>
      <c r="AQ135" s="473" t="str">
        <f t="shared" si="23"/>
        <v/>
      </c>
      <c r="AR135" s="473" t="str">
        <f t="shared" si="24"/>
        <v/>
      </c>
      <c r="AS135" s="473" t="str">
        <f t="shared" si="25"/>
        <v/>
      </c>
      <c r="AT135" s="473" t="str">
        <f t="shared" si="26"/>
        <v/>
      </c>
      <c r="AU135" s="473" t="str">
        <f t="shared" si="27"/>
        <v/>
      </c>
      <c r="AZ135" s="31" t="s">
        <v>20</v>
      </c>
      <c r="BA135" s="34" t="s">
        <v>6122</v>
      </c>
      <c r="BB135" s="500"/>
      <c r="BC135" s="271"/>
      <c r="BD135" s="279">
        <v>1</v>
      </c>
      <c r="BE135" s="271"/>
      <c r="BF135" s="271"/>
      <c r="BG135" s="271"/>
      <c r="BH135" s="271"/>
      <c r="BI135" s="271"/>
      <c r="BJ135" s="271"/>
      <c r="BK135" s="271"/>
      <c r="BL135" s="271"/>
    </row>
    <row r="136" spans="18:64" ht="21" customHeight="1" x14ac:dyDescent="0.25">
      <c r="R136" s="34" t="s">
        <v>6124</v>
      </c>
      <c r="S136" s="451"/>
      <c r="T136" s="31" t="s">
        <v>19</v>
      </c>
      <c r="V136" s="475">
        <v>2</v>
      </c>
      <c r="W136" s="475" t="str">
        <f>IF($AC$136="","",$W$108)</f>
        <v/>
      </c>
      <c r="X136" s="476" t="str">
        <f>IF($AC$136="","",$X$108)</f>
        <v/>
      </c>
      <c r="Y136" s="477" t="str">
        <f>IF($X$136="","",$Y$108)</f>
        <v/>
      </c>
      <c r="Z136" s="477" t="str">
        <f>IF($X$136="","",$Z$108)</f>
        <v/>
      </c>
      <c r="AA136" s="477" t="str">
        <f>IF($AC$136="","",ROW($A$136)-ROW($A$108))</f>
        <v/>
      </c>
      <c r="AB136" s="478"/>
      <c r="AC136" s="34"/>
      <c r="AD136" s="356"/>
      <c r="AE136" s="18"/>
      <c r="AF136" s="19"/>
      <c r="AG136" s="480" t="str">
        <f t="shared" si="16"/>
        <v/>
      </c>
      <c r="AH136" s="481" t="str">
        <f t="shared" si="17"/>
        <v/>
      </c>
      <c r="AI136" s="477" t="str">
        <f>IF($AC$136="","",IFERROR(INDEX($AZ$74:$AZ$119,MATCH($AH$136,$AY$74:$AY$119,0)),"AUTRE"))</f>
        <v/>
      </c>
      <c r="AJ136" s="482" t="str">
        <f>IF($AC$136="","",IFERROR(INDEX($BA$74:$BA$119,MATCH($AH$136,$AY$74:$AY$119,0)),1))</f>
        <v/>
      </c>
      <c r="AK136" s="482" t="str">
        <f t="shared" si="18"/>
        <v/>
      </c>
      <c r="AL136" s="477" t="str">
        <f>IF($AC$136="","",IFERROR(INDEX($BB$74:$BB$119,MATCH($AH$136,$AY$74:$AY$119,0)),$AH$136))</f>
        <v/>
      </c>
      <c r="AM136" s="483" t="str">
        <f t="shared" si="19"/>
        <v/>
      </c>
      <c r="AN136" s="484" t="str">
        <f t="shared" si="20"/>
        <v/>
      </c>
      <c r="AO136" s="473" t="str">
        <f t="shared" si="21"/>
        <v/>
      </c>
      <c r="AP136" s="473" t="str">
        <f t="shared" si="22"/>
        <v/>
      </c>
      <c r="AQ136" s="473" t="str">
        <f t="shared" si="23"/>
        <v/>
      </c>
      <c r="AR136" s="473" t="str">
        <f t="shared" si="24"/>
        <v/>
      </c>
      <c r="AS136" s="473" t="str">
        <f t="shared" si="25"/>
        <v/>
      </c>
      <c r="AT136" s="473" t="str">
        <f t="shared" si="26"/>
        <v/>
      </c>
      <c r="AU136" s="473" t="str">
        <f t="shared" si="27"/>
        <v/>
      </c>
      <c r="AZ136" s="31" t="s">
        <v>304</v>
      </c>
      <c r="BA136" s="34" t="s">
        <v>6123</v>
      </c>
      <c r="BB136" s="500"/>
      <c r="BC136" s="271"/>
      <c r="BD136" s="279">
        <v>1</v>
      </c>
      <c r="BE136" s="271"/>
      <c r="BF136" s="271"/>
      <c r="BG136" s="271"/>
      <c r="BH136" s="271"/>
      <c r="BI136" s="271"/>
      <c r="BJ136" s="271"/>
      <c r="BK136" s="271"/>
      <c r="BL136" s="271"/>
    </row>
    <row r="137" spans="18:64" ht="21" customHeight="1" x14ac:dyDescent="0.25">
      <c r="R137" s="34" t="s">
        <v>6125</v>
      </c>
      <c r="S137" s="451"/>
      <c r="T137" s="31" t="s">
        <v>211</v>
      </c>
      <c r="V137" s="475">
        <v>2</v>
      </c>
      <c r="W137" s="475" t="str">
        <f>IF($AC$137="","",$W$108)</f>
        <v/>
      </c>
      <c r="X137" s="476" t="str">
        <f>IF($AC$137="","",$X$108)</f>
        <v/>
      </c>
      <c r="Y137" s="477" t="str">
        <f>IF($X$137="","",$Y$108)</f>
        <v/>
      </c>
      <c r="Z137" s="477" t="str">
        <f>IF($X$137="","",$Z$108)</f>
        <v/>
      </c>
      <c r="AA137" s="477" t="str">
        <f>IF($AC$137="","",ROW($A$137)-ROW($A$108))</f>
        <v/>
      </c>
      <c r="AB137" s="478"/>
      <c r="AC137" s="34"/>
      <c r="AD137" s="356"/>
      <c r="AE137" s="18"/>
      <c r="AF137" s="19"/>
      <c r="AG137" s="480" t="str">
        <f t="shared" si="16"/>
        <v/>
      </c>
      <c r="AH137" s="481" t="str">
        <f t="shared" si="17"/>
        <v/>
      </c>
      <c r="AI137" s="477" t="str">
        <f>IF($AC$137="","",IFERROR(INDEX($AZ$74:$AZ$119,MATCH($AH$137,$AY$74:$AY$119,0)),"AUTRE"))</f>
        <v/>
      </c>
      <c r="AJ137" s="482" t="str">
        <f>IF($AC$137="","",IFERROR(INDEX($BA$74:$BA$119,MATCH($AH$137,$AY$74:$AY$119,0)),1))</f>
        <v/>
      </c>
      <c r="AK137" s="482" t="str">
        <f t="shared" si="18"/>
        <v/>
      </c>
      <c r="AL137" s="477" t="str">
        <f>IF($AC$137="","",IFERROR(INDEX($BB$74:$BB$119,MATCH($AH$137,$AY$74:$AY$119,0)),$AH$137))</f>
        <v/>
      </c>
      <c r="AM137" s="483" t="str">
        <f t="shared" si="19"/>
        <v/>
      </c>
      <c r="AN137" s="484" t="str">
        <f t="shared" si="20"/>
        <v/>
      </c>
      <c r="AO137" s="473" t="str">
        <f t="shared" si="21"/>
        <v/>
      </c>
      <c r="AP137" s="473" t="str">
        <f t="shared" si="22"/>
        <v/>
      </c>
      <c r="AQ137" s="473" t="str">
        <f t="shared" si="23"/>
        <v/>
      </c>
      <c r="AR137" s="473" t="str">
        <f t="shared" si="24"/>
        <v/>
      </c>
      <c r="AS137" s="473" t="str">
        <f t="shared" si="25"/>
        <v/>
      </c>
      <c r="AT137" s="473" t="str">
        <f t="shared" si="26"/>
        <v/>
      </c>
      <c r="AU137" s="473" t="str">
        <f t="shared" si="27"/>
        <v/>
      </c>
      <c r="AY137" s="497" t="s">
        <v>8145</v>
      </c>
      <c r="AZ137" s="31" t="s">
        <v>352</v>
      </c>
      <c r="BA137" s="34" t="s">
        <v>6124</v>
      </c>
      <c r="BB137" s="500"/>
      <c r="BC137" s="271"/>
      <c r="BD137" s="279">
        <v>1</v>
      </c>
      <c r="BE137" s="271"/>
      <c r="BF137" s="271"/>
      <c r="BG137" s="271"/>
      <c r="BH137" s="271"/>
      <c r="BI137" s="271"/>
      <c r="BJ137" s="271"/>
      <c r="BK137" s="271"/>
      <c r="BL137" s="271"/>
    </row>
    <row r="138" spans="18:64" ht="21" customHeight="1" x14ac:dyDescent="0.25">
      <c r="R138" s="34" t="s">
        <v>6126</v>
      </c>
      <c r="S138" s="451"/>
      <c r="T138" s="31" t="s">
        <v>20</v>
      </c>
      <c r="V138" s="475">
        <v>2</v>
      </c>
      <c r="W138" s="475" t="str">
        <f>IF($AC$138="","",$W$108)</f>
        <v/>
      </c>
      <c r="X138" s="476" t="str">
        <f>IF($AC$138="","",$X$108)</f>
        <v/>
      </c>
      <c r="Y138" s="477" t="str">
        <f>IF($X$138="","",$Y$108)</f>
        <v/>
      </c>
      <c r="Z138" s="477" t="str">
        <f>IF($X$138="","",$Z$108)</f>
        <v/>
      </c>
      <c r="AA138" s="477" t="str">
        <f>IF($AC$138="","",ROW($A$138)-ROW($A$108))</f>
        <v/>
      </c>
      <c r="AB138" s="478"/>
      <c r="AC138" s="34"/>
      <c r="AD138" s="356"/>
      <c r="AE138" s="18"/>
      <c r="AF138" s="19"/>
      <c r="AG138" s="480" t="str">
        <f t="shared" si="16"/>
        <v/>
      </c>
      <c r="AH138" s="481" t="str">
        <f t="shared" si="17"/>
        <v/>
      </c>
      <c r="AI138" s="477" t="str">
        <f>IF($AC$138="","",IFERROR(INDEX($AZ$74:$AZ$119,MATCH($AH$138,$AY$74:$AY$119,0)),"AUTRE"))</f>
        <v/>
      </c>
      <c r="AJ138" s="482" t="str">
        <f>IF($AC$138="","",IFERROR(INDEX($BA$74:$BA$119,MATCH($AH$138,$AY$74:$AY$119,0)),1))</f>
        <v/>
      </c>
      <c r="AK138" s="482" t="str">
        <f t="shared" si="18"/>
        <v/>
      </c>
      <c r="AL138" s="477" t="str">
        <f>IF($AC$138="","",IFERROR(INDEX($BB$74:$BB$119,MATCH($AH$138,$AY$74:$AY$119,0)),$AH$138))</f>
        <v/>
      </c>
      <c r="AM138" s="483" t="str">
        <f t="shared" si="19"/>
        <v/>
      </c>
      <c r="AN138" s="484" t="str">
        <f t="shared" si="20"/>
        <v/>
      </c>
      <c r="AO138" s="473" t="str">
        <f t="shared" si="21"/>
        <v/>
      </c>
      <c r="AP138" s="473" t="str">
        <f t="shared" si="22"/>
        <v/>
      </c>
      <c r="AQ138" s="473" t="str">
        <f t="shared" si="23"/>
        <v/>
      </c>
      <c r="AR138" s="473" t="str">
        <f t="shared" si="24"/>
        <v/>
      </c>
      <c r="AS138" s="473" t="str">
        <f t="shared" si="25"/>
        <v/>
      </c>
      <c r="AT138" s="473" t="str">
        <f t="shared" si="26"/>
        <v/>
      </c>
      <c r="AU138" s="473" t="str">
        <f t="shared" si="27"/>
        <v/>
      </c>
      <c r="AY138" s="497" t="s">
        <v>462</v>
      </c>
      <c r="AZ138" s="31" t="s">
        <v>27</v>
      </c>
      <c r="BA138" s="34" t="s">
        <v>6125</v>
      </c>
      <c r="BB138" s="500"/>
      <c r="BC138" s="271"/>
      <c r="BD138" s="279">
        <v>1</v>
      </c>
      <c r="BE138" s="271"/>
      <c r="BF138" s="271"/>
      <c r="BG138" s="271"/>
      <c r="BH138" s="271"/>
      <c r="BI138" s="271"/>
      <c r="BJ138" s="271"/>
      <c r="BK138" s="271"/>
      <c r="BL138" s="271"/>
    </row>
    <row r="139" spans="18:64" ht="21" customHeight="1" x14ac:dyDescent="0.25">
      <c r="R139" s="34" t="s">
        <v>6127</v>
      </c>
      <c r="S139" s="451"/>
      <c r="T139" s="31" t="s">
        <v>304</v>
      </c>
      <c r="V139" s="475">
        <v>2</v>
      </c>
      <c r="W139" s="475" t="str">
        <f>IF($AC$139="","",$W$108)</f>
        <v/>
      </c>
      <c r="X139" s="476" t="str">
        <f>IF($AC$139="","",$X$108)</f>
        <v/>
      </c>
      <c r="Y139" s="477" t="str">
        <f>IF($X$139="","",$Y$108)</f>
        <v/>
      </c>
      <c r="Z139" s="477" t="str">
        <f>IF($X$139="","",$Z$108)</f>
        <v/>
      </c>
      <c r="AA139" s="477" t="str">
        <f>IF($AC$139="","",ROW($A$139)-ROW($A$108))</f>
        <v/>
      </c>
      <c r="AB139" s="478"/>
      <c r="AC139" s="34"/>
      <c r="AD139" s="356"/>
      <c r="AE139" s="18"/>
      <c r="AF139" s="19"/>
      <c r="AG139" s="480" t="str">
        <f t="shared" si="16"/>
        <v/>
      </c>
      <c r="AH139" s="481" t="str">
        <f t="shared" si="17"/>
        <v/>
      </c>
      <c r="AI139" s="477" t="str">
        <f>IF($AC$139="","",IFERROR(INDEX($AZ$74:$AZ$119,MATCH($AH$139,$AY$74:$AY$119,0)),"AUTRE"))</f>
        <v/>
      </c>
      <c r="AJ139" s="482" t="str">
        <f>IF($AC$139="","",IFERROR(INDEX($BA$74:$BA$119,MATCH($AH$139,$AY$74:$AY$119,0)),1))</f>
        <v/>
      </c>
      <c r="AK139" s="482" t="str">
        <f t="shared" si="18"/>
        <v/>
      </c>
      <c r="AL139" s="477" t="str">
        <f>IF($AC$139="","",IFERROR(INDEX($BB$74:$BB$119,MATCH($AH$139,$AY$74:$AY$119,0)),$AH$139))</f>
        <v/>
      </c>
      <c r="AM139" s="483" t="str">
        <f t="shared" si="19"/>
        <v/>
      </c>
      <c r="AN139" s="484" t="str">
        <f t="shared" si="20"/>
        <v/>
      </c>
      <c r="AO139" s="473" t="str">
        <f t="shared" si="21"/>
        <v/>
      </c>
      <c r="AP139" s="473" t="str">
        <f t="shared" si="22"/>
        <v/>
      </c>
      <c r="AQ139" s="473" t="str">
        <f t="shared" si="23"/>
        <v/>
      </c>
      <c r="AR139" s="473" t="str">
        <f t="shared" si="24"/>
        <v/>
      </c>
      <c r="AS139" s="473" t="str">
        <f t="shared" si="25"/>
        <v/>
      </c>
      <c r="AT139" s="473" t="str">
        <f t="shared" si="26"/>
        <v/>
      </c>
      <c r="AU139" s="473" t="str">
        <f t="shared" si="27"/>
        <v/>
      </c>
      <c r="AY139" s="497" t="s">
        <v>463</v>
      </c>
      <c r="AZ139" s="31" t="s">
        <v>28</v>
      </c>
      <c r="BA139" s="34" t="s">
        <v>6126</v>
      </c>
      <c r="BB139" s="500"/>
      <c r="BC139" s="271"/>
      <c r="BD139" s="279">
        <v>1</v>
      </c>
      <c r="BE139" s="271"/>
      <c r="BF139" s="271"/>
      <c r="BG139" s="271"/>
      <c r="BH139" s="271"/>
      <c r="BI139" s="271"/>
      <c r="BJ139" s="271"/>
      <c r="BK139" s="271"/>
      <c r="BL139" s="271"/>
    </row>
    <row r="140" spans="18:64" ht="21" customHeight="1" x14ac:dyDescent="0.25">
      <c r="R140" s="25" t="s">
        <v>6128</v>
      </c>
      <c r="S140" s="451"/>
      <c r="T140" s="31" t="s">
        <v>352</v>
      </c>
      <c r="V140" s="475">
        <v>2</v>
      </c>
      <c r="W140" s="475" t="str">
        <f>IF($AC$140="","",$W$108)</f>
        <v/>
      </c>
      <c r="X140" s="476" t="str">
        <f>IF($AC$140="","",$X$108)</f>
        <v/>
      </c>
      <c r="Y140" s="477" t="str">
        <f>IF($X$140="","",$Y$108)</f>
        <v/>
      </c>
      <c r="Z140" s="477" t="str">
        <f>IF($X$140="","",$Z$108)</f>
        <v/>
      </c>
      <c r="AA140" s="477" t="str">
        <f>IF($AC$140="","",ROW($A$140)-ROW($A$108))</f>
        <v/>
      </c>
      <c r="AB140" s="478"/>
      <c r="AC140" s="34"/>
      <c r="AD140" s="356"/>
      <c r="AE140" s="18"/>
      <c r="AF140" s="19"/>
      <c r="AG140" s="480" t="str">
        <f t="shared" si="16"/>
        <v/>
      </c>
      <c r="AH140" s="481" t="str">
        <f t="shared" si="17"/>
        <v/>
      </c>
      <c r="AI140" s="477" t="str">
        <f>IF($AC$140="","",IFERROR(INDEX($AZ$74:$AZ$119,MATCH($AH$140,$AY$74:$AY$119,0)),"AUTRE"))</f>
        <v/>
      </c>
      <c r="AJ140" s="482" t="str">
        <f>IF($AC$140="","",IFERROR(INDEX($BA$74:$BA$119,MATCH($AH$140,$AY$74:$AY$119,0)),1))</f>
        <v/>
      </c>
      <c r="AK140" s="482" t="str">
        <f t="shared" si="18"/>
        <v/>
      </c>
      <c r="AL140" s="477" t="str">
        <f>IF($AC$140="","",IFERROR(INDEX($BB$74:$BB$119,MATCH($AH$140,$AY$74:$AY$119,0)),$AH$140))</f>
        <v/>
      </c>
      <c r="AM140" s="483" t="str">
        <f t="shared" si="19"/>
        <v/>
      </c>
      <c r="AN140" s="484" t="str">
        <f t="shared" si="20"/>
        <v/>
      </c>
      <c r="AO140" s="473" t="str">
        <f t="shared" si="21"/>
        <v/>
      </c>
      <c r="AP140" s="473" t="str">
        <f t="shared" si="22"/>
        <v/>
      </c>
      <c r="AQ140" s="473" t="str">
        <f t="shared" si="23"/>
        <v/>
      </c>
      <c r="AR140" s="473" t="str">
        <f t="shared" si="24"/>
        <v/>
      </c>
      <c r="AS140" s="473" t="str">
        <f t="shared" si="25"/>
        <v/>
      </c>
      <c r="AT140" s="473" t="str">
        <f t="shared" si="26"/>
        <v/>
      </c>
      <c r="AU140" s="473" t="str">
        <f t="shared" si="27"/>
        <v/>
      </c>
      <c r="AY140" s="497" t="s">
        <v>8147</v>
      </c>
      <c r="AZ140" s="31" t="s">
        <v>29</v>
      </c>
      <c r="BA140" s="34" t="s">
        <v>6127</v>
      </c>
      <c r="BB140" s="500"/>
      <c r="BC140" s="271"/>
      <c r="BD140" s="279">
        <v>1</v>
      </c>
      <c r="BE140" s="271"/>
      <c r="BF140" s="271"/>
      <c r="BG140" s="271"/>
      <c r="BH140" s="271"/>
      <c r="BI140" s="271"/>
      <c r="BJ140" s="271"/>
      <c r="BK140" s="271"/>
      <c r="BL140" s="271"/>
    </row>
    <row r="141" spans="18:64" ht="21" customHeight="1" x14ac:dyDescent="0.25">
      <c r="R141" s="34" t="s">
        <v>474</v>
      </c>
      <c r="S141" s="451"/>
      <c r="T141" s="31" t="s">
        <v>25</v>
      </c>
      <c r="V141" s="475">
        <v>2</v>
      </c>
      <c r="W141" s="475" t="str">
        <f>IF($AC$141="","",$W$108)</f>
        <v/>
      </c>
      <c r="X141" s="476" t="str">
        <f>IF($AC$141="","",$X$108)</f>
        <v/>
      </c>
      <c r="Y141" s="477" t="str">
        <f>IF($X$141="","",$Y$108)</f>
        <v/>
      </c>
      <c r="Z141" s="477" t="str">
        <f>IF($X$141="","",$Z$108)</f>
        <v/>
      </c>
      <c r="AA141" s="477" t="str">
        <f>IF($AC$141="","",ROW($A$141)-ROW($A$108))</f>
        <v/>
      </c>
      <c r="AB141" s="478"/>
      <c r="AC141" s="34"/>
      <c r="AD141" s="356"/>
      <c r="AE141" s="18"/>
      <c r="AF141" s="19"/>
      <c r="AG141" s="480" t="str">
        <f t="shared" si="16"/>
        <v/>
      </c>
      <c r="AH141" s="481" t="str">
        <f t="shared" si="17"/>
        <v/>
      </c>
      <c r="AI141" s="477" t="str">
        <f>IF($AC$141="","",IFERROR(INDEX($AZ$74:$AZ$119,MATCH($AH$141,$AY$74:$AY$119,0)),"AUTRE"))</f>
        <v/>
      </c>
      <c r="AJ141" s="482" t="str">
        <f>IF($AC$141="","",IFERROR(INDEX($BA$74:$BA$119,MATCH($AH$141,$AY$74:$AY$119,0)),1))</f>
        <v/>
      </c>
      <c r="AK141" s="482" t="str">
        <f t="shared" si="18"/>
        <v/>
      </c>
      <c r="AL141" s="477" t="str">
        <f>IF($AC$141="","",IFERROR(INDEX($BB$74:$BB$119,MATCH($AH$141,$AY$74:$AY$119,0)),$AH$141))</f>
        <v/>
      </c>
      <c r="AM141" s="483" t="str">
        <f t="shared" si="19"/>
        <v/>
      </c>
      <c r="AN141" s="484" t="str">
        <f t="shared" si="20"/>
        <v/>
      </c>
      <c r="AO141" s="473" t="str">
        <f t="shared" si="21"/>
        <v/>
      </c>
      <c r="AP141" s="473" t="str">
        <f t="shared" si="22"/>
        <v/>
      </c>
      <c r="AQ141" s="473" t="str">
        <f t="shared" si="23"/>
        <v/>
      </c>
      <c r="AR141" s="473" t="str">
        <f t="shared" si="24"/>
        <v/>
      </c>
      <c r="AS141" s="473" t="str">
        <f t="shared" si="25"/>
        <v/>
      </c>
      <c r="AT141" s="473" t="str">
        <f t="shared" si="26"/>
        <v/>
      </c>
      <c r="AU141" s="473" t="str">
        <f t="shared" si="27"/>
        <v/>
      </c>
      <c r="AY141" s="497" t="s">
        <v>465</v>
      </c>
      <c r="AZ141" s="31" t="s">
        <v>30</v>
      </c>
      <c r="BA141" s="25" t="s">
        <v>6128</v>
      </c>
      <c r="BB141" s="500"/>
      <c r="BC141" s="271"/>
      <c r="BD141" s="279">
        <v>1</v>
      </c>
      <c r="BE141" s="271"/>
      <c r="BF141" s="271"/>
      <c r="BG141" s="271"/>
      <c r="BH141" s="271"/>
      <c r="BI141" s="271"/>
      <c r="BJ141" s="271"/>
      <c r="BK141" s="271"/>
      <c r="BL141" s="271"/>
    </row>
    <row r="142" spans="18:64" ht="21" customHeight="1" x14ac:dyDescent="0.25">
      <c r="R142" s="34" t="s">
        <v>490</v>
      </c>
      <c r="S142" s="451"/>
      <c r="T142" s="31" t="s">
        <v>26</v>
      </c>
      <c r="V142" s="475">
        <v>2</v>
      </c>
      <c r="W142" s="475" t="str">
        <f>IF($AC$142="","",$W$108)</f>
        <v>N° 26</v>
      </c>
      <c r="X142" s="476" t="str">
        <f>IF($AC$142="","",$X$108)</f>
        <v>CAKE OLIVES JAMBON</v>
      </c>
      <c r="Y142" s="477">
        <f>IF($X$142="","",$Y$108)</f>
        <v>43</v>
      </c>
      <c r="Z142" s="477">
        <f>IF($X$142="","",$Z$108)</f>
        <v>100</v>
      </c>
      <c r="AA142" s="477">
        <f>IF($AC$142="","",ROW($A$142)-ROW($A$108))</f>
        <v>34</v>
      </c>
      <c r="AB142" s="478"/>
      <c r="AC142" s="34" t="s">
        <v>486</v>
      </c>
      <c r="AD142" s="356"/>
      <c r="AE142" s="18">
        <v>2</v>
      </c>
      <c r="AF142" s="33" t="s">
        <v>462</v>
      </c>
      <c r="AG142" s="491">
        <f t="shared" si="16"/>
        <v>2</v>
      </c>
      <c r="AH142" s="481" t="str">
        <f t="shared" si="17"/>
        <v>BAC(S)</v>
      </c>
      <c r="AI142" s="477" t="str">
        <f>IF($AC$142="","",IFERROR(INDEX($AZ$74:$AZ$119,MATCH($AH$142,$AY$74:$AY$119,0)),"AUTRE"))</f>
        <v>AUTRE</v>
      </c>
      <c r="AJ142" s="482">
        <f>IF($AC$142="","",IFERROR(INDEX($BA$74:$BA$119,MATCH($AH$142,$AY$74:$AY$119,0)),1))</f>
        <v>1</v>
      </c>
      <c r="AK142" s="482">
        <f t="shared" si="18"/>
        <v>2</v>
      </c>
      <c r="AL142" s="477" t="str">
        <f>IF($AC$142="","",IFERROR(INDEX($BB$74:$BB$119,MATCH($AH$142,$AY$74:$AY$119,0)),$AH$142))</f>
        <v>bac(s)</v>
      </c>
      <c r="AM142" s="483" t="str">
        <f t="shared" si="19"/>
        <v>OK</v>
      </c>
      <c r="AN142" s="484">
        <f t="shared" si="20"/>
        <v>2</v>
      </c>
      <c r="AO142" s="473" t="str">
        <f t="shared" si="21"/>
        <v/>
      </c>
      <c r="AP142" s="473" t="str">
        <f t="shared" si="22"/>
        <v/>
      </c>
      <c r="AQ142" s="473" t="str">
        <f t="shared" si="23"/>
        <v/>
      </c>
      <c r="AR142" s="473" t="str">
        <f t="shared" si="24"/>
        <v/>
      </c>
      <c r="AS142" s="473" t="str">
        <f t="shared" si="25"/>
        <v/>
      </c>
      <c r="AT142" s="473" t="str">
        <f t="shared" si="26"/>
        <v/>
      </c>
      <c r="AU142" s="473" t="str">
        <f t="shared" si="27"/>
        <v/>
      </c>
      <c r="AY142" s="497" t="s">
        <v>466</v>
      </c>
      <c r="AZ142" s="32" t="s">
        <v>33</v>
      </c>
      <c r="BA142" s="34" t="s">
        <v>474</v>
      </c>
      <c r="BB142" s="500"/>
      <c r="BC142" s="271"/>
      <c r="BD142" s="279">
        <v>1</v>
      </c>
      <c r="BE142" s="271"/>
      <c r="BF142" s="271"/>
      <c r="BG142" s="271"/>
      <c r="BH142" s="271"/>
      <c r="BI142" s="271"/>
      <c r="BJ142" s="271"/>
      <c r="BK142" s="271"/>
      <c r="BL142" s="271"/>
    </row>
    <row r="143" spans="18:64" ht="30" customHeight="1" x14ac:dyDescent="0.25">
      <c r="R143" s="34" t="s">
        <v>6129</v>
      </c>
      <c r="S143" s="451"/>
      <c r="T143" s="31" t="s">
        <v>27</v>
      </c>
      <c r="V143" s="453" t="s">
        <v>324</v>
      </c>
      <c r="W143" s="453" t="s">
        <v>7912</v>
      </c>
      <c r="X143" s="453" t="s">
        <v>326</v>
      </c>
      <c r="Y143" s="453" t="s">
        <v>327</v>
      </c>
      <c r="Z143" s="453" t="s">
        <v>7930</v>
      </c>
      <c r="AA143" s="453" t="s">
        <v>7937</v>
      </c>
      <c r="AB143" s="455" t="s">
        <v>39</v>
      </c>
      <c r="AC143" s="455" t="s">
        <v>338</v>
      </c>
      <c r="AD143" s="455" t="s">
        <v>8114</v>
      </c>
      <c r="AE143" s="455" t="s">
        <v>339</v>
      </c>
      <c r="AF143" s="455" t="s">
        <v>7997</v>
      </c>
      <c r="AG143" s="453" t="s">
        <v>8018</v>
      </c>
      <c r="AH143" s="453" t="s">
        <v>8023</v>
      </c>
      <c r="AI143" s="453" t="s">
        <v>330</v>
      </c>
      <c r="AJ143" s="453" t="s">
        <v>8031</v>
      </c>
      <c r="AK143" s="453" t="s">
        <v>8037</v>
      </c>
      <c r="AL143" s="453" t="s">
        <v>8041</v>
      </c>
      <c r="AM143" s="453" t="s">
        <v>343</v>
      </c>
      <c r="AN143" s="457" t="s">
        <v>8115</v>
      </c>
      <c r="AO143" s="457" t="s">
        <v>8116</v>
      </c>
      <c r="AP143" s="656" t="s">
        <v>8117</v>
      </c>
      <c r="AQ143" s="656"/>
      <c r="AR143" s="656"/>
      <c r="AS143" s="656"/>
      <c r="AT143" s="656"/>
      <c r="AU143" s="657"/>
      <c r="AZ143" s="32" t="s">
        <v>8125</v>
      </c>
      <c r="BA143" s="34" t="s">
        <v>490</v>
      </c>
      <c r="BB143" s="500"/>
      <c r="BC143" s="271"/>
      <c r="BD143" s="279">
        <v>1</v>
      </c>
      <c r="BE143" s="271"/>
      <c r="BF143" s="271"/>
      <c r="BG143" s="271"/>
      <c r="BH143" s="271"/>
      <c r="BI143" s="271"/>
      <c r="BJ143" s="271"/>
      <c r="BK143" s="271"/>
      <c r="BL143" s="271"/>
    </row>
    <row r="144" spans="18:64" ht="30" customHeight="1" x14ac:dyDescent="0.25">
      <c r="R144" s="34" t="s">
        <v>478</v>
      </c>
      <c r="S144" s="451"/>
      <c r="T144" s="31" t="s">
        <v>28</v>
      </c>
      <c r="V144" s="459">
        <v>3</v>
      </c>
      <c r="W144" s="460" t="s">
        <v>198</v>
      </c>
      <c r="X144" s="461" t="s">
        <v>197</v>
      </c>
      <c r="Y144" s="462">
        <v>44</v>
      </c>
      <c r="Z144" s="463">
        <v>100</v>
      </c>
      <c r="AA144" s="464">
        <f>IF($AC$396="","",ROW($A$396)-ROW($A$396))</f>
        <v>0</v>
      </c>
      <c r="AB144" s="461"/>
      <c r="AC144" s="465" t="s">
        <v>432</v>
      </c>
      <c r="AD144" s="390"/>
      <c r="AE144" s="13">
        <v>10</v>
      </c>
      <c r="AF144" s="11" t="s">
        <v>7</v>
      </c>
      <c r="AG144" s="467">
        <f t="shared" ref="AG144:AG178" si="28">IF($AC144="","",IF(LEN($AN144&amp;"")=0,"",$AN144))</f>
        <v>10</v>
      </c>
      <c r="AH144" s="468" t="str">
        <f t="shared" ref="AH144:AH178" si="29">IF($AC144="","",IF($AF144&lt;&gt;"",UPPER(TRIM(SUBSTITUTE(SUBSTITUTE($AF144&amp;"",CHAR(160)," ")," "," "))),$AP144))</f>
        <v>KG</v>
      </c>
      <c r="AI144" s="469" t="str">
        <f>IF($AC$144="","",IFERROR(INDEX($AZ$74:$AZ$119,MATCH($AH$144,$AY$74:$AY$119,0)),"AUTRE"))</f>
        <v>MASSE</v>
      </c>
      <c r="AJ144" s="470">
        <f>IF($AC$144="","",IFERROR(INDEX($BA$74:$BA$119,MATCH($AH$144,$AY$74:$AY$119,0)),1))</f>
        <v>1</v>
      </c>
      <c r="AK144" s="470">
        <f t="shared" ref="AK144:AK178" si="30">IF(OR(AG144="",AJ144=""),"",AG144*AJ144)</f>
        <v>10</v>
      </c>
      <c r="AL144" s="469" t="str">
        <f>IF($AC$144="","",IFERROR(INDEX($BB$74:$BB$119,MATCH($AH$144,$AY$74:$AY$119,0)),$AH$144))</f>
        <v>kg</v>
      </c>
      <c r="AM144" s="471" t="str">
        <f t="shared" ref="AM144:AM178" si="31">IF($AC144="","",IF($AH144="QT. SUFFISANTE","OK",IF($AG144="","TEXTE",IF(NOT(ISNUMBER($AG144)),"QUANTITÉ À CONTRÔLER",IF(COUNTIF($AY$74:$AY$119,$AH144)=0,"UNITÉ À CONTRÔLER","OK")))))</f>
        <v>OK</v>
      </c>
      <c r="AN144" s="474">
        <f t="shared" ref="AN144:AN178" si="32">IF($AE144&lt;&gt;"",$AE144,IF($AD144="","",IF(ISNUMBER($AD144),$AD144,IF($AO144="QT",0,IF($AO144="","",IFERROR(IF(ISNUMBER(SEARCH("/",$AO144)),VALUE(TRIM(LEFT($AO144,SEARCH("/",$AO144)-1)))/VALUE(TRIM(MID($AO144,SEARCH("/",$AO144)+1,99))),VALUE(SUBSTITUTE($AO144,".",","))),""))))))</f>
        <v>10</v>
      </c>
      <c r="AO144" s="473" t="str">
        <f t="shared" ref="AO144:AO178" si="33">IF($AD144="","",IF(ISNUMBER($AD144),$AD144,IF(OR(LEFT($AQ144,3)="QT.",LEFT($AQ144,4)="QUAN"),"QT",IF($AR144=999,$AQ144,TRIM(LEFT($AQ144,$AR144-1))))))</f>
        <v/>
      </c>
      <c r="AP144" s="473" t="str">
        <f t="shared" ref="AP144:AP178" si="34">IF($AD144="","",IF(ISNUMBER($AD144),"",IF(OR(LEFT($AQ144,3)="QT.",LEFT($AQ144,4)="QUAN"),"QT. SUFFISANTE",IF($AO144="","",TRIM(MID($AQ144,LEN($AO144&amp;"")+1,999))))))</f>
        <v/>
      </c>
      <c r="AQ144" s="473" t="str">
        <f t="shared" ref="AQ144:AQ178" si="35">IF($AD144="","",UPPER(TRIM(SUBSTITUTE(SUBSTITUTE($AD144&amp;"",CHAR(160)," ")," "," "))))</f>
        <v/>
      </c>
      <c r="AR144" s="473" t="str">
        <f t="shared" ref="AR144:AR178" si="36">IF($AQ144="","",MIN($AS144,$AT144,$AU144))</f>
        <v/>
      </c>
      <c r="AS144" s="473" t="str">
        <f t="shared" ref="AS144:AS178" si="37">IF($AQ144="","",MIN(IFERROR(SEARCH("A",$AQ144),999),IFERROR(SEARCH("B",$AQ144),999),IFERROR(SEARCH("C",$AQ144),999),IFERROR(SEARCH("D",$AQ144),999),IFERROR(SEARCH("E",$AQ144),999),IFERROR(SEARCH("F",$AQ144),999),IFERROR(SEARCH("G",$AQ144),999),IFERROR(SEARCH("H",$AQ144),999),IFERROR(SEARCH("I",$AQ144),999)))</f>
        <v/>
      </c>
      <c r="AT144" s="473" t="str">
        <f t="shared" ref="AT144:AT178" si="38">IF($AQ144="","",MIN(IFERROR(SEARCH("J",$AQ144),999),IFERROR(SEARCH("K",$AQ144),999),IFERROR(SEARCH("L",$AQ144),999),IFERROR(SEARCH("M",$AQ144),999),IFERROR(SEARCH("N",$AQ144),999),IFERROR(SEARCH("O",$AQ144),999),IFERROR(SEARCH("P",$AQ144),999),IFERROR(SEARCH("Q",$AQ144),999),IFERROR(SEARCH("R",$AQ144),999)))</f>
        <v/>
      </c>
      <c r="AU144" s="473" t="str">
        <f t="shared" ref="AU144:AU178" si="39">IF($AQ144="","",MIN(IFERROR(SEARCH("S",$AQ144),999),IFERROR(SEARCH("T",$AQ144),999),IFERROR(SEARCH("U",$AQ144),999),IFERROR(SEARCH("V",$AQ144),999),IFERROR(SEARCH("W",$AQ144),999),IFERROR(SEARCH("X",$AQ144),999),IFERROR(SEARCH("Y",$AQ144),999),IFERROR(SEARCH("Z",$AQ144),999)))</f>
        <v/>
      </c>
      <c r="AZ144" s="32" t="s">
        <v>8127</v>
      </c>
      <c r="BA144" s="34" t="s">
        <v>6129</v>
      </c>
      <c r="BB144" s="500"/>
      <c r="BC144" s="271"/>
      <c r="BD144" s="279">
        <v>1</v>
      </c>
      <c r="BE144" s="271"/>
      <c r="BF144" s="271"/>
      <c r="BG144" s="271"/>
      <c r="BH144" s="271"/>
      <c r="BI144" s="271"/>
      <c r="BJ144" s="271"/>
      <c r="BK144" s="271"/>
      <c r="BL144" s="271"/>
    </row>
    <row r="145" spans="18:64" ht="21" customHeight="1" x14ac:dyDescent="0.25">
      <c r="R145" s="34" t="s">
        <v>6130</v>
      </c>
      <c r="S145" s="451"/>
      <c r="T145" s="31" t="s">
        <v>29</v>
      </c>
      <c r="V145" s="475">
        <f>$V$144</f>
        <v>3</v>
      </c>
      <c r="W145" s="475" t="str">
        <f>IF($AC$145="","",$W$144)</f>
        <v>N° 27</v>
      </c>
      <c r="X145" s="476" t="str">
        <f>IF($AC$145="","",$X$144)</f>
        <v>FOUACE OLIVES PETITS POIS LARDONS</v>
      </c>
      <c r="Y145" s="477">
        <f>IF($X$145="","",$Y$144)</f>
        <v>44</v>
      </c>
      <c r="Z145" s="477">
        <f>IF($X$145="","",$Z$144)</f>
        <v>100</v>
      </c>
      <c r="AA145" s="477">
        <f>IF($AC$145="","",ROW($A$145)-ROW($A$144))</f>
        <v>1</v>
      </c>
      <c r="AB145" s="478"/>
      <c r="AC145" s="34" t="s">
        <v>422</v>
      </c>
      <c r="AD145" s="356"/>
      <c r="AE145" s="18">
        <v>1.5</v>
      </c>
      <c r="AF145" s="11" t="s">
        <v>7</v>
      </c>
      <c r="AG145" s="480">
        <f t="shared" si="28"/>
        <v>1.5</v>
      </c>
      <c r="AH145" s="481" t="str">
        <f t="shared" si="29"/>
        <v>KG</v>
      </c>
      <c r="AI145" s="477" t="str">
        <f>IF($AC$145="","",IFERROR(INDEX($AZ$74:$AZ$119,MATCH($AH$145,$AY$74:$AY$119,0)),"AUTRE"))</f>
        <v>MASSE</v>
      </c>
      <c r="AJ145" s="482">
        <f>IF($AC$145="","",IFERROR(INDEX($BA$74:$BA$119,MATCH($AH$145,$AY$74:$AY$119,0)),1))</f>
        <v>1</v>
      </c>
      <c r="AK145" s="482">
        <f t="shared" si="30"/>
        <v>1.5</v>
      </c>
      <c r="AL145" s="477" t="str">
        <f>IF($AC$145="","",IFERROR(INDEX($BB$74:$BB$119,MATCH($AH$145,$AY$74:$AY$119,0)),$AH$145))</f>
        <v>kg</v>
      </c>
      <c r="AM145" s="483" t="str">
        <f t="shared" si="31"/>
        <v>OK</v>
      </c>
      <c r="AN145" s="484">
        <f t="shared" si="32"/>
        <v>1.5</v>
      </c>
      <c r="AO145" s="473" t="str">
        <f t="shared" si="33"/>
        <v/>
      </c>
      <c r="AP145" s="473" t="str">
        <f t="shared" si="34"/>
        <v/>
      </c>
      <c r="AQ145" s="473" t="str">
        <f t="shared" si="35"/>
        <v/>
      </c>
      <c r="AR145" s="473" t="str">
        <f t="shared" si="36"/>
        <v/>
      </c>
      <c r="AS145" s="473" t="str">
        <f t="shared" si="37"/>
        <v/>
      </c>
      <c r="AT145" s="473" t="str">
        <f t="shared" si="38"/>
        <v/>
      </c>
      <c r="AU145" s="473" t="str">
        <f t="shared" si="39"/>
        <v/>
      </c>
      <c r="AZ145" s="32" t="s">
        <v>320</v>
      </c>
      <c r="BA145" s="34" t="s">
        <v>478</v>
      </c>
      <c r="BB145" s="500"/>
      <c r="BC145" s="271"/>
      <c r="BD145" s="279">
        <v>1</v>
      </c>
      <c r="BE145" s="271"/>
      <c r="BF145" s="271"/>
      <c r="BG145" s="271"/>
      <c r="BH145" s="271"/>
      <c r="BI145" s="271"/>
      <c r="BJ145" s="271"/>
      <c r="BK145" s="271"/>
      <c r="BL145" s="271"/>
    </row>
    <row r="146" spans="18:64" ht="21" customHeight="1" x14ac:dyDescent="0.25">
      <c r="R146" s="34" t="s">
        <v>486</v>
      </c>
      <c r="S146" s="451"/>
      <c r="T146" s="31" t="s">
        <v>30</v>
      </c>
      <c r="V146" s="475">
        <v>3</v>
      </c>
      <c r="W146" s="475" t="str">
        <f>IF($AC$146="","",$W$144)</f>
        <v>N° 27</v>
      </c>
      <c r="X146" s="476" t="str">
        <f>IF($AC$146="","",$X$144)</f>
        <v>FOUACE OLIVES PETITS POIS LARDONS</v>
      </c>
      <c r="Y146" s="477">
        <f>IF($X$146="","",$Y$144)</f>
        <v>44</v>
      </c>
      <c r="Z146" s="477">
        <f>IF($X$146="","",$Z$144)</f>
        <v>100</v>
      </c>
      <c r="AA146" s="477">
        <f>IF($AC$146="","",ROW($A$146)-ROW($A$144))</f>
        <v>2</v>
      </c>
      <c r="AB146" s="478"/>
      <c r="AC146" s="34" t="s">
        <v>199</v>
      </c>
      <c r="AD146" s="356"/>
      <c r="AE146" s="18">
        <v>1</v>
      </c>
      <c r="AF146" s="11" t="s">
        <v>7</v>
      </c>
      <c r="AG146" s="480">
        <f t="shared" si="28"/>
        <v>1</v>
      </c>
      <c r="AH146" s="481" t="str">
        <f t="shared" si="29"/>
        <v>KG</v>
      </c>
      <c r="AI146" s="477" t="str">
        <f>IF($AC$146="","",IFERROR(INDEX($AZ$74:$AZ$119,MATCH($AH$146,$AY$74:$AY$119,0)),"AUTRE"))</f>
        <v>MASSE</v>
      </c>
      <c r="AJ146" s="482">
        <f>IF($AC$146="","",IFERROR(INDEX($BA$74:$BA$119,MATCH($AH$146,$AY$74:$AY$119,0)),1))</f>
        <v>1</v>
      </c>
      <c r="AK146" s="482">
        <f t="shared" si="30"/>
        <v>1</v>
      </c>
      <c r="AL146" s="477" t="str">
        <f>IF($AC$146="","",IFERROR(INDEX($BB$74:$BB$119,MATCH($AH$146,$AY$74:$AY$119,0)),$AH$146))</f>
        <v>kg</v>
      </c>
      <c r="AM146" s="483" t="str">
        <f t="shared" si="31"/>
        <v>OK</v>
      </c>
      <c r="AN146" s="484">
        <f t="shared" si="32"/>
        <v>1</v>
      </c>
      <c r="AO146" s="473" t="str">
        <f t="shared" si="33"/>
        <v/>
      </c>
      <c r="AP146" s="473" t="str">
        <f t="shared" si="34"/>
        <v/>
      </c>
      <c r="AQ146" s="473" t="str">
        <f t="shared" si="35"/>
        <v/>
      </c>
      <c r="AR146" s="473" t="str">
        <f t="shared" si="36"/>
        <v/>
      </c>
      <c r="AS146" s="473" t="str">
        <f t="shared" si="37"/>
        <v/>
      </c>
      <c r="AT146" s="473" t="str">
        <f t="shared" si="38"/>
        <v/>
      </c>
      <c r="AU146" s="473" t="str">
        <f t="shared" si="39"/>
        <v/>
      </c>
      <c r="AZ146" s="32" t="s">
        <v>318</v>
      </c>
      <c r="BA146" s="34" t="s">
        <v>6130</v>
      </c>
      <c r="BB146" s="500"/>
      <c r="BC146" s="271"/>
      <c r="BD146" s="279">
        <v>1</v>
      </c>
      <c r="BE146" s="271"/>
      <c r="BF146" s="271"/>
      <c r="BG146" s="271"/>
      <c r="BH146" s="271"/>
      <c r="BI146" s="271"/>
      <c r="BJ146" s="271"/>
      <c r="BK146" s="271"/>
      <c r="BL146" s="271"/>
    </row>
    <row r="147" spans="18:64" ht="21" customHeight="1" x14ac:dyDescent="0.25">
      <c r="R147" s="34" t="s">
        <v>479</v>
      </c>
      <c r="S147" s="451"/>
      <c r="T147" s="31" t="s">
        <v>31</v>
      </c>
      <c r="V147" s="475">
        <v>3</v>
      </c>
      <c r="W147" s="475" t="str">
        <f>IF($AC$147="","",$W$144)</f>
        <v>N° 27</v>
      </c>
      <c r="X147" s="476" t="str">
        <f>IF($AC$147="","",$X$144)</f>
        <v>FOUACE OLIVES PETITS POIS LARDONS</v>
      </c>
      <c r="Y147" s="477">
        <f>IF($X$147="","",$Y$144)</f>
        <v>44</v>
      </c>
      <c r="Z147" s="477">
        <f>IF($X$147="","",$Z$144)</f>
        <v>100</v>
      </c>
      <c r="AA147" s="477">
        <f>IF($AC$147="","",ROW($A$147)-ROW($A$144))</f>
        <v>3</v>
      </c>
      <c r="AB147" s="478"/>
      <c r="AC147" s="34" t="s">
        <v>200</v>
      </c>
      <c r="AD147" s="356"/>
      <c r="AE147" s="18">
        <v>800</v>
      </c>
      <c r="AF147" s="16" t="s">
        <v>8</v>
      </c>
      <c r="AG147" s="480">
        <f t="shared" si="28"/>
        <v>800</v>
      </c>
      <c r="AH147" s="481" t="str">
        <f t="shared" si="29"/>
        <v>G</v>
      </c>
      <c r="AI147" s="477" t="str">
        <f>IF($AC$147="","",IFERROR(INDEX($AZ$74:$AZ$119,MATCH($AH$147,$AY$74:$AY$119,0)),"AUTRE"))</f>
        <v>MASSE</v>
      </c>
      <c r="AJ147" s="482">
        <f>IF($AC$147="","",IFERROR(INDEX($BA$74:$BA$119,MATCH($AH$147,$AY$74:$AY$119,0)),1))</f>
        <v>1E-3</v>
      </c>
      <c r="AK147" s="482">
        <f t="shared" si="30"/>
        <v>0.8</v>
      </c>
      <c r="AL147" s="477" t="str">
        <f>IF($AC$147="","",IFERROR(INDEX($BB$74:$BB$119,MATCH($AH$147,$AY$74:$AY$119,0)),$AH$147))</f>
        <v>kg</v>
      </c>
      <c r="AM147" s="483" t="str">
        <f t="shared" si="31"/>
        <v>OK</v>
      </c>
      <c r="AN147" s="484">
        <f t="shared" si="32"/>
        <v>800</v>
      </c>
      <c r="AO147" s="473" t="str">
        <f t="shared" si="33"/>
        <v/>
      </c>
      <c r="AP147" s="473" t="str">
        <f t="shared" si="34"/>
        <v/>
      </c>
      <c r="AQ147" s="473" t="str">
        <f t="shared" si="35"/>
        <v/>
      </c>
      <c r="AR147" s="473" t="str">
        <f t="shared" si="36"/>
        <v/>
      </c>
      <c r="AS147" s="473" t="str">
        <f t="shared" si="37"/>
        <v/>
      </c>
      <c r="AT147" s="473" t="str">
        <f t="shared" si="38"/>
        <v/>
      </c>
      <c r="AU147" s="473" t="str">
        <f t="shared" si="39"/>
        <v/>
      </c>
      <c r="AZ147" s="32" t="s">
        <v>316</v>
      </c>
      <c r="BA147" s="34" t="s">
        <v>486</v>
      </c>
      <c r="BB147" s="500"/>
      <c r="BC147" s="271"/>
      <c r="BD147" s="279">
        <v>1</v>
      </c>
      <c r="BE147" s="271"/>
      <c r="BF147" s="271"/>
      <c r="BG147" s="271"/>
      <c r="BH147" s="271"/>
      <c r="BI147" s="271"/>
      <c r="BJ147" s="271"/>
      <c r="BK147" s="271"/>
      <c r="BL147" s="271"/>
    </row>
    <row r="148" spans="18:64" ht="21" customHeight="1" x14ac:dyDescent="0.25">
      <c r="R148" s="34" t="s">
        <v>6131</v>
      </c>
      <c r="S148" s="451"/>
      <c r="T148" s="32" t="s">
        <v>33</v>
      </c>
      <c r="V148" s="475">
        <v>3</v>
      </c>
      <c r="W148" s="475" t="str">
        <f>IF($AC$148="","",$W$144)</f>
        <v>N° 27</v>
      </c>
      <c r="X148" s="476" t="str">
        <f>IF($AC$148="","",$X$144)</f>
        <v>FOUACE OLIVES PETITS POIS LARDONS</v>
      </c>
      <c r="Y148" s="477">
        <f>IF($X$148="","",$Y$144)</f>
        <v>44</v>
      </c>
      <c r="Z148" s="477">
        <f>IF($X$148="","",$Z$144)</f>
        <v>100</v>
      </c>
      <c r="AA148" s="477">
        <f>IF($AC$148="","",ROW($A$148)-ROW($A$144))</f>
        <v>4</v>
      </c>
      <c r="AB148" s="478"/>
      <c r="AC148" s="34" t="s">
        <v>453</v>
      </c>
      <c r="AD148" s="356"/>
      <c r="AE148" s="18">
        <v>50</v>
      </c>
      <c r="AF148" s="16" t="s">
        <v>8</v>
      </c>
      <c r="AG148" s="480">
        <f t="shared" si="28"/>
        <v>50</v>
      </c>
      <c r="AH148" s="481" t="str">
        <f t="shared" si="29"/>
        <v>G</v>
      </c>
      <c r="AI148" s="477" t="str">
        <f>IF($AC$148="","",IFERROR(INDEX($AZ$74:$AZ$119,MATCH($AH$148,$AY$74:$AY$119,0)),"AUTRE"))</f>
        <v>MASSE</v>
      </c>
      <c r="AJ148" s="482">
        <f>IF($AC$148="","",IFERROR(INDEX($BA$74:$BA$119,MATCH($AH$148,$AY$74:$AY$119,0)),1))</f>
        <v>1E-3</v>
      </c>
      <c r="AK148" s="482">
        <f t="shared" si="30"/>
        <v>0.05</v>
      </c>
      <c r="AL148" s="477" t="str">
        <f>IF($AC$148="","",IFERROR(INDEX($BB$74:$BB$119,MATCH($AH$148,$AY$74:$AY$119,0)),$AH$148))</f>
        <v>kg</v>
      </c>
      <c r="AM148" s="483" t="str">
        <f t="shared" si="31"/>
        <v>OK</v>
      </c>
      <c r="AN148" s="484">
        <f t="shared" si="32"/>
        <v>50</v>
      </c>
      <c r="AO148" s="473" t="str">
        <f t="shared" si="33"/>
        <v/>
      </c>
      <c r="AP148" s="473" t="str">
        <f t="shared" si="34"/>
        <v/>
      </c>
      <c r="AQ148" s="473" t="str">
        <f t="shared" si="35"/>
        <v/>
      </c>
      <c r="AR148" s="473" t="str">
        <f t="shared" si="36"/>
        <v/>
      </c>
      <c r="AS148" s="473" t="str">
        <f t="shared" si="37"/>
        <v/>
      </c>
      <c r="AT148" s="473" t="str">
        <f t="shared" si="38"/>
        <v/>
      </c>
      <c r="AU148" s="473" t="str">
        <f t="shared" si="39"/>
        <v/>
      </c>
      <c r="AZ148" s="32" t="s">
        <v>313</v>
      </c>
      <c r="BA148" s="34" t="s">
        <v>479</v>
      </c>
      <c r="BB148" s="500"/>
      <c r="BC148" s="271"/>
      <c r="BD148" s="279">
        <v>1</v>
      </c>
      <c r="BE148" s="271"/>
      <c r="BF148" s="271"/>
      <c r="BG148" s="271"/>
      <c r="BH148" s="271"/>
      <c r="BI148" s="271"/>
      <c r="BJ148" s="271"/>
      <c r="BK148" s="271"/>
      <c r="BL148" s="271"/>
    </row>
    <row r="149" spans="18:64" ht="21" customHeight="1" x14ac:dyDescent="0.25">
      <c r="R149" s="34" t="s">
        <v>485</v>
      </c>
      <c r="S149" s="451"/>
      <c r="T149" s="32" t="s">
        <v>8125</v>
      </c>
      <c r="V149" s="475">
        <v>3</v>
      </c>
      <c r="W149" s="475" t="str">
        <f>IF($AC$149="","",$W$144)</f>
        <v>N° 27</v>
      </c>
      <c r="X149" s="476" t="str">
        <f>IF($AC$149="","",$X$144)</f>
        <v>FOUACE OLIVES PETITS POIS LARDONS</v>
      </c>
      <c r="Y149" s="477">
        <f>IF($X$149="","",$Y$144)</f>
        <v>44</v>
      </c>
      <c r="Z149" s="477">
        <f>IF($X$149="","",$Z$144)</f>
        <v>100</v>
      </c>
      <c r="AA149" s="477">
        <f>IF($AC$149="","",ROW($A$149)-ROW($A$144))</f>
        <v>5</v>
      </c>
      <c r="AB149" s="478"/>
      <c r="AC149" s="34" t="s">
        <v>202</v>
      </c>
      <c r="AD149" s="356"/>
      <c r="AE149" s="18">
        <v>50</v>
      </c>
      <c r="AF149" s="16" t="s">
        <v>8</v>
      </c>
      <c r="AG149" s="480">
        <f t="shared" si="28"/>
        <v>50</v>
      </c>
      <c r="AH149" s="481" t="str">
        <f t="shared" si="29"/>
        <v>G</v>
      </c>
      <c r="AI149" s="477" t="str">
        <f>IF($AC$149="","",IFERROR(INDEX($AZ$74:$AZ$119,MATCH($AH$149,$AY$74:$AY$119,0)),"AUTRE"))</f>
        <v>MASSE</v>
      </c>
      <c r="AJ149" s="482">
        <f>IF($AC$149="","",IFERROR(INDEX($BA$74:$BA$119,MATCH($AH$149,$AY$74:$AY$119,0)),1))</f>
        <v>1E-3</v>
      </c>
      <c r="AK149" s="482">
        <f t="shared" si="30"/>
        <v>0.05</v>
      </c>
      <c r="AL149" s="477" t="str">
        <f>IF($AC$149="","",IFERROR(INDEX($BB$74:$BB$119,MATCH($AH$149,$AY$74:$AY$119,0)),$AH$149))</f>
        <v>kg</v>
      </c>
      <c r="AM149" s="483" t="str">
        <f t="shared" si="31"/>
        <v>OK</v>
      </c>
      <c r="AN149" s="484">
        <f t="shared" si="32"/>
        <v>50</v>
      </c>
      <c r="AO149" s="473" t="str">
        <f t="shared" si="33"/>
        <v/>
      </c>
      <c r="AP149" s="473" t="str">
        <f t="shared" si="34"/>
        <v/>
      </c>
      <c r="AQ149" s="473" t="str">
        <f t="shared" si="35"/>
        <v/>
      </c>
      <c r="AR149" s="473" t="str">
        <f t="shared" si="36"/>
        <v/>
      </c>
      <c r="AS149" s="473" t="str">
        <f t="shared" si="37"/>
        <v/>
      </c>
      <c r="AT149" s="473" t="str">
        <f t="shared" si="38"/>
        <v/>
      </c>
      <c r="AU149" s="473" t="str">
        <f t="shared" si="39"/>
        <v/>
      </c>
      <c r="AZ149" s="32" t="s">
        <v>307</v>
      </c>
      <c r="BA149" s="34" t="s">
        <v>6131</v>
      </c>
      <c r="BB149" s="500"/>
      <c r="BC149" s="271"/>
      <c r="BD149" s="279">
        <v>1</v>
      </c>
      <c r="BE149" s="271"/>
      <c r="BF149" s="271"/>
      <c r="BG149" s="271"/>
      <c r="BH149" s="271"/>
      <c r="BI149" s="271"/>
      <c r="BJ149" s="271"/>
      <c r="BK149" s="271"/>
      <c r="BL149" s="271"/>
    </row>
    <row r="150" spans="18:64" ht="21" customHeight="1" x14ac:dyDescent="0.25">
      <c r="R150" s="34" t="s">
        <v>6132</v>
      </c>
      <c r="S150" s="451"/>
      <c r="T150" s="32" t="s">
        <v>8127</v>
      </c>
      <c r="V150" s="475">
        <v>3</v>
      </c>
      <c r="W150" s="475" t="str">
        <f>IF($AC$150="","",$W$144)</f>
        <v>N° 27</v>
      </c>
      <c r="X150" s="476" t="str">
        <f>IF($AC$150="","",$X$144)</f>
        <v>FOUACE OLIVES PETITS POIS LARDONS</v>
      </c>
      <c r="Y150" s="477">
        <f>IF($X$150="","",$Y$144)</f>
        <v>44</v>
      </c>
      <c r="Z150" s="477">
        <f>IF($X$150="","",$Z$144)</f>
        <v>100</v>
      </c>
      <c r="AA150" s="477">
        <f>IF($AC$150="","",ROW($A$150)-ROW($A$144))</f>
        <v>6</v>
      </c>
      <c r="AB150" s="478"/>
      <c r="AC150" s="34" t="s">
        <v>454</v>
      </c>
      <c r="AD150" s="356"/>
      <c r="AE150" s="18">
        <v>100</v>
      </c>
      <c r="AF150" s="16" t="s">
        <v>8</v>
      </c>
      <c r="AG150" s="480">
        <f t="shared" si="28"/>
        <v>100</v>
      </c>
      <c r="AH150" s="481" t="str">
        <f t="shared" si="29"/>
        <v>G</v>
      </c>
      <c r="AI150" s="477" t="str">
        <f>IF($AC$150="","",IFERROR(INDEX($AZ$74:$AZ$119,MATCH($AH$150,$AY$74:$AY$119,0)),"AUTRE"))</f>
        <v>MASSE</v>
      </c>
      <c r="AJ150" s="482">
        <f>IF($AC$150="","",IFERROR(INDEX($BA$74:$BA$119,MATCH($AH$150,$AY$74:$AY$119,0)),1))</f>
        <v>1E-3</v>
      </c>
      <c r="AK150" s="482">
        <f t="shared" si="30"/>
        <v>0.1</v>
      </c>
      <c r="AL150" s="477" t="str">
        <f>IF($AC$150="","",IFERROR(INDEX($BB$74:$BB$119,MATCH($AH$150,$AY$74:$AY$119,0)),$AH$150))</f>
        <v>kg</v>
      </c>
      <c r="AM150" s="483" t="str">
        <f t="shared" si="31"/>
        <v>OK</v>
      </c>
      <c r="AN150" s="484">
        <f t="shared" si="32"/>
        <v>100</v>
      </c>
      <c r="AO150" s="473" t="str">
        <f t="shared" si="33"/>
        <v/>
      </c>
      <c r="AP150" s="473" t="str">
        <f t="shared" si="34"/>
        <v/>
      </c>
      <c r="AQ150" s="473" t="str">
        <f t="shared" si="35"/>
        <v/>
      </c>
      <c r="AR150" s="473" t="str">
        <f t="shared" si="36"/>
        <v/>
      </c>
      <c r="AS150" s="473" t="str">
        <f t="shared" si="37"/>
        <v/>
      </c>
      <c r="AT150" s="473" t="str">
        <f t="shared" si="38"/>
        <v/>
      </c>
      <c r="AU150" s="473" t="str">
        <f t="shared" si="39"/>
        <v/>
      </c>
      <c r="AZ150" s="32" t="s">
        <v>322</v>
      </c>
      <c r="BA150" s="34" t="s">
        <v>485</v>
      </c>
      <c r="BB150" s="500"/>
      <c r="BC150" s="271"/>
      <c r="BD150" s="279">
        <v>1</v>
      </c>
      <c r="BE150" s="271"/>
      <c r="BF150" s="271"/>
      <c r="BG150" s="271"/>
      <c r="BH150" s="271"/>
      <c r="BI150" s="271"/>
      <c r="BJ150" s="271"/>
      <c r="BK150" s="271"/>
      <c r="BL150" s="271"/>
    </row>
    <row r="151" spans="18:64" ht="21" customHeight="1" x14ac:dyDescent="0.25">
      <c r="R151" s="25" t="s">
        <v>6133</v>
      </c>
      <c r="S151" s="451"/>
      <c r="T151" s="32" t="s">
        <v>320</v>
      </c>
      <c r="V151" s="475">
        <v>3</v>
      </c>
      <c r="W151" s="475" t="str">
        <f>IF($AC$151="","",$W$144)</f>
        <v>N° 27</v>
      </c>
      <c r="X151" s="476" t="str">
        <f>IF($AC$151="","",$X$144)</f>
        <v>FOUACE OLIVES PETITS POIS LARDONS</v>
      </c>
      <c r="Y151" s="477">
        <f>IF($X$151="","",$Y$144)</f>
        <v>44</v>
      </c>
      <c r="Z151" s="477">
        <f>IF($X$151="","",$Z$144)</f>
        <v>100</v>
      </c>
      <c r="AA151" s="477">
        <f>IF($AC$151="","",ROW($A$151)-ROW($A$144))</f>
        <v>7</v>
      </c>
      <c r="AB151" s="478"/>
      <c r="AC151" s="34" t="s">
        <v>42</v>
      </c>
      <c r="AD151" s="356"/>
      <c r="AE151" s="18">
        <v>1</v>
      </c>
      <c r="AF151" s="22" t="s">
        <v>17</v>
      </c>
      <c r="AG151" s="480">
        <f t="shared" si="28"/>
        <v>1</v>
      </c>
      <c r="AH151" s="481" t="str">
        <f t="shared" si="29"/>
        <v>QUART/L</v>
      </c>
      <c r="AI151" s="477" t="str">
        <f>IF($AC$151="","",IFERROR(INDEX($AZ$74:$AZ$119,MATCH($AH$151,$AY$74:$AY$119,0)),"AUTRE"))</f>
        <v>VOLUME</v>
      </c>
      <c r="AJ151" s="482">
        <f>IF($AC$151="","",IFERROR(INDEX($BA$74:$BA$119,MATCH($AH$151,$AY$74:$AY$119,0)),1))</f>
        <v>0.25</v>
      </c>
      <c r="AK151" s="482">
        <f t="shared" si="30"/>
        <v>0.25</v>
      </c>
      <c r="AL151" s="477" t="str">
        <f>IF($AC$151="","",IFERROR(INDEX($BB$74:$BB$119,MATCH($AH$151,$AY$74:$AY$119,0)),$AH$151))</f>
        <v>L</v>
      </c>
      <c r="AM151" s="483" t="str">
        <f t="shared" si="31"/>
        <v>OK</v>
      </c>
      <c r="AN151" s="484">
        <f t="shared" si="32"/>
        <v>1</v>
      </c>
      <c r="AO151" s="473" t="str">
        <f t="shared" si="33"/>
        <v/>
      </c>
      <c r="AP151" s="473" t="str">
        <f t="shared" si="34"/>
        <v/>
      </c>
      <c r="AQ151" s="473" t="str">
        <f t="shared" si="35"/>
        <v/>
      </c>
      <c r="AR151" s="473" t="str">
        <f t="shared" si="36"/>
        <v/>
      </c>
      <c r="AS151" s="473" t="str">
        <f t="shared" si="37"/>
        <v/>
      </c>
      <c r="AT151" s="473" t="str">
        <f t="shared" si="38"/>
        <v/>
      </c>
      <c r="AU151" s="473" t="str">
        <f t="shared" si="39"/>
        <v/>
      </c>
      <c r="AZ151" s="32" t="s">
        <v>305</v>
      </c>
      <c r="BA151" s="34" t="s">
        <v>6132</v>
      </c>
      <c r="BB151" s="500"/>
      <c r="BC151" s="271"/>
      <c r="BD151" s="279">
        <v>1</v>
      </c>
      <c r="BE151" s="271"/>
      <c r="BF151" s="271"/>
      <c r="BG151" s="271"/>
      <c r="BH151" s="271"/>
      <c r="BI151" s="271"/>
      <c r="BJ151" s="271"/>
      <c r="BK151" s="271"/>
      <c r="BL151" s="271"/>
    </row>
    <row r="152" spans="18:64" ht="21" customHeight="1" x14ac:dyDescent="0.25">
      <c r="R152" s="34" t="s">
        <v>476</v>
      </c>
      <c r="S152" s="451"/>
      <c r="T152" s="32" t="s">
        <v>318</v>
      </c>
      <c r="V152" s="475">
        <v>3</v>
      </c>
      <c r="W152" s="475" t="str">
        <f>IF($AC$152="","",$W$144)</f>
        <v/>
      </c>
      <c r="X152" s="476" t="str">
        <f>IF($AC$152="","",$X$144)</f>
        <v/>
      </c>
      <c r="Y152" s="477" t="str">
        <f>IF($X$152="","",$Y$144)</f>
        <v/>
      </c>
      <c r="Z152" s="477" t="str">
        <f>IF($X$152="","",$Z$144)</f>
        <v/>
      </c>
      <c r="AA152" s="477" t="str">
        <f>IF($AC$152="","",ROW($A$152)-ROW($A$144))</f>
        <v/>
      </c>
      <c r="AB152" s="478"/>
      <c r="AC152" s="34"/>
      <c r="AD152" s="356"/>
      <c r="AE152" s="18"/>
      <c r="AF152" s="19"/>
      <c r="AG152" s="480" t="str">
        <f t="shared" si="28"/>
        <v/>
      </c>
      <c r="AH152" s="481" t="str">
        <f t="shared" si="29"/>
        <v/>
      </c>
      <c r="AI152" s="477" t="str">
        <f>IF($AC$152="","",IFERROR(INDEX($AZ$74:$AZ$119,MATCH($AH$152,$AY$74:$AY$119,0)),"AUTRE"))</f>
        <v/>
      </c>
      <c r="AJ152" s="482" t="str">
        <f>IF($AC$152="","",IFERROR(INDEX($BA$74:$BA$119,MATCH($AH$152,$AY$74:$AY$119,0)),1))</f>
        <v/>
      </c>
      <c r="AK152" s="482" t="str">
        <f t="shared" si="30"/>
        <v/>
      </c>
      <c r="AL152" s="477" t="str">
        <f>IF($AC$152="","",IFERROR(INDEX($BB$74:$BB$119,MATCH($AH$152,$AY$74:$AY$119,0)),$AH$152))</f>
        <v/>
      </c>
      <c r="AM152" s="483" t="str">
        <f t="shared" si="31"/>
        <v/>
      </c>
      <c r="AN152" s="484" t="str">
        <f t="shared" si="32"/>
        <v/>
      </c>
      <c r="AO152" s="473" t="str">
        <f t="shared" si="33"/>
        <v/>
      </c>
      <c r="AP152" s="473" t="str">
        <f t="shared" si="34"/>
        <v/>
      </c>
      <c r="AQ152" s="473" t="str">
        <f t="shared" si="35"/>
        <v/>
      </c>
      <c r="AR152" s="473" t="str">
        <f t="shared" si="36"/>
        <v/>
      </c>
      <c r="AS152" s="473" t="str">
        <f t="shared" si="37"/>
        <v/>
      </c>
      <c r="AT152" s="473" t="str">
        <f t="shared" si="38"/>
        <v/>
      </c>
      <c r="AU152" s="473" t="str">
        <f t="shared" si="39"/>
        <v/>
      </c>
      <c r="AZ152" s="32" t="s">
        <v>8129</v>
      </c>
      <c r="BA152" s="25" t="s">
        <v>6133</v>
      </c>
      <c r="BB152" s="500"/>
      <c r="BC152" s="271"/>
      <c r="BD152" s="279">
        <v>1</v>
      </c>
      <c r="BE152" s="271"/>
      <c r="BF152" s="271"/>
      <c r="BG152" s="271"/>
      <c r="BH152" s="271"/>
      <c r="BI152" s="271"/>
      <c r="BJ152" s="271"/>
      <c r="BK152" s="271"/>
      <c r="BL152" s="271"/>
    </row>
    <row r="153" spans="18:64" ht="21" customHeight="1" x14ac:dyDescent="0.25">
      <c r="R153" s="34" t="s">
        <v>468</v>
      </c>
      <c r="S153" s="451"/>
      <c r="T153" s="32" t="s">
        <v>316</v>
      </c>
      <c r="V153" s="475">
        <v>3</v>
      </c>
      <c r="W153" s="475" t="str">
        <f>IF($AC$153="","",$W$144)</f>
        <v/>
      </c>
      <c r="X153" s="476" t="str">
        <f>IF($AC$153="","",$X$144)</f>
        <v/>
      </c>
      <c r="Y153" s="477" t="str">
        <f>IF($X$153="","",$Y$144)</f>
        <v/>
      </c>
      <c r="Z153" s="477" t="str">
        <f>IF($X$153="","",$Z$144)</f>
        <v/>
      </c>
      <c r="AA153" s="477" t="str">
        <f>IF($AC$153="","",ROW($A$153)-ROW($A$144))</f>
        <v/>
      </c>
      <c r="AB153" s="478"/>
      <c r="AC153" s="34"/>
      <c r="AD153" s="356"/>
      <c r="AE153" s="18"/>
      <c r="AF153" s="19"/>
      <c r="AG153" s="480" t="str">
        <f t="shared" si="28"/>
        <v/>
      </c>
      <c r="AH153" s="481" t="str">
        <f t="shared" si="29"/>
        <v/>
      </c>
      <c r="AI153" s="477" t="str">
        <f>IF($AC$153="","",IFERROR(INDEX($AZ$74:$AZ$119,MATCH($AH$153,$AY$74:$AY$119,0)),"AUTRE"))</f>
        <v/>
      </c>
      <c r="AJ153" s="482" t="str">
        <f>IF($AC$153="","",IFERROR(INDEX($BA$74:$BA$119,MATCH($AH$153,$AY$74:$AY$119,0)),1))</f>
        <v/>
      </c>
      <c r="AK153" s="482" t="str">
        <f t="shared" si="30"/>
        <v/>
      </c>
      <c r="AL153" s="477" t="str">
        <f>IF($AC$153="","",IFERROR(INDEX($BB$74:$BB$119,MATCH($AH$153,$AY$74:$AY$119,0)),$AH$153))</f>
        <v/>
      </c>
      <c r="AM153" s="483" t="str">
        <f t="shared" si="31"/>
        <v/>
      </c>
      <c r="AN153" s="484" t="str">
        <f t="shared" si="32"/>
        <v/>
      </c>
      <c r="AO153" s="473" t="str">
        <f t="shared" si="33"/>
        <v/>
      </c>
      <c r="AP153" s="473" t="str">
        <f t="shared" si="34"/>
        <v/>
      </c>
      <c r="AQ153" s="473" t="str">
        <f t="shared" si="35"/>
        <v/>
      </c>
      <c r="AR153" s="473" t="str">
        <f t="shared" si="36"/>
        <v/>
      </c>
      <c r="AS153" s="473" t="str">
        <f t="shared" si="37"/>
        <v/>
      </c>
      <c r="AT153" s="473" t="str">
        <f t="shared" si="38"/>
        <v/>
      </c>
      <c r="AU153" s="473" t="str">
        <f t="shared" si="39"/>
        <v/>
      </c>
      <c r="AZ153" s="32" t="s">
        <v>8131</v>
      </c>
      <c r="BA153" s="34" t="s">
        <v>476</v>
      </c>
      <c r="BB153" s="500"/>
      <c r="BC153" s="271"/>
      <c r="BD153" s="279">
        <v>1</v>
      </c>
      <c r="BE153" s="271"/>
      <c r="BF153" s="271"/>
      <c r="BG153" s="271"/>
      <c r="BH153" s="271"/>
      <c r="BI153" s="271"/>
      <c r="BJ153" s="271"/>
      <c r="BK153" s="271"/>
      <c r="BL153" s="271"/>
    </row>
    <row r="154" spans="18:64" ht="21" customHeight="1" x14ac:dyDescent="0.25">
      <c r="R154" s="34" t="s">
        <v>473</v>
      </c>
      <c r="S154" s="451"/>
      <c r="T154" s="32" t="s">
        <v>313</v>
      </c>
      <c r="V154" s="475">
        <v>3</v>
      </c>
      <c r="W154" s="475" t="str">
        <f>IF($AC$154="","",$W$144)</f>
        <v/>
      </c>
      <c r="X154" s="476" t="str">
        <f>IF($AC$154="","",$X$144)</f>
        <v/>
      </c>
      <c r="Y154" s="477" t="str">
        <f>IF($X$154="","",$Y$144)</f>
        <v/>
      </c>
      <c r="Z154" s="477" t="str">
        <f>IF($X$154="","",$Z$144)</f>
        <v/>
      </c>
      <c r="AA154" s="477" t="str">
        <f>IF($AC$154="","",ROW($A$154)-ROW($A$144))</f>
        <v/>
      </c>
      <c r="AB154" s="478"/>
      <c r="AC154" s="34"/>
      <c r="AD154" s="356"/>
      <c r="AE154" s="18"/>
      <c r="AF154" s="19"/>
      <c r="AG154" s="480" t="str">
        <f t="shared" si="28"/>
        <v/>
      </c>
      <c r="AH154" s="481" t="str">
        <f t="shared" si="29"/>
        <v/>
      </c>
      <c r="AI154" s="477" t="str">
        <f>IF($AC$154="","",IFERROR(INDEX($AZ$74:$AZ$119,MATCH($AH$154,$AY$74:$AY$119,0)),"AUTRE"))</f>
        <v/>
      </c>
      <c r="AJ154" s="482" t="str">
        <f>IF($AC$154="","",IFERROR(INDEX($BA$74:$BA$119,MATCH($AH$154,$AY$74:$AY$119,0)),1))</f>
        <v/>
      </c>
      <c r="AK154" s="482" t="str">
        <f t="shared" si="30"/>
        <v/>
      </c>
      <c r="AL154" s="477" t="str">
        <f>IF($AC$154="","",IFERROR(INDEX($BB$74:$BB$119,MATCH($AH$154,$AY$74:$AY$119,0)),$AH$154))</f>
        <v/>
      </c>
      <c r="AM154" s="483" t="str">
        <f t="shared" si="31"/>
        <v/>
      </c>
      <c r="AN154" s="484" t="str">
        <f t="shared" si="32"/>
        <v/>
      </c>
      <c r="AO154" s="473" t="str">
        <f t="shared" si="33"/>
        <v/>
      </c>
      <c r="AP154" s="473" t="str">
        <f t="shared" si="34"/>
        <v/>
      </c>
      <c r="AQ154" s="473" t="str">
        <f t="shared" si="35"/>
        <v/>
      </c>
      <c r="AR154" s="473" t="str">
        <f t="shared" si="36"/>
        <v/>
      </c>
      <c r="AS154" s="473" t="str">
        <f t="shared" si="37"/>
        <v/>
      </c>
      <c r="AT154" s="473" t="str">
        <f t="shared" si="38"/>
        <v/>
      </c>
      <c r="AU154" s="473" t="str">
        <f t="shared" si="39"/>
        <v/>
      </c>
      <c r="AZ154" s="32" t="s">
        <v>309</v>
      </c>
      <c r="BA154" s="34" t="s">
        <v>468</v>
      </c>
      <c r="BB154" s="500"/>
      <c r="BC154" s="271"/>
      <c r="BD154" s="279">
        <v>1</v>
      </c>
      <c r="BE154" s="271"/>
      <c r="BF154" s="271"/>
      <c r="BG154" s="271"/>
      <c r="BH154" s="271"/>
      <c r="BI154" s="271"/>
      <c r="BJ154" s="271"/>
      <c r="BK154" s="271"/>
      <c r="BL154" s="271"/>
    </row>
    <row r="155" spans="18:64" ht="21" customHeight="1" x14ac:dyDescent="0.25">
      <c r="R155" s="34" t="s">
        <v>497</v>
      </c>
      <c r="S155" s="451"/>
      <c r="T155" s="32" t="s">
        <v>307</v>
      </c>
      <c r="V155" s="475">
        <v>3</v>
      </c>
      <c r="W155" s="475" t="str">
        <f>IF($AC$155="","",$W$144)</f>
        <v/>
      </c>
      <c r="X155" s="476" t="str">
        <f>IF($AC$155="","",$X$144)</f>
        <v/>
      </c>
      <c r="Y155" s="477" t="str">
        <f>IF($X$155="","",$Y$144)</f>
        <v/>
      </c>
      <c r="Z155" s="477" t="str">
        <f>IF($X$155="","",$Z$144)</f>
        <v/>
      </c>
      <c r="AA155" s="477" t="str">
        <f>IF($AC$155="","",ROW($A$155)-ROW($A$144))</f>
        <v/>
      </c>
      <c r="AB155" s="478"/>
      <c r="AC155" s="34"/>
      <c r="AD155" s="356"/>
      <c r="AE155" s="18"/>
      <c r="AF155" s="19"/>
      <c r="AG155" s="480" t="str">
        <f t="shared" si="28"/>
        <v/>
      </c>
      <c r="AH155" s="481" t="str">
        <f t="shared" si="29"/>
        <v/>
      </c>
      <c r="AI155" s="477" t="str">
        <f>IF($AC$155="","",IFERROR(INDEX($AZ$74:$AZ$119,MATCH($AH$155,$AY$74:$AY$119,0)),"AUTRE"))</f>
        <v/>
      </c>
      <c r="AJ155" s="482" t="str">
        <f>IF($AC$155="","",IFERROR(INDEX($BA$74:$BA$119,MATCH($AH$155,$AY$74:$AY$119,0)),1))</f>
        <v/>
      </c>
      <c r="AK155" s="482" t="str">
        <f t="shared" si="30"/>
        <v/>
      </c>
      <c r="AL155" s="477" t="str">
        <f>IF($AC$155="","",IFERROR(INDEX($BB$74:$BB$119,MATCH($AH$155,$AY$74:$AY$119,0)),$AH$155))</f>
        <v/>
      </c>
      <c r="AM155" s="483" t="str">
        <f t="shared" si="31"/>
        <v/>
      </c>
      <c r="AN155" s="484" t="str">
        <f t="shared" si="32"/>
        <v/>
      </c>
      <c r="AO155" s="473" t="str">
        <f t="shared" si="33"/>
        <v/>
      </c>
      <c r="AP155" s="473" t="str">
        <f t="shared" si="34"/>
        <v/>
      </c>
      <c r="AQ155" s="473" t="str">
        <f t="shared" si="35"/>
        <v/>
      </c>
      <c r="AR155" s="473" t="str">
        <f t="shared" si="36"/>
        <v/>
      </c>
      <c r="AS155" s="473" t="str">
        <f t="shared" si="37"/>
        <v/>
      </c>
      <c r="AT155" s="473" t="str">
        <f t="shared" si="38"/>
        <v/>
      </c>
      <c r="AU155" s="473" t="str">
        <f t="shared" si="39"/>
        <v/>
      </c>
      <c r="AZ155" s="32" t="s">
        <v>311</v>
      </c>
      <c r="BA155" s="34" t="s">
        <v>473</v>
      </c>
      <c r="BB155" s="500"/>
      <c r="BC155" s="271"/>
      <c r="BD155" s="279">
        <v>1</v>
      </c>
      <c r="BE155" s="271"/>
      <c r="BF155" s="271"/>
      <c r="BG155" s="271"/>
      <c r="BH155" s="271"/>
      <c r="BI155" s="271"/>
      <c r="BJ155" s="271"/>
      <c r="BK155" s="271"/>
      <c r="BL155" s="271"/>
    </row>
    <row r="156" spans="18:64" ht="21" customHeight="1" x14ac:dyDescent="0.25">
      <c r="R156" s="34" t="s">
        <v>470</v>
      </c>
      <c r="S156" s="451"/>
      <c r="T156" s="32" t="s">
        <v>322</v>
      </c>
      <c r="V156" s="475">
        <v>3</v>
      </c>
      <c r="W156" s="475" t="str">
        <f>IF($AC$156="","",$W$144)</f>
        <v/>
      </c>
      <c r="X156" s="476" t="str">
        <f>IF($AC$156="","",$X$144)</f>
        <v/>
      </c>
      <c r="Y156" s="477" t="str">
        <f>IF($X$156="","",$Y$144)</f>
        <v/>
      </c>
      <c r="Z156" s="477" t="str">
        <f>IF($X$156="","",$Z$144)</f>
        <v/>
      </c>
      <c r="AA156" s="477" t="str">
        <f>IF($AC$156="","",ROW($A$156)-ROW($A$144))</f>
        <v/>
      </c>
      <c r="AB156" s="478"/>
      <c r="AC156" s="34"/>
      <c r="AD156" s="356"/>
      <c r="AE156" s="18"/>
      <c r="AF156" s="19"/>
      <c r="AG156" s="480" t="str">
        <f t="shared" si="28"/>
        <v/>
      </c>
      <c r="AH156" s="481" t="str">
        <f t="shared" si="29"/>
        <v/>
      </c>
      <c r="AI156" s="477" t="str">
        <f>IF($AC$156="","",IFERROR(INDEX($AZ$74:$AZ$119,MATCH($AH$156,$AY$74:$AY$119,0)),"AUTRE"))</f>
        <v/>
      </c>
      <c r="AJ156" s="482" t="str">
        <f>IF($AC$156="","",IFERROR(INDEX($BA$74:$BA$119,MATCH($AH$156,$AY$74:$AY$119,0)),1))</f>
        <v/>
      </c>
      <c r="AK156" s="482" t="str">
        <f t="shared" si="30"/>
        <v/>
      </c>
      <c r="AL156" s="477" t="str">
        <f>IF($AC$156="","",IFERROR(INDEX($BB$74:$BB$119,MATCH($AH$156,$AY$74:$AY$119,0)),$AH$156))</f>
        <v/>
      </c>
      <c r="AM156" s="483" t="str">
        <f t="shared" si="31"/>
        <v/>
      </c>
      <c r="AN156" s="484" t="str">
        <f t="shared" si="32"/>
        <v/>
      </c>
      <c r="AO156" s="473" t="str">
        <f t="shared" si="33"/>
        <v/>
      </c>
      <c r="AP156" s="473" t="str">
        <f t="shared" si="34"/>
        <v/>
      </c>
      <c r="AQ156" s="473" t="str">
        <f t="shared" si="35"/>
        <v/>
      </c>
      <c r="AR156" s="473" t="str">
        <f t="shared" si="36"/>
        <v/>
      </c>
      <c r="AS156" s="473" t="str">
        <f t="shared" si="37"/>
        <v/>
      </c>
      <c r="AT156" s="473" t="str">
        <f t="shared" si="38"/>
        <v/>
      </c>
      <c r="AU156" s="473" t="str">
        <f t="shared" si="39"/>
        <v/>
      </c>
      <c r="AZ156" s="32" t="s">
        <v>8135</v>
      </c>
      <c r="BA156" s="34" t="s">
        <v>497</v>
      </c>
      <c r="BB156" s="500"/>
      <c r="BC156" s="271"/>
      <c r="BD156" s="279">
        <v>1</v>
      </c>
      <c r="BE156" s="271"/>
      <c r="BF156" s="271"/>
      <c r="BG156" s="271"/>
      <c r="BH156" s="271"/>
      <c r="BI156" s="271"/>
      <c r="BJ156" s="271"/>
      <c r="BK156" s="271"/>
      <c r="BL156" s="271"/>
    </row>
    <row r="157" spans="18:64" ht="21" customHeight="1" x14ac:dyDescent="0.25">
      <c r="R157" s="34" t="s">
        <v>477</v>
      </c>
      <c r="S157" s="451"/>
      <c r="T157" s="32" t="s">
        <v>305</v>
      </c>
      <c r="V157" s="475">
        <v>3</v>
      </c>
      <c r="W157" s="475" t="str">
        <f>IF($AC$157="","",$W$144)</f>
        <v/>
      </c>
      <c r="X157" s="476" t="str">
        <f>IF($AC$157="","",$X$144)</f>
        <v/>
      </c>
      <c r="Y157" s="477" t="str">
        <f>IF($X$157="","",$Y$144)</f>
        <v/>
      </c>
      <c r="Z157" s="477" t="str">
        <f>IF($X$157="","",$Z$144)</f>
        <v/>
      </c>
      <c r="AA157" s="477" t="str">
        <f>IF($AC$157="","",ROW($A$157)-ROW($A$144))</f>
        <v/>
      </c>
      <c r="AB157" s="478"/>
      <c r="AC157" s="34"/>
      <c r="AD157" s="356"/>
      <c r="AE157" s="18"/>
      <c r="AF157" s="19"/>
      <c r="AG157" s="480" t="str">
        <f t="shared" si="28"/>
        <v/>
      </c>
      <c r="AH157" s="481" t="str">
        <f t="shared" si="29"/>
        <v/>
      </c>
      <c r="AI157" s="477" t="str">
        <f>IF($AC$157="","",IFERROR(INDEX($AZ$74:$AZ$119,MATCH($AH$157,$AY$74:$AY$119,0)),"AUTRE"))</f>
        <v/>
      </c>
      <c r="AJ157" s="482" t="str">
        <f>IF($AC$157="","",IFERROR(INDEX($BA$74:$BA$119,MATCH($AH$157,$AY$74:$AY$119,0)),1))</f>
        <v/>
      </c>
      <c r="AK157" s="482" t="str">
        <f t="shared" si="30"/>
        <v/>
      </c>
      <c r="AL157" s="477" t="str">
        <f>IF($AC$157="","",IFERROR(INDEX($BB$74:$BB$119,MATCH($AH$157,$AY$74:$AY$119,0)),$AH$157))</f>
        <v/>
      </c>
      <c r="AM157" s="483" t="str">
        <f t="shared" si="31"/>
        <v/>
      </c>
      <c r="AN157" s="484" t="str">
        <f t="shared" si="32"/>
        <v/>
      </c>
      <c r="AO157" s="473" t="str">
        <f t="shared" si="33"/>
        <v/>
      </c>
      <c r="AP157" s="473" t="str">
        <f t="shared" si="34"/>
        <v/>
      </c>
      <c r="AQ157" s="473" t="str">
        <f t="shared" si="35"/>
        <v/>
      </c>
      <c r="AR157" s="473" t="str">
        <f t="shared" si="36"/>
        <v/>
      </c>
      <c r="AS157" s="473" t="str">
        <f t="shared" si="37"/>
        <v/>
      </c>
      <c r="AT157" s="473" t="str">
        <f t="shared" si="38"/>
        <v/>
      </c>
      <c r="AU157" s="473" t="str">
        <f t="shared" si="39"/>
        <v/>
      </c>
      <c r="AZ157" s="32" t="s">
        <v>8137</v>
      </c>
      <c r="BA157" s="34" t="s">
        <v>470</v>
      </c>
      <c r="BB157" s="500"/>
      <c r="BC157" s="271"/>
      <c r="BD157" s="279">
        <v>1</v>
      </c>
      <c r="BE157" s="271"/>
      <c r="BF157" s="271"/>
      <c r="BG157" s="271"/>
      <c r="BH157" s="271"/>
      <c r="BI157" s="271"/>
      <c r="BJ157" s="271"/>
      <c r="BK157" s="271"/>
      <c r="BL157" s="271"/>
    </row>
    <row r="158" spans="18:64" ht="21" customHeight="1" x14ac:dyDescent="0.25">
      <c r="S158" s="451"/>
      <c r="T158" s="32" t="s">
        <v>309</v>
      </c>
      <c r="V158" s="475">
        <v>3</v>
      </c>
      <c r="W158" s="475" t="str">
        <f>IF($AC$158="","",$W$144)</f>
        <v/>
      </c>
      <c r="X158" s="476" t="str">
        <f>IF($AC$158="","",$X$144)</f>
        <v/>
      </c>
      <c r="Y158" s="477" t="str">
        <f>IF($X$158="","",$Y$144)</f>
        <v/>
      </c>
      <c r="Z158" s="477" t="str">
        <f>IF($X$158="","",$Z$144)</f>
        <v/>
      </c>
      <c r="AA158" s="477" t="str">
        <f>IF($AC$158="","",ROW($A$158)-ROW($A$144))</f>
        <v/>
      </c>
      <c r="AB158" s="478"/>
      <c r="AC158" s="34"/>
      <c r="AD158" s="356"/>
      <c r="AE158" s="18"/>
      <c r="AF158" s="19"/>
      <c r="AG158" s="480" t="str">
        <f t="shared" si="28"/>
        <v/>
      </c>
      <c r="AH158" s="481" t="str">
        <f t="shared" si="29"/>
        <v/>
      </c>
      <c r="AI158" s="477" t="str">
        <f>IF($AC$158="","",IFERROR(INDEX($AZ$74:$AZ$119,MATCH($AH$158,$AY$74:$AY$119,0)),"AUTRE"))</f>
        <v/>
      </c>
      <c r="AJ158" s="482" t="str">
        <f>IF($AC$158="","",IFERROR(INDEX($BA$74:$BA$119,MATCH($AH$158,$AY$74:$AY$119,0)),1))</f>
        <v/>
      </c>
      <c r="AK158" s="482" t="str">
        <f t="shared" si="30"/>
        <v/>
      </c>
      <c r="AL158" s="477" t="str">
        <f>IF($AC$158="","",IFERROR(INDEX($BB$74:$BB$119,MATCH($AH$158,$AY$74:$AY$119,0)),$AH$158))</f>
        <v/>
      </c>
      <c r="AM158" s="483" t="str">
        <f t="shared" si="31"/>
        <v/>
      </c>
      <c r="AN158" s="484" t="str">
        <f t="shared" si="32"/>
        <v/>
      </c>
      <c r="AO158" s="473" t="str">
        <f t="shared" si="33"/>
        <v/>
      </c>
      <c r="AP158" s="473" t="str">
        <f t="shared" si="34"/>
        <v/>
      </c>
      <c r="AQ158" s="473" t="str">
        <f t="shared" si="35"/>
        <v/>
      </c>
      <c r="AR158" s="473" t="str">
        <f t="shared" si="36"/>
        <v/>
      </c>
      <c r="AS158" s="473" t="str">
        <f t="shared" si="37"/>
        <v/>
      </c>
      <c r="AT158" s="473" t="str">
        <f t="shared" si="38"/>
        <v/>
      </c>
      <c r="AU158" s="473" t="str">
        <f t="shared" si="39"/>
        <v/>
      </c>
      <c r="AZ158" s="32" t="s">
        <v>8139</v>
      </c>
      <c r="BA158" s="34" t="s">
        <v>477</v>
      </c>
      <c r="BB158" s="500"/>
      <c r="BC158" s="271"/>
      <c r="BD158" s="279">
        <v>1</v>
      </c>
      <c r="BE158" s="271"/>
      <c r="BF158" s="271"/>
      <c r="BG158" s="271"/>
      <c r="BH158" s="271"/>
      <c r="BI158" s="271"/>
      <c r="BJ158" s="271"/>
      <c r="BK158" s="271"/>
      <c r="BL158" s="271"/>
    </row>
    <row r="159" spans="18:64" ht="21" customHeight="1" x14ac:dyDescent="0.25">
      <c r="R159" s="25" t="s">
        <v>6134</v>
      </c>
      <c r="S159" s="451"/>
      <c r="T159" s="32" t="s">
        <v>311</v>
      </c>
      <c r="V159" s="475">
        <v>3</v>
      </c>
      <c r="W159" s="475" t="str">
        <f>IF($AC$159="","",$W$144)</f>
        <v/>
      </c>
      <c r="X159" s="476" t="str">
        <f>IF($AC$159="","",$X$144)</f>
        <v/>
      </c>
      <c r="Y159" s="477" t="str">
        <f>IF($X$159="","",$Y$144)</f>
        <v/>
      </c>
      <c r="Z159" s="477" t="str">
        <f>IF($X$159="","",$Z$144)</f>
        <v/>
      </c>
      <c r="AA159" s="477" t="str">
        <f>IF($AC$159="","",ROW($A$159)-ROW($A$144))</f>
        <v/>
      </c>
      <c r="AB159" s="478"/>
      <c r="AC159" s="34"/>
      <c r="AD159" s="356"/>
      <c r="AE159" s="18"/>
      <c r="AF159" s="19"/>
      <c r="AG159" s="480" t="str">
        <f t="shared" si="28"/>
        <v/>
      </c>
      <c r="AH159" s="481" t="str">
        <f t="shared" si="29"/>
        <v/>
      </c>
      <c r="AI159" s="477" t="str">
        <f>IF($AC$159="","",IFERROR(INDEX($AZ$74:$AZ$119,MATCH($AH$159,$AY$74:$AY$119,0)),"AUTRE"))</f>
        <v/>
      </c>
      <c r="AJ159" s="482" t="str">
        <f>IF($AC$159="","",IFERROR(INDEX($BA$74:$BA$119,MATCH($AH$159,$AY$74:$AY$119,0)),1))</f>
        <v/>
      </c>
      <c r="AK159" s="482" t="str">
        <f t="shared" si="30"/>
        <v/>
      </c>
      <c r="AL159" s="477" t="str">
        <f>IF($AC$159="","",IFERROR(INDEX($BB$74:$BB$119,MATCH($AH$159,$AY$74:$AY$119,0)),$AH$159))</f>
        <v/>
      </c>
      <c r="AM159" s="483" t="str">
        <f t="shared" si="31"/>
        <v/>
      </c>
      <c r="AN159" s="484" t="str">
        <f t="shared" si="32"/>
        <v/>
      </c>
      <c r="AO159" s="473" t="str">
        <f t="shared" si="33"/>
        <v/>
      </c>
      <c r="AP159" s="473" t="str">
        <f t="shared" si="34"/>
        <v/>
      </c>
      <c r="AQ159" s="473" t="str">
        <f t="shared" si="35"/>
        <v/>
      </c>
      <c r="AR159" s="473" t="str">
        <f t="shared" si="36"/>
        <v/>
      </c>
      <c r="AS159" s="473" t="str">
        <f t="shared" si="37"/>
        <v/>
      </c>
      <c r="AT159" s="473" t="str">
        <f t="shared" si="38"/>
        <v/>
      </c>
      <c r="AU159" s="473" t="str">
        <f t="shared" si="39"/>
        <v/>
      </c>
      <c r="AZ159" s="32" t="s">
        <v>8141</v>
      </c>
      <c r="BB159" s="500"/>
      <c r="BC159" s="271"/>
      <c r="BD159" s="279">
        <v>1</v>
      </c>
      <c r="BE159" s="271"/>
      <c r="BF159" s="271"/>
      <c r="BG159" s="271"/>
      <c r="BH159" s="271"/>
      <c r="BI159" s="271"/>
      <c r="BJ159" s="271"/>
      <c r="BK159" s="271"/>
      <c r="BL159" s="271"/>
    </row>
    <row r="160" spans="18:64" ht="21" customHeight="1" x14ac:dyDescent="0.25">
      <c r="R160" s="34" t="s">
        <v>481</v>
      </c>
      <c r="S160" s="451"/>
      <c r="T160" s="32" t="s">
        <v>8135</v>
      </c>
      <c r="V160" s="475">
        <v>3</v>
      </c>
      <c r="W160" s="475" t="str">
        <f>IF($AC$160="","",$W$144)</f>
        <v/>
      </c>
      <c r="X160" s="476" t="str">
        <f>IF($AC$160="","",$X$144)</f>
        <v/>
      </c>
      <c r="Y160" s="477" t="str">
        <f>IF($X$160="","",$Y$144)</f>
        <v/>
      </c>
      <c r="Z160" s="477" t="str">
        <f>IF($X$160="","",$Z$144)</f>
        <v/>
      </c>
      <c r="AA160" s="477" t="str">
        <f>IF($AC$160="","",ROW($A$160)-ROW($A$144))</f>
        <v/>
      </c>
      <c r="AB160" s="478"/>
      <c r="AC160" s="34"/>
      <c r="AD160" s="356"/>
      <c r="AE160" s="18"/>
      <c r="AF160" s="19"/>
      <c r="AG160" s="480" t="str">
        <f t="shared" si="28"/>
        <v/>
      </c>
      <c r="AH160" s="481" t="str">
        <f t="shared" si="29"/>
        <v/>
      </c>
      <c r="AI160" s="477" t="str">
        <f>IF($AC$160="","",IFERROR(INDEX($AZ$74:$AZ$119,MATCH($AH$160,$AY$74:$AY$119,0)),"AUTRE"))</f>
        <v/>
      </c>
      <c r="AJ160" s="482" t="str">
        <f>IF($AC$160="","",IFERROR(INDEX($BA$74:$BA$119,MATCH($AH$160,$AY$74:$AY$119,0)),1))</f>
        <v/>
      </c>
      <c r="AK160" s="482" t="str">
        <f t="shared" si="30"/>
        <v/>
      </c>
      <c r="AL160" s="477" t="str">
        <f>IF($AC$160="","",IFERROR(INDEX($BB$74:$BB$119,MATCH($AH$160,$AY$74:$AY$119,0)),$AH$160))</f>
        <v/>
      </c>
      <c r="AM160" s="483" t="str">
        <f t="shared" si="31"/>
        <v/>
      </c>
      <c r="AN160" s="484" t="str">
        <f t="shared" si="32"/>
        <v/>
      </c>
      <c r="AO160" s="473" t="str">
        <f t="shared" si="33"/>
        <v/>
      </c>
      <c r="AP160" s="473" t="str">
        <f t="shared" si="34"/>
        <v/>
      </c>
      <c r="AQ160" s="473" t="str">
        <f t="shared" si="35"/>
        <v/>
      </c>
      <c r="AR160" s="473" t="str">
        <f t="shared" si="36"/>
        <v/>
      </c>
      <c r="AS160" s="473" t="str">
        <f t="shared" si="37"/>
        <v/>
      </c>
      <c r="AT160" s="473" t="str">
        <f t="shared" si="38"/>
        <v/>
      </c>
      <c r="AU160" s="473" t="str">
        <f t="shared" si="39"/>
        <v/>
      </c>
      <c r="AZ160" s="32" t="s">
        <v>8143</v>
      </c>
      <c r="BA160" s="25" t="s">
        <v>6134</v>
      </c>
      <c r="BB160" s="500"/>
      <c r="BC160" s="271"/>
      <c r="BD160" s="279">
        <v>1</v>
      </c>
      <c r="BE160" s="271"/>
      <c r="BF160" s="271"/>
      <c r="BG160" s="271"/>
      <c r="BH160" s="271"/>
      <c r="BI160" s="271"/>
      <c r="BJ160" s="271"/>
      <c r="BK160" s="271"/>
      <c r="BL160" s="271"/>
    </row>
    <row r="161" spans="18:64" ht="21" customHeight="1" x14ac:dyDescent="0.25">
      <c r="R161" s="34" t="s">
        <v>475</v>
      </c>
      <c r="S161" s="451"/>
      <c r="T161" s="497" t="s">
        <v>462</v>
      </c>
      <c r="V161" s="475">
        <v>3</v>
      </c>
      <c r="W161" s="475" t="str">
        <f>IF($AC$161="","",$W$144)</f>
        <v/>
      </c>
      <c r="X161" s="476" t="str">
        <f>IF($AC$161="","",$X$144)</f>
        <v/>
      </c>
      <c r="Y161" s="477" t="str">
        <f>IF($X$161="","",$Y$144)</f>
        <v/>
      </c>
      <c r="Z161" s="477" t="str">
        <f>IF($X$161="","",$Z$144)</f>
        <v/>
      </c>
      <c r="AA161" s="477" t="str">
        <f>IF($AC$161="","",ROW($A$161)-ROW($A$144))</f>
        <v/>
      </c>
      <c r="AB161" s="478"/>
      <c r="AC161" s="34"/>
      <c r="AD161" s="356"/>
      <c r="AE161" s="18"/>
      <c r="AF161" s="19"/>
      <c r="AG161" s="480" t="str">
        <f t="shared" si="28"/>
        <v/>
      </c>
      <c r="AH161" s="481" t="str">
        <f t="shared" si="29"/>
        <v/>
      </c>
      <c r="AI161" s="477" t="str">
        <f>IF($AC$161="","",IFERROR(INDEX($AZ$74:$AZ$119,MATCH($AH$161,$AY$74:$AY$119,0)),"AUTRE"))</f>
        <v/>
      </c>
      <c r="AJ161" s="482" t="str">
        <f>IF($AC$161="","",IFERROR(INDEX($BA$74:$BA$119,MATCH($AH$161,$AY$74:$AY$119,0)),1))</f>
        <v/>
      </c>
      <c r="AK161" s="482" t="str">
        <f t="shared" si="30"/>
        <v/>
      </c>
      <c r="AL161" s="477" t="str">
        <f>IF($AC$161="","",IFERROR(INDEX($BB$74:$BB$119,MATCH($AH$161,$AY$74:$AY$119,0)),$AH$161))</f>
        <v/>
      </c>
      <c r="AM161" s="483" t="str">
        <f t="shared" si="31"/>
        <v/>
      </c>
      <c r="AN161" s="484" t="str">
        <f t="shared" si="32"/>
        <v/>
      </c>
      <c r="AO161" s="473" t="str">
        <f t="shared" si="33"/>
        <v/>
      </c>
      <c r="AP161" s="473" t="str">
        <f t="shared" si="34"/>
        <v/>
      </c>
      <c r="AQ161" s="473" t="str">
        <f t="shared" si="35"/>
        <v/>
      </c>
      <c r="AR161" s="473" t="str">
        <f t="shared" si="36"/>
        <v/>
      </c>
      <c r="AS161" s="473" t="str">
        <f t="shared" si="37"/>
        <v/>
      </c>
      <c r="AT161" s="473" t="str">
        <f t="shared" si="38"/>
        <v/>
      </c>
      <c r="AU161" s="473" t="str">
        <f t="shared" si="39"/>
        <v/>
      </c>
      <c r="AZ161" s="497" t="s">
        <v>8145</v>
      </c>
      <c r="BA161" s="34" t="s">
        <v>481</v>
      </c>
      <c r="BB161" s="500"/>
      <c r="BC161" s="271"/>
      <c r="BD161" s="279">
        <v>1</v>
      </c>
      <c r="BE161" s="271"/>
      <c r="BF161" s="271"/>
      <c r="BG161" s="271"/>
      <c r="BH161" s="271"/>
      <c r="BI161" s="271"/>
      <c r="BJ161" s="271"/>
      <c r="BK161" s="271"/>
      <c r="BL161" s="271"/>
    </row>
    <row r="162" spans="18:64" ht="21" customHeight="1" x14ac:dyDescent="0.25">
      <c r="R162" s="34" t="s">
        <v>457</v>
      </c>
      <c r="S162" s="451"/>
      <c r="T162" s="497" t="s">
        <v>463</v>
      </c>
      <c r="V162" s="475">
        <v>3</v>
      </c>
      <c r="W162" s="475" t="str">
        <f>IF($AC$162="","",$W$144)</f>
        <v/>
      </c>
      <c r="X162" s="476" t="str">
        <f>IF($AC$162="","",$X$144)</f>
        <v/>
      </c>
      <c r="Y162" s="477" t="str">
        <f>IF($X$162="","",$Y$144)</f>
        <v/>
      </c>
      <c r="Z162" s="477" t="str">
        <f>IF($X$162="","",$Z$144)</f>
        <v/>
      </c>
      <c r="AA162" s="477" t="str">
        <f>IF($AC$162="","",ROW($A$162)-ROW($A$144))</f>
        <v/>
      </c>
      <c r="AB162" s="478"/>
      <c r="AC162" s="34"/>
      <c r="AD162" s="356"/>
      <c r="AE162" s="18"/>
      <c r="AF162" s="19"/>
      <c r="AG162" s="480" t="str">
        <f t="shared" si="28"/>
        <v/>
      </c>
      <c r="AH162" s="481" t="str">
        <f t="shared" si="29"/>
        <v/>
      </c>
      <c r="AI162" s="477" t="str">
        <f>IF($AC$162="","",IFERROR(INDEX($AZ$74:$AZ$119,MATCH($AH$162,$AY$74:$AY$119,0)),"AUTRE"))</f>
        <v/>
      </c>
      <c r="AJ162" s="482" t="str">
        <f>IF($AC$162="","",IFERROR(INDEX($BA$74:$BA$119,MATCH($AH$162,$AY$74:$AY$119,0)),1))</f>
        <v/>
      </c>
      <c r="AK162" s="482" t="str">
        <f t="shared" si="30"/>
        <v/>
      </c>
      <c r="AL162" s="477" t="str">
        <f>IF($AC$162="","",IFERROR(INDEX($BB$74:$BB$119,MATCH($AH$162,$AY$74:$AY$119,0)),$AH$162))</f>
        <v/>
      </c>
      <c r="AM162" s="483" t="str">
        <f t="shared" si="31"/>
        <v/>
      </c>
      <c r="AN162" s="484" t="str">
        <f t="shared" si="32"/>
        <v/>
      </c>
      <c r="AO162" s="473" t="str">
        <f t="shared" si="33"/>
        <v/>
      </c>
      <c r="AP162" s="473" t="str">
        <f t="shared" si="34"/>
        <v/>
      </c>
      <c r="AQ162" s="473" t="str">
        <f t="shared" si="35"/>
        <v/>
      </c>
      <c r="AR162" s="473" t="str">
        <f t="shared" si="36"/>
        <v/>
      </c>
      <c r="AS162" s="473" t="str">
        <f t="shared" si="37"/>
        <v/>
      </c>
      <c r="AT162" s="473" t="str">
        <f t="shared" si="38"/>
        <v/>
      </c>
      <c r="AU162" s="473" t="str">
        <f t="shared" si="39"/>
        <v/>
      </c>
      <c r="AZ162" s="497" t="s">
        <v>462</v>
      </c>
      <c r="BA162" s="34" t="s">
        <v>475</v>
      </c>
      <c r="BB162" s="500"/>
      <c r="BC162" s="271"/>
      <c r="BD162" s="279">
        <v>1</v>
      </c>
      <c r="BE162" s="271"/>
      <c r="BF162" s="271"/>
      <c r="BG162" s="271"/>
      <c r="BH162" s="271"/>
      <c r="BI162" s="271"/>
      <c r="BJ162" s="271"/>
      <c r="BK162" s="271"/>
      <c r="BL162" s="271"/>
    </row>
    <row r="163" spans="18:64" ht="21" customHeight="1" x14ac:dyDescent="0.25">
      <c r="R163" s="34" t="s">
        <v>482</v>
      </c>
      <c r="S163" s="451"/>
      <c r="T163" s="497" t="s">
        <v>8147</v>
      </c>
      <c r="V163" s="475">
        <v>3</v>
      </c>
      <c r="W163" s="475" t="str">
        <f>IF($AC$163="","",$W$144)</f>
        <v/>
      </c>
      <c r="X163" s="476" t="str">
        <f>IF($AC$163="","",$X$144)</f>
        <v/>
      </c>
      <c r="Y163" s="477" t="str">
        <f>IF($X$163="","",$Y$144)</f>
        <v/>
      </c>
      <c r="Z163" s="477" t="str">
        <f>IF($X$163="","",$Z$144)</f>
        <v/>
      </c>
      <c r="AA163" s="477" t="str">
        <f>IF($AC$163="","",ROW($A$163)-ROW($A$144))</f>
        <v/>
      </c>
      <c r="AB163" s="478"/>
      <c r="AC163" s="34"/>
      <c r="AD163" s="356"/>
      <c r="AE163" s="18"/>
      <c r="AF163" s="19"/>
      <c r="AG163" s="480" t="str">
        <f t="shared" si="28"/>
        <v/>
      </c>
      <c r="AH163" s="481" t="str">
        <f t="shared" si="29"/>
        <v/>
      </c>
      <c r="AI163" s="477" t="str">
        <f>IF($AC$163="","",IFERROR(INDEX($AZ$74:$AZ$119,MATCH($AH$163,$AY$74:$AY$119,0)),"AUTRE"))</f>
        <v/>
      </c>
      <c r="AJ163" s="482" t="str">
        <f>IF($AC$163="","",IFERROR(INDEX($BA$74:$BA$119,MATCH($AH$163,$AY$74:$AY$119,0)),1))</f>
        <v/>
      </c>
      <c r="AK163" s="482" t="str">
        <f t="shared" si="30"/>
        <v/>
      </c>
      <c r="AL163" s="477" t="str">
        <f>IF($AC$163="","",IFERROR(INDEX($BB$74:$BB$119,MATCH($AH$163,$AY$74:$AY$119,0)),$AH$163))</f>
        <v/>
      </c>
      <c r="AM163" s="483" t="str">
        <f t="shared" si="31"/>
        <v/>
      </c>
      <c r="AN163" s="484" t="str">
        <f t="shared" si="32"/>
        <v/>
      </c>
      <c r="AO163" s="473" t="str">
        <f t="shared" si="33"/>
        <v/>
      </c>
      <c r="AP163" s="473" t="str">
        <f t="shared" si="34"/>
        <v/>
      </c>
      <c r="AQ163" s="473" t="str">
        <f t="shared" si="35"/>
        <v/>
      </c>
      <c r="AR163" s="473" t="str">
        <f t="shared" si="36"/>
        <v/>
      </c>
      <c r="AS163" s="473" t="str">
        <f t="shared" si="37"/>
        <v/>
      </c>
      <c r="AT163" s="473" t="str">
        <f t="shared" si="38"/>
        <v/>
      </c>
      <c r="AU163" s="473" t="str">
        <f t="shared" si="39"/>
        <v/>
      </c>
      <c r="AZ163" s="497" t="s">
        <v>463</v>
      </c>
      <c r="BA163" s="34" t="s">
        <v>457</v>
      </c>
      <c r="BB163" s="500"/>
      <c r="BC163" s="271"/>
      <c r="BD163" s="279">
        <v>1</v>
      </c>
      <c r="BE163" s="271"/>
      <c r="BF163" s="271"/>
      <c r="BG163" s="271"/>
      <c r="BH163" s="271"/>
      <c r="BI163" s="271"/>
      <c r="BJ163" s="271"/>
      <c r="BK163" s="271"/>
      <c r="BL163" s="271"/>
    </row>
    <row r="164" spans="18:64" ht="21" customHeight="1" x14ac:dyDescent="0.25">
      <c r="R164" s="34" t="s">
        <v>496</v>
      </c>
      <c r="S164" s="451"/>
      <c r="T164" s="497" t="s">
        <v>465</v>
      </c>
      <c r="V164" s="475">
        <v>3</v>
      </c>
      <c r="W164" s="475" t="str">
        <f>IF($AC$164="","",$W$144)</f>
        <v/>
      </c>
      <c r="X164" s="476" t="str">
        <f>IF($AC$164="","",$X$144)</f>
        <v/>
      </c>
      <c r="Y164" s="477" t="str">
        <f>IF($X$164="","",$Y$144)</f>
        <v/>
      </c>
      <c r="Z164" s="477" t="str">
        <f>IF($X$164="","",$Z$144)</f>
        <v/>
      </c>
      <c r="AA164" s="477" t="str">
        <f>IF($AC$164="","",ROW($A$164)-ROW($A$144))</f>
        <v/>
      </c>
      <c r="AB164" s="478"/>
      <c r="AC164" s="34"/>
      <c r="AD164" s="356"/>
      <c r="AE164" s="18"/>
      <c r="AF164" s="19"/>
      <c r="AG164" s="480" t="str">
        <f t="shared" si="28"/>
        <v/>
      </c>
      <c r="AH164" s="481" t="str">
        <f t="shared" si="29"/>
        <v/>
      </c>
      <c r="AI164" s="477" t="str">
        <f>IF($AC$164="","",IFERROR(INDEX($AZ$74:$AZ$119,MATCH($AH$164,$AY$74:$AY$119,0)),"AUTRE"))</f>
        <v/>
      </c>
      <c r="AJ164" s="482" t="str">
        <f>IF($AC$164="","",IFERROR(INDEX($BA$74:$BA$119,MATCH($AH$164,$AY$74:$AY$119,0)),1))</f>
        <v/>
      </c>
      <c r="AK164" s="482" t="str">
        <f t="shared" si="30"/>
        <v/>
      </c>
      <c r="AL164" s="477" t="str">
        <f>IF($AC$164="","",IFERROR(INDEX($BB$74:$BB$119,MATCH($AH$164,$AY$74:$AY$119,0)),$AH$164))</f>
        <v/>
      </c>
      <c r="AM164" s="483" t="str">
        <f t="shared" si="31"/>
        <v/>
      </c>
      <c r="AN164" s="484" t="str">
        <f t="shared" si="32"/>
        <v/>
      </c>
      <c r="AO164" s="473" t="str">
        <f t="shared" si="33"/>
        <v/>
      </c>
      <c r="AP164" s="473" t="str">
        <f t="shared" si="34"/>
        <v/>
      </c>
      <c r="AQ164" s="473" t="str">
        <f t="shared" si="35"/>
        <v/>
      </c>
      <c r="AR164" s="473" t="str">
        <f t="shared" si="36"/>
        <v/>
      </c>
      <c r="AS164" s="473" t="str">
        <f t="shared" si="37"/>
        <v/>
      </c>
      <c r="AT164" s="473" t="str">
        <f t="shared" si="38"/>
        <v/>
      </c>
      <c r="AU164" s="473" t="str">
        <f t="shared" si="39"/>
        <v/>
      </c>
      <c r="AZ164" s="497" t="s">
        <v>8147</v>
      </c>
      <c r="BA164" s="34" t="s">
        <v>482</v>
      </c>
      <c r="BB164" s="500"/>
      <c r="BC164" s="271"/>
      <c r="BD164" s="279">
        <v>1</v>
      </c>
      <c r="BE164" s="271"/>
      <c r="BF164" s="271"/>
      <c r="BG164" s="271"/>
      <c r="BH164" s="271"/>
      <c r="BI164" s="271"/>
      <c r="BJ164" s="271"/>
      <c r="BK164" s="271"/>
      <c r="BL164" s="271"/>
    </row>
    <row r="165" spans="18:64" ht="21" customHeight="1" x14ac:dyDescent="0.25">
      <c r="R165" s="34" t="s">
        <v>483</v>
      </c>
      <c r="S165" s="451"/>
      <c r="T165" s="497" t="s">
        <v>466</v>
      </c>
      <c r="V165" s="475">
        <v>3</v>
      </c>
      <c r="W165" s="475" t="str">
        <f>IF($AC$165="","",$W$144)</f>
        <v/>
      </c>
      <c r="X165" s="476" t="str">
        <f>IF($AC$165="","",$X$144)</f>
        <v/>
      </c>
      <c r="Y165" s="477" t="str">
        <f>IF($X$165="","",$Y$144)</f>
        <v/>
      </c>
      <c r="Z165" s="477" t="str">
        <f>IF($X$165="","",$Z$144)</f>
        <v/>
      </c>
      <c r="AA165" s="477" t="str">
        <f>IF($AC$165="","",ROW($A$165)-ROW($A$144))</f>
        <v/>
      </c>
      <c r="AB165" s="478"/>
      <c r="AC165" s="34"/>
      <c r="AD165" s="356"/>
      <c r="AE165" s="18"/>
      <c r="AF165" s="19"/>
      <c r="AG165" s="480" t="str">
        <f t="shared" si="28"/>
        <v/>
      </c>
      <c r="AH165" s="481" t="str">
        <f t="shared" si="29"/>
        <v/>
      </c>
      <c r="AI165" s="477" t="str">
        <f>IF($AC$165="","",IFERROR(INDEX($AZ$74:$AZ$119,MATCH($AH$165,$AY$74:$AY$119,0)),"AUTRE"))</f>
        <v/>
      </c>
      <c r="AJ165" s="482" t="str">
        <f>IF($AC$165="","",IFERROR(INDEX($BA$74:$BA$119,MATCH($AH$165,$AY$74:$AY$119,0)),1))</f>
        <v/>
      </c>
      <c r="AK165" s="482" t="str">
        <f t="shared" si="30"/>
        <v/>
      </c>
      <c r="AL165" s="477" t="str">
        <f>IF($AC$165="","",IFERROR(INDEX($BB$74:$BB$119,MATCH($AH$165,$AY$74:$AY$119,0)),$AH$165))</f>
        <v/>
      </c>
      <c r="AM165" s="483" t="str">
        <f t="shared" si="31"/>
        <v/>
      </c>
      <c r="AN165" s="484" t="str">
        <f t="shared" si="32"/>
        <v/>
      </c>
      <c r="AO165" s="473" t="str">
        <f t="shared" si="33"/>
        <v/>
      </c>
      <c r="AP165" s="473" t="str">
        <f t="shared" si="34"/>
        <v/>
      </c>
      <c r="AQ165" s="473" t="str">
        <f t="shared" si="35"/>
        <v/>
      </c>
      <c r="AR165" s="473" t="str">
        <f t="shared" si="36"/>
        <v/>
      </c>
      <c r="AS165" s="473" t="str">
        <f t="shared" si="37"/>
        <v/>
      </c>
      <c r="AT165" s="473" t="str">
        <f t="shared" si="38"/>
        <v/>
      </c>
      <c r="AU165" s="473" t="str">
        <f t="shared" si="39"/>
        <v/>
      </c>
      <c r="AZ165" s="497" t="s">
        <v>465</v>
      </c>
      <c r="BA165" s="34" t="s">
        <v>496</v>
      </c>
      <c r="BB165" s="500"/>
      <c r="BC165" s="271"/>
      <c r="BD165" s="279">
        <v>1</v>
      </c>
      <c r="BE165" s="271"/>
      <c r="BF165" s="271"/>
      <c r="BG165" s="271"/>
      <c r="BH165" s="271"/>
      <c r="BI165" s="271"/>
      <c r="BJ165" s="271"/>
      <c r="BK165" s="271"/>
      <c r="BL165" s="271"/>
    </row>
    <row r="166" spans="18:64" ht="21" customHeight="1" x14ac:dyDescent="0.25">
      <c r="R166" s="34" t="s">
        <v>493</v>
      </c>
      <c r="S166" s="451"/>
      <c r="T166" s="440" t="s">
        <v>8110</v>
      </c>
      <c r="V166" s="475">
        <v>3</v>
      </c>
      <c r="W166" s="475" t="str">
        <f>IF($AC$166="","",$W$144)</f>
        <v/>
      </c>
      <c r="X166" s="476" t="str">
        <f>IF($AC$166="","",$X$144)</f>
        <v/>
      </c>
      <c r="Y166" s="477" t="str">
        <f>IF($X$166="","",$Y$144)</f>
        <v/>
      </c>
      <c r="Z166" s="477" t="str">
        <f>IF($X$166="","",$Z$144)</f>
        <v/>
      </c>
      <c r="AA166" s="477" t="str">
        <f>IF($AC$166="","",ROW($A$166)-ROW($A$144))</f>
        <v/>
      </c>
      <c r="AB166" s="478"/>
      <c r="AC166" s="34"/>
      <c r="AD166" s="356"/>
      <c r="AE166" s="18"/>
      <c r="AF166" s="19"/>
      <c r="AG166" s="480" t="str">
        <f t="shared" si="28"/>
        <v/>
      </c>
      <c r="AH166" s="481" t="str">
        <f t="shared" si="29"/>
        <v/>
      </c>
      <c r="AI166" s="477" t="str">
        <f>IF($AC$166="","",IFERROR(INDEX($AZ$74:$AZ$119,MATCH($AH$166,$AY$74:$AY$119,0)),"AUTRE"))</f>
        <v/>
      </c>
      <c r="AJ166" s="482" t="str">
        <f>IF($AC$166="","",IFERROR(INDEX($BA$74:$BA$119,MATCH($AH$166,$AY$74:$AY$119,0)),1))</f>
        <v/>
      </c>
      <c r="AK166" s="482" t="str">
        <f t="shared" si="30"/>
        <v/>
      </c>
      <c r="AL166" s="477" t="str">
        <f>IF($AC$166="","",IFERROR(INDEX($BB$74:$BB$119,MATCH($AH$166,$AY$74:$AY$119,0)),$AH$166))</f>
        <v/>
      </c>
      <c r="AM166" s="483" t="str">
        <f t="shared" si="31"/>
        <v/>
      </c>
      <c r="AN166" s="484" t="str">
        <f t="shared" si="32"/>
        <v/>
      </c>
      <c r="AO166" s="473" t="str">
        <f t="shared" si="33"/>
        <v/>
      </c>
      <c r="AP166" s="473" t="str">
        <f t="shared" si="34"/>
        <v/>
      </c>
      <c r="AQ166" s="473" t="str">
        <f t="shared" si="35"/>
        <v/>
      </c>
      <c r="AR166" s="473" t="str">
        <f t="shared" si="36"/>
        <v/>
      </c>
      <c r="AS166" s="473" t="str">
        <f t="shared" si="37"/>
        <v/>
      </c>
      <c r="AT166" s="473" t="str">
        <f t="shared" si="38"/>
        <v/>
      </c>
      <c r="AU166" s="473" t="str">
        <f t="shared" si="39"/>
        <v/>
      </c>
      <c r="AZ166" s="497" t="s">
        <v>466</v>
      </c>
      <c r="BA166" s="34" t="s">
        <v>483</v>
      </c>
      <c r="BB166" s="500"/>
      <c r="BC166" s="271"/>
      <c r="BD166" s="279">
        <v>1</v>
      </c>
      <c r="BE166" s="271"/>
      <c r="BF166" s="271"/>
      <c r="BG166" s="271"/>
      <c r="BH166" s="271"/>
      <c r="BI166" s="271"/>
      <c r="BJ166" s="271"/>
      <c r="BK166" s="271"/>
      <c r="BL166" s="271"/>
    </row>
    <row r="167" spans="18:64" ht="21" customHeight="1" x14ac:dyDescent="0.25">
      <c r="R167" s="34" t="s">
        <v>494</v>
      </c>
      <c r="S167" s="451"/>
      <c r="T167" s="452" t="s">
        <v>8113</v>
      </c>
      <c r="V167" s="475">
        <v>3</v>
      </c>
      <c r="W167" s="475" t="str">
        <f>IF($AC$167="","",$W$144)</f>
        <v/>
      </c>
      <c r="X167" s="476" t="str">
        <f>IF($AC$167="","",$X$144)</f>
        <v/>
      </c>
      <c r="Y167" s="477" t="str">
        <f>IF($X$167="","",$Y$144)</f>
        <v/>
      </c>
      <c r="Z167" s="477" t="str">
        <f>IF($X$167="","",$Z$144)</f>
        <v/>
      </c>
      <c r="AA167" s="477" t="str">
        <f>IF($AC$167="","",ROW($A$167)-ROW($A$144))</f>
        <v/>
      </c>
      <c r="AB167" s="478"/>
      <c r="AC167" s="34"/>
      <c r="AD167" s="356"/>
      <c r="AE167" s="18"/>
      <c r="AF167" s="19"/>
      <c r="AG167" s="480" t="str">
        <f t="shared" si="28"/>
        <v/>
      </c>
      <c r="AH167" s="481" t="str">
        <f t="shared" si="29"/>
        <v/>
      </c>
      <c r="AI167" s="477" t="str">
        <f>IF($AC$167="","",IFERROR(INDEX($AZ$74:$AZ$119,MATCH($AH$167,$AY$74:$AY$119,0)),"AUTRE"))</f>
        <v/>
      </c>
      <c r="AJ167" s="482" t="str">
        <f>IF($AC$167="","",IFERROR(INDEX($BA$74:$BA$119,MATCH($AH$167,$AY$74:$AY$119,0)),1))</f>
        <v/>
      </c>
      <c r="AK167" s="482" t="str">
        <f t="shared" si="30"/>
        <v/>
      </c>
      <c r="AL167" s="477" t="str">
        <f>IF($AC$167="","",IFERROR(INDEX($BB$74:$BB$119,MATCH($AH$167,$AY$74:$AY$119,0)),$AH$167))</f>
        <v/>
      </c>
      <c r="AM167" s="483" t="str">
        <f t="shared" si="31"/>
        <v/>
      </c>
      <c r="AN167" s="484" t="str">
        <f t="shared" si="32"/>
        <v/>
      </c>
      <c r="AO167" s="473" t="str">
        <f t="shared" si="33"/>
        <v/>
      </c>
      <c r="AP167" s="473" t="str">
        <f t="shared" si="34"/>
        <v/>
      </c>
      <c r="AQ167" s="473" t="str">
        <f t="shared" si="35"/>
        <v/>
      </c>
      <c r="AR167" s="473" t="str">
        <f t="shared" si="36"/>
        <v/>
      </c>
      <c r="AS167" s="473" t="str">
        <f t="shared" si="37"/>
        <v/>
      </c>
      <c r="AT167" s="473" t="str">
        <f t="shared" si="38"/>
        <v/>
      </c>
      <c r="AU167" s="473" t="str">
        <f t="shared" si="39"/>
        <v/>
      </c>
      <c r="AZ167" s="14" t="s">
        <v>7</v>
      </c>
      <c r="BA167" s="34" t="s">
        <v>493</v>
      </c>
      <c r="BB167" s="500"/>
      <c r="BC167" s="271"/>
      <c r="BD167" s="279">
        <v>1</v>
      </c>
      <c r="BE167" s="271"/>
      <c r="BF167" s="271"/>
      <c r="BG167" s="271"/>
      <c r="BH167" s="271"/>
      <c r="BI167" s="271"/>
      <c r="BJ167" s="271"/>
      <c r="BK167" s="271"/>
      <c r="BL167" s="271"/>
    </row>
    <row r="168" spans="18:64" ht="21" customHeight="1" x14ac:dyDescent="0.25">
      <c r="S168" s="451"/>
      <c r="T168" s="14" t="s">
        <v>7</v>
      </c>
      <c r="V168" s="475">
        <v>3</v>
      </c>
      <c r="W168" s="475" t="str">
        <f>IF($AC$168="","",$W$144)</f>
        <v/>
      </c>
      <c r="X168" s="476" t="str">
        <f>IF($AC$168="","",$X$144)</f>
        <v/>
      </c>
      <c r="Y168" s="477" t="str">
        <f>IF($X$168="","",$Y$144)</f>
        <v/>
      </c>
      <c r="Z168" s="477" t="str">
        <f>IF($X$168="","",$Z$144)</f>
        <v/>
      </c>
      <c r="AA168" s="477" t="str">
        <f>IF($AC$168="","",ROW($A$168)-ROW($A$144))</f>
        <v/>
      </c>
      <c r="AB168" s="478"/>
      <c r="AC168" s="34"/>
      <c r="AD168" s="356"/>
      <c r="AE168" s="18"/>
      <c r="AF168" s="19"/>
      <c r="AG168" s="480" t="str">
        <f t="shared" si="28"/>
        <v/>
      </c>
      <c r="AH168" s="481" t="str">
        <f t="shared" si="29"/>
        <v/>
      </c>
      <c r="AI168" s="477" t="str">
        <f>IF($AC$168="","",IFERROR(INDEX($AZ$74:$AZ$119,MATCH($AH$168,$AY$74:$AY$119,0)),"AUTRE"))</f>
        <v/>
      </c>
      <c r="AJ168" s="482" t="str">
        <f>IF($AC$168="","",IFERROR(INDEX($BA$74:$BA$119,MATCH($AH$168,$AY$74:$AY$119,0)),1))</f>
        <v/>
      </c>
      <c r="AK168" s="482" t="str">
        <f t="shared" si="30"/>
        <v/>
      </c>
      <c r="AL168" s="477" t="str">
        <f>IF($AC$168="","",IFERROR(INDEX($BB$74:$BB$119,MATCH($AH$168,$AY$74:$AY$119,0)),$AH$168))</f>
        <v/>
      </c>
      <c r="AM168" s="483" t="str">
        <f t="shared" si="31"/>
        <v/>
      </c>
      <c r="AN168" s="484" t="str">
        <f t="shared" si="32"/>
        <v/>
      </c>
      <c r="AO168" s="473" t="str">
        <f t="shared" si="33"/>
        <v/>
      </c>
      <c r="AP168" s="473" t="str">
        <f t="shared" si="34"/>
        <v/>
      </c>
      <c r="AQ168" s="473" t="str">
        <f t="shared" si="35"/>
        <v/>
      </c>
      <c r="AR168" s="473" t="str">
        <f t="shared" si="36"/>
        <v/>
      </c>
      <c r="AS168" s="473" t="str">
        <f t="shared" si="37"/>
        <v/>
      </c>
      <c r="AT168" s="473" t="str">
        <f t="shared" si="38"/>
        <v/>
      </c>
      <c r="AU168" s="473" t="str">
        <f t="shared" si="39"/>
        <v/>
      </c>
      <c r="AZ168" s="27" t="s">
        <v>8</v>
      </c>
      <c r="BA168" s="34" t="s">
        <v>494</v>
      </c>
      <c r="BB168" s="500"/>
      <c r="BC168" s="271"/>
      <c r="BD168" s="279">
        <v>1</v>
      </c>
      <c r="BE168" s="271"/>
      <c r="BF168" s="271"/>
      <c r="BG168" s="271"/>
      <c r="BH168" s="271"/>
      <c r="BI168" s="271"/>
      <c r="BJ168" s="271"/>
      <c r="BK168" s="271"/>
      <c r="BL168" s="271"/>
    </row>
    <row r="169" spans="18:64" ht="21" customHeight="1" x14ac:dyDescent="0.25">
      <c r="R169" s="25" t="s">
        <v>6115</v>
      </c>
      <c r="S169" s="451"/>
      <c r="T169" s="27" t="s">
        <v>8</v>
      </c>
      <c r="V169" s="475">
        <v>3</v>
      </c>
      <c r="W169" s="475" t="str">
        <f>IF($AC$169="","",$W$144)</f>
        <v/>
      </c>
      <c r="X169" s="476" t="str">
        <f>IF($AC$169="","",$X$144)</f>
        <v/>
      </c>
      <c r="Y169" s="477" t="str">
        <f>IF($X$169="","",$Y$144)</f>
        <v/>
      </c>
      <c r="Z169" s="477" t="str">
        <f>IF($X$169="","",$Z$144)</f>
        <v/>
      </c>
      <c r="AA169" s="477" t="str">
        <f>IF($AC$169="","",ROW($A$169)-ROW($A$144))</f>
        <v/>
      </c>
      <c r="AB169" s="478"/>
      <c r="AC169" s="34"/>
      <c r="AD169" s="356"/>
      <c r="AE169" s="18"/>
      <c r="AF169" s="19"/>
      <c r="AG169" s="480" t="str">
        <f t="shared" si="28"/>
        <v/>
      </c>
      <c r="AH169" s="481" t="str">
        <f t="shared" si="29"/>
        <v/>
      </c>
      <c r="AI169" s="477" t="str">
        <f>IF($AC$169="","",IFERROR(INDEX($AZ$74:$AZ$119,MATCH($AH$169,$AY$74:$AY$119,0)),"AUTRE"))</f>
        <v/>
      </c>
      <c r="AJ169" s="482" t="str">
        <f>IF($AC$169="","",IFERROR(INDEX($BA$74:$BA$119,MATCH($AH$169,$AY$74:$AY$119,0)),1))</f>
        <v/>
      </c>
      <c r="AK169" s="482" t="str">
        <f t="shared" si="30"/>
        <v/>
      </c>
      <c r="AL169" s="477" t="str">
        <f>IF($AC$169="","",IFERROR(INDEX($BB$74:$BB$119,MATCH($AH$169,$AY$74:$AY$119,0)),$AH$169))</f>
        <v/>
      </c>
      <c r="AM169" s="483" t="str">
        <f t="shared" si="31"/>
        <v/>
      </c>
      <c r="AN169" s="484" t="str">
        <f t="shared" si="32"/>
        <v/>
      </c>
      <c r="AO169" s="473" t="str">
        <f t="shared" si="33"/>
        <v/>
      </c>
      <c r="AP169" s="473" t="str">
        <f t="shared" si="34"/>
        <v/>
      </c>
      <c r="AQ169" s="473" t="str">
        <f t="shared" si="35"/>
        <v/>
      </c>
      <c r="AR169" s="473" t="str">
        <f t="shared" si="36"/>
        <v/>
      </c>
      <c r="AS169" s="473" t="str">
        <f t="shared" si="37"/>
        <v/>
      </c>
      <c r="AT169" s="473" t="str">
        <f t="shared" si="38"/>
        <v/>
      </c>
      <c r="AU169" s="473" t="str">
        <f t="shared" si="39"/>
        <v/>
      </c>
      <c r="AZ169" s="28" t="s">
        <v>13</v>
      </c>
      <c r="BB169" s="500"/>
      <c r="BC169" s="271"/>
      <c r="BD169" s="279">
        <v>1</v>
      </c>
      <c r="BE169" s="271"/>
      <c r="BF169" s="271"/>
      <c r="BG169" s="271"/>
      <c r="BH169" s="271"/>
      <c r="BI169" s="271"/>
      <c r="BJ169" s="271"/>
      <c r="BK169" s="271"/>
      <c r="BL169" s="271"/>
    </row>
    <row r="170" spans="18:64" ht="21" customHeight="1" x14ac:dyDescent="0.25">
      <c r="R170" s="34" t="s">
        <v>471</v>
      </c>
      <c r="S170" s="451"/>
      <c r="T170" s="28" t="s">
        <v>13</v>
      </c>
      <c r="V170" s="475">
        <v>3</v>
      </c>
      <c r="W170" s="475" t="str">
        <f>IF($AC$170="","",$W$144)</f>
        <v/>
      </c>
      <c r="X170" s="476" t="str">
        <f>IF($AC$170="","",$X$144)</f>
        <v/>
      </c>
      <c r="Y170" s="477" t="str">
        <f>IF($X$170="","",$Y$144)</f>
        <v/>
      </c>
      <c r="Z170" s="477" t="str">
        <f>IF($X$170="","",$Z$144)</f>
        <v/>
      </c>
      <c r="AA170" s="477" t="str">
        <f>IF($AC$170="","",ROW($A$170)-ROW($A$144))</f>
        <v/>
      </c>
      <c r="AB170" s="478"/>
      <c r="AC170" s="34"/>
      <c r="AD170" s="356"/>
      <c r="AE170" s="18"/>
      <c r="AF170" s="19"/>
      <c r="AG170" s="480" t="str">
        <f t="shared" si="28"/>
        <v/>
      </c>
      <c r="AH170" s="481" t="str">
        <f t="shared" si="29"/>
        <v/>
      </c>
      <c r="AI170" s="477" t="str">
        <f>IF($AC$170="","",IFERROR(INDEX($AZ$74:$AZ$119,MATCH($AH$170,$AY$74:$AY$119,0)),"AUTRE"))</f>
        <v/>
      </c>
      <c r="AJ170" s="482" t="str">
        <f>IF($AC$170="","",IFERROR(INDEX($BA$74:$BA$119,MATCH($AH$170,$AY$74:$AY$119,0)),1))</f>
        <v/>
      </c>
      <c r="AK170" s="482" t="str">
        <f t="shared" si="30"/>
        <v/>
      </c>
      <c r="AL170" s="477" t="str">
        <f>IF($AC$170="","",IFERROR(INDEX($BB$74:$BB$119,MATCH($AH$170,$AY$74:$AY$119,0)),$AH$170))</f>
        <v/>
      </c>
      <c r="AM170" s="483" t="str">
        <f t="shared" si="31"/>
        <v/>
      </c>
      <c r="AN170" s="484" t="str">
        <f t="shared" si="32"/>
        <v/>
      </c>
      <c r="AO170" s="473" t="str">
        <f t="shared" si="33"/>
        <v/>
      </c>
      <c r="AP170" s="473" t="str">
        <f t="shared" si="34"/>
        <v/>
      </c>
      <c r="AQ170" s="473" t="str">
        <f t="shared" si="35"/>
        <v/>
      </c>
      <c r="AR170" s="473" t="str">
        <f t="shared" si="36"/>
        <v/>
      </c>
      <c r="AS170" s="473" t="str">
        <f t="shared" si="37"/>
        <v/>
      </c>
      <c r="AT170" s="473" t="str">
        <f t="shared" si="38"/>
        <v/>
      </c>
      <c r="AU170" s="473" t="str">
        <f t="shared" si="39"/>
        <v/>
      </c>
      <c r="AZ170" s="28" t="s">
        <v>14</v>
      </c>
      <c r="BA170" s="25" t="s">
        <v>6115</v>
      </c>
      <c r="BB170" s="500"/>
      <c r="BC170" s="271"/>
      <c r="BD170" s="279">
        <v>1</v>
      </c>
      <c r="BE170" s="271"/>
      <c r="BF170" s="271"/>
      <c r="BG170" s="271"/>
      <c r="BH170" s="271"/>
      <c r="BI170" s="271"/>
      <c r="BJ170" s="271"/>
      <c r="BK170" s="271"/>
      <c r="BL170" s="271"/>
    </row>
    <row r="171" spans="18:64" ht="21" customHeight="1" x14ac:dyDescent="0.25">
      <c r="R171" s="34" t="s">
        <v>472</v>
      </c>
      <c r="S171" s="451"/>
      <c r="T171" s="28" t="s">
        <v>14</v>
      </c>
      <c r="V171" s="475">
        <v>3</v>
      </c>
      <c r="W171" s="475" t="str">
        <f>IF($AC$171="","",$W$144)</f>
        <v/>
      </c>
      <c r="X171" s="476" t="str">
        <f>IF($AC$171="","",$X$144)</f>
        <v/>
      </c>
      <c r="Y171" s="477" t="str">
        <f>IF($X$171="","",$Y$144)</f>
        <v/>
      </c>
      <c r="Z171" s="477" t="str">
        <f>IF($X$171="","",$Z$144)</f>
        <v/>
      </c>
      <c r="AA171" s="477" t="str">
        <f>IF($AC$171="","",ROW($A$171)-ROW($A$144))</f>
        <v/>
      </c>
      <c r="AB171" s="478"/>
      <c r="AC171" s="34"/>
      <c r="AD171" s="356"/>
      <c r="AE171" s="18"/>
      <c r="AF171" s="19"/>
      <c r="AG171" s="480" t="str">
        <f t="shared" si="28"/>
        <v/>
      </c>
      <c r="AH171" s="481" t="str">
        <f t="shared" si="29"/>
        <v/>
      </c>
      <c r="AI171" s="477" t="str">
        <f>IF($AC$171="","",IFERROR(INDEX($AZ$74:$AZ$119,MATCH($AH$171,$AY$74:$AY$119,0)),"AUTRE"))</f>
        <v/>
      </c>
      <c r="AJ171" s="482" t="str">
        <f>IF($AC$171="","",IFERROR(INDEX($BA$74:$BA$119,MATCH($AH$171,$AY$74:$AY$119,0)),1))</f>
        <v/>
      </c>
      <c r="AK171" s="482" t="str">
        <f t="shared" si="30"/>
        <v/>
      </c>
      <c r="AL171" s="477" t="str">
        <f>IF($AC$171="","",IFERROR(INDEX($BB$74:$BB$119,MATCH($AH$171,$AY$74:$AY$119,0)),$AH$171))</f>
        <v/>
      </c>
      <c r="AM171" s="483" t="str">
        <f t="shared" si="31"/>
        <v/>
      </c>
      <c r="AN171" s="484" t="str">
        <f t="shared" si="32"/>
        <v/>
      </c>
      <c r="AO171" s="473" t="str">
        <f t="shared" si="33"/>
        <v/>
      </c>
      <c r="AP171" s="473" t="str">
        <f t="shared" si="34"/>
        <v/>
      </c>
      <c r="AQ171" s="473" t="str">
        <f t="shared" si="35"/>
        <v/>
      </c>
      <c r="AR171" s="473" t="str">
        <f t="shared" si="36"/>
        <v/>
      </c>
      <c r="AS171" s="473" t="str">
        <f t="shared" si="37"/>
        <v/>
      </c>
      <c r="AT171" s="473" t="str">
        <f t="shared" si="38"/>
        <v/>
      </c>
      <c r="AU171" s="473" t="str">
        <f t="shared" si="39"/>
        <v/>
      </c>
      <c r="AZ171" s="28" t="s">
        <v>15</v>
      </c>
      <c r="BA171" s="34" t="s">
        <v>471</v>
      </c>
      <c r="BB171" s="500"/>
      <c r="BC171" s="271"/>
      <c r="BD171" s="279">
        <v>1</v>
      </c>
      <c r="BE171" s="271"/>
      <c r="BF171" s="271"/>
      <c r="BG171" s="271"/>
      <c r="BH171" s="271"/>
      <c r="BI171" s="271"/>
      <c r="BJ171" s="271"/>
      <c r="BK171" s="271"/>
      <c r="BL171" s="271"/>
    </row>
    <row r="172" spans="18:64" ht="21" customHeight="1" x14ac:dyDescent="0.25">
      <c r="R172" s="34" t="s">
        <v>6112</v>
      </c>
      <c r="S172" s="451"/>
      <c r="T172" s="28" t="s">
        <v>15</v>
      </c>
      <c r="V172" s="475">
        <v>3</v>
      </c>
      <c r="W172" s="475" t="str">
        <f>IF($AC$172="","",$W$144)</f>
        <v/>
      </c>
      <c r="X172" s="476" t="str">
        <f>IF($AC$172="","",$X$144)</f>
        <v/>
      </c>
      <c r="Y172" s="477" t="str">
        <f>IF($X$172="","",$Y$144)</f>
        <v/>
      </c>
      <c r="Z172" s="477" t="str">
        <f>IF($X$172="","",$Z$144)</f>
        <v/>
      </c>
      <c r="AA172" s="477" t="str">
        <f>IF($AC$172="","",ROW($A$172)-ROW($A$144))</f>
        <v/>
      </c>
      <c r="AB172" s="478"/>
      <c r="AC172" s="34"/>
      <c r="AD172" s="356"/>
      <c r="AE172" s="18"/>
      <c r="AF172" s="19"/>
      <c r="AG172" s="480" t="str">
        <f t="shared" si="28"/>
        <v/>
      </c>
      <c r="AH172" s="481" t="str">
        <f t="shared" si="29"/>
        <v/>
      </c>
      <c r="AI172" s="477" t="str">
        <f>IF($AC$172="","",IFERROR(INDEX($AZ$74:$AZ$119,MATCH($AH$172,$AY$74:$AY$119,0)),"AUTRE"))</f>
        <v/>
      </c>
      <c r="AJ172" s="482" t="str">
        <f>IF($AC$172="","",IFERROR(INDEX($BA$74:$BA$119,MATCH($AH$172,$AY$74:$AY$119,0)),1))</f>
        <v/>
      </c>
      <c r="AK172" s="482" t="str">
        <f t="shared" si="30"/>
        <v/>
      </c>
      <c r="AL172" s="477" t="str">
        <f>IF($AC$172="","",IFERROR(INDEX($BB$74:$BB$119,MATCH($AH$172,$AY$74:$AY$119,0)),$AH$172))</f>
        <v/>
      </c>
      <c r="AM172" s="483" t="str">
        <f t="shared" si="31"/>
        <v/>
      </c>
      <c r="AN172" s="484" t="str">
        <f t="shared" si="32"/>
        <v/>
      </c>
      <c r="AO172" s="473" t="str">
        <f t="shared" si="33"/>
        <v/>
      </c>
      <c r="AP172" s="473" t="str">
        <f t="shared" si="34"/>
        <v/>
      </c>
      <c r="AQ172" s="473" t="str">
        <f t="shared" si="35"/>
        <v/>
      </c>
      <c r="AR172" s="473" t="str">
        <f t="shared" si="36"/>
        <v/>
      </c>
      <c r="AS172" s="473" t="str">
        <f t="shared" si="37"/>
        <v/>
      </c>
      <c r="AT172" s="473" t="str">
        <f t="shared" si="38"/>
        <v/>
      </c>
      <c r="AU172" s="473" t="str">
        <f t="shared" si="39"/>
        <v/>
      </c>
      <c r="AY172" s="271"/>
      <c r="AZ172" s="29" t="s">
        <v>9</v>
      </c>
      <c r="BA172" s="34" t="s">
        <v>472</v>
      </c>
      <c r="BB172" s="499"/>
      <c r="BC172" s="271"/>
      <c r="BD172" s="279">
        <v>1</v>
      </c>
      <c r="BE172" s="271"/>
      <c r="BF172" s="271"/>
      <c r="BG172" s="271"/>
      <c r="BH172" s="271"/>
      <c r="BI172" s="271"/>
      <c r="BJ172" s="271"/>
      <c r="BK172" s="271"/>
      <c r="BL172" s="271"/>
    </row>
    <row r="173" spans="18:64" ht="21" customHeight="1" x14ac:dyDescent="0.25">
      <c r="R173" s="25" t="s">
        <v>6116</v>
      </c>
      <c r="S173" s="451"/>
      <c r="T173" s="28" t="s">
        <v>21</v>
      </c>
      <c r="V173" s="475">
        <v>3</v>
      </c>
      <c r="W173" s="475" t="str">
        <f>IF($AC$173="","",$W$144)</f>
        <v/>
      </c>
      <c r="X173" s="476" t="str">
        <f>IF($AC$173="","",$X$144)</f>
        <v/>
      </c>
      <c r="Y173" s="477" t="str">
        <f>IF($X$173="","",$Y$144)</f>
        <v/>
      </c>
      <c r="Z173" s="477" t="str">
        <f>IF($X$173="","",$Z$144)</f>
        <v/>
      </c>
      <c r="AA173" s="477" t="str">
        <f>IF($AC$173="","",ROW($A$173)-ROW($A$144))</f>
        <v/>
      </c>
      <c r="AB173" s="478"/>
      <c r="AC173" s="34"/>
      <c r="AD173" s="356"/>
      <c r="AE173" s="18"/>
      <c r="AF173" s="19"/>
      <c r="AG173" s="480" t="str">
        <f t="shared" si="28"/>
        <v/>
      </c>
      <c r="AH173" s="481" t="str">
        <f t="shared" si="29"/>
        <v/>
      </c>
      <c r="AI173" s="477" t="str">
        <f>IF($AC$173="","",IFERROR(INDEX($AZ$74:$AZ$119,MATCH($AH$173,$AY$74:$AY$119,0)),"AUTRE"))</f>
        <v/>
      </c>
      <c r="AJ173" s="482" t="str">
        <f>IF($AC$173="","",IFERROR(INDEX($BA$74:$BA$119,MATCH($AH$173,$AY$74:$AY$119,0)),1))</f>
        <v/>
      </c>
      <c r="AK173" s="482" t="str">
        <f t="shared" si="30"/>
        <v/>
      </c>
      <c r="AL173" s="477" t="str">
        <f>IF($AC$173="","",IFERROR(INDEX($BB$74:$BB$119,MATCH($AH$173,$AY$74:$AY$119,0)),$AH$173))</f>
        <v/>
      </c>
      <c r="AM173" s="483" t="str">
        <f t="shared" si="31"/>
        <v/>
      </c>
      <c r="AN173" s="484" t="str">
        <f t="shared" si="32"/>
        <v/>
      </c>
      <c r="AO173" s="473" t="str">
        <f t="shared" si="33"/>
        <v/>
      </c>
      <c r="AP173" s="473" t="str">
        <f t="shared" si="34"/>
        <v/>
      </c>
      <c r="AQ173" s="473" t="str">
        <f t="shared" si="35"/>
        <v/>
      </c>
      <c r="AR173" s="473" t="str">
        <f t="shared" si="36"/>
        <v/>
      </c>
      <c r="AS173" s="473" t="str">
        <f t="shared" si="37"/>
        <v/>
      </c>
      <c r="AT173" s="473" t="str">
        <f t="shared" si="38"/>
        <v/>
      </c>
      <c r="AU173" s="473" t="str">
        <f t="shared" si="39"/>
        <v/>
      </c>
      <c r="AY173" s="497" t="s">
        <v>8145</v>
      </c>
      <c r="AZ173" s="30" t="s">
        <v>10</v>
      </c>
      <c r="BA173" s="34" t="s">
        <v>6112</v>
      </c>
      <c r="BB173" s="499"/>
      <c r="BC173" s="271"/>
      <c r="BD173" s="279">
        <v>1</v>
      </c>
      <c r="BE173" s="271"/>
      <c r="BF173" s="271"/>
      <c r="BG173" s="271"/>
      <c r="BH173" s="271"/>
      <c r="BI173" s="271"/>
      <c r="BJ173" s="271"/>
      <c r="BK173" s="271"/>
      <c r="BL173" s="271"/>
    </row>
    <row r="174" spans="18:64" ht="21" customHeight="1" x14ac:dyDescent="0.25">
      <c r="R174" s="34" t="s">
        <v>6117</v>
      </c>
      <c r="S174" s="451"/>
      <c r="T174" s="28" t="s">
        <v>22</v>
      </c>
      <c r="V174" s="475">
        <v>3</v>
      </c>
      <c r="W174" s="475" t="str">
        <f>IF($AC$174="","",$W$144)</f>
        <v/>
      </c>
      <c r="X174" s="476" t="str">
        <f>IF($AC$174="","",$X$144)</f>
        <v/>
      </c>
      <c r="Y174" s="477" t="str">
        <f>IF($X$174="","",$Y$144)</f>
        <v/>
      </c>
      <c r="Z174" s="477" t="str">
        <f>IF($X$174="","",$Z$144)</f>
        <v/>
      </c>
      <c r="AA174" s="477" t="str">
        <f>IF($AC$174="","",ROW($A$174)-ROW($A$144))</f>
        <v/>
      </c>
      <c r="AB174" s="478"/>
      <c r="AC174" s="34"/>
      <c r="AD174" s="356"/>
      <c r="AE174" s="18"/>
      <c r="AF174" s="19"/>
      <c r="AG174" s="480" t="str">
        <f t="shared" si="28"/>
        <v/>
      </c>
      <c r="AH174" s="481" t="str">
        <f t="shared" si="29"/>
        <v/>
      </c>
      <c r="AI174" s="477" t="str">
        <f>IF($AC$174="","",IFERROR(INDEX($AZ$74:$AZ$119,MATCH($AH$174,$AY$74:$AY$119,0)),"AUTRE"))</f>
        <v/>
      </c>
      <c r="AJ174" s="482" t="str">
        <f>IF($AC$174="","",IFERROR(INDEX($BA$74:$BA$119,MATCH($AH$174,$AY$74:$AY$119,0)),1))</f>
        <v/>
      </c>
      <c r="AK174" s="482" t="str">
        <f t="shared" si="30"/>
        <v/>
      </c>
      <c r="AL174" s="477" t="str">
        <f>IF($AC$174="","",IFERROR(INDEX($BB$74:$BB$119,MATCH($AH$174,$AY$74:$AY$119,0)),$AH$174))</f>
        <v/>
      </c>
      <c r="AM174" s="483" t="str">
        <f t="shared" si="31"/>
        <v/>
      </c>
      <c r="AN174" s="484" t="str">
        <f t="shared" si="32"/>
        <v/>
      </c>
      <c r="AO174" s="473" t="str">
        <f t="shared" si="33"/>
        <v/>
      </c>
      <c r="AP174" s="473" t="str">
        <f t="shared" si="34"/>
        <v/>
      </c>
      <c r="AQ174" s="473" t="str">
        <f t="shared" si="35"/>
        <v/>
      </c>
      <c r="AR174" s="473" t="str">
        <f t="shared" si="36"/>
        <v/>
      </c>
      <c r="AS174" s="473" t="str">
        <f t="shared" si="37"/>
        <v/>
      </c>
      <c r="AT174" s="473" t="str">
        <f t="shared" si="38"/>
        <v/>
      </c>
      <c r="AU174" s="473" t="str">
        <f t="shared" si="39"/>
        <v/>
      </c>
      <c r="AY174" s="497" t="s">
        <v>462</v>
      </c>
      <c r="AZ174" s="30" t="s">
        <v>11</v>
      </c>
      <c r="BA174" s="25" t="s">
        <v>6116</v>
      </c>
      <c r="BB174" s="499"/>
      <c r="BC174" s="271"/>
      <c r="BD174" s="279">
        <v>1</v>
      </c>
      <c r="BE174" s="271"/>
      <c r="BF174" s="271"/>
      <c r="BG174" s="271"/>
      <c r="BH174" s="271"/>
      <c r="BI174" s="271"/>
      <c r="BJ174" s="271"/>
      <c r="BK174" s="271"/>
      <c r="BL174" s="271"/>
    </row>
    <row r="175" spans="18:64" ht="21" customHeight="1" x14ac:dyDescent="0.25">
      <c r="R175" s="34" t="s">
        <v>469</v>
      </c>
      <c r="S175" s="451"/>
      <c r="T175" s="28" t="s">
        <v>23</v>
      </c>
      <c r="V175" s="475">
        <v>3</v>
      </c>
      <c r="W175" s="475" t="str">
        <f>IF($AC$175="","",$W$144)</f>
        <v>N° 27</v>
      </c>
      <c r="X175" s="476" t="str">
        <f>IF($AC$175="","",$X$144)</f>
        <v>FOUACE OLIVES PETITS POIS LARDONS</v>
      </c>
      <c r="Y175" s="477">
        <f>IF($X$175="","",$Y$144)</f>
        <v>44</v>
      </c>
      <c r="Z175" s="477">
        <f>IF($X$175="","",$Z$144)</f>
        <v>100</v>
      </c>
      <c r="AA175" s="477">
        <f>IF($AC$175="","",ROW($A$175)-ROW($A$144))</f>
        <v>31</v>
      </c>
      <c r="AB175" s="478"/>
      <c r="AC175" s="34" t="s">
        <v>493</v>
      </c>
      <c r="AD175" s="356"/>
      <c r="AE175" s="18">
        <v>5</v>
      </c>
      <c r="AF175" s="33" t="s">
        <v>466</v>
      </c>
      <c r="AG175" s="480">
        <f t="shared" si="28"/>
        <v>5</v>
      </c>
      <c r="AH175" s="481" t="str">
        <f t="shared" si="29"/>
        <v>PLAQUE(S)</v>
      </c>
      <c r="AI175" s="477" t="str">
        <f>IF($AC$175="","",IFERROR(INDEX($AZ$74:$AZ$119,MATCH($AH$175,$AY$74:$AY$119,0)),"AUTRE"))</f>
        <v>AUTRE</v>
      </c>
      <c r="AJ175" s="482">
        <f>IF($AC$175="","",IFERROR(INDEX($BA$74:$BA$119,MATCH($AH$175,$AY$74:$AY$119,0)),1))</f>
        <v>1</v>
      </c>
      <c r="AK175" s="482">
        <f t="shared" si="30"/>
        <v>5</v>
      </c>
      <c r="AL175" s="477" t="str">
        <f>IF($AC$175="","",IFERROR(INDEX($BB$74:$BB$119,MATCH($AH$175,$AY$74:$AY$119,0)),$AH$175))</f>
        <v>plaque(s)</v>
      </c>
      <c r="AM175" s="483" t="str">
        <f t="shared" si="31"/>
        <v>OK</v>
      </c>
      <c r="AN175" s="484">
        <f t="shared" si="32"/>
        <v>5</v>
      </c>
      <c r="AO175" s="473" t="str">
        <f t="shared" si="33"/>
        <v/>
      </c>
      <c r="AP175" s="473" t="str">
        <f t="shared" si="34"/>
        <v/>
      </c>
      <c r="AQ175" s="473" t="str">
        <f t="shared" si="35"/>
        <v/>
      </c>
      <c r="AR175" s="473" t="str">
        <f t="shared" si="36"/>
        <v/>
      </c>
      <c r="AS175" s="473" t="str">
        <f t="shared" si="37"/>
        <v/>
      </c>
      <c r="AT175" s="473" t="str">
        <f t="shared" si="38"/>
        <v/>
      </c>
      <c r="AU175" s="473" t="str">
        <f t="shared" si="39"/>
        <v/>
      </c>
      <c r="AY175" s="497" t="s">
        <v>463</v>
      </c>
      <c r="AZ175" s="30" t="s">
        <v>12</v>
      </c>
      <c r="BA175" s="34" t="s">
        <v>6117</v>
      </c>
      <c r="BB175" s="499"/>
      <c r="BC175" s="271"/>
      <c r="BD175" s="279">
        <v>1</v>
      </c>
      <c r="BE175" s="271"/>
      <c r="BF175" s="271"/>
      <c r="BG175" s="271"/>
      <c r="BH175" s="271"/>
      <c r="BI175" s="271"/>
      <c r="BJ175" s="271"/>
      <c r="BK175" s="271"/>
      <c r="BL175" s="271"/>
    </row>
    <row r="176" spans="18:64" ht="21" customHeight="1" x14ac:dyDescent="0.25">
      <c r="R176" s="34" t="s">
        <v>6118</v>
      </c>
      <c r="S176" s="451"/>
      <c r="T176" s="28" t="s">
        <v>24</v>
      </c>
      <c r="V176" s="475">
        <v>3</v>
      </c>
      <c r="W176" s="475" t="str">
        <f>IF($AC$176="","",$W$144)</f>
        <v>N° 27</v>
      </c>
      <c r="X176" s="476" t="str">
        <f>IF($AC$176="","",$X$144)</f>
        <v>FOUACE OLIVES PETITS POIS LARDONS</v>
      </c>
      <c r="Y176" s="477">
        <f>IF($X$176="","",$Y$144)</f>
        <v>44</v>
      </c>
      <c r="Z176" s="477">
        <f>IF($X$176="","",$Z$144)</f>
        <v>100</v>
      </c>
      <c r="AA176" s="477">
        <f>IF($AC$176="","",ROW($A$176)-ROW($A$144))</f>
        <v>32</v>
      </c>
      <c r="AB176" s="478"/>
      <c r="AC176" s="34" t="s">
        <v>495</v>
      </c>
      <c r="AD176" s="356"/>
      <c r="AE176" s="18"/>
      <c r="AF176" s="19"/>
      <c r="AG176" s="480" t="str">
        <f t="shared" si="28"/>
        <v/>
      </c>
      <c r="AH176" s="481" t="str">
        <f t="shared" si="29"/>
        <v/>
      </c>
      <c r="AI176" s="477" t="str">
        <f>IF($AC$176="","",IFERROR(INDEX($AZ$74:$AZ$119,MATCH($AH$176,$AY$74:$AY$119,0)),"AUTRE"))</f>
        <v>AUTRE</v>
      </c>
      <c r="AJ176" s="482">
        <f>IF($AC$176="","",IFERROR(INDEX($BA$74:$BA$119,MATCH($AH$176,$AY$74:$AY$119,0)),1))</f>
        <v>1</v>
      </c>
      <c r="AK176" s="482" t="str">
        <f t="shared" si="30"/>
        <v/>
      </c>
      <c r="AL176" s="477" t="str">
        <f>IF($AC$176="","",IFERROR(INDEX($BB$74:$BB$119,MATCH($AH$176,$AY$74:$AY$119,0)),$AH$176))</f>
        <v/>
      </c>
      <c r="AM176" s="483" t="str">
        <f t="shared" si="31"/>
        <v>TEXTE</v>
      </c>
      <c r="AN176" s="484" t="str">
        <f t="shared" si="32"/>
        <v/>
      </c>
      <c r="AO176" s="473" t="str">
        <f t="shared" si="33"/>
        <v/>
      </c>
      <c r="AP176" s="473" t="str">
        <f t="shared" si="34"/>
        <v/>
      </c>
      <c r="AQ176" s="473" t="str">
        <f t="shared" si="35"/>
        <v/>
      </c>
      <c r="AR176" s="473" t="str">
        <f t="shared" si="36"/>
        <v/>
      </c>
      <c r="AS176" s="473" t="str">
        <f t="shared" si="37"/>
        <v/>
      </c>
      <c r="AT176" s="473" t="str">
        <f t="shared" si="38"/>
        <v/>
      </c>
      <c r="AU176" s="473" t="str">
        <f t="shared" si="39"/>
        <v/>
      </c>
      <c r="AY176" s="497" t="s">
        <v>8147</v>
      </c>
      <c r="AZ176" s="31" t="s">
        <v>16</v>
      </c>
      <c r="BA176" s="34" t="s">
        <v>469</v>
      </c>
      <c r="BB176" s="499"/>
      <c r="BC176" s="271"/>
      <c r="BD176" s="279">
        <v>1</v>
      </c>
      <c r="BE176" s="271"/>
      <c r="BF176" s="271"/>
      <c r="BG176" s="271"/>
      <c r="BH176" s="271"/>
      <c r="BI176" s="271"/>
      <c r="BJ176" s="271"/>
      <c r="BK176" s="271"/>
      <c r="BL176" s="271"/>
    </row>
    <row r="177" spans="18:64" ht="21" customHeight="1" x14ac:dyDescent="0.25">
      <c r="R177" s="34" t="s">
        <v>492</v>
      </c>
      <c r="S177" s="451"/>
      <c r="T177" s="29" t="s">
        <v>9</v>
      </c>
      <c r="V177" s="475">
        <v>3</v>
      </c>
      <c r="W177" s="475" t="str">
        <f>IF($AC$177="","",$W$144)</f>
        <v>N° 27</v>
      </c>
      <c r="X177" s="476" t="str">
        <f>IF($AC$177="","",$X$144)</f>
        <v>FOUACE OLIVES PETITS POIS LARDONS</v>
      </c>
      <c r="Y177" s="477">
        <f>IF($X$177="","",$Y$144)</f>
        <v>44</v>
      </c>
      <c r="Z177" s="477">
        <f>IF($X$177="","",$Z$144)</f>
        <v>100</v>
      </c>
      <c r="AA177" s="477">
        <f>IF($AC$177="","",ROW($A$177)-ROW($A$144))</f>
        <v>33</v>
      </c>
      <c r="AB177" s="478"/>
      <c r="AC177" s="34" t="s">
        <v>494</v>
      </c>
      <c r="AD177" s="356"/>
      <c r="AE177" s="18">
        <v>6</v>
      </c>
      <c r="AF177" s="33" t="s">
        <v>466</v>
      </c>
      <c r="AG177" s="480">
        <f t="shared" si="28"/>
        <v>6</v>
      </c>
      <c r="AH177" s="481" t="str">
        <f t="shared" si="29"/>
        <v>PLAQUE(S)</v>
      </c>
      <c r="AI177" s="477" t="str">
        <f>IF($AC$177="","",IFERROR(INDEX($AZ$74:$AZ$119,MATCH($AH$177,$AY$74:$AY$119,0)),"AUTRE"))</f>
        <v>AUTRE</v>
      </c>
      <c r="AJ177" s="482">
        <f>IF($AC$177="","",IFERROR(INDEX($BA$74:$BA$119,MATCH($AH$177,$AY$74:$AY$119,0)),1))</f>
        <v>1</v>
      </c>
      <c r="AK177" s="482">
        <f t="shared" si="30"/>
        <v>6</v>
      </c>
      <c r="AL177" s="477" t="str">
        <f>IF($AC$177="","",IFERROR(INDEX($BB$74:$BB$119,MATCH($AH$177,$AY$74:$AY$119,0)),$AH$177))</f>
        <v>plaque(s)</v>
      </c>
      <c r="AM177" s="483" t="str">
        <f t="shared" si="31"/>
        <v>OK</v>
      </c>
      <c r="AN177" s="484">
        <f t="shared" si="32"/>
        <v>6</v>
      </c>
      <c r="AO177" s="473" t="str">
        <f t="shared" si="33"/>
        <v/>
      </c>
      <c r="AP177" s="473" t="str">
        <f t="shared" si="34"/>
        <v/>
      </c>
      <c r="AQ177" s="473" t="str">
        <f t="shared" si="35"/>
        <v/>
      </c>
      <c r="AR177" s="473" t="str">
        <f t="shared" si="36"/>
        <v/>
      </c>
      <c r="AS177" s="473" t="str">
        <f t="shared" si="37"/>
        <v/>
      </c>
      <c r="AT177" s="473" t="str">
        <f t="shared" si="38"/>
        <v/>
      </c>
      <c r="AU177" s="473" t="str">
        <f t="shared" si="39"/>
        <v/>
      </c>
      <c r="AY177" s="497" t="s">
        <v>465</v>
      </c>
      <c r="AZ177" s="31" t="s">
        <v>17</v>
      </c>
      <c r="BA177" s="34" t="s">
        <v>6118</v>
      </c>
      <c r="BB177" s="499"/>
      <c r="BC177" s="271"/>
      <c r="BD177" s="279">
        <v>1</v>
      </c>
      <c r="BE177" s="271"/>
      <c r="BF177" s="271"/>
      <c r="BG177" s="271"/>
      <c r="BH177" s="271"/>
      <c r="BI177" s="271"/>
      <c r="BJ177" s="271"/>
      <c r="BK177" s="271"/>
      <c r="BL177" s="271"/>
    </row>
    <row r="178" spans="18:64" ht="21" customHeight="1" x14ac:dyDescent="0.25">
      <c r="R178" s="34" t="s">
        <v>458</v>
      </c>
      <c r="S178" s="451"/>
      <c r="T178" s="30" t="s">
        <v>10</v>
      </c>
      <c r="V178" s="475">
        <v>3</v>
      </c>
      <c r="W178" s="475" t="str">
        <f>IF($AC$178="","",$W$144)</f>
        <v>N° 27</v>
      </c>
      <c r="X178" s="476" t="str">
        <f>IF($AC$178="","",$X$144)</f>
        <v>FOUACE OLIVES PETITS POIS LARDONS</v>
      </c>
      <c r="Y178" s="477">
        <f>IF($X$178="","",$Y$144)</f>
        <v>44</v>
      </c>
      <c r="Z178" s="477">
        <f>IF($X$178="","",$Z$144)</f>
        <v>100</v>
      </c>
      <c r="AA178" s="477">
        <f>IF($AC$178="","",ROW($A$178)-ROW($A$144))</f>
        <v>34</v>
      </c>
      <c r="AB178" s="478"/>
      <c r="AC178" s="34" t="s">
        <v>476</v>
      </c>
      <c r="AD178" s="356"/>
      <c r="AE178" s="18">
        <v>1</v>
      </c>
      <c r="AF178" s="33" t="s">
        <v>462</v>
      </c>
      <c r="AG178" s="491">
        <f t="shared" si="28"/>
        <v>1</v>
      </c>
      <c r="AH178" s="481" t="str">
        <f t="shared" si="29"/>
        <v>BAC(S)</v>
      </c>
      <c r="AI178" s="477" t="str">
        <f>IF($AC$178="","",IFERROR(INDEX($AZ$74:$AZ$119,MATCH($AH$178,$AY$74:$AY$119,0)),"AUTRE"))</f>
        <v>AUTRE</v>
      </c>
      <c r="AJ178" s="482">
        <f>IF($AC$178="","",IFERROR(INDEX($BA$74:$BA$119,MATCH($AH$178,$AY$74:$AY$119,0)),1))</f>
        <v>1</v>
      </c>
      <c r="AK178" s="482">
        <f t="shared" si="30"/>
        <v>1</v>
      </c>
      <c r="AL178" s="477" t="str">
        <f>IF($AC$178="","",IFERROR(INDEX($BB$74:$BB$119,MATCH($AH$178,$AY$74:$AY$119,0)),$AH$178))</f>
        <v>bac(s)</v>
      </c>
      <c r="AM178" s="483" t="str">
        <f t="shared" si="31"/>
        <v>OK</v>
      </c>
      <c r="AN178" s="484">
        <f t="shared" si="32"/>
        <v>1</v>
      </c>
      <c r="AO178" s="473" t="str">
        <f t="shared" si="33"/>
        <v/>
      </c>
      <c r="AP178" s="473" t="str">
        <f t="shared" si="34"/>
        <v/>
      </c>
      <c r="AQ178" s="473" t="str">
        <f t="shared" si="35"/>
        <v/>
      </c>
      <c r="AR178" s="473" t="str">
        <f t="shared" si="36"/>
        <v/>
      </c>
      <c r="AS178" s="473" t="str">
        <f t="shared" si="37"/>
        <v/>
      </c>
      <c r="AT178" s="473" t="str">
        <f t="shared" si="38"/>
        <v/>
      </c>
      <c r="AU178" s="473" t="str">
        <f t="shared" si="39"/>
        <v/>
      </c>
      <c r="AY178" s="497" t="s">
        <v>466</v>
      </c>
      <c r="AZ178" s="31" t="s">
        <v>18</v>
      </c>
      <c r="BA178" s="34" t="s">
        <v>492</v>
      </c>
      <c r="BB178" s="499"/>
      <c r="BC178" s="271"/>
      <c r="BD178" s="279">
        <v>1</v>
      </c>
      <c r="BE178" s="271"/>
      <c r="BF178" s="271"/>
      <c r="BG178" s="271"/>
      <c r="BH178" s="271"/>
      <c r="BI178" s="271"/>
      <c r="BJ178" s="271"/>
      <c r="BK178" s="271"/>
      <c r="BL178" s="271"/>
    </row>
    <row r="179" spans="18:64" ht="30" customHeight="1" x14ac:dyDescent="0.25">
      <c r="R179" s="490"/>
      <c r="S179" s="451"/>
      <c r="T179" s="30" t="s">
        <v>11</v>
      </c>
      <c r="V179" s="453" t="s">
        <v>324</v>
      </c>
      <c r="W179" s="453" t="s">
        <v>7912</v>
      </c>
      <c r="X179" s="453" t="s">
        <v>326</v>
      </c>
      <c r="Y179" s="453" t="s">
        <v>327</v>
      </c>
      <c r="Z179" s="454" t="s">
        <v>7930</v>
      </c>
      <c r="AA179" s="453" t="s">
        <v>7937</v>
      </c>
      <c r="AB179" s="455" t="s">
        <v>39</v>
      </c>
      <c r="AC179" s="455" t="s">
        <v>338</v>
      </c>
      <c r="AD179" s="455" t="s">
        <v>8114</v>
      </c>
      <c r="AE179" s="455" t="s">
        <v>339</v>
      </c>
      <c r="AF179" s="455" t="s">
        <v>7997</v>
      </c>
      <c r="AG179" s="453" t="s">
        <v>8018</v>
      </c>
      <c r="AH179" s="453" t="s">
        <v>8023</v>
      </c>
      <c r="AI179" s="453" t="s">
        <v>330</v>
      </c>
      <c r="AJ179" s="453" t="s">
        <v>8031</v>
      </c>
      <c r="AK179" s="453" t="s">
        <v>8037</v>
      </c>
      <c r="AL179" s="453" t="s">
        <v>8041</v>
      </c>
      <c r="AM179" s="453" t="s">
        <v>343</v>
      </c>
      <c r="AN179" s="457" t="s">
        <v>8115</v>
      </c>
      <c r="AO179" s="457" t="s">
        <v>8116</v>
      </c>
      <c r="AP179" s="656" t="s">
        <v>8117</v>
      </c>
      <c r="AQ179" s="656"/>
      <c r="AR179" s="656"/>
      <c r="AS179" s="656"/>
      <c r="AT179" s="656"/>
      <c r="AU179" s="657"/>
      <c r="AZ179" s="31" t="s">
        <v>19</v>
      </c>
      <c r="BA179" s="34" t="s">
        <v>458</v>
      </c>
      <c r="BB179" s="499"/>
      <c r="BC179" s="271"/>
      <c r="BD179" s="279">
        <v>1</v>
      </c>
      <c r="BE179" s="271"/>
      <c r="BF179" s="271"/>
      <c r="BG179" s="271"/>
      <c r="BH179" s="271"/>
      <c r="BI179" s="271"/>
      <c r="BJ179" s="271"/>
      <c r="BK179" s="271"/>
      <c r="BL179" s="271"/>
    </row>
    <row r="180" spans="18:64" ht="30" customHeight="1" x14ac:dyDescent="0.25">
      <c r="R180" s="25" t="s">
        <v>6119</v>
      </c>
      <c r="S180" s="451"/>
      <c r="T180" s="30" t="s">
        <v>12</v>
      </c>
      <c r="V180" s="459">
        <v>4</v>
      </c>
      <c r="W180" s="460" t="s">
        <v>205</v>
      </c>
      <c r="X180" s="461" t="s">
        <v>204</v>
      </c>
      <c r="Y180" s="462">
        <v>45</v>
      </c>
      <c r="Z180" s="463">
        <v>100</v>
      </c>
      <c r="AA180" s="464">
        <f>IF($AC$396="","",ROW($A$396)-ROW($A$396))</f>
        <v>0</v>
      </c>
      <c r="AB180" s="461"/>
      <c r="AC180" s="465" t="s">
        <v>91</v>
      </c>
      <c r="AD180" s="390"/>
      <c r="AE180" s="13">
        <v>3</v>
      </c>
      <c r="AF180" s="20" t="s">
        <v>9</v>
      </c>
      <c r="AG180" s="467">
        <f t="shared" ref="AG180:AG214" si="40">IF($AC180="","",IF(LEN($AN180&amp;"")=0,"",$AN180))</f>
        <v>3</v>
      </c>
      <c r="AH180" s="468" t="str">
        <f t="shared" ref="AH180:AH214" si="41">IF($AC180="","",IF($AF180&lt;&gt;"",UPPER(TRIM(SUBSTITUTE(SUBSTITUTE($AF180&amp;"",CHAR(160)," ")," "," "))),$AP180))</f>
        <v>L</v>
      </c>
      <c r="AI180" s="469" t="str">
        <f>IF($AC$180="","",IFERROR(INDEX($AZ$74:$AZ$119,MATCH($AH$180,$AY$74:$AY$119,0)),"AUTRE"))</f>
        <v>VOLUME</v>
      </c>
      <c r="AJ180" s="470">
        <f>IF($AC$180="","",IFERROR(INDEX($BA$74:$BA$119,MATCH($AH$180,$AY$74:$AY$119,0)),1))</f>
        <v>1</v>
      </c>
      <c r="AK180" s="470">
        <f t="shared" ref="AK180:AK214" si="42">IF(OR(AG180="",AJ180=""),"",AG180*AJ180)</f>
        <v>3</v>
      </c>
      <c r="AL180" s="469" t="str">
        <f>IF($AC$180="","",IFERROR(INDEX($BB$74:$BB$119,MATCH($AH$180,$AY$74:$AY$119,0)),$AH$180))</f>
        <v>L</v>
      </c>
      <c r="AM180" s="471" t="str">
        <f t="shared" ref="AM180:AM214" si="43">IF($AC180="","",IF($AH180="QT. SUFFISANTE","OK",IF($AG180="","TEXTE",IF(NOT(ISNUMBER($AG180)),"QUANTITÉ À CONTRÔLER",IF(COUNTIF($AY$74:$AY$119,$AH180)=0,"UNITÉ À CONTRÔLER","OK")))))</f>
        <v>OK</v>
      </c>
      <c r="AN180" s="474">
        <f t="shared" ref="AN180:AN214" si="44">IF($AE180&lt;&gt;"",$AE180,IF($AD180="","",IF(ISNUMBER($AD180),$AD180,IF($AO180="QT",0,IF($AO180="","",IFERROR(IF(ISNUMBER(SEARCH("/",$AO180)),VALUE(TRIM(LEFT($AO180,SEARCH("/",$AO180)-1)))/VALUE(TRIM(MID($AO180,SEARCH("/",$AO180)+1,99))),VALUE(SUBSTITUTE($AO180,".",","))),""))))))</f>
        <v>3</v>
      </c>
      <c r="AO180" s="473" t="str">
        <f t="shared" ref="AO180:AO214" si="45">IF($AD180="","",IF(ISNUMBER($AD180),$AD180,IF(OR(LEFT($AQ180,3)="QT.",LEFT($AQ180,4)="QUAN"),"QT",IF($AR180=999,$AQ180,TRIM(LEFT($AQ180,$AR180-1))))))</f>
        <v/>
      </c>
      <c r="AP180" s="473" t="str">
        <f t="shared" ref="AP180:AP214" si="46">IF($AD180="","",IF(ISNUMBER($AD180),"",IF(OR(LEFT($AQ180,3)="QT.",LEFT($AQ180,4)="QUAN"),"QT. SUFFISANTE",IF($AO180="","",TRIM(MID($AQ180,LEN($AO180&amp;"")+1,999))))))</f>
        <v/>
      </c>
      <c r="AQ180" s="473" t="str">
        <f t="shared" ref="AQ180:AQ214" si="47">IF($AD180="","",UPPER(TRIM(SUBSTITUTE(SUBSTITUTE($AD180&amp;"",CHAR(160)," ")," "," "))))</f>
        <v/>
      </c>
      <c r="AR180" s="473" t="str">
        <f t="shared" ref="AR180:AR214" si="48">IF($AQ180="","",MIN($AS180,$AT180,$AU180))</f>
        <v/>
      </c>
      <c r="AS180" s="473" t="str">
        <f t="shared" ref="AS180:AS214" si="49">IF($AQ180="","",MIN(IFERROR(SEARCH("A",$AQ180),999),IFERROR(SEARCH("B",$AQ180),999),IFERROR(SEARCH("C",$AQ180),999),IFERROR(SEARCH("D",$AQ180),999),IFERROR(SEARCH("E",$AQ180),999),IFERROR(SEARCH("F",$AQ180),999),IFERROR(SEARCH("G",$AQ180),999),IFERROR(SEARCH("H",$AQ180),999),IFERROR(SEARCH("I",$AQ180),999)))</f>
        <v/>
      </c>
      <c r="AT180" s="473" t="str">
        <f t="shared" ref="AT180:AT214" si="50">IF($AQ180="","",MIN(IFERROR(SEARCH("J",$AQ180),999),IFERROR(SEARCH("K",$AQ180),999),IFERROR(SEARCH("L",$AQ180),999),IFERROR(SEARCH("M",$AQ180),999),IFERROR(SEARCH("N",$AQ180),999),IFERROR(SEARCH("O",$AQ180),999),IFERROR(SEARCH("P",$AQ180),999),IFERROR(SEARCH("Q",$AQ180),999),IFERROR(SEARCH("R",$AQ180),999)))</f>
        <v/>
      </c>
      <c r="AU180" s="473" t="str">
        <f t="shared" ref="AU180:AU214" si="51">IF($AQ180="","",MIN(IFERROR(SEARCH("S",$AQ180),999),IFERROR(SEARCH("T",$AQ180),999),IFERROR(SEARCH("U",$AQ180),999),IFERROR(SEARCH("V",$AQ180),999),IFERROR(SEARCH("W",$AQ180),999),IFERROR(SEARCH("X",$AQ180),999),IFERROR(SEARCH("Y",$AQ180),999),IFERROR(SEARCH("Z",$AQ180),999)))</f>
        <v/>
      </c>
      <c r="AZ180" s="31" t="s">
        <v>211</v>
      </c>
      <c r="BA180" s="490"/>
      <c r="BB180" s="499"/>
      <c r="BC180" s="271"/>
      <c r="BD180" s="279">
        <v>1</v>
      </c>
      <c r="BE180" s="271"/>
      <c r="BF180" s="271"/>
      <c r="BG180" s="271"/>
      <c r="BH180" s="271"/>
      <c r="BI180" s="271"/>
      <c r="BJ180" s="271"/>
      <c r="BK180" s="271"/>
      <c r="BL180" s="271"/>
    </row>
    <row r="181" spans="18:64" ht="21" customHeight="1" x14ac:dyDescent="0.25">
      <c r="R181" s="34" t="s">
        <v>6120</v>
      </c>
      <c r="S181" s="451"/>
      <c r="T181" s="31" t="s">
        <v>16</v>
      </c>
      <c r="V181" s="475">
        <f>$V$180</f>
        <v>4</v>
      </c>
      <c r="W181" s="475" t="str">
        <f>IF($AC$181="","",$W$180)</f>
        <v>N° 28</v>
      </c>
      <c r="X181" s="476" t="str">
        <f>IF($AC$181="","",$X$180)</f>
        <v>GOUGÈRES A L'EMMENTHAL</v>
      </c>
      <c r="Y181" s="477">
        <f>IF($X$181="","",$Y$180)</f>
        <v>45</v>
      </c>
      <c r="Z181" s="477">
        <f>IF($X$181="","",$Z$180)</f>
        <v>100</v>
      </c>
      <c r="AA181" s="477">
        <f>IF($AC$181="","",ROW($A$181)-ROW($A$180))</f>
        <v>1</v>
      </c>
      <c r="AB181" s="478"/>
      <c r="AC181" s="34" t="s">
        <v>433</v>
      </c>
      <c r="AD181" s="356"/>
      <c r="AE181" s="18">
        <v>1.5</v>
      </c>
      <c r="AF181" s="11" t="s">
        <v>7</v>
      </c>
      <c r="AG181" s="480">
        <f t="shared" si="40"/>
        <v>1.5</v>
      </c>
      <c r="AH181" s="481" t="str">
        <f t="shared" si="41"/>
        <v>KG</v>
      </c>
      <c r="AI181" s="477" t="str">
        <f>IF($AC$181="","",IFERROR(INDEX($AZ$74:$AZ$119,MATCH($AH$181,$AY$74:$AY$119,0)),"AUTRE"))</f>
        <v>MASSE</v>
      </c>
      <c r="AJ181" s="482">
        <f>IF($AC$181="","",IFERROR(INDEX($BA$74:$BA$119,MATCH($AH$181,$AY$74:$AY$119,0)),1))</f>
        <v>1</v>
      </c>
      <c r="AK181" s="482">
        <f t="shared" si="42"/>
        <v>1.5</v>
      </c>
      <c r="AL181" s="477" t="str">
        <f>IF($AC$181="","",IFERROR(INDEX($BB$74:$BB$119,MATCH($AH$181,$AY$74:$AY$119,0)),$AH$181))</f>
        <v>kg</v>
      </c>
      <c r="AM181" s="483" t="str">
        <f t="shared" si="43"/>
        <v>OK</v>
      </c>
      <c r="AN181" s="484">
        <f t="shared" si="44"/>
        <v>1.5</v>
      </c>
      <c r="AO181" s="473" t="str">
        <f t="shared" si="45"/>
        <v/>
      </c>
      <c r="AP181" s="473" t="str">
        <f t="shared" si="46"/>
        <v/>
      </c>
      <c r="AQ181" s="473" t="str">
        <f t="shared" si="47"/>
        <v/>
      </c>
      <c r="AR181" s="473" t="str">
        <f t="shared" si="48"/>
        <v/>
      </c>
      <c r="AS181" s="473" t="str">
        <f t="shared" si="49"/>
        <v/>
      </c>
      <c r="AT181" s="473" t="str">
        <f t="shared" si="50"/>
        <v/>
      </c>
      <c r="AU181" s="473" t="str">
        <f t="shared" si="51"/>
        <v/>
      </c>
      <c r="AZ181" s="31" t="s">
        <v>20</v>
      </c>
      <c r="BA181" s="25" t="s">
        <v>6119</v>
      </c>
      <c r="BB181" s="499"/>
      <c r="BC181" s="271"/>
      <c r="BD181" s="279">
        <v>1</v>
      </c>
      <c r="BE181" s="271"/>
      <c r="BF181" s="271"/>
      <c r="BG181" s="271"/>
      <c r="BH181" s="271"/>
      <c r="BI181" s="271"/>
      <c r="BJ181" s="271"/>
      <c r="BK181" s="271"/>
      <c r="BL181" s="271"/>
    </row>
    <row r="182" spans="18:64" ht="21" customHeight="1" x14ac:dyDescent="0.25">
      <c r="R182" s="34" t="s">
        <v>6121</v>
      </c>
      <c r="S182" s="451"/>
      <c r="T182" s="31" t="s">
        <v>17</v>
      </c>
      <c r="V182" s="475">
        <v>4</v>
      </c>
      <c r="W182" s="475" t="str">
        <f>IF($AC$182="","",$W$180)</f>
        <v>N° 28</v>
      </c>
      <c r="X182" s="476" t="str">
        <f>IF($AC$182="","",$X$180)</f>
        <v>GOUGÈRES A L'EMMENTHAL</v>
      </c>
      <c r="Y182" s="477">
        <f>IF($X$182="","",$Y$180)</f>
        <v>45</v>
      </c>
      <c r="Z182" s="477">
        <f>IF($X$182="","",$Z$180)</f>
        <v>100</v>
      </c>
      <c r="AA182" s="477">
        <f>IF($AC$182="","",ROW($A$182)-ROW($A$180))</f>
        <v>2</v>
      </c>
      <c r="AB182" s="478"/>
      <c r="AC182" s="34" t="s">
        <v>382</v>
      </c>
      <c r="AD182" s="356"/>
      <c r="AE182" s="18">
        <v>1.5</v>
      </c>
      <c r="AF182" s="11" t="s">
        <v>7</v>
      </c>
      <c r="AG182" s="480">
        <f t="shared" si="40"/>
        <v>1.5</v>
      </c>
      <c r="AH182" s="481" t="str">
        <f t="shared" si="41"/>
        <v>KG</v>
      </c>
      <c r="AI182" s="477" t="str">
        <f>IF($AC$182="","",IFERROR(INDEX($AZ$74:$AZ$119,MATCH($AH$182,$AY$74:$AY$119,0)),"AUTRE"))</f>
        <v>MASSE</v>
      </c>
      <c r="AJ182" s="482">
        <f>IF($AC$182="","",IFERROR(INDEX($BA$74:$BA$119,MATCH($AH$182,$AY$74:$AY$119,0)),1))</f>
        <v>1</v>
      </c>
      <c r="AK182" s="482">
        <f t="shared" si="42"/>
        <v>1.5</v>
      </c>
      <c r="AL182" s="477" t="str">
        <f>IF($AC$182="","",IFERROR(INDEX($BB$74:$BB$119,MATCH($AH$182,$AY$74:$AY$119,0)),$AH$182))</f>
        <v>kg</v>
      </c>
      <c r="AM182" s="483" t="str">
        <f t="shared" si="43"/>
        <v>OK</v>
      </c>
      <c r="AN182" s="484">
        <f t="shared" si="44"/>
        <v>1.5</v>
      </c>
      <c r="AO182" s="473" t="str">
        <f t="shared" si="45"/>
        <v/>
      </c>
      <c r="AP182" s="473" t="str">
        <f t="shared" si="46"/>
        <v/>
      </c>
      <c r="AQ182" s="473" t="str">
        <f t="shared" si="47"/>
        <v/>
      </c>
      <c r="AR182" s="473" t="str">
        <f t="shared" si="48"/>
        <v/>
      </c>
      <c r="AS182" s="473" t="str">
        <f t="shared" si="49"/>
        <v/>
      </c>
      <c r="AT182" s="473" t="str">
        <f t="shared" si="50"/>
        <v/>
      </c>
      <c r="AU182" s="473" t="str">
        <f t="shared" si="51"/>
        <v/>
      </c>
      <c r="AZ182" s="31" t="s">
        <v>304</v>
      </c>
      <c r="BA182" s="34" t="s">
        <v>6120</v>
      </c>
      <c r="BB182" s="499"/>
      <c r="BC182" s="271"/>
      <c r="BD182" s="279">
        <v>1</v>
      </c>
      <c r="BE182" s="271"/>
      <c r="BF182" s="271"/>
      <c r="BG182" s="271"/>
      <c r="BH182" s="271"/>
      <c r="BI182" s="271"/>
      <c r="BJ182" s="271"/>
      <c r="BK182" s="271"/>
      <c r="BL182" s="271"/>
    </row>
    <row r="183" spans="18:64" ht="21" customHeight="1" x14ac:dyDescent="0.25">
      <c r="R183" s="34" t="s">
        <v>6122</v>
      </c>
      <c r="S183" s="451"/>
      <c r="T183" s="31" t="s">
        <v>18</v>
      </c>
      <c r="V183" s="475">
        <v>4</v>
      </c>
      <c r="W183" s="475" t="str">
        <f>IF($AC$183="","",$W$180)</f>
        <v>N° 28</v>
      </c>
      <c r="X183" s="476" t="str">
        <f>IF($AC$183="","",$X$180)</f>
        <v>GOUGÈRES A L'EMMENTHAL</v>
      </c>
      <c r="Y183" s="477">
        <f>IF($X$183="","",$Y$180)</f>
        <v>45</v>
      </c>
      <c r="Z183" s="477">
        <f>IF($X$183="","",$Z$180)</f>
        <v>100</v>
      </c>
      <c r="AA183" s="477">
        <f>IF($AC$183="","",ROW($A$183)-ROW($A$180))</f>
        <v>3</v>
      </c>
      <c r="AB183" s="478"/>
      <c r="AC183" s="34" t="s">
        <v>450</v>
      </c>
      <c r="AD183" s="356"/>
      <c r="AE183" s="18">
        <v>50</v>
      </c>
      <c r="AF183" s="23" t="s">
        <v>305</v>
      </c>
      <c r="AG183" s="480">
        <f t="shared" si="40"/>
        <v>50</v>
      </c>
      <c r="AH183" s="481" t="str">
        <f t="shared" si="41"/>
        <v>ŒUF(S)</v>
      </c>
      <c r="AI183" s="477" t="str">
        <f>IF($AC$183="","",IFERROR(INDEX($AZ$74:$AZ$119,MATCH($AH$183,$AY$74:$AY$119,0)),"AUTRE"))</f>
        <v>AUTRE</v>
      </c>
      <c r="AJ183" s="482">
        <f>IF($AC$183="","",IFERROR(INDEX($BA$74:$BA$119,MATCH($AH$183,$AY$74:$AY$119,0)),1))</f>
        <v>1</v>
      </c>
      <c r="AK183" s="482">
        <f t="shared" si="42"/>
        <v>50</v>
      </c>
      <c r="AL183" s="477" t="str">
        <f>IF($AC$183="","",IFERROR(INDEX($BB$74:$BB$119,MATCH($AH$183,$AY$74:$AY$119,0)),$AH$183))</f>
        <v>œuf(s)</v>
      </c>
      <c r="AM183" s="483" t="str">
        <f t="shared" si="43"/>
        <v>OK</v>
      </c>
      <c r="AN183" s="484">
        <f t="shared" si="44"/>
        <v>50</v>
      </c>
      <c r="AO183" s="473" t="str">
        <f t="shared" si="45"/>
        <v/>
      </c>
      <c r="AP183" s="473" t="str">
        <f t="shared" si="46"/>
        <v/>
      </c>
      <c r="AQ183" s="473" t="str">
        <f t="shared" si="47"/>
        <v/>
      </c>
      <c r="AR183" s="473" t="str">
        <f t="shared" si="48"/>
        <v/>
      </c>
      <c r="AS183" s="473" t="str">
        <f t="shared" si="49"/>
        <v/>
      </c>
      <c r="AT183" s="473" t="str">
        <f t="shared" si="50"/>
        <v/>
      </c>
      <c r="AU183" s="473" t="str">
        <f t="shared" si="51"/>
        <v/>
      </c>
      <c r="AZ183" s="31" t="s">
        <v>352</v>
      </c>
      <c r="BA183" s="34" t="s">
        <v>6121</v>
      </c>
      <c r="BB183" s="499"/>
      <c r="BC183" s="271"/>
      <c r="BD183" s="279">
        <v>1</v>
      </c>
      <c r="BE183" s="271"/>
      <c r="BF183" s="271"/>
      <c r="BG183" s="271"/>
      <c r="BH183" s="271"/>
      <c r="BI183" s="271"/>
      <c r="BJ183" s="271"/>
      <c r="BK183" s="271"/>
      <c r="BL183" s="271"/>
    </row>
    <row r="184" spans="18:64" ht="21" customHeight="1" x14ac:dyDescent="0.25">
      <c r="R184" s="34" t="s">
        <v>6123</v>
      </c>
      <c r="S184" s="451"/>
      <c r="T184" s="31" t="s">
        <v>19</v>
      </c>
      <c r="V184" s="475">
        <v>4</v>
      </c>
      <c r="W184" s="475" t="str">
        <f>IF($AC$184="","",$W$180)</f>
        <v>N° 28</v>
      </c>
      <c r="X184" s="476" t="str">
        <f>IF($AC$184="","",$X$180)</f>
        <v>GOUGÈRES A L'EMMENTHAL</v>
      </c>
      <c r="Y184" s="477">
        <f>IF($X$184="","",$Y$180)</f>
        <v>45</v>
      </c>
      <c r="Z184" s="477">
        <f>IF($X$184="","",$Z$180)</f>
        <v>100</v>
      </c>
      <c r="AA184" s="477">
        <f>IF($AC$184="","",ROW($A$184)-ROW($A$180))</f>
        <v>4</v>
      </c>
      <c r="AB184" s="478"/>
      <c r="AC184" s="34" t="s">
        <v>451</v>
      </c>
      <c r="AD184" s="356"/>
      <c r="AE184" s="18">
        <v>2.5</v>
      </c>
      <c r="AF184" s="20" t="s">
        <v>9</v>
      </c>
      <c r="AG184" s="480">
        <f t="shared" si="40"/>
        <v>2.5</v>
      </c>
      <c r="AH184" s="481" t="str">
        <f t="shared" si="41"/>
        <v>L</v>
      </c>
      <c r="AI184" s="477" t="str">
        <f>IF($AC$184="","",IFERROR(INDEX($AZ$74:$AZ$119,MATCH($AH$184,$AY$74:$AY$119,0)),"AUTRE"))</f>
        <v>VOLUME</v>
      </c>
      <c r="AJ184" s="482">
        <f>IF($AC$184="","",IFERROR(INDEX($BA$74:$BA$119,MATCH($AH$184,$AY$74:$AY$119,0)),1))</f>
        <v>1</v>
      </c>
      <c r="AK184" s="482">
        <f t="shared" si="42"/>
        <v>2.5</v>
      </c>
      <c r="AL184" s="477" t="str">
        <f>IF($AC$184="","",IFERROR(INDEX($BB$74:$BB$119,MATCH($AH$184,$AY$74:$AY$119,0)),$AH$184))</f>
        <v>L</v>
      </c>
      <c r="AM184" s="483" t="str">
        <f t="shared" si="43"/>
        <v>OK</v>
      </c>
      <c r="AN184" s="484">
        <f t="shared" si="44"/>
        <v>2.5</v>
      </c>
      <c r="AO184" s="473" t="str">
        <f t="shared" si="45"/>
        <v/>
      </c>
      <c r="AP184" s="473" t="str">
        <f t="shared" si="46"/>
        <v/>
      </c>
      <c r="AQ184" s="473" t="str">
        <f t="shared" si="47"/>
        <v/>
      </c>
      <c r="AR184" s="473" t="str">
        <f t="shared" si="48"/>
        <v/>
      </c>
      <c r="AS184" s="473" t="str">
        <f t="shared" si="49"/>
        <v/>
      </c>
      <c r="AT184" s="473" t="str">
        <f t="shared" si="50"/>
        <v/>
      </c>
      <c r="AU184" s="473" t="str">
        <f t="shared" si="51"/>
        <v/>
      </c>
      <c r="AZ184" s="31" t="s">
        <v>27</v>
      </c>
      <c r="BA184" s="34" t="s">
        <v>6122</v>
      </c>
      <c r="BB184" s="499"/>
      <c r="BC184" s="271"/>
      <c r="BD184" s="279">
        <v>1</v>
      </c>
      <c r="BE184" s="271"/>
      <c r="BF184" s="271"/>
      <c r="BG184" s="271"/>
      <c r="BH184" s="271"/>
      <c r="BI184" s="271"/>
      <c r="BJ184" s="271"/>
      <c r="BK184" s="271"/>
      <c r="BL184" s="271"/>
    </row>
    <row r="185" spans="18:64" ht="21" customHeight="1" x14ac:dyDescent="0.25">
      <c r="R185" s="34" t="s">
        <v>6124</v>
      </c>
      <c r="S185" s="451"/>
      <c r="T185" s="31" t="s">
        <v>211</v>
      </c>
      <c r="V185" s="475">
        <v>4</v>
      </c>
      <c r="W185" s="475" t="str">
        <f>IF($AC$185="","",$W$180)</f>
        <v>N° 28</v>
      </c>
      <c r="X185" s="476" t="str">
        <f>IF($AC$185="","",$X$180)</f>
        <v>GOUGÈRES A L'EMMENTHAL</v>
      </c>
      <c r="Y185" s="477">
        <f>IF($X$185="","",$Y$180)</f>
        <v>45</v>
      </c>
      <c r="Z185" s="477">
        <f>IF($X$185="","",$Z$180)</f>
        <v>100</v>
      </c>
      <c r="AA185" s="477">
        <f>IF($AC$185="","",ROW($A$185)-ROW($A$180))</f>
        <v>5</v>
      </c>
      <c r="AB185" s="478"/>
      <c r="AC185" s="34" t="s">
        <v>422</v>
      </c>
      <c r="AD185" s="356"/>
      <c r="AE185" s="18">
        <v>1.2</v>
      </c>
      <c r="AF185" s="11" t="s">
        <v>7</v>
      </c>
      <c r="AG185" s="480">
        <f t="shared" si="40"/>
        <v>1.2</v>
      </c>
      <c r="AH185" s="481" t="str">
        <f t="shared" si="41"/>
        <v>KG</v>
      </c>
      <c r="AI185" s="477" t="str">
        <f>IF($AC$185="","",IFERROR(INDEX($AZ$74:$AZ$119,MATCH($AH$185,$AY$74:$AY$119,0)),"AUTRE"))</f>
        <v>MASSE</v>
      </c>
      <c r="AJ185" s="482">
        <f>IF($AC$185="","",IFERROR(INDEX($BA$74:$BA$119,MATCH($AH$185,$AY$74:$AY$119,0)),1))</f>
        <v>1</v>
      </c>
      <c r="AK185" s="482">
        <f t="shared" si="42"/>
        <v>1.2</v>
      </c>
      <c r="AL185" s="477" t="str">
        <f>IF($AC$185="","",IFERROR(INDEX($BB$74:$BB$119,MATCH($AH$185,$AY$74:$AY$119,0)),$AH$185))</f>
        <v>kg</v>
      </c>
      <c r="AM185" s="483" t="str">
        <f t="shared" si="43"/>
        <v>OK</v>
      </c>
      <c r="AN185" s="484">
        <f t="shared" si="44"/>
        <v>1.2</v>
      </c>
      <c r="AO185" s="473" t="str">
        <f t="shared" si="45"/>
        <v/>
      </c>
      <c r="AP185" s="473" t="str">
        <f t="shared" si="46"/>
        <v/>
      </c>
      <c r="AQ185" s="473" t="str">
        <f t="shared" si="47"/>
        <v/>
      </c>
      <c r="AR185" s="473" t="str">
        <f t="shared" si="48"/>
        <v/>
      </c>
      <c r="AS185" s="473" t="str">
        <f t="shared" si="49"/>
        <v/>
      </c>
      <c r="AT185" s="473" t="str">
        <f t="shared" si="50"/>
        <v/>
      </c>
      <c r="AU185" s="473" t="str">
        <f t="shared" si="51"/>
        <v/>
      </c>
      <c r="AZ185" s="31" t="s">
        <v>28</v>
      </c>
      <c r="BA185" s="34" t="s">
        <v>6123</v>
      </c>
      <c r="BB185" s="499"/>
      <c r="BC185" s="271"/>
      <c r="BD185" s="279">
        <v>1</v>
      </c>
      <c r="BE185" s="271"/>
      <c r="BF185" s="271"/>
      <c r="BG185" s="271"/>
      <c r="BH185" s="271"/>
      <c r="BI185" s="271"/>
      <c r="BJ185" s="271"/>
      <c r="BK185" s="271"/>
      <c r="BL185" s="271"/>
    </row>
    <row r="186" spans="18:64" ht="21" customHeight="1" x14ac:dyDescent="0.25">
      <c r="R186" s="34" t="s">
        <v>6125</v>
      </c>
      <c r="S186" s="451"/>
      <c r="T186" s="31" t="s">
        <v>20</v>
      </c>
      <c r="V186" s="475">
        <v>4</v>
      </c>
      <c r="W186" s="475" t="str">
        <f>IF($AC$186="","",$W$180)</f>
        <v>N° 28</v>
      </c>
      <c r="X186" s="476" t="str">
        <f>IF($AC$186="","",$X$180)</f>
        <v>GOUGÈRES A L'EMMENTHAL</v>
      </c>
      <c r="Y186" s="477">
        <f>IF($X$186="","",$Y$180)</f>
        <v>45</v>
      </c>
      <c r="Z186" s="477">
        <f>IF($X$186="","",$Z$180)</f>
        <v>100</v>
      </c>
      <c r="AA186" s="477">
        <f>IF($AC$186="","",ROW($A$186)-ROW($A$180))</f>
        <v>6</v>
      </c>
      <c r="AB186" s="478"/>
      <c r="AC186" s="34" t="s">
        <v>167</v>
      </c>
      <c r="AD186" s="356"/>
      <c r="AE186" s="18">
        <v>2.5</v>
      </c>
      <c r="AF186" s="16" t="s">
        <v>8</v>
      </c>
      <c r="AG186" s="480">
        <f t="shared" si="40"/>
        <v>2.5</v>
      </c>
      <c r="AH186" s="481" t="str">
        <f t="shared" si="41"/>
        <v>G</v>
      </c>
      <c r="AI186" s="477" t="str">
        <f>IF($AC$186="","",IFERROR(INDEX($AZ$74:$AZ$119,MATCH($AH$186,$AY$74:$AY$119,0)),"AUTRE"))</f>
        <v>MASSE</v>
      </c>
      <c r="AJ186" s="482">
        <f>IF($AC$186="","",IFERROR(INDEX($BA$74:$BA$119,MATCH($AH$186,$AY$74:$AY$119,0)),1))</f>
        <v>1E-3</v>
      </c>
      <c r="AK186" s="482">
        <f t="shared" si="42"/>
        <v>2.5000000000000001E-3</v>
      </c>
      <c r="AL186" s="477" t="str">
        <f>IF($AC$186="","",IFERROR(INDEX($BB$74:$BB$119,MATCH($AH$186,$AY$74:$AY$119,0)),$AH$186))</f>
        <v>kg</v>
      </c>
      <c r="AM186" s="483" t="str">
        <f t="shared" si="43"/>
        <v>OK</v>
      </c>
      <c r="AN186" s="484">
        <f t="shared" si="44"/>
        <v>2.5</v>
      </c>
      <c r="AO186" s="473" t="str">
        <f t="shared" si="45"/>
        <v/>
      </c>
      <c r="AP186" s="473" t="str">
        <f t="shared" si="46"/>
        <v/>
      </c>
      <c r="AQ186" s="473" t="str">
        <f t="shared" si="47"/>
        <v/>
      </c>
      <c r="AR186" s="473" t="str">
        <f t="shared" si="48"/>
        <v/>
      </c>
      <c r="AS186" s="473" t="str">
        <f t="shared" si="49"/>
        <v/>
      </c>
      <c r="AT186" s="473" t="str">
        <f t="shared" si="50"/>
        <v/>
      </c>
      <c r="AU186" s="473" t="str">
        <f t="shared" si="51"/>
        <v/>
      </c>
      <c r="AZ186" s="31" t="s">
        <v>29</v>
      </c>
      <c r="BA186" s="34" t="s">
        <v>6124</v>
      </c>
      <c r="BB186" s="499"/>
      <c r="BC186" s="271"/>
      <c r="BD186" s="279">
        <v>1</v>
      </c>
      <c r="BE186" s="271"/>
      <c r="BF186" s="271"/>
      <c r="BG186" s="271"/>
      <c r="BH186" s="271"/>
      <c r="BI186" s="271"/>
      <c r="BJ186" s="271"/>
      <c r="BK186" s="271"/>
      <c r="BL186" s="271"/>
    </row>
    <row r="187" spans="18:64" ht="21" customHeight="1" x14ac:dyDescent="0.25">
      <c r="R187" s="34" t="s">
        <v>6126</v>
      </c>
      <c r="S187" s="451"/>
      <c r="T187" s="31" t="s">
        <v>304</v>
      </c>
      <c r="V187" s="475">
        <v>4</v>
      </c>
      <c r="W187" s="475" t="str">
        <f>IF($AC$187="","",$W$180)</f>
        <v>N° 28</v>
      </c>
      <c r="X187" s="476" t="str">
        <f>IF($AC$187="","",$X$180)</f>
        <v>GOUGÈRES A L'EMMENTHAL</v>
      </c>
      <c r="Y187" s="477">
        <f>IF($X$187="","",$Y$180)</f>
        <v>45</v>
      </c>
      <c r="Z187" s="477">
        <f>IF($X$187="","",$Z$180)</f>
        <v>100</v>
      </c>
      <c r="AA187" s="477">
        <f>IF($AC$187="","",ROW($A$187)-ROW($A$180))</f>
        <v>7</v>
      </c>
      <c r="AB187" s="478"/>
      <c r="AC187" s="34" t="s">
        <v>43</v>
      </c>
      <c r="AD187" s="356"/>
      <c r="AE187" s="18">
        <v>30</v>
      </c>
      <c r="AF187" s="16" t="s">
        <v>8</v>
      </c>
      <c r="AG187" s="480">
        <f t="shared" si="40"/>
        <v>30</v>
      </c>
      <c r="AH187" s="481" t="str">
        <f t="shared" si="41"/>
        <v>G</v>
      </c>
      <c r="AI187" s="477" t="str">
        <f>IF($AC$187="","",IFERROR(INDEX($AZ$74:$AZ$119,MATCH($AH$187,$AY$74:$AY$119,0)),"AUTRE"))</f>
        <v>MASSE</v>
      </c>
      <c r="AJ187" s="482">
        <f>IF($AC$187="","",IFERROR(INDEX($BA$74:$BA$119,MATCH($AH$187,$AY$74:$AY$119,0)),1))</f>
        <v>1E-3</v>
      </c>
      <c r="AK187" s="482">
        <f t="shared" si="42"/>
        <v>0.03</v>
      </c>
      <c r="AL187" s="477" t="str">
        <f>IF($AC$187="","",IFERROR(INDEX($BB$74:$BB$119,MATCH($AH$187,$AY$74:$AY$119,0)),$AH$187))</f>
        <v>kg</v>
      </c>
      <c r="AM187" s="483" t="str">
        <f t="shared" si="43"/>
        <v>OK</v>
      </c>
      <c r="AN187" s="484">
        <f t="shared" si="44"/>
        <v>30</v>
      </c>
      <c r="AO187" s="473" t="str">
        <f t="shared" si="45"/>
        <v/>
      </c>
      <c r="AP187" s="473" t="str">
        <f t="shared" si="46"/>
        <v/>
      </c>
      <c r="AQ187" s="473" t="str">
        <f t="shared" si="47"/>
        <v/>
      </c>
      <c r="AR187" s="473" t="str">
        <f t="shared" si="48"/>
        <v/>
      </c>
      <c r="AS187" s="473" t="str">
        <f t="shared" si="49"/>
        <v/>
      </c>
      <c r="AT187" s="473" t="str">
        <f t="shared" si="50"/>
        <v/>
      </c>
      <c r="AU187" s="473" t="str">
        <f t="shared" si="51"/>
        <v/>
      </c>
      <c r="AZ187" s="31" t="s">
        <v>30</v>
      </c>
      <c r="BA187" s="34" t="s">
        <v>6125</v>
      </c>
      <c r="BB187" s="499"/>
      <c r="BC187" s="271"/>
      <c r="BD187" s="279">
        <v>1</v>
      </c>
      <c r="BE187" s="271"/>
      <c r="BF187" s="271"/>
      <c r="BG187" s="271"/>
      <c r="BH187" s="271"/>
      <c r="BI187" s="271"/>
      <c r="BJ187" s="271"/>
      <c r="BK187" s="271"/>
      <c r="BL187" s="271"/>
    </row>
    <row r="188" spans="18:64" ht="21" customHeight="1" x14ac:dyDescent="0.25">
      <c r="R188" s="34" t="s">
        <v>6127</v>
      </c>
      <c r="S188" s="451"/>
      <c r="T188" s="31" t="s">
        <v>352</v>
      </c>
      <c r="V188" s="475">
        <v>4</v>
      </c>
      <c r="W188" s="475" t="str">
        <f>IF($AC$188="","",$W$180)</f>
        <v>N° 28</v>
      </c>
      <c r="X188" s="476" t="str">
        <f>IF($AC$188="","",$X$180)</f>
        <v>GOUGÈRES A L'EMMENTHAL</v>
      </c>
      <c r="Y188" s="477">
        <f>IF($X$188="","",$Y$180)</f>
        <v>45</v>
      </c>
      <c r="Z188" s="477">
        <f>IF($X$188="","",$Z$180)</f>
        <v>100</v>
      </c>
      <c r="AA188" s="477">
        <f>IF($AC$188="","",ROW($A$188)-ROW($A$180))</f>
        <v>8</v>
      </c>
      <c r="AB188" s="478"/>
      <c r="AC188" s="34" t="s">
        <v>44</v>
      </c>
      <c r="AD188" s="356"/>
      <c r="AE188" s="18">
        <v>2</v>
      </c>
      <c r="AF188" s="16" t="s">
        <v>8</v>
      </c>
      <c r="AG188" s="480">
        <f t="shared" si="40"/>
        <v>2</v>
      </c>
      <c r="AH188" s="481" t="str">
        <f t="shared" si="41"/>
        <v>G</v>
      </c>
      <c r="AI188" s="477" t="str">
        <f>IF($AC$188="","",IFERROR(INDEX($AZ$74:$AZ$119,MATCH($AH$188,$AY$74:$AY$119,0)),"AUTRE"))</f>
        <v>MASSE</v>
      </c>
      <c r="AJ188" s="482">
        <f>IF($AC$188="","",IFERROR(INDEX($BA$74:$BA$119,MATCH($AH$188,$AY$74:$AY$119,0)),1))</f>
        <v>1E-3</v>
      </c>
      <c r="AK188" s="482">
        <f t="shared" si="42"/>
        <v>2E-3</v>
      </c>
      <c r="AL188" s="477" t="str">
        <f>IF($AC$188="","",IFERROR(INDEX($BB$74:$BB$119,MATCH($AH$188,$AY$74:$AY$119,0)),$AH$188))</f>
        <v>kg</v>
      </c>
      <c r="AM188" s="483" t="str">
        <f t="shared" si="43"/>
        <v>OK</v>
      </c>
      <c r="AN188" s="484">
        <f t="shared" si="44"/>
        <v>2</v>
      </c>
      <c r="AO188" s="473" t="str">
        <f t="shared" si="45"/>
        <v/>
      </c>
      <c r="AP188" s="473" t="str">
        <f t="shared" si="46"/>
        <v/>
      </c>
      <c r="AQ188" s="473" t="str">
        <f t="shared" si="47"/>
        <v/>
      </c>
      <c r="AR188" s="473" t="str">
        <f t="shared" si="48"/>
        <v/>
      </c>
      <c r="AS188" s="473" t="str">
        <f t="shared" si="49"/>
        <v/>
      </c>
      <c r="AT188" s="473" t="str">
        <f t="shared" si="50"/>
        <v/>
      </c>
      <c r="AU188" s="473" t="str">
        <f t="shared" si="51"/>
        <v/>
      </c>
      <c r="AZ188" s="32" t="s">
        <v>33</v>
      </c>
      <c r="BA188" s="34" t="s">
        <v>6126</v>
      </c>
      <c r="BB188" s="499"/>
      <c r="BC188" s="271"/>
      <c r="BD188" s="279">
        <v>1</v>
      </c>
      <c r="BE188" s="271"/>
      <c r="BF188" s="271"/>
      <c r="BG188" s="271"/>
      <c r="BH188" s="271"/>
      <c r="BI188" s="271"/>
      <c r="BJ188" s="271"/>
      <c r="BK188" s="271"/>
      <c r="BL188" s="271"/>
    </row>
    <row r="189" spans="18:64" ht="21" customHeight="1" x14ac:dyDescent="0.25">
      <c r="R189" s="25" t="s">
        <v>6128</v>
      </c>
      <c r="S189" s="451"/>
      <c r="T189" s="31" t="s">
        <v>25</v>
      </c>
      <c r="V189" s="475">
        <v>4</v>
      </c>
      <c r="W189" s="475" t="str">
        <f>IF($AC$189="","",$W$180)</f>
        <v/>
      </c>
      <c r="X189" s="476" t="str">
        <f>IF($AC$189="","",$X$180)</f>
        <v/>
      </c>
      <c r="Y189" s="477" t="str">
        <f>IF($X$189="","",$Y$180)</f>
        <v/>
      </c>
      <c r="Z189" s="477" t="str">
        <f>IF($X$189="","",$Z$180)</f>
        <v/>
      </c>
      <c r="AA189" s="477" t="str">
        <f>IF($AC$189="","",ROW($A$189)-ROW($A$180))</f>
        <v/>
      </c>
      <c r="AB189" s="478"/>
      <c r="AC189" s="34" t="s">
        <v>345</v>
      </c>
      <c r="AD189" s="356"/>
      <c r="AE189" s="18"/>
      <c r="AF189" s="19"/>
      <c r="AG189" s="480" t="str">
        <f t="shared" si="40"/>
        <v/>
      </c>
      <c r="AH189" s="481" t="str">
        <f t="shared" si="41"/>
        <v/>
      </c>
      <c r="AI189" s="477" t="str">
        <f>IF($AC$189="","",IFERROR(INDEX($AZ$74:$AZ$119,MATCH($AH$189,$AY$74:$AY$119,0)),"AUTRE"))</f>
        <v/>
      </c>
      <c r="AJ189" s="482" t="str">
        <f>IF($AC$189="","",IFERROR(INDEX($BA$74:$BA$119,MATCH($AH$189,$AY$74:$AY$119,0)),1))</f>
        <v/>
      </c>
      <c r="AK189" s="482" t="str">
        <f t="shared" si="42"/>
        <v/>
      </c>
      <c r="AL189" s="477" t="str">
        <f>IF($AC$189="","",IFERROR(INDEX($BB$74:$BB$119,MATCH($AH$189,$AY$74:$AY$119,0)),$AH$189))</f>
        <v/>
      </c>
      <c r="AM189" s="483" t="str">
        <f t="shared" si="43"/>
        <v/>
      </c>
      <c r="AN189" s="484" t="str">
        <f t="shared" si="44"/>
        <v/>
      </c>
      <c r="AO189" s="473" t="str">
        <f t="shared" si="45"/>
        <v/>
      </c>
      <c r="AP189" s="473" t="str">
        <f t="shared" si="46"/>
        <v/>
      </c>
      <c r="AQ189" s="473" t="str">
        <f t="shared" si="47"/>
        <v/>
      </c>
      <c r="AR189" s="473" t="str">
        <f t="shared" si="48"/>
        <v/>
      </c>
      <c r="AS189" s="473" t="str">
        <f t="shared" si="49"/>
        <v/>
      </c>
      <c r="AT189" s="473" t="str">
        <f t="shared" si="50"/>
        <v/>
      </c>
      <c r="AU189" s="473" t="str">
        <f t="shared" si="51"/>
        <v/>
      </c>
      <c r="AZ189" s="32" t="s">
        <v>8125</v>
      </c>
      <c r="BA189" s="34" t="s">
        <v>6127</v>
      </c>
      <c r="BB189" s="499"/>
      <c r="BC189" s="271"/>
      <c r="BD189" s="279">
        <v>1</v>
      </c>
      <c r="BE189" s="271"/>
      <c r="BF189" s="271"/>
      <c r="BG189" s="271"/>
      <c r="BH189" s="271"/>
      <c r="BI189" s="271"/>
      <c r="BJ189" s="271"/>
      <c r="BK189" s="271"/>
      <c r="BL189" s="271"/>
    </row>
    <row r="190" spans="18:64" ht="21" customHeight="1" x14ac:dyDescent="0.25">
      <c r="R190" s="34" t="s">
        <v>474</v>
      </c>
      <c r="S190" s="451"/>
      <c r="T190" s="31" t="s">
        <v>26</v>
      </c>
      <c r="V190" s="475">
        <v>4</v>
      </c>
      <c r="W190" s="475" t="str">
        <f>IF($AC$190="","",$W$180)</f>
        <v>N° 28</v>
      </c>
      <c r="X190" s="476" t="str">
        <f>IF($AC$190="","",$X$180)</f>
        <v>GOUGÈRES A L'EMMENTHAL</v>
      </c>
      <c r="Y190" s="477">
        <f>IF($X$190="","",$Y$180)</f>
        <v>45</v>
      </c>
      <c r="Z190" s="477">
        <f>IF($X$190="","",$Z$180)</f>
        <v>100</v>
      </c>
      <c r="AA190" s="477">
        <f>IF($AC$190="","",ROW($A$190)-ROW($A$180))</f>
        <v>10</v>
      </c>
      <c r="AB190" s="478" t="s">
        <v>8189</v>
      </c>
      <c r="AC190" s="34" t="s">
        <v>407</v>
      </c>
      <c r="AD190" s="356"/>
      <c r="AE190" s="18">
        <v>3</v>
      </c>
      <c r="AF190" s="23" t="s">
        <v>305</v>
      </c>
      <c r="AG190" s="480">
        <f t="shared" si="40"/>
        <v>3</v>
      </c>
      <c r="AH190" s="481" t="str">
        <f t="shared" si="41"/>
        <v>ŒUF(S)</v>
      </c>
      <c r="AI190" s="477" t="str">
        <f>IF($AC$190="","",IFERROR(INDEX($AZ$74:$AZ$119,MATCH($AH$190,$AY$74:$AY$119,0)),"AUTRE"))</f>
        <v>AUTRE</v>
      </c>
      <c r="AJ190" s="482">
        <f>IF($AC$190="","",IFERROR(INDEX($BA$74:$BA$119,MATCH($AH$190,$AY$74:$AY$119,0)),1))</f>
        <v>1</v>
      </c>
      <c r="AK190" s="482">
        <f t="shared" si="42"/>
        <v>3</v>
      </c>
      <c r="AL190" s="477" t="str">
        <f>IF($AC$190="","",IFERROR(INDEX($BB$74:$BB$119,MATCH($AH$190,$AY$74:$AY$119,0)),$AH$190))</f>
        <v>œuf(s)</v>
      </c>
      <c r="AM190" s="483" t="str">
        <f t="shared" si="43"/>
        <v>OK</v>
      </c>
      <c r="AN190" s="484">
        <f t="shared" si="44"/>
        <v>3</v>
      </c>
      <c r="AO190" s="473" t="str">
        <f t="shared" si="45"/>
        <v/>
      </c>
      <c r="AP190" s="473" t="str">
        <f t="shared" si="46"/>
        <v/>
      </c>
      <c r="AQ190" s="473" t="str">
        <f t="shared" si="47"/>
        <v/>
      </c>
      <c r="AR190" s="473" t="str">
        <f t="shared" si="48"/>
        <v/>
      </c>
      <c r="AS190" s="473" t="str">
        <f t="shared" si="49"/>
        <v/>
      </c>
      <c r="AT190" s="473" t="str">
        <f t="shared" si="50"/>
        <v/>
      </c>
      <c r="AU190" s="473" t="str">
        <f t="shared" si="51"/>
        <v/>
      </c>
      <c r="AZ190" s="32" t="s">
        <v>8127</v>
      </c>
      <c r="BA190" s="25" t="s">
        <v>6128</v>
      </c>
      <c r="BB190" s="499"/>
      <c r="BC190" s="271"/>
      <c r="BD190" s="279">
        <v>1</v>
      </c>
      <c r="BE190" s="271"/>
      <c r="BF190" s="271"/>
      <c r="BG190" s="271"/>
      <c r="BH190" s="271"/>
      <c r="BI190" s="271"/>
      <c r="BJ190" s="271"/>
      <c r="BK190" s="271"/>
      <c r="BL190" s="271"/>
    </row>
    <row r="191" spans="18:64" ht="21" customHeight="1" x14ac:dyDescent="0.25">
      <c r="R191" s="34" t="s">
        <v>490</v>
      </c>
      <c r="S191" s="451"/>
      <c r="T191" s="31" t="s">
        <v>27</v>
      </c>
      <c r="V191" s="475">
        <v>4</v>
      </c>
      <c r="W191" s="475" t="str">
        <f>IF($AC$191="","",$W$180)</f>
        <v/>
      </c>
      <c r="X191" s="476" t="str">
        <f>IF($AC$191="","",$X$180)</f>
        <v/>
      </c>
      <c r="Y191" s="477" t="str">
        <f>IF($X$191="","",$Y$180)</f>
        <v/>
      </c>
      <c r="Z191" s="477" t="str">
        <f>IF($X$191="","",$Z$180)</f>
        <v/>
      </c>
      <c r="AA191" s="477" t="str">
        <f>IF($AC$191="","",ROW($A$191)-ROW($A$180))</f>
        <v/>
      </c>
      <c r="AB191" s="478"/>
      <c r="AC191" s="34"/>
      <c r="AD191" s="356"/>
      <c r="AE191" s="18"/>
      <c r="AF191" s="19"/>
      <c r="AG191" s="480" t="str">
        <f t="shared" si="40"/>
        <v/>
      </c>
      <c r="AH191" s="481" t="str">
        <f t="shared" si="41"/>
        <v/>
      </c>
      <c r="AI191" s="477" t="str">
        <f>IF($AC$191="","",IFERROR(INDEX($AZ$74:$AZ$119,MATCH($AH$191,$AY$74:$AY$119,0)),"AUTRE"))</f>
        <v/>
      </c>
      <c r="AJ191" s="482" t="str">
        <f>IF($AC$191="","",IFERROR(INDEX($BA$74:$BA$119,MATCH($AH$191,$AY$74:$AY$119,0)),1))</f>
        <v/>
      </c>
      <c r="AK191" s="482" t="str">
        <f t="shared" si="42"/>
        <v/>
      </c>
      <c r="AL191" s="477" t="str">
        <f>IF($AC$191="","",IFERROR(INDEX($BB$74:$BB$119,MATCH($AH$191,$AY$74:$AY$119,0)),$AH$191))</f>
        <v/>
      </c>
      <c r="AM191" s="483" t="str">
        <f t="shared" si="43"/>
        <v/>
      </c>
      <c r="AN191" s="484" t="str">
        <f t="shared" si="44"/>
        <v/>
      </c>
      <c r="AO191" s="473" t="str">
        <f t="shared" si="45"/>
        <v/>
      </c>
      <c r="AP191" s="473" t="str">
        <f t="shared" si="46"/>
        <v/>
      </c>
      <c r="AQ191" s="473" t="str">
        <f t="shared" si="47"/>
        <v/>
      </c>
      <c r="AR191" s="473" t="str">
        <f t="shared" si="48"/>
        <v/>
      </c>
      <c r="AS191" s="473" t="str">
        <f t="shared" si="49"/>
        <v/>
      </c>
      <c r="AT191" s="473" t="str">
        <f t="shared" si="50"/>
        <v/>
      </c>
      <c r="AU191" s="473" t="str">
        <f t="shared" si="51"/>
        <v/>
      </c>
      <c r="AZ191" s="32" t="s">
        <v>320</v>
      </c>
      <c r="BA191" s="34" t="s">
        <v>474</v>
      </c>
      <c r="BB191" s="499"/>
      <c r="BC191" s="271"/>
      <c r="BD191" s="279">
        <v>1</v>
      </c>
      <c r="BE191" s="271"/>
      <c r="BF191" s="271"/>
      <c r="BG191" s="271"/>
      <c r="BH191" s="271"/>
      <c r="BI191" s="271"/>
      <c r="BJ191" s="271"/>
      <c r="BK191" s="271"/>
      <c r="BL191" s="271"/>
    </row>
    <row r="192" spans="18:64" ht="21" customHeight="1" x14ac:dyDescent="0.25">
      <c r="R192" s="34" t="s">
        <v>6129</v>
      </c>
      <c r="S192" s="451"/>
      <c r="T192" s="31" t="s">
        <v>28</v>
      </c>
      <c r="V192" s="475">
        <v>4</v>
      </c>
      <c r="W192" s="475" t="str">
        <f>IF($AC$192="","",$W$180)</f>
        <v/>
      </c>
      <c r="X192" s="476" t="str">
        <f>IF($AC$192="","",$X$180)</f>
        <v/>
      </c>
      <c r="Y192" s="477" t="str">
        <f>IF($X$192="","",$Y$180)</f>
        <v/>
      </c>
      <c r="Z192" s="477" t="str">
        <f>IF($X$192="","",$Z$180)</f>
        <v/>
      </c>
      <c r="AA192" s="477" t="str">
        <f>IF($AC$192="","",ROW($A$192)-ROW($A$180))</f>
        <v/>
      </c>
      <c r="AB192" s="478"/>
      <c r="AC192" s="34"/>
      <c r="AD192" s="356"/>
      <c r="AE192" s="18"/>
      <c r="AF192" s="19"/>
      <c r="AG192" s="480" t="str">
        <f t="shared" si="40"/>
        <v/>
      </c>
      <c r="AH192" s="481" t="str">
        <f t="shared" si="41"/>
        <v/>
      </c>
      <c r="AI192" s="477" t="str">
        <f>IF($AC$192="","",IFERROR(INDEX($AZ$74:$AZ$119,MATCH($AH$192,$AY$74:$AY$119,0)),"AUTRE"))</f>
        <v/>
      </c>
      <c r="AJ192" s="482" t="str">
        <f>IF($AC$192="","",IFERROR(INDEX($BA$74:$BA$119,MATCH($AH$192,$AY$74:$AY$119,0)),1))</f>
        <v/>
      </c>
      <c r="AK192" s="482" t="str">
        <f t="shared" si="42"/>
        <v/>
      </c>
      <c r="AL192" s="477" t="str">
        <f>IF($AC$192="","",IFERROR(INDEX($BB$74:$BB$119,MATCH($AH$192,$AY$74:$AY$119,0)),$AH$192))</f>
        <v/>
      </c>
      <c r="AM192" s="483" t="str">
        <f t="shared" si="43"/>
        <v/>
      </c>
      <c r="AN192" s="484" t="str">
        <f t="shared" si="44"/>
        <v/>
      </c>
      <c r="AO192" s="473" t="str">
        <f t="shared" si="45"/>
        <v/>
      </c>
      <c r="AP192" s="473" t="str">
        <f t="shared" si="46"/>
        <v/>
      </c>
      <c r="AQ192" s="473" t="str">
        <f t="shared" si="47"/>
        <v/>
      </c>
      <c r="AR192" s="473" t="str">
        <f t="shared" si="48"/>
        <v/>
      </c>
      <c r="AS192" s="473" t="str">
        <f t="shared" si="49"/>
        <v/>
      </c>
      <c r="AT192" s="473" t="str">
        <f t="shared" si="50"/>
        <v/>
      </c>
      <c r="AU192" s="473" t="str">
        <f t="shared" si="51"/>
        <v/>
      </c>
      <c r="AZ192" s="32" t="s">
        <v>318</v>
      </c>
      <c r="BA192" s="34" t="s">
        <v>490</v>
      </c>
      <c r="BB192" s="499"/>
      <c r="BC192" s="271"/>
      <c r="BD192" s="279">
        <v>1</v>
      </c>
      <c r="BE192" s="271"/>
      <c r="BF192" s="271"/>
      <c r="BG192" s="271"/>
      <c r="BH192" s="271"/>
      <c r="BI192" s="271"/>
      <c r="BJ192" s="271"/>
      <c r="BK192" s="271"/>
      <c r="BL192" s="271"/>
    </row>
    <row r="193" spans="18:64" ht="21" customHeight="1" x14ac:dyDescent="0.25">
      <c r="R193" s="34" t="s">
        <v>478</v>
      </c>
      <c r="S193" s="451"/>
      <c r="T193" s="31" t="s">
        <v>29</v>
      </c>
      <c r="V193" s="475">
        <v>4</v>
      </c>
      <c r="W193" s="475" t="str">
        <f>IF($AC$193="","",$W$180)</f>
        <v/>
      </c>
      <c r="X193" s="476" t="str">
        <f>IF($AC$193="","",$X$180)</f>
        <v/>
      </c>
      <c r="Y193" s="477" t="str">
        <f>IF($X$193="","",$Y$180)</f>
        <v/>
      </c>
      <c r="Z193" s="477" t="str">
        <f>IF($X$193="","",$Z$180)</f>
        <v/>
      </c>
      <c r="AA193" s="477" t="str">
        <f>IF($AC$193="","",ROW($A$193)-ROW($A$180))</f>
        <v/>
      </c>
      <c r="AB193" s="478"/>
      <c r="AC193" s="34"/>
      <c r="AD193" s="356"/>
      <c r="AE193" s="18"/>
      <c r="AF193" s="19"/>
      <c r="AG193" s="480" t="str">
        <f t="shared" si="40"/>
        <v/>
      </c>
      <c r="AH193" s="481" t="str">
        <f t="shared" si="41"/>
        <v/>
      </c>
      <c r="AI193" s="477" t="str">
        <f>IF($AC$193="","",IFERROR(INDEX($AZ$74:$AZ$119,MATCH($AH$193,$AY$74:$AY$119,0)),"AUTRE"))</f>
        <v/>
      </c>
      <c r="AJ193" s="482" t="str">
        <f>IF($AC$193="","",IFERROR(INDEX($BA$74:$BA$119,MATCH($AH$193,$AY$74:$AY$119,0)),1))</f>
        <v/>
      </c>
      <c r="AK193" s="482" t="str">
        <f t="shared" si="42"/>
        <v/>
      </c>
      <c r="AL193" s="477" t="str">
        <f>IF($AC$193="","",IFERROR(INDEX($BB$74:$BB$119,MATCH($AH$193,$AY$74:$AY$119,0)),$AH$193))</f>
        <v/>
      </c>
      <c r="AM193" s="483" t="str">
        <f t="shared" si="43"/>
        <v/>
      </c>
      <c r="AN193" s="484" t="str">
        <f t="shared" si="44"/>
        <v/>
      </c>
      <c r="AO193" s="473" t="str">
        <f t="shared" si="45"/>
        <v/>
      </c>
      <c r="AP193" s="473" t="str">
        <f t="shared" si="46"/>
        <v/>
      </c>
      <c r="AQ193" s="473" t="str">
        <f t="shared" si="47"/>
        <v/>
      </c>
      <c r="AR193" s="473" t="str">
        <f t="shared" si="48"/>
        <v/>
      </c>
      <c r="AS193" s="473" t="str">
        <f t="shared" si="49"/>
        <v/>
      </c>
      <c r="AT193" s="473" t="str">
        <f t="shared" si="50"/>
        <v/>
      </c>
      <c r="AU193" s="473" t="str">
        <f t="shared" si="51"/>
        <v/>
      </c>
      <c r="AZ193" s="32" t="s">
        <v>316</v>
      </c>
      <c r="BA193" s="34" t="s">
        <v>6129</v>
      </c>
      <c r="BB193" s="499"/>
      <c r="BC193" s="271"/>
      <c r="BD193" s="279">
        <v>1</v>
      </c>
      <c r="BE193" s="271"/>
      <c r="BF193" s="271"/>
      <c r="BG193" s="271"/>
      <c r="BH193" s="271"/>
      <c r="BI193" s="271"/>
      <c r="BJ193" s="271"/>
      <c r="BK193" s="271"/>
      <c r="BL193" s="271"/>
    </row>
    <row r="194" spans="18:64" ht="21" customHeight="1" x14ac:dyDescent="0.25">
      <c r="R194" s="34" t="s">
        <v>6130</v>
      </c>
      <c r="S194" s="451"/>
      <c r="T194" s="31" t="s">
        <v>30</v>
      </c>
      <c r="V194" s="475">
        <v>4</v>
      </c>
      <c r="W194" s="475" t="str">
        <f>IF($AC$194="","",$W$180)</f>
        <v/>
      </c>
      <c r="X194" s="476" t="str">
        <f>IF($AC$194="","",$X$180)</f>
        <v/>
      </c>
      <c r="Y194" s="477" t="str">
        <f>IF($X$194="","",$Y$180)</f>
        <v/>
      </c>
      <c r="Z194" s="477" t="str">
        <f>IF($X$194="","",$Z$180)</f>
        <v/>
      </c>
      <c r="AA194" s="477" t="str">
        <f>IF($AC$194="","",ROW($A$194)-ROW($A$180))</f>
        <v/>
      </c>
      <c r="AB194" s="478"/>
      <c r="AC194" s="34"/>
      <c r="AD194" s="356"/>
      <c r="AE194" s="18"/>
      <c r="AF194" s="19"/>
      <c r="AG194" s="480" t="str">
        <f t="shared" si="40"/>
        <v/>
      </c>
      <c r="AH194" s="481" t="str">
        <f t="shared" si="41"/>
        <v/>
      </c>
      <c r="AI194" s="477" t="str">
        <f>IF($AC$194="","",IFERROR(INDEX($AZ$74:$AZ$119,MATCH($AH$194,$AY$74:$AY$119,0)),"AUTRE"))</f>
        <v/>
      </c>
      <c r="AJ194" s="482" t="str">
        <f>IF($AC$194="","",IFERROR(INDEX($BA$74:$BA$119,MATCH($AH$194,$AY$74:$AY$119,0)),1))</f>
        <v/>
      </c>
      <c r="AK194" s="482" t="str">
        <f t="shared" si="42"/>
        <v/>
      </c>
      <c r="AL194" s="477" t="str">
        <f>IF($AC$194="","",IFERROR(INDEX($BB$74:$BB$119,MATCH($AH$194,$AY$74:$AY$119,0)),$AH$194))</f>
        <v/>
      </c>
      <c r="AM194" s="483" t="str">
        <f t="shared" si="43"/>
        <v/>
      </c>
      <c r="AN194" s="484" t="str">
        <f t="shared" si="44"/>
        <v/>
      </c>
      <c r="AO194" s="473" t="str">
        <f t="shared" si="45"/>
        <v/>
      </c>
      <c r="AP194" s="473" t="str">
        <f t="shared" si="46"/>
        <v/>
      </c>
      <c r="AQ194" s="473" t="str">
        <f t="shared" si="47"/>
        <v/>
      </c>
      <c r="AR194" s="473" t="str">
        <f t="shared" si="48"/>
        <v/>
      </c>
      <c r="AS194" s="473" t="str">
        <f t="shared" si="49"/>
        <v/>
      </c>
      <c r="AT194" s="473" t="str">
        <f t="shared" si="50"/>
        <v/>
      </c>
      <c r="AU194" s="473" t="str">
        <f t="shared" si="51"/>
        <v/>
      </c>
      <c r="AZ194" s="32" t="s">
        <v>313</v>
      </c>
      <c r="BA194" s="34" t="s">
        <v>478</v>
      </c>
      <c r="BB194" s="499"/>
      <c r="BC194" s="271"/>
      <c r="BD194" s="279">
        <v>1</v>
      </c>
      <c r="BE194" s="271"/>
      <c r="BF194" s="271"/>
      <c r="BG194" s="271"/>
      <c r="BH194" s="271"/>
      <c r="BI194" s="271"/>
      <c r="BJ194" s="271"/>
      <c r="BK194" s="271"/>
      <c r="BL194" s="271"/>
    </row>
    <row r="195" spans="18:64" ht="21" customHeight="1" x14ac:dyDescent="0.25">
      <c r="R195" s="34" t="s">
        <v>486</v>
      </c>
      <c r="S195" s="451"/>
      <c r="T195" s="31" t="s">
        <v>31</v>
      </c>
      <c r="V195" s="475">
        <v>4</v>
      </c>
      <c r="W195" s="475" t="str">
        <f>IF($AC$195="","",$W$180)</f>
        <v/>
      </c>
      <c r="X195" s="476" t="str">
        <f>IF($AC$195="","",$X$180)</f>
        <v/>
      </c>
      <c r="Y195" s="477" t="str">
        <f>IF($X$195="","",$Y$180)</f>
        <v/>
      </c>
      <c r="Z195" s="477" t="str">
        <f>IF($X$195="","",$Z$180)</f>
        <v/>
      </c>
      <c r="AA195" s="477" t="str">
        <f>IF($AC$195="","",ROW($A$195)-ROW($A$180))</f>
        <v/>
      </c>
      <c r="AB195" s="478"/>
      <c r="AC195" s="34"/>
      <c r="AD195" s="356"/>
      <c r="AE195" s="18"/>
      <c r="AF195" s="19"/>
      <c r="AG195" s="480" t="str">
        <f t="shared" si="40"/>
        <v/>
      </c>
      <c r="AH195" s="481" t="str">
        <f t="shared" si="41"/>
        <v/>
      </c>
      <c r="AI195" s="477" t="str">
        <f>IF($AC$195="","",IFERROR(INDEX($AZ$74:$AZ$119,MATCH($AH$195,$AY$74:$AY$119,0)),"AUTRE"))</f>
        <v/>
      </c>
      <c r="AJ195" s="482" t="str">
        <f>IF($AC$195="","",IFERROR(INDEX($BA$74:$BA$119,MATCH($AH$195,$AY$74:$AY$119,0)),1))</f>
        <v/>
      </c>
      <c r="AK195" s="482" t="str">
        <f t="shared" si="42"/>
        <v/>
      </c>
      <c r="AL195" s="477" t="str">
        <f>IF($AC$195="","",IFERROR(INDEX($BB$74:$BB$119,MATCH($AH$195,$AY$74:$AY$119,0)),$AH$195))</f>
        <v/>
      </c>
      <c r="AM195" s="483" t="str">
        <f t="shared" si="43"/>
        <v/>
      </c>
      <c r="AN195" s="484" t="str">
        <f t="shared" si="44"/>
        <v/>
      </c>
      <c r="AO195" s="473" t="str">
        <f t="shared" si="45"/>
        <v/>
      </c>
      <c r="AP195" s="473" t="str">
        <f t="shared" si="46"/>
        <v/>
      </c>
      <c r="AQ195" s="473" t="str">
        <f t="shared" si="47"/>
        <v/>
      </c>
      <c r="AR195" s="473" t="str">
        <f t="shared" si="48"/>
        <v/>
      </c>
      <c r="AS195" s="473" t="str">
        <f t="shared" si="49"/>
        <v/>
      </c>
      <c r="AT195" s="473" t="str">
        <f t="shared" si="50"/>
        <v/>
      </c>
      <c r="AU195" s="473" t="str">
        <f t="shared" si="51"/>
        <v/>
      </c>
      <c r="AZ195" s="32" t="s">
        <v>307</v>
      </c>
      <c r="BA195" s="34" t="s">
        <v>6130</v>
      </c>
      <c r="BB195" s="499"/>
      <c r="BC195" s="271"/>
      <c r="BD195" s="279">
        <v>1</v>
      </c>
      <c r="BE195" s="271"/>
      <c r="BF195" s="271"/>
      <c r="BG195" s="271"/>
      <c r="BH195" s="271"/>
      <c r="BI195" s="271"/>
      <c r="BJ195" s="271"/>
      <c r="BK195" s="271"/>
      <c r="BL195" s="271"/>
    </row>
    <row r="196" spans="18:64" ht="21" customHeight="1" x14ac:dyDescent="0.25">
      <c r="R196" s="34" t="s">
        <v>479</v>
      </c>
      <c r="S196" s="451"/>
      <c r="T196" s="32" t="s">
        <v>33</v>
      </c>
      <c r="V196" s="475">
        <v>4</v>
      </c>
      <c r="W196" s="475" t="str">
        <f>IF($AC$196="","",$W$180)</f>
        <v/>
      </c>
      <c r="X196" s="476" t="str">
        <f>IF($AC$196="","",$X$180)</f>
        <v/>
      </c>
      <c r="Y196" s="477" t="str">
        <f>IF($X$196="","",$Y$180)</f>
        <v/>
      </c>
      <c r="Z196" s="477" t="str">
        <f>IF($X$196="","",$Z$180)</f>
        <v/>
      </c>
      <c r="AA196" s="477" t="str">
        <f>IF($AC$196="","",ROW($A$196)-ROW($A$180))</f>
        <v/>
      </c>
      <c r="AB196" s="478"/>
      <c r="AC196" s="34"/>
      <c r="AD196" s="356"/>
      <c r="AE196" s="18"/>
      <c r="AF196" s="19"/>
      <c r="AG196" s="480" t="str">
        <f t="shared" si="40"/>
        <v/>
      </c>
      <c r="AH196" s="481" t="str">
        <f t="shared" si="41"/>
        <v/>
      </c>
      <c r="AI196" s="477" t="str">
        <f>IF($AC$196="","",IFERROR(INDEX($AZ$74:$AZ$119,MATCH($AH$196,$AY$74:$AY$119,0)),"AUTRE"))</f>
        <v/>
      </c>
      <c r="AJ196" s="482" t="str">
        <f>IF($AC$196="","",IFERROR(INDEX($BA$74:$BA$119,MATCH($AH$196,$AY$74:$AY$119,0)),1))</f>
        <v/>
      </c>
      <c r="AK196" s="482" t="str">
        <f t="shared" si="42"/>
        <v/>
      </c>
      <c r="AL196" s="477" t="str">
        <f>IF($AC$196="","",IFERROR(INDEX($BB$74:$BB$119,MATCH($AH$196,$AY$74:$AY$119,0)),$AH$196))</f>
        <v/>
      </c>
      <c r="AM196" s="483" t="str">
        <f t="shared" si="43"/>
        <v/>
      </c>
      <c r="AN196" s="484" t="str">
        <f t="shared" si="44"/>
        <v/>
      </c>
      <c r="AO196" s="473" t="str">
        <f t="shared" si="45"/>
        <v/>
      </c>
      <c r="AP196" s="473" t="str">
        <f t="shared" si="46"/>
        <v/>
      </c>
      <c r="AQ196" s="473" t="str">
        <f t="shared" si="47"/>
        <v/>
      </c>
      <c r="AR196" s="473" t="str">
        <f t="shared" si="48"/>
        <v/>
      </c>
      <c r="AS196" s="473" t="str">
        <f t="shared" si="49"/>
        <v/>
      </c>
      <c r="AT196" s="473" t="str">
        <f t="shared" si="50"/>
        <v/>
      </c>
      <c r="AU196" s="473" t="str">
        <f t="shared" si="51"/>
        <v/>
      </c>
      <c r="AZ196" s="32" t="s">
        <v>322</v>
      </c>
      <c r="BA196" s="34" t="s">
        <v>486</v>
      </c>
      <c r="BB196" s="499"/>
      <c r="BC196" s="271"/>
      <c r="BD196" s="279">
        <v>1</v>
      </c>
      <c r="BE196" s="271"/>
      <c r="BF196" s="271"/>
      <c r="BG196" s="271"/>
      <c r="BH196" s="271"/>
      <c r="BI196" s="271"/>
      <c r="BJ196" s="271"/>
      <c r="BK196" s="271"/>
      <c r="BL196" s="271"/>
    </row>
    <row r="197" spans="18:64" ht="21" customHeight="1" x14ac:dyDescent="0.25">
      <c r="R197" s="34" t="s">
        <v>6131</v>
      </c>
      <c r="S197" s="451"/>
      <c r="T197" s="32" t="s">
        <v>8125</v>
      </c>
      <c r="V197" s="475">
        <v>4</v>
      </c>
      <c r="W197" s="475" t="str">
        <f>IF($AC$197="","",$W$180)</f>
        <v/>
      </c>
      <c r="X197" s="476" t="str">
        <f>IF($AC$197="","",$X$180)</f>
        <v/>
      </c>
      <c r="Y197" s="477" t="str">
        <f>IF($X$197="","",$Y$180)</f>
        <v/>
      </c>
      <c r="Z197" s="477" t="str">
        <f>IF($X$197="","",$Z$180)</f>
        <v/>
      </c>
      <c r="AA197" s="477" t="str">
        <f>IF($AC$197="","",ROW($A$197)-ROW($A$180))</f>
        <v/>
      </c>
      <c r="AB197" s="478"/>
      <c r="AC197" s="34"/>
      <c r="AD197" s="356"/>
      <c r="AE197" s="18"/>
      <c r="AF197" s="19"/>
      <c r="AG197" s="480" t="str">
        <f t="shared" si="40"/>
        <v/>
      </c>
      <c r="AH197" s="481" t="str">
        <f t="shared" si="41"/>
        <v/>
      </c>
      <c r="AI197" s="477" t="str">
        <f>IF($AC$197="","",IFERROR(INDEX($AZ$74:$AZ$119,MATCH($AH$197,$AY$74:$AY$119,0)),"AUTRE"))</f>
        <v/>
      </c>
      <c r="AJ197" s="482" t="str">
        <f>IF($AC$197="","",IFERROR(INDEX($BA$74:$BA$119,MATCH($AH$197,$AY$74:$AY$119,0)),1))</f>
        <v/>
      </c>
      <c r="AK197" s="482" t="str">
        <f t="shared" si="42"/>
        <v/>
      </c>
      <c r="AL197" s="477" t="str">
        <f>IF($AC$197="","",IFERROR(INDEX($BB$74:$BB$119,MATCH($AH$197,$AY$74:$AY$119,0)),$AH$197))</f>
        <v/>
      </c>
      <c r="AM197" s="483" t="str">
        <f t="shared" si="43"/>
        <v/>
      </c>
      <c r="AN197" s="484" t="str">
        <f t="shared" si="44"/>
        <v/>
      </c>
      <c r="AO197" s="473" t="str">
        <f t="shared" si="45"/>
        <v/>
      </c>
      <c r="AP197" s="473" t="str">
        <f t="shared" si="46"/>
        <v/>
      </c>
      <c r="AQ197" s="473" t="str">
        <f t="shared" si="47"/>
        <v/>
      </c>
      <c r="AR197" s="473" t="str">
        <f t="shared" si="48"/>
        <v/>
      </c>
      <c r="AS197" s="473" t="str">
        <f t="shared" si="49"/>
        <v/>
      </c>
      <c r="AT197" s="473" t="str">
        <f t="shared" si="50"/>
        <v/>
      </c>
      <c r="AU197" s="473" t="str">
        <f t="shared" si="51"/>
        <v/>
      </c>
      <c r="AZ197" s="32" t="s">
        <v>305</v>
      </c>
      <c r="BA197" s="34" t="s">
        <v>479</v>
      </c>
      <c r="BB197" s="499"/>
      <c r="BC197" s="271"/>
      <c r="BD197" s="279">
        <v>1</v>
      </c>
      <c r="BE197" s="271"/>
      <c r="BF197" s="271"/>
      <c r="BG197" s="271"/>
      <c r="BH197" s="271"/>
      <c r="BI197" s="271"/>
      <c r="BJ197" s="271"/>
      <c r="BK197" s="271"/>
      <c r="BL197" s="271"/>
    </row>
    <row r="198" spans="18:64" ht="21" customHeight="1" x14ac:dyDescent="0.25">
      <c r="R198" s="34" t="s">
        <v>485</v>
      </c>
      <c r="S198" s="451"/>
      <c r="T198" s="32" t="s">
        <v>8127</v>
      </c>
      <c r="V198" s="475">
        <v>4</v>
      </c>
      <c r="W198" s="475" t="str">
        <f>IF($AC$198="","",$W$180)</f>
        <v/>
      </c>
      <c r="X198" s="476" t="str">
        <f>IF($AC$198="","",$X$180)</f>
        <v/>
      </c>
      <c r="Y198" s="477" t="str">
        <f>IF($X$198="","",$Y$180)</f>
        <v/>
      </c>
      <c r="Z198" s="477" t="str">
        <f>IF($X$198="","",$Z$180)</f>
        <v/>
      </c>
      <c r="AA198" s="477" t="str">
        <f>IF($AC$198="","",ROW($A$198)-ROW($A$180))</f>
        <v/>
      </c>
      <c r="AB198" s="478"/>
      <c r="AC198" s="34"/>
      <c r="AD198" s="356"/>
      <c r="AE198" s="18"/>
      <c r="AF198" s="19"/>
      <c r="AG198" s="480" t="str">
        <f t="shared" si="40"/>
        <v/>
      </c>
      <c r="AH198" s="481" t="str">
        <f t="shared" si="41"/>
        <v/>
      </c>
      <c r="AI198" s="477" t="str">
        <f>IF($AC$198="","",IFERROR(INDEX($AZ$74:$AZ$119,MATCH($AH$198,$AY$74:$AY$119,0)),"AUTRE"))</f>
        <v/>
      </c>
      <c r="AJ198" s="482" t="str">
        <f>IF($AC$198="","",IFERROR(INDEX($BA$74:$BA$119,MATCH($AH$198,$AY$74:$AY$119,0)),1))</f>
        <v/>
      </c>
      <c r="AK198" s="482" t="str">
        <f t="shared" si="42"/>
        <v/>
      </c>
      <c r="AL198" s="477" t="str">
        <f>IF($AC$198="","",IFERROR(INDEX($BB$74:$BB$119,MATCH($AH$198,$AY$74:$AY$119,0)),$AH$198))</f>
        <v/>
      </c>
      <c r="AM198" s="483" t="str">
        <f t="shared" si="43"/>
        <v/>
      </c>
      <c r="AN198" s="484" t="str">
        <f t="shared" si="44"/>
        <v/>
      </c>
      <c r="AO198" s="473" t="str">
        <f t="shared" si="45"/>
        <v/>
      </c>
      <c r="AP198" s="473" t="str">
        <f t="shared" si="46"/>
        <v/>
      </c>
      <c r="AQ198" s="473" t="str">
        <f t="shared" si="47"/>
        <v/>
      </c>
      <c r="AR198" s="473" t="str">
        <f t="shared" si="48"/>
        <v/>
      </c>
      <c r="AS198" s="473" t="str">
        <f t="shared" si="49"/>
        <v/>
      </c>
      <c r="AT198" s="473" t="str">
        <f t="shared" si="50"/>
        <v/>
      </c>
      <c r="AU198" s="473" t="str">
        <f t="shared" si="51"/>
        <v/>
      </c>
      <c r="AZ198" s="32" t="s">
        <v>8129</v>
      </c>
      <c r="BA198" s="34" t="s">
        <v>6131</v>
      </c>
      <c r="BB198" s="499"/>
      <c r="BC198" s="271"/>
      <c r="BD198" s="279">
        <v>1</v>
      </c>
      <c r="BE198" s="271"/>
      <c r="BF198" s="271"/>
      <c r="BG198" s="271"/>
      <c r="BH198" s="271"/>
      <c r="BI198" s="271"/>
      <c r="BJ198" s="271"/>
      <c r="BK198" s="271"/>
      <c r="BL198" s="271"/>
    </row>
    <row r="199" spans="18:64" ht="21" customHeight="1" x14ac:dyDescent="0.25">
      <c r="R199" s="34" t="s">
        <v>6132</v>
      </c>
      <c r="S199" s="451"/>
      <c r="T199" s="32" t="s">
        <v>320</v>
      </c>
      <c r="V199" s="475">
        <v>4</v>
      </c>
      <c r="W199" s="475" t="str">
        <f>IF($AC$199="","",$W$180)</f>
        <v/>
      </c>
      <c r="X199" s="476" t="str">
        <f>IF($AC$199="","",$X$180)</f>
        <v/>
      </c>
      <c r="Y199" s="477" t="str">
        <f>IF($X$199="","",$Y$180)</f>
        <v/>
      </c>
      <c r="Z199" s="477" t="str">
        <f>IF($X$199="","",$Z$180)</f>
        <v/>
      </c>
      <c r="AA199" s="477" t="str">
        <f>IF($AC$199="","",ROW($A$199)-ROW($A$180))</f>
        <v/>
      </c>
      <c r="AB199" s="478"/>
      <c r="AC199" s="34"/>
      <c r="AD199" s="356"/>
      <c r="AE199" s="18"/>
      <c r="AF199" s="19"/>
      <c r="AG199" s="480" t="str">
        <f t="shared" si="40"/>
        <v/>
      </c>
      <c r="AH199" s="481" t="str">
        <f t="shared" si="41"/>
        <v/>
      </c>
      <c r="AI199" s="477" t="str">
        <f>IF($AC$199="","",IFERROR(INDEX($AZ$74:$AZ$119,MATCH($AH$199,$AY$74:$AY$119,0)),"AUTRE"))</f>
        <v/>
      </c>
      <c r="AJ199" s="482" t="str">
        <f>IF($AC$199="","",IFERROR(INDEX($BA$74:$BA$119,MATCH($AH$199,$AY$74:$AY$119,0)),1))</f>
        <v/>
      </c>
      <c r="AK199" s="482" t="str">
        <f t="shared" si="42"/>
        <v/>
      </c>
      <c r="AL199" s="477" t="str">
        <f>IF($AC$199="","",IFERROR(INDEX($BB$74:$BB$119,MATCH($AH$199,$AY$74:$AY$119,0)),$AH$199))</f>
        <v/>
      </c>
      <c r="AM199" s="483" t="str">
        <f t="shared" si="43"/>
        <v/>
      </c>
      <c r="AN199" s="484" t="str">
        <f t="shared" si="44"/>
        <v/>
      </c>
      <c r="AO199" s="473" t="str">
        <f t="shared" si="45"/>
        <v/>
      </c>
      <c r="AP199" s="473" t="str">
        <f t="shared" si="46"/>
        <v/>
      </c>
      <c r="AQ199" s="473" t="str">
        <f t="shared" si="47"/>
        <v/>
      </c>
      <c r="AR199" s="473" t="str">
        <f t="shared" si="48"/>
        <v/>
      </c>
      <c r="AS199" s="473" t="str">
        <f t="shared" si="49"/>
        <v/>
      </c>
      <c r="AT199" s="473" t="str">
        <f t="shared" si="50"/>
        <v/>
      </c>
      <c r="AU199" s="473" t="str">
        <f t="shared" si="51"/>
        <v/>
      </c>
      <c r="AZ199" s="32" t="s">
        <v>8131</v>
      </c>
      <c r="BA199" s="34" t="s">
        <v>485</v>
      </c>
      <c r="BB199" s="499"/>
      <c r="BC199" s="271"/>
      <c r="BD199" s="279">
        <v>1</v>
      </c>
      <c r="BE199" s="271"/>
      <c r="BF199" s="271"/>
      <c r="BG199" s="271"/>
      <c r="BH199" s="271"/>
      <c r="BI199" s="271"/>
      <c r="BJ199" s="271"/>
      <c r="BK199" s="271"/>
      <c r="BL199" s="271"/>
    </row>
    <row r="200" spans="18:64" ht="21" customHeight="1" x14ac:dyDescent="0.25">
      <c r="R200" s="25" t="s">
        <v>6133</v>
      </c>
      <c r="S200" s="451"/>
      <c r="T200" s="32" t="s">
        <v>318</v>
      </c>
      <c r="V200" s="475">
        <v>4</v>
      </c>
      <c r="W200" s="475" t="str">
        <f>IF($AC$200="","",$W$180)</f>
        <v/>
      </c>
      <c r="X200" s="476" t="str">
        <f>IF($AC$200="","",$X$180)</f>
        <v/>
      </c>
      <c r="Y200" s="477" t="str">
        <f>IF($X$200="","",$Y$180)</f>
        <v/>
      </c>
      <c r="Z200" s="477" t="str">
        <f>IF($X$200="","",$Z$180)</f>
        <v/>
      </c>
      <c r="AA200" s="477" t="str">
        <f>IF($AC$200="","",ROW($A$200)-ROW($A$180))</f>
        <v/>
      </c>
      <c r="AB200" s="478"/>
      <c r="AC200" s="34"/>
      <c r="AD200" s="356"/>
      <c r="AE200" s="18"/>
      <c r="AF200" s="19"/>
      <c r="AG200" s="480" t="str">
        <f t="shared" si="40"/>
        <v/>
      </c>
      <c r="AH200" s="481" t="str">
        <f t="shared" si="41"/>
        <v/>
      </c>
      <c r="AI200" s="477" t="str">
        <f>IF($AC$200="","",IFERROR(INDEX($AZ$74:$AZ$119,MATCH($AH$200,$AY$74:$AY$119,0)),"AUTRE"))</f>
        <v/>
      </c>
      <c r="AJ200" s="482" t="str">
        <f>IF($AC$200="","",IFERROR(INDEX($BA$74:$BA$119,MATCH($AH$200,$AY$74:$AY$119,0)),1))</f>
        <v/>
      </c>
      <c r="AK200" s="482" t="str">
        <f t="shared" si="42"/>
        <v/>
      </c>
      <c r="AL200" s="477" t="str">
        <f>IF($AC$200="","",IFERROR(INDEX($BB$74:$BB$119,MATCH($AH$200,$AY$74:$AY$119,0)),$AH$200))</f>
        <v/>
      </c>
      <c r="AM200" s="483" t="str">
        <f t="shared" si="43"/>
        <v/>
      </c>
      <c r="AN200" s="484" t="str">
        <f t="shared" si="44"/>
        <v/>
      </c>
      <c r="AO200" s="473" t="str">
        <f t="shared" si="45"/>
        <v/>
      </c>
      <c r="AP200" s="473" t="str">
        <f t="shared" si="46"/>
        <v/>
      </c>
      <c r="AQ200" s="473" t="str">
        <f t="shared" si="47"/>
        <v/>
      </c>
      <c r="AR200" s="473" t="str">
        <f t="shared" si="48"/>
        <v/>
      </c>
      <c r="AS200" s="473" t="str">
        <f t="shared" si="49"/>
        <v/>
      </c>
      <c r="AT200" s="473" t="str">
        <f t="shared" si="50"/>
        <v/>
      </c>
      <c r="AU200" s="473" t="str">
        <f t="shared" si="51"/>
        <v/>
      </c>
      <c r="AZ200" s="32" t="s">
        <v>309</v>
      </c>
      <c r="BA200" s="34" t="s">
        <v>6132</v>
      </c>
      <c r="BB200" s="499"/>
      <c r="BC200" s="271"/>
      <c r="BD200" s="279">
        <v>1</v>
      </c>
      <c r="BE200" s="271"/>
      <c r="BF200" s="271"/>
      <c r="BG200" s="271"/>
      <c r="BH200" s="271"/>
      <c r="BI200" s="271"/>
      <c r="BJ200" s="271"/>
      <c r="BK200" s="271"/>
      <c r="BL200" s="271"/>
    </row>
    <row r="201" spans="18:64" ht="21" customHeight="1" x14ac:dyDescent="0.25">
      <c r="R201" s="34" t="s">
        <v>476</v>
      </c>
      <c r="S201" s="451"/>
      <c r="T201" s="32" t="s">
        <v>316</v>
      </c>
      <c r="V201" s="475">
        <v>4</v>
      </c>
      <c r="W201" s="475" t="str">
        <f>IF($AC$201="","",$W$180)</f>
        <v/>
      </c>
      <c r="X201" s="476" t="str">
        <f>IF($AC$201="","",$X$180)</f>
        <v/>
      </c>
      <c r="Y201" s="477" t="str">
        <f>IF($X$201="","",$Y$180)</f>
        <v/>
      </c>
      <c r="Z201" s="477" t="str">
        <f>IF($X$201="","",$Z$180)</f>
        <v/>
      </c>
      <c r="AA201" s="477" t="str">
        <f>IF($AC$201="","",ROW($A$201)-ROW($A$180))</f>
        <v/>
      </c>
      <c r="AB201" s="478"/>
      <c r="AC201" s="34"/>
      <c r="AD201" s="356"/>
      <c r="AE201" s="18"/>
      <c r="AF201" s="19"/>
      <c r="AG201" s="480" t="str">
        <f t="shared" si="40"/>
        <v/>
      </c>
      <c r="AH201" s="481" t="str">
        <f t="shared" si="41"/>
        <v/>
      </c>
      <c r="AI201" s="477" t="str">
        <f>IF($AC$201="","",IFERROR(INDEX($AZ$74:$AZ$119,MATCH($AH$201,$AY$74:$AY$119,0)),"AUTRE"))</f>
        <v/>
      </c>
      <c r="AJ201" s="482" t="str">
        <f>IF($AC$201="","",IFERROR(INDEX($BA$74:$BA$119,MATCH($AH$201,$AY$74:$AY$119,0)),1))</f>
        <v/>
      </c>
      <c r="AK201" s="482" t="str">
        <f t="shared" si="42"/>
        <v/>
      </c>
      <c r="AL201" s="477" t="str">
        <f>IF($AC$201="","",IFERROR(INDEX($BB$74:$BB$119,MATCH($AH$201,$AY$74:$AY$119,0)),$AH$201))</f>
        <v/>
      </c>
      <c r="AM201" s="483" t="str">
        <f t="shared" si="43"/>
        <v/>
      </c>
      <c r="AN201" s="484" t="str">
        <f t="shared" si="44"/>
        <v/>
      </c>
      <c r="AO201" s="473" t="str">
        <f t="shared" si="45"/>
        <v/>
      </c>
      <c r="AP201" s="473" t="str">
        <f t="shared" si="46"/>
        <v/>
      </c>
      <c r="AQ201" s="473" t="str">
        <f t="shared" si="47"/>
        <v/>
      </c>
      <c r="AR201" s="473" t="str">
        <f t="shared" si="48"/>
        <v/>
      </c>
      <c r="AS201" s="473" t="str">
        <f t="shared" si="49"/>
        <v/>
      </c>
      <c r="AT201" s="473" t="str">
        <f t="shared" si="50"/>
        <v/>
      </c>
      <c r="AU201" s="473" t="str">
        <f t="shared" si="51"/>
        <v/>
      </c>
      <c r="AZ201" s="32" t="s">
        <v>311</v>
      </c>
      <c r="BA201" s="25" t="s">
        <v>6133</v>
      </c>
      <c r="BB201" s="499"/>
      <c r="BC201" s="271"/>
      <c r="BD201" s="279">
        <v>1</v>
      </c>
      <c r="BE201" s="271"/>
      <c r="BF201" s="271"/>
      <c r="BG201" s="271"/>
      <c r="BH201" s="271"/>
      <c r="BI201" s="271"/>
      <c r="BJ201" s="271"/>
      <c r="BK201" s="271"/>
      <c r="BL201" s="271"/>
    </row>
    <row r="202" spans="18:64" ht="21" customHeight="1" x14ac:dyDescent="0.25">
      <c r="R202" s="34" t="s">
        <v>468</v>
      </c>
      <c r="S202" s="451"/>
      <c r="T202" s="32" t="s">
        <v>313</v>
      </c>
      <c r="V202" s="475">
        <v>4</v>
      </c>
      <c r="W202" s="475" t="str">
        <f>IF($AC$202="","",$W$180)</f>
        <v/>
      </c>
      <c r="X202" s="476" t="str">
        <f>IF($AC$202="","",$X$180)</f>
        <v/>
      </c>
      <c r="Y202" s="477" t="str">
        <f>IF($X$202="","",$Y$180)</f>
        <v/>
      </c>
      <c r="Z202" s="477" t="str">
        <f>IF($X$202="","",$Z$180)</f>
        <v/>
      </c>
      <c r="AA202" s="477" t="str">
        <f>IF($AC$202="","",ROW($A$202)-ROW($A$180))</f>
        <v/>
      </c>
      <c r="AB202" s="478"/>
      <c r="AC202" s="34"/>
      <c r="AD202" s="356"/>
      <c r="AE202" s="18"/>
      <c r="AF202" s="19"/>
      <c r="AG202" s="480" t="str">
        <f t="shared" si="40"/>
        <v/>
      </c>
      <c r="AH202" s="481" t="str">
        <f t="shared" si="41"/>
        <v/>
      </c>
      <c r="AI202" s="477" t="str">
        <f>IF($AC$202="","",IFERROR(INDEX($AZ$74:$AZ$119,MATCH($AH$202,$AY$74:$AY$119,0)),"AUTRE"))</f>
        <v/>
      </c>
      <c r="AJ202" s="482" t="str">
        <f>IF($AC$202="","",IFERROR(INDEX($BA$74:$BA$119,MATCH($AH$202,$AY$74:$AY$119,0)),1))</f>
        <v/>
      </c>
      <c r="AK202" s="482" t="str">
        <f t="shared" si="42"/>
        <v/>
      </c>
      <c r="AL202" s="477" t="str">
        <f>IF($AC$202="","",IFERROR(INDEX($BB$74:$BB$119,MATCH($AH$202,$AY$74:$AY$119,0)),$AH$202))</f>
        <v/>
      </c>
      <c r="AM202" s="483" t="str">
        <f t="shared" si="43"/>
        <v/>
      </c>
      <c r="AN202" s="484" t="str">
        <f t="shared" si="44"/>
        <v/>
      </c>
      <c r="AO202" s="473" t="str">
        <f t="shared" si="45"/>
        <v/>
      </c>
      <c r="AP202" s="473" t="str">
        <f t="shared" si="46"/>
        <v/>
      </c>
      <c r="AQ202" s="473" t="str">
        <f t="shared" si="47"/>
        <v/>
      </c>
      <c r="AR202" s="473" t="str">
        <f t="shared" si="48"/>
        <v/>
      </c>
      <c r="AS202" s="473" t="str">
        <f t="shared" si="49"/>
        <v/>
      </c>
      <c r="AT202" s="473" t="str">
        <f t="shared" si="50"/>
        <v/>
      </c>
      <c r="AU202" s="473" t="str">
        <f t="shared" si="51"/>
        <v/>
      </c>
      <c r="AZ202" s="32" t="s">
        <v>8135</v>
      </c>
      <c r="BA202" s="34" t="s">
        <v>476</v>
      </c>
      <c r="BB202" s="499"/>
      <c r="BC202" s="271"/>
      <c r="BD202" s="279">
        <v>1</v>
      </c>
      <c r="BE202" s="271"/>
      <c r="BF202" s="271"/>
      <c r="BG202" s="271"/>
      <c r="BH202" s="271"/>
      <c r="BI202" s="271"/>
      <c r="BJ202" s="271"/>
      <c r="BK202" s="271"/>
      <c r="BL202" s="271"/>
    </row>
    <row r="203" spans="18:64" ht="21" customHeight="1" x14ac:dyDescent="0.25">
      <c r="R203" s="34" t="s">
        <v>473</v>
      </c>
      <c r="S203" s="451"/>
      <c r="T203" s="32" t="s">
        <v>307</v>
      </c>
      <c r="V203" s="475">
        <v>4</v>
      </c>
      <c r="W203" s="475" t="str">
        <f>IF($AC$203="","",$W$180)</f>
        <v/>
      </c>
      <c r="X203" s="476" t="str">
        <f>IF($AC$203="","",$X$180)</f>
        <v/>
      </c>
      <c r="Y203" s="477" t="str">
        <f>IF($X$203="","",$Y$180)</f>
        <v/>
      </c>
      <c r="Z203" s="477" t="str">
        <f>IF($X$203="","",$Z$180)</f>
        <v/>
      </c>
      <c r="AA203" s="477" t="str">
        <f>IF($AC$203="","",ROW($A$203)-ROW($A$180))</f>
        <v/>
      </c>
      <c r="AB203" s="478"/>
      <c r="AC203" s="34"/>
      <c r="AD203" s="356"/>
      <c r="AE203" s="18"/>
      <c r="AF203" s="19"/>
      <c r="AG203" s="480" t="str">
        <f t="shared" si="40"/>
        <v/>
      </c>
      <c r="AH203" s="481" t="str">
        <f t="shared" si="41"/>
        <v/>
      </c>
      <c r="AI203" s="477" t="str">
        <f>IF($AC$203="","",IFERROR(INDEX($AZ$74:$AZ$119,MATCH($AH$203,$AY$74:$AY$119,0)),"AUTRE"))</f>
        <v/>
      </c>
      <c r="AJ203" s="482" t="str">
        <f>IF($AC$203="","",IFERROR(INDEX($BA$74:$BA$119,MATCH($AH$203,$AY$74:$AY$119,0)),1))</f>
        <v/>
      </c>
      <c r="AK203" s="482" t="str">
        <f t="shared" si="42"/>
        <v/>
      </c>
      <c r="AL203" s="477" t="str">
        <f>IF($AC$203="","",IFERROR(INDEX($BB$74:$BB$119,MATCH($AH$203,$AY$74:$AY$119,0)),$AH$203))</f>
        <v/>
      </c>
      <c r="AM203" s="483" t="str">
        <f t="shared" si="43"/>
        <v/>
      </c>
      <c r="AN203" s="484" t="str">
        <f t="shared" si="44"/>
        <v/>
      </c>
      <c r="AO203" s="473" t="str">
        <f t="shared" si="45"/>
        <v/>
      </c>
      <c r="AP203" s="473" t="str">
        <f t="shared" si="46"/>
        <v/>
      </c>
      <c r="AQ203" s="473" t="str">
        <f t="shared" si="47"/>
        <v/>
      </c>
      <c r="AR203" s="473" t="str">
        <f t="shared" si="48"/>
        <v/>
      </c>
      <c r="AS203" s="473" t="str">
        <f t="shared" si="49"/>
        <v/>
      </c>
      <c r="AT203" s="473" t="str">
        <f t="shared" si="50"/>
        <v/>
      </c>
      <c r="AU203" s="473" t="str">
        <f t="shared" si="51"/>
        <v/>
      </c>
      <c r="AZ203" s="32" t="s">
        <v>8137</v>
      </c>
      <c r="BA203" s="34" t="s">
        <v>468</v>
      </c>
      <c r="BB203" s="499"/>
      <c r="BC203" s="271"/>
      <c r="BD203" s="279">
        <v>1</v>
      </c>
      <c r="BE203" s="271"/>
      <c r="BF203" s="271"/>
      <c r="BG203" s="271"/>
      <c r="BH203" s="271"/>
      <c r="BI203" s="271"/>
      <c r="BJ203" s="271"/>
      <c r="BK203" s="271"/>
      <c r="BL203" s="271"/>
    </row>
    <row r="204" spans="18:64" ht="21" customHeight="1" x14ac:dyDescent="0.25">
      <c r="R204" s="34" t="s">
        <v>497</v>
      </c>
      <c r="S204" s="451"/>
      <c r="T204" s="32" t="s">
        <v>322</v>
      </c>
      <c r="V204" s="475">
        <v>4</v>
      </c>
      <c r="W204" s="475" t="str">
        <f>IF($AC$204="","",$W$180)</f>
        <v/>
      </c>
      <c r="X204" s="476" t="str">
        <f>IF($AC$204="","",$X$180)</f>
        <v/>
      </c>
      <c r="Y204" s="477" t="str">
        <f>IF($X$204="","",$Y$180)</f>
        <v/>
      </c>
      <c r="Z204" s="477" t="str">
        <f>IF($X$204="","",$Z$180)</f>
        <v/>
      </c>
      <c r="AA204" s="477" t="str">
        <f>IF($AC$204="","",ROW($A$204)-ROW($A$180))</f>
        <v/>
      </c>
      <c r="AB204" s="478"/>
      <c r="AC204" s="34"/>
      <c r="AD204" s="356"/>
      <c r="AE204" s="18"/>
      <c r="AF204" s="19"/>
      <c r="AG204" s="480" t="str">
        <f t="shared" si="40"/>
        <v/>
      </c>
      <c r="AH204" s="481" t="str">
        <f t="shared" si="41"/>
        <v/>
      </c>
      <c r="AI204" s="477" t="str">
        <f>IF($AC$204="","",IFERROR(INDEX($AZ$74:$AZ$119,MATCH($AH$204,$AY$74:$AY$119,0)),"AUTRE"))</f>
        <v/>
      </c>
      <c r="AJ204" s="482" t="str">
        <f>IF($AC$204="","",IFERROR(INDEX($BA$74:$BA$119,MATCH($AH$204,$AY$74:$AY$119,0)),1))</f>
        <v/>
      </c>
      <c r="AK204" s="482" t="str">
        <f t="shared" si="42"/>
        <v/>
      </c>
      <c r="AL204" s="477" t="str">
        <f>IF($AC$204="","",IFERROR(INDEX($BB$74:$BB$119,MATCH($AH$204,$AY$74:$AY$119,0)),$AH$204))</f>
        <v/>
      </c>
      <c r="AM204" s="483" t="str">
        <f t="shared" si="43"/>
        <v/>
      </c>
      <c r="AN204" s="484" t="str">
        <f t="shared" si="44"/>
        <v/>
      </c>
      <c r="AO204" s="473" t="str">
        <f t="shared" si="45"/>
        <v/>
      </c>
      <c r="AP204" s="473" t="str">
        <f t="shared" si="46"/>
        <v/>
      </c>
      <c r="AQ204" s="473" t="str">
        <f t="shared" si="47"/>
        <v/>
      </c>
      <c r="AR204" s="473" t="str">
        <f t="shared" si="48"/>
        <v/>
      </c>
      <c r="AS204" s="473" t="str">
        <f t="shared" si="49"/>
        <v/>
      </c>
      <c r="AT204" s="473" t="str">
        <f t="shared" si="50"/>
        <v/>
      </c>
      <c r="AU204" s="473" t="str">
        <f t="shared" si="51"/>
        <v/>
      </c>
      <c r="AZ204" s="32" t="s">
        <v>8139</v>
      </c>
      <c r="BA204" s="34" t="s">
        <v>473</v>
      </c>
      <c r="BB204" s="499"/>
      <c r="BC204" s="271"/>
      <c r="BD204" s="279">
        <v>1</v>
      </c>
      <c r="BE204" s="271"/>
      <c r="BF204" s="271"/>
      <c r="BG204" s="271"/>
      <c r="BH204" s="271"/>
      <c r="BI204" s="271"/>
      <c r="BJ204" s="271"/>
      <c r="BK204" s="271"/>
      <c r="BL204" s="271"/>
    </row>
    <row r="205" spans="18:64" ht="21" customHeight="1" x14ac:dyDescent="0.25">
      <c r="R205" s="34" t="s">
        <v>470</v>
      </c>
      <c r="S205" s="451"/>
      <c r="T205" s="32" t="s">
        <v>305</v>
      </c>
      <c r="V205" s="475">
        <v>4</v>
      </c>
      <c r="W205" s="475" t="str">
        <f>IF($AC$205="","",$W$180)</f>
        <v/>
      </c>
      <c r="X205" s="476" t="str">
        <f>IF($AC$205="","",$X$180)</f>
        <v/>
      </c>
      <c r="Y205" s="477" t="str">
        <f>IF($X$205="","",$Y$180)</f>
        <v/>
      </c>
      <c r="Z205" s="477" t="str">
        <f>IF($X$205="","",$Z$180)</f>
        <v/>
      </c>
      <c r="AA205" s="477" t="str">
        <f>IF($AC$205="","",ROW($A$205)-ROW($A$180))</f>
        <v/>
      </c>
      <c r="AB205" s="478"/>
      <c r="AC205" s="34"/>
      <c r="AD205" s="356"/>
      <c r="AE205" s="18"/>
      <c r="AF205" s="19"/>
      <c r="AG205" s="480" t="str">
        <f t="shared" si="40"/>
        <v/>
      </c>
      <c r="AH205" s="481" t="str">
        <f t="shared" si="41"/>
        <v/>
      </c>
      <c r="AI205" s="477" t="str">
        <f>IF($AC$205="","",IFERROR(INDEX($AZ$74:$AZ$119,MATCH($AH$205,$AY$74:$AY$119,0)),"AUTRE"))</f>
        <v/>
      </c>
      <c r="AJ205" s="482" t="str">
        <f>IF($AC$205="","",IFERROR(INDEX($BA$74:$BA$119,MATCH($AH$205,$AY$74:$AY$119,0)),1))</f>
        <v/>
      </c>
      <c r="AK205" s="482" t="str">
        <f t="shared" si="42"/>
        <v/>
      </c>
      <c r="AL205" s="477" t="str">
        <f>IF($AC$205="","",IFERROR(INDEX($BB$74:$BB$119,MATCH($AH$205,$AY$74:$AY$119,0)),$AH$205))</f>
        <v/>
      </c>
      <c r="AM205" s="483" t="str">
        <f t="shared" si="43"/>
        <v/>
      </c>
      <c r="AN205" s="484" t="str">
        <f t="shared" si="44"/>
        <v/>
      </c>
      <c r="AO205" s="473" t="str">
        <f t="shared" si="45"/>
        <v/>
      </c>
      <c r="AP205" s="473" t="str">
        <f t="shared" si="46"/>
        <v/>
      </c>
      <c r="AQ205" s="473" t="str">
        <f t="shared" si="47"/>
        <v/>
      </c>
      <c r="AR205" s="473" t="str">
        <f t="shared" si="48"/>
        <v/>
      </c>
      <c r="AS205" s="473" t="str">
        <f t="shared" si="49"/>
        <v/>
      </c>
      <c r="AT205" s="473" t="str">
        <f t="shared" si="50"/>
        <v/>
      </c>
      <c r="AU205" s="473" t="str">
        <f t="shared" si="51"/>
        <v/>
      </c>
      <c r="AZ205" s="32" t="s">
        <v>8141</v>
      </c>
      <c r="BA205" s="34" t="s">
        <v>497</v>
      </c>
      <c r="BB205" s="499"/>
      <c r="BC205" s="271"/>
      <c r="BD205" s="279">
        <v>1</v>
      </c>
      <c r="BE205" s="271"/>
      <c r="BF205" s="271"/>
      <c r="BG205" s="271"/>
      <c r="BH205" s="271"/>
      <c r="BI205" s="271"/>
      <c r="BJ205" s="271"/>
      <c r="BK205" s="271"/>
      <c r="BL205" s="271"/>
    </row>
    <row r="206" spans="18:64" ht="21" customHeight="1" x14ac:dyDescent="0.25">
      <c r="R206" s="34" t="s">
        <v>477</v>
      </c>
      <c r="S206" s="451"/>
      <c r="T206" s="32" t="s">
        <v>309</v>
      </c>
      <c r="V206" s="475">
        <v>4</v>
      </c>
      <c r="W206" s="475" t="str">
        <f>IF($AC$206="","",$W$180)</f>
        <v/>
      </c>
      <c r="X206" s="476" t="str">
        <f>IF($AC$206="","",$X$180)</f>
        <v/>
      </c>
      <c r="Y206" s="477" t="str">
        <f>IF($X$206="","",$Y$180)</f>
        <v/>
      </c>
      <c r="Z206" s="477" t="str">
        <f>IF($X$206="","",$Z$180)</f>
        <v/>
      </c>
      <c r="AA206" s="477" t="str">
        <f>IF($AC$206="","",ROW($A$206)-ROW($A$180))</f>
        <v/>
      </c>
      <c r="AB206" s="478"/>
      <c r="AC206" s="34"/>
      <c r="AD206" s="356"/>
      <c r="AE206" s="18"/>
      <c r="AF206" s="19"/>
      <c r="AG206" s="480" t="str">
        <f t="shared" si="40"/>
        <v/>
      </c>
      <c r="AH206" s="481" t="str">
        <f t="shared" si="41"/>
        <v/>
      </c>
      <c r="AI206" s="477" t="str">
        <f>IF($AC$206="","",IFERROR(INDEX($AZ$74:$AZ$119,MATCH($AH$206,$AY$74:$AY$119,0)),"AUTRE"))</f>
        <v/>
      </c>
      <c r="AJ206" s="482" t="str">
        <f>IF($AC$206="","",IFERROR(INDEX($BA$74:$BA$119,MATCH($AH$206,$AY$74:$AY$119,0)),1))</f>
        <v/>
      </c>
      <c r="AK206" s="482" t="str">
        <f t="shared" si="42"/>
        <v/>
      </c>
      <c r="AL206" s="477" t="str">
        <f>IF($AC$206="","",IFERROR(INDEX($BB$74:$BB$119,MATCH($AH$206,$AY$74:$AY$119,0)),$AH$206))</f>
        <v/>
      </c>
      <c r="AM206" s="483" t="str">
        <f t="shared" si="43"/>
        <v/>
      </c>
      <c r="AN206" s="484" t="str">
        <f t="shared" si="44"/>
        <v/>
      </c>
      <c r="AO206" s="473" t="str">
        <f t="shared" si="45"/>
        <v/>
      </c>
      <c r="AP206" s="473" t="str">
        <f t="shared" si="46"/>
        <v/>
      </c>
      <c r="AQ206" s="473" t="str">
        <f t="shared" si="47"/>
        <v/>
      </c>
      <c r="AR206" s="473" t="str">
        <f t="shared" si="48"/>
        <v/>
      </c>
      <c r="AS206" s="473" t="str">
        <f t="shared" si="49"/>
        <v/>
      </c>
      <c r="AT206" s="473" t="str">
        <f t="shared" si="50"/>
        <v/>
      </c>
      <c r="AU206" s="473" t="str">
        <f t="shared" si="51"/>
        <v/>
      </c>
      <c r="AZ206" s="32" t="s">
        <v>8143</v>
      </c>
      <c r="BA206" s="34" t="s">
        <v>470</v>
      </c>
      <c r="BB206" s="499"/>
      <c r="BC206" s="271"/>
      <c r="BD206" s="279">
        <v>1</v>
      </c>
      <c r="BE206" s="271"/>
      <c r="BF206" s="271"/>
      <c r="BG206" s="271"/>
      <c r="BH206" s="271"/>
      <c r="BI206" s="271"/>
      <c r="BJ206" s="271"/>
      <c r="BK206" s="271"/>
      <c r="BL206" s="271"/>
    </row>
    <row r="207" spans="18:64" ht="21" customHeight="1" x14ac:dyDescent="0.25">
      <c r="S207" s="451"/>
      <c r="T207" s="32" t="s">
        <v>311</v>
      </c>
      <c r="V207" s="475">
        <v>4</v>
      </c>
      <c r="W207" s="475" t="str">
        <f>IF($AC$207="","",$W$180)</f>
        <v/>
      </c>
      <c r="X207" s="476" t="str">
        <f>IF($AC$207="","",$X$180)</f>
        <v/>
      </c>
      <c r="Y207" s="477" t="str">
        <f>IF($X$207="","",$Y$180)</f>
        <v/>
      </c>
      <c r="Z207" s="477" t="str">
        <f>IF($X$207="","",$Z$180)</f>
        <v/>
      </c>
      <c r="AA207" s="477" t="str">
        <f>IF($AC$207="","",ROW($A$207)-ROW($A$180))</f>
        <v/>
      </c>
      <c r="AB207" s="478"/>
      <c r="AC207" s="34"/>
      <c r="AD207" s="356"/>
      <c r="AE207" s="18"/>
      <c r="AF207" s="19"/>
      <c r="AG207" s="480" t="str">
        <f t="shared" si="40"/>
        <v/>
      </c>
      <c r="AH207" s="481" t="str">
        <f t="shared" si="41"/>
        <v/>
      </c>
      <c r="AI207" s="477" t="str">
        <f>IF($AC$207="","",IFERROR(INDEX($AZ$74:$AZ$119,MATCH($AH$207,$AY$74:$AY$119,0)),"AUTRE"))</f>
        <v/>
      </c>
      <c r="AJ207" s="482" t="str">
        <f>IF($AC$207="","",IFERROR(INDEX($BA$74:$BA$119,MATCH($AH$207,$AY$74:$AY$119,0)),1))</f>
        <v/>
      </c>
      <c r="AK207" s="482" t="str">
        <f t="shared" si="42"/>
        <v/>
      </c>
      <c r="AL207" s="477" t="str">
        <f>IF($AC$207="","",IFERROR(INDEX($BB$74:$BB$119,MATCH($AH$207,$AY$74:$AY$119,0)),$AH$207))</f>
        <v/>
      </c>
      <c r="AM207" s="483" t="str">
        <f t="shared" si="43"/>
        <v/>
      </c>
      <c r="AN207" s="484" t="str">
        <f t="shared" si="44"/>
        <v/>
      </c>
      <c r="AO207" s="473" t="str">
        <f t="shared" si="45"/>
        <v/>
      </c>
      <c r="AP207" s="473" t="str">
        <f t="shared" si="46"/>
        <v/>
      </c>
      <c r="AQ207" s="473" t="str">
        <f t="shared" si="47"/>
        <v/>
      </c>
      <c r="AR207" s="473" t="str">
        <f t="shared" si="48"/>
        <v/>
      </c>
      <c r="AS207" s="473" t="str">
        <f t="shared" si="49"/>
        <v/>
      </c>
      <c r="AT207" s="473" t="str">
        <f t="shared" si="50"/>
        <v/>
      </c>
      <c r="AU207" s="473" t="str">
        <f t="shared" si="51"/>
        <v/>
      </c>
      <c r="AZ207" s="497" t="s">
        <v>8145</v>
      </c>
      <c r="BA207" s="34" t="s">
        <v>477</v>
      </c>
      <c r="BB207" s="499"/>
      <c r="BC207" s="271"/>
      <c r="BD207" s="279">
        <v>1</v>
      </c>
      <c r="BE207" s="271"/>
      <c r="BF207" s="271"/>
      <c r="BG207" s="271"/>
      <c r="BH207" s="271"/>
      <c r="BI207" s="271"/>
      <c r="BJ207" s="271"/>
      <c r="BK207" s="271"/>
      <c r="BL207" s="271"/>
    </row>
    <row r="208" spans="18:64" ht="21" customHeight="1" x14ac:dyDescent="0.25">
      <c r="R208" s="25" t="s">
        <v>6134</v>
      </c>
      <c r="S208" s="451"/>
      <c r="T208" s="32" t="s">
        <v>8135</v>
      </c>
      <c r="V208" s="475">
        <v>4</v>
      </c>
      <c r="W208" s="475" t="str">
        <f>IF($AC$208="","",$W$180)</f>
        <v/>
      </c>
      <c r="X208" s="476" t="str">
        <f>IF($AC$208="","",$X$180)</f>
        <v/>
      </c>
      <c r="Y208" s="477" t="str">
        <f>IF($X$208="","",$Y$180)</f>
        <v/>
      </c>
      <c r="Z208" s="477" t="str">
        <f>IF($X$208="","",$Z$180)</f>
        <v/>
      </c>
      <c r="AA208" s="477" t="str">
        <f>IF($AC$208="","",ROW($A$208)-ROW($A$180))</f>
        <v/>
      </c>
      <c r="AB208" s="478"/>
      <c r="AC208" s="34"/>
      <c r="AD208" s="356"/>
      <c r="AE208" s="18"/>
      <c r="AF208" s="19"/>
      <c r="AG208" s="480" t="str">
        <f t="shared" si="40"/>
        <v/>
      </c>
      <c r="AH208" s="481" t="str">
        <f t="shared" si="41"/>
        <v/>
      </c>
      <c r="AI208" s="477" t="str">
        <f>IF($AC$208="","",IFERROR(INDEX($AZ$74:$AZ$119,MATCH($AH$208,$AY$74:$AY$119,0)),"AUTRE"))</f>
        <v/>
      </c>
      <c r="AJ208" s="482" t="str">
        <f>IF($AC$208="","",IFERROR(INDEX($BA$74:$BA$119,MATCH($AH$208,$AY$74:$AY$119,0)),1))</f>
        <v/>
      </c>
      <c r="AK208" s="482" t="str">
        <f t="shared" si="42"/>
        <v/>
      </c>
      <c r="AL208" s="477" t="str">
        <f>IF($AC$208="","",IFERROR(INDEX($BB$74:$BB$119,MATCH($AH$208,$AY$74:$AY$119,0)),$AH$208))</f>
        <v/>
      </c>
      <c r="AM208" s="483" t="str">
        <f t="shared" si="43"/>
        <v/>
      </c>
      <c r="AN208" s="484" t="str">
        <f t="shared" si="44"/>
        <v/>
      </c>
      <c r="AO208" s="473" t="str">
        <f t="shared" si="45"/>
        <v/>
      </c>
      <c r="AP208" s="473" t="str">
        <f t="shared" si="46"/>
        <v/>
      </c>
      <c r="AQ208" s="473" t="str">
        <f t="shared" si="47"/>
        <v/>
      </c>
      <c r="AR208" s="473" t="str">
        <f t="shared" si="48"/>
        <v/>
      </c>
      <c r="AS208" s="473" t="str">
        <f t="shared" si="49"/>
        <v/>
      </c>
      <c r="AT208" s="473" t="str">
        <f t="shared" si="50"/>
        <v/>
      </c>
      <c r="AU208" s="473" t="str">
        <f t="shared" si="51"/>
        <v/>
      </c>
      <c r="AY208" s="271"/>
      <c r="AZ208" s="497" t="s">
        <v>462</v>
      </c>
      <c r="BB208" s="499"/>
      <c r="BC208" s="271"/>
      <c r="BD208" s="279">
        <v>1</v>
      </c>
      <c r="BE208" s="271"/>
      <c r="BF208" s="271"/>
      <c r="BG208" s="271"/>
      <c r="BH208" s="271"/>
      <c r="BI208" s="271"/>
      <c r="BJ208" s="271"/>
      <c r="BK208" s="271"/>
      <c r="BL208" s="271"/>
    </row>
    <row r="209" spans="18:64" ht="21" customHeight="1" x14ac:dyDescent="0.25">
      <c r="R209" s="34" t="s">
        <v>481</v>
      </c>
      <c r="S209" s="451"/>
      <c r="T209" s="497" t="s">
        <v>462</v>
      </c>
      <c r="V209" s="475">
        <v>4</v>
      </c>
      <c r="W209" s="475" t="str">
        <f>IF($AC$209="","",$W$180)</f>
        <v/>
      </c>
      <c r="X209" s="476" t="str">
        <f>IF($AC$209="","",$X$180)</f>
        <v/>
      </c>
      <c r="Y209" s="477" t="str">
        <f>IF($X$209="","",$Y$180)</f>
        <v/>
      </c>
      <c r="Z209" s="477" t="str">
        <f>IF($X$209="","",$Z$180)</f>
        <v/>
      </c>
      <c r="AA209" s="477" t="str">
        <f>IF($AC$209="","",ROW($A$209)-ROW($A$180))</f>
        <v/>
      </c>
      <c r="AB209" s="478"/>
      <c r="AC209" s="34"/>
      <c r="AD209" s="356"/>
      <c r="AE209" s="18"/>
      <c r="AF209" s="19"/>
      <c r="AG209" s="480" t="str">
        <f t="shared" si="40"/>
        <v/>
      </c>
      <c r="AH209" s="481" t="str">
        <f t="shared" si="41"/>
        <v/>
      </c>
      <c r="AI209" s="477" t="str">
        <f>IF($AC$209="","",IFERROR(INDEX($AZ$74:$AZ$119,MATCH($AH$209,$AY$74:$AY$119,0)),"AUTRE"))</f>
        <v/>
      </c>
      <c r="AJ209" s="482" t="str">
        <f>IF($AC$209="","",IFERROR(INDEX($BA$74:$BA$119,MATCH($AH$209,$AY$74:$AY$119,0)),1))</f>
        <v/>
      </c>
      <c r="AK209" s="482" t="str">
        <f t="shared" si="42"/>
        <v/>
      </c>
      <c r="AL209" s="477" t="str">
        <f>IF($AC$209="","",IFERROR(INDEX($BB$74:$BB$119,MATCH($AH$209,$AY$74:$AY$119,0)),$AH$209))</f>
        <v/>
      </c>
      <c r="AM209" s="483" t="str">
        <f t="shared" si="43"/>
        <v/>
      </c>
      <c r="AN209" s="484" t="str">
        <f t="shared" si="44"/>
        <v/>
      </c>
      <c r="AO209" s="473" t="str">
        <f t="shared" si="45"/>
        <v/>
      </c>
      <c r="AP209" s="473" t="str">
        <f t="shared" si="46"/>
        <v/>
      </c>
      <c r="AQ209" s="473" t="str">
        <f t="shared" si="47"/>
        <v/>
      </c>
      <c r="AR209" s="473" t="str">
        <f t="shared" si="48"/>
        <v/>
      </c>
      <c r="AS209" s="473" t="str">
        <f t="shared" si="49"/>
        <v/>
      </c>
      <c r="AT209" s="473" t="str">
        <f t="shared" si="50"/>
        <v/>
      </c>
      <c r="AU209" s="473" t="str">
        <f t="shared" si="51"/>
        <v/>
      </c>
      <c r="AY209" s="497" t="s">
        <v>8145</v>
      </c>
      <c r="AZ209" s="497" t="s">
        <v>463</v>
      </c>
      <c r="BA209" s="25" t="s">
        <v>6134</v>
      </c>
      <c r="BB209" s="499"/>
      <c r="BC209" s="271"/>
      <c r="BD209" s="279">
        <v>1</v>
      </c>
      <c r="BE209" s="271"/>
      <c r="BF209" s="271"/>
      <c r="BG209" s="271"/>
      <c r="BH209" s="271"/>
      <c r="BI209" s="271"/>
      <c r="BJ209" s="271"/>
      <c r="BK209" s="271"/>
      <c r="BL209" s="271"/>
    </row>
    <row r="210" spans="18:64" ht="21" customHeight="1" x14ac:dyDescent="0.25">
      <c r="R210" s="34" t="s">
        <v>475</v>
      </c>
      <c r="S210" s="451"/>
      <c r="T210" s="497" t="s">
        <v>463</v>
      </c>
      <c r="V210" s="475">
        <v>4</v>
      </c>
      <c r="W210" s="475" t="str">
        <f>IF($AC$210="","",$W$180)</f>
        <v/>
      </c>
      <c r="X210" s="476" t="str">
        <f>IF($AC$210="","",$X$180)</f>
        <v/>
      </c>
      <c r="Y210" s="477" t="str">
        <f>IF($X$210="","",$Y$180)</f>
        <v/>
      </c>
      <c r="Z210" s="477" t="str">
        <f>IF($X$210="","",$Z$180)</f>
        <v/>
      </c>
      <c r="AA210" s="477" t="str">
        <f>IF($AC$210="","",ROW($A$210)-ROW($A$180))</f>
        <v/>
      </c>
      <c r="AB210" s="478"/>
      <c r="AC210" s="34"/>
      <c r="AD210" s="356"/>
      <c r="AE210" s="18"/>
      <c r="AF210" s="19"/>
      <c r="AG210" s="480" t="str">
        <f t="shared" si="40"/>
        <v/>
      </c>
      <c r="AH210" s="481" t="str">
        <f t="shared" si="41"/>
        <v/>
      </c>
      <c r="AI210" s="477" t="str">
        <f>IF($AC$210="","",IFERROR(INDEX($AZ$74:$AZ$119,MATCH($AH$210,$AY$74:$AY$119,0)),"AUTRE"))</f>
        <v/>
      </c>
      <c r="AJ210" s="482" t="str">
        <f>IF($AC$210="","",IFERROR(INDEX($BA$74:$BA$119,MATCH($AH$210,$AY$74:$AY$119,0)),1))</f>
        <v/>
      </c>
      <c r="AK210" s="482" t="str">
        <f t="shared" si="42"/>
        <v/>
      </c>
      <c r="AL210" s="477" t="str">
        <f>IF($AC$210="","",IFERROR(INDEX($BB$74:$BB$119,MATCH($AH$210,$AY$74:$AY$119,0)),$AH$210))</f>
        <v/>
      </c>
      <c r="AM210" s="483" t="str">
        <f t="shared" si="43"/>
        <v/>
      </c>
      <c r="AN210" s="484" t="str">
        <f t="shared" si="44"/>
        <v/>
      </c>
      <c r="AO210" s="473" t="str">
        <f t="shared" si="45"/>
        <v/>
      </c>
      <c r="AP210" s="473" t="str">
        <f t="shared" si="46"/>
        <v/>
      </c>
      <c r="AQ210" s="473" t="str">
        <f t="shared" si="47"/>
        <v/>
      </c>
      <c r="AR210" s="473" t="str">
        <f t="shared" si="48"/>
        <v/>
      </c>
      <c r="AS210" s="473" t="str">
        <f t="shared" si="49"/>
        <v/>
      </c>
      <c r="AT210" s="473" t="str">
        <f t="shared" si="50"/>
        <v/>
      </c>
      <c r="AU210" s="473" t="str">
        <f t="shared" si="51"/>
        <v/>
      </c>
      <c r="AY210" s="497" t="s">
        <v>462</v>
      </c>
      <c r="AZ210" s="497" t="s">
        <v>8147</v>
      </c>
      <c r="BA210" s="34" t="s">
        <v>481</v>
      </c>
      <c r="BB210" s="499"/>
      <c r="BC210" s="271"/>
      <c r="BD210" s="279">
        <v>1</v>
      </c>
      <c r="BE210" s="271"/>
      <c r="BF210" s="271"/>
      <c r="BG210" s="271"/>
      <c r="BH210" s="271"/>
      <c r="BI210" s="271"/>
      <c r="BJ210" s="271"/>
      <c r="BK210" s="271"/>
      <c r="BL210" s="271"/>
    </row>
    <row r="211" spans="18:64" ht="21" customHeight="1" x14ac:dyDescent="0.25">
      <c r="R211" s="34" t="s">
        <v>457</v>
      </c>
      <c r="S211" s="451"/>
      <c r="T211" s="497" t="s">
        <v>8147</v>
      </c>
      <c r="V211" s="475">
        <v>4</v>
      </c>
      <c r="W211" s="475" t="str">
        <f>IF($AC$211="","",$W$180)</f>
        <v/>
      </c>
      <c r="X211" s="476" t="str">
        <f>IF($AC$211="","",$X$180)</f>
        <v/>
      </c>
      <c r="Y211" s="477" t="str">
        <f>IF($X$211="","",$Y$180)</f>
        <v/>
      </c>
      <c r="Z211" s="477" t="str">
        <f>IF($X$211="","",$Z$180)</f>
        <v/>
      </c>
      <c r="AA211" s="477" t="str">
        <f>IF($AC$211="","",ROW($A$211)-ROW($A$180))</f>
        <v/>
      </c>
      <c r="AB211" s="478"/>
      <c r="AC211" s="34"/>
      <c r="AD211" s="356"/>
      <c r="AE211" s="18"/>
      <c r="AF211" s="19"/>
      <c r="AG211" s="480" t="str">
        <f t="shared" si="40"/>
        <v/>
      </c>
      <c r="AH211" s="481" t="str">
        <f t="shared" si="41"/>
        <v/>
      </c>
      <c r="AI211" s="477" t="str">
        <f>IF($AC$211="","",IFERROR(INDEX($AZ$74:$AZ$119,MATCH($AH$211,$AY$74:$AY$119,0)),"AUTRE"))</f>
        <v/>
      </c>
      <c r="AJ211" s="482" t="str">
        <f>IF($AC$211="","",IFERROR(INDEX($BA$74:$BA$119,MATCH($AH$211,$AY$74:$AY$119,0)),1))</f>
        <v/>
      </c>
      <c r="AK211" s="482" t="str">
        <f t="shared" si="42"/>
        <v/>
      </c>
      <c r="AL211" s="477" t="str">
        <f>IF($AC$211="","",IFERROR(INDEX($BB$74:$BB$119,MATCH($AH$211,$AY$74:$AY$119,0)),$AH$211))</f>
        <v/>
      </c>
      <c r="AM211" s="483" t="str">
        <f t="shared" si="43"/>
        <v/>
      </c>
      <c r="AN211" s="484" t="str">
        <f t="shared" si="44"/>
        <v/>
      </c>
      <c r="AO211" s="473" t="str">
        <f t="shared" si="45"/>
        <v/>
      </c>
      <c r="AP211" s="473" t="str">
        <f t="shared" si="46"/>
        <v/>
      </c>
      <c r="AQ211" s="473" t="str">
        <f t="shared" si="47"/>
        <v/>
      </c>
      <c r="AR211" s="473" t="str">
        <f t="shared" si="48"/>
        <v/>
      </c>
      <c r="AS211" s="473" t="str">
        <f t="shared" si="49"/>
        <v/>
      </c>
      <c r="AT211" s="473" t="str">
        <f t="shared" si="50"/>
        <v/>
      </c>
      <c r="AU211" s="473" t="str">
        <f t="shared" si="51"/>
        <v/>
      </c>
      <c r="AY211" s="497" t="s">
        <v>463</v>
      </c>
      <c r="AZ211" s="497" t="s">
        <v>465</v>
      </c>
      <c r="BA211" s="34" t="s">
        <v>475</v>
      </c>
      <c r="BB211" s="499"/>
      <c r="BC211" s="271"/>
      <c r="BD211" s="279">
        <v>1</v>
      </c>
      <c r="BE211" s="271"/>
      <c r="BF211" s="271"/>
      <c r="BG211" s="271"/>
      <c r="BH211" s="271"/>
      <c r="BI211" s="271"/>
      <c r="BJ211" s="271"/>
      <c r="BK211" s="271"/>
      <c r="BL211" s="271"/>
    </row>
    <row r="212" spans="18:64" ht="21" customHeight="1" x14ac:dyDescent="0.25">
      <c r="R212" s="34" t="s">
        <v>482</v>
      </c>
      <c r="S212" s="451"/>
      <c r="T212" s="497" t="s">
        <v>465</v>
      </c>
      <c r="V212" s="475">
        <v>4</v>
      </c>
      <c r="W212" s="475" t="str">
        <f>IF($AC$212="","",$W$180)</f>
        <v>N° 28</v>
      </c>
      <c r="X212" s="476" t="str">
        <f>IF($AC$212="","",$X$180)</f>
        <v>GOUGÈRES A L'EMMENTHAL</v>
      </c>
      <c r="Y212" s="477">
        <f>IF($X$212="","",$Y$180)</f>
        <v>45</v>
      </c>
      <c r="Z212" s="477">
        <f>IF($X$212="","",$Z$180)</f>
        <v>100</v>
      </c>
      <c r="AA212" s="477">
        <f>IF($AC$212="","",ROW($A$212)-ROW($A$180))</f>
        <v>32</v>
      </c>
      <c r="AB212" s="478"/>
      <c r="AC212" s="34" t="s">
        <v>496</v>
      </c>
      <c r="AD212" s="356"/>
      <c r="AE212" s="18">
        <v>5</v>
      </c>
      <c r="AF212" s="33" t="s">
        <v>465</v>
      </c>
      <c r="AG212" s="480">
        <f t="shared" si="40"/>
        <v>5</v>
      </c>
      <c r="AH212" s="481" t="str">
        <f t="shared" si="41"/>
        <v>GRILLE(S)</v>
      </c>
      <c r="AI212" s="477" t="str">
        <f>IF($AC$212="","",IFERROR(INDEX($AZ$74:$AZ$119,MATCH($AH$212,$AY$74:$AY$119,0)),"AUTRE"))</f>
        <v>AUTRE</v>
      </c>
      <c r="AJ212" s="482">
        <f>IF($AC$212="","",IFERROR(INDEX($BA$74:$BA$119,MATCH($AH$212,$AY$74:$AY$119,0)),1))</f>
        <v>1</v>
      </c>
      <c r="AK212" s="482">
        <f t="shared" si="42"/>
        <v>5</v>
      </c>
      <c r="AL212" s="477" t="str">
        <f>IF($AC$212="","",IFERROR(INDEX($BB$74:$BB$119,MATCH($AH$212,$AY$74:$AY$119,0)),$AH$212))</f>
        <v>grille(s)</v>
      </c>
      <c r="AM212" s="483" t="str">
        <f t="shared" si="43"/>
        <v>OK</v>
      </c>
      <c r="AN212" s="484">
        <f t="shared" si="44"/>
        <v>5</v>
      </c>
      <c r="AO212" s="473" t="str">
        <f t="shared" si="45"/>
        <v/>
      </c>
      <c r="AP212" s="473" t="str">
        <f t="shared" si="46"/>
        <v/>
      </c>
      <c r="AQ212" s="473" t="str">
        <f t="shared" si="47"/>
        <v/>
      </c>
      <c r="AR212" s="473" t="str">
        <f t="shared" si="48"/>
        <v/>
      </c>
      <c r="AS212" s="473" t="str">
        <f t="shared" si="49"/>
        <v/>
      </c>
      <c r="AT212" s="473" t="str">
        <f t="shared" si="50"/>
        <v/>
      </c>
      <c r="AU212" s="473" t="str">
        <f t="shared" si="51"/>
        <v/>
      </c>
      <c r="AY212" s="497" t="s">
        <v>8147</v>
      </c>
      <c r="AZ212" s="497" t="s">
        <v>466</v>
      </c>
      <c r="BA212" s="34" t="s">
        <v>457</v>
      </c>
      <c r="BB212" s="499"/>
      <c r="BC212" s="271"/>
      <c r="BD212" s="279">
        <v>1</v>
      </c>
      <c r="BE212" s="271"/>
      <c r="BF212" s="271"/>
      <c r="BG212" s="271"/>
      <c r="BH212" s="271"/>
      <c r="BI212" s="271"/>
      <c r="BJ212" s="271"/>
      <c r="BK212" s="271"/>
      <c r="BL212" s="271"/>
    </row>
    <row r="213" spans="18:64" ht="21" customHeight="1" x14ac:dyDescent="0.25">
      <c r="R213" s="34" t="s">
        <v>496</v>
      </c>
      <c r="S213" s="451"/>
      <c r="T213" s="497" t="s">
        <v>466</v>
      </c>
      <c r="V213" s="475">
        <v>4</v>
      </c>
      <c r="W213" s="475" t="str">
        <f>IF($AC$213="","",$W$180)</f>
        <v>N° 28</v>
      </c>
      <c r="X213" s="476" t="str">
        <f>IF($AC$213="","",$X$180)</f>
        <v>GOUGÈRES A L'EMMENTHAL</v>
      </c>
      <c r="Y213" s="477">
        <f>IF($X$213="","",$Y$180)</f>
        <v>45</v>
      </c>
      <c r="Z213" s="477">
        <f>IF($X$213="","",$Z$180)</f>
        <v>100</v>
      </c>
      <c r="AA213" s="477">
        <f>IF($AC$213="","",ROW($A$213)-ROW($A$180))</f>
        <v>33</v>
      </c>
      <c r="AB213" s="478"/>
      <c r="AC213" s="34" t="s">
        <v>493</v>
      </c>
      <c r="AD213" s="356"/>
      <c r="AE213" s="18">
        <v>10</v>
      </c>
      <c r="AF213" s="33" t="s">
        <v>466</v>
      </c>
      <c r="AG213" s="480">
        <f t="shared" si="40"/>
        <v>10</v>
      </c>
      <c r="AH213" s="481" t="str">
        <f t="shared" si="41"/>
        <v>PLAQUE(S)</v>
      </c>
      <c r="AI213" s="477" t="str">
        <f>IF($AC$213="","",IFERROR(INDEX($AZ$74:$AZ$119,MATCH($AH$213,$AY$74:$AY$119,0)),"AUTRE"))</f>
        <v>AUTRE</v>
      </c>
      <c r="AJ213" s="482">
        <f>IF($AC$213="","",IFERROR(INDEX($BA$74:$BA$119,MATCH($AH$213,$AY$74:$AY$119,0)),1))</f>
        <v>1</v>
      </c>
      <c r="AK213" s="482">
        <f t="shared" si="42"/>
        <v>10</v>
      </c>
      <c r="AL213" s="477" t="str">
        <f>IF($AC$213="","",IFERROR(INDEX($BB$74:$BB$119,MATCH($AH$213,$AY$74:$AY$119,0)),$AH$213))</f>
        <v>plaque(s)</v>
      </c>
      <c r="AM213" s="483" t="str">
        <f t="shared" si="43"/>
        <v>OK</v>
      </c>
      <c r="AN213" s="484">
        <f t="shared" si="44"/>
        <v>10</v>
      </c>
      <c r="AO213" s="473" t="str">
        <f t="shared" si="45"/>
        <v/>
      </c>
      <c r="AP213" s="473" t="str">
        <f t="shared" si="46"/>
        <v/>
      </c>
      <c r="AQ213" s="473" t="str">
        <f t="shared" si="47"/>
        <v/>
      </c>
      <c r="AR213" s="473" t="str">
        <f t="shared" si="48"/>
        <v/>
      </c>
      <c r="AS213" s="473" t="str">
        <f t="shared" si="49"/>
        <v/>
      </c>
      <c r="AT213" s="473" t="str">
        <f t="shared" si="50"/>
        <v/>
      </c>
      <c r="AU213" s="473" t="str">
        <f t="shared" si="51"/>
        <v/>
      </c>
      <c r="AY213" s="497" t="s">
        <v>465</v>
      </c>
      <c r="AZ213" s="14" t="s">
        <v>7</v>
      </c>
      <c r="BA213" s="34" t="s">
        <v>482</v>
      </c>
      <c r="BB213" s="499"/>
      <c r="BC213" s="271"/>
      <c r="BD213" s="279">
        <v>1</v>
      </c>
      <c r="BE213" s="271"/>
      <c r="BF213" s="271"/>
      <c r="BG213" s="271"/>
      <c r="BH213" s="271"/>
      <c r="BI213" s="271"/>
      <c r="BJ213" s="271"/>
      <c r="BK213" s="271"/>
      <c r="BL213" s="271"/>
    </row>
    <row r="214" spans="18:64" ht="21" customHeight="1" x14ac:dyDescent="0.25">
      <c r="R214" s="34" t="s">
        <v>483</v>
      </c>
      <c r="S214" s="451"/>
      <c r="T214" s="440" t="s">
        <v>8110</v>
      </c>
      <c r="V214" s="475">
        <v>4</v>
      </c>
      <c r="W214" s="475" t="str">
        <f>IF($AC$214="","",$W$180)</f>
        <v>N° 28</v>
      </c>
      <c r="X214" s="476" t="str">
        <f>IF($AC$214="","",$X$180)</f>
        <v>GOUGÈRES A L'EMMENTHAL</v>
      </c>
      <c r="Y214" s="477">
        <f>IF($X$214="","",$Y$180)</f>
        <v>45</v>
      </c>
      <c r="Z214" s="477">
        <f>IF($X$214="","",$Z$180)</f>
        <v>100</v>
      </c>
      <c r="AA214" s="477">
        <f>IF($AC$214="","",ROW($A$214)-ROW($A$180))</f>
        <v>34</v>
      </c>
      <c r="AB214" s="478"/>
      <c r="AC214" s="34" t="s">
        <v>494</v>
      </c>
      <c r="AD214" s="356"/>
      <c r="AE214" s="18">
        <v>20</v>
      </c>
      <c r="AF214" s="33" t="s">
        <v>466</v>
      </c>
      <c r="AG214" s="491">
        <f t="shared" si="40"/>
        <v>20</v>
      </c>
      <c r="AH214" s="481" t="str">
        <f t="shared" si="41"/>
        <v>PLAQUE(S)</v>
      </c>
      <c r="AI214" s="477" t="str">
        <f>IF($AC$214="","",IFERROR(INDEX($AZ$74:$AZ$119,MATCH($AH$214,$AY$74:$AY$119,0)),"AUTRE"))</f>
        <v>AUTRE</v>
      </c>
      <c r="AJ214" s="482">
        <f>IF($AC$214="","",IFERROR(INDEX($BA$74:$BA$119,MATCH($AH$214,$AY$74:$AY$119,0)),1))</f>
        <v>1</v>
      </c>
      <c r="AK214" s="482">
        <f t="shared" si="42"/>
        <v>20</v>
      </c>
      <c r="AL214" s="477" t="str">
        <f>IF($AC$214="","",IFERROR(INDEX($BB$74:$BB$119,MATCH($AH$214,$AY$74:$AY$119,0)),$AH$214))</f>
        <v>plaque(s)</v>
      </c>
      <c r="AM214" s="483" t="str">
        <f t="shared" si="43"/>
        <v>OK</v>
      </c>
      <c r="AN214" s="484">
        <f t="shared" si="44"/>
        <v>20</v>
      </c>
      <c r="AO214" s="473" t="str">
        <f t="shared" si="45"/>
        <v/>
      </c>
      <c r="AP214" s="473" t="str">
        <f t="shared" si="46"/>
        <v/>
      </c>
      <c r="AQ214" s="473" t="str">
        <f t="shared" si="47"/>
        <v/>
      </c>
      <c r="AR214" s="473" t="str">
        <f t="shared" si="48"/>
        <v/>
      </c>
      <c r="AS214" s="473" t="str">
        <f t="shared" si="49"/>
        <v/>
      </c>
      <c r="AT214" s="473" t="str">
        <f t="shared" si="50"/>
        <v/>
      </c>
      <c r="AU214" s="473" t="str">
        <f t="shared" si="51"/>
        <v/>
      </c>
      <c r="AY214" s="497" t="s">
        <v>466</v>
      </c>
      <c r="AZ214" s="27" t="s">
        <v>8</v>
      </c>
      <c r="BA214" s="34" t="s">
        <v>496</v>
      </c>
      <c r="BB214" s="499"/>
      <c r="BC214" s="271"/>
      <c r="BD214" s="279">
        <v>1</v>
      </c>
      <c r="BE214" s="271"/>
      <c r="BF214" s="271"/>
      <c r="BG214" s="271"/>
      <c r="BH214" s="271"/>
      <c r="BI214" s="271"/>
      <c r="BJ214" s="271"/>
      <c r="BK214" s="271"/>
      <c r="BL214" s="271"/>
    </row>
    <row r="215" spans="18:64" ht="30" customHeight="1" x14ac:dyDescent="0.25">
      <c r="R215" s="34" t="s">
        <v>493</v>
      </c>
      <c r="S215" s="451"/>
      <c r="T215" s="452" t="s">
        <v>8113</v>
      </c>
      <c r="V215" s="453" t="s">
        <v>324</v>
      </c>
      <c r="W215" s="453" t="s">
        <v>7912</v>
      </c>
      <c r="X215" s="453" t="s">
        <v>326</v>
      </c>
      <c r="Y215" s="453" t="s">
        <v>327</v>
      </c>
      <c r="Z215" s="454" t="s">
        <v>7930</v>
      </c>
      <c r="AA215" s="453" t="s">
        <v>7937</v>
      </c>
      <c r="AB215" s="455" t="s">
        <v>39</v>
      </c>
      <c r="AC215" s="455" t="s">
        <v>338</v>
      </c>
      <c r="AD215" s="455" t="s">
        <v>8114</v>
      </c>
      <c r="AE215" s="455" t="s">
        <v>339</v>
      </c>
      <c r="AF215" s="455" t="s">
        <v>7997</v>
      </c>
      <c r="AG215" s="453" t="s">
        <v>8018</v>
      </c>
      <c r="AH215" s="453" t="s">
        <v>8023</v>
      </c>
      <c r="AI215" s="453" t="s">
        <v>330</v>
      </c>
      <c r="AJ215" s="453" t="s">
        <v>8031</v>
      </c>
      <c r="AK215" s="453" t="s">
        <v>8037</v>
      </c>
      <c r="AL215" s="453" t="s">
        <v>8041</v>
      </c>
      <c r="AM215" s="453" t="s">
        <v>343</v>
      </c>
      <c r="AN215" s="457" t="s">
        <v>8115</v>
      </c>
      <c r="AO215" s="457" t="s">
        <v>8116</v>
      </c>
      <c r="AP215" s="656" t="s">
        <v>8117</v>
      </c>
      <c r="AQ215" s="656"/>
      <c r="AR215" s="656"/>
      <c r="AS215" s="656"/>
      <c r="AT215" s="656"/>
      <c r="AU215" s="657"/>
      <c r="AZ215" s="28" t="s">
        <v>13</v>
      </c>
      <c r="BA215" s="34" t="s">
        <v>483</v>
      </c>
      <c r="BB215" s="499"/>
      <c r="BC215" s="271"/>
      <c r="BD215" s="279">
        <v>1</v>
      </c>
      <c r="BE215" s="271"/>
      <c r="BF215" s="271"/>
      <c r="BG215" s="271"/>
      <c r="BH215" s="271"/>
      <c r="BI215" s="271"/>
      <c r="BJ215" s="271"/>
      <c r="BK215" s="271"/>
      <c r="BL215" s="271"/>
    </row>
    <row r="216" spans="18:64" ht="30" customHeight="1" x14ac:dyDescent="0.25">
      <c r="R216" s="34" t="s">
        <v>494</v>
      </c>
      <c r="S216" s="451"/>
      <c r="T216" s="14" t="s">
        <v>7</v>
      </c>
      <c r="V216" s="459">
        <v>5</v>
      </c>
      <c r="W216" s="460" t="s">
        <v>207</v>
      </c>
      <c r="X216" s="461" t="s">
        <v>206</v>
      </c>
      <c r="Y216" s="462">
        <v>46</v>
      </c>
      <c r="Z216" s="463">
        <v>100</v>
      </c>
      <c r="AA216" s="464">
        <f>IF($AC$396="","",ROW($A$396)-ROW($A$396))</f>
        <v>0</v>
      </c>
      <c r="AB216" s="461"/>
      <c r="AC216" s="465" t="s">
        <v>434</v>
      </c>
      <c r="AD216" s="390"/>
      <c r="AE216" s="13">
        <v>9</v>
      </c>
      <c r="AF216" s="11" t="s">
        <v>7</v>
      </c>
      <c r="AG216" s="467">
        <f t="shared" ref="AG216:AG250" si="52">IF($AC216="","",IF(LEN($AN216&amp;"")=0,"",$AN216))</f>
        <v>9</v>
      </c>
      <c r="AH216" s="468" t="str">
        <f t="shared" ref="AH216:AH250" si="53">IF($AC216="","",IF($AF216&lt;&gt;"",UPPER(TRIM(SUBSTITUTE(SUBSTITUTE($AF216&amp;"",CHAR(160)," ")," "," "))),$AP216))</f>
        <v>KG</v>
      </c>
      <c r="AI216" s="469" t="str">
        <f>IF($AC$216="","",IFERROR(INDEX($AZ$74:$AZ$119,MATCH($AH$216,$AY$74:$AY$119,0)),"AUTRE"))</f>
        <v>MASSE</v>
      </c>
      <c r="AJ216" s="470">
        <f>IF($AC$216="","",IFERROR(INDEX($BA$74:$BA$119,MATCH($AH$216,$AY$74:$AY$119,0)),1))</f>
        <v>1</v>
      </c>
      <c r="AK216" s="470">
        <f t="shared" ref="AK216:AK250" si="54">IF(OR(AG216="",AJ216=""),"",AG216*AJ216)</f>
        <v>9</v>
      </c>
      <c r="AL216" s="469" t="str">
        <f>IF($AC$216="","",IFERROR(INDEX($BB$74:$BB$119,MATCH($AH$216,$AY$74:$AY$119,0)),$AH$216))</f>
        <v>kg</v>
      </c>
      <c r="AM216" s="471" t="str">
        <f t="shared" ref="AM216:AM250" si="55">IF($AC216="","",IF($AH216="QT. SUFFISANTE","OK",IF($AG216="","TEXTE",IF(NOT(ISNUMBER($AG216)),"QUANTITÉ À CONTRÔLER",IF(COUNTIF($AY$74:$AY$119,$AH216)=0,"UNITÉ À CONTRÔLER","OK")))))</f>
        <v>OK</v>
      </c>
      <c r="AN216" s="474">
        <f t="shared" ref="AN216:AN250" si="56">IF($AE216&lt;&gt;"",$AE216,IF($AD216="","",IF(ISNUMBER($AD216),$AD216,IF($AO216="QT",0,IF($AO216="","",IFERROR(IF(ISNUMBER(SEARCH("/",$AO216)),VALUE(TRIM(LEFT($AO216,SEARCH("/",$AO216)-1)))/VALUE(TRIM(MID($AO216,SEARCH("/",$AO216)+1,99))),VALUE(SUBSTITUTE($AO216,".",","))),""))))))</f>
        <v>9</v>
      </c>
      <c r="AO216" s="473" t="str">
        <f t="shared" ref="AO216:AO250" si="57">IF($AD216="","",IF(ISNUMBER($AD216),$AD216,IF(OR(LEFT($AQ216,3)="QT.",LEFT($AQ216,4)="QUAN"),"QT",IF($AR216=999,$AQ216,TRIM(LEFT($AQ216,$AR216-1))))))</f>
        <v/>
      </c>
      <c r="AP216" s="473" t="str">
        <f t="shared" ref="AP216:AP250" si="58">IF($AD216="","",IF(ISNUMBER($AD216),"",IF(OR(LEFT($AQ216,3)="QT.",LEFT($AQ216,4)="QUAN"),"QT. SUFFISANTE",IF($AO216="","",TRIM(MID($AQ216,LEN($AO216&amp;"")+1,999))))))</f>
        <v/>
      </c>
      <c r="AQ216" s="473" t="str">
        <f t="shared" ref="AQ216:AQ250" si="59">IF($AD216="","",UPPER(TRIM(SUBSTITUTE(SUBSTITUTE($AD216&amp;"",CHAR(160)," ")," "," "))))</f>
        <v/>
      </c>
      <c r="AR216" s="473" t="str">
        <f t="shared" ref="AR216:AR250" si="60">IF($AQ216="","",MIN($AS216,$AT216,$AU216))</f>
        <v/>
      </c>
      <c r="AS216" s="473" t="str">
        <f t="shared" ref="AS216:AS250" si="61">IF($AQ216="","",MIN(IFERROR(SEARCH("A",$AQ216),999),IFERROR(SEARCH("B",$AQ216),999),IFERROR(SEARCH("C",$AQ216),999),IFERROR(SEARCH("D",$AQ216),999),IFERROR(SEARCH("E",$AQ216),999),IFERROR(SEARCH("F",$AQ216),999),IFERROR(SEARCH("G",$AQ216),999),IFERROR(SEARCH("H",$AQ216),999),IFERROR(SEARCH("I",$AQ216),999)))</f>
        <v/>
      </c>
      <c r="AT216" s="473" t="str">
        <f t="shared" ref="AT216:AT250" si="62">IF($AQ216="","",MIN(IFERROR(SEARCH("J",$AQ216),999),IFERROR(SEARCH("K",$AQ216),999),IFERROR(SEARCH("L",$AQ216),999),IFERROR(SEARCH("M",$AQ216),999),IFERROR(SEARCH("N",$AQ216),999),IFERROR(SEARCH("O",$AQ216),999),IFERROR(SEARCH("P",$AQ216),999),IFERROR(SEARCH("Q",$AQ216),999),IFERROR(SEARCH("R",$AQ216),999)))</f>
        <v/>
      </c>
      <c r="AU216" s="473" t="str">
        <f t="shared" ref="AU216:AU250" si="63">IF($AQ216="","",MIN(IFERROR(SEARCH("S",$AQ216),999),IFERROR(SEARCH("T",$AQ216),999),IFERROR(SEARCH("U",$AQ216),999),IFERROR(SEARCH("V",$AQ216),999),IFERROR(SEARCH("W",$AQ216),999),IFERROR(SEARCH("X",$AQ216),999),IFERROR(SEARCH("Y",$AQ216),999),IFERROR(SEARCH("Z",$AQ216),999)))</f>
        <v/>
      </c>
      <c r="AZ216" s="28" t="s">
        <v>14</v>
      </c>
      <c r="BA216" s="34" t="s">
        <v>493</v>
      </c>
      <c r="BB216" s="499"/>
      <c r="BC216" s="271"/>
      <c r="BD216" s="279">
        <v>1</v>
      </c>
      <c r="BE216" s="271"/>
      <c r="BF216" s="271"/>
      <c r="BG216" s="271"/>
      <c r="BH216" s="271"/>
      <c r="BI216" s="271"/>
      <c r="BJ216" s="271"/>
      <c r="BK216" s="271"/>
      <c r="BL216" s="271"/>
    </row>
    <row r="217" spans="18:64" ht="21" customHeight="1" x14ac:dyDescent="0.25">
      <c r="S217" s="451"/>
      <c r="T217" s="27" t="s">
        <v>8</v>
      </c>
      <c r="V217" s="475">
        <f>$V$216</f>
        <v>5</v>
      </c>
      <c r="W217" s="475" t="str">
        <f>IF($AC$217="","",$W$216)</f>
        <v>N° 29</v>
      </c>
      <c r="X217" s="476" t="str">
        <f>IF($AC$217="","",$X$216)</f>
        <v>PISSALADIÈRE</v>
      </c>
      <c r="Y217" s="477">
        <f>IF($X$217="","",$Y$216)</f>
        <v>46</v>
      </c>
      <c r="Z217" s="477">
        <f>IF($X$217="","",$Z$216)</f>
        <v>100</v>
      </c>
      <c r="AA217" s="477">
        <f>IF($AC$217="","",ROW($A$217)-ROW($A$216))</f>
        <v>1</v>
      </c>
      <c r="AB217" s="478"/>
      <c r="AC217" s="34" t="s">
        <v>139</v>
      </c>
      <c r="AD217" s="356"/>
      <c r="AE217" s="18">
        <v>7.5</v>
      </c>
      <c r="AF217" s="11" t="s">
        <v>7</v>
      </c>
      <c r="AG217" s="480">
        <f t="shared" si="52"/>
        <v>7.5</v>
      </c>
      <c r="AH217" s="481" t="str">
        <f t="shared" si="53"/>
        <v>KG</v>
      </c>
      <c r="AI217" s="477" t="str">
        <f>IF($AC$217="","",IFERROR(INDEX($AZ$74:$AZ$119,MATCH($AH$217,$AY$74:$AY$119,0)),"AUTRE"))</f>
        <v>MASSE</v>
      </c>
      <c r="AJ217" s="482">
        <f>IF($AC$217="","",IFERROR(INDEX($BA$74:$BA$119,MATCH($AH$217,$AY$74:$AY$119,0)),1))</f>
        <v>1</v>
      </c>
      <c r="AK217" s="482">
        <f t="shared" si="54"/>
        <v>7.5</v>
      </c>
      <c r="AL217" s="477" t="str">
        <f>IF($AC$217="","",IFERROR(INDEX($BB$74:$BB$119,MATCH($AH$217,$AY$74:$AY$119,0)),$AH$217))</f>
        <v>kg</v>
      </c>
      <c r="AM217" s="483" t="str">
        <f t="shared" si="55"/>
        <v>OK</v>
      </c>
      <c r="AN217" s="484">
        <f t="shared" si="56"/>
        <v>7.5</v>
      </c>
      <c r="AO217" s="473" t="str">
        <f t="shared" si="57"/>
        <v/>
      </c>
      <c r="AP217" s="473" t="str">
        <f t="shared" si="58"/>
        <v/>
      </c>
      <c r="AQ217" s="473" t="str">
        <f t="shared" si="59"/>
        <v/>
      </c>
      <c r="AR217" s="473" t="str">
        <f t="shared" si="60"/>
        <v/>
      </c>
      <c r="AS217" s="473" t="str">
        <f t="shared" si="61"/>
        <v/>
      </c>
      <c r="AT217" s="473" t="str">
        <f t="shared" si="62"/>
        <v/>
      </c>
      <c r="AU217" s="473" t="str">
        <f t="shared" si="63"/>
        <v/>
      </c>
      <c r="AZ217" s="28" t="s">
        <v>15</v>
      </c>
      <c r="BA217" s="34" t="s">
        <v>494</v>
      </c>
      <c r="BB217" s="499"/>
      <c r="BC217" s="271"/>
      <c r="BD217" s="279">
        <v>1</v>
      </c>
      <c r="BE217" s="271"/>
      <c r="BF217" s="271"/>
      <c r="BG217" s="271"/>
      <c r="BH217" s="271"/>
      <c r="BI217" s="271"/>
      <c r="BJ217" s="271"/>
      <c r="BK217" s="271"/>
      <c r="BL217" s="271"/>
    </row>
    <row r="218" spans="18:64" ht="21" customHeight="1" x14ac:dyDescent="0.25">
      <c r="R218" s="25" t="s">
        <v>6115</v>
      </c>
      <c r="S218" s="451"/>
      <c r="T218" s="28" t="s">
        <v>13</v>
      </c>
      <c r="V218" s="475">
        <v>5</v>
      </c>
      <c r="W218" s="475" t="str">
        <f>IF($AC$218="","",$W$216)</f>
        <v>N° 29</v>
      </c>
      <c r="X218" s="476" t="str">
        <f>IF($AC$218="","",$X$216)</f>
        <v>PISSALADIÈRE</v>
      </c>
      <c r="Y218" s="477">
        <f>IF($X$218="","",$Y$216)</f>
        <v>46</v>
      </c>
      <c r="Z218" s="477">
        <f>IF($X$218="","",$Z$216)</f>
        <v>100</v>
      </c>
      <c r="AA218" s="477">
        <f>IF($AC$218="","",ROW($A$218)-ROW($A$216))</f>
        <v>2</v>
      </c>
      <c r="AB218" s="478"/>
      <c r="AC218" s="34" t="s">
        <v>48</v>
      </c>
      <c r="AD218" s="356"/>
      <c r="AE218" s="18">
        <v>120</v>
      </c>
      <c r="AF218" s="16" t="s">
        <v>8</v>
      </c>
      <c r="AG218" s="480">
        <f t="shared" si="52"/>
        <v>120</v>
      </c>
      <c r="AH218" s="481" t="str">
        <f t="shared" si="53"/>
        <v>G</v>
      </c>
      <c r="AI218" s="477" t="str">
        <f>IF($AC$218="","",IFERROR(INDEX($AZ$74:$AZ$119,MATCH($AH$218,$AY$74:$AY$119,0)),"AUTRE"))</f>
        <v>MASSE</v>
      </c>
      <c r="AJ218" s="482">
        <f>IF($AC$218="","",IFERROR(INDEX($BA$74:$BA$119,MATCH($AH$218,$AY$74:$AY$119,0)),1))</f>
        <v>1E-3</v>
      </c>
      <c r="AK218" s="482">
        <f t="shared" si="54"/>
        <v>0.12</v>
      </c>
      <c r="AL218" s="477" t="str">
        <f>IF($AC$218="","",IFERROR(INDEX($BB$74:$BB$119,MATCH($AH$218,$AY$74:$AY$119,0)),$AH$218))</f>
        <v>kg</v>
      </c>
      <c r="AM218" s="483" t="str">
        <f t="shared" si="55"/>
        <v>OK</v>
      </c>
      <c r="AN218" s="484">
        <f t="shared" si="56"/>
        <v>120</v>
      </c>
      <c r="AO218" s="473" t="str">
        <f t="shared" si="57"/>
        <v/>
      </c>
      <c r="AP218" s="473" t="str">
        <f t="shared" si="58"/>
        <v/>
      </c>
      <c r="AQ218" s="473" t="str">
        <f t="shared" si="59"/>
        <v/>
      </c>
      <c r="AR218" s="473" t="str">
        <f t="shared" si="60"/>
        <v/>
      </c>
      <c r="AS218" s="473" t="str">
        <f t="shared" si="61"/>
        <v/>
      </c>
      <c r="AT218" s="473" t="str">
        <f t="shared" si="62"/>
        <v/>
      </c>
      <c r="AU218" s="473" t="str">
        <f t="shared" si="63"/>
        <v/>
      </c>
      <c r="AZ218" s="29" t="s">
        <v>9</v>
      </c>
      <c r="BB218" s="499"/>
      <c r="BC218" s="271"/>
      <c r="BD218" s="279">
        <v>1</v>
      </c>
      <c r="BE218" s="271"/>
      <c r="BF218" s="271"/>
      <c r="BG218" s="271"/>
      <c r="BH218" s="271"/>
      <c r="BI218" s="271"/>
      <c r="BJ218" s="271"/>
      <c r="BK218" s="271"/>
      <c r="BL218" s="271"/>
    </row>
    <row r="219" spans="18:64" ht="21" customHeight="1" x14ac:dyDescent="0.25">
      <c r="R219" s="34" t="s">
        <v>471</v>
      </c>
      <c r="S219" s="451"/>
      <c r="T219" s="28" t="s">
        <v>14</v>
      </c>
      <c r="V219" s="475">
        <v>5</v>
      </c>
      <c r="W219" s="475" t="str">
        <f>IF($AC$219="","",$W$216)</f>
        <v>N° 29</v>
      </c>
      <c r="X219" s="476" t="str">
        <f>IF($AC$219="","",$X$216)</f>
        <v>PISSALADIÈRE</v>
      </c>
      <c r="Y219" s="477">
        <f>IF($X$219="","",$Y$216)</f>
        <v>46</v>
      </c>
      <c r="Z219" s="477">
        <f>IF($X$219="","",$Z$216)</f>
        <v>100</v>
      </c>
      <c r="AA219" s="477">
        <f>IF($AC$219="","",ROW($A$219)-ROW($A$216))</f>
        <v>3</v>
      </c>
      <c r="AB219" s="478"/>
      <c r="AC219" s="34" t="s">
        <v>208</v>
      </c>
      <c r="AD219" s="356"/>
      <c r="AE219" s="18">
        <v>1</v>
      </c>
      <c r="AF219" s="23" t="s">
        <v>318</v>
      </c>
      <c r="AG219" s="480">
        <f t="shared" si="52"/>
        <v>1</v>
      </c>
      <c r="AH219" s="481" t="str">
        <f t="shared" si="53"/>
        <v>BTE(S) 3/1</v>
      </c>
      <c r="AI219" s="477" t="str">
        <f>IF($AC$219="","",IFERROR(INDEX($AZ$74:$AZ$119,MATCH($AH$219,$AY$74:$AY$119,0)),"AUTRE"))</f>
        <v>AUTRE</v>
      </c>
      <c r="AJ219" s="482">
        <f>IF($AC$219="","",IFERROR(INDEX($BA$74:$BA$119,MATCH($AH$219,$AY$74:$AY$119,0)),1))</f>
        <v>1</v>
      </c>
      <c r="AK219" s="482">
        <f t="shared" si="54"/>
        <v>1</v>
      </c>
      <c r="AL219" s="477" t="str">
        <f>IF($AC$219="","",IFERROR(INDEX($BB$74:$BB$119,MATCH($AH$219,$AY$74:$AY$119,0)),$AH$219))</f>
        <v>bte(s) 3/1</v>
      </c>
      <c r="AM219" s="483" t="str">
        <f t="shared" si="55"/>
        <v>OK</v>
      </c>
      <c r="AN219" s="484">
        <f t="shared" si="56"/>
        <v>1</v>
      </c>
      <c r="AO219" s="473" t="str">
        <f t="shared" si="57"/>
        <v/>
      </c>
      <c r="AP219" s="473" t="str">
        <f t="shared" si="58"/>
        <v/>
      </c>
      <c r="AQ219" s="473" t="str">
        <f t="shared" si="59"/>
        <v/>
      </c>
      <c r="AR219" s="473" t="str">
        <f t="shared" si="60"/>
        <v/>
      </c>
      <c r="AS219" s="473" t="str">
        <f t="shared" si="61"/>
        <v/>
      </c>
      <c r="AT219" s="473" t="str">
        <f t="shared" si="62"/>
        <v/>
      </c>
      <c r="AU219" s="473" t="str">
        <f t="shared" si="63"/>
        <v/>
      </c>
      <c r="AZ219" s="30" t="s">
        <v>10</v>
      </c>
      <c r="BA219" s="25" t="s">
        <v>6115</v>
      </c>
      <c r="BB219" s="499"/>
      <c r="BC219" s="271"/>
      <c r="BD219" s="279">
        <v>1</v>
      </c>
      <c r="BE219" s="271"/>
      <c r="BF219" s="271"/>
      <c r="BG219" s="271"/>
      <c r="BH219" s="271"/>
      <c r="BI219" s="271"/>
      <c r="BJ219" s="271"/>
      <c r="BK219" s="271"/>
      <c r="BL219" s="271"/>
    </row>
    <row r="220" spans="18:64" ht="21" customHeight="1" x14ac:dyDescent="0.25">
      <c r="R220" s="34" t="s">
        <v>472</v>
      </c>
      <c r="S220" s="451"/>
      <c r="T220" s="28" t="s">
        <v>15</v>
      </c>
      <c r="V220" s="475">
        <v>5</v>
      </c>
      <c r="W220" s="475" t="str">
        <f>IF($AC$220="","",$W$216)</f>
        <v>N° 29</v>
      </c>
      <c r="X220" s="476" t="str">
        <f>IF($AC$220="","",$X$216)</f>
        <v>PISSALADIÈRE</v>
      </c>
      <c r="Y220" s="477">
        <f>IF($X$220="","",$Y$216)</f>
        <v>46</v>
      </c>
      <c r="Z220" s="477">
        <f>IF($X$220="","",$Z$216)</f>
        <v>100</v>
      </c>
      <c r="AA220" s="477">
        <f>IF($AC$220="","",ROW($A$220)-ROW($A$216))</f>
        <v>4</v>
      </c>
      <c r="AB220" s="478"/>
      <c r="AC220" s="34" t="s">
        <v>435</v>
      </c>
      <c r="AD220" s="356"/>
      <c r="AE220" s="18">
        <v>200</v>
      </c>
      <c r="AF220" s="16" t="s">
        <v>8</v>
      </c>
      <c r="AG220" s="480">
        <f t="shared" si="52"/>
        <v>200</v>
      </c>
      <c r="AH220" s="481" t="str">
        <f t="shared" si="53"/>
        <v>G</v>
      </c>
      <c r="AI220" s="477" t="str">
        <f>IF($AC$220="","",IFERROR(INDEX($AZ$74:$AZ$119,MATCH($AH$220,$AY$74:$AY$119,0)),"AUTRE"))</f>
        <v>MASSE</v>
      </c>
      <c r="AJ220" s="482">
        <f>IF($AC$220="","",IFERROR(INDEX($BA$74:$BA$119,MATCH($AH$220,$AY$74:$AY$119,0)),1))</f>
        <v>1E-3</v>
      </c>
      <c r="AK220" s="482">
        <f t="shared" si="54"/>
        <v>0.2</v>
      </c>
      <c r="AL220" s="477" t="str">
        <f>IF($AC$220="","",IFERROR(INDEX($BB$74:$BB$119,MATCH($AH$220,$AY$74:$AY$119,0)),$AH$220))</f>
        <v>kg</v>
      </c>
      <c r="AM220" s="483" t="str">
        <f t="shared" si="55"/>
        <v>OK</v>
      </c>
      <c r="AN220" s="484">
        <f t="shared" si="56"/>
        <v>200</v>
      </c>
      <c r="AO220" s="473" t="str">
        <f t="shared" si="57"/>
        <v/>
      </c>
      <c r="AP220" s="473" t="str">
        <f t="shared" si="58"/>
        <v/>
      </c>
      <c r="AQ220" s="473" t="str">
        <f t="shared" si="59"/>
        <v/>
      </c>
      <c r="AR220" s="473" t="str">
        <f t="shared" si="60"/>
        <v/>
      </c>
      <c r="AS220" s="473" t="str">
        <f t="shared" si="61"/>
        <v/>
      </c>
      <c r="AT220" s="473" t="str">
        <f t="shared" si="62"/>
        <v/>
      </c>
      <c r="AU220" s="473" t="str">
        <f t="shared" si="63"/>
        <v/>
      </c>
      <c r="AZ220" s="30" t="s">
        <v>11</v>
      </c>
      <c r="BA220" s="34" t="s">
        <v>471</v>
      </c>
      <c r="BB220" s="499"/>
      <c r="BC220" s="271"/>
      <c r="BD220" s="279">
        <v>1</v>
      </c>
      <c r="BE220" s="271"/>
      <c r="BF220" s="271"/>
      <c r="BG220" s="271"/>
      <c r="BH220" s="271"/>
      <c r="BI220" s="271"/>
      <c r="BJ220" s="271"/>
      <c r="BK220" s="271"/>
      <c r="BL220" s="271"/>
    </row>
    <row r="221" spans="18:64" ht="21" customHeight="1" x14ac:dyDescent="0.25">
      <c r="R221" s="34" t="s">
        <v>6112</v>
      </c>
      <c r="S221" s="451"/>
      <c r="T221" s="28" t="s">
        <v>21</v>
      </c>
      <c r="V221" s="475">
        <v>5</v>
      </c>
      <c r="W221" s="475" t="str">
        <f>IF($AC$221="","",$W$216)</f>
        <v>N° 29</v>
      </c>
      <c r="X221" s="476" t="str">
        <f>IF($AC$221="","",$X$216)</f>
        <v>PISSALADIÈRE</v>
      </c>
      <c r="Y221" s="477">
        <f>IF($X$221="","",$Y$216)</f>
        <v>46</v>
      </c>
      <c r="Z221" s="477">
        <f>IF($X$221="","",$Z$216)</f>
        <v>100</v>
      </c>
      <c r="AA221" s="477">
        <f>IF($AC$221="","",ROW($A$221)-ROW($A$216))</f>
        <v>5</v>
      </c>
      <c r="AB221" s="478"/>
      <c r="AC221" s="34" t="s">
        <v>203</v>
      </c>
      <c r="AD221" s="356"/>
      <c r="AE221" s="18">
        <v>75</v>
      </c>
      <c r="AF221" s="16" t="s">
        <v>8</v>
      </c>
      <c r="AG221" s="480">
        <f t="shared" si="52"/>
        <v>75</v>
      </c>
      <c r="AH221" s="481" t="str">
        <f t="shared" si="53"/>
        <v>G</v>
      </c>
      <c r="AI221" s="477" t="str">
        <f>IF($AC$221="","",IFERROR(INDEX($AZ$74:$AZ$119,MATCH($AH$221,$AY$74:$AY$119,0)),"AUTRE"))</f>
        <v>MASSE</v>
      </c>
      <c r="AJ221" s="482">
        <f>IF($AC$221="","",IFERROR(INDEX($BA$74:$BA$119,MATCH($AH$221,$AY$74:$AY$119,0)),1))</f>
        <v>1E-3</v>
      </c>
      <c r="AK221" s="482">
        <f t="shared" si="54"/>
        <v>7.4999999999999997E-2</v>
      </c>
      <c r="AL221" s="477" t="str">
        <f>IF($AC$221="","",IFERROR(INDEX($BB$74:$BB$119,MATCH($AH$221,$AY$74:$AY$119,0)),$AH$221))</f>
        <v>kg</v>
      </c>
      <c r="AM221" s="483" t="str">
        <f t="shared" si="55"/>
        <v>OK</v>
      </c>
      <c r="AN221" s="484">
        <f t="shared" si="56"/>
        <v>75</v>
      </c>
      <c r="AO221" s="473" t="str">
        <f t="shared" si="57"/>
        <v/>
      </c>
      <c r="AP221" s="473" t="str">
        <f t="shared" si="58"/>
        <v/>
      </c>
      <c r="AQ221" s="473" t="str">
        <f t="shared" si="59"/>
        <v/>
      </c>
      <c r="AR221" s="473" t="str">
        <f t="shared" si="60"/>
        <v/>
      </c>
      <c r="AS221" s="473" t="str">
        <f t="shared" si="61"/>
        <v/>
      </c>
      <c r="AT221" s="473" t="str">
        <f t="shared" si="62"/>
        <v/>
      </c>
      <c r="AU221" s="473" t="str">
        <f t="shared" si="63"/>
        <v/>
      </c>
      <c r="AZ221" s="30" t="s">
        <v>12</v>
      </c>
      <c r="BA221" s="34" t="s">
        <v>472</v>
      </c>
      <c r="BB221" s="499"/>
      <c r="BC221" s="271"/>
      <c r="BD221" s="279">
        <v>1</v>
      </c>
      <c r="BE221" s="271"/>
      <c r="BF221" s="271"/>
      <c r="BG221" s="271"/>
      <c r="BH221" s="271"/>
      <c r="BI221" s="271"/>
      <c r="BJ221" s="271"/>
      <c r="BK221" s="271"/>
      <c r="BL221" s="271"/>
    </row>
    <row r="222" spans="18:64" ht="21" customHeight="1" x14ac:dyDescent="0.25">
      <c r="R222" s="25" t="s">
        <v>6116</v>
      </c>
      <c r="S222" s="451"/>
      <c r="T222" s="28" t="s">
        <v>22</v>
      </c>
      <c r="V222" s="475">
        <v>5</v>
      </c>
      <c r="W222" s="475" t="str">
        <f>IF($AC$222="","",$W$216)</f>
        <v>N° 29</v>
      </c>
      <c r="X222" s="476" t="str">
        <f>IF($AC$222="","",$X$216)</f>
        <v>PISSALADIÈRE</v>
      </c>
      <c r="Y222" s="477">
        <f>IF($X$222="","",$Y$216)</f>
        <v>46</v>
      </c>
      <c r="Z222" s="477">
        <f>IF($X$222="","",$Z$216)</f>
        <v>100</v>
      </c>
      <c r="AA222" s="477">
        <f>IF($AC$222="","",ROW($A$222)-ROW($A$216))</f>
        <v>6</v>
      </c>
      <c r="AB222" s="478"/>
      <c r="AC222" s="34" t="s">
        <v>67</v>
      </c>
      <c r="AD222" s="356"/>
      <c r="AE222" s="23" t="s">
        <v>33</v>
      </c>
      <c r="AF222" s="19"/>
      <c r="AG222" s="480" t="str">
        <f t="shared" si="52"/>
        <v>QT. SUFFISANTE</v>
      </c>
      <c r="AH222" s="481" t="str">
        <f t="shared" si="53"/>
        <v/>
      </c>
      <c r="AI222" s="477" t="str">
        <f>IF($AC$222="","",IFERROR(INDEX($AZ$74:$AZ$119,MATCH($AH$222,$AY$74:$AY$119,0)),"AUTRE"))</f>
        <v>AUTRE</v>
      </c>
      <c r="AJ222" s="482">
        <f>IF($AC$222="","",IFERROR(INDEX($BA$74:$BA$119,MATCH($AH$222,$AY$74:$AY$119,0)),1))</f>
        <v>1</v>
      </c>
      <c r="AK222" s="482" t="e">
        <f t="shared" si="54"/>
        <v>#VALUE!</v>
      </c>
      <c r="AL222" s="477" t="str">
        <f>IF($AC$222="","",IFERROR(INDEX($BB$74:$BB$119,MATCH($AH$222,$AY$74:$AY$119,0)),$AH$222))</f>
        <v/>
      </c>
      <c r="AM222" s="483" t="str">
        <f t="shared" si="55"/>
        <v>QUANTITÉ À CONTRÔLER</v>
      </c>
      <c r="AN222" s="484" t="str">
        <f t="shared" si="56"/>
        <v>QT. SUFFISANTE</v>
      </c>
      <c r="AO222" s="473" t="str">
        <f t="shared" si="57"/>
        <v/>
      </c>
      <c r="AP222" s="473" t="str">
        <f t="shared" si="58"/>
        <v/>
      </c>
      <c r="AQ222" s="473" t="str">
        <f t="shared" si="59"/>
        <v/>
      </c>
      <c r="AR222" s="473" t="str">
        <f t="shared" si="60"/>
        <v/>
      </c>
      <c r="AS222" s="473" t="str">
        <f t="shared" si="61"/>
        <v/>
      </c>
      <c r="AT222" s="473" t="str">
        <f t="shared" si="62"/>
        <v/>
      </c>
      <c r="AU222" s="473" t="str">
        <f t="shared" si="63"/>
        <v/>
      </c>
      <c r="AZ222" s="31" t="s">
        <v>16</v>
      </c>
      <c r="BA222" s="34" t="s">
        <v>6112</v>
      </c>
      <c r="BB222" s="499"/>
      <c r="BC222" s="271"/>
      <c r="BD222" s="279">
        <v>1</v>
      </c>
      <c r="BE222" s="271"/>
      <c r="BF222" s="271"/>
      <c r="BG222" s="271"/>
      <c r="BH222" s="271"/>
      <c r="BI222" s="271"/>
      <c r="BJ222" s="271"/>
      <c r="BK222" s="271"/>
      <c r="BL222" s="271"/>
    </row>
    <row r="223" spans="18:64" ht="21" customHeight="1" x14ac:dyDescent="0.25">
      <c r="R223" s="34" t="s">
        <v>6117</v>
      </c>
      <c r="S223" s="451"/>
      <c r="T223" s="28" t="s">
        <v>23</v>
      </c>
      <c r="V223" s="475">
        <v>5</v>
      </c>
      <c r="W223" s="475" t="str">
        <f>IF($AC$223="","",$W$216)</f>
        <v>N° 29</v>
      </c>
      <c r="X223" s="476" t="str">
        <f>IF($AC$223="","",$X$216)</f>
        <v>PISSALADIÈRE</v>
      </c>
      <c r="Y223" s="477">
        <f>IF($X$223="","",$Y$216)</f>
        <v>46</v>
      </c>
      <c r="Z223" s="477">
        <f>IF($X$223="","",$Z$216)</f>
        <v>100</v>
      </c>
      <c r="AA223" s="477">
        <f>IF($AC$223="","",ROW($A$223)-ROW($A$216))</f>
        <v>7</v>
      </c>
      <c r="AB223" s="478"/>
      <c r="AC223" s="34" t="s">
        <v>44</v>
      </c>
      <c r="AD223" s="356"/>
      <c r="AE223" s="23" t="s">
        <v>33</v>
      </c>
      <c r="AF223" s="19"/>
      <c r="AG223" s="480" t="str">
        <f t="shared" si="52"/>
        <v>QT. SUFFISANTE</v>
      </c>
      <c r="AH223" s="481" t="str">
        <f t="shared" si="53"/>
        <v/>
      </c>
      <c r="AI223" s="477" t="str">
        <f>IF($AC$223="","",IFERROR(INDEX($AZ$74:$AZ$119,MATCH($AH$223,$AY$74:$AY$119,0)),"AUTRE"))</f>
        <v>AUTRE</v>
      </c>
      <c r="AJ223" s="482">
        <f>IF($AC$223="","",IFERROR(INDEX($BA$74:$BA$119,MATCH($AH$223,$AY$74:$AY$119,0)),1))</f>
        <v>1</v>
      </c>
      <c r="AK223" s="482" t="e">
        <f t="shared" si="54"/>
        <v>#VALUE!</v>
      </c>
      <c r="AL223" s="477" t="str">
        <f>IF($AC$223="","",IFERROR(INDEX($BB$74:$BB$119,MATCH($AH$223,$AY$74:$AY$119,0)),$AH$223))</f>
        <v/>
      </c>
      <c r="AM223" s="483" t="str">
        <f t="shared" si="55"/>
        <v>QUANTITÉ À CONTRÔLER</v>
      </c>
      <c r="AN223" s="484" t="str">
        <f t="shared" si="56"/>
        <v>QT. SUFFISANTE</v>
      </c>
      <c r="AO223" s="473" t="str">
        <f t="shared" si="57"/>
        <v/>
      </c>
      <c r="AP223" s="473" t="str">
        <f t="shared" si="58"/>
        <v/>
      </c>
      <c r="AQ223" s="473" t="str">
        <f t="shared" si="59"/>
        <v/>
      </c>
      <c r="AR223" s="473" t="str">
        <f t="shared" si="60"/>
        <v/>
      </c>
      <c r="AS223" s="473" t="str">
        <f t="shared" si="61"/>
        <v/>
      </c>
      <c r="AT223" s="473" t="str">
        <f t="shared" si="62"/>
        <v/>
      </c>
      <c r="AU223" s="473" t="str">
        <f t="shared" si="63"/>
        <v/>
      </c>
      <c r="AZ223" s="31" t="s">
        <v>17</v>
      </c>
      <c r="BA223" s="25" t="s">
        <v>6116</v>
      </c>
      <c r="BB223" s="499"/>
      <c r="BC223" s="271"/>
      <c r="BD223" s="279">
        <v>1</v>
      </c>
      <c r="BE223" s="271"/>
      <c r="BF223" s="271"/>
      <c r="BG223" s="271"/>
      <c r="BH223" s="271"/>
      <c r="BI223" s="271"/>
      <c r="BJ223" s="271"/>
      <c r="BK223" s="271"/>
      <c r="BL223" s="271"/>
    </row>
    <row r="224" spans="18:64" ht="21" customHeight="1" x14ac:dyDescent="0.25">
      <c r="R224" s="34" t="s">
        <v>469</v>
      </c>
      <c r="S224" s="451"/>
      <c r="T224" s="28" t="s">
        <v>24</v>
      </c>
      <c r="V224" s="475">
        <v>5</v>
      </c>
      <c r="W224" s="475" t="str">
        <f>IF($AC$224="","",$W$216)</f>
        <v/>
      </c>
      <c r="X224" s="476" t="str">
        <f>IF($AC$224="","",$X$216)</f>
        <v/>
      </c>
      <c r="Y224" s="477" t="str">
        <f>IF($X$224="","",$Y$216)</f>
        <v/>
      </c>
      <c r="Z224" s="477" t="str">
        <f>IF($X$224="","",$Z$216)</f>
        <v/>
      </c>
      <c r="AA224" s="477" t="str">
        <f>IF($AC$224="","",ROW($A$224)-ROW($A$216))</f>
        <v/>
      </c>
      <c r="AB224" s="478"/>
      <c r="AC224" s="34"/>
      <c r="AD224" s="356"/>
      <c r="AE224" s="18"/>
      <c r="AF224" s="19"/>
      <c r="AG224" s="480" t="str">
        <f t="shared" si="52"/>
        <v/>
      </c>
      <c r="AH224" s="481" t="str">
        <f t="shared" si="53"/>
        <v/>
      </c>
      <c r="AI224" s="477" t="str">
        <f>IF($AC$224="","",IFERROR(INDEX($AZ$74:$AZ$119,MATCH($AH$224,$AY$74:$AY$119,0)),"AUTRE"))</f>
        <v/>
      </c>
      <c r="AJ224" s="482" t="str">
        <f>IF($AC$224="","",IFERROR(INDEX($BA$74:$BA$119,MATCH($AH$224,$AY$74:$AY$119,0)),1))</f>
        <v/>
      </c>
      <c r="AK224" s="482" t="str">
        <f t="shared" si="54"/>
        <v/>
      </c>
      <c r="AL224" s="477" t="str">
        <f>IF($AC$224="","",IFERROR(INDEX($BB$74:$BB$119,MATCH($AH$224,$AY$74:$AY$119,0)),$AH$224))</f>
        <v/>
      </c>
      <c r="AM224" s="483" t="str">
        <f t="shared" si="55"/>
        <v/>
      </c>
      <c r="AN224" s="484" t="str">
        <f t="shared" si="56"/>
        <v/>
      </c>
      <c r="AO224" s="473" t="str">
        <f t="shared" si="57"/>
        <v/>
      </c>
      <c r="AP224" s="473" t="str">
        <f t="shared" si="58"/>
        <v/>
      </c>
      <c r="AQ224" s="473" t="str">
        <f t="shared" si="59"/>
        <v/>
      </c>
      <c r="AR224" s="473" t="str">
        <f t="shared" si="60"/>
        <v/>
      </c>
      <c r="AS224" s="473" t="str">
        <f t="shared" si="61"/>
        <v/>
      </c>
      <c r="AT224" s="473" t="str">
        <f t="shared" si="62"/>
        <v/>
      </c>
      <c r="AU224" s="473" t="str">
        <f t="shared" si="63"/>
        <v/>
      </c>
      <c r="AZ224" s="31" t="s">
        <v>18</v>
      </c>
      <c r="BA224" s="34" t="s">
        <v>6117</v>
      </c>
      <c r="BB224" s="499"/>
      <c r="BC224" s="271"/>
      <c r="BD224" s="279">
        <v>1</v>
      </c>
      <c r="BE224" s="271"/>
      <c r="BF224" s="271"/>
      <c r="BG224" s="271"/>
      <c r="BH224" s="271"/>
      <c r="BI224" s="271"/>
      <c r="BJ224" s="271"/>
      <c r="BK224" s="271"/>
      <c r="BL224" s="271"/>
    </row>
    <row r="225" spans="18:64" ht="21" customHeight="1" x14ac:dyDescent="0.25">
      <c r="R225" s="34" t="s">
        <v>6118</v>
      </c>
      <c r="S225" s="451"/>
      <c r="T225" s="29" t="s">
        <v>9</v>
      </c>
      <c r="V225" s="475">
        <v>5</v>
      </c>
      <c r="W225" s="475" t="str">
        <f>IF($AC$225="","",$W$216)</f>
        <v/>
      </c>
      <c r="X225" s="476" t="str">
        <f>IF($AC$225="","",$X$216)</f>
        <v/>
      </c>
      <c r="Y225" s="477" t="str">
        <f>IF($X$225="","",$Y$216)</f>
        <v/>
      </c>
      <c r="Z225" s="477" t="str">
        <f>IF($X$225="","",$Z$216)</f>
        <v/>
      </c>
      <c r="AA225" s="477" t="str">
        <f>IF($AC$225="","",ROW($A$225)-ROW($A$216))</f>
        <v/>
      </c>
      <c r="AB225" s="478"/>
      <c r="AC225" s="34"/>
      <c r="AD225" s="356"/>
      <c r="AE225" s="18"/>
      <c r="AF225" s="19"/>
      <c r="AG225" s="480" t="str">
        <f t="shared" si="52"/>
        <v/>
      </c>
      <c r="AH225" s="481" t="str">
        <f t="shared" si="53"/>
        <v/>
      </c>
      <c r="AI225" s="477" t="str">
        <f>IF($AC$225="","",IFERROR(INDEX($AZ$74:$AZ$119,MATCH($AH$225,$AY$74:$AY$119,0)),"AUTRE"))</f>
        <v/>
      </c>
      <c r="AJ225" s="482" t="str">
        <f>IF($AC$225="","",IFERROR(INDEX($BA$74:$BA$119,MATCH($AH$225,$AY$74:$AY$119,0)),1))</f>
        <v/>
      </c>
      <c r="AK225" s="482" t="str">
        <f t="shared" si="54"/>
        <v/>
      </c>
      <c r="AL225" s="477" t="str">
        <f>IF($AC$225="","",IFERROR(INDEX($BB$74:$BB$119,MATCH($AH$225,$AY$74:$AY$119,0)),$AH$225))</f>
        <v/>
      </c>
      <c r="AM225" s="483" t="str">
        <f t="shared" si="55"/>
        <v/>
      </c>
      <c r="AN225" s="484" t="str">
        <f t="shared" si="56"/>
        <v/>
      </c>
      <c r="AO225" s="473" t="str">
        <f t="shared" si="57"/>
        <v/>
      </c>
      <c r="AP225" s="473" t="str">
        <f t="shared" si="58"/>
        <v/>
      </c>
      <c r="AQ225" s="473" t="str">
        <f t="shared" si="59"/>
        <v/>
      </c>
      <c r="AR225" s="473" t="str">
        <f t="shared" si="60"/>
        <v/>
      </c>
      <c r="AS225" s="473" t="str">
        <f t="shared" si="61"/>
        <v/>
      </c>
      <c r="AT225" s="473" t="str">
        <f t="shared" si="62"/>
        <v/>
      </c>
      <c r="AU225" s="473" t="str">
        <f t="shared" si="63"/>
        <v/>
      </c>
      <c r="AZ225" s="31" t="s">
        <v>19</v>
      </c>
      <c r="BA225" s="34" t="s">
        <v>469</v>
      </c>
      <c r="BB225" s="499"/>
      <c r="BC225" s="271"/>
      <c r="BD225" s="279">
        <v>1</v>
      </c>
      <c r="BE225" s="271"/>
      <c r="BF225" s="271"/>
      <c r="BG225" s="271"/>
      <c r="BH225" s="271"/>
      <c r="BI225" s="271"/>
      <c r="BJ225" s="271"/>
      <c r="BK225" s="271"/>
      <c r="BL225" s="271"/>
    </row>
    <row r="226" spans="18:64" ht="21" customHeight="1" x14ac:dyDescent="0.25">
      <c r="R226" s="34" t="s">
        <v>492</v>
      </c>
      <c r="S226" s="451"/>
      <c r="T226" s="30" t="s">
        <v>10</v>
      </c>
      <c r="V226" s="475">
        <v>5</v>
      </c>
      <c r="W226" s="475" t="str">
        <f>IF($AC$226="","",$W$216)</f>
        <v/>
      </c>
      <c r="X226" s="476" t="str">
        <f>IF($AC$226="","",$X$216)</f>
        <v/>
      </c>
      <c r="Y226" s="477" t="str">
        <f>IF($X$226="","",$Y$216)</f>
        <v/>
      </c>
      <c r="Z226" s="477" t="str">
        <f>IF($X$226="","",$Z$216)</f>
        <v/>
      </c>
      <c r="AA226" s="477" t="str">
        <f>IF($AC$226="","",ROW($A$226)-ROW($A$216))</f>
        <v/>
      </c>
      <c r="AB226" s="478"/>
      <c r="AC226" s="34"/>
      <c r="AD226" s="356"/>
      <c r="AE226" s="18"/>
      <c r="AF226" s="19"/>
      <c r="AG226" s="480" t="str">
        <f t="shared" si="52"/>
        <v/>
      </c>
      <c r="AH226" s="481" t="str">
        <f t="shared" si="53"/>
        <v/>
      </c>
      <c r="AI226" s="477" t="str">
        <f>IF($AC$226="","",IFERROR(INDEX($AZ$74:$AZ$119,MATCH($AH$226,$AY$74:$AY$119,0)),"AUTRE"))</f>
        <v/>
      </c>
      <c r="AJ226" s="482" t="str">
        <f>IF($AC$226="","",IFERROR(INDEX($BA$74:$BA$119,MATCH($AH$226,$AY$74:$AY$119,0)),1))</f>
        <v/>
      </c>
      <c r="AK226" s="482" t="str">
        <f t="shared" si="54"/>
        <v/>
      </c>
      <c r="AL226" s="477" t="str">
        <f>IF($AC$226="","",IFERROR(INDEX($BB$74:$BB$119,MATCH($AH$226,$AY$74:$AY$119,0)),$AH$226))</f>
        <v/>
      </c>
      <c r="AM226" s="483" t="str">
        <f t="shared" si="55"/>
        <v/>
      </c>
      <c r="AN226" s="484" t="str">
        <f t="shared" si="56"/>
        <v/>
      </c>
      <c r="AO226" s="473" t="str">
        <f t="shared" si="57"/>
        <v/>
      </c>
      <c r="AP226" s="473" t="str">
        <f t="shared" si="58"/>
        <v/>
      </c>
      <c r="AQ226" s="473" t="str">
        <f t="shared" si="59"/>
        <v/>
      </c>
      <c r="AR226" s="473" t="str">
        <f t="shared" si="60"/>
        <v/>
      </c>
      <c r="AS226" s="473" t="str">
        <f t="shared" si="61"/>
        <v/>
      </c>
      <c r="AT226" s="473" t="str">
        <f t="shared" si="62"/>
        <v/>
      </c>
      <c r="AU226" s="473" t="str">
        <f t="shared" si="63"/>
        <v/>
      </c>
      <c r="AZ226" s="31" t="s">
        <v>211</v>
      </c>
      <c r="BA226" s="34" t="s">
        <v>6118</v>
      </c>
      <c r="BB226" s="499"/>
      <c r="BC226" s="271"/>
      <c r="BD226" s="279">
        <v>1</v>
      </c>
      <c r="BE226" s="271"/>
      <c r="BF226" s="271"/>
      <c r="BG226" s="271"/>
      <c r="BH226" s="271"/>
      <c r="BI226" s="271"/>
      <c r="BJ226" s="271"/>
      <c r="BK226" s="271"/>
      <c r="BL226" s="271"/>
    </row>
    <row r="227" spans="18:64" ht="21" customHeight="1" x14ac:dyDescent="0.25">
      <c r="R227" s="34" t="s">
        <v>458</v>
      </c>
      <c r="S227" s="451"/>
      <c r="T227" s="30" t="s">
        <v>11</v>
      </c>
      <c r="V227" s="475">
        <v>5</v>
      </c>
      <c r="W227" s="475" t="str">
        <f>IF($AC$227="","",$W$216)</f>
        <v/>
      </c>
      <c r="X227" s="476" t="str">
        <f>IF($AC$227="","",$X$216)</f>
        <v/>
      </c>
      <c r="Y227" s="477" t="str">
        <f>IF($X$227="","",$Y$216)</f>
        <v/>
      </c>
      <c r="Z227" s="477" t="str">
        <f>IF($X$227="","",$Z$216)</f>
        <v/>
      </c>
      <c r="AA227" s="477" t="str">
        <f>IF($AC$227="","",ROW($A$227)-ROW($A$216))</f>
        <v/>
      </c>
      <c r="AB227" s="478"/>
      <c r="AC227" s="34"/>
      <c r="AD227" s="356"/>
      <c r="AE227" s="18"/>
      <c r="AF227" s="19"/>
      <c r="AG227" s="480" t="str">
        <f t="shared" si="52"/>
        <v/>
      </c>
      <c r="AH227" s="481" t="str">
        <f t="shared" si="53"/>
        <v/>
      </c>
      <c r="AI227" s="477" t="str">
        <f>IF($AC$227="","",IFERROR(INDEX($AZ$74:$AZ$119,MATCH($AH$227,$AY$74:$AY$119,0)),"AUTRE"))</f>
        <v/>
      </c>
      <c r="AJ227" s="482" t="str">
        <f>IF($AC$227="","",IFERROR(INDEX($BA$74:$BA$119,MATCH($AH$227,$AY$74:$AY$119,0)),1))</f>
        <v/>
      </c>
      <c r="AK227" s="482" t="str">
        <f t="shared" si="54"/>
        <v/>
      </c>
      <c r="AL227" s="477" t="str">
        <f>IF($AC$227="","",IFERROR(INDEX($BB$74:$BB$119,MATCH($AH$227,$AY$74:$AY$119,0)),$AH$227))</f>
        <v/>
      </c>
      <c r="AM227" s="483" t="str">
        <f t="shared" si="55"/>
        <v/>
      </c>
      <c r="AN227" s="484" t="str">
        <f t="shared" si="56"/>
        <v/>
      </c>
      <c r="AO227" s="473" t="str">
        <f t="shared" si="57"/>
        <v/>
      </c>
      <c r="AP227" s="473" t="str">
        <f t="shared" si="58"/>
        <v/>
      </c>
      <c r="AQ227" s="473" t="str">
        <f t="shared" si="59"/>
        <v/>
      </c>
      <c r="AR227" s="473" t="str">
        <f t="shared" si="60"/>
        <v/>
      </c>
      <c r="AS227" s="473" t="str">
        <f t="shared" si="61"/>
        <v/>
      </c>
      <c r="AT227" s="473" t="str">
        <f t="shared" si="62"/>
        <v/>
      </c>
      <c r="AU227" s="473" t="str">
        <f t="shared" si="63"/>
        <v/>
      </c>
      <c r="AZ227" s="31" t="s">
        <v>20</v>
      </c>
      <c r="BA227" s="34" t="s">
        <v>492</v>
      </c>
      <c r="BB227" s="499"/>
      <c r="BC227" s="271"/>
      <c r="BD227" s="279">
        <v>1</v>
      </c>
      <c r="BE227" s="271"/>
      <c r="BF227" s="271"/>
      <c r="BG227" s="271"/>
      <c r="BH227" s="271"/>
      <c r="BI227" s="271"/>
      <c r="BJ227" s="271"/>
      <c r="BK227" s="271"/>
      <c r="BL227" s="271"/>
    </row>
    <row r="228" spans="18:64" ht="21" customHeight="1" x14ac:dyDescent="0.25">
      <c r="R228" s="490"/>
      <c r="S228" s="451"/>
      <c r="T228" s="30" t="s">
        <v>12</v>
      </c>
      <c r="V228" s="475">
        <v>5</v>
      </c>
      <c r="W228" s="475" t="str">
        <f>IF($AC$228="","",$W$216)</f>
        <v/>
      </c>
      <c r="X228" s="476" t="str">
        <f>IF($AC$228="","",$X$216)</f>
        <v/>
      </c>
      <c r="Y228" s="477" t="str">
        <f>IF($X$228="","",$Y$216)</f>
        <v/>
      </c>
      <c r="Z228" s="477" t="str">
        <f>IF($X$228="","",$Z$216)</f>
        <v/>
      </c>
      <c r="AA228" s="477" t="str">
        <f>IF($AC$228="","",ROW($A$228)-ROW($A$216))</f>
        <v/>
      </c>
      <c r="AB228" s="478"/>
      <c r="AC228" s="34"/>
      <c r="AD228" s="356"/>
      <c r="AE228" s="18"/>
      <c r="AF228" s="19"/>
      <c r="AG228" s="480" t="str">
        <f t="shared" si="52"/>
        <v/>
      </c>
      <c r="AH228" s="481" t="str">
        <f t="shared" si="53"/>
        <v/>
      </c>
      <c r="AI228" s="477" t="str">
        <f>IF($AC$228="","",IFERROR(INDEX($AZ$74:$AZ$119,MATCH($AH$228,$AY$74:$AY$119,0)),"AUTRE"))</f>
        <v/>
      </c>
      <c r="AJ228" s="482" t="str">
        <f>IF($AC$228="","",IFERROR(INDEX($BA$74:$BA$119,MATCH($AH$228,$AY$74:$AY$119,0)),1))</f>
        <v/>
      </c>
      <c r="AK228" s="482" t="str">
        <f t="shared" si="54"/>
        <v/>
      </c>
      <c r="AL228" s="477" t="str">
        <f>IF($AC$228="","",IFERROR(INDEX($BB$74:$BB$119,MATCH($AH$228,$AY$74:$AY$119,0)),$AH$228))</f>
        <v/>
      </c>
      <c r="AM228" s="483" t="str">
        <f t="shared" si="55"/>
        <v/>
      </c>
      <c r="AN228" s="484" t="str">
        <f t="shared" si="56"/>
        <v/>
      </c>
      <c r="AO228" s="473" t="str">
        <f t="shared" si="57"/>
        <v/>
      </c>
      <c r="AP228" s="473" t="str">
        <f t="shared" si="58"/>
        <v/>
      </c>
      <c r="AQ228" s="473" t="str">
        <f t="shared" si="59"/>
        <v/>
      </c>
      <c r="AR228" s="473" t="str">
        <f t="shared" si="60"/>
        <v/>
      </c>
      <c r="AS228" s="473" t="str">
        <f t="shared" si="61"/>
        <v/>
      </c>
      <c r="AT228" s="473" t="str">
        <f t="shared" si="62"/>
        <v/>
      </c>
      <c r="AU228" s="473" t="str">
        <f t="shared" si="63"/>
        <v/>
      </c>
      <c r="AZ228" s="31" t="s">
        <v>304</v>
      </c>
      <c r="BA228" s="34" t="s">
        <v>458</v>
      </c>
      <c r="BB228" s="499"/>
      <c r="BC228" s="271"/>
      <c r="BD228" s="279">
        <v>1</v>
      </c>
      <c r="BE228" s="271"/>
      <c r="BF228" s="271"/>
      <c r="BG228" s="271"/>
      <c r="BH228" s="271"/>
      <c r="BI228" s="271"/>
      <c r="BJ228" s="271"/>
      <c r="BK228" s="271"/>
      <c r="BL228" s="271"/>
    </row>
    <row r="229" spans="18:64" ht="21" customHeight="1" x14ac:dyDescent="0.25">
      <c r="R229" s="25" t="s">
        <v>6119</v>
      </c>
      <c r="S229" s="451"/>
      <c r="T229" s="31" t="s">
        <v>16</v>
      </c>
      <c r="V229" s="475">
        <v>5</v>
      </c>
      <c r="W229" s="475" t="str">
        <f>IF($AC$229="","",$W$216)</f>
        <v/>
      </c>
      <c r="X229" s="476" t="str">
        <f>IF($AC$229="","",$X$216)</f>
        <v/>
      </c>
      <c r="Y229" s="477" t="str">
        <f>IF($X$229="","",$Y$216)</f>
        <v/>
      </c>
      <c r="Z229" s="477" t="str">
        <f>IF($X$229="","",$Z$216)</f>
        <v/>
      </c>
      <c r="AA229" s="477" t="str">
        <f>IF($AC$229="","",ROW($A$229)-ROW($A$216))</f>
        <v/>
      </c>
      <c r="AB229" s="478"/>
      <c r="AC229" s="34"/>
      <c r="AD229" s="356"/>
      <c r="AE229" s="18"/>
      <c r="AF229" s="19"/>
      <c r="AG229" s="480" t="str">
        <f t="shared" si="52"/>
        <v/>
      </c>
      <c r="AH229" s="481" t="str">
        <f t="shared" si="53"/>
        <v/>
      </c>
      <c r="AI229" s="477" t="str">
        <f>IF($AC$229="","",IFERROR(INDEX($AZ$74:$AZ$119,MATCH($AH$229,$AY$74:$AY$119,0)),"AUTRE"))</f>
        <v/>
      </c>
      <c r="AJ229" s="482" t="str">
        <f>IF($AC$229="","",IFERROR(INDEX($BA$74:$BA$119,MATCH($AH$229,$AY$74:$AY$119,0)),1))</f>
        <v/>
      </c>
      <c r="AK229" s="482" t="str">
        <f t="shared" si="54"/>
        <v/>
      </c>
      <c r="AL229" s="477" t="str">
        <f>IF($AC$229="","",IFERROR(INDEX($BB$74:$BB$119,MATCH($AH$229,$AY$74:$AY$119,0)),$AH$229))</f>
        <v/>
      </c>
      <c r="AM229" s="483" t="str">
        <f t="shared" si="55"/>
        <v/>
      </c>
      <c r="AN229" s="484" t="str">
        <f t="shared" si="56"/>
        <v/>
      </c>
      <c r="AO229" s="473" t="str">
        <f t="shared" si="57"/>
        <v/>
      </c>
      <c r="AP229" s="473" t="str">
        <f t="shared" si="58"/>
        <v/>
      </c>
      <c r="AQ229" s="473" t="str">
        <f t="shared" si="59"/>
        <v/>
      </c>
      <c r="AR229" s="473" t="str">
        <f t="shared" si="60"/>
        <v/>
      </c>
      <c r="AS229" s="473" t="str">
        <f t="shared" si="61"/>
        <v/>
      </c>
      <c r="AT229" s="473" t="str">
        <f t="shared" si="62"/>
        <v/>
      </c>
      <c r="AU229" s="473" t="str">
        <f t="shared" si="63"/>
        <v/>
      </c>
      <c r="AZ229" s="31" t="s">
        <v>352</v>
      </c>
      <c r="BA229" s="490"/>
      <c r="BB229" s="499"/>
      <c r="BC229" s="271"/>
      <c r="BD229" s="279">
        <v>1</v>
      </c>
      <c r="BE229" s="271"/>
      <c r="BF229" s="271"/>
      <c r="BG229" s="271"/>
      <c r="BH229" s="271"/>
      <c r="BI229" s="271"/>
      <c r="BJ229" s="271"/>
      <c r="BK229" s="271"/>
      <c r="BL229" s="271"/>
    </row>
    <row r="230" spans="18:64" ht="21" customHeight="1" x14ac:dyDescent="0.25">
      <c r="R230" s="34" t="s">
        <v>6120</v>
      </c>
      <c r="S230" s="451"/>
      <c r="T230" s="31" t="s">
        <v>17</v>
      </c>
      <c r="V230" s="475">
        <v>5</v>
      </c>
      <c r="W230" s="475" t="str">
        <f>IF($AC$230="","",$W$216)</f>
        <v/>
      </c>
      <c r="X230" s="476" t="str">
        <f>IF($AC$230="","",$X$216)</f>
        <v/>
      </c>
      <c r="Y230" s="477" t="str">
        <f>IF($X$230="","",$Y$216)</f>
        <v/>
      </c>
      <c r="Z230" s="477" t="str">
        <f>IF($X$230="","",$Z$216)</f>
        <v/>
      </c>
      <c r="AA230" s="477" t="str">
        <f>IF($AC$230="","",ROW($A$230)-ROW($A$216))</f>
        <v/>
      </c>
      <c r="AB230" s="478"/>
      <c r="AC230" s="34"/>
      <c r="AD230" s="356"/>
      <c r="AE230" s="18"/>
      <c r="AF230" s="19"/>
      <c r="AG230" s="480" t="str">
        <f t="shared" si="52"/>
        <v/>
      </c>
      <c r="AH230" s="481" t="str">
        <f t="shared" si="53"/>
        <v/>
      </c>
      <c r="AI230" s="477" t="str">
        <f>IF($AC$230="","",IFERROR(INDEX($AZ$74:$AZ$119,MATCH($AH$230,$AY$74:$AY$119,0)),"AUTRE"))</f>
        <v/>
      </c>
      <c r="AJ230" s="482" t="str">
        <f>IF($AC$230="","",IFERROR(INDEX($BA$74:$BA$119,MATCH($AH$230,$AY$74:$AY$119,0)),1))</f>
        <v/>
      </c>
      <c r="AK230" s="482" t="str">
        <f t="shared" si="54"/>
        <v/>
      </c>
      <c r="AL230" s="477" t="str">
        <f>IF($AC$230="","",IFERROR(INDEX($BB$74:$BB$119,MATCH($AH$230,$AY$74:$AY$119,0)),$AH$230))</f>
        <v/>
      </c>
      <c r="AM230" s="483" t="str">
        <f t="shared" si="55"/>
        <v/>
      </c>
      <c r="AN230" s="484" t="str">
        <f t="shared" si="56"/>
        <v/>
      </c>
      <c r="AO230" s="473" t="str">
        <f t="shared" si="57"/>
        <v/>
      </c>
      <c r="AP230" s="473" t="str">
        <f t="shared" si="58"/>
        <v/>
      </c>
      <c r="AQ230" s="473" t="str">
        <f t="shared" si="59"/>
        <v/>
      </c>
      <c r="AR230" s="473" t="str">
        <f t="shared" si="60"/>
        <v/>
      </c>
      <c r="AS230" s="473" t="str">
        <f t="shared" si="61"/>
        <v/>
      </c>
      <c r="AT230" s="473" t="str">
        <f t="shared" si="62"/>
        <v/>
      </c>
      <c r="AU230" s="473" t="str">
        <f t="shared" si="63"/>
        <v/>
      </c>
      <c r="AZ230" s="31" t="s">
        <v>27</v>
      </c>
      <c r="BA230" s="25" t="s">
        <v>6119</v>
      </c>
      <c r="BB230" s="499"/>
      <c r="BC230" s="271"/>
      <c r="BD230" s="279">
        <v>1</v>
      </c>
      <c r="BE230" s="271"/>
      <c r="BF230" s="271"/>
      <c r="BG230" s="271"/>
      <c r="BH230" s="271"/>
      <c r="BI230" s="271"/>
      <c r="BJ230" s="271"/>
      <c r="BK230" s="271"/>
      <c r="BL230" s="271"/>
    </row>
    <row r="231" spans="18:64" ht="21" customHeight="1" x14ac:dyDescent="0.25">
      <c r="R231" s="34" t="s">
        <v>6121</v>
      </c>
      <c r="S231" s="451"/>
      <c r="T231" s="31" t="s">
        <v>18</v>
      </c>
      <c r="V231" s="475">
        <v>5</v>
      </c>
      <c r="W231" s="475" t="str">
        <f>IF($AC$231="","",$W$216)</f>
        <v/>
      </c>
      <c r="X231" s="476" t="str">
        <f>IF($AC$231="","",$X$216)</f>
        <v/>
      </c>
      <c r="Y231" s="477" t="str">
        <f>IF($X$231="","",$Y$216)</f>
        <v/>
      </c>
      <c r="Z231" s="477" t="str">
        <f>IF($X$231="","",$Z$216)</f>
        <v/>
      </c>
      <c r="AA231" s="477" t="str">
        <f>IF($AC$231="","",ROW($A$231)-ROW($A$216))</f>
        <v/>
      </c>
      <c r="AB231" s="478"/>
      <c r="AC231" s="34"/>
      <c r="AD231" s="356"/>
      <c r="AE231" s="18"/>
      <c r="AF231" s="19"/>
      <c r="AG231" s="480" t="str">
        <f t="shared" si="52"/>
        <v/>
      </c>
      <c r="AH231" s="481" t="str">
        <f t="shared" si="53"/>
        <v/>
      </c>
      <c r="AI231" s="477" t="str">
        <f>IF($AC$231="","",IFERROR(INDEX($AZ$74:$AZ$119,MATCH($AH$231,$AY$74:$AY$119,0)),"AUTRE"))</f>
        <v/>
      </c>
      <c r="AJ231" s="482" t="str">
        <f>IF($AC$231="","",IFERROR(INDEX($BA$74:$BA$119,MATCH($AH$231,$AY$74:$AY$119,0)),1))</f>
        <v/>
      </c>
      <c r="AK231" s="482" t="str">
        <f t="shared" si="54"/>
        <v/>
      </c>
      <c r="AL231" s="477" t="str">
        <f>IF($AC$231="","",IFERROR(INDEX($BB$74:$BB$119,MATCH($AH$231,$AY$74:$AY$119,0)),$AH$231))</f>
        <v/>
      </c>
      <c r="AM231" s="483" t="str">
        <f t="shared" si="55"/>
        <v/>
      </c>
      <c r="AN231" s="484" t="str">
        <f t="shared" si="56"/>
        <v/>
      </c>
      <c r="AO231" s="473" t="str">
        <f t="shared" si="57"/>
        <v/>
      </c>
      <c r="AP231" s="473" t="str">
        <f t="shared" si="58"/>
        <v/>
      </c>
      <c r="AQ231" s="473" t="str">
        <f t="shared" si="59"/>
        <v/>
      </c>
      <c r="AR231" s="473" t="str">
        <f t="shared" si="60"/>
        <v/>
      </c>
      <c r="AS231" s="473" t="str">
        <f t="shared" si="61"/>
        <v/>
      </c>
      <c r="AT231" s="473" t="str">
        <f t="shared" si="62"/>
        <v/>
      </c>
      <c r="AU231" s="473" t="str">
        <f t="shared" si="63"/>
        <v/>
      </c>
      <c r="AZ231" s="31" t="s">
        <v>28</v>
      </c>
      <c r="BA231" s="34" t="s">
        <v>6120</v>
      </c>
      <c r="BB231" s="499"/>
      <c r="BC231" s="271"/>
      <c r="BD231" s="279">
        <v>1</v>
      </c>
      <c r="BE231" s="271"/>
      <c r="BF231" s="271"/>
      <c r="BG231" s="271"/>
      <c r="BH231" s="271"/>
      <c r="BI231" s="271"/>
      <c r="BJ231" s="271"/>
      <c r="BK231" s="271"/>
      <c r="BL231" s="271"/>
    </row>
    <row r="232" spans="18:64" ht="21" customHeight="1" x14ac:dyDescent="0.25">
      <c r="R232" s="34" t="s">
        <v>6122</v>
      </c>
      <c r="S232" s="451"/>
      <c r="T232" s="31" t="s">
        <v>19</v>
      </c>
      <c r="V232" s="475">
        <v>5</v>
      </c>
      <c r="W232" s="475" t="str">
        <f>IF($AC$232="","",$W$216)</f>
        <v/>
      </c>
      <c r="X232" s="476" t="str">
        <f>IF($AC$232="","",$X$216)</f>
        <v/>
      </c>
      <c r="Y232" s="477" t="str">
        <f>IF($X$232="","",$Y$216)</f>
        <v/>
      </c>
      <c r="Z232" s="477" t="str">
        <f>IF($X$232="","",$Z$216)</f>
        <v/>
      </c>
      <c r="AA232" s="477" t="str">
        <f>IF($AC$232="","",ROW($A$232)-ROW($A$216))</f>
        <v/>
      </c>
      <c r="AB232" s="478"/>
      <c r="AC232" s="34"/>
      <c r="AD232" s="356"/>
      <c r="AE232" s="18"/>
      <c r="AF232" s="19"/>
      <c r="AG232" s="480" t="str">
        <f t="shared" si="52"/>
        <v/>
      </c>
      <c r="AH232" s="481" t="str">
        <f t="shared" si="53"/>
        <v/>
      </c>
      <c r="AI232" s="477" t="str">
        <f>IF($AC$232="","",IFERROR(INDEX($AZ$74:$AZ$119,MATCH($AH$232,$AY$74:$AY$119,0)),"AUTRE"))</f>
        <v/>
      </c>
      <c r="AJ232" s="482" t="str">
        <f>IF($AC$232="","",IFERROR(INDEX($BA$74:$BA$119,MATCH($AH$232,$AY$74:$AY$119,0)),1))</f>
        <v/>
      </c>
      <c r="AK232" s="482" t="str">
        <f t="shared" si="54"/>
        <v/>
      </c>
      <c r="AL232" s="477" t="str">
        <f>IF($AC$232="","",IFERROR(INDEX($BB$74:$BB$119,MATCH($AH$232,$AY$74:$AY$119,0)),$AH$232))</f>
        <v/>
      </c>
      <c r="AM232" s="483" t="str">
        <f t="shared" si="55"/>
        <v/>
      </c>
      <c r="AN232" s="484" t="str">
        <f t="shared" si="56"/>
        <v/>
      </c>
      <c r="AO232" s="473" t="str">
        <f t="shared" si="57"/>
        <v/>
      </c>
      <c r="AP232" s="473" t="str">
        <f t="shared" si="58"/>
        <v/>
      </c>
      <c r="AQ232" s="473" t="str">
        <f t="shared" si="59"/>
        <v/>
      </c>
      <c r="AR232" s="473" t="str">
        <f t="shared" si="60"/>
        <v/>
      </c>
      <c r="AS232" s="473" t="str">
        <f t="shared" si="61"/>
        <v/>
      </c>
      <c r="AT232" s="473" t="str">
        <f t="shared" si="62"/>
        <v/>
      </c>
      <c r="AU232" s="473" t="str">
        <f t="shared" si="63"/>
        <v/>
      </c>
      <c r="AZ232" s="31" t="s">
        <v>29</v>
      </c>
      <c r="BA232" s="34" t="s">
        <v>6121</v>
      </c>
      <c r="BB232" s="499"/>
      <c r="BC232" s="271"/>
      <c r="BD232" s="279">
        <v>1</v>
      </c>
      <c r="BE232" s="271"/>
      <c r="BF232" s="271"/>
      <c r="BG232" s="271"/>
      <c r="BH232" s="271"/>
      <c r="BI232" s="271"/>
      <c r="BJ232" s="271"/>
      <c r="BK232" s="271"/>
      <c r="BL232" s="271"/>
    </row>
    <row r="233" spans="18:64" ht="21" customHeight="1" x14ac:dyDescent="0.25">
      <c r="R233" s="34" t="s">
        <v>6123</v>
      </c>
      <c r="S233" s="451"/>
      <c r="T233" s="31" t="s">
        <v>211</v>
      </c>
      <c r="V233" s="475">
        <v>5</v>
      </c>
      <c r="W233" s="475" t="str">
        <f>IF($AC$233="","",$W$216)</f>
        <v/>
      </c>
      <c r="X233" s="476" t="str">
        <f>IF($AC$233="","",$X$216)</f>
        <v/>
      </c>
      <c r="Y233" s="477" t="str">
        <f>IF($X$233="","",$Y$216)</f>
        <v/>
      </c>
      <c r="Z233" s="477" t="str">
        <f>IF($X$233="","",$Z$216)</f>
        <v/>
      </c>
      <c r="AA233" s="477" t="str">
        <f>IF($AC$233="","",ROW($A$233)-ROW($A$216))</f>
        <v/>
      </c>
      <c r="AB233" s="478"/>
      <c r="AC233" s="34"/>
      <c r="AD233" s="356"/>
      <c r="AE233" s="18"/>
      <c r="AF233" s="19"/>
      <c r="AG233" s="480" t="str">
        <f t="shared" si="52"/>
        <v/>
      </c>
      <c r="AH233" s="481" t="str">
        <f t="shared" si="53"/>
        <v/>
      </c>
      <c r="AI233" s="477" t="str">
        <f>IF($AC$233="","",IFERROR(INDEX($AZ$74:$AZ$119,MATCH($AH$233,$AY$74:$AY$119,0)),"AUTRE"))</f>
        <v/>
      </c>
      <c r="AJ233" s="482" t="str">
        <f>IF($AC$233="","",IFERROR(INDEX($BA$74:$BA$119,MATCH($AH$233,$AY$74:$AY$119,0)),1))</f>
        <v/>
      </c>
      <c r="AK233" s="482" t="str">
        <f t="shared" si="54"/>
        <v/>
      </c>
      <c r="AL233" s="477" t="str">
        <f>IF($AC$233="","",IFERROR(INDEX($BB$74:$BB$119,MATCH($AH$233,$AY$74:$AY$119,0)),$AH$233))</f>
        <v/>
      </c>
      <c r="AM233" s="483" t="str">
        <f t="shared" si="55"/>
        <v/>
      </c>
      <c r="AN233" s="484" t="str">
        <f t="shared" si="56"/>
        <v/>
      </c>
      <c r="AO233" s="473" t="str">
        <f t="shared" si="57"/>
        <v/>
      </c>
      <c r="AP233" s="473" t="str">
        <f t="shared" si="58"/>
        <v/>
      </c>
      <c r="AQ233" s="473" t="str">
        <f t="shared" si="59"/>
        <v/>
      </c>
      <c r="AR233" s="473" t="str">
        <f t="shared" si="60"/>
        <v/>
      </c>
      <c r="AS233" s="473" t="str">
        <f t="shared" si="61"/>
        <v/>
      </c>
      <c r="AT233" s="473" t="str">
        <f t="shared" si="62"/>
        <v/>
      </c>
      <c r="AU233" s="473" t="str">
        <f t="shared" si="63"/>
        <v/>
      </c>
      <c r="AZ233" s="31" t="s">
        <v>30</v>
      </c>
      <c r="BA233" s="34" t="s">
        <v>6122</v>
      </c>
      <c r="BB233" s="499"/>
      <c r="BC233" s="271"/>
      <c r="BD233" s="279">
        <v>1</v>
      </c>
      <c r="BE233" s="271"/>
      <c r="BF233" s="271"/>
      <c r="BG233" s="271"/>
      <c r="BH233" s="271"/>
      <c r="BI233" s="271"/>
      <c r="BJ233" s="271"/>
      <c r="BK233" s="271"/>
      <c r="BL233" s="271"/>
    </row>
    <row r="234" spans="18:64" ht="21" customHeight="1" x14ac:dyDescent="0.25">
      <c r="R234" s="34" t="s">
        <v>6124</v>
      </c>
      <c r="S234" s="451"/>
      <c r="T234" s="31" t="s">
        <v>20</v>
      </c>
      <c r="V234" s="475">
        <v>5</v>
      </c>
      <c r="W234" s="475" t="str">
        <f>IF($AC$234="","",$W$216)</f>
        <v/>
      </c>
      <c r="X234" s="476" t="str">
        <f>IF($AC$234="","",$X$216)</f>
        <v/>
      </c>
      <c r="Y234" s="477" t="str">
        <f>IF($X$234="","",$Y$216)</f>
        <v/>
      </c>
      <c r="Z234" s="477" t="str">
        <f>IF($X$234="","",$Z$216)</f>
        <v/>
      </c>
      <c r="AA234" s="477" t="str">
        <f>IF($AC$234="","",ROW($A$234)-ROW($A$216))</f>
        <v/>
      </c>
      <c r="AB234" s="478"/>
      <c r="AC234" s="34"/>
      <c r="AD234" s="356"/>
      <c r="AE234" s="18"/>
      <c r="AF234" s="19"/>
      <c r="AG234" s="480" t="str">
        <f t="shared" si="52"/>
        <v/>
      </c>
      <c r="AH234" s="481" t="str">
        <f t="shared" si="53"/>
        <v/>
      </c>
      <c r="AI234" s="477" t="str">
        <f>IF($AC$234="","",IFERROR(INDEX($AZ$74:$AZ$119,MATCH($AH$234,$AY$74:$AY$119,0)),"AUTRE"))</f>
        <v/>
      </c>
      <c r="AJ234" s="482" t="str">
        <f>IF($AC$234="","",IFERROR(INDEX($BA$74:$BA$119,MATCH($AH$234,$AY$74:$AY$119,0)),1))</f>
        <v/>
      </c>
      <c r="AK234" s="482" t="str">
        <f t="shared" si="54"/>
        <v/>
      </c>
      <c r="AL234" s="477" t="str">
        <f>IF($AC$234="","",IFERROR(INDEX($BB$74:$BB$119,MATCH($AH$234,$AY$74:$AY$119,0)),$AH$234))</f>
        <v/>
      </c>
      <c r="AM234" s="483" t="str">
        <f t="shared" si="55"/>
        <v/>
      </c>
      <c r="AN234" s="484" t="str">
        <f t="shared" si="56"/>
        <v/>
      </c>
      <c r="AO234" s="473" t="str">
        <f t="shared" si="57"/>
        <v/>
      </c>
      <c r="AP234" s="473" t="str">
        <f t="shared" si="58"/>
        <v/>
      </c>
      <c r="AQ234" s="473" t="str">
        <f t="shared" si="59"/>
        <v/>
      </c>
      <c r="AR234" s="473" t="str">
        <f t="shared" si="60"/>
        <v/>
      </c>
      <c r="AS234" s="473" t="str">
        <f t="shared" si="61"/>
        <v/>
      </c>
      <c r="AT234" s="473" t="str">
        <f t="shared" si="62"/>
        <v/>
      </c>
      <c r="AU234" s="473" t="str">
        <f t="shared" si="63"/>
        <v/>
      </c>
      <c r="AZ234" s="32" t="s">
        <v>33</v>
      </c>
      <c r="BA234" s="34" t="s">
        <v>6123</v>
      </c>
      <c r="BB234" s="499"/>
      <c r="BC234" s="271"/>
      <c r="BD234" s="279">
        <v>1</v>
      </c>
      <c r="BE234" s="271"/>
      <c r="BF234" s="271"/>
      <c r="BG234" s="271"/>
      <c r="BH234" s="271"/>
      <c r="BI234" s="271"/>
      <c r="BJ234" s="271"/>
      <c r="BK234" s="271"/>
      <c r="BL234" s="271"/>
    </row>
    <row r="235" spans="18:64" ht="21" customHeight="1" x14ac:dyDescent="0.25">
      <c r="R235" s="34" t="s">
        <v>6125</v>
      </c>
      <c r="S235" s="451"/>
      <c r="T235" s="31" t="s">
        <v>304</v>
      </c>
      <c r="V235" s="475">
        <v>5</v>
      </c>
      <c r="W235" s="475" t="str">
        <f>IF($AC$235="","",$W$216)</f>
        <v/>
      </c>
      <c r="X235" s="476" t="str">
        <f>IF($AC$235="","",$X$216)</f>
        <v/>
      </c>
      <c r="Y235" s="477" t="str">
        <f>IF($X$235="","",$Y$216)</f>
        <v/>
      </c>
      <c r="Z235" s="477" t="str">
        <f>IF($X$235="","",$Z$216)</f>
        <v/>
      </c>
      <c r="AA235" s="477" t="str">
        <f>IF($AC$235="","",ROW($A$235)-ROW($A$216))</f>
        <v/>
      </c>
      <c r="AB235" s="478"/>
      <c r="AC235" s="34"/>
      <c r="AD235" s="356"/>
      <c r="AE235" s="18"/>
      <c r="AF235" s="19"/>
      <c r="AG235" s="480" t="str">
        <f t="shared" si="52"/>
        <v/>
      </c>
      <c r="AH235" s="481" t="str">
        <f t="shared" si="53"/>
        <v/>
      </c>
      <c r="AI235" s="477" t="str">
        <f>IF($AC$235="","",IFERROR(INDEX($AZ$74:$AZ$119,MATCH($AH$235,$AY$74:$AY$119,0)),"AUTRE"))</f>
        <v/>
      </c>
      <c r="AJ235" s="482" t="str">
        <f>IF($AC$235="","",IFERROR(INDEX($BA$74:$BA$119,MATCH($AH$235,$AY$74:$AY$119,0)),1))</f>
        <v/>
      </c>
      <c r="AK235" s="482" t="str">
        <f t="shared" si="54"/>
        <v/>
      </c>
      <c r="AL235" s="477" t="str">
        <f>IF($AC$235="","",IFERROR(INDEX($BB$74:$BB$119,MATCH($AH$235,$AY$74:$AY$119,0)),$AH$235))</f>
        <v/>
      </c>
      <c r="AM235" s="483" t="str">
        <f t="shared" si="55"/>
        <v/>
      </c>
      <c r="AN235" s="484" t="str">
        <f t="shared" si="56"/>
        <v/>
      </c>
      <c r="AO235" s="473" t="str">
        <f t="shared" si="57"/>
        <v/>
      </c>
      <c r="AP235" s="473" t="str">
        <f t="shared" si="58"/>
        <v/>
      </c>
      <c r="AQ235" s="473" t="str">
        <f t="shared" si="59"/>
        <v/>
      </c>
      <c r="AR235" s="473" t="str">
        <f t="shared" si="60"/>
        <v/>
      </c>
      <c r="AS235" s="473" t="str">
        <f t="shared" si="61"/>
        <v/>
      </c>
      <c r="AT235" s="473" t="str">
        <f t="shared" si="62"/>
        <v/>
      </c>
      <c r="AU235" s="473" t="str">
        <f t="shared" si="63"/>
        <v/>
      </c>
      <c r="AZ235" s="32" t="s">
        <v>8125</v>
      </c>
      <c r="BA235" s="34" t="s">
        <v>6124</v>
      </c>
      <c r="BB235" s="499"/>
      <c r="BC235" s="271"/>
      <c r="BD235" s="279">
        <v>1</v>
      </c>
      <c r="BE235" s="271"/>
      <c r="BF235" s="271"/>
      <c r="BG235" s="271"/>
      <c r="BH235" s="271"/>
      <c r="BI235" s="271"/>
      <c r="BJ235" s="271"/>
      <c r="BK235" s="271"/>
      <c r="BL235" s="271"/>
    </row>
    <row r="236" spans="18:64" ht="21" customHeight="1" x14ac:dyDescent="0.25">
      <c r="R236" s="34" t="s">
        <v>6126</v>
      </c>
      <c r="S236" s="451"/>
      <c r="T236" s="31" t="s">
        <v>352</v>
      </c>
      <c r="V236" s="475">
        <v>5</v>
      </c>
      <c r="W236" s="475" t="str">
        <f>IF($AC$236="","",$W$216)</f>
        <v/>
      </c>
      <c r="X236" s="476" t="str">
        <f>IF($AC$236="","",$X$216)</f>
        <v/>
      </c>
      <c r="Y236" s="477" t="str">
        <f>IF($X$236="","",$Y$216)</f>
        <v/>
      </c>
      <c r="Z236" s="477" t="str">
        <f>IF($X$236="","",$Z$216)</f>
        <v/>
      </c>
      <c r="AA236" s="477" t="str">
        <f>IF($AC$236="","",ROW($A$236)-ROW($A$216))</f>
        <v/>
      </c>
      <c r="AB236" s="478"/>
      <c r="AC236" s="34"/>
      <c r="AD236" s="356"/>
      <c r="AE236" s="18"/>
      <c r="AF236" s="19"/>
      <c r="AG236" s="480" t="str">
        <f t="shared" si="52"/>
        <v/>
      </c>
      <c r="AH236" s="481" t="str">
        <f t="shared" si="53"/>
        <v/>
      </c>
      <c r="AI236" s="477" t="str">
        <f>IF($AC$236="","",IFERROR(INDEX($AZ$74:$AZ$119,MATCH($AH$236,$AY$74:$AY$119,0)),"AUTRE"))</f>
        <v/>
      </c>
      <c r="AJ236" s="482" t="str">
        <f>IF($AC$236="","",IFERROR(INDEX($BA$74:$BA$119,MATCH($AH$236,$AY$74:$AY$119,0)),1))</f>
        <v/>
      </c>
      <c r="AK236" s="482" t="str">
        <f t="shared" si="54"/>
        <v/>
      </c>
      <c r="AL236" s="477" t="str">
        <f>IF($AC$236="","",IFERROR(INDEX($BB$74:$BB$119,MATCH($AH$236,$AY$74:$AY$119,0)),$AH$236))</f>
        <v/>
      </c>
      <c r="AM236" s="483" t="str">
        <f t="shared" si="55"/>
        <v/>
      </c>
      <c r="AN236" s="484" t="str">
        <f t="shared" si="56"/>
        <v/>
      </c>
      <c r="AO236" s="473" t="str">
        <f t="shared" si="57"/>
        <v/>
      </c>
      <c r="AP236" s="473" t="str">
        <f t="shared" si="58"/>
        <v/>
      </c>
      <c r="AQ236" s="473" t="str">
        <f t="shared" si="59"/>
        <v/>
      </c>
      <c r="AR236" s="473" t="str">
        <f t="shared" si="60"/>
        <v/>
      </c>
      <c r="AS236" s="473" t="str">
        <f t="shared" si="61"/>
        <v/>
      </c>
      <c r="AT236" s="473" t="str">
        <f t="shared" si="62"/>
        <v/>
      </c>
      <c r="AU236" s="473" t="str">
        <f t="shared" si="63"/>
        <v/>
      </c>
      <c r="AZ236" s="32" t="s">
        <v>8127</v>
      </c>
      <c r="BA236" s="34" t="s">
        <v>6125</v>
      </c>
      <c r="BB236" s="499"/>
      <c r="BC236" s="271"/>
      <c r="BD236" s="279">
        <v>1</v>
      </c>
      <c r="BE236" s="271"/>
      <c r="BF236" s="271"/>
      <c r="BG236" s="271"/>
      <c r="BH236" s="271"/>
      <c r="BI236" s="271"/>
      <c r="BJ236" s="271"/>
      <c r="BK236" s="271"/>
      <c r="BL236" s="271"/>
    </row>
    <row r="237" spans="18:64" ht="21" customHeight="1" x14ac:dyDescent="0.25">
      <c r="R237" s="34" t="s">
        <v>6127</v>
      </c>
      <c r="S237" s="451"/>
      <c r="T237" s="31" t="s">
        <v>25</v>
      </c>
      <c r="V237" s="475">
        <v>5</v>
      </c>
      <c r="W237" s="475" t="str">
        <f>IF($AC$237="","",$W$216)</f>
        <v/>
      </c>
      <c r="X237" s="476" t="str">
        <f>IF($AC$237="","",$X$216)</f>
        <v/>
      </c>
      <c r="Y237" s="477" t="str">
        <f>IF($X$237="","",$Y$216)</f>
        <v/>
      </c>
      <c r="Z237" s="477" t="str">
        <f>IF($X$237="","",$Z$216)</f>
        <v/>
      </c>
      <c r="AA237" s="477" t="str">
        <f>IF($AC$237="","",ROW($A$237)-ROW($A$216))</f>
        <v/>
      </c>
      <c r="AB237" s="478"/>
      <c r="AC237" s="34"/>
      <c r="AD237" s="356"/>
      <c r="AE237" s="18"/>
      <c r="AF237" s="19"/>
      <c r="AG237" s="480" t="str">
        <f t="shared" si="52"/>
        <v/>
      </c>
      <c r="AH237" s="481" t="str">
        <f t="shared" si="53"/>
        <v/>
      </c>
      <c r="AI237" s="477" t="str">
        <f>IF($AC$237="","",IFERROR(INDEX($AZ$74:$AZ$119,MATCH($AH$237,$AY$74:$AY$119,0)),"AUTRE"))</f>
        <v/>
      </c>
      <c r="AJ237" s="482" t="str">
        <f>IF($AC$237="","",IFERROR(INDEX($BA$74:$BA$119,MATCH($AH$237,$AY$74:$AY$119,0)),1))</f>
        <v/>
      </c>
      <c r="AK237" s="482" t="str">
        <f t="shared" si="54"/>
        <v/>
      </c>
      <c r="AL237" s="477" t="str">
        <f>IF($AC$237="","",IFERROR(INDEX($BB$74:$BB$119,MATCH($AH$237,$AY$74:$AY$119,0)),$AH$237))</f>
        <v/>
      </c>
      <c r="AM237" s="483" t="str">
        <f t="shared" si="55"/>
        <v/>
      </c>
      <c r="AN237" s="484" t="str">
        <f t="shared" si="56"/>
        <v/>
      </c>
      <c r="AO237" s="473" t="str">
        <f t="shared" si="57"/>
        <v/>
      </c>
      <c r="AP237" s="473" t="str">
        <f t="shared" si="58"/>
        <v/>
      </c>
      <c r="AQ237" s="473" t="str">
        <f t="shared" si="59"/>
        <v/>
      </c>
      <c r="AR237" s="473" t="str">
        <f t="shared" si="60"/>
        <v/>
      </c>
      <c r="AS237" s="473" t="str">
        <f t="shared" si="61"/>
        <v/>
      </c>
      <c r="AT237" s="473" t="str">
        <f t="shared" si="62"/>
        <v/>
      </c>
      <c r="AU237" s="473" t="str">
        <f t="shared" si="63"/>
        <v/>
      </c>
      <c r="AZ237" s="32" t="s">
        <v>320</v>
      </c>
      <c r="BA237" s="34" t="s">
        <v>6126</v>
      </c>
      <c r="BB237" s="499"/>
      <c r="BC237" s="271"/>
      <c r="BD237" s="279">
        <v>1</v>
      </c>
      <c r="BE237" s="271"/>
      <c r="BF237" s="271"/>
      <c r="BG237" s="271"/>
      <c r="BH237" s="271"/>
      <c r="BI237" s="271"/>
      <c r="BJ237" s="271"/>
      <c r="BK237" s="271"/>
      <c r="BL237" s="271"/>
    </row>
    <row r="238" spans="18:64" ht="21" customHeight="1" x14ac:dyDescent="0.25">
      <c r="R238" s="25" t="s">
        <v>6128</v>
      </c>
      <c r="S238" s="451"/>
      <c r="T238" s="31" t="s">
        <v>26</v>
      </c>
      <c r="V238" s="475">
        <v>5</v>
      </c>
      <c r="W238" s="475" t="str">
        <f>IF($AC$238="","",$W$216)</f>
        <v/>
      </c>
      <c r="X238" s="476" t="str">
        <f>IF($AC$238="","",$X$216)</f>
        <v/>
      </c>
      <c r="Y238" s="477" t="str">
        <f>IF($X$238="","",$Y$216)</f>
        <v/>
      </c>
      <c r="Z238" s="477" t="str">
        <f>IF($X$238="","",$Z$216)</f>
        <v/>
      </c>
      <c r="AA238" s="477" t="str">
        <f>IF($AC$238="","",ROW($A$238)-ROW($A$216))</f>
        <v/>
      </c>
      <c r="AB238" s="478"/>
      <c r="AC238" s="34"/>
      <c r="AD238" s="356"/>
      <c r="AE238" s="18"/>
      <c r="AF238" s="19"/>
      <c r="AG238" s="480" t="str">
        <f t="shared" si="52"/>
        <v/>
      </c>
      <c r="AH238" s="481" t="str">
        <f t="shared" si="53"/>
        <v/>
      </c>
      <c r="AI238" s="477" t="str">
        <f>IF($AC$238="","",IFERROR(INDEX($AZ$74:$AZ$119,MATCH($AH$238,$AY$74:$AY$119,0)),"AUTRE"))</f>
        <v/>
      </c>
      <c r="AJ238" s="482" t="str">
        <f>IF($AC$238="","",IFERROR(INDEX($BA$74:$BA$119,MATCH($AH$238,$AY$74:$AY$119,0)),1))</f>
        <v/>
      </c>
      <c r="AK238" s="482" t="str">
        <f t="shared" si="54"/>
        <v/>
      </c>
      <c r="AL238" s="477" t="str">
        <f>IF($AC$238="","",IFERROR(INDEX($BB$74:$BB$119,MATCH($AH$238,$AY$74:$AY$119,0)),$AH$238))</f>
        <v/>
      </c>
      <c r="AM238" s="483" t="str">
        <f t="shared" si="55"/>
        <v/>
      </c>
      <c r="AN238" s="484" t="str">
        <f t="shared" si="56"/>
        <v/>
      </c>
      <c r="AO238" s="473" t="str">
        <f t="shared" si="57"/>
        <v/>
      </c>
      <c r="AP238" s="473" t="str">
        <f t="shared" si="58"/>
        <v/>
      </c>
      <c r="AQ238" s="473" t="str">
        <f t="shared" si="59"/>
        <v/>
      </c>
      <c r="AR238" s="473" t="str">
        <f t="shared" si="60"/>
        <v/>
      </c>
      <c r="AS238" s="473" t="str">
        <f t="shared" si="61"/>
        <v/>
      </c>
      <c r="AT238" s="473" t="str">
        <f t="shared" si="62"/>
        <v/>
      </c>
      <c r="AU238" s="473" t="str">
        <f t="shared" si="63"/>
        <v/>
      </c>
      <c r="AZ238" s="32" t="s">
        <v>318</v>
      </c>
      <c r="BA238" s="34" t="s">
        <v>6127</v>
      </c>
      <c r="BB238" s="499"/>
      <c r="BC238" s="271"/>
      <c r="BD238" s="279">
        <v>1</v>
      </c>
      <c r="BE238" s="271"/>
      <c r="BF238" s="271"/>
      <c r="BG238" s="271"/>
      <c r="BH238" s="271"/>
      <c r="BI238" s="271"/>
      <c r="BJ238" s="271"/>
      <c r="BK238" s="271"/>
      <c r="BL238" s="271"/>
    </row>
    <row r="239" spans="18:64" ht="21" customHeight="1" x14ac:dyDescent="0.25">
      <c r="R239" s="34" t="s">
        <v>474</v>
      </c>
      <c r="S239" s="451"/>
      <c r="T239" s="31" t="s">
        <v>27</v>
      </c>
      <c r="V239" s="475">
        <v>5</v>
      </c>
      <c r="W239" s="475" t="str">
        <f>IF($AC$239="","",$W$216)</f>
        <v/>
      </c>
      <c r="X239" s="476" t="str">
        <f>IF($AC$239="","",$X$216)</f>
        <v/>
      </c>
      <c r="Y239" s="477" t="str">
        <f>IF($X$239="","",$Y$216)</f>
        <v/>
      </c>
      <c r="Z239" s="477" t="str">
        <f>IF($X$239="","",$Z$216)</f>
        <v/>
      </c>
      <c r="AA239" s="477" t="str">
        <f>IF($AC$239="","",ROW($A$239)-ROW($A$216))</f>
        <v/>
      </c>
      <c r="AB239" s="478"/>
      <c r="AC239" s="34"/>
      <c r="AD239" s="356"/>
      <c r="AE239" s="18"/>
      <c r="AF239" s="19"/>
      <c r="AG239" s="480" t="str">
        <f t="shared" si="52"/>
        <v/>
      </c>
      <c r="AH239" s="481" t="str">
        <f t="shared" si="53"/>
        <v/>
      </c>
      <c r="AI239" s="477" t="str">
        <f>IF($AC$239="","",IFERROR(INDEX($AZ$74:$AZ$119,MATCH($AH$239,$AY$74:$AY$119,0)),"AUTRE"))</f>
        <v/>
      </c>
      <c r="AJ239" s="482" t="str">
        <f>IF($AC$239="","",IFERROR(INDEX($BA$74:$BA$119,MATCH($AH$239,$AY$74:$AY$119,0)),1))</f>
        <v/>
      </c>
      <c r="AK239" s="482" t="str">
        <f t="shared" si="54"/>
        <v/>
      </c>
      <c r="AL239" s="477" t="str">
        <f>IF($AC$239="","",IFERROR(INDEX($BB$74:$BB$119,MATCH($AH$239,$AY$74:$AY$119,0)),$AH$239))</f>
        <v/>
      </c>
      <c r="AM239" s="483" t="str">
        <f t="shared" si="55"/>
        <v/>
      </c>
      <c r="AN239" s="484" t="str">
        <f t="shared" si="56"/>
        <v/>
      </c>
      <c r="AO239" s="473" t="str">
        <f t="shared" si="57"/>
        <v/>
      </c>
      <c r="AP239" s="473" t="str">
        <f t="shared" si="58"/>
        <v/>
      </c>
      <c r="AQ239" s="473" t="str">
        <f t="shared" si="59"/>
        <v/>
      </c>
      <c r="AR239" s="473" t="str">
        <f t="shared" si="60"/>
        <v/>
      </c>
      <c r="AS239" s="473" t="str">
        <f t="shared" si="61"/>
        <v/>
      </c>
      <c r="AT239" s="473" t="str">
        <f t="shared" si="62"/>
        <v/>
      </c>
      <c r="AU239" s="473" t="str">
        <f t="shared" si="63"/>
        <v/>
      </c>
      <c r="AZ239" s="32" t="s">
        <v>316</v>
      </c>
      <c r="BA239" s="25" t="s">
        <v>6128</v>
      </c>
      <c r="BB239" s="499"/>
      <c r="BC239" s="271"/>
      <c r="BD239" s="279">
        <v>1</v>
      </c>
      <c r="BE239" s="271"/>
      <c r="BF239" s="271"/>
      <c r="BG239" s="271"/>
      <c r="BH239" s="271"/>
      <c r="BI239" s="271"/>
      <c r="BJ239" s="271"/>
      <c r="BK239" s="271"/>
      <c r="BL239" s="271"/>
    </row>
    <row r="240" spans="18:64" ht="21" customHeight="1" x14ac:dyDescent="0.25">
      <c r="R240" s="34" t="s">
        <v>490</v>
      </c>
      <c r="S240" s="451"/>
      <c r="T240" s="31" t="s">
        <v>28</v>
      </c>
      <c r="V240" s="475">
        <v>5</v>
      </c>
      <c r="W240" s="475" t="str">
        <f>IF($AC$240="","",$W$216)</f>
        <v/>
      </c>
      <c r="X240" s="476" t="str">
        <f>IF($AC$240="","",$X$216)</f>
        <v/>
      </c>
      <c r="Y240" s="477" t="str">
        <f>IF($X$240="","",$Y$216)</f>
        <v/>
      </c>
      <c r="Z240" s="477" t="str">
        <f>IF($X$240="","",$Z$216)</f>
        <v/>
      </c>
      <c r="AA240" s="477" t="str">
        <f>IF($AC$240="","",ROW($A$240)-ROW($A$216))</f>
        <v/>
      </c>
      <c r="AB240" s="478"/>
      <c r="AC240" s="34"/>
      <c r="AD240" s="356"/>
      <c r="AE240" s="18"/>
      <c r="AF240" s="19"/>
      <c r="AG240" s="480" t="str">
        <f t="shared" si="52"/>
        <v/>
      </c>
      <c r="AH240" s="481" t="str">
        <f t="shared" si="53"/>
        <v/>
      </c>
      <c r="AI240" s="477" t="str">
        <f>IF($AC$240="","",IFERROR(INDEX($AZ$74:$AZ$119,MATCH($AH$240,$AY$74:$AY$119,0)),"AUTRE"))</f>
        <v/>
      </c>
      <c r="AJ240" s="482" t="str">
        <f>IF($AC$240="","",IFERROR(INDEX($BA$74:$BA$119,MATCH($AH$240,$AY$74:$AY$119,0)),1))</f>
        <v/>
      </c>
      <c r="AK240" s="482" t="str">
        <f t="shared" si="54"/>
        <v/>
      </c>
      <c r="AL240" s="477" t="str">
        <f>IF($AC$240="","",IFERROR(INDEX($BB$74:$BB$119,MATCH($AH$240,$AY$74:$AY$119,0)),$AH$240))</f>
        <v/>
      </c>
      <c r="AM240" s="483" t="str">
        <f t="shared" si="55"/>
        <v/>
      </c>
      <c r="AN240" s="484" t="str">
        <f t="shared" si="56"/>
        <v/>
      </c>
      <c r="AO240" s="473" t="str">
        <f t="shared" si="57"/>
        <v/>
      </c>
      <c r="AP240" s="473" t="str">
        <f t="shared" si="58"/>
        <v/>
      </c>
      <c r="AQ240" s="473" t="str">
        <f t="shared" si="59"/>
        <v/>
      </c>
      <c r="AR240" s="473" t="str">
        <f t="shared" si="60"/>
        <v/>
      </c>
      <c r="AS240" s="473" t="str">
        <f t="shared" si="61"/>
        <v/>
      </c>
      <c r="AT240" s="473" t="str">
        <f t="shared" si="62"/>
        <v/>
      </c>
      <c r="AU240" s="473" t="str">
        <f t="shared" si="63"/>
        <v/>
      </c>
      <c r="AZ240" s="32" t="s">
        <v>313</v>
      </c>
      <c r="BA240" s="34" t="s">
        <v>474</v>
      </c>
      <c r="BB240" s="499"/>
      <c r="BC240" s="271"/>
      <c r="BD240" s="279">
        <v>1</v>
      </c>
      <c r="BE240" s="271"/>
      <c r="BF240" s="271"/>
      <c r="BG240" s="271"/>
      <c r="BH240" s="271"/>
      <c r="BI240" s="271"/>
      <c r="BJ240" s="271"/>
      <c r="BK240" s="271"/>
      <c r="BL240" s="271"/>
    </row>
    <row r="241" spans="18:64" ht="21" customHeight="1" x14ac:dyDescent="0.25">
      <c r="R241" s="34" t="s">
        <v>6129</v>
      </c>
      <c r="S241" s="451"/>
      <c r="T241" s="31" t="s">
        <v>29</v>
      </c>
      <c r="V241" s="475">
        <v>5</v>
      </c>
      <c r="W241" s="475" t="str">
        <f>IF($AC$241="","",$W$216)</f>
        <v/>
      </c>
      <c r="X241" s="476" t="str">
        <f>IF($AC$241="","",$X$216)</f>
        <v/>
      </c>
      <c r="Y241" s="477" t="str">
        <f>IF($X$241="","",$Y$216)</f>
        <v/>
      </c>
      <c r="Z241" s="477" t="str">
        <f>IF($X$241="","",$Z$216)</f>
        <v/>
      </c>
      <c r="AA241" s="477" t="str">
        <f>IF($AC$241="","",ROW($A$241)-ROW($A$216))</f>
        <v/>
      </c>
      <c r="AB241" s="478"/>
      <c r="AC241" s="34"/>
      <c r="AD241" s="356"/>
      <c r="AE241" s="18"/>
      <c r="AF241" s="19"/>
      <c r="AG241" s="480" t="str">
        <f t="shared" si="52"/>
        <v/>
      </c>
      <c r="AH241" s="481" t="str">
        <f t="shared" si="53"/>
        <v/>
      </c>
      <c r="AI241" s="477" t="str">
        <f>IF($AC$241="","",IFERROR(INDEX($AZ$74:$AZ$119,MATCH($AH$241,$AY$74:$AY$119,0)),"AUTRE"))</f>
        <v/>
      </c>
      <c r="AJ241" s="482" t="str">
        <f>IF($AC$241="","",IFERROR(INDEX($BA$74:$BA$119,MATCH($AH$241,$AY$74:$AY$119,0)),1))</f>
        <v/>
      </c>
      <c r="AK241" s="482" t="str">
        <f t="shared" si="54"/>
        <v/>
      </c>
      <c r="AL241" s="477" t="str">
        <f>IF($AC$241="","",IFERROR(INDEX($BB$74:$BB$119,MATCH($AH$241,$AY$74:$AY$119,0)),$AH$241))</f>
        <v/>
      </c>
      <c r="AM241" s="483" t="str">
        <f t="shared" si="55"/>
        <v/>
      </c>
      <c r="AN241" s="484" t="str">
        <f t="shared" si="56"/>
        <v/>
      </c>
      <c r="AO241" s="473" t="str">
        <f t="shared" si="57"/>
        <v/>
      </c>
      <c r="AP241" s="473" t="str">
        <f t="shared" si="58"/>
        <v/>
      </c>
      <c r="AQ241" s="473" t="str">
        <f t="shared" si="59"/>
        <v/>
      </c>
      <c r="AR241" s="473" t="str">
        <f t="shared" si="60"/>
        <v/>
      </c>
      <c r="AS241" s="473" t="str">
        <f t="shared" si="61"/>
        <v/>
      </c>
      <c r="AT241" s="473" t="str">
        <f t="shared" si="62"/>
        <v/>
      </c>
      <c r="AU241" s="473" t="str">
        <f t="shared" si="63"/>
        <v/>
      </c>
      <c r="AZ241" s="32" t="s">
        <v>307</v>
      </c>
      <c r="BA241" s="34" t="s">
        <v>490</v>
      </c>
      <c r="BB241" s="499"/>
      <c r="BC241" s="271"/>
      <c r="BD241" s="279">
        <v>1</v>
      </c>
      <c r="BE241" s="271"/>
      <c r="BF241" s="271"/>
      <c r="BG241" s="271"/>
      <c r="BH241" s="271"/>
      <c r="BI241" s="271"/>
      <c r="BJ241" s="271"/>
      <c r="BK241" s="271"/>
      <c r="BL241" s="271"/>
    </row>
    <row r="242" spans="18:64" ht="21" customHeight="1" x14ac:dyDescent="0.25">
      <c r="R242" s="34" t="s">
        <v>478</v>
      </c>
      <c r="S242" s="451"/>
      <c r="T242" s="31" t="s">
        <v>30</v>
      </c>
      <c r="V242" s="475">
        <v>5</v>
      </c>
      <c r="W242" s="475" t="str">
        <f>IF($AC$242="","",$W$216)</f>
        <v/>
      </c>
      <c r="X242" s="476" t="str">
        <f>IF($AC$242="","",$X$216)</f>
        <v/>
      </c>
      <c r="Y242" s="477" t="str">
        <f>IF($X$242="","",$Y$216)</f>
        <v/>
      </c>
      <c r="Z242" s="477" t="str">
        <f>IF($X$242="","",$Z$216)</f>
        <v/>
      </c>
      <c r="AA242" s="477" t="str">
        <f>IF($AC$242="","",ROW($A$242)-ROW($A$216))</f>
        <v/>
      </c>
      <c r="AB242" s="478"/>
      <c r="AC242" s="34"/>
      <c r="AD242" s="356"/>
      <c r="AE242" s="18"/>
      <c r="AF242" s="19"/>
      <c r="AG242" s="480" t="str">
        <f t="shared" si="52"/>
        <v/>
      </c>
      <c r="AH242" s="481" t="str">
        <f t="shared" si="53"/>
        <v/>
      </c>
      <c r="AI242" s="477" t="str">
        <f>IF($AC$242="","",IFERROR(INDEX($AZ$74:$AZ$119,MATCH($AH$242,$AY$74:$AY$119,0)),"AUTRE"))</f>
        <v/>
      </c>
      <c r="AJ242" s="482" t="str">
        <f>IF($AC$242="","",IFERROR(INDEX($BA$74:$BA$119,MATCH($AH$242,$AY$74:$AY$119,0)),1))</f>
        <v/>
      </c>
      <c r="AK242" s="482" t="str">
        <f t="shared" si="54"/>
        <v/>
      </c>
      <c r="AL242" s="477" t="str">
        <f>IF($AC$242="","",IFERROR(INDEX($BB$74:$BB$119,MATCH($AH$242,$AY$74:$AY$119,0)),$AH$242))</f>
        <v/>
      </c>
      <c r="AM242" s="483" t="str">
        <f t="shared" si="55"/>
        <v/>
      </c>
      <c r="AN242" s="484" t="str">
        <f t="shared" si="56"/>
        <v/>
      </c>
      <c r="AO242" s="473" t="str">
        <f t="shared" si="57"/>
        <v/>
      </c>
      <c r="AP242" s="473" t="str">
        <f t="shared" si="58"/>
        <v/>
      </c>
      <c r="AQ242" s="473" t="str">
        <f t="shared" si="59"/>
        <v/>
      </c>
      <c r="AR242" s="473" t="str">
        <f t="shared" si="60"/>
        <v/>
      </c>
      <c r="AS242" s="473" t="str">
        <f t="shared" si="61"/>
        <v/>
      </c>
      <c r="AT242" s="473" t="str">
        <f t="shared" si="62"/>
        <v/>
      </c>
      <c r="AU242" s="473" t="str">
        <f t="shared" si="63"/>
        <v/>
      </c>
      <c r="AZ242" s="32" t="s">
        <v>322</v>
      </c>
      <c r="BA242" s="34" t="s">
        <v>6129</v>
      </c>
      <c r="BB242" s="499"/>
      <c r="BC242" s="271"/>
      <c r="BD242" s="279">
        <v>1</v>
      </c>
      <c r="BE242" s="271"/>
      <c r="BF242" s="271"/>
      <c r="BG242" s="271"/>
      <c r="BH242" s="271"/>
      <c r="BI242" s="271"/>
      <c r="BJ242" s="271"/>
      <c r="BK242" s="271"/>
      <c r="BL242" s="271"/>
    </row>
    <row r="243" spans="18:64" ht="21" customHeight="1" x14ac:dyDescent="0.25">
      <c r="R243" s="34" t="s">
        <v>6130</v>
      </c>
      <c r="S243" s="451"/>
      <c r="T243" s="31" t="s">
        <v>31</v>
      </c>
      <c r="V243" s="475">
        <v>5</v>
      </c>
      <c r="W243" s="475" t="str">
        <f>IF($AC$243="","",$W$216)</f>
        <v/>
      </c>
      <c r="X243" s="476" t="str">
        <f>IF($AC$243="","",$X$216)</f>
        <v/>
      </c>
      <c r="Y243" s="477" t="str">
        <f>IF($X$243="","",$Y$216)</f>
        <v/>
      </c>
      <c r="Z243" s="477" t="str">
        <f>IF($X$243="","",$Z$216)</f>
        <v/>
      </c>
      <c r="AA243" s="477" t="str">
        <f>IF($AC$243="","",ROW($A$243)-ROW($A$216))</f>
        <v/>
      </c>
      <c r="AB243" s="478"/>
      <c r="AC243" s="34"/>
      <c r="AD243" s="356"/>
      <c r="AE243" s="18"/>
      <c r="AF243" s="19"/>
      <c r="AG243" s="480" t="str">
        <f t="shared" si="52"/>
        <v/>
      </c>
      <c r="AH243" s="481" t="str">
        <f t="shared" si="53"/>
        <v/>
      </c>
      <c r="AI243" s="477" t="str">
        <f>IF($AC$243="","",IFERROR(INDEX($AZ$74:$AZ$119,MATCH($AH$243,$AY$74:$AY$119,0)),"AUTRE"))</f>
        <v/>
      </c>
      <c r="AJ243" s="482" t="str">
        <f>IF($AC$243="","",IFERROR(INDEX($BA$74:$BA$119,MATCH($AH$243,$AY$74:$AY$119,0)),1))</f>
        <v/>
      </c>
      <c r="AK243" s="482" t="str">
        <f t="shared" si="54"/>
        <v/>
      </c>
      <c r="AL243" s="477" t="str">
        <f>IF($AC$243="","",IFERROR(INDEX($BB$74:$BB$119,MATCH($AH$243,$AY$74:$AY$119,0)),$AH$243))</f>
        <v/>
      </c>
      <c r="AM243" s="483" t="str">
        <f t="shared" si="55"/>
        <v/>
      </c>
      <c r="AN243" s="484" t="str">
        <f t="shared" si="56"/>
        <v/>
      </c>
      <c r="AO243" s="473" t="str">
        <f t="shared" si="57"/>
        <v/>
      </c>
      <c r="AP243" s="473" t="str">
        <f t="shared" si="58"/>
        <v/>
      </c>
      <c r="AQ243" s="473" t="str">
        <f t="shared" si="59"/>
        <v/>
      </c>
      <c r="AR243" s="473" t="str">
        <f t="shared" si="60"/>
        <v/>
      </c>
      <c r="AS243" s="473" t="str">
        <f t="shared" si="61"/>
        <v/>
      </c>
      <c r="AT243" s="473" t="str">
        <f t="shared" si="62"/>
        <v/>
      </c>
      <c r="AU243" s="473" t="str">
        <f t="shared" si="63"/>
        <v/>
      </c>
      <c r="AZ243" s="32" t="s">
        <v>305</v>
      </c>
      <c r="BA243" s="34" t="s">
        <v>478</v>
      </c>
      <c r="BB243" s="499"/>
      <c r="BC243" s="271"/>
      <c r="BD243" s="279">
        <v>1</v>
      </c>
      <c r="BE243" s="271"/>
      <c r="BF243" s="271"/>
      <c r="BG243" s="271"/>
      <c r="BH243" s="271"/>
      <c r="BI243" s="271"/>
      <c r="BJ243" s="271"/>
      <c r="BK243" s="271"/>
      <c r="BL243" s="271"/>
    </row>
    <row r="244" spans="18:64" ht="21" customHeight="1" x14ac:dyDescent="0.25">
      <c r="R244" s="34" t="s">
        <v>486</v>
      </c>
      <c r="S244" s="451"/>
      <c r="T244" s="32" t="s">
        <v>33</v>
      </c>
      <c r="V244" s="475">
        <v>5</v>
      </c>
      <c r="W244" s="475" t="str">
        <f>IF($AC$244="","",$W$216)</f>
        <v/>
      </c>
      <c r="X244" s="476" t="str">
        <f>IF($AC$244="","",$X$216)</f>
        <v/>
      </c>
      <c r="Y244" s="477" t="str">
        <f>IF($X$244="","",$Y$216)</f>
        <v/>
      </c>
      <c r="Z244" s="477" t="str">
        <f>IF($X$244="","",$Z$216)</f>
        <v/>
      </c>
      <c r="AA244" s="477" t="str">
        <f>IF($AC$244="","",ROW($A$244)-ROW($A$216))</f>
        <v/>
      </c>
      <c r="AB244" s="478"/>
      <c r="AC244" s="34"/>
      <c r="AD244" s="356"/>
      <c r="AE244" s="18"/>
      <c r="AF244" s="19"/>
      <c r="AG244" s="480" t="str">
        <f t="shared" si="52"/>
        <v/>
      </c>
      <c r="AH244" s="481" t="str">
        <f t="shared" si="53"/>
        <v/>
      </c>
      <c r="AI244" s="477" t="str">
        <f>IF($AC$244="","",IFERROR(INDEX($AZ$74:$AZ$119,MATCH($AH$244,$AY$74:$AY$119,0)),"AUTRE"))</f>
        <v/>
      </c>
      <c r="AJ244" s="482" t="str">
        <f>IF($AC$244="","",IFERROR(INDEX($BA$74:$BA$119,MATCH($AH$244,$AY$74:$AY$119,0)),1))</f>
        <v/>
      </c>
      <c r="AK244" s="482" t="str">
        <f t="shared" si="54"/>
        <v/>
      </c>
      <c r="AL244" s="477" t="str">
        <f>IF($AC$244="","",IFERROR(INDEX($BB$74:$BB$119,MATCH($AH$244,$AY$74:$AY$119,0)),$AH$244))</f>
        <v/>
      </c>
      <c r="AM244" s="483" t="str">
        <f t="shared" si="55"/>
        <v/>
      </c>
      <c r="AN244" s="484" t="str">
        <f t="shared" si="56"/>
        <v/>
      </c>
      <c r="AO244" s="473" t="str">
        <f t="shared" si="57"/>
        <v/>
      </c>
      <c r="AP244" s="473" t="str">
        <f t="shared" si="58"/>
        <v/>
      </c>
      <c r="AQ244" s="473" t="str">
        <f t="shared" si="59"/>
        <v/>
      </c>
      <c r="AR244" s="473" t="str">
        <f t="shared" si="60"/>
        <v/>
      </c>
      <c r="AS244" s="473" t="str">
        <f t="shared" si="61"/>
        <v/>
      </c>
      <c r="AT244" s="473" t="str">
        <f t="shared" si="62"/>
        <v/>
      </c>
      <c r="AU244" s="473" t="str">
        <f t="shared" si="63"/>
        <v/>
      </c>
      <c r="AY244" s="271"/>
      <c r="AZ244" s="32" t="s">
        <v>8129</v>
      </c>
      <c r="BA244" s="34" t="s">
        <v>6130</v>
      </c>
      <c r="BB244" s="499"/>
      <c r="BC244" s="271"/>
      <c r="BD244" s="279">
        <v>1</v>
      </c>
      <c r="BE244" s="271"/>
      <c r="BF244" s="271"/>
      <c r="BG244" s="271"/>
      <c r="BH244" s="271"/>
      <c r="BI244" s="271"/>
      <c r="BJ244" s="271"/>
      <c r="BK244" s="271"/>
      <c r="BL244" s="271"/>
    </row>
    <row r="245" spans="18:64" ht="21" customHeight="1" x14ac:dyDescent="0.25">
      <c r="R245" s="34" t="s">
        <v>479</v>
      </c>
      <c r="S245" s="451"/>
      <c r="T245" s="32" t="s">
        <v>8125</v>
      </c>
      <c r="V245" s="475">
        <v>5</v>
      </c>
      <c r="W245" s="475" t="str">
        <f>IF($AC$245="","",$W$216)</f>
        <v/>
      </c>
      <c r="X245" s="476" t="str">
        <f>IF($AC$245="","",$X$216)</f>
        <v/>
      </c>
      <c r="Y245" s="477" t="str">
        <f>IF($X$245="","",$Y$216)</f>
        <v/>
      </c>
      <c r="Z245" s="477" t="str">
        <f>IF($X$245="","",$Z$216)</f>
        <v/>
      </c>
      <c r="AA245" s="477" t="str">
        <f>IF($AC$245="","",ROW($A$245)-ROW($A$216))</f>
        <v/>
      </c>
      <c r="AB245" s="478"/>
      <c r="AC245" s="34"/>
      <c r="AD245" s="356"/>
      <c r="AE245" s="18"/>
      <c r="AF245" s="19"/>
      <c r="AG245" s="480" t="str">
        <f t="shared" si="52"/>
        <v/>
      </c>
      <c r="AH245" s="481" t="str">
        <f t="shared" si="53"/>
        <v/>
      </c>
      <c r="AI245" s="477" t="str">
        <f>IF($AC$245="","",IFERROR(INDEX($AZ$74:$AZ$119,MATCH($AH$245,$AY$74:$AY$119,0)),"AUTRE"))</f>
        <v/>
      </c>
      <c r="AJ245" s="482" t="str">
        <f>IF($AC$245="","",IFERROR(INDEX($BA$74:$BA$119,MATCH($AH$245,$AY$74:$AY$119,0)),1))</f>
        <v/>
      </c>
      <c r="AK245" s="482" t="str">
        <f t="shared" si="54"/>
        <v/>
      </c>
      <c r="AL245" s="477" t="str">
        <f>IF($AC$245="","",IFERROR(INDEX($BB$74:$BB$119,MATCH($AH$245,$AY$74:$AY$119,0)),$AH$245))</f>
        <v/>
      </c>
      <c r="AM245" s="483" t="str">
        <f t="shared" si="55"/>
        <v/>
      </c>
      <c r="AN245" s="484" t="str">
        <f t="shared" si="56"/>
        <v/>
      </c>
      <c r="AO245" s="473" t="str">
        <f t="shared" si="57"/>
        <v/>
      </c>
      <c r="AP245" s="473" t="str">
        <f t="shared" si="58"/>
        <v/>
      </c>
      <c r="AQ245" s="473" t="str">
        <f t="shared" si="59"/>
        <v/>
      </c>
      <c r="AR245" s="473" t="str">
        <f t="shared" si="60"/>
        <v/>
      </c>
      <c r="AS245" s="473" t="str">
        <f t="shared" si="61"/>
        <v/>
      </c>
      <c r="AT245" s="473" t="str">
        <f t="shared" si="62"/>
        <v/>
      </c>
      <c r="AU245" s="473" t="str">
        <f t="shared" si="63"/>
        <v/>
      </c>
      <c r="AY245" s="497" t="s">
        <v>8145</v>
      </c>
      <c r="AZ245" s="32" t="s">
        <v>8131</v>
      </c>
      <c r="BA245" s="34" t="s">
        <v>486</v>
      </c>
      <c r="BB245" s="499"/>
      <c r="BC245" s="271"/>
      <c r="BD245" s="279">
        <v>1</v>
      </c>
      <c r="BE245" s="271"/>
      <c r="BF245" s="271"/>
      <c r="BG245" s="271"/>
      <c r="BH245" s="271"/>
      <c r="BI245" s="271"/>
      <c r="BJ245" s="271"/>
      <c r="BK245" s="271"/>
      <c r="BL245" s="271"/>
    </row>
    <row r="246" spans="18:64" ht="21" customHeight="1" x14ac:dyDescent="0.25">
      <c r="R246" s="34" t="s">
        <v>6131</v>
      </c>
      <c r="S246" s="451"/>
      <c r="T246" s="32" t="s">
        <v>8127</v>
      </c>
      <c r="V246" s="475">
        <v>5</v>
      </c>
      <c r="W246" s="475" t="str">
        <f>IF($AC$246="","",$W$216)</f>
        <v>N° 29</v>
      </c>
      <c r="X246" s="476" t="str">
        <f>IF($AC$246="","",$X$216)</f>
        <v>PISSALADIÈRE</v>
      </c>
      <c r="Y246" s="477">
        <f>IF($X$246="","",$Y$216)</f>
        <v>46</v>
      </c>
      <c r="Z246" s="477">
        <f>IF($X$246="","",$Z$216)</f>
        <v>100</v>
      </c>
      <c r="AA246" s="477">
        <f>IF($AC$246="","",ROW($A$246)-ROW($A$216))</f>
        <v>30</v>
      </c>
      <c r="AB246" s="478"/>
      <c r="AC246" s="34" t="s">
        <v>493</v>
      </c>
      <c r="AD246" s="356"/>
      <c r="AE246" s="18">
        <v>5</v>
      </c>
      <c r="AF246" s="33" t="s">
        <v>466</v>
      </c>
      <c r="AG246" s="480">
        <f t="shared" si="52"/>
        <v>5</v>
      </c>
      <c r="AH246" s="481" t="str">
        <f t="shared" si="53"/>
        <v>PLAQUE(S)</v>
      </c>
      <c r="AI246" s="477" t="str">
        <f>IF($AC$246="","",IFERROR(INDEX($AZ$74:$AZ$119,MATCH($AH$246,$AY$74:$AY$119,0)),"AUTRE"))</f>
        <v>AUTRE</v>
      </c>
      <c r="AJ246" s="482">
        <f>IF($AC$246="","",IFERROR(INDEX($BA$74:$BA$119,MATCH($AH$246,$AY$74:$AY$119,0)),1))</f>
        <v>1</v>
      </c>
      <c r="AK246" s="482">
        <f t="shared" si="54"/>
        <v>5</v>
      </c>
      <c r="AL246" s="477" t="str">
        <f>IF($AC$246="","",IFERROR(INDEX($BB$74:$BB$119,MATCH($AH$246,$AY$74:$AY$119,0)),$AH$246))</f>
        <v>plaque(s)</v>
      </c>
      <c r="AM246" s="483" t="str">
        <f t="shared" si="55"/>
        <v>OK</v>
      </c>
      <c r="AN246" s="484">
        <f t="shared" si="56"/>
        <v>5</v>
      </c>
      <c r="AO246" s="473" t="str">
        <f t="shared" si="57"/>
        <v/>
      </c>
      <c r="AP246" s="473" t="str">
        <f t="shared" si="58"/>
        <v/>
      </c>
      <c r="AQ246" s="473" t="str">
        <f t="shared" si="59"/>
        <v/>
      </c>
      <c r="AR246" s="473" t="str">
        <f t="shared" si="60"/>
        <v/>
      </c>
      <c r="AS246" s="473" t="str">
        <f t="shared" si="61"/>
        <v/>
      </c>
      <c r="AT246" s="473" t="str">
        <f t="shared" si="62"/>
        <v/>
      </c>
      <c r="AU246" s="473" t="str">
        <f t="shared" si="63"/>
        <v/>
      </c>
      <c r="AY246" s="497" t="s">
        <v>462</v>
      </c>
      <c r="AZ246" s="32" t="s">
        <v>309</v>
      </c>
      <c r="BA246" s="34" t="s">
        <v>479</v>
      </c>
      <c r="BB246" s="499"/>
      <c r="BC246" s="271"/>
      <c r="BD246" s="279">
        <v>1</v>
      </c>
      <c r="BE246" s="271"/>
      <c r="BF246" s="271"/>
      <c r="BG246" s="271"/>
      <c r="BH246" s="271"/>
      <c r="BI246" s="271"/>
      <c r="BJ246" s="271"/>
      <c r="BK246" s="271"/>
      <c r="BL246" s="271"/>
    </row>
    <row r="247" spans="18:64" ht="21" customHeight="1" x14ac:dyDescent="0.25">
      <c r="R247" s="34" t="s">
        <v>485</v>
      </c>
      <c r="S247" s="451"/>
      <c r="T247" s="32" t="s">
        <v>320</v>
      </c>
      <c r="V247" s="475">
        <v>5</v>
      </c>
      <c r="W247" s="475" t="str">
        <f>IF($AC$247="","",$W$216)</f>
        <v>N° 29</v>
      </c>
      <c r="X247" s="476" t="str">
        <f>IF($AC$247="","",$X$216)</f>
        <v>PISSALADIÈRE</v>
      </c>
      <c r="Y247" s="477">
        <f>IF($X$247="","",$Y$216)</f>
        <v>46</v>
      </c>
      <c r="Z247" s="477">
        <f>IF($X$247="","",$Z$216)</f>
        <v>100</v>
      </c>
      <c r="AA247" s="477">
        <f>IF($AC$247="","",ROW($A$247)-ROW($A$216))</f>
        <v>31</v>
      </c>
      <c r="AB247" s="478"/>
      <c r="AC247" s="34" t="s">
        <v>473</v>
      </c>
      <c r="AD247" s="356"/>
      <c r="AE247" s="18">
        <v>1</v>
      </c>
      <c r="AF247" s="33" t="s">
        <v>462</v>
      </c>
      <c r="AG247" s="480">
        <f t="shared" si="52"/>
        <v>1</v>
      </c>
      <c r="AH247" s="481" t="str">
        <f t="shared" si="53"/>
        <v>BAC(S)</v>
      </c>
      <c r="AI247" s="477" t="str">
        <f>IF($AC$247="","",IFERROR(INDEX($AZ$74:$AZ$119,MATCH($AH$247,$AY$74:$AY$119,0)),"AUTRE"))</f>
        <v>AUTRE</v>
      </c>
      <c r="AJ247" s="482">
        <f>IF($AC$247="","",IFERROR(INDEX($BA$74:$BA$119,MATCH($AH$247,$AY$74:$AY$119,0)),1))</f>
        <v>1</v>
      </c>
      <c r="AK247" s="482">
        <f t="shared" si="54"/>
        <v>1</v>
      </c>
      <c r="AL247" s="477" t="str">
        <f>IF($AC$247="","",IFERROR(INDEX($BB$74:$BB$119,MATCH($AH$247,$AY$74:$AY$119,0)),$AH$247))</f>
        <v>bac(s)</v>
      </c>
      <c r="AM247" s="483" t="str">
        <f t="shared" si="55"/>
        <v>OK</v>
      </c>
      <c r="AN247" s="484">
        <f t="shared" si="56"/>
        <v>1</v>
      </c>
      <c r="AO247" s="473" t="str">
        <f t="shared" si="57"/>
        <v/>
      </c>
      <c r="AP247" s="473" t="str">
        <f t="shared" si="58"/>
        <v/>
      </c>
      <c r="AQ247" s="473" t="str">
        <f t="shared" si="59"/>
        <v/>
      </c>
      <c r="AR247" s="473" t="str">
        <f t="shared" si="60"/>
        <v/>
      </c>
      <c r="AS247" s="473" t="str">
        <f t="shared" si="61"/>
        <v/>
      </c>
      <c r="AT247" s="473" t="str">
        <f t="shared" si="62"/>
        <v/>
      </c>
      <c r="AU247" s="473" t="str">
        <f t="shared" si="63"/>
        <v/>
      </c>
      <c r="AY247" s="497" t="s">
        <v>463</v>
      </c>
      <c r="AZ247" s="32" t="s">
        <v>311</v>
      </c>
      <c r="BA247" s="34" t="s">
        <v>6131</v>
      </c>
      <c r="BB247" s="499"/>
      <c r="BC247" s="271"/>
      <c r="BD247" s="279">
        <v>1</v>
      </c>
      <c r="BE247" s="271"/>
      <c r="BF247" s="271"/>
      <c r="BG247" s="271"/>
      <c r="BH247" s="271"/>
      <c r="BI247" s="271"/>
      <c r="BJ247" s="271"/>
      <c r="BK247" s="271"/>
      <c r="BL247" s="271"/>
    </row>
    <row r="248" spans="18:64" ht="21" customHeight="1" x14ac:dyDescent="0.25">
      <c r="R248" s="34" t="s">
        <v>6132</v>
      </c>
      <c r="S248" s="451"/>
      <c r="T248" s="32" t="s">
        <v>318</v>
      </c>
      <c r="V248" s="475">
        <v>5</v>
      </c>
      <c r="W248" s="475" t="str">
        <f>IF($AC$248="","",$W$216)</f>
        <v>N° 29</v>
      </c>
      <c r="X248" s="476" t="str">
        <f>IF($AC$248="","",$X$216)</f>
        <v>PISSALADIÈRE</v>
      </c>
      <c r="Y248" s="477">
        <f>IF($X$248="","",$Y$216)</f>
        <v>46</v>
      </c>
      <c r="Z248" s="477">
        <f>IF($X$248="","",$Z$216)</f>
        <v>100</v>
      </c>
      <c r="AA248" s="477">
        <f>IF($AC$248="","",ROW($A$248)-ROW($A$216))</f>
        <v>32</v>
      </c>
      <c r="AB248" s="478"/>
      <c r="AC248" s="34" t="s">
        <v>470</v>
      </c>
      <c r="AD248" s="356"/>
      <c r="AE248" s="18">
        <v>1</v>
      </c>
      <c r="AF248" s="33" t="s">
        <v>462</v>
      </c>
      <c r="AG248" s="480">
        <f t="shared" si="52"/>
        <v>1</v>
      </c>
      <c r="AH248" s="481" t="str">
        <f t="shared" si="53"/>
        <v>BAC(S)</v>
      </c>
      <c r="AI248" s="477" t="str">
        <f>IF($AC$248="","",IFERROR(INDEX($AZ$74:$AZ$119,MATCH($AH$248,$AY$74:$AY$119,0)),"AUTRE"))</f>
        <v>AUTRE</v>
      </c>
      <c r="AJ248" s="482">
        <f>IF($AC$248="","",IFERROR(INDEX($BA$74:$BA$119,MATCH($AH$248,$AY$74:$AY$119,0)),1))</f>
        <v>1</v>
      </c>
      <c r="AK248" s="482">
        <f t="shared" si="54"/>
        <v>1</v>
      </c>
      <c r="AL248" s="477" t="str">
        <f>IF($AC$248="","",IFERROR(INDEX($BB$74:$BB$119,MATCH($AH$248,$AY$74:$AY$119,0)),$AH$248))</f>
        <v>bac(s)</v>
      </c>
      <c r="AM248" s="483" t="str">
        <f t="shared" si="55"/>
        <v>OK</v>
      </c>
      <c r="AN248" s="484">
        <f t="shared" si="56"/>
        <v>1</v>
      </c>
      <c r="AO248" s="473" t="str">
        <f t="shared" si="57"/>
        <v/>
      </c>
      <c r="AP248" s="473" t="str">
        <f t="shared" si="58"/>
        <v/>
      </c>
      <c r="AQ248" s="473" t="str">
        <f t="shared" si="59"/>
        <v/>
      </c>
      <c r="AR248" s="473" t="str">
        <f t="shared" si="60"/>
        <v/>
      </c>
      <c r="AS248" s="473" t="str">
        <f t="shared" si="61"/>
        <v/>
      </c>
      <c r="AT248" s="473" t="str">
        <f t="shared" si="62"/>
        <v/>
      </c>
      <c r="AU248" s="473" t="str">
        <f t="shared" si="63"/>
        <v/>
      </c>
      <c r="AY248" s="497" t="s">
        <v>8147</v>
      </c>
      <c r="AZ248" s="32" t="s">
        <v>8135</v>
      </c>
      <c r="BA248" s="34" t="s">
        <v>485</v>
      </c>
      <c r="BB248" s="499"/>
      <c r="BC248" s="271"/>
      <c r="BD248" s="279">
        <v>1</v>
      </c>
      <c r="BE248" s="271"/>
      <c r="BF248" s="271"/>
      <c r="BG248" s="271"/>
      <c r="BH248" s="271"/>
      <c r="BI248" s="271"/>
      <c r="BJ248" s="271"/>
      <c r="BK248" s="271"/>
      <c r="BL248" s="271"/>
    </row>
    <row r="249" spans="18:64" ht="21" customHeight="1" x14ac:dyDescent="0.25">
      <c r="R249" s="25" t="s">
        <v>6133</v>
      </c>
      <c r="S249" s="451"/>
      <c r="T249" s="32" t="s">
        <v>316</v>
      </c>
      <c r="V249" s="475">
        <v>5</v>
      </c>
      <c r="W249" s="475" t="str">
        <f>IF($AC$249="","",$W$216)</f>
        <v>N° 29</v>
      </c>
      <c r="X249" s="476" t="str">
        <f>IF($AC$249="","",$X$216)</f>
        <v>PISSALADIÈRE</v>
      </c>
      <c r="Y249" s="477">
        <f>IF($X$249="","",$Y$216)</f>
        <v>46</v>
      </c>
      <c r="Z249" s="477">
        <f>IF($X$249="","",$Z$216)</f>
        <v>100</v>
      </c>
      <c r="AA249" s="477">
        <f>IF($AC$249="","",ROW($A$249)-ROW($A$216))</f>
        <v>33</v>
      </c>
      <c r="AB249" s="478"/>
      <c r="AC249" s="34" t="s">
        <v>477</v>
      </c>
      <c r="AD249" s="356"/>
      <c r="AE249" s="18">
        <v>1</v>
      </c>
      <c r="AF249" s="33" t="s">
        <v>462</v>
      </c>
      <c r="AG249" s="480">
        <f t="shared" si="52"/>
        <v>1</v>
      </c>
      <c r="AH249" s="481" t="str">
        <f t="shared" si="53"/>
        <v>BAC(S)</v>
      </c>
      <c r="AI249" s="477" t="str">
        <f>IF($AC$249="","",IFERROR(INDEX($AZ$74:$AZ$119,MATCH($AH$249,$AY$74:$AY$119,0)),"AUTRE"))</f>
        <v>AUTRE</v>
      </c>
      <c r="AJ249" s="482">
        <f>IF($AC$249="","",IFERROR(INDEX($BA$74:$BA$119,MATCH($AH$249,$AY$74:$AY$119,0)),1))</f>
        <v>1</v>
      </c>
      <c r="AK249" s="482">
        <f t="shared" si="54"/>
        <v>1</v>
      </c>
      <c r="AL249" s="477" t="str">
        <f>IF($AC$249="","",IFERROR(INDEX($BB$74:$BB$119,MATCH($AH$249,$AY$74:$AY$119,0)),$AH$249))</f>
        <v>bac(s)</v>
      </c>
      <c r="AM249" s="483" t="str">
        <f t="shared" si="55"/>
        <v>OK</v>
      </c>
      <c r="AN249" s="484">
        <f t="shared" si="56"/>
        <v>1</v>
      </c>
      <c r="AO249" s="473" t="str">
        <f t="shared" si="57"/>
        <v/>
      </c>
      <c r="AP249" s="473" t="str">
        <f t="shared" si="58"/>
        <v/>
      </c>
      <c r="AQ249" s="473" t="str">
        <f t="shared" si="59"/>
        <v/>
      </c>
      <c r="AR249" s="473" t="str">
        <f t="shared" si="60"/>
        <v/>
      </c>
      <c r="AS249" s="473" t="str">
        <f t="shared" si="61"/>
        <v/>
      </c>
      <c r="AT249" s="473" t="str">
        <f t="shared" si="62"/>
        <v/>
      </c>
      <c r="AU249" s="473" t="str">
        <f t="shared" si="63"/>
        <v/>
      </c>
      <c r="AY249" s="497" t="s">
        <v>465</v>
      </c>
      <c r="AZ249" s="32" t="s">
        <v>8137</v>
      </c>
      <c r="BA249" s="34" t="s">
        <v>6132</v>
      </c>
      <c r="BB249" s="499"/>
      <c r="BC249" s="271"/>
      <c r="BD249" s="279">
        <v>1</v>
      </c>
      <c r="BE249" s="271"/>
      <c r="BF249" s="271"/>
      <c r="BG249" s="271"/>
      <c r="BH249" s="271"/>
      <c r="BI249" s="271"/>
      <c r="BJ249" s="271"/>
      <c r="BK249" s="271"/>
      <c r="BL249" s="271"/>
    </row>
    <row r="250" spans="18:64" ht="21" customHeight="1" x14ac:dyDescent="0.25">
      <c r="R250" s="34" t="s">
        <v>476</v>
      </c>
      <c r="S250" s="451"/>
      <c r="T250" s="32" t="s">
        <v>313</v>
      </c>
      <c r="V250" s="475">
        <v>5</v>
      </c>
      <c r="W250" s="475" t="str">
        <f>IF($AC$250="","",$W$216)</f>
        <v>N° 29</v>
      </c>
      <c r="X250" s="476" t="str">
        <f>IF($AC$250="","",$X$216)</f>
        <v>PISSALADIÈRE</v>
      </c>
      <c r="Y250" s="477">
        <f>IF($X$250="","",$Y$216)</f>
        <v>46</v>
      </c>
      <c r="Z250" s="477">
        <f>IF($X$250="","",$Z$216)</f>
        <v>100</v>
      </c>
      <c r="AA250" s="477">
        <f>IF($AC$250="","",ROW($A$250)-ROW($A$216))</f>
        <v>34</v>
      </c>
      <c r="AB250" s="478"/>
      <c r="AC250" s="34" t="s">
        <v>474</v>
      </c>
      <c r="AD250" s="356"/>
      <c r="AE250" s="18">
        <v>3</v>
      </c>
      <c r="AF250" s="33" t="s">
        <v>462</v>
      </c>
      <c r="AG250" s="491">
        <f t="shared" si="52"/>
        <v>3</v>
      </c>
      <c r="AH250" s="481" t="str">
        <f t="shared" si="53"/>
        <v>BAC(S)</v>
      </c>
      <c r="AI250" s="477" t="str">
        <f>IF($AC$250="","",IFERROR(INDEX($AZ$74:$AZ$119,MATCH($AH$250,$AY$74:$AY$119,0)),"AUTRE"))</f>
        <v>AUTRE</v>
      </c>
      <c r="AJ250" s="482">
        <f>IF($AC$250="","",IFERROR(INDEX($BA$74:$BA$119,MATCH($AH$250,$AY$74:$AY$119,0)),1))</f>
        <v>1</v>
      </c>
      <c r="AK250" s="482">
        <f t="shared" si="54"/>
        <v>3</v>
      </c>
      <c r="AL250" s="477" t="str">
        <f>IF($AC$250="","",IFERROR(INDEX($BB$74:$BB$119,MATCH($AH$250,$AY$74:$AY$119,0)),$AH$250))</f>
        <v>bac(s)</v>
      </c>
      <c r="AM250" s="483" t="str">
        <f t="shared" si="55"/>
        <v>OK</v>
      </c>
      <c r="AN250" s="484">
        <f t="shared" si="56"/>
        <v>3</v>
      </c>
      <c r="AO250" s="473" t="str">
        <f t="shared" si="57"/>
        <v/>
      </c>
      <c r="AP250" s="473" t="str">
        <f t="shared" si="58"/>
        <v/>
      </c>
      <c r="AQ250" s="473" t="str">
        <f t="shared" si="59"/>
        <v/>
      </c>
      <c r="AR250" s="473" t="str">
        <f t="shared" si="60"/>
        <v/>
      </c>
      <c r="AS250" s="473" t="str">
        <f t="shared" si="61"/>
        <v/>
      </c>
      <c r="AT250" s="473" t="str">
        <f t="shared" si="62"/>
        <v/>
      </c>
      <c r="AU250" s="473" t="str">
        <f t="shared" si="63"/>
        <v/>
      </c>
      <c r="AY250" s="497" t="s">
        <v>466</v>
      </c>
      <c r="AZ250" s="32" t="s">
        <v>8139</v>
      </c>
      <c r="BA250" s="25" t="s">
        <v>6133</v>
      </c>
      <c r="BB250" s="499"/>
      <c r="BC250" s="271"/>
      <c r="BD250" s="279">
        <v>1</v>
      </c>
      <c r="BE250" s="271"/>
      <c r="BF250" s="271"/>
      <c r="BG250" s="271"/>
      <c r="BH250" s="271"/>
      <c r="BI250" s="271"/>
      <c r="BJ250" s="271"/>
      <c r="BK250" s="271"/>
      <c r="BL250" s="271"/>
    </row>
    <row r="251" spans="18:64" ht="30" customHeight="1" x14ac:dyDescent="0.25">
      <c r="R251" s="34" t="s">
        <v>468</v>
      </c>
      <c r="S251" s="451"/>
      <c r="T251" s="32" t="s">
        <v>307</v>
      </c>
      <c r="V251" s="453" t="s">
        <v>324</v>
      </c>
      <c r="W251" s="453" t="s">
        <v>7912</v>
      </c>
      <c r="X251" s="453" t="s">
        <v>326</v>
      </c>
      <c r="Y251" s="453" t="s">
        <v>327</v>
      </c>
      <c r="Z251" s="454" t="s">
        <v>7930</v>
      </c>
      <c r="AA251" s="453" t="s">
        <v>7937</v>
      </c>
      <c r="AB251" s="455" t="s">
        <v>39</v>
      </c>
      <c r="AC251" s="455" t="s">
        <v>338</v>
      </c>
      <c r="AD251" s="455" t="s">
        <v>8114</v>
      </c>
      <c r="AE251" s="455" t="s">
        <v>339</v>
      </c>
      <c r="AF251" s="455" t="s">
        <v>7997</v>
      </c>
      <c r="AG251" s="453" t="s">
        <v>8018</v>
      </c>
      <c r="AH251" s="453" t="s">
        <v>8023</v>
      </c>
      <c r="AI251" s="453" t="s">
        <v>330</v>
      </c>
      <c r="AJ251" s="453" t="s">
        <v>8031</v>
      </c>
      <c r="AK251" s="453" t="s">
        <v>8037</v>
      </c>
      <c r="AL251" s="453" t="s">
        <v>8041</v>
      </c>
      <c r="AM251" s="453" t="s">
        <v>343</v>
      </c>
      <c r="AN251" s="457" t="s">
        <v>8115</v>
      </c>
      <c r="AO251" s="457" t="s">
        <v>8116</v>
      </c>
      <c r="AP251" s="656" t="s">
        <v>8117</v>
      </c>
      <c r="AQ251" s="656"/>
      <c r="AR251" s="656"/>
      <c r="AS251" s="656"/>
      <c r="AT251" s="656"/>
      <c r="AU251" s="657"/>
      <c r="AZ251" s="32" t="s">
        <v>8141</v>
      </c>
      <c r="BA251" s="34" t="s">
        <v>476</v>
      </c>
      <c r="BB251" s="499"/>
      <c r="BC251" s="271"/>
      <c r="BD251" s="279">
        <v>1</v>
      </c>
      <c r="BE251" s="271"/>
      <c r="BF251" s="271"/>
      <c r="BG251" s="271"/>
      <c r="BH251" s="271"/>
      <c r="BI251" s="271"/>
      <c r="BJ251" s="271"/>
      <c r="BK251" s="271"/>
      <c r="BL251" s="271"/>
    </row>
    <row r="252" spans="18:64" ht="30" customHeight="1" x14ac:dyDescent="0.25">
      <c r="R252" s="34" t="s">
        <v>473</v>
      </c>
      <c r="S252" s="451"/>
      <c r="T252" s="32" t="s">
        <v>322</v>
      </c>
      <c r="V252" s="459">
        <v>6</v>
      </c>
      <c r="W252" s="460" t="s">
        <v>8188</v>
      </c>
      <c r="X252" s="461" t="s">
        <v>209</v>
      </c>
      <c r="Y252" s="462">
        <v>47</v>
      </c>
      <c r="Z252" s="463">
        <v>100</v>
      </c>
      <c r="AA252" s="464">
        <f>IF($AC$396="","",ROW($A$396)-ROW($A$396))</f>
        <v>0</v>
      </c>
      <c r="AB252" s="461"/>
      <c r="AC252" s="465" t="s">
        <v>438</v>
      </c>
      <c r="AD252" s="390"/>
      <c r="AE252" s="13">
        <v>3.9</v>
      </c>
      <c r="AF252" s="11" t="s">
        <v>7</v>
      </c>
      <c r="AG252" s="467">
        <f t="shared" ref="AG252:AG286" si="64">IF($AC252="","",IF(LEN($AN252&amp;"")=0,"",$AN252))</f>
        <v>3.9</v>
      </c>
      <c r="AH252" s="468" t="str">
        <f t="shared" ref="AH252:AH286" si="65">IF($AC252="","",IF($AF252&lt;&gt;"",UPPER(TRIM(SUBSTITUTE(SUBSTITUTE($AF252&amp;"",CHAR(160)," ")," "," "))),$AP252))</f>
        <v>KG</v>
      </c>
      <c r="AI252" s="469" t="str">
        <f>IF($AC$252="","",IFERROR(INDEX($AZ$74:$AZ$119,MATCH($AH$252,$AY$74:$AY$119,0)),"AUTRE"))</f>
        <v>MASSE</v>
      </c>
      <c r="AJ252" s="470">
        <f>IF($AC$252="","",IFERROR(INDEX($BA$74:$BA$119,MATCH($AH$252,$AY$74:$AY$119,0)),1))</f>
        <v>1</v>
      </c>
      <c r="AK252" s="470">
        <f t="shared" ref="AK252:AK315" si="66">IF(OR(AG252="",AJ252=""),"",AG252*AJ252)</f>
        <v>3.9</v>
      </c>
      <c r="AL252" s="469" t="str">
        <f>IF($AC$252="","",IFERROR(INDEX($BB$74:$BB$119,MATCH($AH$252,$AY$74:$AY$119,0)),$AH$252))</f>
        <v>kg</v>
      </c>
      <c r="AM252" s="471" t="str">
        <f t="shared" ref="AM252:AM286" si="67">IF($AC252="","",IF($AH252="QT. SUFFISANTE","OK",IF($AG252="","TEXTE",IF(NOT(ISNUMBER($AG252)),"QUANTITÉ À CONTRÔLER",IF(COUNTIF($AY$74:$AY$119,$AH252)=0,"UNITÉ À CONTRÔLER","OK")))))</f>
        <v>OK</v>
      </c>
      <c r="AN252" s="474">
        <f t="shared" ref="AN252:AN286" si="68">IF($AE252&lt;&gt;"",$AE252,IF($AD252="","",IF(ISNUMBER($AD252),$AD252,IF($AO252="QT",0,IF($AO252="","",IFERROR(IF(ISNUMBER(SEARCH("/",$AO252)),VALUE(TRIM(LEFT($AO252,SEARCH("/",$AO252)-1)))/VALUE(TRIM(MID($AO252,SEARCH("/",$AO252)+1,99))),VALUE(SUBSTITUTE($AO252,".",","))),""))))))</f>
        <v>3.9</v>
      </c>
      <c r="AO252" s="473" t="str">
        <f t="shared" ref="AO252:AO286" si="69">IF($AD252="","",IF(ISNUMBER($AD252),$AD252,IF(OR(LEFT($AQ252,3)="QT.",LEFT($AQ252,4)="QUAN"),"QT",IF($AR252=999,$AQ252,TRIM(LEFT($AQ252,$AR252-1))))))</f>
        <v/>
      </c>
      <c r="AP252" s="473" t="str">
        <f t="shared" ref="AP252:AP286" si="70">IF($AD252="","",IF(ISNUMBER($AD252),"",IF(OR(LEFT($AQ252,3)="QT.",LEFT($AQ252,4)="QUAN"),"QT. SUFFISANTE",IF($AO252="","",TRIM(MID($AQ252,LEN($AO252&amp;"")+1,999))))))</f>
        <v/>
      </c>
      <c r="AQ252" s="473" t="str">
        <f t="shared" ref="AQ252:AQ286" si="71">IF($AD252="","",UPPER(TRIM(SUBSTITUTE(SUBSTITUTE($AD252&amp;"",CHAR(160)," ")," "," "))))</f>
        <v/>
      </c>
      <c r="AR252" s="473" t="str">
        <f t="shared" ref="AR252:AR286" si="72">IF($AQ252="","",MIN($AS252,$AT252,$AU252))</f>
        <v/>
      </c>
      <c r="AS252" s="473" t="str">
        <f t="shared" ref="AS252:AS286" si="73">IF($AQ252="","",MIN(IFERROR(SEARCH("A",$AQ252),999),IFERROR(SEARCH("B",$AQ252),999),IFERROR(SEARCH("C",$AQ252),999),IFERROR(SEARCH("D",$AQ252),999),IFERROR(SEARCH("E",$AQ252),999),IFERROR(SEARCH("F",$AQ252),999),IFERROR(SEARCH("G",$AQ252),999),IFERROR(SEARCH("H",$AQ252),999),IFERROR(SEARCH("I",$AQ252),999)))</f>
        <v/>
      </c>
      <c r="AT252" s="473" t="str">
        <f t="shared" ref="AT252:AT286" si="74">IF($AQ252="","",MIN(IFERROR(SEARCH("J",$AQ252),999),IFERROR(SEARCH("K",$AQ252),999),IFERROR(SEARCH("L",$AQ252),999),IFERROR(SEARCH("M",$AQ252),999),IFERROR(SEARCH("N",$AQ252),999),IFERROR(SEARCH("O",$AQ252),999),IFERROR(SEARCH("P",$AQ252),999),IFERROR(SEARCH("Q",$AQ252),999),IFERROR(SEARCH("R",$AQ252),999)))</f>
        <v/>
      </c>
      <c r="AU252" s="473" t="str">
        <f t="shared" ref="AU252:AU286" si="75">IF($AQ252="","",MIN(IFERROR(SEARCH("S",$AQ252),999),IFERROR(SEARCH("T",$AQ252),999),IFERROR(SEARCH("U",$AQ252),999),IFERROR(SEARCH("V",$AQ252),999),IFERROR(SEARCH("W",$AQ252),999),IFERROR(SEARCH("X",$AQ252),999),IFERROR(SEARCH("Y",$AQ252),999),IFERROR(SEARCH("Z",$AQ252),999)))</f>
        <v/>
      </c>
      <c r="AZ252" s="32" t="s">
        <v>8143</v>
      </c>
      <c r="BA252" s="34" t="s">
        <v>468</v>
      </c>
      <c r="BB252" s="499"/>
      <c r="BC252" s="271"/>
      <c r="BD252" s="279">
        <v>1</v>
      </c>
      <c r="BE252" s="271"/>
      <c r="BF252" s="271"/>
      <c r="BG252" s="271"/>
      <c r="BH252" s="271"/>
      <c r="BI252" s="271"/>
      <c r="BJ252" s="271"/>
      <c r="BK252" s="271"/>
      <c r="BL252" s="271"/>
    </row>
    <row r="253" spans="18:64" ht="21" customHeight="1" x14ac:dyDescent="0.25">
      <c r="R253" s="34" t="s">
        <v>497</v>
      </c>
      <c r="S253" s="451"/>
      <c r="T253" s="32" t="s">
        <v>305</v>
      </c>
      <c r="V253" s="475">
        <f>$V$252</f>
        <v>6</v>
      </c>
      <c r="W253" s="475" t="str">
        <f>IF($AC$253="","",$W$252)</f>
        <v>N° 30</v>
      </c>
      <c r="X253" s="476" t="str">
        <f>IF($AC$253="","",$X$252)</f>
        <v>QUICHE LORRAINE</v>
      </c>
      <c r="Y253" s="477">
        <f>IF($X$253="","",$Y$252)</f>
        <v>47</v>
      </c>
      <c r="Z253" s="477">
        <f>IF($X$253="","",$Z$252)</f>
        <v>100</v>
      </c>
      <c r="AA253" s="477">
        <f>IF($AC$253="","",ROW($A$253)-ROW($A$252))</f>
        <v>1</v>
      </c>
      <c r="AB253" s="478"/>
      <c r="AC253" s="34" t="s">
        <v>210</v>
      </c>
      <c r="AD253" s="356"/>
      <c r="AE253" s="18">
        <v>1.5</v>
      </c>
      <c r="AF253" s="11" t="s">
        <v>7</v>
      </c>
      <c r="AG253" s="480">
        <f t="shared" si="64"/>
        <v>1.5</v>
      </c>
      <c r="AH253" s="481" t="str">
        <f t="shared" si="65"/>
        <v>KG</v>
      </c>
      <c r="AI253" s="477" t="str">
        <f>IF($AC$253="","",IFERROR(INDEX($AZ$74:$AZ$119,MATCH($AH$253,$AY$74:$AY$119,0)),"AUTRE"))</f>
        <v>MASSE</v>
      </c>
      <c r="AJ253" s="482">
        <f>IF($AC$253="","",IFERROR(INDEX($BA$74:$BA$119,MATCH($AH$253,$AY$74:$AY$119,0)),1))</f>
        <v>1</v>
      </c>
      <c r="AK253" s="482">
        <f t="shared" si="66"/>
        <v>1.5</v>
      </c>
      <c r="AL253" s="477" t="str">
        <f>IF($AC$253="","",IFERROR(INDEX($BB$74:$BB$119,MATCH($AH$253,$AY$74:$AY$119,0)),$AH$253))</f>
        <v>kg</v>
      </c>
      <c r="AM253" s="483" t="str">
        <f t="shared" si="67"/>
        <v>OK</v>
      </c>
      <c r="AN253" s="484">
        <f t="shared" si="68"/>
        <v>1.5</v>
      </c>
      <c r="AO253" s="473" t="str">
        <f t="shared" si="69"/>
        <v/>
      </c>
      <c r="AP253" s="473" t="str">
        <f t="shared" si="70"/>
        <v/>
      </c>
      <c r="AQ253" s="473" t="str">
        <f t="shared" si="71"/>
        <v/>
      </c>
      <c r="AR253" s="473" t="str">
        <f t="shared" si="72"/>
        <v/>
      </c>
      <c r="AS253" s="473" t="str">
        <f t="shared" si="73"/>
        <v/>
      </c>
      <c r="AT253" s="473" t="str">
        <f t="shared" si="74"/>
        <v/>
      </c>
      <c r="AU253" s="473" t="str">
        <f t="shared" si="75"/>
        <v/>
      </c>
      <c r="AZ253" s="497" t="s">
        <v>8145</v>
      </c>
      <c r="BA253" s="34" t="s">
        <v>473</v>
      </c>
      <c r="BB253" s="499"/>
      <c r="BC253" s="271"/>
      <c r="BD253" s="279">
        <v>1</v>
      </c>
      <c r="BE253" s="271"/>
      <c r="BF253" s="271"/>
      <c r="BG253" s="271"/>
      <c r="BH253" s="271"/>
      <c r="BI253" s="271"/>
      <c r="BJ253" s="271"/>
      <c r="BK253" s="271"/>
      <c r="BL253" s="271"/>
    </row>
    <row r="254" spans="18:64" ht="21" customHeight="1" x14ac:dyDescent="0.25">
      <c r="R254" s="34" t="s">
        <v>470</v>
      </c>
      <c r="S254" s="451"/>
      <c r="T254" s="32" t="s">
        <v>309</v>
      </c>
      <c r="V254" s="475">
        <v>6</v>
      </c>
      <c r="W254" s="475" t="str">
        <f>IF($AC$254="","",$W$252)</f>
        <v>N° 30</v>
      </c>
      <c r="X254" s="476" t="str">
        <f>IF($AC$254="","",$X$252)</f>
        <v>QUICHE LORRAINE</v>
      </c>
      <c r="Y254" s="477">
        <f>IF($X$254="","",$Y$252)</f>
        <v>47</v>
      </c>
      <c r="Z254" s="477">
        <f>IF($X$254="","",$Z$252)</f>
        <v>100</v>
      </c>
      <c r="AA254" s="477">
        <f>IF($AC$254="","",ROW($A$254)-ROW($A$252))</f>
        <v>2</v>
      </c>
      <c r="AB254" s="478"/>
      <c r="AC254" s="34" t="s">
        <v>422</v>
      </c>
      <c r="AD254" s="356"/>
      <c r="AE254" s="18">
        <v>1.5</v>
      </c>
      <c r="AF254" s="11" t="s">
        <v>7</v>
      </c>
      <c r="AG254" s="480">
        <f t="shared" si="64"/>
        <v>1.5</v>
      </c>
      <c r="AH254" s="481" t="str">
        <f t="shared" si="65"/>
        <v>KG</v>
      </c>
      <c r="AI254" s="477" t="str">
        <f>IF($AC$254="","",IFERROR(INDEX($AZ$74:$AZ$119,MATCH($AH$254,$AY$74:$AY$119,0)),"AUTRE"))</f>
        <v>MASSE</v>
      </c>
      <c r="AJ254" s="482">
        <f>IF($AC$254="","",IFERROR(INDEX($BA$74:$BA$119,MATCH($AH$254,$AY$74:$AY$119,0)),1))</f>
        <v>1</v>
      </c>
      <c r="AK254" s="482">
        <f t="shared" si="66"/>
        <v>1.5</v>
      </c>
      <c r="AL254" s="477" t="str">
        <f>IF($AC$254="","",IFERROR(INDEX($BB$74:$BB$119,MATCH($AH$254,$AY$74:$AY$119,0)),$AH$254))</f>
        <v>kg</v>
      </c>
      <c r="AM254" s="483" t="str">
        <f t="shared" si="67"/>
        <v>OK</v>
      </c>
      <c r="AN254" s="484">
        <f t="shared" si="68"/>
        <v>1.5</v>
      </c>
      <c r="AO254" s="473" t="str">
        <f t="shared" si="69"/>
        <v/>
      </c>
      <c r="AP254" s="473" t="str">
        <f t="shared" si="70"/>
        <v/>
      </c>
      <c r="AQ254" s="473" t="str">
        <f t="shared" si="71"/>
        <v/>
      </c>
      <c r="AR254" s="473" t="str">
        <f t="shared" si="72"/>
        <v/>
      </c>
      <c r="AS254" s="473" t="str">
        <f t="shared" si="73"/>
        <v/>
      </c>
      <c r="AT254" s="473" t="str">
        <f t="shared" si="74"/>
        <v/>
      </c>
      <c r="AU254" s="473" t="str">
        <f t="shared" si="75"/>
        <v/>
      </c>
      <c r="AZ254" s="497" t="s">
        <v>462</v>
      </c>
      <c r="BA254" s="34" t="s">
        <v>497</v>
      </c>
      <c r="BB254" s="499"/>
      <c r="BC254" s="271"/>
      <c r="BD254" s="279">
        <v>1</v>
      </c>
      <c r="BE254" s="271"/>
      <c r="BF254" s="271"/>
      <c r="BG254" s="271"/>
      <c r="BH254" s="271"/>
      <c r="BI254" s="271"/>
      <c r="BJ254" s="271"/>
      <c r="BK254" s="271"/>
      <c r="BL254" s="271"/>
    </row>
    <row r="255" spans="18:64" ht="21" customHeight="1" x14ac:dyDescent="0.25">
      <c r="R255" s="34" t="s">
        <v>477</v>
      </c>
      <c r="S255" s="451"/>
      <c r="T255" s="32" t="s">
        <v>311</v>
      </c>
      <c r="V255" s="475">
        <v>6</v>
      </c>
      <c r="W255" s="475" t="str">
        <f>IF($AC$255="","",$W$252)</f>
        <v/>
      </c>
      <c r="X255" s="476" t="str">
        <f>IF($AC$255="","",$X$252)</f>
        <v/>
      </c>
      <c r="Y255" s="477" t="str">
        <f>IF($X$255="","",$Y$252)</f>
        <v/>
      </c>
      <c r="Z255" s="477" t="str">
        <f>IF($X$255="","",$Z$252)</f>
        <v/>
      </c>
      <c r="AA255" s="477" t="str">
        <f>IF($AC$255="","",ROW($A$255)-ROW($A$252))</f>
        <v/>
      </c>
      <c r="AB255" s="478"/>
      <c r="AC255" s="34" t="s">
        <v>345</v>
      </c>
      <c r="AD255" s="356"/>
      <c r="AE255" s="18"/>
      <c r="AF255" s="19"/>
      <c r="AG255" s="480" t="str">
        <f t="shared" si="64"/>
        <v/>
      </c>
      <c r="AH255" s="481" t="str">
        <f t="shared" si="65"/>
        <v/>
      </c>
      <c r="AI255" s="477" t="str">
        <f>IF($AC$255="","",IFERROR(INDEX($AZ$74:$AZ$119,MATCH($AH$255,$AY$74:$AY$119,0)),"AUTRE"))</f>
        <v/>
      </c>
      <c r="AJ255" s="482" t="str">
        <f>IF($AC$255="","",IFERROR(INDEX($BA$74:$BA$119,MATCH($AH$255,$AY$74:$AY$119,0)),1))</f>
        <v/>
      </c>
      <c r="AK255" s="482" t="str">
        <f t="shared" si="66"/>
        <v/>
      </c>
      <c r="AL255" s="477" t="str">
        <f>IF($AC$255="","",IFERROR(INDEX($BB$74:$BB$119,MATCH($AH$255,$AY$74:$AY$119,0)),$AH$255))</f>
        <v/>
      </c>
      <c r="AM255" s="483" t="str">
        <f t="shared" si="67"/>
        <v/>
      </c>
      <c r="AN255" s="484" t="str">
        <f t="shared" si="68"/>
        <v/>
      </c>
      <c r="AO255" s="473" t="str">
        <f t="shared" si="69"/>
        <v/>
      </c>
      <c r="AP255" s="473" t="str">
        <f t="shared" si="70"/>
        <v/>
      </c>
      <c r="AQ255" s="473" t="str">
        <f t="shared" si="71"/>
        <v/>
      </c>
      <c r="AR255" s="473" t="str">
        <f t="shared" si="72"/>
        <v/>
      </c>
      <c r="AS255" s="473" t="str">
        <f t="shared" si="73"/>
        <v/>
      </c>
      <c r="AT255" s="473" t="str">
        <f t="shared" si="74"/>
        <v/>
      </c>
      <c r="AU255" s="473" t="str">
        <f t="shared" si="75"/>
        <v/>
      </c>
      <c r="AZ255" s="497" t="s">
        <v>463</v>
      </c>
      <c r="BA255" s="34" t="s">
        <v>470</v>
      </c>
      <c r="BB255" s="499"/>
      <c r="BC255" s="271"/>
      <c r="BD255" s="279">
        <v>1</v>
      </c>
      <c r="BE255" s="271"/>
      <c r="BF255" s="271"/>
      <c r="BG255" s="271"/>
      <c r="BH255" s="271"/>
      <c r="BI255" s="271"/>
      <c r="BJ255" s="271"/>
      <c r="BK255" s="271"/>
      <c r="BL255" s="271"/>
    </row>
    <row r="256" spans="18:64" ht="21" customHeight="1" x14ac:dyDescent="0.25">
      <c r="S256" s="451"/>
      <c r="T256" s="32" t="s">
        <v>8135</v>
      </c>
      <c r="V256" s="475">
        <v>6</v>
      </c>
      <c r="W256" s="475" t="str">
        <f>IF($AC$256="","",$W$252)</f>
        <v>N° 30</v>
      </c>
      <c r="X256" s="476" t="str">
        <f>IF($AC$256="","",$X$252)</f>
        <v>QUICHE LORRAINE</v>
      </c>
      <c r="Y256" s="477">
        <f>IF($X$256="","",$Y$252)</f>
        <v>47</v>
      </c>
      <c r="Z256" s="477">
        <f>IF($X$256="","",$Z$252)</f>
        <v>100</v>
      </c>
      <c r="AA256" s="477">
        <f>IF($AC$256="","",ROW($A$256)-ROW($A$252))</f>
        <v>4</v>
      </c>
      <c r="AB256" s="478"/>
      <c r="AC256" s="34" t="s">
        <v>436</v>
      </c>
      <c r="AD256" s="356"/>
      <c r="AE256" s="18">
        <v>1.5</v>
      </c>
      <c r="AF256" s="20" t="s">
        <v>9</v>
      </c>
      <c r="AG256" s="480">
        <f t="shared" si="64"/>
        <v>1.5</v>
      </c>
      <c r="AH256" s="481" t="str">
        <f t="shared" si="65"/>
        <v>L</v>
      </c>
      <c r="AI256" s="477" t="str">
        <f>IF($AC$256="","",IFERROR(INDEX($AZ$74:$AZ$119,MATCH($AH$256,$AY$74:$AY$119,0)),"AUTRE"))</f>
        <v>VOLUME</v>
      </c>
      <c r="AJ256" s="482">
        <f>IF($AC$256="","",IFERROR(INDEX($BA$74:$BA$119,MATCH($AH$256,$AY$74:$AY$119,0)),1))</f>
        <v>1</v>
      </c>
      <c r="AK256" s="482">
        <f t="shared" si="66"/>
        <v>1.5</v>
      </c>
      <c r="AL256" s="477" t="str">
        <f>IF($AC$256="","",IFERROR(INDEX($BB$74:$BB$119,MATCH($AH$256,$AY$74:$AY$119,0)),$AH$256))</f>
        <v>L</v>
      </c>
      <c r="AM256" s="483" t="str">
        <f t="shared" si="67"/>
        <v>OK</v>
      </c>
      <c r="AN256" s="484">
        <f t="shared" si="68"/>
        <v>1.5</v>
      </c>
      <c r="AO256" s="473" t="str">
        <f t="shared" si="69"/>
        <v/>
      </c>
      <c r="AP256" s="473" t="str">
        <f t="shared" si="70"/>
        <v/>
      </c>
      <c r="AQ256" s="473" t="str">
        <f t="shared" si="71"/>
        <v/>
      </c>
      <c r="AR256" s="473" t="str">
        <f t="shared" si="72"/>
        <v/>
      </c>
      <c r="AS256" s="473" t="str">
        <f t="shared" si="73"/>
        <v/>
      </c>
      <c r="AT256" s="473" t="str">
        <f t="shared" si="74"/>
        <v/>
      </c>
      <c r="AU256" s="473" t="str">
        <f t="shared" si="75"/>
        <v/>
      </c>
      <c r="AZ256" s="497" t="s">
        <v>8147</v>
      </c>
      <c r="BA256" s="34" t="s">
        <v>477</v>
      </c>
      <c r="BB256" s="499"/>
      <c r="BC256" s="271"/>
      <c r="BD256" s="279">
        <v>1</v>
      </c>
      <c r="BE256" s="271"/>
      <c r="BF256" s="271"/>
      <c r="BG256" s="271"/>
      <c r="BH256" s="271"/>
      <c r="BI256" s="271"/>
      <c r="BJ256" s="271"/>
      <c r="BK256" s="271"/>
      <c r="BL256" s="271"/>
    </row>
    <row r="257" spans="18:64" ht="21" customHeight="1" x14ac:dyDescent="0.25">
      <c r="R257" s="25" t="s">
        <v>6134</v>
      </c>
      <c r="S257" s="451"/>
      <c r="T257" s="497" t="s">
        <v>462</v>
      </c>
      <c r="V257" s="475">
        <v>6</v>
      </c>
      <c r="W257" s="475" t="str">
        <f>IF($AC$257="","",$W$252)</f>
        <v>N° 30</v>
      </c>
      <c r="X257" s="476" t="str">
        <f>IF($AC$257="","",$X$252)</f>
        <v>QUICHE LORRAINE</v>
      </c>
      <c r="Y257" s="477">
        <f>IF($X$257="","",$Y$252)</f>
        <v>47</v>
      </c>
      <c r="Z257" s="477">
        <f>IF($X$257="","",$Z$252)</f>
        <v>100</v>
      </c>
      <c r="AA257" s="477">
        <f>IF($AC$257="","",ROW($A$257)-ROW($A$252))</f>
        <v>5</v>
      </c>
      <c r="AB257" s="478"/>
      <c r="AC257" s="34" t="s">
        <v>416</v>
      </c>
      <c r="AD257" s="356"/>
      <c r="AE257" s="18">
        <v>2</v>
      </c>
      <c r="AF257" s="22" t="s">
        <v>19</v>
      </c>
      <c r="AG257" s="480">
        <f t="shared" si="64"/>
        <v>2</v>
      </c>
      <c r="AH257" s="481" t="str">
        <f t="shared" si="65"/>
        <v>TIERS/L</v>
      </c>
      <c r="AI257" s="477" t="str">
        <f>IF($AC$257="","",IFERROR(INDEX($AZ$74:$AZ$119,MATCH($AH$257,$AY$74:$AY$119,0)),"AUTRE"))</f>
        <v>VOLUME</v>
      </c>
      <c r="AJ257" s="482">
        <f>IF($AC$257="","",IFERROR(INDEX($BA$74:$BA$119,MATCH($AH$257,$AY$74:$AY$119,0)),1))</f>
        <v>0.33333333300000001</v>
      </c>
      <c r="AK257" s="482">
        <f t="shared" si="66"/>
        <v>0.66666666600000002</v>
      </c>
      <c r="AL257" s="477" t="str">
        <f>IF($AC$257="","",IFERROR(INDEX($BB$74:$BB$119,MATCH($AH$257,$AY$74:$AY$119,0)),$AH$257))</f>
        <v>L</v>
      </c>
      <c r="AM257" s="483" t="str">
        <f t="shared" si="67"/>
        <v>OK</v>
      </c>
      <c r="AN257" s="484">
        <f t="shared" si="68"/>
        <v>2</v>
      </c>
      <c r="AO257" s="473" t="str">
        <f t="shared" si="69"/>
        <v/>
      </c>
      <c r="AP257" s="473" t="str">
        <f t="shared" si="70"/>
        <v/>
      </c>
      <c r="AQ257" s="473" t="str">
        <f t="shared" si="71"/>
        <v/>
      </c>
      <c r="AR257" s="473" t="str">
        <f t="shared" si="72"/>
        <v/>
      </c>
      <c r="AS257" s="473" t="str">
        <f t="shared" si="73"/>
        <v/>
      </c>
      <c r="AT257" s="473" t="str">
        <f t="shared" si="74"/>
        <v/>
      </c>
      <c r="AU257" s="473" t="str">
        <f t="shared" si="75"/>
        <v/>
      </c>
      <c r="AZ257" s="497" t="s">
        <v>465</v>
      </c>
      <c r="BB257" s="499"/>
      <c r="BC257" s="271"/>
      <c r="BD257" s="279">
        <v>1</v>
      </c>
      <c r="BE257" s="271"/>
      <c r="BF257" s="271"/>
      <c r="BG257" s="271"/>
      <c r="BH257" s="271"/>
      <c r="BI257" s="271"/>
      <c r="BJ257" s="271"/>
      <c r="BK257" s="271"/>
      <c r="BL257" s="271"/>
    </row>
    <row r="258" spans="18:64" ht="21" customHeight="1" x14ac:dyDescent="0.25">
      <c r="R258" s="34" t="s">
        <v>481</v>
      </c>
      <c r="S258" s="451"/>
      <c r="T258" s="497" t="s">
        <v>463</v>
      </c>
      <c r="V258" s="475">
        <v>6</v>
      </c>
      <c r="W258" s="475" t="str">
        <f>IF($AC$258="","",$W$252)</f>
        <v>N° 30</v>
      </c>
      <c r="X258" s="476" t="str">
        <f>IF($AC$258="","",$X$252)</f>
        <v>QUICHE LORRAINE</v>
      </c>
      <c r="Y258" s="477">
        <f>IF($X$258="","",$Y$252)</f>
        <v>47</v>
      </c>
      <c r="Z258" s="477">
        <f>IF($X$258="","",$Z$252)</f>
        <v>100</v>
      </c>
      <c r="AA258" s="477">
        <f>IF($AC$258="","",ROW($A$258)-ROW($A$252))</f>
        <v>6</v>
      </c>
      <c r="AB258" s="478"/>
      <c r="AC258" s="34" t="s">
        <v>360</v>
      </c>
      <c r="AD258" s="356"/>
      <c r="AE258" s="18">
        <v>4</v>
      </c>
      <c r="AF258" s="20" t="s">
        <v>9</v>
      </c>
      <c r="AG258" s="480">
        <f t="shared" si="64"/>
        <v>4</v>
      </c>
      <c r="AH258" s="481" t="str">
        <f t="shared" si="65"/>
        <v>L</v>
      </c>
      <c r="AI258" s="477" t="str">
        <f>IF($AC$258="","",IFERROR(INDEX($AZ$74:$AZ$119,MATCH($AH$258,$AY$74:$AY$119,0)),"AUTRE"))</f>
        <v>VOLUME</v>
      </c>
      <c r="AJ258" s="482">
        <f>IF($AC$258="","",IFERROR(INDEX($BA$74:$BA$119,MATCH($AH$258,$AY$74:$AY$119,0)),1))</f>
        <v>1</v>
      </c>
      <c r="AK258" s="482">
        <f t="shared" si="66"/>
        <v>4</v>
      </c>
      <c r="AL258" s="477" t="str">
        <f>IF($AC$258="","",IFERROR(INDEX($BB$74:$BB$119,MATCH($AH$258,$AY$74:$AY$119,0)),$AH$258))</f>
        <v>L</v>
      </c>
      <c r="AM258" s="483" t="str">
        <f t="shared" si="67"/>
        <v>OK</v>
      </c>
      <c r="AN258" s="484">
        <f t="shared" si="68"/>
        <v>4</v>
      </c>
      <c r="AO258" s="473" t="str">
        <f t="shared" si="69"/>
        <v/>
      </c>
      <c r="AP258" s="473" t="str">
        <f t="shared" si="70"/>
        <v/>
      </c>
      <c r="AQ258" s="473" t="str">
        <f t="shared" si="71"/>
        <v/>
      </c>
      <c r="AR258" s="473" t="str">
        <f t="shared" si="72"/>
        <v/>
      </c>
      <c r="AS258" s="473" t="str">
        <f t="shared" si="73"/>
        <v/>
      </c>
      <c r="AT258" s="473" t="str">
        <f t="shared" si="74"/>
        <v/>
      </c>
      <c r="AU258" s="473" t="str">
        <f t="shared" si="75"/>
        <v/>
      </c>
      <c r="AZ258" s="497" t="s">
        <v>466</v>
      </c>
      <c r="BA258" s="25" t="s">
        <v>6134</v>
      </c>
      <c r="BB258" s="499"/>
      <c r="BC258" s="271"/>
      <c r="BD258" s="279">
        <v>1</v>
      </c>
      <c r="BE258" s="271"/>
      <c r="BF258" s="271"/>
      <c r="BG258" s="271"/>
      <c r="BH258" s="271"/>
      <c r="BI258" s="271"/>
      <c r="BJ258" s="271"/>
      <c r="BK258" s="271"/>
      <c r="BL258" s="271"/>
    </row>
    <row r="259" spans="18:64" ht="21" customHeight="1" x14ac:dyDescent="0.25">
      <c r="R259" s="34" t="s">
        <v>475</v>
      </c>
      <c r="S259" s="451"/>
      <c r="T259" s="497" t="s">
        <v>8147</v>
      </c>
      <c r="V259" s="475">
        <v>6</v>
      </c>
      <c r="W259" s="475" t="str">
        <f>IF($AC$259="","",$W$252)</f>
        <v>N° 30</v>
      </c>
      <c r="X259" s="476" t="str">
        <f>IF($AC$259="","",$X$252)</f>
        <v>QUICHE LORRAINE</v>
      </c>
      <c r="Y259" s="477">
        <f>IF($X$259="","",$Y$252)</f>
        <v>47</v>
      </c>
      <c r="Z259" s="477">
        <f>IF($X$259="","",$Z$252)</f>
        <v>100</v>
      </c>
      <c r="AA259" s="477">
        <f>IF($AC$259="","",ROW($A$259)-ROW($A$252))</f>
        <v>7</v>
      </c>
      <c r="AB259" s="478"/>
      <c r="AC259" s="34" t="s">
        <v>373</v>
      </c>
      <c r="AD259" s="356"/>
      <c r="AE259" s="18">
        <v>4</v>
      </c>
      <c r="AF259" s="20" t="s">
        <v>9</v>
      </c>
      <c r="AG259" s="480">
        <f t="shared" si="64"/>
        <v>4</v>
      </c>
      <c r="AH259" s="481" t="str">
        <f t="shared" si="65"/>
        <v>L</v>
      </c>
      <c r="AI259" s="477" t="str">
        <f>IF($AC$259="","",IFERROR(INDEX($AZ$74:$AZ$119,MATCH($AH$259,$AY$74:$AY$119,0)),"AUTRE"))</f>
        <v>VOLUME</v>
      </c>
      <c r="AJ259" s="482">
        <f>IF($AC$259="","",IFERROR(INDEX($BA$74:$BA$119,MATCH($AH$259,$AY$74:$AY$119,0)),1))</f>
        <v>1</v>
      </c>
      <c r="AK259" s="482">
        <f t="shared" si="66"/>
        <v>4</v>
      </c>
      <c r="AL259" s="477" t="str">
        <f>IF($AC$259="","",IFERROR(INDEX($BB$74:$BB$119,MATCH($AH$259,$AY$74:$AY$119,0)),$AH$259))</f>
        <v>L</v>
      </c>
      <c r="AM259" s="483" t="str">
        <f t="shared" si="67"/>
        <v>OK</v>
      </c>
      <c r="AN259" s="484">
        <f t="shared" si="68"/>
        <v>4</v>
      </c>
      <c r="AO259" s="473" t="str">
        <f t="shared" si="69"/>
        <v/>
      </c>
      <c r="AP259" s="473" t="str">
        <f t="shared" si="70"/>
        <v/>
      </c>
      <c r="AQ259" s="473" t="str">
        <f t="shared" si="71"/>
        <v/>
      </c>
      <c r="AR259" s="473" t="str">
        <f t="shared" si="72"/>
        <v/>
      </c>
      <c r="AS259" s="473" t="str">
        <f t="shared" si="73"/>
        <v/>
      </c>
      <c r="AT259" s="473" t="str">
        <f t="shared" si="74"/>
        <v/>
      </c>
      <c r="AU259" s="473" t="str">
        <f t="shared" si="75"/>
        <v/>
      </c>
      <c r="AZ259" s="14" t="s">
        <v>7</v>
      </c>
      <c r="BA259" s="34" t="s">
        <v>481</v>
      </c>
      <c r="BB259" s="499"/>
      <c r="BC259" s="271"/>
      <c r="BD259" s="279">
        <v>1</v>
      </c>
      <c r="BE259" s="271"/>
      <c r="BF259" s="271"/>
      <c r="BG259" s="271"/>
      <c r="BH259" s="271"/>
      <c r="BI259" s="271"/>
      <c r="BJ259" s="271"/>
      <c r="BK259" s="271"/>
      <c r="BL259" s="271"/>
    </row>
    <row r="260" spans="18:64" ht="21" customHeight="1" x14ac:dyDescent="0.25">
      <c r="R260" s="34" t="s">
        <v>457</v>
      </c>
      <c r="S260" s="451"/>
      <c r="T260" s="497" t="s">
        <v>465</v>
      </c>
      <c r="V260" s="475">
        <v>6</v>
      </c>
      <c r="W260" s="475" t="str">
        <f>IF($AC$260="","",$W$252)</f>
        <v>N° 30</v>
      </c>
      <c r="X260" s="476" t="str">
        <f>IF($AC$260="","",$X$252)</f>
        <v>QUICHE LORRAINE</v>
      </c>
      <c r="Y260" s="477">
        <f>IF($X$260="","",$Y$252)</f>
        <v>47</v>
      </c>
      <c r="Z260" s="477">
        <f>IF($X$260="","",$Z$252)</f>
        <v>100</v>
      </c>
      <c r="AA260" s="477">
        <f>IF($AC$260="","",ROW($A$260)-ROW($A$252))</f>
        <v>8</v>
      </c>
      <c r="AB260" s="478"/>
      <c r="AC260" s="34" t="s">
        <v>382</v>
      </c>
      <c r="AD260" s="356"/>
      <c r="AE260" s="18">
        <v>300</v>
      </c>
      <c r="AF260" s="16" t="s">
        <v>8</v>
      </c>
      <c r="AG260" s="480">
        <f t="shared" si="64"/>
        <v>300</v>
      </c>
      <c r="AH260" s="481" t="str">
        <f t="shared" si="65"/>
        <v>G</v>
      </c>
      <c r="AI260" s="477" t="str">
        <f>IF($AC$260="","",IFERROR(INDEX($AZ$74:$AZ$119,MATCH($AH$260,$AY$74:$AY$119,0)),"AUTRE"))</f>
        <v>MASSE</v>
      </c>
      <c r="AJ260" s="482">
        <f>IF($AC$260="","",IFERROR(INDEX($BA$74:$BA$119,MATCH($AH$260,$AY$74:$AY$119,0)),1))</f>
        <v>1E-3</v>
      </c>
      <c r="AK260" s="482">
        <f t="shared" si="66"/>
        <v>0.3</v>
      </c>
      <c r="AL260" s="477" t="str">
        <f>IF($AC$260="","",IFERROR(INDEX($BB$74:$BB$119,MATCH($AH$260,$AY$74:$AY$119,0)),$AH$260))</f>
        <v>kg</v>
      </c>
      <c r="AM260" s="483" t="str">
        <f t="shared" si="67"/>
        <v>OK</v>
      </c>
      <c r="AN260" s="484">
        <f t="shared" si="68"/>
        <v>300</v>
      </c>
      <c r="AO260" s="473" t="str">
        <f t="shared" si="69"/>
        <v/>
      </c>
      <c r="AP260" s="473" t="str">
        <f t="shared" si="70"/>
        <v/>
      </c>
      <c r="AQ260" s="473" t="str">
        <f t="shared" si="71"/>
        <v/>
      </c>
      <c r="AR260" s="473" t="str">
        <f t="shared" si="72"/>
        <v/>
      </c>
      <c r="AS260" s="473" t="str">
        <f t="shared" si="73"/>
        <v/>
      </c>
      <c r="AT260" s="473" t="str">
        <f t="shared" si="74"/>
        <v/>
      </c>
      <c r="AU260" s="473" t="str">
        <f t="shared" si="75"/>
        <v/>
      </c>
      <c r="AZ260" s="27" t="s">
        <v>8</v>
      </c>
      <c r="BA260" s="34" t="s">
        <v>475</v>
      </c>
      <c r="BB260" s="499"/>
      <c r="BC260" s="271"/>
      <c r="BD260" s="279">
        <v>1</v>
      </c>
      <c r="BE260" s="271"/>
      <c r="BF260" s="271"/>
      <c r="BG260" s="271"/>
      <c r="BH260" s="271"/>
      <c r="BI260" s="271"/>
      <c r="BJ260" s="271"/>
      <c r="BK260" s="271"/>
      <c r="BL260" s="271"/>
    </row>
    <row r="261" spans="18:64" ht="21" customHeight="1" x14ac:dyDescent="0.25">
      <c r="R261" s="34" t="s">
        <v>482</v>
      </c>
      <c r="S261" s="451"/>
      <c r="T261" s="497" t="s">
        <v>466</v>
      </c>
      <c r="V261" s="475">
        <v>6</v>
      </c>
      <c r="W261" s="475" t="str">
        <f>IF($AC$261="","",$W$252)</f>
        <v>N° 30</v>
      </c>
      <c r="X261" s="476" t="str">
        <f>IF($AC$261="","",$X$252)</f>
        <v>QUICHE LORRAINE</v>
      </c>
      <c r="Y261" s="477">
        <f>IF($X$261="","",$Y$252)</f>
        <v>47</v>
      </c>
      <c r="Z261" s="477">
        <f>IF($X$261="","",$Z$252)</f>
        <v>100</v>
      </c>
      <c r="AA261" s="477">
        <f>IF($AC$261="","",ROW($A$261)-ROW($A$252))</f>
        <v>9</v>
      </c>
      <c r="AB261" s="478"/>
      <c r="AC261" s="34" t="s">
        <v>452</v>
      </c>
      <c r="AD261" s="356"/>
      <c r="AE261" s="18">
        <v>150</v>
      </c>
      <c r="AF261" s="16" t="s">
        <v>8</v>
      </c>
      <c r="AG261" s="480">
        <f t="shared" si="64"/>
        <v>150</v>
      </c>
      <c r="AH261" s="481" t="str">
        <f t="shared" si="65"/>
        <v>G</v>
      </c>
      <c r="AI261" s="477" t="str">
        <f>IF($AC$261="","",IFERROR(INDEX($AZ$74:$AZ$119,MATCH($AH$261,$AY$74:$AY$119,0)),"AUTRE"))</f>
        <v>MASSE</v>
      </c>
      <c r="AJ261" s="482">
        <f>IF($AC$261="","",IFERROR(INDEX($BA$74:$BA$119,MATCH($AH$261,$AY$74:$AY$119,0)),1))</f>
        <v>1E-3</v>
      </c>
      <c r="AK261" s="482">
        <f t="shared" si="66"/>
        <v>0.15</v>
      </c>
      <c r="AL261" s="477" t="str">
        <f>IF($AC$261="","",IFERROR(INDEX($BB$74:$BB$119,MATCH($AH$261,$AY$74:$AY$119,0)),$AH$261))</f>
        <v>kg</v>
      </c>
      <c r="AM261" s="483" t="str">
        <f t="shared" si="67"/>
        <v>OK</v>
      </c>
      <c r="AN261" s="484">
        <f t="shared" si="68"/>
        <v>150</v>
      </c>
      <c r="AO261" s="473" t="str">
        <f t="shared" si="69"/>
        <v/>
      </c>
      <c r="AP261" s="473" t="str">
        <f t="shared" si="70"/>
        <v/>
      </c>
      <c r="AQ261" s="473" t="str">
        <f t="shared" si="71"/>
        <v/>
      </c>
      <c r="AR261" s="473" t="str">
        <f t="shared" si="72"/>
        <v/>
      </c>
      <c r="AS261" s="473" t="str">
        <f t="shared" si="73"/>
        <v/>
      </c>
      <c r="AT261" s="473" t="str">
        <f t="shared" si="74"/>
        <v/>
      </c>
      <c r="AU261" s="473" t="str">
        <f t="shared" si="75"/>
        <v/>
      </c>
      <c r="AZ261" s="28" t="s">
        <v>13</v>
      </c>
      <c r="BA261" s="34" t="s">
        <v>457</v>
      </c>
      <c r="BB261" s="499"/>
      <c r="BC261" s="271"/>
      <c r="BD261" s="279">
        <v>1</v>
      </c>
      <c r="BE261" s="271"/>
      <c r="BF261" s="271"/>
      <c r="BG261" s="271"/>
      <c r="BH261" s="271"/>
      <c r="BI261" s="271"/>
      <c r="BJ261" s="271"/>
      <c r="BK261" s="271"/>
      <c r="BL261" s="271"/>
    </row>
    <row r="262" spans="18:64" ht="21" customHeight="1" x14ac:dyDescent="0.25">
      <c r="R262" s="34" t="s">
        <v>496</v>
      </c>
      <c r="S262" s="451"/>
      <c r="T262" s="440" t="s">
        <v>8110</v>
      </c>
      <c r="V262" s="475">
        <v>6</v>
      </c>
      <c r="W262" s="475" t="str">
        <f>IF($AC$262="","",$W$252)</f>
        <v>N° 30</v>
      </c>
      <c r="X262" s="476" t="str">
        <f>IF($AC$262="","",$X$252)</f>
        <v>QUICHE LORRAINE</v>
      </c>
      <c r="Y262" s="477">
        <f>IF($X$262="","",$Y$252)</f>
        <v>47</v>
      </c>
      <c r="Z262" s="477">
        <f>IF($X$262="","",$Z$252)</f>
        <v>100</v>
      </c>
      <c r="AA262" s="477">
        <f>IF($AC$262="","",ROW($A$262)-ROW($A$252))</f>
        <v>10</v>
      </c>
      <c r="AB262" s="478"/>
      <c r="AC262" s="34" t="s">
        <v>43</v>
      </c>
      <c r="AD262" s="356"/>
      <c r="AE262" s="18">
        <v>60</v>
      </c>
      <c r="AF262" s="16" t="s">
        <v>8</v>
      </c>
      <c r="AG262" s="480">
        <f t="shared" si="64"/>
        <v>60</v>
      </c>
      <c r="AH262" s="481" t="str">
        <f t="shared" si="65"/>
        <v>G</v>
      </c>
      <c r="AI262" s="477" t="str">
        <f>IF($AC$262="","",IFERROR(INDEX($AZ$74:$AZ$119,MATCH($AH$262,$AY$74:$AY$119,0)),"AUTRE"))</f>
        <v>MASSE</v>
      </c>
      <c r="AJ262" s="482">
        <f>IF($AC$262="","",IFERROR(INDEX($BA$74:$BA$119,MATCH($AH$262,$AY$74:$AY$119,0)),1))</f>
        <v>1E-3</v>
      </c>
      <c r="AK262" s="482">
        <f t="shared" si="66"/>
        <v>0.06</v>
      </c>
      <c r="AL262" s="477" t="str">
        <f>IF($AC$262="","",IFERROR(INDEX($BB$74:$BB$119,MATCH($AH$262,$AY$74:$AY$119,0)),$AH$262))</f>
        <v>kg</v>
      </c>
      <c r="AM262" s="483" t="str">
        <f t="shared" si="67"/>
        <v>OK</v>
      </c>
      <c r="AN262" s="484">
        <f t="shared" si="68"/>
        <v>60</v>
      </c>
      <c r="AO262" s="473" t="str">
        <f t="shared" si="69"/>
        <v/>
      </c>
      <c r="AP262" s="473" t="str">
        <f t="shared" si="70"/>
        <v/>
      </c>
      <c r="AQ262" s="473" t="str">
        <f t="shared" si="71"/>
        <v/>
      </c>
      <c r="AR262" s="473" t="str">
        <f t="shared" si="72"/>
        <v/>
      </c>
      <c r="AS262" s="473" t="str">
        <f t="shared" si="73"/>
        <v/>
      </c>
      <c r="AT262" s="473" t="str">
        <f t="shared" si="74"/>
        <v/>
      </c>
      <c r="AU262" s="473" t="str">
        <f t="shared" si="75"/>
        <v/>
      </c>
      <c r="AZ262" s="28" t="s">
        <v>14</v>
      </c>
      <c r="BA262" s="34" t="s">
        <v>482</v>
      </c>
      <c r="BB262" s="499"/>
      <c r="BC262" s="271"/>
      <c r="BD262" s="279">
        <v>1</v>
      </c>
      <c r="BE262" s="271"/>
      <c r="BF262" s="271"/>
      <c r="BG262" s="271"/>
      <c r="BH262" s="271"/>
      <c r="BI262" s="271"/>
      <c r="BJ262" s="271"/>
      <c r="BK262" s="271"/>
      <c r="BL262" s="271"/>
    </row>
    <row r="263" spans="18:64" ht="21" customHeight="1" x14ac:dyDescent="0.25">
      <c r="R263" s="34" t="s">
        <v>483</v>
      </c>
      <c r="S263" s="451"/>
      <c r="T263" s="452" t="s">
        <v>8113</v>
      </c>
      <c r="V263" s="475">
        <v>6</v>
      </c>
      <c r="W263" s="475" t="str">
        <f>IF($AC$263="","",$W$252)</f>
        <v>N° 30</v>
      </c>
      <c r="X263" s="476" t="str">
        <f>IF($AC$263="","",$X$252)</f>
        <v>QUICHE LORRAINE</v>
      </c>
      <c r="Y263" s="477">
        <f>IF($X$263="","",$Y$252)</f>
        <v>47</v>
      </c>
      <c r="Z263" s="477">
        <f>IF($X$263="","",$Z$252)</f>
        <v>100</v>
      </c>
      <c r="AA263" s="477">
        <f>IF($AC$263="","",ROW($A$263)-ROW($A$252))</f>
        <v>11</v>
      </c>
      <c r="AB263" s="478"/>
      <c r="AC263" s="34" t="s">
        <v>61</v>
      </c>
      <c r="AD263" s="356"/>
      <c r="AE263" s="18">
        <v>2</v>
      </c>
      <c r="AF263" s="16" t="s">
        <v>8</v>
      </c>
      <c r="AG263" s="480">
        <f t="shared" si="64"/>
        <v>2</v>
      </c>
      <c r="AH263" s="481" t="str">
        <f t="shared" si="65"/>
        <v>G</v>
      </c>
      <c r="AI263" s="477" t="str">
        <f>IF($AC$263="","",IFERROR(INDEX($AZ$74:$AZ$119,MATCH($AH$263,$AY$74:$AY$119,0)),"AUTRE"))</f>
        <v>MASSE</v>
      </c>
      <c r="AJ263" s="482">
        <f>IF($AC$263="","",IFERROR(INDEX($BA$74:$BA$119,MATCH($AH$263,$AY$74:$AY$119,0)),1))</f>
        <v>1E-3</v>
      </c>
      <c r="AK263" s="482">
        <f t="shared" si="66"/>
        <v>2E-3</v>
      </c>
      <c r="AL263" s="477" t="str">
        <f>IF($AC$263="","",IFERROR(INDEX($BB$74:$BB$119,MATCH($AH$263,$AY$74:$AY$119,0)),$AH$263))</f>
        <v>kg</v>
      </c>
      <c r="AM263" s="483" t="str">
        <f t="shared" si="67"/>
        <v>OK</v>
      </c>
      <c r="AN263" s="484">
        <f t="shared" si="68"/>
        <v>2</v>
      </c>
      <c r="AO263" s="473" t="str">
        <f t="shared" si="69"/>
        <v/>
      </c>
      <c r="AP263" s="473" t="str">
        <f t="shared" si="70"/>
        <v/>
      </c>
      <c r="AQ263" s="473" t="str">
        <f t="shared" si="71"/>
        <v/>
      </c>
      <c r="AR263" s="473" t="str">
        <f t="shared" si="72"/>
        <v/>
      </c>
      <c r="AS263" s="473" t="str">
        <f t="shared" si="73"/>
        <v/>
      </c>
      <c r="AT263" s="473" t="str">
        <f t="shared" si="74"/>
        <v/>
      </c>
      <c r="AU263" s="473" t="str">
        <f t="shared" si="75"/>
        <v/>
      </c>
      <c r="AZ263" s="28" t="s">
        <v>15</v>
      </c>
      <c r="BA263" s="34" t="s">
        <v>496</v>
      </c>
      <c r="BB263" s="499"/>
      <c r="BC263" s="271"/>
      <c r="BD263" s="279">
        <v>1</v>
      </c>
      <c r="BE263" s="271"/>
      <c r="BF263" s="271"/>
      <c r="BG263" s="271"/>
      <c r="BH263" s="271"/>
      <c r="BI263" s="271"/>
      <c r="BJ263" s="271"/>
      <c r="BK263" s="271"/>
      <c r="BL263" s="271"/>
    </row>
    <row r="264" spans="18:64" ht="21" customHeight="1" x14ac:dyDescent="0.25">
      <c r="R264" s="34" t="s">
        <v>493</v>
      </c>
      <c r="S264" s="451"/>
      <c r="T264" s="14" t="s">
        <v>7</v>
      </c>
      <c r="V264" s="475">
        <v>6</v>
      </c>
      <c r="W264" s="475" t="str">
        <f>IF($AC$264="","",$W$252)</f>
        <v>N° 30</v>
      </c>
      <c r="X264" s="476" t="str">
        <f>IF($AC$264="","",$X$252)</f>
        <v>QUICHE LORRAINE</v>
      </c>
      <c r="Y264" s="477">
        <f>IF($X$264="","",$Y$252)</f>
        <v>47</v>
      </c>
      <c r="Z264" s="477">
        <f>IF($X$264="","",$Z$252)</f>
        <v>100</v>
      </c>
      <c r="AA264" s="477">
        <f>IF($AC$264="","",ROW($A$264)-ROW($A$252))</f>
        <v>12</v>
      </c>
      <c r="AB264" s="478"/>
      <c r="AC264" s="34" t="s">
        <v>167</v>
      </c>
      <c r="AD264" s="356"/>
      <c r="AE264" s="18">
        <v>3</v>
      </c>
      <c r="AF264" s="16" t="s">
        <v>8</v>
      </c>
      <c r="AG264" s="480">
        <f t="shared" si="64"/>
        <v>3</v>
      </c>
      <c r="AH264" s="481" t="str">
        <f t="shared" si="65"/>
        <v>G</v>
      </c>
      <c r="AI264" s="477" t="str">
        <f>IF($AC$264="","",IFERROR(INDEX($AZ$74:$AZ$119,MATCH($AH$264,$AY$74:$AY$119,0)),"AUTRE"))</f>
        <v>MASSE</v>
      </c>
      <c r="AJ264" s="482">
        <f>IF($AC$264="","",IFERROR(INDEX($BA$74:$BA$119,MATCH($AH$264,$AY$74:$AY$119,0)),1))</f>
        <v>1E-3</v>
      </c>
      <c r="AK264" s="482">
        <f t="shared" si="66"/>
        <v>3.0000000000000001E-3</v>
      </c>
      <c r="AL264" s="477" t="str">
        <f>IF($AC$264="","",IFERROR(INDEX($BB$74:$BB$119,MATCH($AH$264,$AY$74:$AY$119,0)),$AH$264))</f>
        <v>kg</v>
      </c>
      <c r="AM264" s="483" t="str">
        <f t="shared" si="67"/>
        <v>OK</v>
      </c>
      <c r="AN264" s="484">
        <f t="shared" si="68"/>
        <v>3</v>
      </c>
      <c r="AO264" s="473" t="str">
        <f t="shared" si="69"/>
        <v/>
      </c>
      <c r="AP264" s="473" t="str">
        <f t="shared" si="70"/>
        <v/>
      </c>
      <c r="AQ264" s="473" t="str">
        <f t="shared" si="71"/>
        <v/>
      </c>
      <c r="AR264" s="473" t="str">
        <f t="shared" si="72"/>
        <v/>
      </c>
      <c r="AS264" s="473" t="str">
        <f t="shared" si="73"/>
        <v/>
      </c>
      <c r="AT264" s="473" t="str">
        <f t="shared" si="74"/>
        <v/>
      </c>
      <c r="AU264" s="473" t="str">
        <f t="shared" si="75"/>
        <v/>
      </c>
      <c r="AZ264" s="29" t="s">
        <v>9</v>
      </c>
      <c r="BA264" s="34" t="s">
        <v>483</v>
      </c>
      <c r="BB264" s="499"/>
      <c r="BC264" s="271"/>
      <c r="BD264" s="279">
        <v>1</v>
      </c>
      <c r="BE264" s="271"/>
      <c r="BF264" s="271"/>
      <c r="BG264" s="271"/>
      <c r="BH264" s="271"/>
      <c r="BI264" s="271"/>
      <c r="BJ264" s="271"/>
      <c r="BK264" s="271"/>
      <c r="BL264" s="271"/>
    </row>
    <row r="265" spans="18:64" ht="21" customHeight="1" x14ac:dyDescent="0.25">
      <c r="R265" s="34" t="s">
        <v>494</v>
      </c>
      <c r="S265" s="451"/>
      <c r="T265" s="27" t="s">
        <v>8</v>
      </c>
      <c r="V265" s="475">
        <v>6</v>
      </c>
      <c r="W265" s="475" t="str">
        <f>IF($AC$265="","",$W$252)</f>
        <v>N° 30</v>
      </c>
      <c r="X265" s="476" t="str">
        <f>IF($AC$265="","",$X$252)</f>
        <v>QUICHE LORRAINE</v>
      </c>
      <c r="Y265" s="477">
        <f>IF($X$265="","",$Y$252)</f>
        <v>47</v>
      </c>
      <c r="Z265" s="477">
        <f>IF($X$265="","",$Z$252)</f>
        <v>100</v>
      </c>
      <c r="AA265" s="477">
        <f>IF($AC$265="","",ROW($A$265)-ROW($A$252))</f>
        <v>13</v>
      </c>
      <c r="AB265" s="478"/>
      <c r="AC265" s="34" t="s">
        <v>437</v>
      </c>
      <c r="AD265" s="356"/>
      <c r="AE265" s="18">
        <v>200</v>
      </c>
      <c r="AF265" s="16" t="s">
        <v>8</v>
      </c>
      <c r="AG265" s="480">
        <f t="shared" si="64"/>
        <v>200</v>
      </c>
      <c r="AH265" s="481" t="str">
        <f t="shared" si="65"/>
        <v>G</v>
      </c>
      <c r="AI265" s="477" t="str">
        <f>IF($AC$265="","",IFERROR(INDEX($AZ$74:$AZ$119,MATCH($AH$265,$AY$74:$AY$119,0)),"AUTRE"))</f>
        <v>MASSE</v>
      </c>
      <c r="AJ265" s="482">
        <f>IF($AC$265="","",IFERROR(INDEX($BA$74:$BA$119,MATCH($AH$265,$AY$74:$AY$119,0)),1))</f>
        <v>1E-3</v>
      </c>
      <c r="AK265" s="482">
        <f t="shared" si="66"/>
        <v>0.2</v>
      </c>
      <c r="AL265" s="477" t="str">
        <f>IF($AC$265="","",IFERROR(INDEX($BB$74:$BB$119,MATCH($AH$265,$AY$74:$AY$119,0)),$AH$265))</f>
        <v>kg</v>
      </c>
      <c r="AM265" s="483" t="str">
        <f t="shared" si="67"/>
        <v>OK</v>
      </c>
      <c r="AN265" s="484">
        <f t="shared" si="68"/>
        <v>200</v>
      </c>
      <c r="AO265" s="473" t="str">
        <f t="shared" si="69"/>
        <v/>
      </c>
      <c r="AP265" s="473" t="str">
        <f t="shared" si="70"/>
        <v/>
      </c>
      <c r="AQ265" s="473" t="str">
        <f t="shared" si="71"/>
        <v/>
      </c>
      <c r="AR265" s="473" t="str">
        <f t="shared" si="72"/>
        <v/>
      </c>
      <c r="AS265" s="473" t="str">
        <f t="shared" si="73"/>
        <v/>
      </c>
      <c r="AT265" s="473" t="str">
        <f t="shared" si="74"/>
        <v/>
      </c>
      <c r="AU265" s="473" t="str">
        <f t="shared" si="75"/>
        <v/>
      </c>
      <c r="AZ265" s="30" t="s">
        <v>10</v>
      </c>
      <c r="BA265" s="34" t="s">
        <v>493</v>
      </c>
      <c r="BB265" s="499"/>
      <c r="BC265" s="271"/>
      <c r="BD265" s="279">
        <v>1</v>
      </c>
      <c r="BE265" s="271"/>
      <c r="BF265" s="271"/>
      <c r="BG265" s="271"/>
      <c r="BH265" s="271"/>
      <c r="BI265" s="271"/>
      <c r="BJ265" s="271"/>
      <c r="BK265" s="271"/>
      <c r="BL265" s="271"/>
    </row>
    <row r="266" spans="18:64" ht="21" customHeight="1" x14ac:dyDescent="0.25">
      <c r="S266" s="451"/>
      <c r="T266" s="28" t="s">
        <v>13</v>
      </c>
      <c r="V266" s="475">
        <v>6</v>
      </c>
      <c r="W266" s="475" t="str">
        <f>IF($AC$266="","",$W$252)</f>
        <v/>
      </c>
      <c r="X266" s="476" t="str">
        <f>IF($AC$266="","",$X$252)</f>
        <v/>
      </c>
      <c r="Y266" s="477" t="str">
        <f>IF($X$266="","",$Y$252)</f>
        <v/>
      </c>
      <c r="Z266" s="477" t="str">
        <f>IF($X$266="","",$Z$252)</f>
        <v/>
      </c>
      <c r="AA266" s="477" t="str">
        <f>IF($AC$266="","",ROW($A$266)-ROW($A$252))</f>
        <v/>
      </c>
      <c r="AB266" s="478"/>
      <c r="AC266" s="34"/>
      <c r="AD266" s="356"/>
      <c r="AE266" s="18"/>
      <c r="AF266" s="19"/>
      <c r="AG266" s="480" t="str">
        <f t="shared" si="64"/>
        <v/>
      </c>
      <c r="AH266" s="481" t="str">
        <f t="shared" si="65"/>
        <v/>
      </c>
      <c r="AI266" s="477" t="str">
        <f>IF($AC$266="","",IFERROR(INDEX($AZ$74:$AZ$119,MATCH($AH$266,$AY$74:$AY$119,0)),"AUTRE"))</f>
        <v/>
      </c>
      <c r="AJ266" s="482" t="str">
        <f>IF($AC$266="","",IFERROR(INDEX($BA$74:$BA$119,MATCH($AH$266,$AY$74:$AY$119,0)),1))</f>
        <v/>
      </c>
      <c r="AK266" s="482" t="str">
        <f t="shared" si="66"/>
        <v/>
      </c>
      <c r="AL266" s="477" t="str">
        <f>IF($AC$266="","",IFERROR(INDEX($BB$74:$BB$119,MATCH($AH$266,$AY$74:$AY$119,0)),$AH$266))</f>
        <v/>
      </c>
      <c r="AM266" s="483" t="str">
        <f t="shared" si="67"/>
        <v/>
      </c>
      <c r="AN266" s="484" t="str">
        <f t="shared" si="68"/>
        <v/>
      </c>
      <c r="AO266" s="473" t="str">
        <f t="shared" si="69"/>
        <v/>
      </c>
      <c r="AP266" s="473" t="str">
        <f t="shared" si="70"/>
        <v/>
      </c>
      <c r="AQ266" s="473" t="str">
        <f t="shared" si="71"/>
        <v/>
      </c>
      <c r="AR266" s="473" t="str">
        <f t="shared" si="72"/>
        <v/>
      </c>
      <c r="AS266" s="473" t="str">
        <f t="shared" si="73"/>
        <v/>
      </c>
      <c r="AT266" s="473" t="str">
        <f t="shared" si="74"/>
        <v/>
      </c>
      <c r="AU266" s="473" t="str">
        <f t="shared" si="75"/>
        <v/>
      </c>
      <c r="AZ266" s="30" t="s">
        <v>11</v>
      </c>
      <c r="BA266" s="34" t="s">
        <v>494</v>
      </c>
      <c r="BB266" s="499"/>
      <c r="BC266" s="271"/>
      <c r="BD266" s="279">
        <v>1</v>
      </c>
      <c r="BE266" s="271"/>
      <c r="BF266" s="271"/>
      <c r="BG266" s="271"/>
      <c r="BH266" s="271"/>
      <c r="BI266" s="271"/>
      <c r="BJ266" s="271"/>
      <c r="BK266" s="271"/>
      <c r="BL266" s="271"/>
    </row>
    <row r="267" spans="18:64" ht="21" customHeight="1" x14ac:dyDescent="0.25">
      <c r="R267" s="25" t="s">
        <v>6115</v>
      </c>
      <c r="S267" s="451"/>
      <c r="T267" s="28" t="s">
        <v>14</v>
      </c>
      <c r="V267" s="475">
        <v>6</v>
      </c>
      <c r="W267" s="475" t="str">
        <f>IF($AC$267="","",$W$252)</f>
        <v/>
      </c>
      <c r="X267" s="476" t="str">
        <f>IF($AC$267="","",$X$252)</f>
        <v/>
      </c>
      <c r="Y267" s="477" t="str">
        <f>IF($X$267="","",$Y$252)</f>
        <v/>
      </c>
      <c r="Z267" s="477" t="str">
        <f>IF($X$267="","",$Z$252)</f>
        <v/>
      </c>
      <c r="AA267" s="477" t="str">
        <f>IF($AC$267="","",ROW($A$267)-ROW($A$252))</f>
        <v/>
      </c>
      <c r="AB267" s="478"/>
      <c r="AC267" s="34"/>
      <c r="AD267" s="356"/>
      <c r="AE267" s="18"/>
      <c r="AF267" s="19"/>
      <c r="AG267" s="480" t="str">
        <f t="shared" si="64"/>
        <v/>
      </c>
      <c r="AH267" s="481" t="str">
        <f t="shared" si="65"/>
        <v/>
      </c>
      <c r="AI267" s="477" t="str">
        <f>IF($AC$267="","",IFERROR(INDEX($AZ$74:$AZ$119,MATCH($AH$267,$AY$74:$AY$119,0)),"AUTRE"))</f>
        <v/>
      </c>
      <c r="AJ267" s="482" t="str">
        <f>IF($AC$267="","",IFERROR(INDEX($BA$74:$BA$119,MATCH($AH$267,$AY$74:$AY$119,0)),1))</f>
        <v/>
      </c>
      <c r="AK267" s="482" t="str">
        <f t="shared" si="66"/>
        <v/>
      </c>
      <c r="AL267" s="477" t="str">
        <f>IF($AC$267="","",IFERROR(INDEX($BB$74:$BB$119,MATCH($AH$267,$AY$74:$AY$119,0)),$AH$267))</f>
        <v/>
      </c>
      <c r="AM267" s="483" t="str">
        <f t="shared" si="67"/>
        <v/>
      </c>
      <c r="AN267" s="484" t="str">
        <f t="shared" si="68"/>
        <v/>
      </c>
      <c r="AO267" s="473" t="str">
        <f t="shared" si="69"/>
        <v/>
      </c>
      <c r="AP267" s="473" t="str">
        <f t="shared" si="70"/>
        <v/>
      </c>
      <c r="AQ267" s="473" t="str">
        <f t="shared" si="71"/>
        <v/>
      </c>
      <c r="AR267" s="473" t="str">
        <f t="shared" si="72"/>
        <v/>
      </c>
      <c r="AS267" s="473" t="str">
        <f t="shared" si="73"/>
        <v/>
      </c>
      <c r="AT267" s="473" t="str">
        <f t="shared" si="74"/>
        <v/>
      </c>
      <c r="AU267" s="473" t="str">
        <f t="shared" si="75"/>
        <v/>
      </c>
      <c r="AZ267" s="30" t="s">
        <v>12</v>
      </c>
      <c r="BB267" s="499"/>
      <c r="BC267" s="271"/>
      <c r="BD267" s="279">
        <v>1</v>
      </c>
      <c r="BE267" s="271"/>
      <c r="BF267" s="271"/>
      <c r="BG267" s="271"/>
      <c r="BH267" s="271"/>
      <c r="BI267" s="271"/>
      <c r="BJ267" s="271"/>
      <c r="BK267" s="271"/>
      <c r="BL267" s="271"/>
    </row>
    <row r="268" spans="18:64" ht="21" customHeight="1" x14ac:dyDescent="0.25">
      <c r="R268" s="34" t="s">
        <v>471</v>
      </c>
      <c r="S268" s="451"/>
      <c r="T268" s="28" t="s">
        <v>15</v>
      </c>
      <c r="V268" s="475">
        <v>6</v>
      </c>
      <c r="W268" s="475" t="str">
        <f>IF($AC$268="","",$W$252)</f>
        <v/>
      </c>
      <c r="X268" s="476" t="str">
        <f>IF($AC$268="","",$X$252)</f>
        <v/>
      </c>
      <c r="Y268" s="477" t="str">
        <f>IF($X$268="","",$Y$252)</f>
        <v/>
      </c>
      <c r="Z268" s="477" t="str">
        <f>IF($X$268="","",$Z$252)</f>
        <v/>
      </c>
      <c r="AA268" s="477" t="str">
        <f>IF($AC$268="","",ROW($A$268)-ROW($A$252))</f>
        <v/>
      </c>
      <c r="AB268" s="478"/>
      <c r="AC268" s="34"/>
      <c r="AD268" s="356"/>
      <c r="AE268" s="18"/>
      <c r="AF268" s="19"/>
      <c r="AG268" s="480" t="str">
        <f t="shared" si="64"/>
        <v/>
      </c>
      <c r="AH268" s="481" t="str">
        <f t="shared" si="65"/>
        <v/>
      </c>
      <c r="AI268" s="477" t="str">
        <f>IF($AC$268="","",IFERROR(INDEX($AZ$74:$AZ$119,MATCH($AH$268,$AY$74:$AY$119,0)),"AUTRE"))</f>
        <v/>
      </c>
      <c r="AJ268" s="482" t="str">
        <f>IF($AC$268="","",IFERROR(INDEX($BA$74:$BA$119,MATCH($AH$268,$AY$74:$AY$119,0)),1))</f>
        <v/>
      </c>
      <c r="AK268" s="482" t="str">
        <f t="shared" si="66"/>
        <v/>
      </c>
      <c r="AL268" s="477" t="str">
        <f>IF($AC$268="","",IFERROR(INDEX($BB$74:$BB$119,MATCH($AH$268,$AY$74:$AY$119,0)),$AH$268))</f>
        <v/>
      </c>
      <c r="AM268" s="483" t="str">
        <f t="shared" si="67"/>
        <v/>
      </c>
      <c r="AN268" s="484" t="str">
        <f t="shared" si="68"/>
        <v/>
      </c>
      <c r="AO268" s="473" t="str">
        <f t="shared" si="69"/>
        <v/>
      </c>
      <c r="AP268" s="473" t="str">
        <f t="shared" si="70"/>
        <v/>
      </c>
      <c r="AQ268" s="473" t="str">
        <f t="shared" si="71"/>
        <v/>
      </c>
      <c r="AR268" s="473" t="str">
        <f t="shared" si="72"/>
        <v/>
      </c>
      <c r="AS268" s="473" t="str">
        <f t="shared" si="73"/>
        <v/>
      </c>
      <c r="AT268" s="473" t="str">
        <f t="shared" si="74"/>
        <v/>
      </c>
      <c r="AU268" s="473" t="str">
        <f t="shared" si="75"/>
        <v/>
      </c>
      <c r="AZ268" s="31" t="s">
        <v>16</v>
      </c>
      <c r="BA268" s="25" t="s">
        <v>6115</v>
      </c>
      <c r="BB268" s="499"/>
      <c r="BC268" s="271"/>
      <c r="BD268" s="279">
        <v>1</v>
      </c>
      <c r="BE268" s="271"/>
      <c r="BF268" s="271"/>
      <c r="BG268" s="271"/>
      <c r="BH268" s="271"/>
      <c r="BI268" s="271"/>
      <c r="BJ268" s="271"/>
      <c r="BK268" s="271"/>
      <c r="BL268" s="271"/>
    </row>
    <row r="269" spans="18:64" ht="21" customHeight="1" x14ac:dyDescent="0.25">
      <c r="R269" s="34" t="s">
        <v>472</v>
      </c>
      <c r="S269" s="451"/>
      <c r="T269" s="28" t="s">
        <v>21</v>
      </c>
      <c r="V269" s="475">
        <v>6</v>
      </c>
      <c r="W269" s="475" t="str">
        <f>IF($AC$269="","",$W$252)</f>
        <v/>
      </c>
      <c r="X269" s="476" t="str">
        <f>IF($AC$269="","",$X$252)</f>
        <v/>
      </c>
      <c r="Y269" s="477" t="str">
        <f>IF($X$269="","",$Y$252)</f>
        <v/>
      </c>
      <c r="Z269" s="477" t="str">
        <f>IF($X$269="","",$Z$252)</f>
        <v/>
      </c>
      <c r="AA269" s="477" t="str">
        <f>IF($AC$269="","",ROW($A$269)-ROW($A$252))</f>
        <v/>
      </c>
      <c r="AB269" s="478"/>
      <c r="AC269" s="34"/>
      <c r="AD269" s="356"/>
      <c r="AE269" s="18"/>
      <c r="AF269" s="19"/>
      <c r="AG269" s="480" t="str">
        <f t="shared" si="64"/>
        <v/>
      </c>
      <c r="AH269" s="481" t="str">
        <f t="shared" si="65"/>
        <v/>
      </c>
      <c r="AI269" s="477" t="str">
        <f>IF($AC$269="","",IFERROR(INDEX($AZ$74:$AZ$119,MATCH($AH$269,$AY$74:$AY$119,0)),"AUTRE"))</f>
        <v/>
      </c>
      <c r="AJ269" s="482" t="str">
        <f>IF($AC$269="","",IFERROR(INDEX($BA$74:$BA$119,MATCH($AH$269,$AY$74:$AY$119,0)),1))</f>
        <v/>
      </c>
      <c r="AK269" s="482" t="str">
        <f t="shared" si="66"/>
        <v/>
      </c>
      <c r="AL269" s="477" t="str">
        <f>IF($AC$269="","",IFERROR(INDEX($BB$74:$BB$119,MATCH($AH$269,$AY$74:$AY$119,0)),$AH$269))</f>
        <v/>
      </c>
      <c r="AM269" s="483" t="str">
        <f t="shared" si="67"/>
        <v/>
      </c>
      <c r="AN269" s="484" t="str">
        <f t="shared" si="68"/>
        <v/>
      </c>
      <c r="AO269" s="473" t="str">
        <f t="shared" si="69"/>
        <v/>
      </c>
      <c r="AP269" s="473" t="str">
        <f t="shared" si="70"/>
        <v/>
      </c>
      <c r="AQ269" s="473" t="str">
        <f t="shared" si="71"/>
        <v/>
      </c>
      <c r="AR269" s="473" t="str">
        <f t="shared" si="72"/>
        <v/>
      </c>
      <c r="AS269" s="473" t="str">
        <f t="shared" si="73"/>
        <v/>
      </c>
      <c r="AT269" s="473" t="str">
        <f t="shared" si="74"/>
        <v/>
      </c>
      <c r="AU269" s="473" t="str">
        <f t="shared" si="75"/>
        <v/>
      </c>
      <c r="AZ269" s="31" t="s">
        <v>17</v>
      </c>
      <c r="BA269" s="34" t="s">
        <v>471</v>
      </c>
      <c r="BB269" s="499"/>
      <c r="BC269" s="271"/>
      <c r="BD269" s="279">
        <v>1</v>
      </c>
      <c r="BE269" s="271"/>
      <c r="BF269" s="271"/>
      <c r="BG269" s="271"/>
      <c r="BH269" s="271"/>
      <c r="BI269" s="271"/>
      <c r="BJ269" s="271"/>
      <c r="BK269" s="271"/>
      <c r="BL269" s="271"/>
    </row>
    <row r="270" spans="18:64" ht="21" customHeight="1" x14ac:dyDescent="0.25">
      <c r="R270" s="34" t="s">
        <v>6112</v>
      </c>
      <c r="S270" s="451"/>
      <c r="T270" s="28" t="s">
        <v>22</v>
      </c>
      <c r="V270" s="475">
        <v>6</v>
      </c>
      <c r="W270" s="475" t="str">
        <f>IF($AC$270="","",$W$252)</f>
        <v/>
      </c>
      <c r="X270" s="476" t="str">
        <f>IF($AC$270="","",$X$252)</f>
        <v/>
      </c>
      <c r="Y270" s="477" t="str">
        <f>IF($X$270="","",$Y$252)</f>
        <v/>
      </c>
      <c r="Z270" s="477" t="str">
        <f>IF($X$270="","",$Z$252)</f>
        <v/>
      </c>
      <c r="AA270" s="477" t="str">
        <f>IF($AC$270="","",ROW($A$270)-ROW($A$252))</f>
        <v/>
      </c>
      <c r="AB270" s="478"/>
      <c r="AC270" s="34"/>
      <c r="AD270" s="356"/>
      <c r="AE270" s="18"/>
      <c r="AF270" s="19"/>
      <c r="AG270" s="480" t="str">
        <f t="shared" si="64"/>
        <v/>
      </c>
      <c r="AH270" s="481" t="str">
        <f t="shared" si="65"/>
        <v/>
      </c>
      <c r="AI270" s="477" t="str">
        <f>IF($AC$270="","",IFERROR(INDEX($AZ$74:$AZ$119,MATCH($AH$270,$AY$74:$AY$119,0)),"AUTRE"))</f>
        <v/>
      </c>
      <c r="AJ270" s="482" t="str">
        <f>IF($AC$270="","",IFERROR(INDEX($BA$74:$BA$119,MATCH($AH$270,$AY$74:$AY$119,0)),1))</f>
        <v/>
      </c>
      <c r="AK270" s="482" t="str">
        <f t="shared" si="66"/>
        <v/>
      </c>
      <c r="AL270" s="477" t="str">
        <f>IF($AC$270="","",IFERROR(INDEX($BB$74:$BB$119,MATCH($AH$270,$AY$74:$AY$119,0)),$AH$270))</f>
        <v/>
      </c>
      <c r="AM270" s="483" t="str">
        <f t="shared" si="67"/>
        <v/>
      </c>
      <c r="AN270" s="484" t="str">
        <f t="shared" si="68"/>
        <v/>
      </c>
      <c r="AO270" s="473" t="str">
        <f t="shared" si="69"/>
        <v/>
      </c>
      <c r="AP270" s="473" t="str">
        <f t="shared" si="70"/>
        <v/>
      </c>
      <c r="AQ270" s="473" t="str">
        <f t="shared" si="71"/>
        <v/>
      </c>
      <c r="AR270" s="473" t="str">
        <f t="shared" si="72"/>
        <v/>
      </c>
      <c r="AS270" s="473" t="str">
        <f t="shared" si="73"/>
        <v/>
      </c>
      <c r="AT270" s="473" t="str">
        <f t="shared" si="74"/>
        <v/>
      </c>
      <c r="AU270" s="473" t="str">
        <f t="shared" si="75"/>
        <v/>
      </c>
      <c r="AZ270" s="31" t="s">
        <v>18</v>
      </c>
      <c r="BA270" s="34" t="s">
        <v>472</v>
      </c>
      <c r="BB270" s="499"/>
      <c r="BC270" s="271"/>
      <c r="BD270" s="279">
        <v>1</v>
      </c>
      <c r="BE270" s="271"/>
      <c r="BF270" s="271"/>
      <c r="BG270" s="271"/>
      <c r="BH270" s="271"/>
      <c r="BI270" s="271"/>
      <c r="BJ270" s="271"/>
      <c r="BK270" s="271"/>
      <c r="BL270" s="271"/>
    </row>
    <row r="271" spans="18:64" ht="21" customHeight="1" x14ac:dyDescent="0.25">
      <c r="R271" s="25" t="s">
        <v>6116</v>
      </c>
      <c r="S271" s="451"/>
      <c r="T271" s="28" t="s">
        <v>23</v>
      </c>
      <c r="V271" s="475">
        <v>6</v>
      </c>
      <c r="W271" s="475" t="str">
        <f>IF($AC$271="","",$W$252)</f>
        <v/>
      </c>
      <c r="X271" s="476" t="str">
        <f>IF($AC$271="","",$X$252)</f>
        <v/>
      </c>
      <c r="Y271" s="477" t="str">
        <f>IF($X$271="","",$Y$252)</f>
        <v/>
      </c>
      <c r="Z271" s="477" t="str">
        <f>IF($X$271="","",$Z$252)</f>
        <v/>
      </c>
      <c r="AA271" s="477" t="str">
        <f>IF($AC$271="","",ROW($A$271)-ROW($A$252))</f>
        <v/>
      </c>
      <c r="AB271" s="478"/>
      <c r="AC271" s="34"/>
      <c r="AD271" s="356"/>
      <c r="AE271" s="18"/>
      <c r="AF271" s="19"/>
      <c r="AG271" s="480" t="str">
        <f t="shared" si="64"/>
        <v/>
      </c>
      <c r="AH271" s="481" t="str">
        <f t="shared" si="65"/>
        <v/>
      </c>
      <c r="AI271" s="477" t="str">
        <f>IF($AC$271="","",IFERROR(INDEX($AZ$74:$AZ$119,MATCH($AH$271,$AY$74:$AY$119,0)),"AUTRE"))</f>
        <v/>
      </c>
      <c r="AJ271" s="482" t="str">
        <f>IF($AC$271="","",IFERROR(INDEX($BA$74:$BA$119,MATCH($AH$271,$AY$74:$AY$119,0)),1))</f>
        <v/>
      </c>
      <c r="AK271" s="482" t="str">
        <f t="shared" si="66"/>
        <v/>
      </c>
      <c r="AL271" s="477" t="str">
        <f>IF($AC$271="","",IFERROR(INDEX($BB$74:$BB$119,MATCH($AH$271,$AY$74:$AY$119,0)),$AH$271))</f>
        <v/>
      </c>
      <c r="AM271" s="483" t="str">
        <f t="shared" si="67"/>
        <v/>
      </c>
      <c r="AN271" s="484" t="str">
        <f t="shared" si="68"/>
        <v/>
      </c>
      <c r="AO271" s="473" t="str">
        <f t="shared" si="69"/>
        <v/>
      </c>
      <c r="AP271" s="473" t="str">
        <f t="shared" si="70"/>
        <v/>
      </c>
      <c r="AQ271" s="473" t="str">
        <f t="shared" si="71"/>
        <v/>
      </c>
      <c r="AR271" s="473" t="str">
        <f t="shared" si="72"/>
        <v/>
      </c>
      <c r="AS271" s="473" t="str">
        <f t="shared" si="73"/>
        <v/>
      </c>
      <c r="AT271" s="473" t="str">
        <f t="shared" si="74"/>
        <v/>
      </c>
      <c r="AU271" s="473" t="str">
        <f t="shared" si="75"/>
        <v/>
      </c>
      <c r="AZ271" s="31" t="s">
        <v>19</v>
      </c>
      <c r="BA271" s="34" t="s">
        <v>6112</v>
      </c>
      <c r="BB271" s="499"/>
      <c r="BC271" s="271"/>
      <c r="BD271" s="279">
        <v>1</v>
      </c>
      <c r="BE271" s="271"/>
      <c r="BF271" s="271"/>
      <c r="BG271" s="271"/>
      <c r="BH271" s="271"/>
      <c r="BI271" s="271"/>
      <c r="BJ271" s="271"/>
      <c r="BK271" s="271"/>
      <c r="BL271" s="271"/>
    </row>
    <row r="272" spans="18:64" ht="21" customHeight="1" x14ac:dyDescent="0.25">
      <c r="R272" s="34" t="s">
        <v>6117</v>
      </c>
      <c r="S272" s="451"/>
      <c r="T272" s="28" t="s">
        <v>24</v>
      </c>
      <c r="V272" s="475">
        <v>6</v>
      </c>
      <c r="W272" s="475" t="str">
        <f>IF($AC$272="","",$W$252)</f>
        <v/>
      </c>
      <c r="X272" s="476" t="str">
        <f>IF($AC$272="","",$X$252)</f>
        <v/>
      </c>
      <c r="Y272" s="477" t="str">
        <f>IF($X$272="","",$Y$252)</f>
        <v/>
      </c>
      <c r="Z272" s="477" t="str">
        <f>IF($X$272="","",$Z$252)</f>
        <v/>
      </c>
      <c r="AA272" s="477" t="str">
        <f>IF($AC$272="","",ROW($A$272)-ROW($A$252))</f>
        <v/>
      </c>
      <c r="AB272" s="478"/>
      <c r="AC272" s="34"/>
      <c r="AD272" s="356"/>
      <c r="AE272" s="18"/>
      <c r="AF272" s="19"/>
      <c r="AG272" s="480" t="str">
        <f t="shared" si="64"/>
        <v/>
      </c>
      <c r="AH272" s="481" t="str">
        <f t="shared" si="65"/>
        <v/>
      </c>
      <c r="AI272" s="477" t="str">
        <f>IF($AC$272="","",IFERROR(INDEX($AZ$74:$AZ$119,MATCH($AH$272,$AY$74:$AY$119,0)),"AUTRE"))</f>
        <v/>
      </c>
      <c r="AJ272" s="482" t="str">
        <f>IF($AC$272="","",IFERROR(INDEX($BA$74:$BA$119,MATCH($AH$272,$AY$74:$AY$119,0)),1))</f>
        <v/>
      </c>
      <c r="AK272" s="482" t="str">
        <f t="shared" si="66"/>
        <v/>
      </c>
      <c r="AL272" s="477" t="str">
        <f>IF($AC$272="","",IFERROR(INDEX($BB$74:$BB$119,MATCH($AH$272,$AY$74:$AY$119,0)),$AH$272))</f>
        <v/>
      </c>
      <c r="AM272" s="483" t="str">
        <f t="shared" si="67"/>
        <v/>
      </c>
      <c r="AN272" s="484" t="str">
        <f t="shared" si="68"/>
        <v/>
      </c>
      <c r="AO272" s="473" t="str">
        <f t="shared" si="69"/>
        <v/>
      </c>
      <c r="AP272" s="473" t="str">
        <f t="shared" si="70"/>
        <v/>
      </c>
      <c r="AQ272" s="473" t="str">
        <f t="shared" si="71"/>
        <v/>
      </c>
      <c r="AR272" s="473" t="str">
        <f t="shared" si="72"/>
        <v/>
      </c>
      <c r="AS272" s="473" t="str">
        <f t="shared" si="73"/>
        <v/>
      </c>
      <c r="AT272" s="473" t="str">
        <f t="shared" si="74"/>
        <v/>
      </c>
      <c r="AU272" s="473" t="str">
        <f t="shared" si="75"/>
        <v/>
      </c>
      <c r="AZ272" s="31" t="s">
        <v>211</v>
      </c>
      <c r="BA272" s="25" t="s">
        <v>6116</v>
      </c>
      <c r="BB272" s="499"/>
      <c r="BC272" s="271"/>
      <c r="BD272" s="279">
        <v>1</v>
      </c>
      <c r="BE272" s="271"/>
      <c r="BF272" s="271"/>
      <c r="BG272" s="271"/>
      <c r="BH272" s="271"/>
      <c r="BI272" s="271"/>
      <c r="BJ272" s="271"/>
      <c r="BK272" s="271"/>
      <c r="BL272" s="271"/>
    </row>
    <row r="273" spans="18:64" ht="21" customHeight="1" x14ac:dyDescent="0.25">
      <c r="R273" s="34" t="s">
        <v>469</v>
      </c>
      <c r="S273" s="451"/>
      <c r="T273" s="29" t="s">
        <v>9</v>
      </c>
      <c r="V273" s="475">
        <v>6</v>
      </c>
      <c r="W273" s="475" t="str">
        <f>IF($AC$273="","",$W$252)</f>
        <v/>
      </c>
      <c r="X273" s="476" t="str">
        <f>IF($AC$273="","",$X$252)</f>
        <v/>
      </c>
      <c r="Y273" s="477" t="str">
        <f>IF($X$273="","",$Y$252)</f>
        <v/>
      </c>
      <c r="Z273" s="477" t="str">
        <f>IF($X$273="","",$Z$252)</f>
        <v/>
      </c>
      <c r="AA273" s="477" t="str">
        <f>IF($AC$273="","",ROW($A$273)-ROW($A$252))</f>
        <v/>
      </c>
      <c r="AB273" s="478"/>
      <c r="AC273" s="34"/>
      <c r="AD273" s="356"/>
      <c r="AE273" s="18"/>
      <c r="AF273" s="19"/>
      <c r="AG273" s="480" t="str">
        <f t="shared" si="64"/>
        <v/>
      </c>
      <c r="AH273" s="481" t="str">
        <f t="shared" si="65"/>
        <v/>
      </c>
      <c r="AI273" s="477" t="str">
        <f>IF($AC$273="","",IFERROR(INDEX($AZ$74:$AZ$119,MATCH($AH$273,$AY$74:$AY$119,0)),"AUTRE"))</f>
        <v/>
      </c>
      <c r="AJ273" s="482" t="str">
        <f>IF($AC$273="","",IFERROR(INDEX($BA$74:$BA$119,MATCH($AH$273,$AY$74:$AY$119,0)),1))</f>
        <v/>
      </c>
      <c r="AK273" s="482" t="str">
        <f t="shared" si="66"/>
        <v/>
      </c>
      <c r="AL273" s="477" t="str">
        <f>IF($AC$273="","",IFERROR(INDEX($BB$74:$BB$119,MATCH($AH$273,$AY$74:$AY$119,0)),$AH$273))</f>
        <v/>
      </c>
      <c r="AM273" s="483" t="str">
        <f t="shared" si="67"/>
        <v/>
      </c>
      <c r="AN273" s="484" t="str">
        <f t="shared" si="68"/>
        <v/>
      </c>
      <c r="AO273" s="473" t="str">
        <f t="shared" si="69"/>
        <v/>
      </c>
      <c r="AP273" s="473" t="str">
        <f t="shared" si="70"/>
        <v/>
      </c>
      <c r="AQ273" s="473" t="str">
        <f t="shared" si="71"/>
        <v/>
      </c>
      <c r="AR273" s="473" t="str">
        <f t="shared" si="72"/>
        <v/>
      </c>
      <c r="AS273" s="473" t="str">
        <f t="shared" si="73"/>
        <v/>
      </c>
      <c r="AT273" s="473" t="str">
        <f t="shared" si="74"/>
        <v/>
      </c>
      <c r="AU273" s="473" t="str">
        <f t="shared" si="75"/>
        <v/>
      </c>
      <c r="AZ273" s="31" t="s">
        <v>20</v>
      </c>
      <c r="BA273" s="34" t="s">
        <v>6117</v>
      </c>
      <c r="BB273" s="499"/>
      <c r="BC273" s="271"/>
      <c r="BD273" s="279">
        <v>1</v>
      </c>
      <c r="BE273" s="271"/>
      <c r="BF273" s="271"/>
      <c r="BG273" s="271"/>
      <c r="BH273" s="271"/>
      <c r="BI273" s="271"/>
      <c r="BJ273" s="271"/>
      <c r="BK273" s="271"/>
      <c r="BL273" s="271"/>
    </row>
    <row r="274" spans="18:64" ht="21" customHeight="1" x14ac:dyDescent="0.25">
      <c r="R274" s="34" t="s">
        <v>6118</v>
      </c>
      <c r="S274" s="451"/>
      <c r="T274" s="30" t="s">
        <v>10</v>
      </c>
      <c r="V274" s="475">
        <v>6</v>
      </c>
      <c r="W274" s="475" t="str">
        <f>IF($AC$274="","",$W$252)</f>
        <v/>
      </c>
      <c r="X274" s="476" t="str">
        <f>IF($AC$274="","",$X$252)</f>
        <v/>
      </c>
      <c r="Y274" s="477" t="str">
        <f>IF($X$274="","",$Y$252)</f>
        <v/>
      </c>
      <c r="Z274" s="477" t="str">
        <f>IF($X$274="","",$Z$252)</f>
        <v/>
      </c>
      <c r="AA274" s="477" t="str">
        <f>IF($AC$274="","",ROW($A$274)-ROW($A$252))</f>
        <v/>
      </c>
      <c r="AB274" s="478"/>
      <c r="AC274" s="34"/>
      <c r="AD274" s="356"/>
      <c r="AE274" s="18"/>
      <c r="AF274" s="19"/>
      <c r="AG274" s="480" t="str">
        <f t="shared" si="64"/>
        <v/>
      </c>
      <c r="AH274" s="481" t="str">
        <f t="shared" si="65"/>
        <v/>
      </c>
      <c r="AI274" s="477" t="str">
        <f>IF($AC$274="","",IFERROR(INDEX($AZ$74:$AZ$119,MATCH($AH$274,$AY$74:$AY$119,0)),"AUTRE"))</f>
        <v/>
      </c>
      <c r="AJ274" s="482" t="str">
        <f>IF($AC$274="","",IFERROR(INDEX($BA$74:$BA$119,MATCH($AH$274,$AY$74:$AY$119,0)),1))</f>
        <v/>
      </c>
      <c r="AK274" s="482" t="str">
        <f t="shared" si="66"/>
        <v/>
      </c>
      <c r="AL274" s="477" t="str">
        <f>IF($AC$274="","",IFERROR(INDEX($BB$74:$BB$119,MATCH($AH$274,$AY$74:$AY$119,0)),$AH$274))</f>
        <v/>
      </c>
      <c r="AM274" s="483" t="str">
        <f t="shared" si="67"/>
        <v/>
      </c>
      <c r="AN274" s="484" t="str">
        <f t="shared" si="68"/>
        <v/>
      </c>
      <c r="AO274" s="473" t="str">
        <f t="shared" si="69"/>
        <v/>
      </c>
      <c r="AP274" s="473" t="str">
        <f t="shared" si="70"/>
        <v/>
      </c>
      <c r="AQ274" s="473" t="str">
        <f t="shared" si="71"/>
        <v/>
      </c>
      <c r="AR274" s="473" t="str">
        <f t="shared" si="72"/>
        <v/>
      </c>
      <c r="AS274" s="473" t="str">
        <f t="shared" si="73"/>
        <v/>
      </c>
      <c r="AT274" s="473" t="str">
        <f t="shared" si="74"/>
        <v/>
      </c>
      <c r="AU274" s="473" t="str">
        <f t="shared" si="75"/>
        <v/>
      </c>
      <c r="AZ274" s="31" t="s">
        <v>304</v>
      </c>
      <c r="BA274" s="34" t="s">
        <v>469</v>
      </c>
      <c r="BB274" s="499"/>
      <c r="BC274" s="271"/>
      <c r="BD274" s="279">
        <v>1</v>
      </c>
      <c r="BE274" s="271"/>
      <c r="BF274" s="271"/>
      <c r="BG274" s="271"/>
      <c r="BH274" s="271"/>
      <c r="BI274" s="271"/>
      <c r="BJ274" s="271"/>
      <c r="BK274" s="271"/>
      <c r="BL274" s="271"/>
    </row>
    <row r="275" spans="18:64" ht="21" customHeight="1" x14ac:dyDescent="0.25">
      <c r="R275" s="34" t="s">
        <v>492</v>
      </c>
      <c r="S275" s="451"/>
      <c r="T275" s="30" t="s">
        <v>11</v>
      </c>
      <c r="V275" s="475">
        <v>6</v>
      </c>
      <c r="W275" s="475" t="str">
        <f>IF($AC$275="","",$W$252)</f>
        <v/>
      </c>
      <c r="X275" s="476" t="str">
        <f>IF($AC$275="","",$X$252)</f>
        <v/>
      </c>
      <c r="Y275" s="477" t="str">
        <f>IF($X$275="","",$Y$252)</f>
        <v/>
      </c>
      <c r="Z275" s="477" t="str">
        <f>IF($X$275="","",$Z$252)</f>
        <v/>
      </c>
      <c r="AA275" s="477" t="str">
        <f>IF($AC$275="","",ROW($A$275)-ROW($A$252))</f>
        <v/>
      </c>
      <c r="AB275" s="478"/>
      <c r="AC275" s="34"/>
      <c r="AD275" s="356"/>
      <c r="AE275" s="18"/>
      <c r="AF275" s="19"/>
      <c r="AG275" s="480" t="str">
        <f t="shared" si="64"/>
        <v/>
      </c>
      <c r="AH275" s="481" t="str">
        <f t="shared" si="65"/>
        <v/>
      </c>
      <c r="AI275" s="477" t="str">
        <f>IF($AC$275="","",IFERROR(INDEX($AZ$74:$AZ$119,MATCH($AH$275,$AY$74:$AY$119,0)),"AUTRE"))</f>
        <v/>
      </c>
      <c r="AJ275" s="482" t="str">
        <f>IF($AC$275="","",IFERROR(INDEX($BA$74:$BA$119,MATCH($AH$275,$AY$74:$AY$119,0)),1))</f>
        <v/>
      </c>
      <c r="AK275" s="482" t="str">
        <f t="shared" si="66"/>
        <v/>
      </c>
      <c r="AL275" s="477" t="str">
        <f>IF($AC$275="","",IFERROR(INDEX($BB$74:$BB$119,MATCH($AH$275,$AY$74:$AY$119,0)),$AH$275))</f>
        <v/>
      </c>
      <c r="AM275" s="483" t="str">
        <f t="shared" si="67"/>
        <v/>
      </c>
      <c r="AN275" s="484" t="str">
        <f t="shared" si="68"/>
        <v/>
      </c>
      <c r="AO275" s="473" t="str">
        <f t="shared" si="69"/>
        <v/>
      </c>
      <c r="AP275" s="473" t="str">
        <f t="shared" si="70"/>
        <v/>
      </c>
      <c r="AQ275" s="473" t="str">
        <f t="shared" si="71"/>
        <v/>
      </c>
      <c r="AR275" s="473" t="str">
        <f t="shared" si="72"/>
        <v/>
      </c>
      <c r="AS275" s="473" t="str">
        <f t="shared" si="73"/>
        <v/>
      </c>
      <c r="AT275" s="473" t="str">
        <f t="shared" si="74"/>
        <v/>
      </c>
      <c r="AU275" s="473" t="str">
        <f t="shared" si="75"/>
        <v/>
      </c>
      <c r="AZ275" s="31" t="s">
        <v>352</v>
      </c>
      <c r="BA275" s="34" t="s">
        <v>6118</v>
      </c>
      <c r="BB275" s="499"/>
      <c r="BC275" s="271"/>
      <c r="BD275" s="279">
        <v>1</v>
      </c>
      <c r="BE275" s="271"/>
      <c r="BF275" s="271"/>
      <c r="BG275" s="271"/>
      <c r="BH275" s="271"/>
      <c r="BI275" s="271"/>
      <c r="BJ275" s="271"/>
      <c r="BK275" s="271"/>
      <c r="BL275" s="271"/>
    </row>
    <row r="276" spans="18:64" ht="21" customHeight="1" x14ac:dyDescent="0.25">
      <c r="R276" s="34" t="s">
        <v>458</v>
      </c>
      <c r="S276" s="451"/>
      <c r="T276" s="30" t="s">
        <v>12</v>
      </c>
      <c r="V276" s="475">
        <v>6</v>
      </c>
      <c r="W276" s="475" t="str">
        <f>IF($AC$276="","",$W$252)</f>
        <v/>
      </c>
      <c r="X276" s="476" t="str">
        <f>IF($AC$276="","",$X$252)</f>
        <v/>
      </c>
      <c r="Y276" s="477" t="str">
        <f>IF($X$276="","",$Y$252)</f>
        <v/>
      </c>
      <c r="Z276" s="477" t="str">
        <f>IF($X$276="","",$Z$252)</f>
        <v/>
      </c>
      <c r="AA276" s="477" t="str">
        <f>IF($AC$276="","",ROW($A$276)-ROW($A$252))</f>
        <v/>
      </c>
      <c r="AB276" s="478"/>
      <c r="AC276" s="34"/>
      <c r="AD276" s="356"/>
      <c r="AE276" s="18"/>
      <c r="AF276" s="19"/>
      <c r="AG276" s="480" t="str">
        <f t="shared" si="64"/>
        <v/>
      </c>
      <c r="AH276" s="481" t="str">
        <f t="shared" si="65"/>
        <v/>
      </c>
      <c r="AI276" s="477" t="str">
        <f>IF($AC$276="","",IFERROR(INDEX($AZ$74:$AZ$119,MATCH($AH$276,$AY$74:$AY$119,0)),"AUTRE"))</f>
        <v/>
      </c>
      <c r="AJ276" s="482" t="str">
        <f>IF($AC$276="","",IFERROR(INDEX($BA$74:$BA$119,MATCH($AH$276,$AY$74:$AY$119,0)),1))</f>
        <v/>
      </c>
      <c r="AK276" s="482" t="str">
        <f t="shared" si="66"/>
        <v/>
      </c>
      <c r="AL276" s="477" t="str">
        <f>IF($AC$276="","",IFERROR(INDEX($BB$74:$BB$119,MATCH($AH$276,$AY$74:$AY$119,0)),$AH$276))</f>
        <v/>
      </c>
      <c r="AM276" s="483" t="str">
        <f t="shared" si="67"/>
        <v/>
      </c>
      <c r="AN276" s="484" t="str">
        <f t="shared" si="68"/>
        <v/>
      </c>
      <c r="AO276" s="473" t="str">
        <f t="shared" si="69"/>
        <v/>
      </c>
      <c r="AP276" s="473" t="str">
        <f t="shared" si="70"/>
        <v/>
      </c>
      <c r="AQ276" s="473" t="str">
        <f t="shared" si="71"/>
        <v/>
      </c>
      <c r="AR276" s="473" t="str">
        <f t="shared" si="72"/>
        <v/>
      </c>
      <c r="AS276" s="473" t="str">
        <f t="shared" si="73"/>
        <v/>
      </c>
      <c r="AT276" s="473" t="str">
        <f t="shared" si="74"/>
        <v/>
      </c>
      <c r="AU276" s="473" t="str">
        <f t="shared" si="75"/>
        <v/>
      </c>
      <c r="AZ276" s="31" t="s">
        <v>27</v>
      </c>
      <c r="BA276" s="34" t="s">
        <v>492</v>
      </c>
      <c r="BB276" s="499"/>
      <c r="BC276" s="271"/>
      <c r="BD276" s="279">
        <v>1</v>
      </c>
      <c r="BE276" s="271"/>
      <c r="BF276" s="271"/>
      <c r="BG276" s="271"/>
      <c r="BH276" s="271"/>
      <c r="BI276" s="271"/>
      <c r="BJ276" s="271"/>
      <c r="BK276" s="271"/>
      <c r="BL276" s="271"/>
    </row>
    <row r="277" spans="18:64" ht="21" customHeight="1" x14ac:dyDescent="0.25">
      <c r="R277" s="490"/>
      <c r="S277" s="451"/>
      <c r="T277" s="31" t="s">
        <v>16</v>
      </c>
      <c r="V277" s="475">
        <v>6</v>
      </c>
      <c r="W277" s="475" t="str">
        <f>IF($AC$277="","",$W$252)</f>
        <v/>
      </c>
      <c r="X277" s="476" t="str">
        <f>IF($AC$277="","",$X$252)</f>
        <v/>
      </c>
      <c r="Y277" s="477" t="str">
        <f>IF($X$277="","",$Y$252)</f>
        <v/>
      </c>
      <c r="Z277" s="477" t="str">
        <f>IF($X$277="","",$Z$252)</f>
        <v/>
      </c>
      <c r="AA277" s="477" t="str">
        <f>IF($AC$277="","",ROW($A$277)-ROW($A$252))</f>
        <v/>
      </c>
      <c r="AB277" s="478"/>
      <c r="AC277" s="34"/>
      <c r="AD277" s="356"/>
      <c r="AE277" s="18"/>
      <c r="AF277" s="19"/>
      <c r="AG277" s="480" t="str">
        <f t="shared" si="64"/>
        <v/>
      </c>
      <c r="AH277" s="481" t="str">
        <f t="shared" si="65"/>
        <v/>
      </c>
      <c r="AI277" s="477" t="str">
        <f>IF($AC$277="","",IFERROR(INDEX($AZ$74:$AZ$119,MATCH($AH$277,$AY$74:$AY$119,0)),"AUTRE"))</f>
        <v/>
      </c>
      <c r="AJ277" s="482" t="str">
        <f>IF($AC$277="","",IFERROR(INDEX($BA$74:$BA$119,MATCH($AH$277,$AY$74:$AY$119,0)),1))</f>
        <v/>
      </c>
      <c r="AK277" s="482" t="str">
        <f t="shared" si="66"/>
        <v/>
      </c>
      <c r="AL277" s="477" t="str">
        <f>IF($AC$277="","",IFERROR(INDEX($BB$74:$BB$119,MATCH($AH$277,$AY$74:$AY$119,0)),$AH$277))</f>
        <v/>
      </c>
      <c r="AM277" s="483" t="str">
        <f t="shared" si="67"/>
        <v/>
      </c>
      <c r="AN277" s="484" t="str">
        <f t="shared" si="68"/>
        <v/>
      </c>
      <c r="AO277" s="473" t="str">
        <f t="shared" si="69"/>
        <v/>
      </c>
      <c r="AP277" s="473" t="str">
        <f t="shared" si="70"/>
        <v/>
      </c>
      <c r="AQ277" s="473" t="str">
        <f t="shared" si="71"/>
        <v/>
      </c>
      <c r="AR277" s="473" t="str">
        <f t="shared" si="72"/>
        <v/>
      </c>
      <c r="AS277" s="473" t="str">
        <f t="shared" si="73"/>
        <v/>
      </c>
      <c r="AT277" s="473" t="str">
        <f t="shared" si="74"/>
        <v/>
      </c>
      <c r="AU277" s="473" t="str">
        <f t="shared" si="75"/>
        <v/>
      </c>
      <c r="AZ277" s="31" t="s">
        <v>28</v>
      </c>
      <c r="BA277" s="34" t="s">
        <v>458</v>
      </c>
      <c r="BB277" s="499"/>
      <c r="BC277" s="271"/>
      <c r="BD277" s="279">
        <v>1</v>
      </c>
      <c r="BE277" s="271"/>
      <c r="BF277" s="271"/>
      <c r="BG277" s="271"/>
      <c r="BH277" s="271"/>
      <c r="BI277" s="271"/>
      <c r="BJ277" s="271"/>
      <c r="BK277" s="271"/>
      <c r="BL277" s="271"/>
    </row>
    <row r="278" spans="18:64" ht="21" customHeight="1" x14ac:dyDescent="0.25">
      <c r="R278" s="25" t="s">
        <v>6119</v>
      </c>
      <c r="S278" s="451"/>
      <c r="T278" s="31" t="s">
        <v>17</v>
      </c>
      <c r="V278" s="475">
        <v>6</v>
      </c>
      <c r="W278" s="475" t="str">
        <f>IF($AC$278="","",$W$252)</f>
        <v/>
      </c>
      <c r="X278" s="476" t="str">
        <f>IF($AC$278="","",$X$252)</f>
        <v/>
      </c>
      <c r="Y278" s="477" t="str">
        <f>IF($X$278="","",$Y$252)</f>
        <v/>
      </c>
      <c r="Z278" s="477" t="str">
        <f>IF($X$278="","",$Z$252)</f>
        <v/>
      </c>
      <c r="AA278" s="477" t="str">
        <f>IF($AC$278="","",ROW($A$278)-ROW($A$252))</f>
        <v/>
      </c>
      <c r="AB278" s="478"/>
      <c r="AC278" s="34"/>
      <c r="AD278" s="356"/>
      <c r="AE278" s="18"/>
      <c r="AF278" s="19"/>
      <c r="AG278" s="480" t="str">
        <f t="shared" si="64"/>
        <v/>
      </c>
      <c r="AH278" s="481" t="str">
        <f t="shared" si="65"/>
        <v/>
      </c>
      <c r="AI278" s="477" t="str">
        <f>IF($AC$278="","",IFERROR(INDEX($AZ$74:$AZ$119,MATCH($AH$278,$AY$74:$AY$119,0)),"AUTRE"))</f>
        <v/>
      </c>
      <c r="AJ278" s="482" t="str">
        <f>IF($AC$278="","",IFERROR(INDEX($BA$74:$BA$119,MATCH($AH$278,$AY$74:$AY$119,0)),1))</f>
        <v/>
      </c>
      <c r="AK278" s="482" t="str">
        <f t="shared" si="66"/>
        <v/>
      </c>
      <c r="AL278" s="477" t="str">
        <f>IF($AC$278="","",IFERROR(INDEX($BB$74:$BB$119,MATCH($AH$278,$AY$74:$AY$119,0)),$AH$278))</f>
        <v/>
      </c>
      <c r="AM278" s="483" t="str">
        <f t="shared" si="67"/>
        <v/>
      </c>
      <c r="AN278" s="484" t="str">
        <f t="shared" si="68"/>
        <v/>
      </c>
      <c r="AO278" s="473" t="str">
        <f t="shared" si="69"/>
        <v/>
      </c>
      <c r="AP278" s="473" t="str">
        <f t="shared" si="70"/>
        <v/>
      </c>
      <c r="AQ278" s="473" t="str">
        <f t="shared" si="71"/>
        <v/>
      </c>
      <c r="AR278" s="473" t="str">
        <f t="shared" si="72"/>
        <v/>
      </c>
      <c r="AS278" s="473" t="str">
        <f t="shared" si="73"/>
        <v/>
      </c>
      <c r="AT278" s="473" t="str">
        <f t="shared" si="74"/>
        <v/>
      </c>
      <c r="AU278" s="473" t="str">
        <f t="shared" si="75"/>
        <v/>
      </c>
      <c r="AZ278" s="31" t="s">
        <v>29</v>
      </c>
      <c r="BA278" s="490"/>
      <c r="BB278" s="499"/>
      <c r="BC278" s="271"/>
      <c r="BD278" s="279">
        <v>1</v>
      </c>
      <c r="BE278" s="271"/>
      <c r="BF278" s="271"/>
      <c r="BG278" s="271"/>
      <c r="BH278" s="271"/>
      <c r="BI278" s="271"/>
      <c r="BJ278" s="271"/>
      <c r="BK278" s="271"/>
      <c r="BL278" s="271"/>
    </row>
    <row r="279" spans="18:64" ht="21" customHeight="1" x14ac:dyDescent="0.25">
      <c r="R279" s="34" t="s">
        <v>6120</v>
      </c>
      <c r="S279" s="451"/>
      <c r="T279" s="31" t="s">
        <v>18</v>
      </c>
      <c r="V279" s="475">
        <v>6</v>
      </c>
      <c r="W279" s="475" t="str">
        <f>IF($AC$279="","",$W$252)</f>
        <v/>
      </c>
      <c r="X279" s="476" t="str">
        <f>IF($AC$279="","",$X$252)</f>
        <v/>
      </c>
      <c r="Y279" s="477" t="str">
        <f>IF($X$279="","",$Y$252)</f>
        <v/>
      </c>
      <c r="Z279" s="477" t="str">
        <f>IF($X$279="","",$Z$252)</f>
        <v/>
      </c>
      <c r="AA279" s="477" t="str">
        <f>IF($AC$279="","",ROW($A$279)-ROW($A$252))</f>
        <v/>
      </c>
      <c r="AB279" s="478"/>
      <c r="AC279" s="34"/>
      <c r="AD279" s="356"/>
      <c r="AE279" s="18"/>
      <c r="AF279" s="19"/>
      <c r="AG279" s="480" t="str">
        <f t="shared" si="64"/>
        <v/>
      </c>
      <c r="AH279" s="481" t="str">
        <f t="shared" si="65"/>
        <v/>
      </c>
      <c r="AI279" s="477" t="str">
        <f>IF($AC$279="","",IFERROR(INDEX($AZ$74:$AZ$119,MATCH($AH$279,$AY$74:$AY$119,0)),"AUTRE"))</f>
        <v/>
      </c>
      <c r="AJ279" s="482" t="str">
        <f>IF($AC$279="","",IFERROR(INDEX($BA$74:$BA$119,MATCH($AH$279,$AY$74:$AY$119,0)),1))</f>
        <v/>
      </c>
      <c r="AK279" s="482" t="str">
        <f t="shared" si="66"/>
        <v/>
      </c>
      <c r="AL279" s="477" t="str">
        <f>IF($AC$279="","",IFERROR(INDEX($BB$74:$BB$119,MATCH($AH$279,$AY$74:$AY$119,0)),$AH$279))</f>
        <v/>
      </c>
      <c r="AM279" s="483" t="str">
        <f t="shared" si="67"/>
        <v/>
      </c>
      <c r="AN279" s="484" t="str">
        <f t="shared" si="68"/>
        <v/>
      </c>
      <c r="AO279" s="473" t="str">
        <f t="shared" si="69"/>
        <v/>
      </c>
      <c r="AP279" s="473" t="str">
        <f t="shared" si="70"/>
        <v/>
      </c>
      <c r="AQ279" s="473" t="str">
        <f t="shared" si="71"/>
        <v/>
      </c>
      <c r="AR279" s="473" t="str">
        <f t="shared" si="72"/>
        <v/>
      </c>
      <c r="AS279" s="473" t="str">
        <f t="shared" si="73"/>
        <v/>
      </c>
      <c r="AT279" s="473" t="str">
        <f t="shared" si="74"/>
        <v/>
      </c>
      <c r="AU279" s="473" t="str">
        <f t="shared" si="75"/>
        <v/>
      </c>
      <c r="AZ279" s="31" t="s">
        <v>30</v>
      </c>
      <c r="BA279" s="25" t="s">
        <v>6119</v>
      </c>
      <c r="BB279" s="499"/>
      <c r="BC279" s="271"/>
      <c r="BD279" s="279">
        <v>1</v>
      </c>
      <c r="BE279" s="271"/>
      <c r="BF279" s="271"/>
      <c r="BG279" s="271"/>
      <c r="BH279" s="271"/>
      <c r="BI279" s="271"/>
      <c r="BJ279" s="271"/>
      <c r="BK279" s="271"/>
      <c r="BL279" s="271"/>
    </row>
    <row r="280" spans="18:64" ht="21" customHeight="1" x14ac:dyDescent="0.25">
      <c r="R280" s="34" t="s">
        <v>6121</v>
      </c>
      <c r="S280" s="451"/>
      <c r="T280" s="31" t="s">
        <v>19</v>
      </c>
      <c r="V280" s="475">
        <v>6</v>
      </c>
      <c r="W280" s="475" t="str">
        <f>IF($AC$280="","",$W$252)</f>
        <v/>
      </c>
      <c r="X280" s="476" t="str">
        <f>IF($AC$280="","",$X$252)</f>
        <v/>
      </c>
      <c r="Y280" s="477" t="str">
        <f>IF($X$280="","",$Y$252)</f>
        <v/>
      </c>
      <c r="Z280" s="477" t="str">
        <f>IF($X$280="","",$Z$252)</f>
        <v/>
      </c>
      <c r="AA280" s="477" t="str">
        <f>IF($AC$280="","",ROW($A$280)-ROW($A$252))</f>
        <v/>
      </c>
      <c r="AB280" s="478"/>
      <c r="AC280" s="34"/>
      <c r="AD280" s="356"/>
      <c r="AE280" s="18"/>
      <c r="AF280" s="19"/>
      <c r="AG280" s="480" t="str">
        <f t="shared" si="64"/>
        <v/>
      </c>
      <c r="AH280" s="481" t="str">
        <f t="shared" si="65"/>
        <v/>
      </c>
      <c r="AI280" s="477" t="str">
        <f>IF($AC$280="","",IFERROR(INDEX($AZ$74:$AZ$119,MATCH($AH$280,$AY$74:$AY$119,0)),"AUTRE"))</f>
        <v/>
      </c>
      <c r="AJ280" s="482" t="str">
        <f>IF($AC$280="","",IFERROR(INDEX($BA$74:$BA$119,MATCH($AH$280,$AY$74:$AY$119,0)),1))</f>
        <v/>
      </c>
      <c r="AK280" s="482" t="str">
        <f t="shared" si="66"/>
        <v/>
      </c>
      <c r="AL280" s="477" t="str">
        <f>IF($AC$280="","",IFERROR(INDEX($BB$74:$BB$119,MATCH($AH$280,$AY$74:$AY$119,0)),$AH$280))</f>
        <v/>
      </c>
      <c r="AM280" s="483" t="str">
        <f t="shared" si="67"/>
        <v/>
      </c>
      <c r="AN280" s="484" t="str">
        <f t="shared" si="68"/>
        <v/>
      </c>
      <c r="AO280" s="473" t="str">
        <f t="shared" si="69"/>
        <v/>
      </c>
      <c r="AP280" s="473" t="str">
        <f t="shared" si="70"/>
        <v/>
      </c>
      <c r="AQ280" s="473" t="str">
        <f t="shared" si="71"/>
        <v/>
      </c>
      <c r="AR280" s="473" t="str">
        <f t="shared" si="72"/>
        <v/>
      </c>
      <c r="AS280" s="473" t="str">
        <f t="shared" si="73"/>
        <v/>
      </c>
      <c r="AT280" s="473" t="str">
        <f t="shared" si="74"/>
        <v/>
      </c>
      <c r="AU280" s="473" t="str">
        <f t="shared" si="75"/>
        <v/>
      </c>
      <c r="AY280" s="271"/>
      <c r="AZ280" s="32" t="s">
        <v>33</v>
      </c>
      <c r="BA280" s="34" t="s">
        <v>6120</v>
      </c>
      <c r="BB280" s="499"/>
      <c r="BC280" s="271"/>
      <c r="BD280" s="279">
        <v>1</v>
      </c>
      <c r="BE280" s="271"/>
      <c r="BF280" s="271"/>
      <c r="BG280" s="271"/>
      <c r="BH280" s="271"/>
      <c r="BI280" s="271"/>
      <c r="BJ280" s="271"/>
      <c r="BK280" s="271"/>
      <c r="BL280" s="271"/>
    </row>
    <row r="281" spans="18:64" ht="21" customHeight="1" x14ac:dyDescent="0.25">
      <c r="R281" s="34" t="s">
        <v>6122</v>
      </c>
      <c r="S281" s="451"/>
      <c r="T281" s="31" t="s">
        <v>211</v>
      </c>
      <c r="V281" s="475">
        <v>6</v>
      </c>
      <c r="W281" s="475" t="str">
        <f>IF($AC$281="","",$W$252)</f>
        <v/>
      </c>
      <c r="X281" s="476" t="str">
        <f>IF($AC$281="","",$X$252)</f>
        <v/>
      </c>
      <c r="Y281" s="477" t="str">
        <f>IF($X$281="","",$Y$252)</f>
        <v/>
      </c>
      <c r="Z281" s="477" t="str">
        <f>IF($X$281="","",$Z$252)</f>
        <v/>
      </c>
      <c r="AA281" s="477" t="str">
        <f>IF($AC$281="","",ROW($A$281)-ROW($A$252))</f>
        <v/>
      </c>
      <c r="AB281" s="478"/>
      <c r="AC281" s="34"/>
      <c r="AD281" s="356"/>
      <c r="AE281" s="18"/>
      <c r="AF281" s="19"/>
      <c r="AG281" s="480" t="str">
        <f t="shared" si="64"/>
        <v/>
      </c>
      <c r="AH281" s="481" t="str">
        <f t="shared" si="65"/>
        <v/>
      </c>
      <c r="AI281" s="477" t="str">
        <f>IF($AC$281="","",IFERROR(INDEX($AZ$74:$AZ$119,MATCH($AH$281,$AY$74:$AY$119,0)),"AUTRE"))</f>
        <v/>
      </c>
      <c r="AJ281" s="482" t="str">
        <f>IF($AC$281="","",IFERROR(INDEX($BA$74:$BA$119,MATCH($AH$281,$AY$74:$AY$119,0)),1))</f>
        <v/>
      </c>
      <c r="AK281" s="482" t="str">
        <f t="shared" si="66"/>
        <v/>
      </c>
      <c r="AL281" s="477" t="str">
        <f>IF($AC$281="","",IFERROR(INDEX($BB$74:$BB$119,MATCH($AH$281,$AY$74:$AY$119,0)),$AH$281))</f>
        <v/>
      </c>
      <c r="AM281" s="483" t="str">
        <f t="shared" si="67"/>
        <v/>
      </c>
      <c r="AN281" s="484" t="str">
        <f t="shared" si="68"/>
        <v/>
      </c>
      <c r="AO281" s="473" t="str">
        <f t="shared" si="69"/>
        <v/>
      </c>
      <c r="AP281" s="473" t="str">
        <f t="shared" si="70"/>
        <v/>
      </c>
      <c r="AQ281" s="473" t="str">
        <f t="shared" si="71"/>
        <v/>
      </c>
      <c r="AR281" s="473" t="str">
        <f t="shared" si="72"/>
        <v/>
      </c>
      <c r="AS281" s="473" t="str">
        <f t="shared" si="73"/>
        <v/>
      </c>
      <c r="AT281" s="473" t="str">
        <f t="shared" si="74"/>
        <v/>
      </c>
      <c r="AU281" s="473" t="str">
        <f t="shared" si="75"/>
        <v/>
      </c>
      <c r="AY281" s="497" t="s">
        <v>8145</v>
      </c>
      <c r="AZ281" s="32" t="s">
        <v>8125</v>
      </c>
      <c r="BA281" s="34" t="s">
        <v>6121</v>
      </c>
      <c r="BB281" s="499"/>
      <c r="BC281" s="271"/>
      <c r="BD281" s="279">
        <v>1</v>
      </c>
      <c r="BE281" s="271"/>
      <c r="BF281" s="271"/>
      <c r="BG281" s="271"/>
      <c r="BH281" s="271"/>
      <c r="BI281" s="271"/>
      <c r="BJ281" s="271"/>
      <c r="BK281" s="271"/>
      <c r="BL281" s="271"/>
    </row>
    <row r="282" spans="18:64" ht="21" customHeight="1" x14ac:dyDescent="0.25">
      <c r="R282" s="34" t="s">
        <v>6123</v>
      </c>
      <c r="S282" s="451"/>
      <c r="T282" s="31" t="s">
        <v>20</v>
      </c>
      <c r="V282" s="475">
        <v>6</v>
      </c>
      <c r="W282" s="475" t="str">
        <f>IF($AC$282="","",$W$252)</f>
        <v/>
      </c>
      <c r="X282" s="476" t="str">
        <f>IF($AC$282="","",$X$252)</f>
        <v/>
      </c>
      <c r="Y282" s="477" t="str">
        <f>IF($X$282="","",$Y$252)</f>
        <v/>
      </c>
      <c r="Z282" s="477" t="str">
        <f>IF($X$282="","",$Z$252)</f>
        <v/>
      </c>
      <c r="AA282" s="477" t="str">
        <f>IF($AC$282="","",ROW($A$282)-ROW($A$252))</f>
        <v/>
      </c>
      <c r="AB282" s="478"/>
      <c r="AC282" s="34"/>
      <c r="AD282" s="356"/>
      <c r="AE282" s="18"/>
      <c r="AF282" s="19"/>
      <c r="AG282" s="480" t="str">
        <f t="shared" si="64"/>
        <v/>
      </c>
      <c r="AH282" s="481" t="str">
        <f t="shared" si="65"/>
        <v/>
      </c>
      <c r="AI282" s="477" t="str">
        <f>IF($AC$282="","",IFERROR(INDEX($AZ$74:$AZ$119,MATCH($AH$282,$AY$74:$AY$119,0)),"AUTRE"))</f>
        <v/>
      </c>
      <c r="AJ282" s="482" t="str">
        <f>IF($AC$282="","",IFERROR(INDEX($BA$74:$BA$119,MATCH($AH$282,$AY$74:$AY$119,0)),1))</f>
        <v/>
      </c>
      <c r="AK282" s="482" t="str">
        <f t="shared" si="66"/>
        <v/>
      </c>
      <c r="AL282" s="477" t="str">
        <f>IF($AC$282="","",IFERROR(INDEX($BB$74:$BB$119,MATCH($AH$282,$AY$74:$AY$119,0)),$AH$282))</f>
        <v/>
      </c>
      <c r="AM282" s="483" t="str">
        <f t="shared" si="67"/>
        <v/>
      </c>
      <c r="AN282" s="484" t="str">
        <f t="shared" si="68"/>
        <v/>
      </c>
      <c r="AO282" s="473" t="str">
        <f t="shared" si="69"/>
        <v/>
      </c>
      <c r="AP282" s="473" t="str">
        <f t="shared" si="70"/>
        <v/>
      </c>
      <c r="AQ282" s="473" t="str">
        <f t="shared" si="71"/>
        <v/>
      </c>
      <c r="AR282" s="473" t="str">
        <f t="shared" si="72"/>
        <v/>
      </c>
      <c r="AS282" s="473" t="str">
        <f t="shared" si="73"/>
        <v/>
      </c>
      <c r="AT282" s="473" t="str">
        <f t="shared" si="74"/>
        <v/>
      </c>
      <c r="AU282" s="473" t="str">
        <f t="shared" si="75"/>
        <v/>
      </c>
      <c r="AY282" s="497" t="s">
        <v>462</v>
      </c>
      <c r="AZ282" s="32" t="s">
        <v>8127</v>
      </c>
      <c r="BA282" s="34" t="s">
        <v>6122</v>
      </c>
      <c r="BB282" s="499"/>
      <c r="BC282" s="271"/>
      <c r="BD282" s="279">
        <v>1</v>
      </c>
      <c r="BE282" s="271"/>
      <c r="BF282" s="271"/>
      <c r="BG282" s="271"/>
      <c r="BH282" s="271"/>
      <c r="BI282" s="271"/>
      <c r="BJ282" s="271"/>
      <c r="BK282" s="271"/>
      <c r="BL282" s="271"/>
    </row>
    <row r="283" spans="18:64" ht="21" customHeight="1" x14ac:dyDescent="0.25">
      <c r="R283" s="34" t="s">
        <v>6124</v>
      </c>
      <c r="S283" s="451"/>
      <c r="T283" s="31" t="s">
        <v>304</v>
      </c>
      <c r="V283" s="475">
        <v>6</v>
      </c>
      <c r="W283" s="475" t="str">
        <f>IF($AC$283="","",$W$252)</f>
        <v/>
      </c>
      <c r="X283" s="476" t="str">
        <f>IF($AC$283="","",$X$252)</f>
        <v/>
      </c>
      <c r="Y283" s="477" t="str">
        <f>IF($X$283="","",$Y$252)</f>
        <v/>
      </c>
      <c r="Z283" s="477" t="str">
        <f>IF($X$283="","",$Z$252)</f>
        <v/>
      </c>
      <c r="AA283" s="477" t="str">
        <f>IF($AC$283="","",ROW($A$283)-ROW($A$252))</f>
        <v/>
      </c>
      <c r="AB283" s="478"/>
      <c r="AC283" s="34"/>
      <c r="AD283" s="356"/>
      <c r="AE283" s="18"/>
      <c r="AF283" s="19"/>
      <c r="AG283" s="480" t="str">
        <f t="shared" si="64"/>
        <v/>
      </c>
      <c r="AH283" s="481" t="str">
        <f t="shared" si="65"/>
        <v/>
      </c>
      <c r="AI283" s="477" t="str">
        <f>IF($AC$283="","",IFERROR(INDEX($AZ$74:$AZ$119,MATCH($AH$283,$AY$74:$AY$119,0)),"AUTRE"))</f>
        <v/>
      </c>
      <c r="AJ283" s="482" t="str">
        <f>IF($AC$283="","",IFERROR(INDEX($BA$74:$BA$119,MATCH($AH$283,$AY$74:$AY$119,0)),1))</f>
        <v/>
      </c>
      <c r="AK283" s="482" t="str">
        <f t="shared" si="66"/>
        <v/>
      </c>
      <c r="AL283" s="477" t="str">
        <f>IF($AC$283="","",IFERROR(INDEX($BB$74:$BB$119,MATCH($AH$283,$AY$74:$AY$119,0)),$AH$283))</f>
        <v/>
      </c>
      <c r="AM283" s="483" t="str">
        <f t="shared" si="67"/>
        <v/>
      </c>
      <c r="AN283" s="484" t="str">
        <f t="shared" si="68"/>
        <v/>
      </c>
      <c r="AO283" s="473" t="str">
        <f t="shared" si="69"/>
        <v/>
      </c>
      <c r="AP283" s="473" t="str">
        <f t="shared" si="70"/>
        <v/>
      </c>
      <c r="AQ283" s="473" t="str">
        <f t="shared" si="71"/>
        <v/>
      </c>
      <c r="AR283" s="473" t="str">
        <f t="shared" si="72"/>
        <v/>
      </c>
      <c r="AS283" s="473" t="str">
        <f t="shared" si="73"/>
        <v/>
      </c>
      <c r="AT283" s="473" t="str">
        <f t="shared" si="74"/>
        <v/>
      </c>
      <c r="AU283" s="473" t="str">
        <f t="shared" si="75"/>
        <v/>
      </c>
      <c r="AY283" s="497" t="s">
        <v>463</v>
      </c>
      <c r="AZ283" s="32" t="s">
        <v>320</v>
      </c>
      <c r="BA283" s="34" t="s">
        <v>6123</v>
      </c>
      <c r="BB283" s="499"/>
      <c r="BC283" s="271"/>
      <c r="BD283" s="279">
        <v>1</v>
      </c>
      <c r="BE283" s="271"/>
      <c r="BF283" s="271"/>
      <c r="BG283" s="271"/>
      <c r="BH283" s="271"/>
      <c r="BI283" s="271"/>
      <c r="BJ283" s="271"/>
      <c r="BK283" s="271"/>
      <c r="BL283" s="271"/>
    </row>
    <row r="284" spans="18:64" ht="21" customHeight="1" x14ac:dyDescent="0.25">
      <c r="R284" s="34" t="s">
        <v>6125</v>
      </c>
      <c r="S284" s="451"/>
      <c r="T284" s="31" t="s">
        <v>352</v>
      </c>
      <c r="V284" s="475">
        <v>6</v>
      </c>
      <c r="W284" s="475" t="str">
        <f>IF($AC$284="","",$W$252)</f>
        <v>N° 30</v>
      </c>
      <c r="X284" s="476" t="str">
        <f>IF($AC$284="","",$X$252)</f>
        <v>QUICHE LORRAINE</v>
      </c>
      <c r="Y284" s="477">
        <f>IF($X$284="","",$Y$252)</f>
        <v>47</v>
      </c>
      <c r="Z284" s="477">
        <f>IF($X$284="","",$Z$252)</f>
        <v>100</v>
      </c>
      <c r="AA284" s="477">
        <f>IF($AC$284="","",ROW($A$284)-ROW($A$252))</f>
        <v>32</v>
      </c>
      <c r="AB284" s="478"/>
      <c r="AC284" s="34" t="s">
        <v>473</v>
      </c>
      <c r="AD284" s="356"/>
      <c r="AE284" s="18">
        <v>3</v>
      </c>
      <c r="AF284" s="33" t="s">
        <v>462</v>
      </c>
      <c r="AG284" s="480">
        <f t="shared" si="64"/>
        <v>3</v>
      </c>
      <c r="AH284" s="481" t="str">
        <f t="shared" si="65"/>
        <v>BAC(S)</v>
      </c>
      <c r="AI284" s="477" t="str">
        <f>IF($AC$284="","",IFERROR(INDEX($AZ$74:$AZ$119,MATCH($AH$284,$AY$74:$AY$119,0)),"AUTRE"))</f>
        <v>AUTRE</v>
      </c>
      <c r="AJ284" s="482">
        <f>IF($AC$284="","",IFERROR(INDEX($BA$74:$BA$119,MATCH($AH$284,$AY$74:$AY$119,0)),1))</f>
        <v>1</v>
      </c>
      <c r="AK284" s="482">
        <f t="shared" si="66"/>
        <v>3</v>
      </c>
      <c r="AL284" s="477" t="str">
        <f>IF($AC$284="","",IFERROR(INDEX($BB$74:$BB$119,MATCH($AH$284,$AY$74:$AY$119,0)),$AH$284))</f>
        <v>bac(s)</v>
      </c>
      <c r="AM284" s="483" t="str">
        <f t="shared" si="67"/>
        <v>OK</v>
      </c>
      <c r="AN284" s="484">
        <f t="shared" si="68"/>
        <v>3</v>
      </c>
      <c r="AO284" s="473" t="str">
        <f t="shared" si="69"/>
        <v/>
      </c>
      <c r="AP284" s="473" t="str">
        <f t="shared" si="70"/>
        <v/>
      </c>
      <c r="AQ284" s="473" t="str">
        <f t="shared" si="71"/>
        <v/>
      </c>
      <c r="AR284" s="473" t="str">
        <f t="shared" si="72"/>
        <v/>
      </c>
      <c r="AS284" s="473" t="str">
        <f t="shared" si="73"/>
        <v/>
      </c>
      <c r="AT284" s="473" t="str">
        <f t="shared" si="74"/>
        <v/>
      </c>
      <c r="AU284" s="473" t="str">
        <f t="shared" si="75"/>
        <v/>
      </c>
      <c r="AY284" s="497" t="s">
        <v>8147</v>
      </c>
      <c r="AZ284" s="32" t="s">
        <v>318</v>
      </c>
      <c r="BA284" s="34" t="s">
        <v>6124</v>
      </c>
      <c r="BB284" s="499"/>
      <c r="BC284" s="271"/>
      <c r="BD284" s="279">
        <v>1</v>
      </c>
      <c r="BE284" s="271"/>
      <c r="BF284" s="271"/>
      <c r="BG284" s="271"/>
      <c r="BH284" s="271"/>
      <c r="BI284" s="271"/>
      <c r="BJ284" s="271"/>
      <c r="BK284" s="271"/>
      <c r="BL284" s="271"/>
    </row>
    <row r="285" spans="18:64" ht="21" customHeight="1" x14ac:dyDescent="0.25">
      <c r="R285" s="34" t="s">
        <v>6126</v>
      </c>
      <c r="S285" s="451"/>
      <c r="T285" s="31" t="s">
        <v>25</v>
      </c>
      <c r="V285" s="475">
        <v>6</v>
      </c>
      <c r="W285" s="475" t="str">
        <f>IF($AC$285="","",$W$252)</f>
        <v>N° 30</v>
      </c>
      <c r="X285" s="476" t="str">
        <f>IF($AC$285="","",$X$252)</f>
        <v>QUICHE LORRAINE</v>
      </c>
      <c r="Y285" s="477">
        <f>IF($X$285="","",$Y$252)</f>
        <v>47</v>
      </c>
      <c r="Z285" s="477">
        <f>IF($X$285="","",$Z$252)</f>
        <v>100</v>
      </c>
      <c r="AA285" s="477">
        <f>IF($AC$285="","",ROW($A$285)-ROW($A$252))</f>
        <v>33</v>
      </c>
      <c r="AB285" s="478"/>
      <c r="AC285" s="34" t="s">
        <v>476</v>
      </c>
      <c r="AD285" s="356"/>
      <c r="AE285" s="18">
        <v>1</v>
      </c>
      <c r="AF285" s="33" t="s">
        <v>462</v>
      </c>
      <c r="AG285" s="480">
        <f t="shared" si="64"/>
        <v>1</v>
      </c>
      <c r="AH285" s="481" t="str">
        <f t="shared" si="65"/>
        <v>BAC(S)</v>
      </c>
      <c r="AI285" s="477" t="str">
        <f>IF($AC$285="","",IFERROR(INDEX($AZ$74:$AZ$119,MATCH($AH$285,$AY$74:$AY$119,0)),"AUTRE"))</f>
        <v>AUTRE</v>
      </c>
      <c r="AJ285" s="482">
        <f>IF($AC$285="","",IFERROR(INDEX($BA$74:$BA$119,MATCH($AH$285,$AY$74:$AY$119,0)),1))</f>
        <v>1</v>
      </c>
      <c r="AK285" s="482">
        <f t="shared" si="66"/>
        <v>1</v>
      </c>
      <c r="AL285" s="477" t="str">
        <f>IF($AC$285="","",IFERROR(INDEX($BB$74:$BB$119,MATCH($AH$285,$AY$74:$AY$119,0)),$AH$285))</f>
        <v>bac(s)</v>
      </c>
      <c r="AM285" s="483" t="str">
        <f t="shared" si="67"/>
        <v>OK</v>
      </c>
      <c r="AN285" s="484">
        <f t="shared" si="68"/>
        <v>1</v>
      </c>
      <c r="AO285" s="473" t="str">
        <f t="shared" si="69"/>
        <v/>
      </c>
      <c r="AP285" s="473" t="str">
        <f t="shared" si="70"/>
        <v/>
      </c>
      <c r="AQ285" s="473" t="str">
        <f t="shared" si="71"/>
        <v/>
      </c>
      <c r="AR285" s="473" t="str">
        <f t="shared" si="72"/>
        <v/>
      </c>
      <c r="AS285" s="473" t="str">
        <f t="shared" si="73"/>
        <v/>
      </c>
      <c r="AT285" s="473" t="str">
        <f t="shared" si="74"/>
        <v/>
      </c>
      <c r="AU285" s="473" t="str">
        <f t="shared" si="75"/>
        <v/>
      </c>
      <c r="AY285" s="497" t="s">
        <v>465</v>
      </c>
      <c r="AZ285" s="32" t="s">
        <v>316</v>
      </c>
      <c r="BA285" s="34" t="s">
        <v>6125</v>
      </c>
      <c r="BB285" s="499"/>
      <c r="BC285" s="271"/>
      <c r="BD285" s="279">
        <v>1</v>
      </c>
      <c r="BE285" s="271"/>
      <c r="BF285" s="271"/>
      <c r="BG285" s="271"/>
      <c r="BH285" s="271"/>
      <c r="BI285" s="271"/>
      <c r="BJ285" s="271"/>
      <c r="BK285" s="271"/>
      <c r="BL285" s="271"/>
    </row>
    <row r="286" spans="18:64" ht="21" customHeight="1" x14ac:dyDescent="0.25">
      <c r="R286" s="34" t="s">
        <v>6127</v>
      </c>
      <c r="S286" s="451"/>
      <c r="T286" s="31" t="s">
        <v>26</v>
      </c>
      <c r="V286" s="475">
        <v>6</v>
      </c>
      <c r="W286" s="475" t="str">
        <f>IF($AC$286="","",$W$252)</f>
        <v>N° 30</v>
      </c>
      <c r="X286" s="476" t="str">
        <f>IF($AC$286="","",$X$252)</f>
        <v>QUICHE LORRAINE</v>
      </c>
      <c r="Y286" s="477">
        <f>IF($X$286="","",$Y$252)</f>
        <v>47</v>
      </c>
      <c r="Z286" s="477">
        <f>IF($X$286="","",$Z$252)</f>
        <v>100</v>
      </c>
      <c r="AA286" s="477">
        <f>IF($AC$286="","",ROW($A$286)-ROW($A$252))</f>
        <v>34</v>
      </c>
      <c r="AB286" s="478"/>
      <c r="AC286" s="34" t="s">
        <v>474</v>
      </c>
      <c r="AD286" s="356"/>
      <c r="AE286" s="18">
        <v>1</v>
      </c>
      <c r="AF286" s="33" t="s">
        <v>462</v>
      </c>
      <c r="AG286" s="491">
        <f t="shared" si="64"/>
        <v>1</v>
      </c>
      <c r="AH286" s="481" t="str">
        <f t="shared" si="65"/>
        <v>BAC(S)</v>
      </c>
      <c r="AI286" s="477" t="str">
        <f>IF($AC$286="","",IFERROR(INDEX($AZ$74:$AZ$119,MATCH($AH$286,$AY$74:$AY$119,0)),"AUTRE"))</f>
        <v>AUTRE</v>
      </c>
      <c r="AJ286" s="482">
        <f>IF($AC$286="","",IFERROR(INDEX($BA$74:$BA$119,MATCH($AH$286,$AY$74:$AY$119,0)),1))</f>
        <v>1</v>
      </c>
      <c r="AK286" s="482">
        <f t="shared" si="66"/>
        <v>1</v>
      </c>
      <c r="AL286" s="477" t="str">
        <f>IF($AC$286="","",IFERROR(INDEX($BB$74:$BB$119,MATCH($AH$286,$AY$74:$AY$119,0)),$AH$286))</f>
        <v>bac(s)</v>
      </c>
      <c r="AM286" s="483" t="str">
        <f t="shared" si="67"/>
        <v>OK</v>
      </c>
      <c r="AN286" s="484">
        <f t="shared" si="68"/>
        <v>1</v>
      </c>
      <c r="AO286" s="473" t="str">
        <f t="shared" si="69"/>
        <v/>
      </c>
      <c r="AP286" s="473" t="str">
        <f t="shared" si="70"/>
        <v/>
      </c>
      <c r="AQ286" s="473" t="str">
        <f t="shared" si="71"/>
        <v/>
      </c>
      <c r="AR286" s="473" t="str">
        <f t="shared" si="72"/>
        <v/>
      </c>
      <c r="AS286" s="473" t="str">
        <f t="shared" si="73"/>
        <v/>
      </c>
      <c r="AT286" s="473" t="str">
        <f t="shared" si="74"/>
        <v/>
      </c>
      <c r="AU286" s="473" t="str">
        <f t="shared" si="75"/>
        <v/>
      </c>
      <c r="AY286" s="497" t="s">
        <v>466</v>
      </c>
      <c r="AZ286" s="32" t="s">
        <v>313</v>
      </c>
      <c r="BA286" s="34" t="s">
        <v>6126</v>
      </c>
      <c r="BB286" s="499"/>
      <c r="BC286" s="271"/>
      <c r="BD286" s="279">
        <v>1</v>
      </c>
      <c r="BE286" s="271"/>
      <c r="BF286" s="271"/>
      <c r="BG286" s="271"/>
      <c r="BH286" s="271"/>
      <c r="BI286" s="271"/>
      <c r="BJ286" s="271"/>
      <c r="BK286" s="271"/>
      <c r="BL286" s="271"/>
    </row>
    <row r="287" spans="18:64" ht="30" customHeight="1" x14ac:dyDescent="0.25">
      <c r="R287" s="25" t="s">
        <v>6128</v>
      </c>
      <c r="S287" s="451"/>
      <c r="T287" s="31" t="s">
        <v>27</v>
      </c>
      <c r="V287" s="453" t="s">
        <v>324</v>
      </c>
      <c r="W287" s="453" t="s">
        <v>7912</v>
      </c>
      <c r="X287" s="453" t="s">
        <v>326</v>
      </c>
      <c r="Y287" s="453" t="s">
        <v>327</v>
      </c>
      <c r="Z287" s="454" t="s">
        <v>7930</v>
      </c>
      <c r="AA287" s="453" t="s">
        <v>7937</v>
      </c>
      <c r="AB287" s="455" t="s">
        <v>39</v>
      </c>
      <c r="AC287" s="455" t="s">
        <v>338</v>
      </c>
      <c r="AD287" s="455" t="s">
        <v>8114</v>
      </c>
      <c r="AE287" s="455" t="s">
        <v>339</v>
      </c>
      <c r="AF287" s="455" t="s">
        <v>7997</v>
      </c>
      <c r="AG287" s="453" t="s">
        <v>8018</v>
      </c>
      <c r="AH287" s="453" t="s">
        <v>8023</v>
      </c>
      <c r="AI287" s="453" t="s">
        <v>330</v>
      </c>
      <c r="AJ287" s="453" t="s">
        <v>8031</v>
      </c>
      <c r="AK287" s="453" t="s">
        <v>8037</v>
      </c>
      <c r="AL287" s="453" t="s">
        <v>8041</v>
      </c>
      <c r="AM287" s="453" t="s">
        <v>343</v>
      </c>
      <c r="AN287" s="457" t="s">
        <v>8115</v>
      </c>
      <c r="AO287" s="457" t="s">
        <v>8116</v>
      </c>
      <c r="AP287" s="656" t="s">
        <v>8117</v>
      </c>
      <c r="AQ287" s="656"/>
      <c r="AR287" s="656"/>
      <c r="AS287" s="656"/>
      <c r="AT287" s="656"/>
      <c r="AU287" s="657"/>
      <c r="AZ287" s="32" t="s">
        <v>307</v>
      </c>
      <c r="BA287" s="34" t="s">
        <v>6127</v>
      </c>
      <c r="BB287" s="499"/>
      <c r="BC287" s="271"/>
      <c r="BD287" s="279">
        <v>1</v>
      </c>
      <c r="BE287" s="271"/>
      <c r="BF287" s="271"/>
      <c r="BG287" s="271"/>
      <c r="BH287" s="271"/>
      <c r="BI287" s="271"/>
      <c r="BJ287" s="271"/>
      <c r="BK287" s="271"/>
      <c r="BL287" s="271"/>
    </row>
    <row r="288" spans="18:64" ht="30" customHeight="1" x14ac:dyDescent="0.25">
      <c r="R288" s="34" t="s">
        <v>474</v>
      </c>
      <c r="S288" s="451"/>
      <c r="T288" s="31" t="s">
        <v>28</v>
      </c>
      <c r="V288" s="459">
        <v>7</v>
      </c>
      <c r="W288" s="460" t="s">
        <v>213</v>
      </c>
      <c r="X288" s="461" t="s">
        <v>212</v>
      </c>
      <c r="Y288" s="462">
        <v>48</v>
      </c>
      <c r="Z288" s="463">
        <v>100</v>
      </c>
      <c r="AA288" s="464">
        <f>IF($AC$396="","",ROW($A$396)-ROW($A$396))</f>
        <v>0</v>
      </c>
      <c r="AB288" s="461"/>
      <c r="AC288" s="465" t="s">
        <v>439</v>
      </c>
      <c r="AD288" s="390"/>
      <c r="AE288" s="13">
        <v>24</v>
      </c>
      <c r="AF288" s="11" t="s">
        <v>7</v>
      </c>
      <c r="AG288" s="467">
        <f t="shared" ref="AG288:AG322" si="76">IF($AC288="","",IF(LEN($AN288&amp;"")=0,"",$AN288))</f>
        <v>24</v>
      </c>
      <c r="AH288" s="468" t="str">
        <f t="shared" ref="AH288:AH322" si="77">IF($AC288="","",IF($AF288&lt;&gt;"",UPPER(TRIM(SUBSTITUTE(SUBSTITUTE($AF288&amp;"",CHAR(160)," ")," "," "))),$AP288))</f>
        <v>KG</v>
      </c>
      <c r="AI288" s="469" t="str">
        <f>IF($AC$288="","",IFERROR(INDEX($AZ$74:$AZ$119,MATCH($AH$288,$AY$74:$AY$119,0)),"AUTRE"))</f>
        <v>MASSE</v>
      </c>
      <c r="AJ288" s="470">
        <f>IF($AC$288="","",IFERROR(INDEX($BA$74:$BA$119,MATCH($AH$288,$AY$74:$AY$119,0)),1))</f>
        <v>1</v>
      </c>
      <c r="AK288" s="470">
        <f t="shared" si="66"/>
        <v>24</v>
      </c>
      <c r="AL288" s="469" t="str">
        <f>IF($AC$288="","",IFERROR(INDEX($BB$74:$BB$119,MATCH($AH$288,$AY$74:$AY$119,0)),$AH$288))</f>
        <v>kg</v>
      </c>
      <c r="AM288" s="471" t="str">
        <f t="shared" ref="AM288:AM322" si="78">IF($AC288="","",IF($AH288="QT. SUFFISANTE","OK",IF($AG288="","TEXTE",IF(NOT(ISNUMBER($AG288)),"QUANTITÉ À CONTRÔLER",IF(COUNTIF($AY$74:$AY$119,$AH288)=0,"UNITÉ À CONTRÔLER","OK")))))</f>
        <v>OK</v>
      </c>
      <c r="AN288" s="474">
        <f t="shared" ref="AN288:AN322" si="79">IF($AE288&lt;&gt;"",$AE288,IF($AD288="","",IF(ISNUMBER($AD288),$AD288,IF($AO288="QT",0,IF($AO288="","",IFERROR(IF(ISNUMBER(SEARCH("/",$AO288)),VALUE(TRIM(LEFT($AO288,SEARCH("/",$AO288)-1)))/VALUE(TRIM(MID($AO288,SEARCH("/",$AO288)+1,99))),VALUE(SUBSTITUTE($AO288,".",","))),""))))))</f>
        <v>24</v>
      </c>
      <c r="AO288" s="473" t="str">
        <f t="shared" ref="AO288:AO322" si="80">IF($AD288="","",IF(ISNUMBER($AD288),$AD288,IF(OR(LEFT($AQ288,3)="QT.",LEFT($AQ288,4)="QUAN"),"QT",IF($AR288=999,$AQ288,TRIM(LEFT($AQ288,$AR288-1))))))</f>
        <v/>
      </c>
      <c r="AP288" s="473" t="str">
        <f t="shared" ref="AP288:AP322" si="81">IF($AD288="","",IF(ISNUMBER($AD288),"",IF(OR(LEFT($AQ288,3)="QT.",LEFT($AQ288,4)="QUAN"),"QT. SUFFISANTE",IF($AO288="","",TRIM(MID($AQ288,LEN($AO288&amp;"")+1,999))))))</f>
        <v/>
      </c>
      <c r="AQ288" s="473" t="str">
        <f t="shared" ref="AQ288:AQ322" si="82">IF($AD288="","",UPPER(TRIM(SUBSTITUTE(SUBSTITUTE($AD288&amp;"",CHAR(160)," ")," "," "))))</f>
        <v/>
      </c>
      <c r="AR288" s="473" t="str">
        <f t="shared" ref="AR288:AR322" si="83">IF($AQ288="","",MIN($AS288,$AT288,$AU288))</f>
        <v/>
      </c>
      <c r="AS288" s="473" t="str">
        <f t="shared" ref="AS288:AS322" si="84">IF($AQ288="","",MIN(IFERROR(SEARCH("A",$AQ288),999),IFERROR(SEARCH("B",$AQ288),999),IFERROR(SEARCH("C",$AQ288),999),IFERROR(SEARCH("D",$AQ288),999),IFERROR(SEARCH("E",$AQ288),999),IFERROR(SEARCH("F",$AQ288),999),IFERROR(SEARCH("G",$AQ288),999),IFERROR(SEARCH("H",$AQ288),999),IFERROR(SEARCH("I",$AQ288),999)))</f>
        <v/>
      </c>
      <c r="AT288" s="473" t="str">
        <f t="shared" ref="AT288:AT322" si="85">IF($AQ288="","",MIN(IFERROR(SEARCH("J",$AQ288),999),IFERROR(SEARCH("K",$AQ288),999),IFERROR(SEARCH("L",$AQ288),999),IFERROR(SEARCH("M",$AQ288),999),IFERROR(SEARCH("N",$AQ288),999),IFERROR(SEARCH("O",$AQ288),999),IFERROR(SEARCH("P",$AQ288),999),IFERROR(SEARCH("Q",$AQ288),999),IFERROR(SEARCH("R",$AQ288),999)))</f>
        <v/>
      </c>
      <c r="AU288" s="473" t="str">
        <f t="shared" ref="AU288:AU322" si="86">IF($AQ288="","",MIN(IFERROR(SEARCH("S",$AQ288),999),IFERROR(SEARCH("T",$AQ288),999),IFERROR(SEARCH("U",$AQ288),999),IFERROR(SEARCH("V",$AQ288),999),IFERROR(SEARCH("W",$AQ288),999),IFERROR(SEARCH("X",$AQ288),999),IFERROR(SEARCH("Y",$AQ288),999),IFERROR(SEARCH("Z",$AQ288),999)))</f>
        <v/>
      </c>
      <c r="AZ288" s="32" t="s">
        <v>322</v>
      </c>
      <c r="BA288" s="25" t="s">
        <v>6128</v>
      </c>
      <c r="BB288" s="499"/>
      <c r="BC288" s="271"/>
      <c r="BD288" s="279">
        <v>1</v>
      </c>
      <c r="BE288" s="271"/>
      <c r="BF288" s="271"/>
      <c r="BG288" s="271"/>
      <c r="BH288" s="271"/>
      <c r="BI288" s="271"/>
      <c r="BJ288" s="271"/>
      <c r="BK288" s="271"/>
      <c r="BL288" s="271"/>
    </row>
    <row r="289" spans="18:64" ht="21" customHeight="1" x14ac:dyDescent="0.25">
      <c r="R289" s="34" t="s">
        <v>490</v>
      </c>
      <c r="S289" s="451"/>
      <c r="T289" s="31" t="s">
        <v>29</v>
      </c>
      <c r="V289" s="475">
        <f>$V$288</f>
        <v>7</v>
      </c>
      <c r="W289" s="475" t="str">
        <f>IF($AC$289="","",$W$288)</f>
        <v>N° 31</v>
      </c>
      <c r="X289" s="476" t="str">
        <f>IF($AC$289="","",$X$288)</f>
        <v>PIZZA AUX TROIS FROMAGES</v>
      </c>
      <c r="Y289" s="477">
        <f>IF($X$289="","",$Y$288)</f>
        <v>48</v>
      </c>
      <c r="Z289" s="477">
        <f>IF($X$289="","",$Z$288)</f>
        <v>100</v>
      </c>
      <c r="AA289" s="477">
        <f>IF($AC$289="","",ROW($A$289)-ROW($A$288))</f>
        <v>1</v>
      </c>
      <c r="AB289" s="478"/>
      <c r="AC289" s="34" t="s">
        <v>440</v>
      </c>
      <c r="AD289" s="356"/>
      <c r="AE289" s="18">
        <v>2</v>
      </c>
      <c r="AF289" s="23" t="s">
        <v>316</v>
      </c>
      <c r="AG289" s="480">
        <f t="shared" si="76"/>
        <v>2</v>
      </c>
      <c r="AH289" s="481" t="str">
        <f t="shared" si="77"/>
        <v>BTE(S) 5/1</v>
      </c>
      <c r="AI289" s="477" t="str">
        <f>IF($AC$289="","",IFERROR(INDEX($AZ$74:$AZ$119,MATCH($AH$289,$AY$74:$AY$119,0)),"AUTRE"))</f>
        <v>AUTRE</v>
      </c>
      <c r="AJ289" s="482">
        <f>IF($AC$289="","",IFERROR(INDEX($BA$74:$BA$119,MATCH($AH$289,$AY$74:$AY$119,0)),1))</f>
        <v>1</v>
      </c>
      <c r="AK289" s="482">
        <f t="shared" si="66"/>
        <v>2</v>
      </c>
      <c r="AL289" s="477" t="str">
        <f>IF($AC$289="","",IFERROR(INDEX($BB$74:$BB$119,MATCH($AH$289,$AY$74:$AY$119,0)),$AH$289))</f>
        <v>bte(s) 5/1</v>
      </c>
      <c r="AM289" s="483" t="str">
        <f t="shared" si="78"/>
        <v>OK</v>
      </c>
      <c r="AN289" s="484">
        <f t="shared" si="79"/>
        <v>2</v>
      </c>
      <c r="AO289" s="473" t="str">
        <f t="shared" si="80"/>
        <v/>
      </c>
      <c r="AP289" s="473" t="str">
        <f t="shared" si="81"/>
        <v/>
      </c>
      <c r="AQ289" s="473" t="str">
        <f t="shared" si="82"/>
        <v/>
      </c>
      <c r="AR289" s="473" t="str">
        <f t="shared" si="83"/>
        <v/>
      </c>
      <c r="AS289" s="473" t="str">
        <f t="shared" si="84"/>
        <v/>
      </c>
      <c r="AT289" s="473" t="str">
        <f t="shared" si="85"/>
        <v/>
      </c>
      <c r="AU289" s="473" t="str">
        <f t="shared" si="86"/>
        <v/>
      </c>
      <c r="AZ289" s="32" t="s">
        <v>305</v>
      </c>
      <c r="BA289" s="34" t="s">
        <v>474</v>
      </c>
      <c r="BB289" s="499"/>
      <c r="BC289" s="271"/>
      <c r="BD289" s="279">
        <v>1</v>
      </c>
      <c r="BE289" s="271"/>
      <c r="BF289" s="271"/>
      <c r="BG289" s="271"/>
      <c r="BH289" s="271"/>
      <c r="BI289" s="271"/>
      <c r="BJ289" s="271"/>
      <c r="BK289" s="271"/>
      <c r="BL289" s="271"/>
    </row>
    <row r="290" spans="18:64" ht="21" customHeight="1" x14ac:dyDescent="0.25">
      <c r="R290" s="34" t="s">
        <v>6129</v>
      </c>
      <c r="S290" s="451"/>
      <c r="T290" s="31" t="s">
        <v>30</v>
      </c>
      <c r="V290" s="475">
        <v>7</v>
      </c>
      <c r="W290" s="475" t="str">
        <f>IF($AC$290="","",$W$288)</f>
        <v>N° 31</v>
      </c>
      <c r="X290" s="476" t="str">
        <f>IF($AC$290="","",$X$288)</f>
        <v>PIZZA AUX TROIS FROMAGES</v>
      </c>
      <c r="Y290" s="477">
        <f>IF($X$290="","",$Y$288)</f>
        <v>48</v>
      </c>
      <c r="Z290" s="477">
        <f>IF($X$290="","",$Z$288)</f>
        <v>100</v>
      </c>
      <c r="AA290" s="477">
        <f>IF($AC$290="","",ROW($A$290)-ROW($A$288))</f>
        <v>2</v>
      </c>
      <c r="AB290" s="478"/>
      <c r="AC290" s="34" t="s">
        <v>214</v>
      </c>
      <c r="AD290" s="356"/>
      <c r="AE290" s="18">
        <v>1</v>
      </c>
      <c r="AF290" s="23" t="s">
        <v>318</v>
      </c>
      <c r="AG290" s="480">
        <f t="shared" si="76"/>
        <v>1</v>
      </c>
      <c r="AH290" s="481" t="str">
        <f t="shared" si="77"/>
        <v>BTE(S) 3/1</v>
      </c>
      <c r="AI290" s="477" t="str">
        <f>IF($AC$290="","",IFERROR(INDEX($AZ$74:$AZ$119,MATCH($AH$290,$AY$74:$AY$119,0)),"AUTRE"))</f>
        <v>AUTRE</v>
      </c>
      <c r="AJ290" s="482">
        <f>IF($AC$290="","",IFERROR(INDEX($BA$74:$BA$119,MATCH($AH$290,$AY$74:$AY$119,0)),1))</f>
        <v>1</v>
      </c>
      <c r="AK290" s="482">
        <f t="shared" si="66"/>
        <v>1</v>
      </c>
      <c r="AL290" s="477" t="str">
        <f>IF($AC$290="","",IFERROR(INDEX($BB$74:$BB$119,MATCH($AH$290,$AY$74:$AY$119,0)),$AH$290))</f>
        <v>bte(s) 3/1</v>
      </c>
      <c r="AM290" s="483" t="str">
        <f t="shared" si="78"/>
        <v>OK</v>
      </c>
      <c r="AN290" s="484">
        <f t="shared" si="79"/>
        <v>1</v>
      </c>
      <c r="AO290" s="473" t="str">
        <f t="shared" si="80"/>
        <v/>
      </c>
      <c r="AP290" s="473" t="str">
        <f t="shared" si="81"/>
        <v/>
      </c>
      <c r="AQ290" s="473" t="str">
        <f t="shared" si="82"/>
        <v/>
      </c>
      <c r="AR290" s="473" t="str">
        <f t="shared" si="83"/>
        <v/>
      </c>
      <c r="AS290" s="473" t="str">
        <f t="shared" si="84"/>
        <v/>
      </c>
      <c r="AT290" s="473" t="str">
        <f t="shared" si="85"/>
        <v/>
      </c>
      <c r="AU290" s="473" t="str">
        <f t="shared" si="86"/>
        <v/>
      </c>
      <c r="AZ290" s="32" t="s">
        <v>8129</v>
      </c>
      <c r="BA290" s="34" t="s">
        <v>490</v>
      </c>
      <c r="BB290" s="499"/>
      <c r="BC290" s="271"/>
      <c r="BD290" s="279">
        <v>1</v>
      </c>
      <c r="BE290" s="271"/>
      <c r="BF290" s="271"/>
      <c r="BG290" s="271"/>
      <c r="BH290" s="271"/>
      <c r="BI290" s="271"/>
      <c r="BJ290" s="271"/>
      <c r="BK290" s="271"/>
      <c r="BL290" s="271"/>
    </row>
    <row r="291" spans="18:64" ht="21" customHeight="1" x14ac:dyDescent="0.25">
      <c r="R291" s="34" t="s">
        <v>478</v>
      </c>
      <c r="S291" s="451"/>
      <c r="T291" s="31" t="s">
        <v>31</v>
      </c>
      <c r="V291" s="475">
        <v>7</v>
      </c>
      <c r="W291" s="475" t="str">
        <f>IF($AC$291="","",$W$288)</f>
        <v>N° 31</v>
      </c>
      <c r="X291" s="476" t="str">
        <f>IF($AC$291="","",$X$288)</f>
        <v>PIZZA AUX TROIS FROMAGES</v>
      </c>
      <c r="Y291" s="477">
        <f>IF($X$291="","",$Y$288)</f>
        <v>48</v>
      </c>
      <c r="Z291" s="477">
        <f>IF($X$291="","",$Z$288)</f>
        <v>100</v>
      </c>
      <c r="AA291" s="477">
        <f>IF($AC$291="","",ROW($A$291)-ROW($A$288))</f>
        <v>3</v>
      </c>
      <c r="AB291" s="478"/>
      <c r="AC291" s="34" t="s">
        <v>441</v>
      </c>
      <c r="AD291" s="356"/>
      <c r="AE291" s="18">
        <v>3</v>
      </c>
      <c r="AF291" s="11" t="s">
        <v>7</v>
      </c>
      <c r="AG291" s="480">
        <f t="shared" si="76"/>
        <v>3</v>
      </c>
      <c r="AH291" s="481" t="str">
        <f t="shared" si="77"/>
        <v>KG</v>
      </c>
      <c r="AI291" s="477" t="str">
        <f>IF($AC$291="","",IFERROR(INDEX($AZ$74:$AZ$119,MATCH($AH$291,$AY$74:$AY$119,0)),"AUTRE"))</f>
        <v>MASSE</v>
      </c>
      <c r="AJ291" s="482">
        <f>IF($AC$291="","",IFERROR(INDEX($BA$74:$BA$119,MATCH($AH$291,$AY$74:$AY$119,0)),1))</f>
        <v>1</v>
      </c>
      <c r="AK291" s="482">
        <f t="shared" si="66"/>
        <v>3</v>
      </c>
      <c r="AL291" s="477" t="str">
        <f>IF($AC$291="","",IFERROR(INDEX($BB$74:$BB$119,MATCH($AH$291,$AY$74:$AY$119,0)),$AH$291))</f>
        <v>kg</v>
      </c>
      <c r="AM291" s="483" t="str">
        <f t="shared" si="78"/>
        <v>OK</v>
      </c>
      <c r="AN291" s="484">
        <f t="shared" si="79"/>
        <v>3</v>
      </c>
      <c r="AO291" s="473" t="str">
        <f t="shared" si="80"/>
        <v/>
      </c>
      <c r="AP291" s="473" t="str">
        <f t="shared" si="81"/>
        <v/>
      </c>
      <c r="AQ291" s="473" t="str">
        <f t="shared" si="82"/>
        <v/>
      </c>
      <c r="AR291" s="473" t="str">
        <f t="shared" si="83"/>
        <v/>
      </c>
      <c r="AS291" s="473" t="str">
        <f t="shared" si="84"/>
        <v/>
      </c>
      <c r="AT291" s="473" t="str">
        <f t="shared" si="85"/>
        <v/>
      </c>
      <c r="AU291" s="473" t="str">
        <f t="shared" si="86"/>
        <v/>
      </c>
      <c r="AZ291" s="32" t="s">
        <v>8131</v>
      </c>
      <c r="BA291" s="34" t="s">
        <v>6129</v>
      </c>
      <c r="BB291" s="499"/>
      <c r="BC291" s="271"/>
      <c r="BD291" s="279">
        <v>1</v>
      </c>
      <c r="BE291" s="271"/>
      <c r="BF291" s="271"/>
      <c r="BG291" s="271"/>
      <c r="BH291" s="271"/>
      <c r="BI291" s="271"/>
      <c r="BJ291" s="271"/>
      <c r="BK291" s="271"/>
      <c r="BL291" s="271"/>
    </row>
    <row r="292" spans="18:64" ht="21" customHeight="1" x14ac:dyDescent="0.25">
      <c r="R292" s="34" t="s">
        <v>6130</v>
      </c>
      <c r="S292" s="451"/>
      <c r="T292" s="32" t="s">
        <v>33</v>
      </c>
      <c r="V292" s="475">
        <v>7</v>
      </c>
      <c r="W292" s="475" t="str">
        <f>IF($AC$292="","",$W$288)</f>
        <v>N° 31</v>
      </c>
      <c r="X292" s="476" t="str">
        <f>IF($AC$292="","",$X$288)</f>
        <v>PIZZA AUX TROIS FROMAGES</v>
      </c>
      <c r="Y292" s="477">
        <f>IF($X$292="","",$Y$288)</f>
        <v>48</v>
      </c>
      <c r="Z292" s="477">
        <f>IF($X$292="","",$Z$288)</f>
        <v>100</v>
      </c>
      <c r="AA292" s="477">
        <f>IF($AC$292="","",ROW($A$292)-ROW($A$288))</f>
        <v>4</v>
      </c>
      <c r="AB292" s="478"/>
      <c r="AC292" s="34" t="s">
        <v>442</v>
      </c>
      <c r="AD292" s="356"/>
      <c r="AE292" s="18">
        <v>5</v>
      </c>
      <c r="AF292" s="11" t="s">
        <v>7</v>
      </c>
      <c r="AG292" s="480">
        <f t="shared" si="76"/>
        <v>5</v>
      </c>
      <c r="AH292" s="481" t="str">
        <f t="shared" si="77"/>
        <v>KG</v>
      </c>
      <c r="AI292" s="477" t="str">
        <f>IF($AC$292="","",IFERROR(INDEX($AZ$74:$AZ$119,MATCH($AH$292,$AY$74:$AY$119,0)),"AUTRE"))</f>
        <v>MASSE</v>
      </c>
      <c r="AJ292" s="482">
        <f>IF($AC$292="","",IFERROR(INDEX($BA$74:$BA$119,MATCH($AH$292,$AY$74:$AY$119,0)),1))</f>
        <v>1</v>
      </c>
      <c r="AK292" s="482">
        <f t="shared" si="66"/>
        <v>5</v>
      </c>
      <c r="AL292" s="477" t="str">
        <f>IF($AC$292="","",IFERROR(INDEX($BB$74:$BB$119,MATCH($AH$292,$AY$74:$AY$119,0)),$AH$292))</f>
        <v>kg</v>
      </c>
      <c r="AM292" s="483" t="str">
        <f t="shared" si="78"/>
        <v>OK</v>
      </c>
      <c r="AN292" s="484">
        <f t="shared" si="79"/>
        <v>5</v>
      </c>
      <c r="AO292" s="473" t="str">
        <f t="shared" si="80"/>
        <v/>
      </c>
      <c r="AP292" s="473" t="str">
        <f t="shared" si="81"/>
        <v/>
      </c>
      <c r="AQ292" s="473" t="str">
        <f t="shared" si="82"/>
        <v/>
      </c>
      <c r="AR292" s="473" t="str">
        <f t="shared" si="83"/>
        <v/>
      </c>
      <c r="AS292" s="473" t="str">
        <f t="shared" si="84"/>
        <v/>
      </c>
      <c r="AT292" s="473" t="str">
        <f t="shared" si="85"/>
        <v/>
      </c>
      <c r="AU292" s="473" t="str">
        <f t="shared" si="86"/>
        <v/>
      </c>
      <c r="AZ292" s="32" t="s">
        <v>309</v>
      </c>
      <c r="BA292" s="34" t="s">
        <v>478</v>
      </c>
      <c r="BB292" s="499"/>
      <c r="BC292" s="271"/>
      <c r="BD292" s="279">
        <v>1</v>
      </c>
      <c r="BE292" s="271"/>
      <c r="BF292" s="271"/>
      <c r="BG292" s="271"/>
      <c r="BH292" s="271"/>
      <c r="BI292" s="271"/>
      <c r="BJ292" s="271"/>
      <c r="BK292" s="271"/>
      <c r="BL292" s="271"/>
    </row>
    <row r="293" spans="18:64" ht="21" customHeight="1" x14ac:dyDescent="0.25">
      <c r="R293" s="34" t="s">
        <v>486</v>
      </c>
      <c r="S293" s="451"/>
      <c r="T293" s="32" t="s">
        <v>8125</v>
      </c>
      <c r="V293" s="475">
        <v>7</v>
      </c>
      <c r="W293" s="475" t="str">
        <f>IF($AC$293="","",$W$288)</f>
        <v>N° 31</v>
      </c>
      <c r="X293" s="476" t="str">
        <f>IF($AC$293="","",$X$288)</f>
        <v>PIZZA AUX TROIS FROMAGES</v>
      </c>
      <c r="Y293" s="477">
        <f>IF($X$293="","",$Y$288)</f>
        <v>48</v>
      </c>
      <c r="Z293" s="477">
        <f>IF($X$293="","",$Z$288)</f>
        <v>100</v>
      </c>
      <c r="AA293" s="477">
        <f>IF($AC$293="","",ROW($A$293)-ROW($A$288))</f>
        <v>5</v>
      </c>
      <c r="AB293" s="478"/>
      <c r="AC293" s="34" t="s">
        <v>422</v>
      </c>
      <c r="AD293" s="356"/>
      <c r="AE293" s="18">
        <v>5</v>
      </c>
      <c r="AF293" s="11" t="s">
        <v>7</v>
      </c>
      <c r="AG293" s="480">
        <f t="shared" si="76"/>
        <v>5</v>
      </c>
      <c r="AH293" s="481" t="str">
        <f t="shared" si="77"/>
        <v>KG</v>
      </c>
      <c r="AI293" s="477" t="str">
        <f>IF($AC$293="","",IFERROR(INDEX($AZ$74:$AZ$119,MATCH($AH$293,$AY$74:$AY$119,0)),"AUTRE"))</f>
        <v>MASSE</v>
      </c>
      <c r="AJ293" s="482">
        <f>IF($AC$293="","",IFERROR(INDEX($BA$74:$BA$119,MATCH($AH$293,$AY$74:$AY$119,0)),1))</f>
        <v>1</v>
      </c>
      <c r="AK293" s="482">
        <f t="shared" si="66"/>
        <v>5</v>
      </c>
      <c r="AL293" s="477" t="str">
        <f>IF($AC$293="","",IFERROR(INDEX($BB$74:$BB$119,MATCH($AH$293,$AY$74:$AY$119,0)),$AH$293))</f>
        <v>kg</v>
      </c>
      <c r="AM293" s="483" t="str">
        <f t="shared" si="78"/>
        <v>OK</v>
      </c>
      <c r="AN293" s="484">
        <f t="shared" si="79"/>
        <v>5</v>
      </c>
      <c r="AO293" s="473" t="str">
        <f t="shared" si="80"/>
        <v/>
      </c>
      <c r="AP293" s="473" t="str">
        <f t="shared" si="81"/>
        <v/>
      </c>
      <c r="AQ293" s="473" t="str">
        <f t="shared" si="82"/>
        <v/>
      </c>
      <c r="AR293" s="473" t="str">
        <f t="shared" si="83"/>
        <v/>
      </c>
      <c r="AS293" s="473" t="str">
        <f t="shared" si="84"/>
        <v/>
      </c>
      <c r="AT293" s="473" t="str">
        <f t="shared" si="85"/>
        <v/>
      </c>
      <c r="AU293" s="473" t="str">
        <f t="shared" si="86"/>
        <v/>
      </c>
      <c r="AZ293" s="32" t="s">
        <v>311</v>
      </c>
      <c r="BA293" s="34" t="s">
        <v>6130</v>
      </c>
      <c r="BB293" s="499"/>
      <c r="BC293" s="271"/>
      <c r="BD293" s="279">
        <v>1</v>
      </c>
      <c r="BE293" s="271"/>
      <c r="BF293" s="271"/>
      <c r="BG293" s="271"/>
      <c r="BH293" s="271"/>
      <c r="BI293" s="271"/>
      <c r="BJ293" s="271"/>
      <c r="BK293" s="271"/>
      <c r="BL293" s="271"/>
    </row>
    <row r="294" spans="18:64" ht="21" customHeight="1" x14ac:dyDescent="0.25">
      <c r="R294" s="34" t="s">
        <v>479</v>
      </c>
      <c r="S294" s="451"/>
      <c r="T294" s="32" t="s">
        <v>8127</v>
      </c>
      <c r="V294" s="475">
        <v>7</v>
      </c>
      <c r="W294" s="475" t="str">
        <f>IF($AC$294="","",$W$288)</f>
        <v>N° 31</v>
      </c>
      <c r="X294" s="476" t="str">
        <f>IF($AC$294="","",$X$288)</f>
        <v>PIZZA AUX TROIS FROMAGES</v>
      </c>
      <c r="Y294" s="477">
        <f>IF($X$294="","",$Y$288)</f>
        <v>48</v>
      </c>
      <c r="Z294" s="477">
        <f>IF($X$294="","",$Z$288)</f>
        <v>100</v>
      </c>
      <c r="AA294" s="477">
        <f>IF($AC$294="","",ROW($A$294)-ROW($A$288))</f>
        <v>6</v>
      </c>
      <c r="AB294" s="478"/>
      <c r="AC294" s="34" t="s">
        <v>42</v>
      </c>
      <c r="AD294" s="356"/>
      <c r="AE294" s="18">
        <v>1</v>
      </c>
      <c r="AF294" s="20" t="s">
        <v>9</v>
      </c>
      <c r="AG294" s="480">
        <f t="shared" si="76"/>
        <v>1</v>
      </c>
      <c r="AH294" s="481" t="str">
        <f t="shared" si="77"/>
        <v>L</v>
      </c>
      <c r="AI294" s="477" t="str">
        <f>IF($AC$294="","",IFERROR(INDEX($AZ$74:$AZ$119,MATCH($AH$294,$AY$74:$AY$119,0)),"AUTRE"))</f>
        <v>VOLUME</v>
      </c>
      <c r="AJ294" s="482">
        <f>IF($AC$294="","",IFERROR(INDEX($BA$74:$BA$119,MATCH($AH$294,$AY$74:$AY$119,0)),1))</f>
        <v>1</v>
      </c>
      <c r="AK294" s="482">
        <f t="shared" si="66"/>
        <v>1</v>
      </c>
      <c r="AL294" s="477" t="str">
        <f>IF($AC$294="","",IFERROR(INDEX($BB$74:$BB$119,MATCH($AH$294,$AY$74:$AY$119,0)),$AH$294))</f>
        <v>L</v>
      </c>
      <c r="AM294" s="483" t="str">
        <f t="shared" si="78"/>
        <v>OK</v>
      </c>
      <c r="AN294" s="484">
        <f t="shared" si="79"/>
        <v>1</v>
      </c>
      <c r="AO294" s="473" t="str">
        <f t="shared" si="80"/>
        <v/>
      </c>
      <c r="AP294" s="473" t="str">
        <f t="shared" si="81"/>
        <v/>
      </c>
      <c r="AQ294" s="473" t="str">
        <f t="shared" si="82"/>
        <v/>
      </c>
      <c r="AR294" s="473" t="str">
        <f t="shared" si="83"/>
        <v/>
      </c>
      <c r="AS294" s="473" t="str">
        <f t="shared" si="84"/>
        <v/>
      </c>
      <c r="AT294" s="473" t="str">
        <f t="shared" si="85"/>
        <v/>
      </c>
      <c r="AU294" s="473" t="str">
        <f t="shared" si="86"/>
        <v/>
      </c>
      <c r="AZ294" s="32" t="s">
        <v>8135</v>
      </c>
      <c r="BA294" s="34" t="s">
        <v>486</v>
      </c>
      <c r="BB294" s="499"/>
      <c r="BC294" s="271"/>
      <c r="BD294" s="279">
        <v>1</v>
      </c>
      <c r="BE294" s="271"/>
      <c r="BF294" s="271"/>
      <c r="BG294" s="271"/>
      <c r="BH294" s="271"/>
      <c r="BI294" s="271"/>
      <c r="BJ294" s="271"/>
      <c r="BK294" s="271"/>
      <c r="BL294" s="271"/>
    </row>
    <row r="295" spans="18:64" ht="21" customHeight="1" x14ac:dyDescent="0.25">
      <c r="R295" s="34" t="s">
        <v>6131</v>
      </c>
      <c r="S295" s="451"/>
      <c r="T295" s="32" t="s">
        <v>320</v>
      </c>
      <c r="V295" s="475">
        <v>7</v>
      </c>
      <c r="W295" s="475" t="str">
        <f>IF($AC$295="","",$W$288)</f>
        <v>N° 31</v>
      </c>
      <c r="X295" s="476" t="str">
        <f>IF($AC$295="","",$X$288)</f>
        <v>PIZZA AUX TROIS FROMAGES</v>
      </c>
      <c r="Y295" s="477">
        <f>IF($X$295="","",$Y$288)</f>
        <v>48</v>
      </c>
      <c r="Z295" s="477">
        <f>IF($X$295="","",$Z$288)</f>
        <v>100</v>
      </c>
      <c r="AA295" s="477">
        <f>IF($AC$295="","",ROW($A$295)-ROW($A$288))</f>
        <v>7</v>
      </c>
      <c r="AB295" s="478"/>
      <c r="AC295" s="34" t="s">
        <v>202</v>
      </c>
      <c r="AD295" s="356"/>
      <c r="AE295" s="18">
        <v>25</v>
      </c>
      <c r="AF295" s="16" t="s">
        <v>8</v>
      </c>
      <c r="AG295" s="480">
        <f t="shared" si="76"/>
        <v>25</v>
      </c>
      <c r="AH295" s="481" t="str">
        <f t="shared" si="77"/>
        <v>G</v>
      </c>
      <c r="AI295" s="477" t="str">
        <f>IF($AC$295="","",IFERROR(INDEX($AZ$74:$AZ$119,MATCH($AH$295,$AY$74:$AY$119,0)),"AUTRE"))</f>
        <v>MASSE</v>
      </c>
      <c r="AJ295" s="482">
        <f>IF($AC$295="","",IFERROR(INDEX($BA$74:$BA$119,MATCH($AH$295,$AY$74:$AY$119,0)),1))</f>
        <v>1E-3</v>
      </c>
      <c r="AK295" s="482">
        <f t="shared" si="66"/>
        <v>2.5000000000000001E-2</v>
      </c>
      <c r="AL295" s="477" t="str">
        <f>IF($AC$295="","",IFERROR(INDEX($BB$74:$BB$119,MATCH($AH$295,$AY$74:$AY$119,0)),$AH$295))</f>
        <v>kg</v>
      </c>
      <c r="AM295" s="483" t="str">
        <f t="shared" si="78"/>
        <v>OK</v>
      </c>
      <c r="AN295" s="484">
        <f t="shared" si="79"/>
        <v>25</v>
      </c>
      <c r="AO295" s="473" t="str">
        <f t="shared" si="80"/>
        <v/>
      </c>
      <c r="AP295" s="473" t="str">
        <f t="shared" si="81"/>
        <v/>
      </c>
      <c r="AQ295" s="473" t="str">
        <f t="shared" si="82"/>
        <v/>
      </c>
      <c r="AR295" s="473" t="str">
        <f t="shared" si="83"/>
        <v/>
      </c>
      <c r="AS295" s="473" t="str">
        <f t="shared" si="84"/>
        <v/>
      </c>
      <c r="AT295" s="473" t="str">
        <f t="shared" si="85"/>
        <v/>
      </c>
      <c r="AU295" s="473" t="str">
        <f t="shared" si="86"/>
        <v/>
      </c>
      <c r="AZ295" s="32" t="s">
        <v>8137</v>
      </c>
      <c r="BA295" s="34" t="s">
        <v>479</v>
      </c>
      <c r="BB295" s="499"/>
      <c r="BC295" s="271"/>
      <c r="BD295" s="279">
        <v>1</v>
      </c>
      <c r="BE295" s="271"/>
      <c r="BF295" s="271"/>
      <c r="BG295" s="271"/>
      <c r="BH295" s="271"/>
      <c r="BI295" s="271"/>
      <c r="BJ295" s="271"/>
      <c r="BK295" s="271"/>
      <c r="BL295" s="271"/>
    </row>
    <row r="296" spans="18:64" ht="21" customHeight="1" x14ac:dyDescent="0.25">
      <c r="R296" s="34" t="s">
        <v>485</v>
      </c>
      <c r="S296" s="451"/>
      <c r="T296" s="32" t="s">
        <v>318</v>
      </c>
      <c r="V296" s="475">
        <v>7</v>
      </c>
      <c r="W296" s="475" t="str">
        <f>IF($AC$296="","",$W$288)</f>
        <v>N° 31</v>
      </c>
      <c r="X296" s="476" t="str">
        <f>IF($AC$296="","",$X$288)</f>
        <v>PIZZA AUX TROIS FROMAGES</v>
      </c>
      <c r="Y296" s="477">
        <f>IF($X$296="","",$Y$288)</f>
        <v>48</v>
      </c>
      <c r="Z296" s="477">
        <f>IF($X$296="","",$Z$288)</f>
        <v>100</v>
      </c>
      <c r="AA296" s="477">
        <f>IF($AC$296="","",ROW($A$296)-ROW($A$288))</f>
        <v>8</v>
      </c>
      <c r="AB296" s="478"/>
      <c r="AC296" s="34" t="s">
        <v>203</v>
      </c>
      <c r="AD296" s="356"/>
      <c r="AE296" s="18">
        <v>120</v>
      </c>
      <c r="AF296" s="16" t="s">
        <v>8</v>
      </c>
      <c r="AG296" s="480">
        <f t="shared" si="76"/>
        <v>120</v>
      </c>
      <c r="AH296" s="481" t="str">
        <f t="shared" si="77"/>
        <v>G</v>
      </c>
      <c r="AI296" s="477" t="str">
        <f>IF($AC$296="","",IFERROR(INDEX($AZ$74:$AZ$119,MATCH($AH$296,$AY$74:$AY$119,0)),"AUTRE"))</f>
        <v>MASSE</v>
      </c>
      <c r="AJ296" s="482">
        <f>IF($AC$296="","",IFERROR(INDEX($BA$74:$BA$119,MATCH($AH$296,$AY$74:$AY$119,0)),1))</f>
        <v>1E-3</v>
      </c>
      <c r="AK296" s="482">
        <f t="shared" si="66"/>
        <v>0.12</v>
      </c>
      <c r="AL296" s="477" t="str">
        <f>IF($AC$296="","",IFERROR(INDEX($BB$74:$BB$119,MATCH($AH$296,$AY$74:$AY$119,0)),$AH$296))</f>
        <v>kg</v>
      </c>
      <c r="AM296" s="483" t="str">
        <f t="shared" si="78"/>
        <v>OK</v>
      </c>
      <c r="AN296" s="484">
        <f t="shared" si="79"/>
        <v>120</v>
      </c>
      <c r="AO296" s="473" t="str">
        <f t="shared" si="80"/>
        <v/>
      </c>
      <c r="AP296" s="473" t="str">
        <f t="shared" si="81"/>
        <v/>
      </c>
      <c r="AQ296" s="473" t="str">
        <f t="shared" si="82"/>
        <v/>
      </c>
      <c r="AR296" s="473" t="str">
        <f t="shared" si="83"/>
        <v/>
      </c>
      <c r="AS296" s="473" t="str">
        <f t="shared" si="84"/>
        <v/>
      </c>
      <c r="AT296" s="473" t="str">
        <f t="shared" si="85"/>
        <v/>
      </c>
      <c r="AU296" s="473" t="str">
        <f t="shared" si="86"/>
        <v/>
      </c>
      <c r="AZ296" s="32" t="s">
        <v>8139</v>
      </c>
      <c r="BA296" s="34" t="s">
        <v>6131</v>
      </c>
      <c r="BB296" s="499"/>
      <c r="BC296" s="271"/>
      <c r="BD296" s="279">
        <v>1</v>
      </c>
      <c r="BE296" s="271"/>
      <c r="BF296" s="271"/>
      <c r="BG296" s="271"/>
      <c r="BH296" s="271"/>
      <c r="BI296" s="271"/>
      <c r="BJ296" s="271"/>
      <c r="BK296" s="271"/>
      <c r="BL296" s="271"/>
    </row>
    <row r="297" spans="18:64" ht="21" customHeight="1" x14ac:dyDescent="0.25">
      <c r="R297" s="34" t="s">
        <v>6132</v>
      </c>
      <c r="S297" s="451"/>
      <c r="T297" s="32" t="s">
        <v>316</v>
      </c>
      <c r="V297" s="475">
        <v>7</v>
      </c>
      <c r="W297" s="475" t="str">
        <f>IF($AC$297="","",$W$288)</f>
        <v/>
      </c>
      <c r="X297" s="476" t="str">
        <f>IF($AC$297="","",$X$288)</f>
        <v/>
      </c>
      <c r="Y297" s="477" t="str">
        <f>IF($X$297="","",$Y$288)</f>
        <v/>
      </c>
      <c r="Z297" s="477" t="str">
        <f>IF($X$297="","",$Z$288)</f>
        <v/>
      </c>
      <c r="AA297" s="477" t="str">
        <f>IF($AC$297="","",ROW($A$297)-ROW($A$288))</f>
        <v/>
      </c>
      <c r="AB297" s="478"/>
      <c r="AC297" s="34" t="s">
        <v>345</v>
      </c>
      <c r="AD297" s="356"/>
      <c r="AE297" s="18"/>
      <c r="AF297" s="19"/>
      <c r="AG297" s="480" t="str">
        <f t="shared" si="76"/>
        <v/>
      </c>
      <c r="AH297" s="481" t="str">
        <f t="shared" si="77"/>
        <v/>
      </c>
      <c r="AI297" s="477" t="str">
        <f>IF($AC$297="","",IFERROR(INDEX($AZ$74:$AZ$119,MATCH($AH$297,$AY$74:$AY$119,0)),"AUTRE"))</f>
        <v/>
      </c>
      <c r="AJ297" s="482" t="str">
        <f>IF($AC$297="","",IFERROR(INDEX($BA$74:$BA$119,MATCH($AH$297,$AY$74:$AY$119,0)),1))</f>
        <v/>
      </c>
      <c r="AK297" s="482" t="str">
        <f t="shared" si="66"/>
        <v/>
      </c>
      <c r="AL297" s="477" t="str">
        <f>IF($AC$297="","",IFERROR(INDEX($BB$74:$BB$119,MATCH($AH$297,$AY$74:$AY$119,0)),$AH$297))</f>
        <v/>
      </c>
      <c r="AM297" s="483" t="str">
        <f t="shared" si="78"/>
        <v/>
      </c>
      <c r="AN297" s="484" t="str">
        <f t="shared" si="79"/>
        <v/>
      </c>
      <c r="AO297" s="473" t="str">
        <f t="shared" si="80"/>
        <v/>
      </c>
      <c r="AP297" s="473" t="str">
        <f t="shared" si="81"/>
        <v/>
      </c>
      <c r="AQ297" s="473" t="str">
        <f t="shared" si="82"/>
        <v/>
      </c>
      <c r="AR297" s="473" t="str">
        <f t="shared" si="83"/>
        <v/>
      </c>
      <c r="AS297" s="473" t="str">
        <f t="shared" si="84"/>
        <v/>
      </c>
      <c r="AT297" s="473" t="str">
        <f t="shared" si="85"/>
        <v/>
      </c>
      <c r="AU297" s="473" t="str">
        <f t="shared" si="86"/>
        <v/>
      </c>
      <c r="AZ297" s="32" t="s">
        <v>8141</v>
      </c>
      <c r="BA297" s="34" t="s">
        <v>485</v>
      </c>
      <c r="BB297" s="499"/>
      <c r="BC297" s="271"/>
      <c r="BD297" s="279">
        <v>1</v>
      </c>
      <c r="BE297" s="271"/>
      <c r="BF297" s="271"/>
      <c r="BG297" s="271"/>
      <c r="BH297" s="271"/>
      <c r="BI297" s="271"/>
      <c r="BJ297" s="271"/>
      <c r="BK297" s="271"/>
      <c r="BL297" s="271"/>
    </row>
    <row r="298" spans="18:64" ht="21" customHeight="1" x14ac:dyDescent="0.25">
      <c r="R298" s="25" t="s">
        <v>6133</v>
      </c>
      <c r="S298" s="451"/>
      <c r="T298" s="32" t="s">
        <v>313</v>
      </c>
      <c r="V298" s="475">
        <v>7</v>
      </c>
      <c r="W298" s="475" t="str">
        <f>IF($AC$298="","",$W$288)</f>
        <v>N° 31</v>
      </c>
      <c r="X298" s="476" t="str">
        <f>IF($AC$298="","",$X$288)</f>
        <v>PIZZA AUX TROIS FROMAGES</v>
      </c>
      <c r="Y298" s="477">
        <f>IF($X$298="","",$Y$288)</f>
        <v>48</v>
      </c>
      <c r="Z298" s="477">
        <f>IF($X$298="","",$Z$288)</f>
        <v>100</v>
      </c>
      <c r="AA298" s="477">
        <f>IF($AC$298="","",ROW($A$298)-ROW($A$288))</f>
        <v>10</v>
      </c>
      <c r="AB298" s="478"/>
      <c r="AC298" s="34" t="s">
        <v>439</v>
      </c>
      <c r="AD298" s="356"/>
      <c r="AE298" s="18">
        <v>7</v>
      </c>
      <c r="AF298" s="11" t="s">
        <v>7</v>
      </c>
      <c r="AG298" s="480">
        <f t="shared" si="76"/>
        <v>7</v>
      </c>
      <c r="AH298" s="481" t="str">
        <f t="shared" si="77"/>
        <v>KG</v>
      </c>
      <c r="AI298" s="477" t="str">
        <f>IF($AC$298="","",IFERROR(INDEX($AZ$74:$AZ$119,MATCH($AH$298,$AY$74:$AY$119,0)),"AUTRE"))</f>
        <v>MASSE</v>
      </c>
      <c r="AJ298" s="482">
        <f>IF($AC$298="","",IFERROR(INDEX($BA$74:$BA$119,MATCH($AH$298,$AY$74:$AY$119,0)),1))</f>
        <v>1</v>
      </c>
      <c r="AK298" s="482">
        <f t="shared" si="66"/>
        <v>7</v>
      </c>
      <c r="AL298" s="477" t="str">
        <f>IF($AC$298="","",IFERROR(INDEX($BB$74:$BB$119,MATCH($AH$298,$AY$74:$AY$119,0)),$AH$298))</f>
        <v>kg</v>
      </c>
      <c r="AM298" s="483" t="str">
        <f t="shared" si="78"/>
        <v>OK</v>
      </c>
      <c r="AN298" s="484">
        <f t="shared" si="79"/>
        <v>7</v>
      </c>
      <c r="AO298" s="473" t="str">
        <f t="shared" si="80"/>
        <v/>
      </c>
      <c r="AP298" s="473" t="str">
        <f t="shared" si="81"/>
        <v/>
      </c>
      <c r="AQ298" s="473" t="str">
        <f t="shared" si="82"/>
        <v/>
      </c>
      <c r="AR298" s="473" t="str">
        <f t="shared" si="83"/>
        <v/>
      </c>
      <c r="AS298" s="473" t="str">
        <f t="shared" si="84"/>
        <v/>
      </c>
      <c r="AT298" s="473" t="str">
        <f t="shared" si="85"/>
        <v/>
      </c>
      <c r="AU298" s="473" t="str">
        <f t="shared" si="86"/>
        <v/>
      </c>
      <c r="AZ298" s="32" t="s">
        <v>8143</v>
      </c>
      <c r="BA298" s="34" t="s">
        <v>6132</v>
      </c>
      <c r="BB298" s="499"/>
      <c r="BC298" s="271"/>
      <c r="BD298" s="279">
        <v>1</v>
      </c>
      <c r="BE298" s="271"/>
      <c r="BF298" s="271"/>
      <c r="BG298" s="271"/>
      <c r="BH298" s="271"/>
      <c r="BI298" s="271"/>
      <c r="BJ298" s="271"/>
      <c r="BK298" s="271"/>
      <c r="BL298" s="271"/>
    </row>
    <row r="299" spans="18:64" ht="21" customHeight="1" x14ac:dyDescent="0.25">
      <c r="R299" s="34" t="s">
        <v>476</v>
      </c>
      <c r="S299" s="451"/>
      <c r="T299" s="32" t="s">
        <v>307</v>
      </c>
      <c r="V299" s="475">
        <v>7</v>
      </c>
      <c r="W299" s="475" t="str">
        <f>IF($AC$299="","",$W$288)</f>
        <v>N° 31</v>
      </c>
      <c r="X299" s="476" t="str">
        <f>IF($AC$299="","",$X$288)</f>
        <v>PIZZA AUX TROIS FROMAGES</v>
      </c>
      <c r="Y299" s="477">
        <f>IF($X$299="","",$Y$288)</f>
        <v>48</v>
      </c>
      <c r="Z299" s="477">
        <f>IF($X$299="","",$Z$288)</f>
        <v>100</v>
      </c>
      <c r="AA299" s="477">
        <f>IF($AC$299="","",ROW($A$299)-ROW($A$288))</f>
        <v>11</v>
      </c>
      <c r="AB299" s="478"/>
      <c r="AC299" s="34" t="s">
        <v>440</v>
      </c>
      <c r="AD299" s="356"/>
      <c r="AE299" s="18">
        <v>1</v>
      </c>
      <c r="AF299" s="23" t="s">
        <v>316</v>
      </c>
      <c r="AG299" s="480">
        <f t="shared" si="76"/>
        <v>1</v>
      </c>
      <c r="AH299" s="481" t="str">
        <f t="shared" si="77"/>
        <v>BTE(S) 5/1</v>
      </c>
      <c r="AI299" s="477" t="str">
        <f>IF($AC$299="","",IFERROR(INDEX($AZ$74:$AZ$119,MATCH($AH$299,$AY$74:$AY$119,0)),"AUTRE"))</f>
        <v>AUTRE</v>
      </c>
      <c r="AJ299" s="482">
        <f>IF($AC$299="","",IFERROR(INDEX($BA$74:$BA$119,MATCH($AH$299,$AY$74:$AY$119,0)),1))</f>
        <v>1</v>
      </c>
      <c r="AK299" s="482">
        <f t="shared" si="66"/>
        <v>1</v>
      </c>
      <c r="AL299" s="477" t="str">
        <f>IF($AC$299="","",IFERROR(INDEX($BB$74:$BB$119,MATCH($AH$299,$AY$74:$AY$119,0)),$AH$299))</f>
        <v>bte(s) 5/1</v>
      </c>
      <c r="AM299" s="483" t="str">
        <f t="shared" si="78"/>
        <v>OK</v>
      </c>
      <c r="AN299" s="484">
        <f t="shared" si="79"/>
        <v>1</v>
      </c>
      <c r="AO299" s="473" t="str">
        <f t="shared" si="80"/>
        <v/>
      </c>
      <c r="AP299" s="473" t="str">
        <f t="shared" si="81"/>
        <v/>
      </c>
      <c r="AQ299" s="473" t="str">
        <f t="shared" si="82"/>
        <v/>
      </c>
      <c r="AR299" s="473" t="str">
        <f t="shared" si="83"/>
        <v/>
      </c>
      <c r="AS299" s="473" t="str">
        <f t="shared" si="84"/>
        <v/>
      </c>
      <c r="AT299" s="473" t="str">
        <f t="shared" si="85"/>
        <v/>
      </c>
      <c r="AU299" s="473" t="str">
        <f t="shared" si="86"/>
        <v/>
      </c>
      <c r="AZ299" s="497" t="s">
        <v>8145</v>
      </c>
      <c r="BA299" s="25" t="s">
        <v>6133</v>
      </c>
      <c r="BB299" s="499"/>
      <c r="BC299" s="271"/>
      <c r="BD299" s="279">
        <v>1</v>
      </c>
      <c r="BE299" s="271"/>
      <c r="BF299" s="271"/>
      <c r="BG299" s="271"/>
      <c r="BH299" s="271"/>
      <c r="BI299" s="271"/>
      <c r="BJ299" s="271"/>
      <c r="BK299" s="271"/>
      <c r="BL299" s="271"/>
    </row>
    <row r="300" spans="18:64" ht="21" customHeight="1" x14ac:dyDescent="0.25">
      <c r="R300" s="34" t="s">
        <v>468</v>
      </c>
      <c r="S300" s="451"/>
      <c r="T300" s="32" t="s">
        <v>322</v>
      </c>
      <c r="V300" s="475">
        <v>7</v>
      </c>
      <c r="W300" s="475" t="str">
        <f>IF($AC$300="","",$W$288)</f>
        <v>N° 31</v>
      </c>
      <c r="X300" s="476" t="str">
        <f>IF($AC$300="","",$X$288)</f>
        <v>PIZZA AUX TROIS FROMAGES</v>
      </c>
      <c r="Y300" s="477">
        <f>IF($X$300="","",$Y$288)</f>
        <v>48</v>
      </c>
      <c r="Z300" s="477">
        <f>IF($X$300="","",$Z$288)</f>
        <v>100</v>
      </c>
      <c r="AA300" s="477">
        <f>IF($AC$300="","",ROW($A$300)-ROW($A$288))</f>
        <v>12</v>
      </c>
      <c r="AB300" s="478"/>
      <c r="AC300" s="34" t="s">
        <v>214</v>
      </c>
      <c r="AD300" s="356"/>
      <c r="AE300" s="18">
        <v>1</v>
      </c>
      <c r="AF300" s="23" t="s">
        <v>318</v>
      </c>
      <c r="AG300" s="480">
        <f t="shared" si="76"/>
        <v>1</v>
      </c>
      <c r="AH300" s="481" t="str">
        <f t="shared" si="77"/>
        <v>BTE(S) 3/1</v>
      </c>
      <c r="AI300" s="477" t="str">
        <f>IF($AC$300="","",IFERROR(INDEX($AZ$74:$AZ$119,MATCH($AH$300,$AY$74:$AY$119,0)),"AUTRE"))</f>
        <v>AUTRE</v>
      </c>
      <c r="AJ300" s="482">
        <f>IF($AC$300="","",IFERROR(INDEX($BA$74:$BA$119,MATCH($AH$300,$AY$74:$AY$119,0)),1))</f>
        <v>1</v>
      </c>
      <c r="AK300" s="482">
        <f t="shared" si="66"/>
        <v>1</v>
      </c>
      <c r="AL300" s="477" t="str">
        <f>IF($AC$300="","",IFERROR(INDEX($BB$74:$BB$119,MATCH($AH$300,$AY$74:$AY$119,0)),$AH$300))</f>
        <v>bte(s) 3/1</v>
      </c>
      <c r="AM300" s="483" t="str">
        <f t="shared" si="78"/>
        <v>OK</v>
      </c>
      <c r="AN300" s="484">
        <f t="shared" si="79"/>
        <v>1</v>
      </c>
      <c r="AO300" s="473" t="str">
        <f t="shared" si="80"/>
        <v/>
      </c>
      <c r="AP300" s="473" t="str">
        <f t="shared" si="81"/>
        <v/>
      </c>
      <c r="AQ300" s="473" t="str">
        <f t="shared" si="82"/>
        <v/>
      </c>
      <c r="AR300" s="473" t="str">
        <f t="shared" si="83"/>
        <v/>
      </c>
      <c r="AS300" s="473" t="str">
        <f t="shared" si="84"/>
        <v/>
      </c>
      <c r="AT300" s="473" t="str">
        <f t="shared" si="85"/>
        <v/>
      </c>
      <c r="AU300" s="473" t="str">
        <f t="shared" si="86"/>
        <v/>
      </c>
      <c r="AZ300" s="497" t="s">
        <v>462</v>
      </c>
      <c r="BA300" s="34" t="s">
        <v>476</v>
      </c>
      <c r="BB300" s="499"/>
      <c r="BC300" s="271"/>
      <c r="BD300" s="279">
        <v>1</v>
      </c>
      <c r="BE300" s="271"/>
      <c r="BF300" s="271"/>
      <c r="BG300" s="271"/>
      <c r="BH300" s="271"/>
      <c r="BI300" s="271"/>
      <c r="BJ300" s="271"/>
      <c r="BK300" s="271"/>
      <c r="BL300" s="271"/>
    </row>
    <row r="301" spans="18:64" ht="21" customHeight="1" x14ac:dyDescent="0.25">
      <c r="R301" s="34" t="s">
        <v>473</v>
      </c>
      <c r="S301" s="451"/>
      <c r="T301" s="32" t="s">
        <v>305</v>
      </c>
      <c r="V301" s="475">
        <v>7</v>
      </c>
      <c r="W301" s="475" t="str">
        <f>IF($AC$301="","",$W$288)</f>
        <v>N° 31</v>
      </c>
      <c r="X301" s="476" t="str">
        <f>IF($AC$301="","",$X$288)</f>
        <v>PIZZA AUX TROIS FROMAGES</v>
      </c>
      <c r="Y301" s="477">
        <f>IF($X$301="","",$Y$288)</f>
        <v>48</v>
      </c>
      <c r="Z301" s="477">
        <f>IF($X$301="","",$Z$288)</f>
        <v>100</v>
      </c>
      <c r="AA301" s="477">
        <f>IF($AC$301="","",ROW($A$301)-ROW($A$288))</f>
        <v>13</v>
      </c>
      <c r="AB301" s="478"/>
      <c r="AC301" s="34" t="s">
        <v>441</v>
      </c>
      <c r="AD301" s="356"/>
      <c r="AE301" s="18">
        <v>1</v>
      </c>
      <c r="AF301" s="11" t="s">
        <v>7</v>
      </c>
      <c r="AG301" s="480">
        <f t="shared" si="76"/>
        <v>1</v>
      </c>
      <c r="AH301" s="481" t="str">
        <f t="shared" si="77"/>
        <v>KG</v>
      </c>
      <c r="AI301" s="477" t="str">
        <f>IF($AC$301="","",IFERROR(INDEX($AZ$74:$AZ$119,MATCH($AH$301,$AY$74:$AY$119,0)),"AUTRE"))</f>
        <v>MASSE</v>
      </c>
      <c r="AJ301" s="482">
        <f>IF($AC$301="","",IFERROR(INDEX($BA$74:$BA$119,MATCH($AH$301,$AY$74:$AY$119,0)),1))</f>
        <v>1</v>
      </c>
      <c r="AK301" s="482">
        <f t="shared" si="66"/>
        <v>1</v>
      </c>
      <c r="AL301" s="477" t="str">
        <f>IF($AC$301="","",IFERROR(INDEX($BB$74:$BB$119,MATCH($AH$301,$AY$74:$AY$119,0)),$AH$301))</f>
        <v>kg</v>
      </c>
      <c r="AM301" s="483" t="str">
        <f t="shared" si="78"/>
        <v>OK</v>
      </c>
      <c r="AN301" s="484">
        <f t="shared" si="79"/>
        <v>1</v>
      </c>
      <c r="AO301" s="473" t="str">
        <f t="shared" si="80"/>
        <v/>
      </c>
      <c r="AP301" s="473" t="str">
        <f t="shared" si="81"/>
        <v/>
      </c>
      <c r="AQ301" s="473" t="str">
        <f t="shared" si="82"/>
        <v/>
      </c>
      <c r="AR301" s="473" t="str">
        <f t="shared" si="83"/>
        <v/>
      </c>
      <c r="AS301" s="473" t="str">
        <f t="shared" si="84"/>
        <v/>
      </c>
      <c r="AT301" s="473" t="str">
        <f t="shared" si="85"/>
        <v/>
      </c>
      <c r="AU301" s="473" t="str">
        <f t="shared" si="86"/>
        <v/>
      </c>
      <c r="AZ301" s="497" t="s">
        <v>463</v>
      </c>
      <c r="BA301" s="34" t="s">
        <v>468</v>
      </c>
      <c r="BB301" s="499"/>
      <c r="BC301" s="271"/>
      <c r="BD301" s="279">
        <v>1</v>
      </c>
      <c r="BE301" s="271"/>
      <c r="BF301" s="271"/>
      <c r="BG301" s="271"/>
      <c r="BH301" s="271"/>
      <c r="BI301" s="271"/>
      <c r="BJ301" s="271"/>
      <c r="BK301" s="271"/>
      <c r="BL301" s="271"/>
    </row>
    <row r="302" spans="18:64" ht="21" customHeight="1" x14ac:dyDescent="0.25">
      <c r="R302" s="34" t="s">
        <v>497</v>
      </c>
      <c r="S302" s="451"/>
      <c r="T302" s="32" t="s">
        <v>309</v>
      </c>
      <c r="V302" s="475">
        <v>7</v>
      </c>
      <c r="W302" s="475" t="str">
        <f>IF($AC$302="","",$W$288)</f>
        <v>N° 31</v>
      </c>
      <c r="X302" s="476" t="str">
        <f>IF($AC$302="","",$X$288)</f>
        <v>PIZZA AUX TROIS FROMAGES</v>
      </c>
      <c r="Y302" s="477">
        <f>IF($X$302="","",$Y$288)</f>
        <v>48</v>
      </c>
      <c r="Z302" s="477">
        <f>IF($X$302="","",$Z$288)</f>
        <v>100</v>
      </c>
      <c r="AA302" s="477">
        <f>IF($AC$302="","",ROW($A$302)-ROW($A$288))</f>
        <v>14</v>
      </c>
      <c r="AB302" s="478"/>
      <c r="AC302" s="34" t="s">
        <v>442</v>
      </c>
      <c r="AD302" s="356"/>
      <c r="AE302" s="18">
        <v>2</v>
      </c>
      <c r="AF302" s="11" t="s">
        <v>7</v>
      </c>
      <c r="AG302" s="480">
        <f t="shared" si="76"/>
        <v>2</v>
      </c>
      <c r="AH302" s="481" t="str">
        <f t="shared" si="77"/>
        <v>KG</v>
      </c>
      <c r="AI302" s="477" t="str">
        <f>IF($AC$302="","",IFERROR(INDEX($AZ$74:$AZ$119,MATCH($AH$302,$AY$74:$AY$119,0)),"AUTRE"))</f>
        <v>MASSE</v>
      </c>
      <c r="AJ302" s="482">
        <f>IF($AC$302="","",IFERROR(INDEX($BA$74:$BA$119,MATCH($AH$302,$AY$74:$AY$119,0)),1))</f>
        <v>1</v>
      </c>
      <c r="AK302" s="482">
        <f t="shared" si="66"/>
        <v>2</v>
      </c>
      <c r="AL302" s="477" t="str">
        <f>IF($AC$302="","",IFERROR(INDEX($BB$74:$BB$119,MATCH($AH$302,$AY$74:$AY$119,0)),$AH$302))</f>
        <v>kg</v>
      </c>
      <c r="AM302" s="483" t="str">
        <f t="shared" si="78"/>
        <v>OK</v>
      </c>
      <c r="AN302" s="484">
        <f t="shared" si="79"/>
        <v>2</v>
      </c>
      <c r="AO302" s="473" t="str">
        <f t="shared" si="80"/>
        <v/>
      </c>
      <c r="AP302" s="473" t="str">
        <f t="shared" si="81"/>
        <v/>
      </c>
      <c r="AQ302" s="473" t="str">
        <f t="shared" si="82"/>
        <v/>
      </c>
      <c r="AR302" s="473" t="str">
        <f t="shared" si="83"/>
        <v/>
      </c>
      <c r="AS302" s="473" t="str">
        <f t="shared" si="84"/>
        <v/>
      </c>
      <c r="AT302" s="473" t="str">
        <f t="shared" si="85"/>
        <v/>
      </c>
      <c r="AU302" s="473" t="str">
        <f t="shared" si="86"/>
        <v/>
      </c>
      <c r="AZ302" s="497" t="s">
        <v>8147</v>
      </c>
      <c r="BA302" s="34" t="s">
        <v>473</v>
      </c>
      <c r="BB302" s="499"/>
      <c r="BC302" s="271"/>
      <c r="BD302" s="279">
        <v>1</v>
      </c>
      <c r="BE302" s="271"/>
      <c r="BF302" s="271"/>
      <c r="BG302" s="271"/>
      <c r="BH302" s="271"/>
      <c r="BI302" s="271"/>
      <c r="BJ302" s="271"/>
      <c r="BK302" s="271"/>
      <c r="BL302" s="271"/>
    </row>
    <row r="303" spans="18:64" ht="21" customHeight="1" x14ac:dyDescent="0.25">
      <c r="R303" s="34" t="s">
        <v>470</v>
      </c>
      <c r="S303" s="451"/>
      <c r="T303" s="32" t="s">
        <v>311</v>
      </c>
      <c r="V303" s="475">
        <v>7</v>
      </c>
      <c r="W303" s="475" t="str">
        <f>IF($AC$303="","",$W$288)</f>
        <v>N° 31</v>
      </c>
      <c r="X303" s="476" t="str">
        <f>IF($AC$303="","",$X$288)</f>
        <v>PIZZA AUX TROIS FROMAGES</v>
      </c>
      <c r="Y303" s="477">
        <f>IF($X$303="","",$Y$288)</f>
        <v>48</v>
      </c>
      <c r="Z303" s="477">
        <f>IF($X$303="","",$Z$288)</f>
        <v>100</v>
      </c>
      <c r="AA303" s="477">
        <f>IF($AC$303="","",ROW($A$303)-ROW($A$288))</f>
        <v>15</v>
      </c>
      <c r="AB303" s="478"/>
      <c r="AC303" s="34" t="s">
        <v>422</v>
      </c>
      <c r="AD303" s="356"/>
      <c r="AE303" s="18">
        <v>2</v>
      </c>
      <c r="AF303" s="11" t="s">
        <v>7</v>
      </c>
      <c r="AG303" s="480">
        <f t="shared" si="76"/>
        <v>2</v>
      </c>
      <c r="AH303" s="481" t="str">
        <f t="shared" si="77"/>
        <v>KG</v>
      </c>
      <c r="AI303" s="477" t="str">
        <f>IF($AC$303="","",IFERROR(INDEX($AZ$74:$AZ$119,MATCH($AH$303,$AY$74:$AY$119,0)),"AUTRE"))</f>
        <v>MASSE</v>
      </c>
      <c r="AJ303" s="482">
        <f>IF($AC$303="","",IFERROR(INDEX($BA$74:$BA$119,MATCH($AH$303,$AY$74:$AY$119,0)),1))</f>
        <v>1</v>
      </c>
      <c r="AK303" s="482">
        <f t="shared" si="66"/>
        <v>2</v>
      </c>
      <c r="AL303" s="477" t="str">
        <f>IF($AC$303="","",IFERROR(INDEX($BB$74:$BB$119,MATCH($AH$303,$AY$74:$AY$119,0)),$AH$303))</f>
        <v>kg</v>
      </c>
      <c r="AM303" s="483" t="str">
        <f t="shared" si="78"/>
        <v>OK</v>
      </c>
      <c r="AN303" s="484">
        <f t="shared" si="79"/>
        <v>2</v>
      </c>
      <c r="AO303" s="473" t="str">
        <f t="shared" si="80"/>
        <v/>
      </c>
      <c r="AP303" s="473" t="str">
        <f t="shared" si="81"/>
        <v/>
      </c>
      <c r="AQ303" s="473" t="str">
        <f t="shared" si="82"/>
        <v/>
      </c>
      <c r="AR303" s="473" t="str">
        <f t="shared" si="83"/>
        <v/>
      </c>
      <c r="AS303" s="473" t="str">
        <f t="shared" si="84"/>
        <v/>
      </c>
      <c r="AT303" s="473" t="str">
        <f t="shared" si="85"/>
        <v/>
      </c>
      <c r="AU303" s="473" t="str">
        <f t="shared" si="86"/>
        <v/>
      </c>
      <c r="AZ303" s="497" t="s">
        <v>465</v>
      </c>
      <c r="BA303" s="34" t="s">
        <v>497</v>
      </c>
      <c r="BB303" s="499"/>
      <c r="BC303" s="271"/>
      <c r="BD303" s="279">
        <v>1</v>
      </c>
      <c r="BE303" s="271"/>
      <c r="BF303" s="271"/>
      <c r="BG303" s="271"/>
      <c r="BH303" s="271"/>
      <c r="BI303" s="271"/>
      <c r="BJ303" s="271"/>
      <c r="BK303" s="271"/>
      <c r="BL303" s="271"/>
    </row>
    <row r="304" spans="18:64" ht="21" customHeight="1" x14ac:dyDescent="0.25">
      <c r="R304" s="34" t="s">
        <v>477</v>
      </c>
      <c r="S304" s="451"/>
      <c r="T304" s="32" t="s">
        <v>8135</v>
      </c>
      <c r="V304" s="475">
        <v>7</v>
      </c>
      <c r="W304" s="475" t="str">
        <f>IF($AC$304="","",$W$288)</f>
        <v>N° 31</v>
      </c>
      <c r="X304" s="476" t="str">
        <f>IF($AC$304="","",$X$288)</f>
        <v>PIZZA AUX TROIS FROMAGES</v>
      </c>
      <c r="Y304" s="477">
        <f>IF($X$304="","",$Y$288)</f>
        <v>48</v>
      </c>
      <c r="Z304" s="477">
        <f>IF($X$304="","",$Z$288)</f>
        <v>100</v>
      </c>
      <c r="AA304" s="477">
        <f>IF($AC$304="","",ROW($A$304)-ROW($A$288))</f>
        <v>16</v>
      </c>
      <c r="AB304" s="478"/>
      <c r="AC304" s="34" t="s">
        <v>42</v>
      </c>
      <c r="AD304" s="356"/>
      <c r="AE304" s="18">
        <v>1</v>
      </c>
      <c r="AF304" s="22" t="s">
        <v>16</v>
      </c>
      <c r="AG304" s="480">
        <f t="shared" si="76"/>
        <v>1</v>
      </c>
      <c r="AH304" s="481" t="str">
        <f t="shared" si="77"/>
        <v>DEMI/L</v>
      </c>
      <c r="AI304" s="477" t="str">
        <f>IF($AC$304="","",IFERROR(INDEX($AZ$74:$AZ$119,MATCH($AH$304,$AY$74:$AY$119,0)),"AUTRE"))</f>
        <v>VOLUME</v>
      </c>
      <c r="AJ304" s="482">
        <f>IF($AC$304="","",IFERROR(INDEX($BA$74:$BA$119,MATCH($AH$304,$AY$74:$AY$119,0)),1))</f>
        <v>0.5</v>
      </c>
      <c r="AK304" s="482">
        <f t="shared" si="66"/>
        <v>0.5</v>
      </c>
      <c r="AL304" s="477" t="str">
        <f>IF($AC$304="","",IFERROR(INDEX($BB$74:$BB$119,MATCH($AH$304,$AY$74:$AY$119,0)),$AH$304))</f>
        <v>L</v>
      </c>
      <c r="AM304" s="483" t="str">
        <f t="shared" si="78"/>
        <v>OK</v>
      </c>
      <c r="AN304" s="484">
        <f t="shared" si="79"/>
        <v>1</v>
      </c>
      <c r="AO304" s="473" t="str">
        <f t="shared" si="80"/>
        <v/>
      </c>
      <c r="AP304" s="473" t="str">
        <f t="shared" si="81"/>
        <v/>
      </c>
      <c r="AQ304" s="473" t="str">
        <f t="shared" si="82"/>
        <v/>
      </c>
      <c r="AR304" s="473" t="str">
        <f t="shared" si="83"/>
        <v/>
      </c>
      <c r="AS304" s="473" t="str">
        <f t="shared" si="84"/>
        <v/>
      </c>
      <c r="AT304" s="473" t="str">
        <f t="shared" si="85"/>
        <v/>
      </c>
      <c r="AU304" s="473" t="str">
        <f t="shared" si="86"/>
        <v/>
      </c>
      <c r="AZ304" s="497" t="s">
        <v>466</v>
      </c>
      <c r="BA304" s="34" t="s">
        <v>470</v>
      </c>
      <c r="BB304" s="499"/>
      <c r="BC304" s="271"/>
      <c r="BD304" s="279">
        <v>1</v>
      </c>
      <c r="BE304" s="271"/>
      <c r="BF304" s="271"/>
      <c r="BG304" s="271"/>
      <c r="BH304" s="271"/>
      <c r="BI304" s="271"/>
      <c r="BJ304" s="271"/>
      <c r="BK304" s="271"/>
      <c r="BL304" s="271"/>
    </row>
    <row r="305" spans="18:64" ht="21" customHeight="1" x14ac:dyDescent="0.25">
      <c r="S305" s="451"/>
      <c r="T305" s="497" t="s">
        <v>462</v>
      </c>
      <c r="V305" s="475">
        <v>7</v>
      </c>
      <c r="W305" s="475" t="str">
        <f>IF($AC$305="","",$W$288)</f>
        <v>N° 31</v>
      </c>
      <c r="X305" s="476" t="str">
        <f>IF($AC$305="","",$X$288)</f>
        <v>PIZZA AUX TROIS FROMAGES</v>
      </c>
      <c r="Y305" s="477">
        <f>IF($X$305="","",$Y$288)</f>
        <v>48</v>
      </c>
      <c r="Z305" s="477">
        <f>IF($X$305="","",$Z$288)</f>
        <v>100</v>
      </c>
      <c r="AA305" s="477">
        <f>IF($AC$305="","",ROW($A$305)-ROW($A$288))</f>
        <v>17</v>
      </c>
      <c r="AB305" s="478"/>
      <c r="AC305" s="34" t="s">
        <v>202</v>
      </c>
      <c r="AD305" s="356"/>
      <c r="AE305" s="18">
        <v>10</v>
      </c>
      <c r="AF305" s="16" t="s">
        <v>8</v>
      </c>
      <c r="AG305" s="480">
        <f t="shared" si="76"/>
        <v>10</v>
      </c>
      <c r="AH305" s="481" t="str">
        <f t="shared" si="77"/>
        <v>G</v>
      </c>
      <c r="AI305" s="477" t="str">
        <f>IF($AC$305="","",IFERROR(INDEX($AZ$74:$AZ$119,MATCH($AH$305,$AY$74:$AY$119,0)),"AUTRE"))</f>
        <v>MASSE</v>
      </c>
      <c r="AJ305" s="482">
        <f>IF($AC$305="","",IFERROR(INDEX($BA$74:$BA$119,MATCH($AH$305,$AY$74:$AY$119,0)),1))</f>
        <v>1E-3</v>
      </c>
      <c r="AK305" s="482">
        <f t="shared" si="66"/>
        <v>0.01</v>
      </c>
      <c r="AL305" s="477" t="str">
        <f>IF($AC$305="","",IFERROR(INDEX($BB$74:$BB$119,MATCH($AH$305,$AY$74:$AY$119,0)),$AH$305))</f>
        <v>kg</v>
      </c>
      <c r="AM305" s="483" t="str">
        <f t="shared" si="78"/>
        <v>OK</v>
      </c>
      <c r="AN305" s="484">
        <f t="shared" si="79"/>
        <v>10</v>
      </c>
      <c r="AO305" s="473" t="str">
        <f t="shared" si="80"/>
        <v/>
      </c>
      <c r="AP305" s="473" t="str">
        <f t="shared" si="81"/>
        <v/>
      </c>
      <c r="AQ305" s="473" t="str">
        <f t="shared" si="82"/>
        <v/>
      </c>
      <c r="AR305" s="473" t="str">
        <f t="shared" si="83"/>
        <v/>
      </c>
      <c r="AS305" s="473" t="str">
        <f t="shared" si="84"/>
        <v/>
      </c>
      <c r="AT305" s="473" t="str">
        <f t="shared" si="85"/>
        <v/>
      </c>
      <c r="AU305" s="473" t="str">
        <f t="shared" si="86"/>
        <v/>
      </c>
      <c r="AZ305" s="14" t="s">
        <v>7</v>
      </c>
      <c r="BA305" s="34" t="s">
        <v>477</v>
      </c>
      <c r="BB305" s="499"/>
      <c r="BC305" s="271"/>
      <c r="BD305" s="279">
        <v>1</v>
      </c>
      <c r="BE305" s="271"/>
      <c r="BF305" s="271"/>
      <c r="BG305" s="271"/>
      <c r="BH305" s="271"/>
      <c r="BI305" s="271"/>
      <c r="BJ305" s="271"/>
      <c r="BK305" s="271"/>
      <c r="BL305" s="271"/>
    </row>
    <row r="306" spans="18:64" ht="21" customHeight="1" x14ac:dyDescent="0.25">
      <c r="R306" s="25" t="s">
        <v>6134</v>
      </c>
      <c r="S306" s="451"/>
      <c r="T306" s="497" t="s">
        <v>463</v>
      </c>
      <c r="V306" s="475">
        <v>7</v>
      </c>
      <c r="W306" s="475" t="str">
        <f>IF($AC$306="","",$W$288)</f>
        <v>N° 31</v>
      </c>
      <c r="X306" s="476" t="str">
        <f>IF($AC$306="","",$X$288)</f>
        <v>PIZZA AUX TROIS FROMAGES</v>
      </c>
      <c r="Y306" s="477">
        <f>IF($X$306="","",$Y$288)</f>
        <v>48</v>
      </c>
      <c r="Z306" s="477">
        <f>IF($X$306="","",$Z$288)</f>
        <v>100</v>
      </c>
      <c r="AA306" s="477">
        <f>IF($AC$306="","",ROW($A$306)-ROW($A$288))</f>
        <v>18</v>
      </c>
      <c r="AB306" s="478"/>
      <c r="AC306" s="34" t="s">
        <v>203</v>
      </c>
      <c r="AD306" s="356"/>
      <c r="AE306" s="18">
        <v>40</v>
      </c>
      <c r="AF306" s="16" t="s">
        <v>8</v>
      </c>
      <c r="AG306" s="480">
        <f t="shared" si="76"/>
        <v>40</v>
      </c>
      <c r="AH306" s="481" t="str">
        <f t="shared" si="77"/>
        <v>G</v>
      </c>
      <c r="AI306" s="477" t="str">
        <f>IF($AC$306="","",IFERROR(INDEX($AZ$74:$AZ$119,MATCH($AH$306,$AY$74:$AY$119,0)),"AUTRE"))</f>
        <v>MASSE</v>
      </c>
      <c r="AJ306" s="482">
        <f>IF($AC$306="","",IFERROR(INDEX($BA$74:$BA$119,MATCH($AH$306,$AY$74:$AY$119,0)),1))</f>
        <v>1E-3</v>
      </c>
      <c r="AK306" s="482">
        <f t="shared" si="66"/>
        <v>0.04</v>
      </c>
      <c r="AL306" s="477" t="str">
        <f>IF($AC$306="","",IFERROR(INDEX($BB$74:$BB$119,MATCH($AH$306,$AY$74:$AY$119,0)),$AH$306))</f>
        <v>kg</v>
      </c>
      <c r="AM306" s="483" t="str">
        <f t="shared" si="78"/>
        <v>OK</v>
      </c>
      <c r="AN306" s="484">
        <f t="shared" si="79"/>
        <v>40</v>
      </c>
      <c r="AO306" s="473" t="str">
        <f t="shared" si="80"/>
        <v/>
      </c>
      <c r="AP306" s="473" t="str">
        <f t="shared" si="81"/>
        <v/>
      </c>
      <c r="AQ306" s="473" t="str">
        <f t="shared" si="82"/>
        <v/>
      </c>
      <c r="AR306" s="473" t="str">
        <f t="shared" si="83"/>
        <v/>
      </c>
      <c r="AS306" s="473" t="str">
        <f t="shared" si="84"/>
        <v/>
      </c>
      <c r="AT306" s="473" t="str">
        <f t="shared" si="85"/>
        <v/>
      </c>
      <c r="AU306" s="473" t="str">
        <f t="shared" si="86"/>
        <v/>
      </c>
      <c r="AZ306" s="27" t="s">
        <v>8</v>
      </c>
      <c r="BB306" s="499"/>
      <c r="BC306" s="271"/>
      <c r="BD306" s="279">
        <v>1</v>
      </c>
      <c r="BE306" s="271"/>
      <c r="BF306" s="271"/>
      <c r="BG306" s="271"/>
      <c r="BH306" s="271"/>
      <c r="BI306" s="271"/>
      <c r="BJ306" s="271"/>
      <c r="BK306" s="271"/>
      <c r="BL306" s="271"/>
    </row>
    <row r="307" spans="18:64" ht="21" customHeight="1" x14ac:dyDescent="0.25">
      <c r="R307" s="34" t="s">
        <v>481</v>
      </c>
      <c r="S307" s="451"/>
      <c r="T307" s="497" t="s">
        <v>8147</v>
      </c>
      <c r="V307" s="475">
        <v>7</v>
      </c>
      <c r="W307" s="475" t="str">
        <f>IF($AC$307="","",$W$288)</f>
        <v/>
      </c>
      <c r="X307" s="476" t="str">
        <f>IF($AC$307="","",$X$288)</f>
        <v/>
      </c>
      <c r="Y307" s="477" t="str">
        <f>IF($X$307="","",$Y$288)</f>
        <v/>
      </c>
      <c r="Z307" s="477" t="str">
        <f>IF($X$307="","",$Z$288)</f>
        <v/>
      </c>
      <c r="AA307" s="477" t="str">
        <f>IF($AC$307="","",ROW($A$307)-ROW($A$288))</f>
        <v/>
      </c>
      <c r="AB307" s="478"/>
      <c r="AC307" s="34"/>
      <c r="AD307" s="356"/>
      <c r="AE307" s="18"/>
      <c r="AF307" s="19"/>
      <c r="AG307" s="480" t="str">
        <f t="shared" si="76"/>
        <v/>
      </c>
      <c r="AH307" s="481" t="str">
        <f t="shared" si="77"/>
        <v/>
      </c>
      <c r="AI307" s="477" t="str">
        <f>IF($AC$307="","",IFERROR(INDEX($AZ$74:$AZ$119,MATCH($AH$307,$AY$74:$AY$119,0)),"AUTRE"))</f>
        <v/>
      </c>
      <c r="AJ307" s="482" t="str">
        <f>IF($AC$307="","",IFERROR(INDEX($BA$74:$BA$119,MATCH($AH$307,$AY$74:$AY$119,0)),1))</f>
        <v/>
      </c>
      <c r="AK307" s="482" t="str">
        <f t="shared" si="66"/>
        <v/>
      </c>
      <c r="AL307" s="477" t="str">
        <f>IF($AC$307="","",IFERROR(INDEX($BB$74:$BB$119,MATCH($AH$307,$AY$74:$AY$119,0)),$AH$307))</f>
        <v/>
      </c>
      <c r="AM307" s="483" t="str">
        <f t="shared" si="78"/>
        <v/>
      </c>
      <c r="AN307" s="484" t="str">
        <f t="shared" si="79"/>
        <v/>
      </c>
      <c r="AO307" s="473" t="str">
        <f t="shared" si="80"/>
        <v/>
      </c>
      <c r="AP307" s="473" t="str">
        <f t="shared" si="81"/>
        <v/>
      </c>
      <c r="AQ307" s="473" t="str">
        <f t="shared" si="82"/>
        <v/>
      </c>
      <c r="AR307" s="473" t="str">
        <f t="shared" si="83"/>
        <v/>
      </c>
      <c r="AS307" s="473" t="str">
        <f t="shared" si="84"/>
        <v/>
      </c>
      <c r="AT307" s="473" t="str">
        <f t="shared" si="85"/>
        <v/>
      </c>
      <c r="AU307" s="473" t="str">
        <f t="shared" si="86"/>
        <v/>
      </c>
      <c r="AZ307" s="28" t="s">
        <v>13</v>
      </c>
      <c r="BA307" s="25" t="s">
        <v>6134</v>
      </c>
      <c r="BB307" s="499"/>
      <c r="BC307" s="271"/>
      <c r="BD307" s="279">
        <v>1</v>
      </c>
      <c r="BE307" s="271"/>
      <c r="BF307" s="271"/>
      <c r="BG307" s="271"/>
      <c r="BH307" s="271"/>
      <c r="BI307" s="271"/>
      <c r="BJ307" s="271"/>
      <c r="BK307" s="271"/>
      <c r="BL307" s="271"/>
    </row>
    <row r="308" spans="18:64" ht="21" customHeight="1" x14ac:dyDescent="0.25">
      <c r="R308" s="34" t="s">
        <v>475</v>
      </c>
      <c r="S308" s="451"/>
      <c r="T308" s="497" t="s">
        <v>465</v>
      </c>
      <c r="V308" s="475">
        <v>7</v>
      </c>
      <c r="W308" s="475" t="str">
        <f>IF($AC$308="","",$W$288)</f>
        <v/>
      </c>
      <c r="X308" s="476" t="str">
        <f>IF($AC$308="","",$X$288)</f>
        <v/>
      </c>
      <c r="Y308" s="477" t="str">
        <f>IF($X$308="","",$Y$288)</f>
        <v/>
      </c>
      <c r="Z308" s="477" t="str">
        <f>IF($X$308="","",$Z$288)</f>
        <v/>
      </c>
      <c r="AA308" s="477" t="str">
        <f>IF($AC$308="","",ROW($A$308)-ROW($A$288))</f>
        <v/>
      </c>
      <c r="AB308" s="478"/>
      <c r="AC308" s="34"/>
      <c r="AD308" s="356"/>
      <c r="AE308" s="18"/>
      <c r="AF308" s="19"/>
      <c r="AG308" s="480" t="str">
        <f t="shared" si="76"/>
        <v/>
      </c>
      <c r="AH308" s="481" t="str">
        <f t="shared" si="77"/>
        <v/>
      </c>
      <c r="AI308" s="477" t="str">
        <f>IF($AC$308="","",IFERROR(INDEX($AZ$74:$AZ$119,MATCH($AH$308,$AY$74:$AY$119,0)),"AUTRE"))</f>
        <v/>
      </c>
      <c r="AJ308" s="482" t="str">
        <f>IF($AC$308="","",IFERROR(INDEX($BA$74:$BA$119,MATCH($AH$308,$AY$74:$AY$119,0)),1))</f>
        <v/>
      </c>
      <c r="AK308" s="482" t="str">
        <f t="shared" si="66"/>
        <v/>
      </c>
      <c r="AL308" s="477" t="str">
        <f>IF($AC$308="","",IFERROR(INDEX($BB$74:$BB$119,MATCH($AH$308,$AY$74:$AY$119,0)),$AH$308))</f>
        <v/>
      </c>
      <c r="AM308" s="483" t="str">
        <f t="shared" si="78"/>
        <v/>
      </c>
      <c r="AN308" s="484" t="str">
        <f t="shared" si="79"/>
        <v/>
      </c>
      <c r="AO308" s="473" t="str">
        <f t="shared" si="80"/>
        <v/>
      </c>
      <c r="AP308" s="473" t="str">
        <f t="shared" si="81"/>
        <v/>
      </c>
      <c r="AQ308" s="473" t="str">
        <f t="shared" si="82"/>
        <v/>
      </c>
      <c r="AR308" s="473" t="str">
        <f t="shared" si="83"/>
        <v/>
      </c>
      <c r="AS308" s="473" t="str">
        <f t="shared" si="84"/>
        <v/>
      </c>
      <c r="AT308" s="473" t="str">
        <f t="shared" si="85"/>
        <v/>
      </c>
      <c r="AU308" s="473" t="str">
        <f t="shared" si="86"/>
        <v/>
      </c>
      <c r="AZ308" s="28" t="s">
        <v>14</v>
      </c>
      <c r="BA308" s="34" t="s">
        <v>481</v>
      </c>
      <c r="BB308" s="499"/>
      <c r="BC308" s="271"/>
      <c r="BD308" s="279">
        <v>1</v>
      </c>
      <c r="BE308" s="271"/>
      <c r="BF308" s="271"/>
      <c r="BG308" s="271"/>
      <c r="BH308" s="271"/>
      <c r="BI308" s="271"/>
      <c r="BJ308" s="271"/>
      <c r="BK308" s="271"/>
      <c r="BL308" s="271"/>
    </row>
    <row r="309" spans="18:64" ht="21" customHeight="1" x14ac:dyDescent="0.25">
      <c r="R309" s="34" t="s">
        <v>457</v>
      </c>
      <c r="S309" s="451"/>
      <c r="T309" s="497" t="s">
        <v>466</v>
      </c>
      <c r="V309" s="475">
        <v>7</v>
      </c>
      <c r="W309" s="475" t="str">
        <f>IF($AC$309="","",$W$288)</f>
        <v/>
      </c>
      <c r="X309" s="476" t="str">
        <f>IF($AC$309="","",$X$288)</f>
        <v/>
      </c>
      <c r="Y309" s="477" t="str">
        <f>IF($X$309="","",$Y$288)</f>
        <v/>
      </c>
      <c r="Z309" s="477" t="str">
        <f>IF($X$309="","",$Z$288)</f>
        <v/>
      </c>
      <c r="AA309" s="477" t="str">
        <f>IF($AC$309="","",ROW($A$309)-ROW($A$288))</f>
        <v/>
      </c>
      <c r="AB309" s="478"/>
      <c r="AC309" s="34"/>
      <c r="AD309" s="356"/>
      <c r="AE309" s="18"/>
      <c r="AF309" s="19"/>
      <c r="AG309" s="480" t="str">
        <f t="shared" si="76"/>
        <v/>
      </c>
      <c r="AH309" s="481" t="str">
        <f t="shared" si="77"/>
        <v/>
      </c>
      <c r="AI309" s="477" t="str">
        <f>IF($AC$309="","",IFERROR(INDEX($AZ$74:$AZ$119,MATCH($AH$309,$AY$74:$AY$119,0)),"AUTRE"))</f>
        <v/>
      </c>
      <c r="AJ309" s="482" t="str">
        <f>IF($AC$309="","",IFERROR(INDEX($BA$74:$BA$119,MATCH($AH$309,$AY$74:$AY$119,0)),1))</f>
        <v/>
      </c>
      <c r="AK309" s="482" t="str">
        <f t="shared" si="66"/>
        <v/>
      </c>
      <c r="AL309" s="477" t="str">
        <f>IF($AC$309="","",IFERROR(INDEX($BB$74:$BB$119,MATCH($AH$309,$AY$74:$AY$119,0)),$AH$309))</f>
        <v/>
      </c>
      <c r="AM309" s="483" t="str">
        <f t="shared" si="78"/>
        <v/>
      </c>
      <c r="AN309" s="484" t="str">
        <f t="shared" si="79"/>
        <v/>
      </c>
      <c r="AO309" s="473" t="str">
        <f t="shared" si="80"/>
        <v/>
      </c>
      <c r="AP309" s="473" t="str">
        <f t="shared" si="81"/>
        <v/>
      </c>
      <c r="AQ309" s="473" t="str">
        <f t="shared" si="82"/>
        <v/>
      </c>
      <c r="AR309" s="473" t="str">
        <f t="shared" si="83"/>
        <v/>
      </c>
      <c r="AS309" s="473" t="str">
        <f t="shared" si="84"/>
        <v/>
      </c>
      <c r="AT309" s="473" t="str">
        <f t="shared" si="85"/>
        <v/>
      </c>
      <c r="AU309" s="473" t="str">
        <f t="shared" si="86"/>
        <v/>
      </c>
      <c r="AZ309" s="28" t="s">
        <v>15</v>
      </c>
      <c r="BA309" s="34" t="s">
        <v>475</v>
      </c>
      <c r="BB309" s="499"/>
      <c r="BC309" s="271"/>
      <c r="BD309" s="279">
        <v>1</v>
      </c>
      <c r="BE309" s="271"/>
      <c r="BF309" s="271"/>
      <c r="BG309" s="271"/>
      <c r="BH309" s="271"/>
      <c r="BI309" s="271"/>
      <c r="BJ309" s="271"/>
      <c r="BK309" s="271"/>
      <c r="BL309" s="271"/>
    </row>
    <row r="310" spans="18:64" ht="21" customHeight="1" x14ac:dyDescent="0.25">
      <c r="R310" s="34" t="s">
        <v>482</v>
      </c>
      <c r="S310" s="451"/>
      <c r="T310" s="440" t="s">
        <v>8110</v>
      </c>
      <c r="V310" s="475">
        <v>7</v>
      </c>
      <c r="W310" s="475" t="str">
        <f>IF($AC$310="","",$W$288)</f>
        <v/>
      </c>
      <c r="X310" s="476" t="str">
        <f>IF($AC$310="","",$X$288)</f>
        <v/>
      </c>
      <c r="Y310" s="477" t="str">
        <f>IF($X$310="","",$Y$288)</f>
        <v/>
      </c>
      <c r="Z310" s="477" t="str">
        <f>IF($X$310="","",$Z$288)</f>
        <v/>
      </c>
      <c r="AA310" s="477" t="str">
        <f>IF($AC$310="","",ROW($A$310)-ROW($A$288))</f>
        <v/>
      </c>
      <c r="AB310" s="478"/>
      <c r="AC310" s="34"/>
      <c r="AD310" s="356"/>
      <c r="AE310" s="18"/>
      <c r="AF310" s="19"/>
      <c r="AG310" s="480" t="str">
        <f t="shared" si="76"/>
        <v/>
      </c>
      <c r="AH310" s="481" t="str">
        <f t="shared" si="77"/>
        <v/>
      </c>
      <c r="AI310" s="477" t="str">
        <f>IF($AC$310="","",IFERROR(INDEX($AZ$74:$AZ$119,MATCH($AH$310,$AY$74:$AY$119,0)),"AUTRE"))</f>
        <v/>
      </c>
      <c r="AJ310" s="482" t="str">
        <f>IF($AC$310="","",IFERROR(INDEX($BA$74:$BA$119,MATCH($AH$310,$AY$74:$AY$119,0)),1))</f>
        <v/>
      </c>
      <c r="AK310" s="482" t="str">
        <f t="shared" si="66"/>
        <v/>
      </c>
      <c r="AL310" s="477" t="str">
        <f>IF($AC$310="","",IFERROR(INDEX($BB$74:$BB$119,MATCH($AH$310,$AY$74:$AY$119,0)),$AH$310))</f>
        <v/>
      </c>
      <c r="AM310" s="483" t="str">
        <f t="shared" si="78"/>
        <v/>
      </c>
      <c r="AN310" s="484" t="str">
        <f t="shared" si="79"/>
        <v/>
      </c>
      <c r="AO310" s="473" t="str">
        <f t="shared" si="80"/>
        <v/>
      </c>
      <c r="AP310" s="473" t="str">
        <f t="shared" si="81"/>
        <v/>
      </c>
      <c r="AQ310" s="473" t="str">
        <f t="shared" si="82"/>
        <v/>
      </c>
      <c r="AR310" s="473" t="str">
        <f t="shared" si="83"/>
        <v/>
      </c>
      <c r="AS310" s="473" t="str">
        <f t="shared" si="84"/>
        <v/>
      </c>
      <c r="AT310" s="473" t="str">
        <f t="shared" si="85"/>
        <v/>
      </c>
      <c r="AU310" s="473" t="str">
        <f t="shared" si="86"/>
        <v/>
      </c>
      <c r="AZ310" s="29" t="s">
        <v>9</v>
      </c>
      <c r="BA310" s="34" t="s">
        <v>457</v>
      </c>
      <c r="BB310" s="499"/>
      <c r="BC310" s="271"/>
      <c r="BD310" s="279">
        <v>1</v>
      </c>
      <c r="BE310" s="271"/>
      <c r="BF310" s="271"/>
      <c r="BG310" s="271"/>
      <c r="BH310" s="271"/>
      <c r="BI310" s="271"/>
      <c r="BJ310" s="271"/>
      <c r="BK310" s="271"/>
      <c r="BL310" s="271"/>
    </row>
    <row r="311" spans="18:64" ht="21" customHeight="1" x14ac:dyDescent="0.25">
      <c r="R311" s="34" t="s">
        <v>496</v>
      </c>
      <c r="S311" s="451"/>
      <c r="T311" s="452" t="s">
        <v>8113</v>
      </c>
      <c r="V311" s="475">
        <v>7</v>
      </c>
      <c r="W311" s="475" t="str">
        <f>IF($AC$311="","",$W$288)</f>
        <v/>
      </c>
      <c r="X311" s="476" t="str">
        <f>IF($AC$311="","",$X$288)</f>
        <v/>
      </c>
      <c r="Y311" s="477" t="str">
        <f>IF($X$311="","",$Y$288)</f>
        <v/>
      </c>
      <c r="Z311" s="477" t="str">
        <f>IF($X$311="","",$Z$288)</f>
        <v/>
      </c>
      <c r="AA311" s="477" t="str">
        <f>IF($AC$311="","",ROW($A$311)-ROW($A$288))</f>
        <v/>
      </c>
      <c r="AB311" s="478"/>
      <c r="AC311" s="34"/>
      <c r="AD311" s="356"/>
      <c r="AE311" s="18"/>
      <c r="AF311" s="19"/>
      <c r="AG311" s="480" t="str">
        <f t="shared" si="76"/>
        <v/>
      </c>
      <c r="AH311" s="481" t="str">
        <f t="shared" si="77"/>
        <v/>
      </c>
      <c r="AI311" s="477" t="str">
        <f>IF($AC$311="","",IFERROR(INDEX($AZ$74:$AZ$119,MATCH($AH$311,$AY$74:$AY$119,0)),"AUTRE"))</f>
        <v/>
      </c>
      <c r="AJ311" s="482" t="str">
        <f>IF($AC$311="","",IFERROR(INDEX($BA$74:$BA$119,MATCH($AH$311,$AY$74:$AY$119,0)),1))</f>
        <v/>
      </c>
      <c r="AK311" s="482" t="str">
        <f t="shared" si="66"/>
        <v/>
      </c>
      <c r="AL311" s="477" t="str">
        <f>IF($AC$311="","",IFERROR(INDEX($BB$74:$BB$119,MATCH($AH$311,$AY$74:$AY$119,0)),$AH$311))</f>
        <v/>
      </c>
      <c r="AM311" s="483" t="str">
        <f t="shared" si="78"/>
        <v/>
      </c>
      <c r="AN311" s="484" t="str">
        <f t="shared" si="79"/>
        <v/>
      </c>
      <c r="AO311" s="473" t="str">
        <f t="shared" si="80"/>
        <v/>
      </c>
      <c r="AP311" s="473" t="str">
        <f t="shared" si="81"/>
        <v/>
      </c>
      <c r="AQ311" s="473" t="str">
        <f t="shared" si="82"/>
        <v/>
      </c>
      <c r="AR311" s="473" t="str">
        <f t="shared" si="83"/>
        <v/>
      </c>
      <c r="AS311" s="473" t="str">
        <f t="shared" si="84"/>
        <v/>
      </c>
      <c r="AT311" s="473" t="str">
        <f t="shared" si="85"/>
        <v/>
      </c>
      <c r="AU311" s="473" t="str">
        <f t="shared" si="86"/>
        <v/>
      </c>
      <c r="AZ311" s="30" t="s">
        <v>10</v>
      </c>
      <c r="BA311" s="34" t="s">
        <v>482</v>
      </c>
      <c r="BB311" s="499"/>
      <c r="BC311" s="271"/>
      <c r="BD311" s="279">
        <v>1</v>
      </c>
      <c r="BE311" s="271"/>
      <c r="BF311" s="271"/>
      <c r="BG311" s="271"/>
      <c r="BH311" s="271"/>
      <c r="BI311" s="271"/>
      <c r="BJ311" s="271"/>
      <c r="BK311" s="271"/>
      <c r="BL311" s="271"/>
    </row>
    <row r="312" spans="18:64" ht="21" customHeight="1" x14ac:dyDescent="0.25">
      <c r="R312" s="34" t="s">
        <v>483</v>
      </c>
      <c r="S312" s="451"/>
      <c r="T312" s="14" t="s">
        <v>7</v>
      </c>
      <c r="V312" s="475">
        <v>7</v>
      </c>
      <c r="W312" s="475" t="str">
        <f>IF($AC$312="","",$W$288)</f>
        <v/>
      </c>
      <c r="X312" s="476" t="str">
        <f>IF($AC$312="","",$X$288)</f>
        <v/>
      </c>
      <c r="Y312" s="477" t="str">
        <f>IF($X$312="","",$Y$288)</f>
        <v/>
      </c>
      <c r="Z312" s="477" t="str">
        <f>IF($X$312="","",$Z$288)</f>
        <v/>
      </c>
      <c r="AA312" s="477" t="str">
        <f>IF($AC$312="","",ROW($A$312)-ROW($A$288))</f>
        <v/>
      </c>
      <c r="AB312" s="478"/>
      <c r="AC312" s="34"/>
      <c r="AD312" s="356"/>
      <c r="AE312" s="18"/>
      <c r="AF312" s="19"/>
      <c r="AG312" s="480" t="str">
        <f t="shared" si="76"/>
        <v/>
      </c>
      <c r="AH312" s="481" t="str">
        <f t="shared" si="77"/>
        <v/>
      </c>
      <c r="AI312" s="477" t="str">
        <f>IF($AC$312="","",IFERROR(INDEX($AZ$74:$AZ$119,MATCH($AH$312,$AY$74:$AY$119,0)),"AUTRE"))</f>
        <v/>
      </c>
      <c r="AJ312" s="482" t="str">
        <f>IF($AC$312="","",IFERROR(INDEX($BA$74:$BA$119,MATCH($AH$312,$AY$74:$AY$119,0)),1))</f>
        <v/>
      </c>
      <c r="AK312" s="482" t="str">
        <f t="shared" si="66"/>
        <v/>
      </c>
      <c r="AL312" s="477" t="str">
        <f>IF($AC$312="","",IFERROR(INDEX($BB$74:$BB$119,MATCH($AH$312,$AY$74:$AY$119,0)),$AH$312))</f>
        <v/>
      </c>
      <c r="AM312" s="483" t="str">
        <f t="shared" si="78"/>
        <v/>
      </c>
      <c r="AN312" s="484" t="str">
        <f t="shared" si="79"/>
        <v/>
      </c>
      <c r="AO312" s="473" t="str">
        <f t="shared" si="80"/>
        <v/>
      </c>
      <c r="AP312" s="473" t="str">
        <f t="shared" si="81"/>
        <v/>
      </c>
      <c r="AQ312" s="473" t="str">
        <f t="shared" si="82"/>
        <v/>
      </c>
      <c r="AR312" s="473" t="str">
        <f t="shared" si="83"/>
        <v/>
      </c>
      <c r="AS312" s="473" t="str">
        <f t="shared" si="84"/>
        <v/>
      </c>
      <c r="AT312" s="473" t="str">
        <f t="shared" si="85"/>
        <v/>
      </c>
      <c r="AU312" s="473" t="str">
        <f t="shared" si="86"/>
        <v/>
      </c>
      <c r="AZ312" s="30" t="s">
        <v>11</v>
      </c>
      <c r="BA312" s="34" t="s">
        <v>496</v>
      </c>
      <c r="BB312" s="499"/>
      <c r="BC312" s="271"/>
      <c r="BD312" s="279">
        <v>1</v>
      </c>
      <c r="BE312" s="271"/>
      <c r="BF312" s="271"/>
      <c r="BG312" s="271"/>
      <c r="BH312" s="271"/>
      <c r="BI312" s="271"/>
      <c r="BJ312" s="271"/>
      <c r="BK312" s="271"/>
      <c r="BL312" s="271"/>
    </row>
    <row r="313" spans="18:64" ht="21" customHeight="1" x14ac:dyDescent="0.25">
      <c r="R313" s="34" t="s">
        <v>493</v>
      </c>
      <c r="S313" s="451"/>
      <c r="T313" s="27" t="s">
        <v>8</v>
      </c>
      <c r="V313" s="475">
        <v>7</v>
      </c>
      <c r="W313" s="475" t="str">
        <f>IF($AC$313="","",$W$288)</f>
        <v/>
      </c>
      <c r="X313" s="476" t="str">
        <f>IF($AC$313="","",$X$288)</f>
        <v/>
      </c>
      <c r="Y313" s="477" t="str">
        <f>IF($X$313="","",$Y$288)</f>
        <v/>
      </c>
      <c r="Z313" s="477" t="str">
        <f>IF($X$313="","",$Z$288)</f>
        <v/>
      </c>
      <c r="AA313" s="477" t="str">
        <f>IF($AC$313="","",ROW($A$313)-ROW($A$288))</f>
        <v/>
      </c>
      <c r="AB313" s="478"/>
      <c r="AC313" s="34"/>
      <c r="AD313" s="356"/>
      <c r="AE313" s="18"/>
      <c r="AF313" s="19"/>
      <c r="AG313" s="480" t="str">
        <f t="shared" si="76"/>
        <v/>
      </c>
      <c r="AH313" s="481" t="str">
        <f t="shared" si="77"/>
        <v/>
      </c>
      <c r="AI313" s="477" t="str">
        <f>IF($AC$313="","",IFERROR(INDEX($AZ$74:$AZ$119,MATCH($AH$313,$AY$74:$AY$119,0)),"AUTRE"))</f>
        <v/>
      </c>
      <c r="AJ313" s="482" t="str">
        <f>IF($AC$313="","",IFERROR(INDEX($BA$74:$BA$119,MATCH($AH$313,$AY$74:$AY$119,0)),1))</f>
        <v/>
      </c>
      <c r="AK313" s="482" t="str">
        <f t="shared" si="66"/>
        <v/>
      </c>
      <c r="AL313" s="477" t="str">
        <f>IF($AC$313="","",IFERROR(INDEX($BB$74:$BB$119,MATCH($AH$313,$AY$74:$AY$119,0)),$AH$313))</f>
        <v/>
      </c>
      <c r="AM313" s="483" t="str">
        <f t="shared" si="78"/>
        <v/>
      </c>
      <c r="AN313" s="484" t="str">
        <f t="shared" si="79"/>
        <v/>
      </c>
      <c r="AO313" s="473" t="str">
        <f t="shared" si="80"/>
        <v/>
      </c>
      <c r="AP313" s="473" t="str">
        <f t="shared" si="81"/>
        <v/>
      </c>
      <c r="AQ313" s="473" t="str">
        <f t="shared" si="82"/>
        <v/>
      </c>
      <c r="AR313" s="473" t="str">
        <f t="shared" si="83"/>
        <v/>
      </c>
      <c r="AS313" s="473" t="str">
        <f t="shared" si="84"/>
        <v/>
      </c>
      <c r="AT313" s="473" t="str">
        <f t="shared" si="85"/>
        <v/>
      </c>
      <c r="AU313" s="473" t="str">
        <f t="shared" si="86"/>
        <v/>
      </c>
      <c r="AZ313" s="30" t="s">
        <v>12</v>
      </c>
      <c r="BA313" s="34" t="s">
        <v>483</v>
      </c>
      <c r="BB313" s="499"/>
      <c r="BC313" s="271"/>
      <c r="BD313" s="279">
        <v>1</v>
      </c>
      <c r="BE313" s="271"/>
      <c r="BF313" s="271"/>
      <c r="BG313" s="271"/>
      <c r="BH313" s="271"/>
      <c r="BI313" s="271"/>
      <c r="BJ313" s="271"/>
      <c r="BK313" s="271"/>
      <c r="BL313" s="271"/>
    </row>
    <row r="314" spans="18:64" ht="21" customHeight="1" x14ac:dyDescent="0.25">
      <c r="R314" s="34" t="s">
        <v>494</v>
      </c>
      <c r="S314" s="451"/>
      <c r="T314" s="28" t="s">
        <v>13</v>
      </c>
      <c r="V314" s="475">
        <v>7</v>
      </c>
      <c r="W314" s="475" t="str">
        <f>IF($AC$314="","",$W$288)</f>
        <v/>
      </c>
      <c r="X314" s="476" t="str">
        <f>IF($AC$314="","",$X$288)</f>
        <v/>
      </c>
      <c r="Y314" s="477" t="str">
        <f>IF($X$314="","",$Y$288)</f>
        <v/>
      </c>
      <c r="Z314" s="477" t="str">
        <f>IF($X$314="","",$Z$288)</f>
        <v/>
      </c>
      <c r="AA314" s="477" t="str">
        <f>IF($AC$314="","",ROW($A$314)-ROW($A$288))</f>
        <v/>
      </c>
      <c r="AB314" s="478"/>
      <c r="AC314" s="34"/>
      <c r="AD314" s="356"/>
      <c r="AE314" s="18"/>
      <c r="AF314" s="19"/>
      <c r="AG314" s="480" t="str">
        <f t="shared" si="76"/>
        <v/>
      </c>
      <c r="AH314" s="481" t="str">
        <f t="shared" si="77"/>
        <v/>
      </c>
      <c r="AI314" s="477" t="str">
        <f>IF($AC$314="","",IFERROR(INDEX($AZ$74:$AZ$119,MATCH($AH$314,$AY$74:$AY$119,0)),"AUTRE"))</f>
        <v/>
      </c>
      <c r="AJ314" s="482" t="str">
        <f>IF($AC$314="","",IFERROR(INDEX($BA$74:$BA$119,MATCH($AH$314,$AY$74:$AY$119,0)),1))</f>
        <v/>
      </c>
      <c r="AK314" s="482" t="str">
        <f t="shared" si="66"/>
        <v/>
      </c>
      <c r="AL314" s="477" t="str">
        <f>IF($AC$314="","",IFERROR(INDEX($BB$74:$BB$119,MATCH($AH$314,$AY$74:$AY$119,0)),$AH$314))</f>
        <v/>
      </c>
      <c r="AM314" s="483" t="str">
        <f t="shared" si="78"/>
        <v/>
      </c>
      <c r="AN314" s="484" t="str">
        <f t="shared" si="79"/>
        <v/>
      </c>
      <c r="AO314" s="473" t="str">
        <f t="shared" si="80"/>
        <v/>
      </c>
      <c r="AP314" s="473" t="str">
        <f t="shared" si="81"/>
        <v/>
      </c>
      <c r="AQ314" s="473" t="str">
        <f t="shared" si="82"/>
        <v/>
      </c>
      <c r="AR314" s="473" t="str">
        <f t="shared" si="83"/>
        <v/>
      </c>
      <c r="AS314" s="473" t="str">
        <f t="shared" si="84"/>
        <v/>
      </c>
      <c r="AT314" s="473" t="str">
        <f t="shared" si="85"/>
        <v/>
      </c>
      <c r="AU314" s="473" t="str">
        <f t="shared" si="86"/>
        <v/>
      </c>
      <c r="AZ314" s="31" t="s">
        <v>16</v>
      </c>
      <c r="BA314" s="34" t="s">
        <v>493</v>
      </c>
      <c r="BB314" s="499"/>
      <c r="BC314" s="271"/>
      <c r="BD314" s="279">
        <v>1</v>
      </c>
      <c r="BE314" s="271"/>
      <c r="BF314" s="271"/>
      <c r="BG314" s="271"/>
      <c r="BH314" s="271"/>
      <c r="BI314" s="271"/>
      <c r="BJ314" s="271"/>
      <c r="BK314" s="271"/>
      <c r="BL314" s="271"/>
    </row>
    <row r="315" spans="18:64" ht="21" customHeight="1" x14ac:dyDescent="0.25">
      <c r="S315" s="451"/>
      <c r="T315" s="28" t="s">
        <v>14</v>
      </c>
      <c r="V315" s="475">
        <v>7</v>
      </c>
      <c r="W315" s="475" t="str">
        <f>IF($AC$315="","",$W$288)</f>
        <v/>
      </c>
      <c r="X315" s="476" t="str">
        <f>IF($AC$315="","",$X$288)</f>
        <v/>
      </c>
      <c r="Y315" s="477" t="str">
        <f>IF($X$315="","",$Y$288)</f>
        <v/>
      </c>
      <c r="Z315" s="477" t="str">
        <f>IF($X$315="","",$Z$288)</f>
        <v/>
      </c>
      <c r="AA315" s="477" t="str">
        <f>IF($AC$315="","",ROW($A$315)-ROW($A$288))</f>
        <v/>
      </c>
      <c r="AB315" s="478"/>
      <c r="AC315" s="34"/>
      <c r="AD315" s="356"/>
      <c r="AE315" s="18"/>
      <c r="AF315" s="19"/>
      <c r="AG315" s="480" t="str">
        <f t="shared" si="76"/>
        <v/>
      </c>
      <c r="AH315" s="481" t="str">
        <f t="shared" si="77"/>
        <v/>
      </c>
      <c r="AI315" s="477" t="str">
        <f>IF($AC$315="","",IFERROR(INDEX($AZ$74:$AZ$119,MATCH($AH$315,$AY$74:$AY$119,0)),"AUTRE"))</f>
        <v/>
      </c>
      <c r="AJ315" s="482" t="str">
        <f>IF($AC$315="","",IFERROR(INDEX($BA$74:$BA$119,MATCH($AH$315,$AY$74:$AY$119,0)),1))</f>
        <v/>
      </c>
      <c r="AK315" s="482" t="str">
        <f t="shared" si="66"/>
        <v/>
      </c>
      <c r="AL315" s="477" t="str">
        <f>IF($AC$315="","",IFERROR(INDEX($BB$74:$BB$119,MATCH($AH$315,$AY$74:$AY$119,0)),$AH$315))</f>
        <v/>
      </c>
      <c r="AM315" s="483" t="str">
        <f t="shared" si="78"/>
        <v/>
      </c>
      <c r="AN315" s="484" t="str">
        <f t="shared" si="79"/>
        <v/>
      </c>
      <c r="AO315" s="473" t="str">
        <f t="shared" si="80"/>
        <v/>
      </c>
      <c r="AP315" s="473" t="str">
        <f t="shared" si="81"/>
        <v/>
      </c>
      <c r="AQ315" s="473" t="str">
        <f t="shared" si="82"/>
        <v/>
      </c>
      <c r="AR315" s="473" t="str">
        <f t="shared" si="83"/>
        <v/>
      </c>
      <c r="AS315" s="473" t="str">
        <f t="shared" si="84"/>
        <v/>
      </c>
      <c r="AT315" s="473" t="str">
        <f t="shared" si="85"/>
        <v/>
      </c>
      <c r="AU315" s="473" t="str">
        <f t="shared" si="86"/>
        <v/>
      </c>
      <c r="AZ315" s="31" t="s">
        <v>17</v>
      </c>
      <c r="BA315" s="34" t="s">
        <v>494</v>
      </c>
      <c r="BB315" s="499"/>
      <c r="BC315" s="271"/>
      <c r="BD315" s="279">
        <v>1</v>
      </c>
      <c r="BE315" s="271"/>
      <c r="BF315" s="271"/>
      <c r="BG315" s="271"/>
      <c r="BH315" s="271"/>
      <c r="BI315" s="271"/>
      <c r="BJ315" s="271"/>
      <c r="BK315" s="271"/>
      <c r="BL315" s="271"/>
    </row>
    <row r="316" spans="18:64" ht="21" customHeight="1" x14ac:dyDescent="0.25">
      <c r="R316" s="25" t="s">
        <v>6115</v>
      </c>
      <c r="S316" s="451"/>
      <c r="T316" s="28" t="s">
        <v>15</v>
      </c>
      <c r="V316" s="475">
        <v>7</v>
      </c>
      <c r="W316" s="475" t="str">
        <f>IF($AC$316="","",$W$288)</f>
        <v/>
      </c>
      <c r="X316" s="476" t="str">
        <f>IF($AC$316="","",$X$288)</f>
        <v/>
      </c>
      <c r="Y316" s="477" t="str">
        <f>IF($X$316="","",$Y$288)</f>
        <v/>
      </c>
      <c r="Z316" s="477" t="str">
        <f>IF($X$316="","",$Z$288)</f>
        <v/>
      </c>
      <c r="AA316" s="477" t="str">
        <f>IF($AC$316="","",ROW($A$316)-ROW($A$288))</f>
        <v/>
      </c>
      <c r="AB316" s="478"/>
      <c r="AC316" s="34"/>
      <c r="AD316" s="356"/>
      <c r="AE316" s="18"/>
      <c r="AF316" s="19"/>
      <c r="AG316" s="480" t="str">
        <f t="shared" si="76"/>
        <v/>
      </c>
      <c r="AH316" s="481" t="str">
        <f t="shared" si="77"/>
        <v/>
      </c>
      <c r="AI316" s="477" t="str">
        <f>IF($AC$316="","",IFERROR(INDEX($AZ$74:$AZ$119,MATCH($AH$316,$AY$74:$AY$119,0)),"AUTRE"))</f>
        <v/>
      </c>
      <c r="AJ316" s="482" t="str">
        <f>IF($AC$316="","",IFERROR(INDEX($BA$74:$BA$119,MATCH($AH$316,$AY$74:$AY$119,0)),1))</f>
        <v/>
      </c>
      <c r="AK316" s="482" t="str">
        <f t="shared" ref="AK316:AK322" si="87">IF(OR(AG316="",AJ316=""),"",AG316*AJ316)</f>
        <v/>
      </c>
      <c r="AL316" s="477" t="str">
        <f>IF($AC$316="","",IFERROR(INDEX($BB$74:$BB$119,MATCH($AH$316,$AY$74:$AY$119,0)),$AH$316))</f>
        <v/>
      </c>
      <c r="AM316" s="483" t="str">
        <f t="shared" si="78"/>
        <v/>
      </c>
      <c r="AN316" s="484" t="str">
        <f t="shared" si="79"/>
        <v/>
      </c>
      <c r="AO316" s="473" t="str">
        <f t="shared" si="80"/>
        <v/>
      </c>
      <c r="AP316" s="473" t="str">
        <f t="shared" si="81"/>
        <v/>
      </c>
      <c r="AQ316" s="473" t="str">
        <f t="shared" si="82"/>
        <v/>
      </c>
      <c r="AR316" s="473" t="str">
        <f t="shared" si="83"/>
        <v/>
      </c>
      <c r="AS316" s="473" t="str">
        <f t="shared" si="84"/>
        <v/>
      </c>
      <c r="AT316" s="473" t="str">
        <f t="shared" si="85"/>
        <v/>
      </c>
      <c r="AU316" s="473" t="str">
        <f t="shared" si="86"/>
        <v/>
      </c>
      <c r="AY316" s="271"/>
      <c r="AZ316" s="31" t="s">
        <v>18</v>
      </c>
      <c r="BB316" s="499"/>
      <c r="BC316" s="271"/>
      <c r="BD316" s="279">
        <v>1</v>
      </c>
      <c r="BE316" s="271"/>
      <c r="BF316" s="271"/>
      <c r="BG316" s="271"/>
      <c r="BH316" s="271"/>
      <c r="BI316" s="271"/>
      <c r="BJ316" s="271"/>
      <c r="BK316" s="271"/>
      <c r="BL316" s="271"/>
    </row>
    <row r="317" spans="18:64" ht="21" customHeight="1" x14ac:dyDescent="0.25">
      <c r="R317" s="34" t="s">
        <v>471</v>
      </c>
      <c r="S317" s="451"/>
      <c r="T317" s="28" t="s">
        <v>21</v>
      </c>
      <c r="V317" s="475">
        <v>7</v>
      </c>
      <c r="W317" s="475" t="str">
        <f>IF($AC$317="","",$W$288)</f>
        <v/>
      </c>
      <c r="X317" s="476" t="str">
        <f>IF($AC$317="","",$X$288)</f>
        <v/>
      </c>
      <c r="Y317" s="477" t="str">
        <f>IF($X$317="","",$Y$288)</f>
        <v/>
      </c>
      <c r="Z317" s="477" t="str">
        <f>IF($X$317="","",$Z$288)</f>
        <v/>
      </c>
      <c r="AA317" s="477" t="str">
        <f>IF($AC$317="","",ROW($A$317)-ROW($A$288))</f>
        <v/>
      </c>
      <c r="AB317" s="478"/>
      <c r="AC317" s="34"/>
      <c r="AD317" s="356"/>
      <c r="AE317" s="18"/>
      <c r="AF317" s="19"/>
      <c r="AG317" s="480" t="str">
        <f t="shared" si="76"/>
        <v/>
      </c>
      <c r="AH317" s="481" t="str">
        <f t="shared" si="77"/>
        <v/>
      </c>
      <c r="AI317" s="477" t="str">
        <f>IF($AC$317="","",IFERROR(INDEX($AZ$74:$AZ$119,MATCH($AH$317,$AY$74:$AY$119,0)),"AUTRE"))</f>
        <v/>
      </c>
      <c r="AJ317" s="482" t="str">
        <f>IF($AC$317="","",IFERROR(INDEX($BA$74:$BA$119,MATCH($AH$317,$AY$74:$AY$119,0)),1))</f>
        <v/>
      </c>
      <c r="AK317" s="482" t="str">
        <f t="shared" si="87"/>
        <v/>
      </c>
      <c r="AL317" s="477" t="str">
        <f>IF($AC$317="","",IFERROR(INDEX($BB$74:$BB$119,MATCH($AH$317,$AY$74:$AY$119,0)),$AH$317))</f>
        <v/>
      </c>
      <c r="AM317" s="483" t="str">
        <f t="shared" si="78"/>
        <v/>
      </c>
      <c r="AN317" s="484" t="str">
        <f t="shared" si="79"/>
        <v/>
      </c>
      <c r="AO317" s="473" t="str">
        <f t="shared" si="80"/>
        <v/>
      </c>
      <c r="AP317" s="473" t="str">
        <f t="shared" si="81"/>
        <v/>
      </c>
      <c r="AQ317" s="473" t="str">
        <f t="shared" si="82"/>
        <v/>
      </c>
      <c r="AR317" s="473" t="str">
        <f t="shared" si="83"/>
        <v/>
      </c>
      <c r="AS317" s="473" t="str">
        <f t="shared" si="84"/>
        <v/>
      </c>
      <c r="AT317" s="473" t="str">
        <f t="shared" si="85"/>
        <v/>
      </c>
      <c r="AU317" s="473" t="str">
        <f t="shared" si="86"/>
        <v/>
      </c>
      <c r="AY317" s="497" t="s">
        <v>8145</v>
      </c>
      <c r="AZ317" s="31" t="s">
        <v>19</v>
      </c>
      <c r="BA317" s="25" t="s">
        <v>6115</v>
      </c>
      <c r="BB317" s="499"/>
      <c r="BC317" s="271"/>
      <c r="BD317" s="279">
        <v>1</v>
      </c>
      <c r="BE317" s="271"/>
      <c r="BF317" s="271"/>
      <c r="BG317" s="271"/>
      <c r="BH317" s="271"/>
      <c r="BI317" s="271"/>
      <c r="BJ317" s="271"/>
      <c r="BK317" s="271"/>
      <c r="BL317" s="271"/>
    </row>
    <row r="318" spans="18:64" ht="21" customHeight="1" x14ac:dyDescent="0.25">
      <c r="R318" s="34" t="s">
        <v>472</v>
      </c>
      <c r="S318" s="451"/>
      <c r="T318" s="28" t="s">
        <v>22</v>
      </c>
      <c r="V318" s="475">
        <v>7</v>
      </c>
      <c r="W318" s="475" t="str">
        <f>IF($AC$318="","",$W$288)</f>
        <v/>
      </c>
      <c r="X318" s="476" t="str">
        <f>IF($AC$318="","",$X$288)</f>
        <v/>
      </c>
      <c r="Y318" s="477" t="str">
        <f>IF($X$318="","",$Y$288)</f>
        <v/>
      </c>
      <c r="Z318" s="477" t="str">
        <f>IF($X$318="","",$Z$288)</f>
        <v/>
      </c>
      <c r="AA318" s="477" t="str">
        <f>IF($AC$318="","",ROW($A$318)-ROW($A$288))</f>
        <v/>
      </c>
      <c r="AB318" s="478"/>
      <c r="AC318" s="34"/>
      <c r="AD318" s="356"/>
      <c r="AE318" s="18"/>
      <c r="AF318" s="19"/>
      <c r="AG318" s="480" t="str">
        <f t="shared" si="76"/>
        <v/>
      </c>
      <c r="AH318" s="481" t="str">
        <f t="shared" si="77"/>
        <v/>
      </c>
      <c r="AI318" s="477" t="str">
        <f>IF($AC$318="","",IFERROR(INDEX($AZ$74:$AZ$119,MATCH($AH$318,$AY$74:$AY$119,0)),"AUTRE"))</f>
        <v/>
      </c>
      <c r="AJ318" s="482" t="str">
        <f>IF($AC$318="","",IFERROR(INDEX($BA$74:$BA$119,MATCH($AH$318,$AY$74:$AY$119,0)),1))</f>
        <v/>
      </c>
      <c r="AK318" s="482" t="str">
        <f t="shared" si="87"/>
        <v/>
      </c>
      <c r="AL318" s="477" t="str">
        <f>IF($AC$318="","",IFERROR(INDEX($BB$74:$BB$119,MATCH($AH$318,$AY$74:$AY$119,0)),$AH$318))</f>
        <v/>
      </c>
      <c r="AM318" s="483" t="str">
        <f t="shared" si="78"/>
        <v/>
      </c>
      <c r="AN318" s="484" t="str">
        <f t="shared" si="79"/>
        <v/>
      </c>
      <c r="AO318" s="473" t="str">
        <f t="shared" si="80"/>
        <v/>
      </c>
      <c r="AP318" s="473" t="str">
        <f t="shared" si="81"/>
        <v/>
      </c>
      <c r="AQ318" s="473" t="str">
        <f t="shared" si="82"/>
        <v/>
      </c>
      <c r="AR318" s="473" t="str">
        <f t="shared" si="83"/>
        <v/>
      </c>
      <c r="AS318" s="473" t="str">
        <f t="shared" si="84"/>
        <v/>
      </c>
      <c r="AT318" s="473" t="str">
        <f t="shared" si="85"/>
        <v/>
      </c>
      <c r="AU318" s="473" t="str">
        <f t="shared" si="86"/>
        <v/>
      </c>
      <c r="AY318" s="497" t="s">
        <v>462</v>
      </c>
      <c r="AZ318" s="31" t="s">
        <v>211</v>
      </c>
      <c r="BA318" s="34" t="s">
        <v>471</v>
      </c>
      <c r="BB318" s="499"/>
      <c r="BC318" s="271"/>
      <c r="BD318" s="279">
        <v>1</v>
      </c>
      <c r="BE318" s="271"/>
      <c r="BF318" s="271"/>
      <c r="BG318" s="271"/>
      <c r="BH318" s="271"/>
      <c r="BI318" s="271"/>
      <c r="BJ318" s="271"/>
      <c r="BK318" s="271"/>
      <c r="BL318" s="271"/>
    </row>
    <row r="319" spans="18:64" ht="21" customHeight="1" x14ac:dyDescent="0.25">
      <c r="R319" s="34" t="s">
        <v>6112</v>
      </c>
      <c r="S319" s="451"/>
      <c r="T319" s="28" t="s">
        <v>23</v>
      </c>
      <c r="V319" s="475">
        <v>7</v>
      </c>
      <c r="W319" s="475" t="str">
        <f>IF($AC$319="","",$W$288)</f>
        <v/>
      </c>
      <c r="X319" s="476" t="str">
        <f>IF($AC$319="","",$X$288)</f>
        <v/>
      </c>
      <c r="Y319" s="477" t="str">
        <f>IF($X$319="","",$Y$288)</f>
        <v/>
      </c>
      <c r="Z319" s="477" t="str">
        <f>IF($X$319="","",$Z$288)</f>
        <v/>
      </c>
      <c r="AA319" s="477" t="str">
        <f>IF($AC$319="","",ROW($A$319)-ROW($A$288))</f>
        <v/>
      </c>
      <c r="AB319" s="478"/>
      <c r="AC319" s="34"/>
      <c r="AD319" s="356"/>
      <c r="AE319" s="18"/>
      <c r="AF319" s="19"/>
      <c r="AG319" s="480" t="str">
        <f t="shared" si="76"/>
        <v/>
      </c>
      <c r="AH319" s="481" t="str">
        <f t="shared" si="77"/>
        <v/>
      </c>
      <c r="AI319" s="477" t="str">
        <f>IF($AC$319="","",IFERROR(INDEX($AZ$74:$AZ$119,MATCH($AH$319,$AY$74:$AY$119,0)),"AUTRE"))</f>
        <v/>
      </c>
      <c r="AJ319" s="482" t="str">
        <f>IF($AC$319="","",IFERROR(INDEX($BA$74:$BA$119,MATCH($AH$319,$AY$74:$AY$119,0)),1))</f>
        <v/>
      </c>
      <c r="AK319" s="482" t="str">
        <f t="shared" si="87"/>
        <v/>
      </c>
      <c r="AL319" s="477" t="str">
        <f>IF($AC$319="","",IFERROR(INDEX($BB$74:$BB$119,MATCH($AH$319,$AY$74:$AY$119,0)),$AH$319))</f>
        <v/>
      </c>
      <c r="AM319" s="483" t="str">
        <f t="shared" si="78"/>
        <v/>
      </c>
      <c r="AN319" s="484" t="str">
        <f t="shared" si="79"/>
        <v/>
      </c>
      <c r="AO319" s="473" t="str">
        <f t="shared" si="80"/>
        <v/>
      </c>
      <c r="AP319" s="473" t="str">
        <f t="shared" si="81"/>
        <v/>
      </c>
      <c r="AQ319" s="473" t="str">
        <f t="shared" si="82"/>
        <v/>
      </c>
      <c r="AR319" s="473" t="str">
        <f t="shared" si="83"/>
        <v/>
      </c>
      <c r="AS319" s="473" t="str">
        <f t="shared" si="84"/>
        <v/>
      </c>
      <c r="AT319" s="473" t="str">
        <f t="shared" si="85"/>
        <v/>
      </c>
      <c r="AU319" s="473" t="str">
        <f t="shared" si="86"/>
        <v/>
      </c>
      <c r="AY319" s="497" t="s">
        <v>463</v>
      </c>
      <c r="AZ319" s="31" t="s">
        <v>20</v>
      </c>
      <c r="BA319" s="34" t="s">
        <v>472</v>
      </c>
      <c r="BB319" s="499"/>
      <c r="BC319" s="271"/>
      <c r="BD319" s="279">
        <v>1</v>
      </c>
      <c r="BE319" s="271"/>
      <c r="BF319" s="271"/>
      <c r="BG319" s="271"/>
      <c r="BH319" s="271"/>
      <c r="BI319" s="271"/>
      <c r="BJ319" s="271"/>
      <c r="BK319" s="271"/>
      <c r="BL319" s="271"/>
    </row>
    <row r="320" spans="18:64" ht="21" customHeight="1" x14ac:dyDescent="0.25">
      <c r="R320" s="25" t="s">
        <v>6116</v>
      </c>
      <c r="S320" s="451"/>
      <c r="T320" s="28" t="s">
        <v>24</v>
      </c>
      <c r="V320" s="475">
        <v>7</v>
      </c>
      <c r="W320" s="475" t="str">
        <f>IF($AC$320="","",$W$288)</f>
        <v>N° 31</v>
      </c>
      <c r="X320" s="476" t="str">
        <f>IF($AC$320="","",$X$288)</f>
        <v>PIZZA AUX TROIS FROMAGES</v>
      </c>
      <c r="Y320" s="477">
        <f>IF($X$320="","",$Y$288)</f>
        <v>48</v>
      </c>
      <c r="Z320" s="477">
        <f>IF($X$320="","",$Z$288)</f>
        <v>100</v>
      </c>
      <c r="AA320" s="477">
        <f>IF($AC$320="","",ROW($A$320)-ROW($A$288))</f>
        <v>32</v>
      </c>
      <c r="AB320" s="478"/>
      <c r="AC320" s="34" t="s">
        <v>493</v>
      </c>
      <c r="AD320" s="356"/>
      <c r="AE320" s="18">
        <v>17</v>
      </c>
      <c r="AF320" s="33" t="s">
        <v>466</v>
      </c>
      <c r="AG320" s="480">
        <f t="shared" si="76"/>
        <v>17</v>
      </c>
      <c r="AH320" s="481" t="str">
        <f t="shared" si="77"/>
        <v>PLAQUE(S)</v>
      </c>
      <c r="AI320" s="477" t="str">
        <f>IF($AC$320="","",IFERROR(INDEX($AZ$74:$AZ$119,MATCH($AH$320,$AY$74:$AY$119,0)),"AUTRE"))</f>
        <v>AUTRE</v>
      </c>
      <c r="AJ320" s="482">
        <f>IF($AC$320="","",IFERROR(INDEX($BA$74:$BA$119,MATCH($AH$320,$AY$74:$AY$119,0)),1))</f>
        <v>1</v>
      </c>
      <c r="AK320" s="482">
        <f t="shared" si="87"/>
        <v>17</v>
      </c>
      <c r="AL320" s="477" t="str">
        <f>IF($AC$320="","",IFERROR(INDEX($BB$74:$BB$119,MATCH($AH$320,$AY$74:$AY$119,0)),$AH$320))</f>
        <v>plaque(s)</v>
      </c>
      <c r="AM320" s="483" t="str">
        <f t="shared" si="78"/>
        <v>OK</v>
      </c>
      <c r="AN320" s="484">
        <f t="shared" si="79"/>
        <v>17</v>
      </c>
      <c r="AO320" s="473" t="str">
        <f t="shared" si="80"/>
        <v/>
      </c>
      <c r="AP320" s="473" t="str">
        <f t="shared" si="81"/>
        <v/>
      </c>
      <c r="AQ320" s="473" t="str">
        <f t="shared" si="82"/>
        <v/>
      </c>
      <c r="AR320" s="473" t="str">
        <f t="shared" si="83"/>
        <v/>
      </c>
      <c r="AS320" s="473" t="str">
        <f t="shared" si="84"/>
        <v/>
      </c>
      <c r="AT320" s="473" t="str">
        <f t="shared" si="85"/>
        <v/>
      </c>
      <c r="AU320" s="473" t="str">
        <f t="shared" si="86"/>
        <v/>
      </c>
      <c r="AY320" s="497" t="s">
        <v>8147</v>
      </c>
      <c r="AZ320" s="31" t="s">
        <v>304</v>
      </c>
      <c r="BA320" s="34" t="s">
        <v>6112</v>
      </c>
      <c r="BB320" s="499"/>
      <c r="BC320" s="271"/>
      <c r="BD320" s="279">
        <v>1</v>
      </c>
      <c r="BE320" s="271"/>
      <c r="BF320" s="271"/>
      <c r="BG320" s="271"/>
      <c r="BH320" s="271"/>
      <c r="BI320" s="271"/>
      <c r="BJ320" s="271"/>
      <c r="BK320" s="271"/>
      <c r="BL320" s="271"/>
    </row>
    <row r="321" spans="18:64" ht="21" customHeight="1" x14ac:dyDescent="0.25">
      <c r="R321" s="34" t="s">
        <v>6117</v>
      </c>
      <c r="S321" s="451"/>
      <c r="T321" s="29" t="s">
        <v>9</v>
      </c>
      <c r="V321" s="475">
        <v>7</v>
      </c>
      <c r="W321" s="475" t="str">
        <f>IF($AC$321="","",$W$288)</f>
        <v>N° 31</v>
      </c>
      <c r="X321" s="476" t="str">
        <f>IF($AC$321="","",$X$288)</f>
        <v>PIZZA AUX TROIS FROMAGES</v>
      </c>
      <c r="Y321" s="477">
        <f>IF($X$321="","",$Y$288)</f>
        <v>48</v>
      </c>
      <c r="Z321" s="477">
        <f>IF($X$321="","",$Z$288)</f>
        <v>100</v>
      </c>
      <c r="AA321" s="477">
        <f>IF($AC$321="","",ROW($A$321)-ROW($A$288))</f>
        <v>33</v>
      </c>
      <c r="AB321" s="478"/>
      <c r="AC321" s="34" t="s">
        <v>470</v>
      </c>
      <c r="AD321" s="356"/>
      <c r="AE321" s="18">
        <v>1</v>
      </c>
      <c r="AF321" s="33" t="s">
        <v>462</v>
      </c>
      <c r="AG321" s="480">
        <f t="shared" si="76"/>
        <v>1</v>
      </c>
      <c r="AH321" s="481" t="str">
        <f t="shared" si="77"/>
        <v>BAC(S)</v>
      </c>
      <c r="AI321" s="477" t="str">
        <f>IF($AC$321="","",IFERROR(INDEX($AZ$74:$AZ$119,MATCH($AH$321,$AY$74:$AY$119,0)),"AUTRE"))</f>
        <v>AUTRE</v>
      </c>
      <c r="AJ321" s="482">
        <f>IF($AC$321="","",IFERROR(INDEX($BA$74:$BA$119,MATCH($AH$321,$AY$74:$AY$119,0)),1))</f>
        <v>1</v>
      </c>
      <c r="AK321" s="482">
        <f t="shared" si="87"/>
        <v>1</v>
      </c>
      <c r="AL321" s="477" t="str">
        <f>IF($AC$321="","",IFERROR(INDEX($BB$74:$BB$119,MATCH($AH$321,$AY$74:$AY$119,0)),$AH$321))</f>
        <v>bac(s)</v>
      </c>
      <c r="AM321" s="483" t="str">
        <f t="shared" si="78"/>
        <v>OK</v>
      </c>
      <c r="AN321" s="484">
        <f t="shared" si="79"/>
        <v>1</v>
      </c>
      <c r="AO321" s="473" t="str">
        <f t="shared" si="80"/>
        <v/>
      </c>
      <c r="AP321" s="473" t="str">
        <f t="shared" si="81"/>
        <v/>
      </c>
      <c r="AQ321" s="473" t="str">
        <f t="shared" si="82"/>
        <v/>
      </c>
      <c r="AR321" s="473" t="str">
        <f t="shared" si="83"/>
        <v/>
      </c>
      <c r="AS321" s="473" t="str">
        <f t="shared" si="84"/>
        <v/>
      </c>
      <c r="AT321" s="473" t="str">
        <f t="shared" si="85"/>
        <v/>
      </c>
      <c r="AU321" s="473" t="str">
        <f t="shared" si="86"/>
        <v/>
      </c>
      <c r="AY321" s="497" t="s">
        <v>465</v>
      </c>
      <c r="AZ321" s="31" t="s">
        <v>352</v>
      </c>
      <c r="BA321" s="25" t="s">
        <v>6116</v>
      </c>
      <c r="BB321" s="499"/>
      <c r="BC321" s="271"/>
      <c r="BD321" s="279">
        <v>1</v>
      </c>
      <c r="BE321" s="271"/>
      <c r="BF321" s="271"/>
      <c r="BG321" s="271"/>
      <c r="BH321" s="271"/>
      <c r="BI321" s="271"/>
      <c r="BJ321" s="271"/>
      <c r="BK321" s="271"/>
      <c r="BL321" s="271"/>
    </row>
    <row r="322" spans="18:64" ht="21" customHeight="1" x14ac:dyDescent="0.25">
      <c r="R322" s="34" t="s">
        <v>469</v>
      </c>
      <c r="S322" s="451"/>
      <c r="T322" s="30" t="s">
        <v>10</v>
      </c>
      <c r="V322" s="475">
        <v>7</v>
      </c>
      <c r="W322" s="475" t="str">
        <f>IF($AC$322="","",$W$288)</f>
        <v>N° 31</v>
      </c>
      <c r="X322" s="476" t="str">
        <f>IF($AC$322="","",$X$288)</f>
        <v>PIZZA AUX TROIS FROMAGES</v>
      </c>
      <c r="Y322" s="477">
        <f>IF($X$322="","",$Y$288)</f>
        <v>48</v>
      </c>
      <c r="Z322" s="477">
        <f>IF($X$322="","",$Z$288)</f>
        <v>100</v>
      </c>
      <c r="AA322" s="477">
        <f>IF($AC$322="","",ROW($A$322)-ROW($A$288))</f>
        <v>34</v>
      </c>
      <c r="AB322" s="478"/>
      <c r="AC322" s="34" t="s">
        <v>478</v>
      </c>
      <c r="AD322" s="356"/>
      <c r="AE322" s="18">
        <v>1</v>
      </c>
      <c r="AF322" s="33" t="s">
        <v>462</v>
      </c>
      <c r="AG322" s="491">
        <f t="shared" si="76"/>
        <v>1</v>
      </c>
      <c r="AH322" s="481" t="str">
        <f t="shared" si="77"/>
        <v>BAC(S)</v>
      </c>
      <c r="AI322" s="477" t="str">
        <f>IF($AC$322="","",IFERROR(INDEX($AZ$74:$AZ$119,MATCH($AH$322,$AY$74:$AY$119,0)),"AUTRE"))</f>
        <v>AUTRE</v>
      </c>
      <c r="AJ322" s="482">
        <f>IF($AC$322="","",IFERROR(INDEX($BA$74:$BA$119,MATCH($AH$322,$AY$74:$AY$119,0)),1))</f>
        <v>1</v>
      </c>
      <c r="AK322" s="482">
        <f t="shared" si="87"/>
        <v>1</v>
      </c>
      <c r="AL322" s="477" t="str">
        <f>IF($AC$322="","",IFERROR(INDEX($BB$74:$BB$119,MATCH($AH$322,$AY$74:$AY$119,0)),$AH$322))</f>
        <v>bac(s)</v>
      </c>
      <c r="AM322" s="483" t="str">
        <f t="shared" si="78"/>
        <v>OK</v>
      </c>
      <c r="AN322" s="484">
        <f t="shared" si="79"/>
        <v>1</v>
      </c>
      <c r="AO322" s="473" t="str">
        <f t="shared" si="80"/>
        <v/>
      </c>
      <c r="AP322" s="473" t="str">
        <f t="shared" si="81"/>
        <v/>
      </c>
      <c r="AQ322" s="473" t="str">
        <f t="shared" si="82"/>
        <v/>
      </c>
      <c r="AR322" s="473" t="str">
        <f t="shared" si="83"/>
        <v/>
      </c>
      <c r="AS322" s="473" t="str">
        <f t="shared" si="84"/>
        <v/>
      </c>
      <c r="AT322" s="473" t="str">
        <f t="shared" si="85"/>
        <v/>
      </c>
      <c r="AU322" s="473" t="str">
        <f t="shared" si="86"/>
        <v/>
      </c>
      <c r="AY322" s="497" t="s">
        <v>466</v>
      </c>
      <c r="AZ322" s="31" t="s">
        <v>27</v>
      </c>
      <c r="BA322" s="34" t="s">
        <v>6117</v>
      </c>
      <c r="BB322" s="499"/>
      <c r="BC322" s="271"/>
      <c r="BD322" s="279">
        <v>1</v>
      </c>
      <c r="BE322" s="271"/>
      <c r="BF322" s="271"/>
      <c r="BG322" s="271"/>
      <c r="BH322" s="271"/>
      <c r="BI322" s="271"/>
      <c r="BJ322" s="271"/>
      <c r="BK322" s="271"/>
      <c r="BL322" s="271"/>
    </row>
    <row r="323" spans="18:64" ht="30" customHeight="1" x14ac:dyDescent="0.25">
      <c r="R323" s="34" t="s">
        <v>6118</v>
      </c>
      <c r="S323" s="451"/>
      <c r="T323" s="30" t="s">
        <v>11</v>
      </c>
      <c r="V323" s="453" t="s">
        <v>324</v>
      </c>
      <c r="W323" s="453" t="s">
        <v>7912</v>
      </c>
      <c r="X323" s="453" t="s">
        <v>326</v>
      </c>
      <c r="Y323" s="453" t="s">
        <v>327</v>
      </c>
      <c r="Z323" s="454" t="s">
        <v>7930</v>
      </c>
      <c r="AA323" s="453" t="s">
        <v>7937</v>
      </c>
      <c r="AB323" s="455" t="s">
        <v>39</v>
      </c>
      <c r="AC323" s="455" t="s">
        <v>338</v>
      </c>
      <c r="AD323" s="455" t="s">
        <v>8114</v>
      </c>
      <c r="AE323" s="455" t="s">
        <v>339</v>
      </c>
      <c r="AF323" s="455" t="s">
        <v>7997</v>
      </c>
      <c r="AG323" s="453" t="s">
        <v>8018</v>
      </c>
      <c r="AH323" s="453" t="s">
        <v>8023</v>
      </c>
      <c r="AI323" s="453" t="s">
        <v>330</v>
      </c>
      <c r="AJ323" s="453" t="s">
        <v>8031</v>
      </c>
      <c r="AK323" s="453" t="s">
        <v>8037</v>
      </c>
      <c r="AL323" s="453" t="s">
        <v>8041</v>
      </c>
      <c r="AM323" s="453" t="s">
        <v>343</v>
      </c>
      <c r="AN323" s="457" t="s">
        <v>8115</v>
      </c>
      <c r="AO323" s="457" t="s">
        <v>8116</v>
      </c>
      <c r="AP323" s="656" t="s">
        <v>8117</v>
      </c>
      <c r="AQ323" s="656"/>
      <c r="AR323" s="656"/>
      <c r="AS323" s="656"/>
      <c r="AT323" s="656"/>
      <c r="AU323" s="657"/>
      <c r="AZ323" s="31" t="s">
        <v>28</v>
      </c>
      <c r="BA323" s="34" t="s">
        <v>469</v>
      </c>
      <c r="BB323" s="499"/>
      <c r="BC323" s="271"/>
      <c r="BD323" s="279">
        <v>1</v>
      </c>
      <c r="BE323" s="271"/>
      <c r="BF323" s="271"/>
      <c r="BG323" s="271"/>
      <c r="BH323" s="271"/>
      <c r="BI323" s="271"/>
      <c r="BJ323" s="271"/>
      <c r="BK323" s="271"/>
      <c r="BL323" s="271"/>
    </row>
    <row r="324" spans="18:64" ht="30" customHeight="1" x14ac:dyDescent="0.25">
      <c r="R324" s="34" t="s">
        <v>492</v>
      </c>
      <c r="S324" s="451"/>
      <c r="T324" s="30" t="s">
        <v>12</v>
      </c>
      <c r="V324" s="459">
        <v>8</v>
      </c>
      <c r="W324" s="460" t="s">
        <v>216</v>
      </c>
      <c r="X324" s="461" t="s">
        <v>215</v>
      </c>
      <c r="Y324" s="462">
        <v>49</v>
      </c>
      <c r="Z324" s="463">
        <v>100</v>
      </c>
      <c r="AA324" s="464">
        <f>IF($AC$396="","",ROW($A$396)-ROW($A$396))</f>
        <v>0</v>
      </c>
      <c r="AB324" s="461"/>
      <c r="AC324" s="465" t="s">
        <v>217</v>
      </c>
      <c r="AD324" s="390"/>
      <c r="AE324" s="13">
        <v>2</v>
      </c>
      <c r="AF324" s="11" t="s">
        <v>7</v>
      </c>
      <c r="AG324" s="467">
        <f t="shared" ref="AG324:AG358" si="88">IF($AC324="","",IF(LEN($AN324&amp;"")=0,"",$AN324))</f>
        <v>2</v>
      </c>
      <c r="AH324" s="468" t="str">
        <f t="shared" ref="AH324:AH358" si="89">IF($AC324="","",IF($AF324&lt;&gt;"",UPPER(TRIM(SUBSTITUTE(SUBSTITUTE($AF324&amp;"",CHAR(160)," ")," "," "))),$AP324))</f>
        <v>KG</v>
      </c>
      <c r="AI324" s="469" t="str">
        <f>IF($AC$324="","",IFERROR(INDEX($AZ$74:$AZ$119,MATCH($AH$324,$AY$74:$AY$119,0)),"AUTRE"))</f>
        <v>MASSE</v>
      </c>
      <c r="AJ324" s="470">
        <f>IF($AC$324="","",IFERROR(INDEX($BA$74:$BA$119,MATCH($AH$324,$AY$74:$AY$119,0)),1))</f>
        <v>1</v>
      </c>
      <c r="AK324" s="470">
        <f t="shared" ref="AK324:AK358" si="90">IF(OR(AG324="",AJ324=""),"",AG324*AJ324)</f>
        <v>2</v>
      </c>
      <c r="AL324" s="469" t="str">
        <f>IF($AC$324="","",IFERROR(INDEX($BB$74:$BB$119,MATCH($AH$324,$AY$74:$AY$119,0)),$AH$324))</f>
        <v>kg</v>
      </c>
      <c r="AM324" s="471" t="str">
        <f t="shared" ref="AM324:AM358" si="91">IF($AC324="","",IF($AH324="QT. SUFFISANTE","OK",IF($AG324="","TEXTE",IF(NOT(ISNUMBER($AG324)),"QUANTITÉ À CONTRÔLER",IF(COUNTIF($AY$74:$AY$119,$AH324)=0,"UNITÉ À CONTRÔLER","OK")))))</f>
        <v>OK</v>
      </c>
      <c r="AN324" s="474">
        <f t="shared" ref="AN324:AN358" si="92">IF($AE324&lt;&gt;"",$AE324,IF($AD324="","",IF(ISNUMBER($AD324),$AD324,IF($AO324="QT",0,IF($AO324="","",IFERROR(IF(ISNUMBER(SEARCH("/",$AO324)),VALUE(TRIM(LEFT($AO324,SEARCH("/",$AO324)-1)))/VALUE(TRIM(MID($AO324,SEARCH("/",$AO324)+1,99))),VALUE(SUBSTITUTE($AO324,".",","))),""))))))</f>
        <v>2</v>
      </c>
      <c r="AO324" s="473" t="str">
        <f t="shared" ref="AO324:AO358" si="93">IF($AD324="","",IF(ISNUMBER($AD324),$AD324,IF(OR(LEFT($AQ324,3)="QT.",LEFT($AQ324,4)="QUAN"),"QT",IF($AR324=999,$AQ324,TRIM(LEFT($AQ324,$AR324-1))))))</f>
        <v/>
      </c>
      <c r="AP324" s="473" t="str">
        <f t="shared" ref="AP324:AP358" si="94">IF($AD324="","",IF(ISNUMBER($AD324),"",IF(OR(LEFT($AQ324,3)="QT.",LEFT($AQ324,4)="QUAN"),"QT. SUFFISANTE",IF($AO324="","",TRIM(MID($AQ324,LEN($AO324&amp;"")+1,999))))))</f>
        <v/>
      </c>
      <c r="AQ324" s="473" t="str">
        <f t="shared" ref="AQ324:AQ358" si="95">IF($AD324="","",UPPER(TRIM(SUBSTITUTE(SUBSTITUTE($AD324&amp;"",CHAR(160)," ")," "," "))))</f>
        <v/>
      </c>
      <c r="AR324" s="473" t="str">
        <f t="shared" ref="AR324:AR358" si="96">IF($AQ324="","",MIN($AS324,$AT324,$AU324))</f>
        <v/>
      </c>
      <c r="AS324" s="473" t="str">
        <f t="shared" ref="AS324:AS358" si="97">IF($AQ324="","",MIN(IFERROR(SEARCH("A",$AQ324),999),IFERROR(SEARCH("B",$AQ324),999),IFERROR(SEARCH("C",$AQ324),999),IFERROR(SEARCH("D",$AQ324),999),IFERROR(SEARCH("E",$AQ324),999),IFERROR(SEARCH("F",$AQ324),999),IFERROR(SEARCH("G",$AQ324),999),IFERROR(SEARCH("H",$AQ324),999),IFERROR(SEARCH("I",$AQ324),999)))</f>
        <v/>
      </c>
      <c r="AT324" s="473" t="str">
        <f t="shared" ref="AT324:AT358" si="98">IF($AQ324="","",MIN(IFERROR(SEARCH("J",$AQ324),999),IFERROR(SEARCH("K",$AQ324),999),IFERROR(SEARCH("L",$AQ324),999),IFERROR(SEARCH("M",$AQ324),999),IFERROR(SEARCH("N",$AQ324),999),IFERROR(SEARCH("O",$AQ324),999),IFERROR(SEARCH("P",$AQ324),999),IFERROR(SEARCH("Q",$AQ324),999),IFERROR(SEARCH("R",$AQ324),999)))</f>
        <v/>
      </c>
      <c r="AU324" s="473" t="str">
        <f t="shared" ref="AU324:AU358" si="99">IF($AQ324="","",MIN(IFERROR(SEARCH("S",$AQ324),999),IFERROR(SEARCH("T",$AQ324),999),IFERROR(SEARCH("U",$AQ324),999),IFERROR(SEARCH("V",$AQ324),999),IFERROR(SEARCH("W",$AQ324),999),IFERROR(SEARCH("X",$AQ324),999),IFERROR(SEARCH("Y",$AQ324),999),IFERROR(SEARCH("Z",$AQ324),999)))</f>
        <v/>
      </c>
      <c r="AZ324" s="31" t="s">
        <v>29</v>
      </c>
      <c r="BA324" s="34" t="s">
        <v>6118</v>
      </c>
      <c r="BB324" s="499"/>
      <c r="BC324" s="271"/>
      <c r="BD324" s="279">
        <v>1</v>
      </c>
      <c r="BE324" s="271"/>
      <c r="BF324" s="271"/>
      <c r="BG324" s="271"/>
      <c r="BH324" s="271"/>
      <c r="BI324" s="271"/>
      <c r="BJ324" s="271"/>
      <c r="BK324" s="271"/>
      <c r="BL324" s="271"/>
    </row>
    <row r="325" spans="18:64" ht="21" customHeight="1" x14ac:dyDescent="0.25">
      <c r="R325" s="34" t="s">
        <v>458</v>
      </c>
      <c r="S325" s="451"/>
      <c r="T325" s="31" t="s">
        <v>16</v>
      </c>
      <c r="V325" s="475">
        <f>$V$324</f>
        <v>8</v>
      </c>
      <c r="W325" s="475" t="str">
        <f>IF($AC$325="","",$W$324)</f>
        <v>N° 32</v>
      </c>
      <c r="X325" s="476" t="str">
        <f>IF($AC$325="","",$X$324)</f>
        <v>MOUSSE DE FOIE DE VOLAILLE OLIVE</v>
      </c>
      <c r="Y325" s="477">
        <f>IF($X$325="","",$Y$324)</f>
        <v>49</v>
      </c>
      <c r="Z325" s="477">
        <f>IF($X$325="","",$Z$324)</f>
        <v>100</v>
      </c>
      <c r="AA325" s="477">
        <f>IF($AC$325="","",ROW($A$325)-ROW($A$324))</f>
        <v>1</v>
      </c>
      <c r="AB325" s="478"/>
      <c r="AC325" s="34" t="s">
        <v>443</v>
      </c>
      <c r="AD325" s="356"/>
      <c r="AE325" s="18">
        <v>1</v>
      </c>
      <c r="AF325" s="20" t="s">
        <v>9</v>
      </c>
      <c r="AG325" s="480">
        <f t="shared" si="88"/>
        <v>1</v>
      </c>
      <c r="AH325" s="481" t="str">
        <f t="shared" si="89"/>
        <v>L</v>
      </c>
      <c r="AI325" s="477" t="str">
        <f>IF($AC$325="","",IFERROR(INDEX($AZ$74:$AZ$119,MATCH($AH$325,$AY$74:$AY$119,0)),"AUTRE"))</f>
        <v>VOLUME</v>
      </c>
      <c r="AJ325" s="482">
        <f>IF($AC$325="","",IFERROR(INDEX($BA$74:$BA$119,MATCH($AH$325,$AY$74:$AY$119,0)),1))</f>
        <v>1</v>
      </c>
      <c r="AK325" s="482">
        <f t="shared" si="90"/>
        <v>1</v>
      </c>
      <c r="AL325" s="477" t="str">
        <f>IF($AC$325="","",IFERROR(INDEX($BB$74:$BB$119,MATCH($AH$325,$AY$74:$AY$119,0)),$AH$325))</f>
        <v>L</v>
      </c>
      <c r="AM325" s="483" t="str">
        <f t="shared" si="91"/>
        <v>OK</v>
      </c>
      <c r="AN325" s="484">
        <f t="shared" si="92"/>
        <v>1</v>
      </c>
      <c r="AO325" s="473" t="str">
        <f t="shared" si="93"/>
        <v/>
      </c>
      <c r="AP325" s="473" t="str">
        <f t="shared" si="94"/>
        <v/>
      </c>
      <c r="AQ325" s="473" t="str">
        <f t="shared" si="95"/>
        <v/>
      </c>
      <c r="AR325" s="473" t="str">
        <f t="shared" si="96"/>
        <v/>
      </c>
      <c r="AS325" s="473" t="str">
        <f t="shared" si="97"/>
        <v/>
      </c>
      <c r="AT325" s="473" t="str">
        <f t="shared" si="98"/>
        <v/>
      </c>
      <c r="AU325" s="473" t="str">
        <f t="shared" si="99"/>
        <v/>
      </c>
      <c r="AZ325" s="31" t="s">
        <v>30</v>
      </c>
      <c r="BA325" s="34" t="s">
        <v>492</v>
      </c>
      <c r="BB325" s="499"/>
      <c r="BC325" s="271"/>
      <c r="BD325" s="279">
        <v>1</v>
      </c>
      <c r="BE325" s="271"/>
      <c r="BF325" s="271"/>
      <c r="BG325" s="271"/>
      <c r="BH325" s="271"/>
      <c r="BI325" s="271"/>
      <c r="BJ325" s="271"/>
      <c r="BK325" s="271"/>
      <c r="BL325" s="271"/>
    </row>
    <row r="326" spans="18:64" ht="21" customHeight="1" x14ac:dyDescent="0.25">
      <c r="R326" s="490"/>
      <c r="S326" s="451"/>
      <c r="T326" s="31" t="s">
        <v>17</v>
      </c>
      <c r="V326" s="475">
        <v>8</v>
      </c>
      <c r="W326" s="475" t="str">
        <f>IF($AC$326="","",$W$324)</f>
        <v>N° 32</v>
      </c>
      <c r="X326" s="476" t="str">
        <f>IF($AC$326="","",$X$324)</f>
        <v>MOUSSE DE FOIE DE VOLAILLE OLIVE</v>
      </c>
      <c r="Y326" s="477">
        <f>IF($X$326="","",$Y$324)</f>
        <v>49</v>
      </c>
      <c r="Z326" s="477">
        <f>IF($X$326="","",$Z$324)</f>
        <v>100</v>
      </c>
      <c r="AA326" s="477">
        <f>IF($AC$326="","",ROW($A$326)-ROW($A$324))</f>
        <v>2</v>
      </c>
      <c r="AB326" s="478"/>
      <c r="AC326" s="34" t="s">
        <v>444</v>
      </c>
      <c r="AD326" s="356"/>
      <c r="AE326" s="18">
        <v>1</v>
      </c>
      <c r="AF326" s="22" t="s">
        <v>18</v>
      </c>
      <c r="AG326" s="480">
        <f t="shared" si="88"/>
        <v>1</v>
      </c>
      <c r="AH326" s="481" t="str">
        <f t="shared" si="89"/>
        <v>3.QUART/L</v>
      </c>
      <c r="AI326" s="477" t="str">
        <f>IF($AC$326="","",IFERROR(INDEX($AZ$74:$AZ$119,MATCH($AH$326,$AY$74:$AY$119,0)),"AUTRE"))</f>
        <v>VOLUME</v>
      </c>
      <c r="AJ326" s="482">
        <f>IF($AC$326="","",IFERROR(INDEX($BA$74:$BA$119,MATCH($AH$326,$AY$74:$AY$119,0)),1))</f>
        <v>0.75</v>
      </c>
      <c r="AK326" s="482">
        <f t="shared" si="90"/>
        <v>0.75</v>
      </c>
      <c r="AL326" s="477" t="str">
        <f>IF($AC$326="","",IFERROR(INDEX($BB$74:$BB$119,MATCH($AH$326,$AY$74:$AY$119,0)),$AH$326))</f>
        <v>L</v>
      </c>
      <c r="AM326" s="483" t="str">
        <f t="shared" si="91"/>
        <v>OK</v>
      </c>
      <c r="AN326" s="484">
        <f t="shared" si="92"/>
        <v>1</v>
      </c>
      <c r="AO326" s="473" t="str">
        <f t="shared" si="93"/>
        <v/>
      </c>
      <c r="AP326" s="473" t="str">
        <f t="shared" si="94"/>
        <v/>
      </c>
      <c r="AQ326" s="473" t="str">
        <f t="shared" si="95"/>
        <v/>
      </c>
      <c r="AR326" s="473" t="str">
        <f t="shared" si="96"/>
        <v/>
      </c>
      <c r="AS326" s="473" t="str">
        <f t="shared" si="97"/>
        <v/>
      </c>
      <c r="AT326" s="473" t="str">
        <f t="shared" si="98"/>
        <v/>
      </c>
      <c r="AU326" s="473" t="str">
        <f t="shared" si="99"/>
        <v/>
      </c>
      <c r="AZ326" s="32" t="s">
        <v>33</v>
      </c>
      <c r="BA326" s="34" t="s">
        <v>458</v>
      </c>
      <c r="BB326" s="499"/>
      <c r="BC326" s="271"/>
      <c r="BD326" s="279">
        <v>1</v>
      </c>
      <c r="BE326" s="271"/>
      <c r="BF326" s="271"/>
      <c r="BG326" s="271"/>
      <c r="BH326" s="271"/>
      <c r="BI326" s="271"/>
      <c r="BJ326" s="271"/>
      <c r="BK326" s="271"/>
      <c r="BL326" s="271"/>
    </row>
    <row r="327" spans="18:64" ht="21" customHeight="1" x14ac:dyDescent="0.25">
      <c r="R327" s="25" t="s">
        <v>6119</v>
      </c>
      <c r="S327" s="451"/>
      <c r="T327" s="31" t="s">
        <v>18</v>
      </c>
      <c r="V327" s="475">
        <v>8</v>
      </c>
      <c r="W327" s="475" t="str">
        <f>IF($AC$327="","",$W$324)</f>
        <v>N° 32</v>
      </c>
      <c r="X327" s="476" t="str">
        <f>IF($AC$327="","",$X$324)</f>
        <v>MOUSSE DE FOIE DE VOLAILLE OLIVE</v>
      </c>
      <c r="Y327" s="477">
        <f>IF($X$327="","",$Y$324)</f>
        <v>49</v>
      </c>
      <c r="Z327" s="477">
        <f>IF($X$327="","",$Z$324)</f>
        <v>100</v>
      </c>
      <c r="AA327" s="477">
        <f>IF($AC$327="","",ROW($A$327)-ROW($A$324))</f>
        <v>3</v>
      </c>
      <c r="AB327" s="478"/>
      <c r="AC327" s="34" t="s">
        <v>360</v>
      </c>
      <c r="AD327" s="356"/>
      <c r="AE327" s="18">
        <v>5</v>
      </c>
      <c r="AF327" s="20" t="s">
        <v>9</v>
      </c>
      <c r="AG327" s="480">
        <f t="shared" si="88"/>
        <v>5</v>
      </c>
      <c r="AH327" s="481" t="str">
        <f t="shared" si="89"/>
        <v>L</v>
      </c>
      <c r="AI327" s="477" t="str">
        <f>IF($AC$327="","",IFERROR(INDEX($AZ$74:$AZ$119,MATCH($AH$327,$AY$74:$AY$119,0)),"AUTRE"))</f>
        <v>VOLUME</v>
      </c>
      <c r="AJ327" s="482">
        <f>IF($AC$327="","",IFERROR(INDEX($BA$74:$BA$119,MATCH($AH$327,$AY$74:$AY$119,0)),1))</f>
        <v>1</v>
      </c>
      <c r="AK327" s="482">
        <f t="shared" si="90"/>
        <v>5</v>
      </c>
      <c r="AL327" s="477" t="str">
        <f>IF($AC$327="","",IFERROR(INDEX($BB$74:$BB$119,MATCH($AH$327,$AY$74:$AY$119,0)),$AH$327))</f>
        <v>L</v>
      </c>
      <c r="AM327" s="483" t="str">
        <f t="shared" si="91"/>
        <v>OK</v>
      </c>
      <c r="AN327" s="484">
        <f t="shared" si="92"/>
        <v>5</v>
      </c>
      <c r="AO327" s="473" t="str">
        <f t="shared" si="93"/>
        <v/>
      </c>
      <c r="AP327" s="473" t="str">
        <f t="shared" si="94"/>
        <v/>
      </c>
      <c r="AQ327" s="473" t="str">
        <f t="shared" si="95"/>
        <v/>
      </c>
      <c r="AR327" s="473" t="str">
        <f t="shared" si="96"/>
        <v/>
      </c>
      <c r="AS327" s="473" t="str">
        <f t="shared" si="97"/>
        <v/>
      </c>
      <c r="AT327" s="473" t="str">
        <f t="shared" si="98"/>
        <v/>
      </c>
      <c r="AU327" s="473" t="str">
        <f t="shared" si="99"/>
        <v/>
      </c>
      <c r="AZ327" s="32" t="s">
        <v>8125</v>
      </c>
      <c r="BA327" s="490"/>
      <c r="BB327" s="499"/>
      <c r="BC327" s="271"/>
      <c r="BD327" s="279">
        <v>1</v>
      </c>
      <c r="BE327" s="271"/>
      <c r="BF327" s="271"/>
      <c r="BG327" s="271"/>
      <c r="BH327" s="271"/>
      <c r="BI327" s="271"/>
      <c r="BJ327" s="271"/>
      <c r="BK327" s="271"/>
      <c r="BL327" s="271"/>
    </row>
    <row r="328" spans="18:64" ht="21" customHeight="1" x14ac:dyDescent="0.25">
      <c r="R328" s="34" t="s">
        <v>6120</v>
      </c>
      <c r="S328" s="451"/>
      <c r="T328" s="31" t="s">
        <v>19</v>
      </c>
      <c r="V328" s="475">
        <v>8</v>
      </c>
      <c r="W328" s="475" t="str">
        <f>IF($AC$328="","",$W$324)</f>
        <v>N° 32</v>
      </c>
      <c r="X328" s="476" t="str">
        <f>IF($AC$328="","",$X$324)</f>
        <v>MOUSSE DE FOIE DE VOLAILLE OLIVE</v>
      </c>
      <c r="Y328" s="477">
        <f>IF($X$328="","",$Y$324)</f>
        <v>49</v>
      </c>
      <c r="Z328" s="477">
        <f>IF($X$328="","",$Z$324)</f>
        <v>100</v>
      </c>
      <c r="AA328" s="477">
        <f>IF($AC$328="","",ROW($A$328)-ROW($A$324))</f>
        <v>4</v>
      </c>
      <c r="AB328" s="478"/>
      <c r="AC328" s="34" t="s">
        <v>373</v>
      </c>
      <c r="AD328" s="356"/>
      <c r="AE328" s="18">
        <v>1.5</v>
      </c>
      <c r="AF328" s="20" t="s">
        <v>9</v>
      </c>
      <c r="AG328" s="480">
        <f t="shared" si="88"/>
        <v>1.5</v>
      </c>
      <c r="AH328" s="481" t="str">
        <f t="shared" si="89"/>
        <v>L</v>
      </c>
      <c r="AI328" s="477" t="str">
        <f>IF($AC$328="","",IFERROR(INDEX($AZ$74:$AZ$119,MATCH($AH$328,$AY$74:$AY$119,0)),"AUTRE"))</f>
        <v>VOLUME</v>
      </c>
      <c r="AJ328" s="482">
        <f>IF($AC$328="","",IFERROR(INDEX($BA$74:$BA$119,MATCH($AH$328,$AY$74:$AY$119,0)),1))</f>
        <v>1</v>
      </c>
      <c r="AK328" s="482">
        <f t="shared" si="90"/>
        <v>1.5</v>
      </c>
      <c r="AL328" s="477" t="str">
        <f>IF($AC$328="","",IFERROR(INDEX($BB$74:$BB$119,MATCH($AH$328,$AY$74:$AY$119,0)),$AH$328))</f>
        <v>L</v>
      </c>
      <c r="AM328" s="483" t="str">
        <f t="shared" si="91"/>
        <v>OK</v>
      </c>
      <c r="AN328" s="484">
        <f t="shared" si="92"/>
        <v>1.5</v>
      </c>
      <c r="AO328" s="473" t="str">
        <f t="shared" si="93"/>
        <v/>
      </c>
      <c r="AP328" s="473" t="str">
        <f t="shared" si="94"/>
        <v/>
      </c>
      <c r="AQ328" s="473" t="str">
        <f t="shared" si="95"/>
        <v/>
      </c>
      <c r="AR328" s="473" t="str">
        <f t="shared" si="96"/>
        <v/>
      </c>
      <c r="AS328" s="473" t="str">
        <f t="shared" si="97"/>
        <v/>
      </c>
      <c r="AT328" s="473" t="str">
        <f t="shared" si="98"/>
        <v/>
      </c>
      <c r="AU328" s="473" t="str">
        <f t="shared" si="99"/>
        <v/>
      </c>
      <c r="AZ328" s="32" t="s">
        <v>8127</v>
      </c>
      <c r="BA328" s="25" t="s">
        <v>6119</v>
      </c>
      <c r="BB328" s="499"/>
      <c r="BC328" s="271"/>
      <c r="BD328" s="279">
        <v>1</v>
      </c>
      <c r="BE328" s="271"/>
      <c r="BF328" s="271"/>
      <c r="BG328" s="271"/>
      <c r="BH328" s="271"/>
      <c r="BI328" s="271"/>
      <c r="BJ328" s="271"/>
      <c r="BK328" s="271"/>
      <c r="BL328" s="271"/>
    </row>
    <row r="329" spans="18:64" ht="21" customHeight="1" x14ac:dyDescent="0.25">
      <c r="R329" s="34" t="s">
        <v>6121</v>
      </c>
      <c r="S329" s="451"/>
      <c r="T329" s="31" t="s">
        <v>211</v>
      </c>
      <c r="V329" s="475">
        <v>8</v>
      </c>
      <c r="W329" s="475" t="str">
        <f>IF($AC$329="","",$W$324)</f>
        <v>N° 32</v>
      </c>
      <c r="X329" s="476" t="str">
        <f>IF($AC$329="","",$X$324)</f>
        <v>MOUSSE DE FOIE DE VOLAILLE OLIVE</v>
      </c>
      <c r="Y329" s="477">
        <f>IF($X$329="","",$Y$324)</f>
        <v>49</v>
      </c>
      <c r="Z329" s="477">
        <f>IF($X$329="","",$Z$324)</f>
        <v>100</v>
      </c>
      <c r="AA329" s="477">
        <f>IF($AC$329="","",ROW($A$329)-ROW($A$324))</f>
        <v>5</v>
      </c>
      <c r="AB329" s="478"/>
      <c r="AC329" s="34" t="s">
        <v>48</v>
      </c>
      <c r="AD329" s="356"/>
      <c r="AE329" s="18">
        <v>30</v>
      </c>
      <c r="AF329" s="16" t="s">
        <v>8</v>
      </c>
      <c r="AG329" s="480">
        <f t="shared" si="88"/>
        <v>30</v>
      </c>
      <c r="AH329" s="481" t="str">
        <f t="shared" si="89"/>
        <v>G</v>
      </c>
      <c r="AI329" s="477" t="str">
        <f>IF($AC$329="","",IFERROR(INDEX($AZ$74:$AZ$119,MATCH($AH$329,$AY$74:$AY$119,0)),"AUTRE"))</f>
        <v>MASSE</v>
      </c>
      <c r="AJ329" s="482">
        <f>IF($AC$329="","",IFERROR(INDEX($BA$74:$BA$119,MATCH($AH$329,$AY$74:$AY$119,0)),1))</f>
        <v>1E-3</v>
      </c>
      <c r="AK329" s="482">
        <f t="shared" si="90"/>
        <v>0.03</v>
      </c>
      <c r="AL329" s="477" t="str">
        <f>IF($AC$329="","",IFERROR(INDEX($BB$74:$BB$119,MATCH($AH$329,$AY$74:$AY$119,0)),$AH$329))</f>
        <v>kg</v>
      </c>
      <c r="AM329" s="483" t="str">
        <f t="shared" si="91"/>
        <v>OK</v>
      </c>
      <c r="AN329" s="484">
        <f t="shared" si="92"/>
        <v>30</v>
      </c>
      <c r="AO329" s="473" t="str">
        <f t="shared" si="93"/>
        <v/>
      </c>
      <c r="AP329" s="473" t="str">
        <f t="shared" si="94"/>
        <v/>
      </c>
      <c r="AQ329" s="473" t="str">
        <f t="shared" si="95"/>
        <v/>
      </c>
      <c r="AR329" s="473" t="str">
        <f t="shared" si="96"/>
        <v/>
      </c>
      <c r="AS329" s="473" t="str">
        <f t="shared" si="97"/>
        <v/>
      </c>
      <c r="AT329" s="473" t="str">
        <f t="shared" si="98"/>
        <v/>
      </c>
      <c r="AU329" s="473" t="str">
        <f t="shared" si="99"/>
        <v/>
      </c>
      <c r="AZ329" s="32" t="s">
        <v>320</v>
      </c>
      <c r="BA329" s="34" t="s">
        <v>6120</v>
      </c>
      <c r="BB329" s="499"/>
      <c r="BC329" s="271"/>
      <c r="BD329" s="279">
        <v>1</v>
      </c>
      <c r="BE329" s="271"/>
      <c r="BF329" s="271"/>
      <c r="BG329" s="271"/>
      <c r="BH329" s="271"/>
      <c r="BI329" s="271"/>
      <c r="BJ329" s="271"/>
      <c r="BK329" s="271"/>
      <c r="BL329" s="271"/>
    </row>
    <row r="330" spans="18:64" ht="21" customHeight="1" x14ac:dyDescent="0.25">
      <c r="R330" s="34" t="s">
        <v>6122</v>
      </c>
      <c r="S330" s="451"/>
      <c r="T330" s="31" t="s">
        <v>20</v>
      </c>
      <c r="V330" s="475">
        <v>8</v>
      </c>
      <c r="W330" s="475" t="str">
        <f>IF($AC$330="","",$W$324)</f>
        <v>N° 32</v>
      </c>
      <c r="X330" s="476" t="str">
        <f>IF($AC$330="","",$X$324)</f>
        <v>MOUSSE DE FOIE DE VOLAILLE OLIVE</v>
      </c>
      <c r="Y330" s="477">
        <f>IF($X$330="","",$Y$324)</f>
        <v>49</v>
      </c>
      <c r="Z330" s="477">
        <f>IF($X$330="","",$Z$324)</f>
        <v>100</v>
      </c>
      <c r="AA330" s="477">
        <f>IF($AC$330="","",ROW($A$330)-ROW($A$324))</f>
        <v>6</v>
      </c>
      <c r="AB330" s="478"/>
      <c r="AC330" s="34" t="s">
        <v>201</v>
      </c>
      <c r="AD330" s="356"/>
      <c r="AE330" s="18">
        <v>8</v>
      </c>
      <c r="AF330" s="16" t="s">
        <v>8</v>
      </c>
      <c r="AG330" s="480">
        <f t="shared" si="88"/>
        <v>8</v>
      </c>
      <c r="AH330" s="481" t="str">
        <f t="shared" si="89"/>
        <v>G</v>
      </c>
      <c r="AI330" s="477" t="str">
        <f>IF($AC$330="","",IFERROR(INDEX($AZ$74:$AZ$119,MATCH($AH$330,$AY$74:$AY$119,0)),"AUTRE"))</f>
        <v>MASSE</v>
      </c>
      <c r="AJ330" s="482">
        <f>IF($AC$330="","",IFERROR(INDEX($BA$74:$BA$119,MATCH($AH$330,$AY$74:$AY$119,0)),1))</f>
        <v>1E-3</v>
      </c>
      <c r="AK330" s="482">
        <f t="shared" si="90"/>
        <v>8.0000000000000002E-3</v>
      </c>
      <c r="AL330" s="477" t="str">
        <f>IF($AC$330="","",IFERROR(INDEX($BB$74:$BB$119,MATCH($AH$330,$AY$74:$AY$119,0)),$AH$330))</f>
        <v>kg</v>
      </c>
      <c r="AM330" s="483" t="str">
        <f t="shared" si="91"/>
        <v>OK</v>
      </c>
      <c r="AN330" s="484">
        <f t="shared" si="92"/>
        <v>8</v>
      </c>
      <c r="AO330" s="473" t="str">
        <f t="shared" si="93"/>
        <v/>
      </c>
      <c r="AP330" s="473" t="str">
        <f t="shared" si="94"/>
        <v/>
      </c>
      <c r="AQ330" s="473" t="str">
        <f t="shared" si="95"/>
        <v/>
      </c>
      <c r="AR330" s="473" t="str">
        <f t="shared" si="96"/>
        <v/>
      </c>
      <c r="AS330" s="473" t="str">
        <f t="shared" si="97"/>
        <v/>
      </c>
      <c r="AT330" s="473" t="str">
        <f t="shared" si="98"/>
        <v/>
      </c>
      <c r="AU330" s="473" t="str">
        <f t="shared" si="99"/>
        <v/>
      </c>
      <c r="AZ330" s="32" t="s">
        <v>318</v>
      </c>
      <c r="BA330" s="34" t="s">
        <v>6121</v>
      </c>
      <c r="BB330" s="499"/>
      <c r="BC330" s="271"/>
      <c r="BD330" s="279">
        <v>1</v>
      </c>
      <c r="BE330" s="271"/>
      <c r="BF330" s="271"/>
      <c r="BG330" s="271"/>
      <c r="BH330" s="271"/>
      <c r="BI330" s="271"/>
      <c r="BJ330" s="271"/>
      <c r="BK330" s="271"/>
      <c r="BL330" s="271"/>
    </row>
    <row r="331" spans="18:64" ht="21" customHeight="1" x14ac:dyDescent="0.25">
      <c r="R331" s="34" t="s">
        <v>6123</v>
      </c>
      <c r="S331" s="451"/>
      <c r="T331" s="31" t="s">
        <v>304</v>
      </c>
      <c r="V331" s="475">
        <v>8</v>
      </c>
      <c r="W331" s="475" t="str">
        <f>IF($AC$331="","",$W$324)</f>
        <v>N° 32</v>
      </c>
      <c r="X331" s="476" t="str">
        <f>IF($AC$331="","",$X$324)</f>
        <v>MOUSSE DE FOIE DE VOLAILLE OLIVE</v>
      </c>
      <c r="Y331" s="477">
        <f>IF($X$331="","",$Y$324)</f>
        <v>49</v>
      </c>
      <c r="Z331" s="477">
        <f>IF($X$331="","",$Z$324)</f>
        <v>100</v>
      </c>
      <c r="AA331" s="477">
        <f>IF($AC$331="","",ROW($A$331)-ROW($A$324))</f>
        <v>7</v>
      </c>
      <c r="AB331" s="478"/>
      <c r="AC331" s="34" t="s">
        <v>43</v>
      </c>
      <c r="AD331" s="356"/>
      <c r="AE331" s="18">
        <v>40</v>
      </c>
      <c r="AF331" s="16" t="s">
        <v>8</v>
      </c>
      <c r="AG331" s="480">
        <f t="shared" si="88"/>
        <v>40</v>
      </c>
      <c r="AH331" s="481" t="str">
        <f t="shared" si="89"/>
        <v>G</v>
      </c>
      <c r="AI331" s="477" t="str">
        <f>IF($AC$331="","",IFERROR(INDEX($AZ$74:$AZ$119,MATCH($AH$331,$AY$74:$AY$119,0)),"AUTRE"))</f>
        <v>MASSE</v>
      </c>
      <c r="AJ331" s="482">
        <f>IF($AC$331="","",IFERROR(INDEX($BA$74:$BA$119,MATCH($AH$331,$AY$74:$AY$119,0)),1))</f>
        <v>1E-3</v>
      </c>
      <c r="AK331" s="482">
        <f t="shared" si="90"/>
        <v>0.04</v>
      </c>
      <c r="AL331" s="477" t="str">
        <f>IF($AC$331="","",IFERROR(INDEX($BB$74:$BB$119,MATCH($AH$331,$AY$74:$AY$119,0)),$AH$331))</f>
        <v>kg</v>
      </c>
      <c r="AM331" s="483" t="str">
        <f t="shared" si="91"/>
        <v>OK</v>
      </c>
      <c r="AN331" s="484">
        <f t="shared" si="92"/>
        <v>40</v>
      </c>
      <c r="AO331" s="473" t="str">
        <f t="shared" si="93"/>
        <v/>
      </c>
      <c r="AP331" s="473" t="str">
        <f t="shared" si="94"/>
        <v/>
      </c>
      <c r="AQ331" s="473" t="str">
        <f t="shared" si="95"/>
        <v/>
      </c>
      <c r="AR331" s="473" t="str">
        <f t="shared" si="96"/>
        <v/>
      </c>
      <c r="AS331" s="473" t="str">
        <f t="shared" si="97"/>
        <v/>
      </c>
      <c r="AT331" s="473" t="str">
        <f t="shared" si="98"/>
        <v/>
      </c>
      <c r="AU331" s="473" t="str">
        <f t="shared" si="99"/>
        <v/>
      </c>
      <c r="AZ331" s="32" t="s">
        <v>316</v>
      </c>
      <c r="BA331" s="34" t="s">
        <v>6122</v>
      </c>
      <c r="BB331" s="499"/>
      <c r="BC331" s="271"/>
      <c r="BD331" s="279">
        <v>1</v>
      </c>
      <c r="BE331" s="271"/>
      <c r="BF331" s="271"/>
      <c r="BG331" s="271"/>
      <c r="BH331" s="271"/>
      <c r="BI331" s="271"/>
      <c r="BJ331" s="271"/>
      <c r="BK331" s="271"/>
      <c r="BL331" s="271"/>
    </row>
    <row r="332" spans="18:64" ht="21" customHeight="1" x14ac:dyDescent="0.25">
      <c r="R332" s="34" t="s">
        <v>6124</v>
      </c>
      <c r="S332" s="451"/>
      <c r="T332" s="31" t="s">
        <v>352</v>
      </c>
      <c r="V332" s="475">
        <v>8</v>
      </c>
      <c r="W332" s="475" t="str">
        <f>IF($AC$332="","",$W$324)</f>
        <v>N° 32</v>
      </c>
      <c r="X332" s="476" t="str">
        <f>IF($AC$332="","",$X$324)</f>
        <v>MOUSSE DE FOIE DE VOLAILLE OLIVE</v>
      </c>
      <c r="Y332" s="477">
        <f>IF($X$332="","",$Y$324)</f>
        <v>49</v>
      </c>
      <c r="Z332" s="477">
        <f>IF($X$332="","",$Z$324)</f>
        <v>100</v>
      </c>
      <c r="AA332" s="477">
        <f>IF($AC$332="","",ROW($A$332)-ROW($A$324))</f>
        <v>8</v>
      </c>
      <c r="AB332" s="478"/>
      <c r="AC332" s="34" t="s">
        <v>44</v>
      </c>
      <c r="AD332" s="356"/>
      <c r="AE332" s="18">
        <v>12</v>
      </c>
      <c r="AF332" s="16" t="s">
        <v>8</v>
      </c>
      <c r="AG332" s="480">
        <f t="shared" si="88"/>
        <v>12</v>
      </c>
      <c r="AH332" s="481" t="str">
        <f t="shared" si="89"/>
        <v>G</v>
      </c>
      <c r="AI332" s="477" t="str">
        <f>IF($AC$332="","",IFERROR(INDEX($AZ$74:$AZ$119,MATCH($AH$332,$AY$74:$AY$119,0)),"AUTRE"))</f>
        <v>MASSE</v>
      </c>
      <c r="AJ332" s="482">
        <f>IF($AC$332="","",IFERROR(INDEX($BA$74:$BA$119,MATCH($AH$332,$AY$74:$AY$119,0)),1))</f>
        <v>1E-3</v>
      </c>
      <c r="AK332" s="482">
        <f t="shared" si="90"/>
        <v>1.2E-2</v>
      </c>
      <c r="AL332" s="477" t="str">
        <f>IF($AC$332="","",IFERROR(INDEX($BB$74:$BB$119,MATCH($AH$332,$AY$74:$AY$119,0)),$AH$332))</f>
        <v>kg</v>
      </c>
      <c r="AM332" s="483" t="str">
        <f t="shared" si="91"/>
        <v>OK</v>
      </c>
      <c r="AN332" s="484">
        <f t="shared" si="92"/>
        <v>12</v>
      </c>
      <c r="AO332" s="473" t="str">
        <f t="shared" si="93"/>
        <v/>
      </c>
      <c r="AP332" s="473" t="str">
        <f t="shared" si="94"/>
        <v/>
      </c>
      <c r="AQ332" s="473" t="str">
        <f t="shared" si="95"/>
        <v/>
      </c>
      <c r="AR332" s="473" t="str">
        <f t="shared" si="96"/>
        <v/>
      </c>
      <c r="AS332" s="473" t="str">
        <f t="shared" si="97"/>
        <v/>
      </c>
      <c r="AT332" s="473" t="str">
        <f t="shared" si="98"/>
        <v/>
      </c>
      <c r="AU332" s="473" t="str">
        <f t="shared" si="99"/>
        <v/>
      </c>
      <c r="AZ332" s="32" t="s">
        <v>313</v>
      </c>
      <c r="BA332" s="34" t="s">
        <v>6123</v>
      </c>
      <c r="BB332" s="499"/>
      <c r="BC332" s="271"/>
      <c r="BD332" s="279">
        <v>1</v>
      </c>
      <c r="BE332" s="271"/>
      <c r="BF332" s="271"/>
      <c r="BG332" s="271"/>
      <c r="BH332" s="271"/>
      <c r="BI332" s="271"/>
      <c r="BJ332" s="271"/>
      <c r="BK332" s="271"/>
      <c r="BL332" s="271"/>
    </row>
    <row r="333" spans="18:64" ht="21" customHeight="1" x14ac:dyDescent="0.25">
      <c r="R333" s="34" t="s">
        <v>6125</v>
      </c>
      <c r="S333" s="451"/>
      <c r="T333" s="31" t="s">
        <v>25</v>
      </c>
      <c r="V333" s="475">
        <v>8</v>
      </c>
      <c r="W333" s="475" t="str">
        <f>IF($AC$333="","",$W$324)</f>
        <v>N° 32</v>
      </c>
      <c r="X333" s="476" t="str">
        <f>IF($AC$333="","",$X$324)</f>
        <v>MOUSSE DE FOIE DE VOLAILLE OLIVE</v>
      </c>
      <c r="Y333" s="477">
        <f>IF($X$333="","",$Y$324)</f>
        <v>49</v>
      </c>
      <c r="Z333" s="477">
        <f>IF($X$333="","",$Z$324)</f>
        <v>100</v>
      </c>
      <c r="AA333" s="477">
        <f>IF($AC$333="","",ROW($A$333)-ROW($A$324))</f>
        <v>9</v>
      </c>
      <c r="AB333" s="478"/>
      <c r="AC333" s="34" t="s">
        <v>218</v>
      </c>
      <c r="AD333" s="356"/>
      <c r="AE333" s="18">
        <v>2</v>
      </c>
      <c r="AF333" s="16" t="s">
        <v>8</v>
      </c>
      <c r="AG333" s="480">
        <f t="shared" si="88"/>
        <v>2</v>
      </c>
      <c r="AH333" s="481" t="str">
        <f t="shared" si="89"/>
        <v>G</v>
      </c>
      <c r="AI333" s="477" t="str">
        <f>IF($AC$333="","",IFERROR(INDEX($AZ$74:$AZ$119,MATCH($AH$333,$AY$74:$AY$119,0)),"AUTRE"))</f>
        <v>MASSE</v>
      </c>
      <c r="AJ333" s="482">
        <f>IF($AC$333="","",IFERROR(INDEX($BA$74:$BA$119,MATCH($AH$333,$AY$74:$AY$119,0)),1))</f>
        <v>1E-3</v>
      </c>
      <c r="AK333" s="482">
        <f t="shared" si="90"/>
        <v>2E-3</v>
      </c>
      <c r="AL333" s="477" t="str">
        <f>IF($AC$333="","",IFERROR(INDEX($BB$74:$BB$119,MATCH($AH$333,$AY$74:$AY$119,0)),$AH$333))</f>
        <v>kg</v>
      </c>
      <c r="AM333" s="483" t="str">
        <f t="shared" si="91"/>
        <v>OK</v>
      </c>
      <c r="AN333" s="484">
        <f t="shared" si="92"/>
        <v>2</v>
      </c>
      <c r="AO333" s="473" t="str">
        <f t="shared" si="93"/>
        <v/>
      </c>
      <c r="AP333" s="473" t="str">
        <f t="shared" si="94"/>
        <v/>
      </c>
      <c r="AQ333" s="473" t="str">
        <f t="shared" si="95"/>
        <v/>
      </c>
      <c r="AR333" s="473" t="str">
        <f t="shared" si="96"/>
        <v/>
      </c>
      <c r="AS333" s="473" t="str">
        <f t="shared" si="97"/>
        <v/>
      </c>
      <c r="AT333" s="473" t="str">
        <f t="shared" si="98"/>
        <v/>
      </c>
      <c r="AU333" s="473" t="str">
        <f t="shared" si="99"/>
        <v/>
      </c>
      <c r="AZ333" s="32" t="s">
        <v>307</v>
      </c>
      <c r="BA333" s="34" t="s">
        <v>6124</v>
      </c>
      <c r="BB333" s="499"/>
      <c r="BC333" s="271"/>
      <c r="BD333" s="279">
        <v>1</v>
      </c>
      <c r="BE333" s="271"/>
      <c r="BF333" s="271"/>
      <c r="BG333" s="271"/>
      <c r="BH333" s="271"/>
      <c r="BI333" s="271"/>
      <c r="BJ333" s="271"/>
      <c r="BK333" s="271"/>
      <c r="BL333" s="271"/>
    </row>
    <row r="334" spans="18:64" ht="21" customHeight="1" x14ac:dyDescent="0.25">
      <c r="R334" s="34" t="s">
        <v>6126</v>
      </c>
      <c r="S334" s="451"/>
      <c r="T334" s="31" t="s">
        <v>26</v>
      </c>
      <c r="V334" s="475">
        <v>8</v>
      </c>
      <c r="W334" s="475" t="str">
        <f>IF($AC$334="","",$W$324)</f>
        <v/>
      </c>
      <c r="X334" s="476" t="str">
        <f>IF($AC$334="","",$X$324)</f>
        <v/>
      </c>
      <c r="Y334" s="477" t="str">
        <f>IF($X$334="","",$Y$324)</f>
        <v/>
      </c>
      <c r="Z334" s="477" t="str">
        <f>IF($X$334="","",$Z$324)</f>
        <v/>
      </c>
      <c r="AA334" s="477" t="str">
        <f>IF($AC$334="","",ROW($A$334)-ROW($A$324))</f>
        <v/>
      </c>
      <c r="AB334" s="478"/>
      <c r="AC334" s="34" t="s">
        <v>345</v>
      </c>
      <c r="AD334" s="356"/>
      <c r="AE334" s="18"/>
      <c r="AF334" s="19"/>
      <c r="AG334" s="480" t="str">
        <f t="shared" si="88"/>
        <v/>
      </c>
      <c r="AH334" s="481" t="str">
        <f t="shared" si="89"/>
        <v/>
      </c>
      <c r="AI334" s="477" t="str">
        <f>IF($AC$334="","",IFERROR(INDEX($AZ$74:$AZ$119,MATCH($AH$334,$AY$74:$AY$119,0)),"AUTRE"))</f>
        <v/>
      </c>
      <c r="AJ334" s="482" t="str">
        <f>IF($AC$334="","",IFERROR(INDEX($BA$74:$BA$119,MATCH($AH$334,$AY$74:$AY$119,0)),1))</f>
        <v/>
      </c>
      <c r="AK334" s="482" t="str">
        <f t="shared" si="90"/>
        <v/>
      </c>
      <c r="AL334" s="477" t="str">
        <f>IF($AC$334="","",IFERROR(INDEX($BB$74:$BB$119,MATCH($AH$334,$AY$74:$AY$119,0)),$AH$334))</f>
        <v/>
      </c>
      <c r="AM334" s="483" t="str">
        <f t="shared" si="91"/>
        <v/>
      </c>
      <c r="AN334" s="484" t="str">
        <f t="shared" si="92"/>
        <v/>
      </c>
      <c r="AO334" s="473" t="str">
        <f t="shared" si="93"/>
        <v/>
      </c>
      <c r="AP334" s="473" t="str">
        <f t="shared" si="94"/>
        <v/>
      </c>
      <c r="AQ334" s="473" t="str">
        <f t="shared" si="95"/>
        <v/>
      </c>
      <c r="AR334" s="473" t="str">
        <f t="shared" si="96"/>
        <v/>
      </c>
      <c r="AS334" s="473" t="str">
        <f t="shared" si="97"/>
        <v/>
      </c>
      <c r="AT334" s="473" t="str">
        <f t="shared" si="98"/>
        <v/>
      </c>
      <c r="AU334" s="473" t="str">
        <f t="shared" si="99"/>
        <v/>
      </c>
      <c r="AZ334" s="32" t="s">
        <v>322</v>
      </c>
      <c r="BA334" s="34" t="s">
        <v>6125</v>
      </c>
      <c r="BB334" s="499"/>
      <c r="BC334" s="271"/>
      <c r="BD334" s="279">
        <v>1</v>
      </c>
      <c r="BE334" s="271"/>
      <c r="BF334" s="271"/>
      <c r="BG334" s="271"/>
      <c r="BH334" s="271"/>
      <c r="BI334" s="271"/>
      <c r="BJ334" s="271"/>
      <c r="BK334" s="271"/>
      <c r="BL334" s="271"/>
    </row>
    <row r="335" spans="18:64" ht="21" customHeight="1" x14ac:dyDescent="0.25">
      <c r="R335" s="34" t="s">
        <v>6127</v>
      </c>
      <c r="S335" s="451"/>
      <c r="T335" s="31" t="s">
        <v>27</v>
      </c>
      <c r="V335" s="475">
        <v>8</v>
      </c>
      <c r="W335" s="475" t="str">
        <f>IF($AC$335="","",$W$324)</f>
        <v>N° 32</v>
      </c>
      <c r="X335" s="476" t="str">
        <f>IF($AC$335="","",$X$324)</f>
        <v>MOUSSE DE FOIE DE VOLAILLE OLIVE</v>
      </c>
      <c r="Y335" s="477">
        <f>IF($X$335="","",$Y$324)</f>
        <v>49</v>
      </c>
      <c r="Z335" s="477">
        <f>IF($X$335="","",$Z$324)</f>
        <v>100</v>
      </c>
      <c r="AA335" s="477">
        <f>IF($AC$335="","",ROW($A$335)-ROW($A$324))</f>
        <v>11</v>
      </c>
      <c r="AB335" s="478"/>
      <c r="AC335" s="34" t="s">
        <v>377</v>
      </c>
      <c r="AD335" s="356"/>
      <c r="AE335" s="18">
        <v>2</v>
      </c>
      <c r="AF335" s="20" t="s">
        <v>9</v>
      </c>
      <c r="AG335" s="480">
        <f t="shared" si="88"/>
        <v>2</v>
      </c>
      <c r="AH335" s="481" t="str">
        <f t="shared" si="89"/>
        <v>L</v>
      </c>
      <c r="AI335" s="477" t="str">
        <f>IF($AC$335="","",IFERROR(INDEX($AZ$74:$AZ$119,MATCH($AH$335,$AY$74:$AY$119,0)),"AUTRE"))</f>
        <v>VOLUME</v>
      </c>
      <c r="AJ335" s="482">
        <f>IF($AC$335="","",IFERROR(INDEX($BA$74:$BA$119,MATCH($AH$335,$AY$74:$AY$119,0)),1))</f>
        <v>1</v>
      </c>
      <c r="AK335" s="482">
        <f t="shared" si="90"/>
        <v>2</v>
      </c>
      <c r="AL335" s="477" t="str">
        <f>IF($AC$335="","",IFERROR(INDEX($BB$74:$BB$119,MATCH($AH$335,$AY$74:$AY$119,0)),$AH$335))</f>
        <v>L</v>
      </c>
      <c r="AM335" s="483" t="str">
        <f t="shared" si="91"/>
        <v>OK</v>
      </c>
      <c r="AN335" s="484">
        <f t="shared" si="92"/>
        <v>2</v>
      </c>
      <c r="AO335" s="473" t="str">
        <f t="shared" si="93"/>
        <v/>
      </c>
      <c r="AP335" s="473" t="str">
        <f t="shared" si="94"/>
        <v/>
      </c>
      <c r="AQ335" s="473" t="str">
        <f t="shared" si="95"/>
        <v/>
      </c>
      <c r="AR335" s="473" t="str">
        <f t="shared" si="96"/>
        <v/>
      </c>
      <c r="AS335" s="473" t="str">
        <f t="shared" si="97"/>
        <v/>
      </c>
      <c r="AT335" s="473" t="str">
        <f t="shared" si="98"/>
        <v/>
      </c>
      <c r="AU335" s="473" t="str">
        <f t="shared" si="99"/>
        <v/>
      </c>
      <c r="AZ335" s="32" t="s">
        <v>305</v>
      </c>
      <c r="BA335" s="34" t="s">
        <v>6126</v>
      </c>
      <c r="BB335" s="499"/>
      <c r="BC335" s="271"/>
      <c r="BD335" s="279">
        <v>1</v>
      </c>
      <c r="BE335" s="271"/>
      <c r="BF335" s="271"/>
      <c r="BG335" s="271"/>
      <c r="BH335" s="271"/>
      <c r="BI335" s="271"/>
      <c r="BJ335" s="271"/>
      <c r="BK335" s="271"/>
      <c r="BL335" s="271"/>
    </row>
    <row r="336" spans="18:64" ht="21" customHeight="1" x14ac:dyDescent="0.25">
      <c r="R336" s="25" t="s">
        <v>6128</v>
      </c>
      <c r="S336" s="451"/>
      <c r="T336" s="31" t="s">
        <v>28</v>
      </c>
      <c r="V336" s="475">
        <v>8</v>
      </c>
      <c r="W336" s="475" t="str">
        <f>IF($AC$336="","",$W$324)</f>
        <v>N° 32</v>
      </c>
      <c r="X336" s="476" t="str">
        <f>IF($AC$336="","",$X$324)</f>
        <v>MOUSSE DE FOIE DE VOLAILLE OLIVE</v>
      </c>
      <c r="Y336" s="477">
        <f>IF($X$336="","",$Y$324)</f>
        <v>49</v>
      </c>
      <c r="Z336" s="477">
        <f>IF($X$336="","",$Z$324)</f>
        <v>100</v>
      </c>
      <c r="AA336" s="477">
        <f>IF($AC$336="","",ROW($A$336)-ROW($A$324))</f>
        <v>12</v>
      </c>
      <c r="AB336" s="478"/>
      <c r="AC336" s="34" t="s">
        <v>219</v>
      </c>
      <c r="AD336" s="356"/>
      <c r="AE336" s="18">
        <v>500</v>
      </c>
      <c r="AF336" s="16" t="s">
        <v>8</v>
      </c>
      <c r="AG336" s="480">
        <f t="shared" si="88"/>
        <v>500</v>
      </c>
      <c r="AH336" s="481" t="str">
        <f t="shared" si="89"/>
        <v>G</v>
      </c>
      <c r="AI336" s="477" t="str">
        <f>IF($AC$336="","",IFERROR(INDEX($AZ$74:$AZ$119,MATCH($AH$336,$AY$74:$AY$119,0)),"AUTRE"))</f>
        <v>MASSE</v>
      </c>
      <c r="AJ336" s="482">
        <f>IF($AC$336="","",IFERROR(INDEX($BA$74:$BA$119,MATCH($AH$336,$AY$74:$AY$119,0)),1))</f>
        <v>1E-3</v>
      </c>
      <c r="AK336" s="482">
        <f t="shared" si="90"/>
        <v>0.5</v>
      </c>
      <c r="AL336" s="477" t="str">
        <f>IF($AC$336="","",IFERROR(INDEX($BB$74:$BB$119,MATCH($AH$336,$AY$74:$AY$119,0)),$AH$336))</f>
        <v>kg</v>
      </c>
      <c r="AM336" s="483" t="str">
        <f t="shared" si="91"/>
        <v>OK</v>
      </c>
      <c r="AN336" s="484">
        <f t="shared" si="92"/>
        <v>500</v>
      </c>
      <c r="AO336" s="473" t="str">
        <f t="shared" si="93"/>
        <v/>
      </c>
      <c r="AP336" s="473" t="str">
        <f t="shared" si="94"/>
        <v/>
      </c>
      <c r="AQ336" s="473" t="str">
        <f t="shared" si="95"/>
        <v/>
      </c>
      <c r="AR336" s="473" t="str">
        <f t="shared" si="96"/>
        <v/>
      </c>
      <c r="AS336" s="473" t="str">
        <f t="shared" si="97"/>
        <v/>
      </c>
      <c r="AT336" s="473" t="str">
        <f t="shared" si="98"/>
        <v/>
      </c>
      <c r="AU336" s="473" t="str">
        <f t="shared" si="99"/>
        <v/>
      </c>
      <c r="AZ336" s="32" t="s">
        <v>8129</v>
      </c>
      <c r="BA336" s="34" t="s">
        <v>6127</v>
      </c>
      <c r="BB336" s="499"/>
      <c r="BC336" s="271"/>
      <c r="BD336" s="279">
        <v>1</v>
      </c>
      <c r="BE336" s="271"/>
      <c r="BF336" s="271"/>
      <c r="BG336" s="271"/>
      <c r="BH336" s="271"/>
      <c r="BI336" s="271"/>
      <c r="BJ336" s="271"/>
      <c r="BK336" s="271"/>
      <c r="BL336" s="271"/>
    </row>
    <row r="337" spans="18:64" ht="21" customHeight="1" x14ac:dyDescent="0.25">
      <c r="R337" s="34" t="s">
        <v>474</v>
      </c>
      <c r="S337" s="451"/>
      <c r="T337" s="31" t="s">
        <v>29</v>
      </c>
      <c r="V337" s="475">
        <v>8</v>
      </c>
      <c r="W337" s="475" t="str">
        <f>IF($AC$337="","",$W$324)</f>
        <v>N° 32</v>
      </c>
      <c r="X337" s="476" t="str">
        <f>IF($AC$337="","",$X$324)</f>
        <v>MOUSSE DE FOIE DE VOLAILLE OLIVE</v>
      </c>
      <c r="Y337" s="477">
        <f>IF($X$337="","",$Y$324)</f>
        <v>49</v>
      </c>
      <c r="Z337" s="477">
        <f>IF($X$337="","",$Z$324)</f>
        <v>100</v>
      </c>
      <c r="AA337" s="477">
        <f>IF($AC$337="","",ROW($A$337)-ROW($A$324))</f>
        <v>13</v>
      </c>
      <c r="AB337" s="478"/>
      <c r="AC337" s="34" t="s">
        <v>42</v>
      </c>
      <c r="AD337" s="356"/>
      <c r="AE337" s="18">
        <v>15</v>
      </c>
      <c r="AF337" s="21" t="s">
        <v>11</v>
      </c>
      <c r="AG337" s="480">
        <f t="shared" si="88"/>
        <v>15</v>
      </c>
      <c r="AH337" s="481" t="str">
        <f t="shared" si="89"/>
        <v>CL</v>
      </c>
      <c r="AI337" s="477" t="str">
        <f>IF($AC$337="","",IFERROR(INDEX($AZ$74:$AZ$119,MATCH($AH$337,$AY$74:$AY$119,0)),"AUTRE"))</f>
        <v>VOLUME</v>
      </c>
      <c r="AJ337" s="482">
        <f>IF($AC$337="","",IFERROR(INDEX($BA$74:$BA$119,MATCH($AH$337,$AY$74:$AY$119,0)),1))</f>
        <v>0.01</v>
      </c>
      <c r="AK337" s="482">
        <f t="shared" si="90"/>
        <v>0.15</v>
      </c>
      <c r="AL337" s="477" t="str">
        <f>IF($AC$337="","",IFERROR(INDEX($BB$74:$BB$119,MATCH($AH$337,$AY$74:$AY$119,0)),$AH$337))</f>
        <v>L</v>
      </c>
      <c r="AM337" s="483" t="str">
        <f t="shared" si="91"/>
        <v>OK</v>
      </c>
      <c r="AN337" s="484">
        <f t="shared" si="92"/>
        <v>15</v>
      </c>
      <c r="AO337" s="473" t="str">
        <f t="shared" si="93"/>
        <v/>
      </c>
      <c r="AP337" s="473" t="str">
        <f t="shared" si="94"/>
        <v/>
      </c>
      <c r="AQ337" s="473" t="str">
        <f t="shared" si="95"/>
        <v/>
      </c>
      <c r="AR337" s="473" t="str">
        <f t="shared" si="96"/>
        <v/>
      </c>
      <c r="AS337" s="473" t="str">
        <f t="shared" si="97"/>
        <v/>
      </c>
      <c r="AT337" s="473" t="str">
        <f t="shared" si="98"/>
        <v/>
      </c>
      <c r="AU337" s="473" t="str">
        <f t="shared" si="99"/>
        <v/>
      </c>
      <c r="AZ337" s="32" t="s">
        <v>8131</v>
      </c>
      <c r="BA337" s="25" t="s">
        <v>6128</v>
      </c>
      <c r="BB337" s="499"/>
      <c r="BC337" s="271"/>
      <c r="BD337" s="279">
        <v>1</v>
      </c>
      <c r="BE337" s="271"/>
      <c r="BF337" s="271"/>
      <c r="BG337" s="271"/>
      <c r="BH337" s="271"/>
      <c r="BI337" s="271"/>
      <c r="BJ337" s="271"/>
      <c r="BK337" s="271"/>
      <c r="BL337" s="271"/>
    </row>
    <row r="338" spans="18:64" ht="21" customHeight="1" x14ac:dyDescent="0.25">
      <c r="R338" s="34" t="s">
        <v>490</v>
      </c>
      <c r="S338" s="451"/>
      <c r="T338" s="31" t="s">
        <v>30</v>
      </c>
      <c r="V338" s="475">
        <v>8</v>
      </c>
      <c r="W338" s="475" t="str">
        <f>IF($AC$338="","",$W$324)</f>
        <v>N° 32</v>
      </c>
      <c r="X338" s="476" t="str">
        <f>IF($AC$338="","",$X$324)</f>
        <v>MOUSSE DE FOIE DE VOLAILLE OLIVE</v>
      </c>
      <c r="Y338" s="477">
        <f>IF($X$338="","",$Y$324)</f>
        <v>49</v>
      </c>
      <c r="Z338" s="477">
        <f>IF($X$338="","",$Z$324)</f>
        <v>100</v>
      </c>
      <c r="AA338" s="477">
        <f>IF($AC$338="","",ROW($A$338)-ROW($A$324))</f>
        <v>14</v>
      </c>
      <c r="AB338" s="478"/>
      <c r="AC338" s="34" t="s">
        <v>43</v>
      </c>
      <c r="AD338" s="356"/>
      <c r="AE338" s="18">
        <v>12</v>
      </c>
      <c r="AF338" s="16" t="s">
        <v>8</v>
      </c>
      <c r="AG338" s="480">
        <f t="shared" si="88"/>
        <v>12</v>
      </c>
      <c r="AH338" s="481" t="str">
        <f t="shared" si="89"/>
        <v>G</v>
      </c>
      <c r="AI338" s="477" t="str">
        <f>IF($AC$338="","",IFERROR(INDEX($AZ$74:$AZ$119,MATCH($AH$338,$AY$74:$AY$119,0)),"AUTRE"))</f>
        <v>MASSE</v>
      </c>
      <c r="AJ338" s="482">
        <f>IF($AC$338="","",IFERROR(INDEX($BA$74:$BA$119,MATCH($AH$338,$AY$74:$AY$119,0)),1))</f>
        <v>1E-3</v>
      </c>
      <c r="AK338" s="482">
        <f t="shared" si="90"/>
        <v>1.2E-2</v>
      </c>
      <c r="AL338" s="477" t="str">
        <f>IF($AC$338="","",IFERROR(INDEX($BB$74:$BB$119,MATCH($AH$338,$AY$74:$AY$119,0)),$AH$338))</f>
        <v>kg</v>
      </c>
      <c r="AM338" s="483" t="str">
        <f t="shared" si="91"/>
        <v>OK</v>
      </c>
      <c r="AN338" s="484">
        <f t="shared" si="92"/>
        <v>12</v>
      </c>
      <c r="AO338" s="473" t="str">
        <f t="shared" si="93"/>
        <v/>
      </c>
      <c r="AP338" s="473" t="str">
        <f t="shared" si="94"/>
        <v/>
      </c>
      <c r="AQ338" s="473" t="str">
        <f t="shared" si="95"/>
        <v/>
      </c>
      <c r="AR338" s="473" t="str">
        <f t="shared" si="96"/>
        <v/>
      </c>
      <c r="AS338" s="473" t="str">
        <f t="shared" si="97"/>
        <v/>
      </c>
      <c r="AT338" s="473" t="str">
        <f t="shared" si="98"/>
        <v/>
      </c>
      <c r="AU338" s="473" t="str">
        <f t="shared" si="99"/>
        <v/>
      </c>
      <c r="AZ338" s="32" t="s">
        <v>309</v>
      </c>
      <c r="BA338" s="34" t="s">
        <v>474</v>
      </c>
      <c r="BB338" s="499"/>
      <c r="BC338" s="271"/>
      <c r="BD338" s="279">
        <v>1</v>
      </c>
      <c r="BE338" s="271"/>
      <c r="BF338" s="271"/>
      <c r="BG338" s="271"/>
      <c r="BH338" s="271"/>
      <c r="BI338" s="271"/>
      <c r="BJ338" s="271"/>
      <c r="BK338" s="271"/>
      <c r="BL338" s="271"/>
    </row>
    <row r="339" spans="18:64" ht="21" customHeight="1" x14ac:dyDescent="0.25">
      <c r="R339" s="34" t="s">
        <v>6129</v>
      </c>
      <c r="S339" s="451"/>
      <c r="T339" s="31" t="s">
        <v>31</v>
      </c>
      <c r="V339" s="475">
        <v>8</v>
      </c>
      <c r="W339" s="475" t="str">
        <f>IF($AC$339="","",$W$324)</f>
        <v>N° 32</v>
      </c>
      <c r="X339" s="476" t="str">
        <f>IF($AC$339="","",$X$324)</f>
        <v>MOUSSE DE FOIE DE VOLAILLE OLIVE</v>
      </c>
      <c r="Y339" s="477">
        <f>IF($X$339="","",$Y$324)</f>
        <v>49</v>
      </c>
      <c r="Z339" s="477">
        <f>IF($X$339="","",$Z$324)</f>
        <v>100</v>
      </c>
      <c r="AA339" s="477">
        <f>IF($AC$339="","",ROW($A$339)-ROW($A$324))</f>
        <v>15</v>
      </c>
      <c r="AB339" s="478"/>
      <c r="AC339" s="34" t="s">
        <v>44</v>
      </c>
      <c r="AD339" s="356"/>
      <c r="AE339" s="18">
        <v>6</v>
      </c>
      <c r="AF339" s="16" t="s">
        <v>8</v>
      </c>
      <c r="AG339" s="480">
        <f t="shared" si="88"/>
        <v>6</v>
      </c>
      <c r="AH339" s="481" t="str">
        <f t="shared" si="89"/>
        <v>G</v>
      </c>
      <c r="AI339" s="477" t="str">
        <f>IF($AC$339="","",IFERROR(INDEX($AZ$74:$AZ$119,MATCH($AH$339,$AY$74:$AY$119,0)),"AUTRE"))</f>
        <v>MASSE</v>
      </c>
      <c r="AJ339" s="482">
        <f>IF($AC$339="","",IFERROR(INDEX($BA$74:$BA$119,MATCH($AH$339,$AY$74:$AY$119,0)),1))</f>
        <v>1E-3</v>
      </c>
      <c r="AK339" s="482">
        <f t="shared" si="90"/>
        <v>6.0000000000000001E-3</v>
      </c>
      <c r="AL339" s="477" t="str">
        <f>IF($AC$339="","",IFERROR(INDEX($BB$74:$BB$119,MATCH($AH$339,$AY$74:$AY$119,0)),$AH$339))</f>
        <v>kg</v>
      </c>
      <c r="AM339" s="483" t="str">
        <f t="shared" si="91"/>
        <v>OK</v>
      </c>
      <c r="AN339" s="484">
        <f t="shared" si="92"/>
        <v>6</v>
      </c>
      <c r="AO339" s="473" t="str">
        <f t="shared" si="93"/>
        <v/>
      </c>
      <c r="AP339" s="473" t="str">
        <f t="shared" si="94"/>
        <v/>
      </c>
      <c r="AQ339" s="473" t="str">
        <f t="shared" si="95"/>
        <v/>
      </c>
      <c r="AR339" s="473" t="str">
        <f t="shared" si="96"/>
        <v/>
      </c>
      <c r="AS339" s="473" t="str">
        <f t="shared" si="97"/>
        <v/>
      </c>
      <c r="AT339" s="473" t="str">
        <f t="shared" si="98"/>
        <v/>
      </c>
      <c r="AU339" s="473" t="str">
        <f t="shared" si="99"/>
        <v/>
      </c>
      <c r="AZ339" s="32" t="s">
        <v>311</v>
      </c>
      <c r="BA339" s="34" t="s">
        <v>490</v>
      </c>
      <c r="BB339" s="499"/>
      <c r="BC339" s="271"/>
      <c r="BD339" s="279">
        <v>1</v>
      </c>
      <c r="BE339" s="271"/>
      <c r="BF339" s="271"/>
      <c r="BG339" s="271"/>
      <c r="BH339" s="271"/>
      <c r="BI339" s="271"/>
      <c r="BJ339" s="271"/>
      <c r="BK339" s="271"/>
      <c r="BL339" s="271"/>
    </row>
    <row r="340" spans="18:64" ht="21" customHeight="1" x14ac:dyDescent="0.25">
      <c r="R340" s="34" t="s">
        <v>478</v>
      </c>
      <c r="S340" s="451"/>
      <c r="T340" s="32" t="s">
        <v>33</v>
      </c>
      <c r="V340" s="475">
        <v>8</v>
      </c>
      <c r="W340" s="475" t="str">
        <f>IF($AC$340="","",$W$324)</f>
        <v/>
      </c>
      <c r="X340" s="476" t="str">
        <f>IF($AC$340="","",$X$324)</f>
        <v/>
      </c>
      <c r="Y340" s="477" t="str">
        <f>IF($X$340="","",$Y$324)</f>
        <v/>
      </c>
      <c r="Z340" s="477" t="str">
        <f>IF($X$340="","",$Z$324)</f>
        <v/>
      </c>
      <c r="AA340" s="477" t="str">
        <f>IF($AC$340="","",ROW($A$340)-ROW($A$324))</f>
        <v/>
      </c>
      <c r="AB340" s="478"/>
      <c r="AC340" s="34"/>
      <c r="AD340" s="356"/>
      <c r="AE340" s="18"/>
      <c r="AF340" s="19"/>
      <c r="AG340" s="480" t="str">
        <f t="shared" si="88"/>
        <v/>
      </c>
      <c r="AH340" s="481" t="str">
        <f t="shared" si="89"/>
        <v/>
      </c>
      <c r="AI340" s="477" t="str">
        <f>IF($AC$340="","",IFERROR(INDEX($AZ$74:$AZ$119,MATCH($AH$340,$AY$74:$AY$119,0)),"AUTRE"))</f>
        <v/>
      </c>
      <c r="AJ340" s="482" t="str">
        <f>IF($AC$340="","",IFERROR(INDEX($BA$74:$BA$119,MATCH($AH$340,$AY$74:$AY$119,0)),1))</f>
        <v/>
      </c>
      <c r="AK340" s="482" t="str">
        <f t="shared" si="90"/>
        <v/>
      </c>
      <c r="AL340" s="477" t="str">
        <f>IF($AC$340="","",IFERROR(INDEX($BB$74:$BB$119,MATCH($AH$340,$AY$74:$AY$119,0)),$AH$340))</f>
        <v/>
      </c>
      <c r="AM340" s="483" t="str">
        <f t="shared" si="91"/>
        <v/>
      </c>
      <c r="AN340" s="484" t="str">
        <f t="shared" si="92"/>
        <v/>
      </c>
      <c r="AO340" s="473" t="str">
        <f t="shared" si="93"/>
        <v/>
      </c>
      <c r="AP340" s="473" t="str">
        <f t="shared" si="94"/>
        <v/>
      </c>
      <c r="AQ340" s="473" t="str">
        <f t="shared" si="95"/>
        <v/>
      </c>
      <c r="AR340" s="473" t="str">
        <f t="shared" si="96"/>
        <v/>
      </c>
      <c r="AS340" s="473" t="str">
        <f t="shared" si="97"/>
        <v/>
      </c>
      <c r="AT340" s="473" t="str">
        <f t="shared" si="98"/>
        <v/>
      </c>
      <c r="AU340" s="473" t="str">
        <f t="shared" si="99"/>
        <v/>
      </c>
      <c r="AZ340" s="32" t="s">
        <v>8135</v>
      </c>
      <c r="BA340" s="34" t="s">
        <v>6129</v>
      </c>
      <c r="BB340" s="499"/>
      <c r="BC340" s="271"/>
      <c r="BD340" s="279">
        <v>1</v>
      </c>
      <c r="BE340" s="271"/>
      <c r="BF340" s="271"/>
      <c r="BG340" s="271"/>
      <c r="BH340" s="271"/>
      <c r="BI340" s="271"/>
      <c r="BJ340" s="271"/>
      <c r="BK340" s="271"/>
      <c r="BL340" s="271"/>
    </row>
    <row r="341" spans="18:64" ht="21" customHeight="1" x14ac:dyDescent="0.25">
      <c r="R341" s="34" t="s">
        <v>6130</v>
      </c>
      <c r="S341" s="451"/>
      <c r="T341" s="32" t="s">
        <v>8125</v>
      </c>
      <c r="V341" s="475">
        <v>8</v>
      </c>
      <c r="W341" s="475" t="str">
        <f>IF($AC$341="","",$W$324)</f>
        <v/>
      </c>
      <c r="X341" s="476" t="str">
        <f>IF($AC$341="","",$X$324)</f>
        <v/>
      </c>
      <c r="Y341" s="477" t="str">
        <f>IF($X$341="","",$Y$324)</f>
        <v/>
      </c>
      <c r="Z341" s="477" t="str">
        <f>IF($X$341="","",$Z$324)</f>
        <v/>
      </c>
      <c r="AA341" s="477" t="str">
        <f>IF($AC$341="","",ROW($A$341)-ROW($A$324))</f>
        <v/>
      </c>
      <c r="AB341" s="478"/>
      <c r="AC341" s="34"/>
      <c r="AD341" s="356"/>
      <c r="AE341" s="18"/>
      <c r="AF341" s="19"/>
      <c r="AG341" s="480" t="str">
        <f t="shared" si="88"/>
        <v/>
      </c>
      <c r="AH341" s="481" t="str">
        <f t="shared" si="89"/>
        <v/>
      </c>
      <c r="AI341" s="477" t="str">
        <f>IF($AC$341="","",IFERROR(INDEX($AZ$74:$AZ$119,MATCH($AH$341,$AY$74:$AY$119,0)),"AUTRE"))</f>
        <v/>
      </c>
      <c r="AJ341" s="482" t="str">
        <f>IF($AC$341="","",IFERROR(INDEX($BA$74:$BA$119,MATCH($AH$341,$AY$74:$AY$119,0)),1))</f>
        <v/>
      </c>
      <c r="AK341" s="482" t="str">
        <f t="shared" si="90"/>
        <v/>
      </c>
      <c r="AL341" s="477" t="str">
        <f>IF($AC$341="","",IFERROR(INDEX($BB$74:$BB$119,MATCH($AH$341,$AY$74:$AY$119,0)),$AH$341))</f>
        <v/>
      </c>
      <c r="AM341" s="483" t="str">
        <f t="shared" si="91"/>
        <v/>
      </c>
      <c r="AN341" s="484" t="str">
        <f t="shared" si="92"/>
        <v/>
      </c>
      <c r="AO341" s="473" t="str">
        <f t="shared" si="93"/>
        <v/>
      </c>
      <c r="AP341" s="473" t="str">
        <f t="shared" si="94"/>
        <v/>
      </c>
      <c r="AQ341" s="473" t="str">
        <f t="shared" si="95"/>
        <v/>
      </c>
      <c r="AR341" s="473" t="str">
        <f t="shared" si="96"/>
        <v/>
      </c>
      <c r="AS341" s="473" t="str">
        <f t="shared" si="97"/>
        <v/>
      </c>
      <c r="AT341" s="473" t="str">
        <f t="shared" si="98"/>
        <v/>
      </c>
      <c r="AU341" s="473" t="str">
        <f t="shared" si="99"/>
        <v/>
      </c>
      <c r="AZ341" s="32" t="s">
        <v>8137</v>
      </c>
      <c r="BA341" s="34" t="s">
        <v>478</v>
      </c>
      <c r="BB341" s="499"/>
      <c r="BC341" s="271"/>
      <c r="BD341" s="279">
        <v>1</v>
      </c>
      <c r="BE341" s="271"/>
      <c r="BF341" s="271"/>
      <c r="BG341" s="271"/>
      <c r="BH341" s="271"/>
      <c r="BI341" s="271"/>
      <c r="BJ341" s="271"/>
      <c r="BK341" s="271"/>
      <c r="BL341" s="271"/>
    </row>
    <row r="342" spans="18:64" ht="21" customHeight="1" x14ac:dyDescent="0.25">
      <c r="R342" s="34" t="s">
        <v>486</v>
      </c>
      <c r="S342" s="451"/>
      <c r="T342" s="32" t="s">
        <v>8127</v>
      </c>
      <c r="V342" s="475">
        <v>8</v>
      </c>
      <c r="W342" s="475" t="str">
        <f>IF($AC$342="","",$W$324)</f>
        <v/>
      </c>
      <c r="X342" s="476" t="str">
        <f>IF($AC$342="","",$X$324)</f>
        <v/>
      </c>
      <c r="Y342" s="477" t="str">
        <f>IF($X$342="","",$Y$324)</f>
        <v/>
      </c>
      <c r="Z342" s="477" t="str">
        <f>IF($X$342="","",$Z$324)</f>
        <v/>
      </c>
      <c r="AA342" s="477" t="str">
        <f>IF($AC$342="","",ROW($A$342)-ROW($A$324))</f>
        <v/>
      </c>
      <c r="AB342" s="478"/>
      <c r="AC342" s="34"/>
      <c r="AD342" s="356"/>
      <c r="AE342" s="18"/>
      <c r="AF342" s="19"/>
      <c r="AG342" s="480" t="str">
        <f t="shared" si="88"/>
        <v/>
      </c>
      <c r="AH342" s="481" t="str">
        <f t="shared" si="89"/>
        <v/>
      </c>
      <c r="AI342" s="477" t="str">
        <f>IF($AC$342="","",IFERROR(INDEX($AZ$74:$AZ$119,MATCH($AH$342,$AY$74:$AY$119,0)),"AUTRE"))</f>
        <v/>
      </c>
      <c r="AJ342" s="482" t="str">
        <f>IF($AC$342="","",IFERROR(INDEX($BA$74:$BA$119,MATCH($AH$342,$AY$74:$AY$119,0)),1))</f>
        <v/>
      </c>
      <c r="AK342" s="482" t="str">
        <f t="shared" si="90"/>
        <v/>
      </c>
      <c r="AL342" s="477" t="str">
        <f>IF($AC$342="","",IFERROR(INDEX($BB$74:$BB$119,MATCH($AH$342,$AY$74:$AY$119,0)),$AH$342))</f>
        <v/>
      </c>
      <c r="AM342" s="483" t="str">
        <f t="shared" si="91"/>
        <v/>
      </c>
      <c r="AN342" s="484" t="str">
        <f t="shared" si="92"/>
        <v/>
      </c>
      <c r="AO342" s="473" t="str">
        <f t="shared" si="93"/>
        <v/>
      </c>
      <c r="AP342" s="473" t="str">
        <f t="shared" si="94"/>
        <v/>
      </c>
      <c r="AQ342" s="473" t="str">
        <f t="shared" si="95"/>
        <v/>
      </c>
      <c r="AR342" s="473" t="str">
        <f t="shared" si="96"/>
        <v/>
      </c>
      <c r="AS342" s="473" t="str">
        <f t="shared" si="97"/>
        <v/>
      </c>
      <c r="AT342" s="473" t="str">
        <f t="shared" si="98"/>
        <v/>
      </c>
      <c r="AU342" s="473" t="str">
        <f t="shared" si="99"/>
        <v/>
      </c>
      <c r="AZ342" s="32" t="s">
        <v>8139</v>
      </c>
      <c r="BA342" s="34" t="s">
        <v>6130</v>
      </c>
      <c r="BB342" s="499"/>
      <c r="BC342" s="271"/>
      <c r="BD342" s="279">
        <v>1</v>
      </c>
      <c r="BE342" s="271"/>
      <c r="BF342" s="271"/>
      <c r="BG342" s="271"/>
      <c r="BH342" s="271"/>
      <c r="BI342" s="271"/>
      <c r="BJ342" s="271"/>
      <c r="BK342" s="271"/>
      <c r="BL342" s="271"/>
    </row>
    <row r="343" spans="18:64" ht="21" customHeight="1" x14ac:dyDescent="0.25">
      <c r="R343" s="34" t="s">
        <v>479</v>
      </c>
      <c r="S343" s="451"/>
      <c r="T343" s="32" t="s">
        <v>320</v>
      </c>
      <c r="V343" s="475">
        <v>8</v>
      </c>
      <c r="W343" s="475" t="str">
        <f>IF($AC$343="","",$W$324)</f>
        <v/>
      </c>
      <c r="X343" s="476" t="str">
        <f>IF($AC$343="","",$X$324)</f>
        <v/>
      </c>
      <c r="Y343" s="477" t="str">
        <f>IF($X$343="","",$Y$324)</f>
        <v/>
      </c>
      <c r="Z343" s="477" t="str">
        <f>IF($X$343="","",$Z$324)</f>
        <v/>
      </c>
      <c r="AA343" s="477" t="str">
        <f>IF($AC$343="","",ROW($A$343)-ROW($A$324))</f>
        <v/>
      </c>
      <c r="AB343" s="478"/>
      <c r="AC343" s="34"/>
      <c r="AD343" s="356"/>
      <c r="AE343" s="18"/>
      <c r="AF343" s="19"/>
      <c r="AG343" s="480" t="str">
        <f t="shared" si="88"/>
        <v/>
      </c>
      <c r="AH343" s="481" t="str">
        <f t="shared" si="89"/>
        <v/>
      </c>
      <c r="AI343" s="477" t="str">
        <f>IF($AC$343="","",IFERROR(INDEX($AZ$74:$AZ$119,MATCH($AH$343,$AY$74:$AY$119,0)),"AUTRE"))</f>
        <v/>
      </c>
      <c r="AJ343" s="482" t="str">
        <f>IF($AC$343="","",IFERROR(INDEX($BA$74:$BA$119,MATCH($AH$343,$AY$74:$AY$119,0)),1))</f>
        <v/>
      </c>
      <c r="AK343" s="482" t="str">
        <f t="shared" si="90"/>
        <v/>
      </c>
      <c r="AL343" s="477" t="str">
        <f>IF($AC$343="","",IFERROR(INDEX($BB$74:$BB$119,MATCH($AH$343,$AY$74:$AY$119,0)),$AH$343))</f>
        <v/>
      </c>
      <c r="AM343" s="483" t="str">
        <f t="shared" si="91"/>
        <v/>
      </c>
      <c r="AN343" s="484" t="str">
        <f t="shared" si="92"/>
        <v/>
      </c>
      <c r="AO343" s="473" t="str">
        <f t="shared" si="93"/>
        <v/>
      </c>
      <c r="AP343" s="473" t="str">
        <f t="shared" si="94"/>
        <v/>
      </c>
      <c r="AQ343" s="473" t="str">
        <f t="shared" si="95"/>
        <v/>
      </c>
      <c r="AR343" s="473" t="str">
        <f t="shared" si="96"/>
        <v/>
      </c>
      <c r="AS343" s="473" t="str">
        <f t="shared" si="97"/>
        <v/>
      </c>
      <c r="AT343" s="473" t="str">
        <f t="shared" si="98"/>
        <v/>
      </c>
      <c r="AU343" s="473" t="str">
        <f t="shared" si="99"/>
        <v/>
      </c>
      <c r="AZ343" s="32" t="s">
        <v>8141</v>
      </c>
      <c r="BA343" s="34" t="s">
        <v>486</v>
      </c>
      <c r="BB343" s="499"/>
      <c r="BC343" s="271"/>
      <c r="BD343" s="279">
        <v>1</v>
      </c>
      <c r="BE343" s="271"/>
      <c r="BF343" s="271"/>
      <c r="BG343" s="271"/>
      <c r="BH343" s="271"/>
      <c r="BI343" s="271"/>
      <c r="BJ343" s="271"/>
      <c r="BK343" s="271"/>
      <c r="BL343" s="271"/>
    </row>
    <row r="344" spans="18:64" ht="21" customHeight="1" x14ac:dyDescent="0.25">
      <c r="R344" s="34" t="s">
        <v>6131</v>
      </c>
      <c r="S344" s="451"/>
      <c r="T344" s="32" t="s">
        <v>318</v>
      </c>
      <c r="V344" s="475">
        <v>8</v>
      </c>
      <c r="W344" s="475" t="str">
        <f>IF($AC$344="","",$W$324)</f>
        <v/>
      </c>
      <c r="X344" s="476" t="str">
        <f>IF($AC$344="","",$X$324)</f>
        <v/>
      </c>
      <c r="Y344" s="477" t="str">
        <f>IF($X$344="","",$Y$324)</f>
        <v/>
      </c>
      <c r="Z344" s="477" t="str">
        <f>IF($X$344="","",$Z$324)</f>
        <v/>
      </c>
      <c r="AA344" s="477" t="str">
        <f>IF($AC$344="","",ROW($A$344)-ROW($A$324))</f>
        <v/>
      </c>
      <c r="AB344" s="478"/>
      <c r="AC344" s="34"/>
      <c r="AD344" s="356"/>
      <c r="AE344" s="18"/>
      <c r="AF344" s="19"/>
      <c r="AG344" s="480" t="str">
        <f t="shared" si="88"/>
        <v/>
      </c>
      <c r="AH344" s="481" t="str">
        <f t="shared" si="89"/>
        <v/>
      </c>
      <c r="AI344" s="477" t="str">
        <f>IF($AC$344="","",IFERROR(INDEX($AZ$74:$AZ$119,MATCH($AH$344,$AY$74:$AY$119,0)),"AUTRE"))</f>
        <v/>
      </c>
      <c r="AJ344" s="482" t="str">
        <f>IF($AC$344="","",IFERROR(INDEX($BA$74:$BA$119,MATCH($AH$344,$AY$74:$AY$119,0)),1))</f>
        <v/>
      </c>
      <c r="AK344" s="482" t="str">
        <f t="shared" si="90"/>
        <v/>
      </c>
      <c r="AL344" s="477" t="str">
        <f>IF($AC$344="","",IFERROR(INDEX($BB$74:$BB$119,MATCH($AH$344,$AY$74:$AY$119,0)),$AH$344))</f>
        <v/>
      </c>
      <c r="AM344" s="483" t="str">
        <f t="shared" si="91"/>
        <v/>
      </c>
      <c r="AN344" s="484" t="str">
        <f t="shared" si="92"/>
        <v/>
      </c>
      <c r="AO344" s="473" t="str">
        <f t="shared" si="93"/>
        <v/>
      </c>
      <c r="AP344" s="473" t="str">
        <f t="shared" si="94"/>
        <v/>
      </c>
      <c r="AQ344" s="473" t="str">
        <f t="shared" si="95"/>
        <v/>
      </c>
      <c r="AR344" s="473" t="str">
        <f t="shared" si="96"/>
        <v/>
      </c>
      <c r="AS344" s="473" t="str">
        <f t="shared" si="97"/>
        <v/>
      </c>
      <c r="AT344" s="473" t="str">
        <f t="shared" si="98"/>
        <v/>
      </c>
      <c r="AU344" s="473" t="str">
        <f t="shared" si="99"/>
        <v/>
      </c>
      <c r="AZ344" s="32" t="s">
        <v>8143</v>
      </c>
      <c r="BA344" s="34" t="s">
        <v>479</v>
      </c>
      <c r="BB344" s="499"/>
      <c r="BC344" s="271"/>
      <c r="BD344" s="279">
        <v>1</v>
      </c>
      <c r="BE344" s="271"/>
      <c r="BF344" s="271"/>
      <c r="BG344" s="271"/>
      <c r="BH344" s="271"/>
      <c r="BI344" s="271"/>
      <c r="BJ344" s="271"/>
      <c r="BK344" s="271"/>
      <c r="BL344" s="271"/>
    </row>
    <row r="345" spans="18:64" ht="21" customHeight="1" x14ac:dyDescent="0.25">
      <c r="R345" s="34" t="s">
        <v>485</v>
      </c>
      <c r="S345" s="451"/>
      <c r="T345" s="32" t="s">
        <v>316</v>
      </c>
      <c r="V345" s="475">
        <v>8</v>
      </c>
      <c r="W345" s="475" t="str">
        <f>IF($AC$345="","",$W$324)</f>
        <v/>
      </c>
      <c r="X345" s="476" t="str">
        <f>IF($AC$345="","",$X$324)</f>
        <v/>
      </c>
      <c r="Y345" s="477" t="str">
        <f>IF($X$345="","",$Y$324)</f>
        <v/>
      </c>
      <c r="Z345" s="477" t="str">
        <f>IF($X$345="","",$Z$324)</f>
        <v/>
      </c>
      <c r="AA345" s="477" t="str">
        <f>IF($AC$345="","",ROW($A$345)-ROW($A$324))</f>
        <v/>
      </c>
      <c r="AB345" s="478"/>
      <c r="AC345" s="34"/>
      <c r="AD345" s="356"/>
      <c r="AE345" s="18"/>
      <c r="AF345" s="19"/>
      <c r="AG345" s="480" t="str">
        <f t="shared" si="88"/>
        <v/>
      </c>
      <c r="AH345" s="481" t="str">
        <f t="shared" si="89"/>
        <v/>
      </c>
      <c r="AI345" s="477" t="str">
        <f>IF($AC$345="","",IFERROR(INDEX($AZ$74:$AZ$119,MATCH($AH$345,$AY$74:$AY$119,0)),"AUTRE"))</f>
        <v/>
      </c>
      <c r="AJ345" s="482" t="str">
        <f>IF($AC$345="","",IFERROR(INDEX($BA$74:$BA$119,MATCH($AH$345,$AY$74:$AY$119,0)),1))</f>
        <v/>
      </c>
      <c r="AK345" s="482" t="str">
        <f t="shared" si="90"/>
        <v/>
      </c>
      <c r="AL345" s="477" t="str">
        <f>IF($AC$345="","",IFERROR(INDEX($BB$74:$BB$119,MATCH($AH$345,$AY$74:$AY$119,0)),$AH$345))</f>
        <v/>
      </c>
      <c r="AM345" s="483" t="str">
        <f t="shared" si="91"/>
        <v/>
      </c>
      <c r="AN345" s="484" t="str">
        <f t="shared" si="92"/>
        <v/>
      </c>
      <c r="AO345" s="473" t="str">
        <f t="shared" si="93"/>
        <v/>
      </c>
      <c r="AP345" s="473" t="str">
        <f t="shared" si="94"/>
        <v/>
      </c>
      <c r="AQ345" s="473" t="str">
        <f t="shared" si="95"/>
        <v/>
      </c>
      <c r="AR345" s="473" t="str">
        <f t="shared" si="96"/>
        <v/>
      </c>
      <c r="AS345" s="473" t="str">
        <f t="shared" si="97"/>
        <v/>
      </c>
      <c r="AT345" s="473" t="str">
        <f t="shared" si="98"/>
        <v/>
      </c>
      <c r="AU345" s="473" t="str">
        <f t="shared" si="99"/>
        <v/>
      </c>
      <c r="AZ345" s="497" t="s">
        <v>8145</v>
      </c>
      <c r="BA345" s="34" t="s">
        <v>6131</v>
      </c>
      <c r="BB345" s="499"/>
      <c r="BC345" s="271"/>
      <c r="BD345" s="279">
        <v>1</v>
      </c>
      <c r="BE345" s="271"/>
      <c r="BF345" s="271"/>
      <c r="BG345" s="271"/>
      <c r="BH345" s="271"/>
      <c r="BI345" s="271"/>
      <c r="BJ345" s="271"/>
      <c r="BK345" s="271"/>
      <c r="BL345" s="271"/>
    </row>
    <row r="346" spans="18:64" ht="21" customHeight="1" x14ac:dyDescent="0.25">
      <c r="R346" s="34" t="s">
        <v>6132</v>
      </c>
      <c r="S346" s="451"/>
      <c r="T346" s="32" t="s">
        <v>313</v>
      </c>
      <c r="V346" s="475">
        <v>8</v>
      </c>
      <c r="W346" s="475" t="str">
        <f>IF($AC$346="","",$W$324)</f>
        <v/>
      </c>
      <c r="X346" s="476" t="str">
        <f>IF($AC$346="","",$X$324)</f>
        <v/>
      </c>
      <c r="Y346" s="477" t="str">
        <f>IF($X$346="","",$Y$324)</f>
        <v/>
      </c>
      <c r="Z346" s="477" t="str">
        <f>IF($X$346="","",$Z$324)</f>
        <v/>
      </c>
      <c r="AA346" s="477" t="str">
        <f>IF($AC$346="","",ROW($A$346)-ROW($A$324))</f>
        <v/>
      </c>
      <c r="AB346" s="478"/>
      <c r="AC346" s="34"/>
      <c r="AD346" s="356"/>
      <c r="AE346" s="18"/>
      <c r="AF346" s="19"/>
      <c r="AG346" s="480" t="str">
        <f t="shared" si="88"/>
        <v/>
      </c>
      <c r="AH346" s="481" t="str">
        <f t="shared" si="89"/>
        <v/>
      </c>
      <c r="AI346" s="477" t="str">
        <f>IF($AC$346="","",IFERROR(INDEX($AZ$74:$AZ$119,MATCH($AH$346,$AY$74:$AY$119,0)),"AUTRE"))</f>
        <v/>
      </c>
      <c r="AJ346" s="482" t="str">
        <f>IF($AC$346="","",IFERROR(INDEX($BA$74:$BA$119,MATCH($AH$346,$AY$74:$AY$119,0)),1))</f>
        <v/>
      </c>
      <c r="AK346" s="482" t="str">
        <f t="shared" si="90"/>
        <v/>
      </c>
      <c r="AL346" s="477" t="str">
        <f>IF($AC$346="","",IFERROR(INDEX($BB$74:$BB$119,MATCH($AH$346,$AY$74:$AY$119,0)),$AH$346))</f>
        <v/>
      </c>
      <c r="AM346" s="483" t="str">
        <f t="shared" si="91"/>
        <v/>
      </c>
      <c r="AN346" s="484" t="str">
        <f t="shared" si="92"/>
        <v/>
      </c>
      <c r="AO346" s="473" t="str">
        <f t="shared" si="93"/>
        <v/>
      </c>
      <c r="AP346" s="473" t="str">
        <f t="shared" si="94"/>
        <v/>
      </c>
      <c r="AQ346" s="473" t="str">
        <f t="shared" si="95"/>
        <v/>
      </c>
      <c r="AR346" s="473" t="str">
        <f t="shared" si="96"/>
        <v/>
      </c>
      <c r="AS346" s="473" t="str">
        <f t="shared" si="97"/>
        <v/>
      </c>
      <c r="AT346" s="473" t="str">
        <f t="shared" si="98"/>
        <v/>
      </c>
      <c r="AU346" s="473" t="str">
        <f t="shared" si="99"/>
        <v/>
      </c>
      <c r="AZ346" s="497" t="s">
        <v>462</v>
      </c>
      <c r="BA346" s="34" t="s">
        <v>485</v>
      </c>
      <c r="BB346" s="499"/>
      <c r="BC346" s="271"/>
      <c r="BD346" s="279">
        <v>1</v>
      </c>
      <c r="BE346" s="271"/>
      <c r="BF346" s="271"/>
      <c r="BG346" s="271"/>
      <c r="BH346" s="271"/>
      <c r="BI346" s="271"/>
      <c r="BJ346" s="271"/>
      <c r="BK346" s="271"/>
      <c r="BL346" s="271"/>
    </row>
    <row r="347" spans="18:64" ht="21" customHeight="1" x14ac:dyDescent="0.25">
      <c r="R347" s="25" t="s">
        <v>6133</v>
      </c>
      <c r="S347" s="451"/>
      <c r="T347" s="32" t="s">
        <v>307</v>
      </c>
      <c r="V347" s="475">
        <v>8</v>
      </c>
      <c r="W347" s="475" t="str">
        <f>IF($AC$347="","",$W$324)</f>
        <v/>
      </c>
      <c r="X347" s="476" t="str">
        <f>IF($AC$347="","",$X$324)</f>
        <v/>
      </c>
      <c r="Y347" s="477" t="str">
        <f>IF($X$347="","",$Y$324)</f>
        <v/>
      </c>
      <c r="Z347" s="477" t="str">
        <f>IF($X$347="","",$Z$324)</f>
        <v/>
      </c>
      <c r="AA347" s="477" t="str">
        <f>IF($AC$347="","",ROW($A$347)-ROW($A$324))</f>
        <v/>
      </c>
      <c r="AB347" s="478"/>
      <c r="AC347" s="34"/>
      <c r="AD347" s="356"/>
      <c r="AE347" s="18"/>
      <c r="AF347" s="19"/>
      <c r="AG347" s="480" t="str">
        <f t="shared" si="88"/>
        <v/>
      </c>
      <c r="AH347" s="481" t="str">
        <f t="shared" si="89"/>
        <v/>
      </c>
      <c r="AI347" s="477" t="str">
        <f>IF($AC$347="","",IFERROR(INDEX($AZ$74:$AZ$119,MATCH($AH$347,$AY$74:$AY$119,0)),"AUTRE"))</f>
        <v/>
      </c>
      <c r="AJ347" s="482" t="str">
        <f>IF($AC$347="","",IFERROR(INDEX($BA$74:$BA$119,MATCH($AH$347,$AY$74:$AY$119,0)),1))</f>
        <v/>
      </c>
      <c r="AK347" s="482" t="str">
        <f t="shared" si="90"/>
        <v/>
      </c>
      <c r="AL347" s="477" t="str">
        <f>IF($AC$347="","",IFERROR(INDEX($BB$74:$BB$119,MATCH($AH$347,$AY$74:$AY$119,0)),$AH$347))</f>
        <v/>
      </c>
      <c r="AM347" s="483" t="str">
        <f t="shared" si="91"/>
        <v/>
      </c>
      <c r="AN347" s="484" t="str">
        <f t="shared" si="92"/>
        <v/>
      </c>
      <c r="AO347" s="473" t="str">
        <f t="shared" si="93"/>
        <v/>
      </c>
      <c r="AP347" s="473" t="str">
        <f t="shared" si="94"/>
        <v/>
      </c>
      <c r="AQ347" s="473" t="str">
        <f t="shared" si="95"/>
        <v/>
      </c>
      <c r="AR347" s="473" t="str">
        <f t="shared" si="96"/>
        <v/>
      </c>
      <c r="AS347" s="473" t="str">
        <f t="shared" si="97"/>
        <v/>
      </c>
      <c r="AT347" s="473" t="str">
        <f t="shared" si="98"/>
        <v/>
      </c>
      <c r="AU347" s="473" t="str">
        <f t="shared" si="99"/>
        <v/>
      </c>
      <c r="AZ347" s="497" t="s">
        <v>463</v>
      </c>
      <c r="BA347" s="34" t="s">
        <v>6132</v>
      </c>
      <c r="BB347" s="499"/>
      <c r="BC347" s="271"/>
      <c r="BD347" s="279">
        <v>1</v>
      </c>
      <c r="BE347" s="271"/>
      <c r="BF347" s="271"/>
      <c r="BG347" s="271"/>
      <c r="BH347" s="271"/>
      <c r="BI347" s="271"/>
      <c r="BJ347" s="271"/>
      <c r="BK347" s="271"/>
      <c r="BL347" s="271"/>
    </row>
    <row r="348" spans="18:64" ht="21" customHeight="1" x14ac:dyDescent="0.25">
      <c r="R348" s="34" t="s">
        <v>476</v>
      </c>
      <c r="S348" s="451"/>
      <c r="T348" s="32" t="s">
        <v>322</v>
      </c>
      <c r="V348" s="475">
        <v>8</v>
      </c>
      <c r="W348" s="475" t="str">
        <f>IF($AC$348="","",$W$324)</f>
        <v/>
      </c>
      <c r="X348" s="476" t="str">
        <f>IF($AC$348="","",$X$324)</f>
        <v/>
      </c>
      <c r="Y348" s="477" t="str">
        <f>IF($X$348="","",$Y$324)</f>
        <v/>
      </c>
      <c r="Z348" s="477" t="str">
        <f>IF($X$348="","",$Z$324)</f>
        <v/>
      </c>
      <c r="AA348" s="477" t="str">
        <f>IF($AC$348="","",ROW($A$348)-ROW($A$324))</f>
        <v/>
      </c>
      <c r="AB348" s="478"/>
      <c r="AC348" s="34"/>
      <c r="AD348" s="356"/>
      <c r="AE348" s="18"/>
      <c r="AF348" s="19"/>
      <c r="AG348" s="480" t="str">
        <f t="shared" si="88"/>
        <v/>
      </c>
      <c r="AH348" s="481" t="str">
        <f t="shared" si="89"/>
        <v/>
      </c>
      <c r="AI348" s="477" t="str">
        <f>IF($AC$348="","",IFERROR(INDEX($AZ$74:$AZ$119,MATCH($AH$348,$AY$74:$AY$119,0)),"AUTRE"))</f>
        <v/>
      </c>
      <c r="AJ348" s="482" t="str">
        <f>IF($AC$348="","",IFERROR(INDEX($BA$74:$BA$119,MATCH($AH$348,$AY$74:$AY$119,0)),1))</f>
        <v/>
      </c>
      <c r="AK348" s="482" t="str">
        <f t="shared" si="90"/>
        <v/>
      </c>
      <c r="AL348" s="477" t="str">
        <f>IF($AC$348="","",IFERROR(INDEX($BB$74:$BB$119,MATCH($AH$348,$AY$74:$AY$119,0)),$AH$348))</f>
        <v/>
      </c>
      <c r="AM348" s="483" t="str">
        <f t="shared" si="91"/>
        <v/>
      </c>
      <c r="AN348" s="484" t="str">
        <f t="shared" si="92"/>
        <v/>
      </c>
      <c r="AO348" s="473" t="str">
        <f t="shared" si="93"/>
        <v/>
      </c>
      <c r="AP348" s="473" t="str">
        <f t="shared" si="94"/>
        <v/>
      </c>
      <c r="AQ348" s="473" t="str">
        <f t="shared" si="95"/>
        <v/>
      </c>
      <c r="AR348" s="473" t="str">
        <f t="shared" si="96"/>
        <v/>
      </c>
      <c r="AS348" s="473" t="str">
        <f t="shared" si="97"/>
        <v/>
      </c>
      <c r="AT348" s="473" t="str">
        <f t="shared" si="98"/>
        <v/>
      </c>
      <c r="AU348" s="473" t="str">
        <f t="shared" si="99"/>
        <v/>
      </c>
      <c r="AZ348" s="497" t="s">
        <v>8147</v>
      </c>
      <c r="BA348" s="25" t="s">
        <v>6133</v>
      </c>
      <c r="BB348" s="499"/>
      <c r="BC348" s="271"/>
      <c r="BD348" s="279">
        <v>1</v>
      </c>
      <c r="BE348" s="271"/>
      <c r="BF348" s="271"/>
      <c r="BG348" s="271"/>
      <c r="BH348" s="271"/>
      <c r="BI348" s="271"/>
      <c r="BJ348" s="271"/>
      <c r="BK348" s="271"/>
      <c r="BL348" s="271"/>
    </row>
    <row r="349" spans="18:64" ht="21" customHeight="1" x14ac:dyDescent="0.25">
      <c r="R349" s="34" t="s">
        <v>468</v>
      </c>
      <c r="S349" s="451"/>
      <c r="T349" s="32" t="s">
        <v>305</v>
      </c>
      <c r="V349" s="475">
        <v>8</v>
      </c>
      <c r="W349" s="475" t="str">
        <f>IF($AC$349="","",$W$324)</f>
        <v/>
      </c>
      <c r="X349" s="476" t="str">
        <f>IF($AC$349="","",$X$324)</f>
        <v/>
      </c>
      <c r="Y349" s="477" t="str">
        <f>IF($X$349="","",$Y$324)</f>
        <v/>
      </c>
      <c r="Z349" s="477" t="str">
        <f>IF($X$349="","",$Z$324)</f>
        <v/>
      </c>
      <c r="AA349" s="477" t="str">
        <f>IF($AC$349="","",ROW($A$349)-ROW($A$324))</f>
        <v/>
      </c>
      <c r="AB349" s="478"/>
      <c r="AC349" s="34"/>
      <c r="AD349" s="356"/>
      <c r="AE349" s="18"/>
      <c r="AF349" s="19"/>
      <c r="AG349" s="480" t="str">
        <f t="shared" si="88"/>
        <v/>
      </c>
      <c r="AH349" s="481" t="str">
        <f t="shared" si="89"/>
        <v/>
      </c>
      <c r="AI349" s="477" t="str">
        <f>IF($AC$349="","",IFERROR(INDEX($AZ$74:$AZ$119,MATCH($AH$349,$AY$74:$AY$119,0)),"AUTRE"))</f>
        <v/>
      </c>
      <c r="AJ349" s="482" t="str">
        <f>IF($AC$349="","",IFERROR(INDEX($BA$74:$BA$119,MATCH($AH$349,$AY$74:$AY$119,0)),1))</f>
        <v/>
      </c>
      <c r="AK349" s="482" t="str">
        <f t="shared" si="90"/>
        <v/>
      </c>
      <c r="AL349" s="477" t="str">
        <f>IF($AC$349="","",IFERROR(INDEX($BB$74:$BB$119,MATCH($AH$349,$AY$74:$AY$119,0)),$AH$349))</f>
        <v/>
      </c>
      <c r="AM349" s="483" t="str">
        <f t="shared" si="91"/>
        <v/>
      </c>
      <c r="AN349" s="484" t="str">
        <f t="shared" si="92"/>
        <v/>
      </c>
      <c r="AO349" s="473" t="str">
        <f t="shared" si="93"/>
        <v/>
      </c>
      <c r="AP349" s="473" t="str">
        <f t="shared" si="94"/>
        <v/>
      </c>
      <c r="AQ349" s="473" t="str">
        <f t="shared" si="95"/>
        <v/>
      </c>
      <c r="AR349" s="473" t="str">
        <f t="shared" si="96"/>
        <v/>
      </c>
      <c r="AS349" s="473" t="str">
        <f t="shared" si="97"/>
        <v/>
      </c>
      <c r="AT349" s="473" t="str">
        <f t="shared" si="98"/>
        <v/>
      </c>
      <c r="AU349" s="473" t="str">
        <f t="shared" si="99"/>
        <v/>
      </c>
      <c r="AZ349" s="497" t="s">
        <v>465</v>
      </c>
      <c r="BA349" s="34" t="s">
        <v>476</v>
      </c>
      <c r="BB349" s="499"/>
      <c r="BC349" s="271"/>
      <c r="BD349" s="279">
        <v>1</v>
      </c>
      <c r="BE349" s="271"/>
      <c r="BF349" s="271"/>
      <c r="BG349" s="271"/>
      <c r="BH349" s="271"/>
      <c r="BI349" s="271"/>
      <c r="BJ349" s="271"/>
      <c r="BK349" s="271"/>
      <c r="BL349" s="271"/>
    </row>
    <row r="350" spans="18:64" ht="21" customHeight="1" x14ac:dyDescent="0.25">
      <c r="R350" s="34" t="s">
        <v>473</v>
      </c>
      <c r="S350" s="451"/>
      <c r="T350" s="32" t="s">
        <v>309</v>
      </c>
      <c r="V350" s="475">
        <v>8</v>
      </c>
      <c r="W350" s="475" t="str">
        <f>IF($AC$350="","",$W$324)</f>
        <v/>
      </c>
      <c r="X350" s="476" t="str">
        <f>IF($AC$350="","",$X$324)</f>
        <v/>
      </c>
      <c r="Y350" s="477" t="str">
        <f>IF($X$350="","",$Y$324)</f>
        <v/>
      </c>
      <c r="Z350" s="477" t="str">
        <f>IF($X$350="","",$Z$324)</f>
        <v/>
      </c>
      <c r="AA350" s="477" t="str">
        <f>IF($AC$350="","",ROW($A$350)-ROW($A$324))</f>
        <v/>
      </c>
      <c r="AB350" s="478"/>
      <c r="AC350" s="34"/>
      <c r="AD350" s="356"/>
      <c r="AE350" s="18"/>
      <c r="AF350" s="19"/>
      <c r="AG350" s="480" t="str">
        <f t="shared" si="88"/>
        <v/>
      </c>
      <c r="AH350" s="481" t="str">
        <f t="shared" si="89"/>
        <v/>
      </c>
      <c r="AI350" s="477" t="str">
        <f>IF($AC$350="","",IFERROR(INDEX($AZ$74:$AZ$119,MATCH($AH$350,$AY$74:$AY$119,0)),"AUTRE"))</f>
        <v/>
      </c>
      <c r="AJ350" s="482" t="str">
        <f>IF($AC$350="","",IFERROR(INDEX($BA$74:$BA$119,MATCH($AH$350,$AY$74:$AY$119,0)),1))</f>
        <v/>
      </c>
      <c r="AK350" s="482" t="str">
        <f t="shared" si="90"/>
        <v/>
      </c>
      <c r="AL350" s="477" t="str">
        <f>IF($AC$350="","",IFERROR(INDEX($BB$74:$BB$119,MATCH($AH$350,$AY$74:$AY$119,0)),$AH$350))</f>
        <v/>
      </c>
      <c r="AM350" s="483" t="str">
        <f t="shared" si="91"/>
        <v/>
      </c>
      <c r="AN350" s="484" t="str">
        <f t="shared" si="92"/>
        <v/>
      </c>
      <c r="AO350" s="473" t="str">
        <f t="shared" si="93"/>
        <v/>
      </c>
      <c r="AP350" s="473" t="str">
        <f t="shared" si="94"/>
        <v/>
      </c>
      <c r="AQ350" s="473" t="str">
        <f t="shared" si="95"/>
        <v/>
      </c>
      <c r="AR350" s="473" t="str">
        <f t="shared" si="96"/>
        <v/>
      </c>
      <c r="AS350" s="473" t="str">
        <f t="shared" si="97"/>
        <v/>
      </c>
      <c r="AT350" s="473" t="str">
        <f t="shared" si="98"/>
        <v/>
      </c>
      <c r="AU350" s="473" t="str">
        <f t="shared" si="99"/>
        <v/>
      </c>
      <c r="AZ350" s="497" t="s">
        <v>466</v>
      </c>
      <c r="BA350" s="34" t="s">
        <v>468</v>
      </c>
      <c r="BB350" s="499"/>
      <c r="BC350" s="271"/>
      <c r="BD350" s="279">
        <v>1</v>
      </c>
      <c r="BE350" s="271"/>
      <c r="BF350" s="271"/>
      <c r="BG350" s="271"/>
      <c r="BH350" s="271"/>
      <c r="BI350" s="271"/>
      <c r="BJ350" s="271"/>
      <c r="BK350" s="271"/>
      <c r="BL350" s="271"/>
    </row>
    <row r="351" spans="18:64" ht="21" customHeight="1" x14ac:dyDescent="0.25">
      <c r="R351" s="34" t="s">
        <v>497</v>
      </c>
      <c r="S351" s="451"/>
      <c r="T351" s="32" t="s">
        <v>311</v>
      </c>
      <c r="V351" s="475">
        <v>8</v>
      </c>
      <c r="W351" s="475" t="str">
        <f>IF($AC$351="","",$W$324)</f>
        <v/>
      </c>
      <c r="X351" s="476" t="str">
        <f>IF($AC$351="","",$X$324)</f>
        <v/>
      </c>
      <c r="Y351" s="477" t="str">
        <f>IF($X$351="","",$Y$324)</f>
        <v/>
      </c>
      <c r="Z351" s="477" t="str">
        <f>IF($X$351="","",$Z$324)</f>
        <v/>
      </c>
      <c r="AA351" s="477" t="str">
        <f>IF($AC$351="","",ROW($A$351)-ROW($A$324))</f>
        <v/>
      </c>
      <c r="AB351" s="478"/>
      <c r="AC351" s="34"/>
      <c r="AD351" s="356"/>
      <c r="AE351" s="18"/>
      <c r="AF351" s="19"/>
      <c r="AG351" s="480" t="str">
        <f t="shared" si="88"/>
        <v/>
      </c>
      <c r="AH351" s="481" t="str">
        <f t="shared" si="89"/>
        <v/>
      </c>
      <c r="AI351" s="477" t="str">
        <f>IF($AC$351="","",IFERROR(INDEX($AZ$74:$AZ$119,MATCH($AH$351,$AY$74:$AY$119,0)),"AUTRE"))</f>
        <v/>
      </c>
      <c r="AJ351" s="482" t="str">
        <f>IF($AC$351="","",IFERROR(INDEX($BA$74:$BA$119,MATCH($AH$351,$AY$74:$AY$119,0)),1))</f>
        <v/>
      </c>
      <c r="AK351" s="482" t="str">
        <f t="shared" si="90"/>
        <v/>
      </c>
      <c r="AL351" s="477" t="str">
        <f>IF($AC$351="","",IFERROR(INDEX($BB$74:$BB$119,MATCH($AH$351,$AY$74:$AY$119,0)),$AH$351))</f>
        <v/>
      </c>
      <c r="AM351" s="483" t="str">
        <f t="shared" si="91"/>
        <v/>
      </c>
      <c r="AN351" s="484" t="str">
        <f t="shared" si="92"/>
        <v/>
      </c>
      <c r="AO351" s="473" t="str">
        <f t="shared" si="93"/>
        <v/>
      </c>
      <c r="AP351" s="473" t="str">
        <f t="shared" si="94"/>
        <v/>
      </c>
      <c r="AQ351" s="473" t="str">
        <f t="shared" si="95"/>
        <v/>
      </c>
      <c r="AR351" s="473" t="str">
        <f t="shared" si="96"/>
        <v/>
      </c>
      <c r="AS351" s="473" t="str">
        <f t="shared" si="97"/>
        <v/>
      </c>
      <c r="AT351" s="473" t="str">
        <f t="shared" si="98"/>
        <v/>
      </c>
      <c r="AU351" s="473" t="str">
        <f t="shared" si="99"/>
        <v/>
      </c>
      <c r="AZ351" s="14" t="s">
        <v>7</v>
      </c>
      <c r="BA351" s="34" t="s">
        <v>473</v>
      </c>
      <c r="BB351" s="499"/>
      <c r="BC351" s="271"/>
      <c r="BD351" s="279">
        <v>1</v>
      </c>
      <c r="BE351" s="271"/>
      <c r="BF351" s="271"/>
      <c r="BG351" s="271"/>
      <c r="BH351" s="271"/>
      <c r="BI351" s="271"/>
      <c r="BJ351" s="271"/>
      <c r="BK351" s="271"/>
      <c r="BL351" s="271"/>
    </row>
    <row r="352" spans="18:64" ht="21" customHeight="1" x14ac:dyDescent="0.25">
      <c r="R352" s="34" t="s">
        <v>470</v>
      </c>
      <c r="S352" s="451"/>
      <c r="T352" s="32" t="s">
        <v>8135</v>
      </c>
      <c r="V352" s="475">
        <v>8</v>
      </c>
      <c r="W352" s="475" t="str">
        <f>IF($AC$352="","",$W$324)</f>
        <v/>
      </c>
      <c r="X352" s="476" t="str">
        <f>IF($AC$352="","",$X$324)</f>
        <v/>
      </c>
      <c r="Y352" s="477" t="str">
        <f>IF($X$352="","",$Y$324)</f>
        <v/>
      </c>
      <c r="Z352" s="477" t="str">
        <f>IF($X$352="","",$Z$324)</f>
        <v/>
      </c>
      <c r="AA352" s="477" t="str">
        <f>IF($AC$352="","",ROW($A$352)-ROW($A$324))</f>
        <v/>
      </c>
      <c r="AB352" s="478"/>
      <c r="AC352" s="34"/>
      <c r="AD352" s="356"/>
      <c r="AE352" s="18"/>
      <c r="AF352" s="19"/>
      <c r="AG352" s="480" t="str">
        <f t="shared" si="88"/>
        <v/>
      </c>
      <c r="AH352" s="481" t="str">
        <f t="shared" si="89"/>
        <v/>
      </c>
      <c r="AI352" s="477" t="str">
        <f>IF($AC$352="","",IFERROR(INDEX($AZ$74:$AZ$119,MATCH($AH$352,$AY$74:$AY$119,0)),"AUTRE"))</f>
        <v/>
      </c>
      <c r="AJ352" s="482" t="str">
        <f>IF($AC$352="","",IFERROR(INDEX($BA$74:$BA$119,MATCH($AH$352,$AY$74:$AY$119,0)),1))</f>
        <v/>
      </c>
      <c r="AK352" s="482" t="str">
        <f t="shared" si="90"/>
        <v/>
      </c>
      <c r="AL352" s="477" t="str">
        <f>IF($AC$352="","",IFERROR(INDEX($BB$74:$BB$119,MATCH($AH$352,$AY$74:$AY$119,0)),$AH$352))</f>
        <v/>
      </c>
      <c r="AM352" s="483" t="str">
        <f t="shared" si="91"/>
        <v/>
      </c>
      <c r="AN352" s="484" t="str">
        <f t="shared" si="92"/>
        <v/>
      </c>
      <c r="AO352" s="473" t="str">
        <f t="shared" si="93"/>
        <v/>
      </c>
      <c r="AP352" s="473" t="str">
        <f t="shared" si="94"/>
        <v/>
      </c>
      <c r="AQ352" s="473" t="str">
        <f t="shared" si="95"/>
        <v/>
      </c>
      <c r="AR352" s="473" t="str">
        <f t="shared" si="96"/>
        <v/>
      </c>
      <c r="AS352" s="473" t="str">
        <f t="shared" si="97"/>
        <v/>
      </c>
      <c r="AT352" s="473" t="str">
        <f t="shared" si="98"/>
        <v/>
      </c>
      <c r="AU352" s="473" t="str">
        <f t="shared" si="99"/>
        <v/>
      </c>
      <c r="AY352" s="271"/>
      <c r="AZ352" s="27" t="s">
        <v>8</v>
      </c>
      <c r="BA352" s="34" t="s">
        <v>497</v>
      </c>
      <c r="BB352" s="499"/>
      <c r="BC352" s="271"/>
      <c r="BD352" s="279">
        <v>1</v>
      </c>
      <c r="BE352" s="271"/>
      <c r="BF352" s="271"/>
      <c r="BG352" s="271"/>
      <c r="BH352" s="271"/>
      <c r="BI352" s="271"/>
      <c r="BJ352" s="271"/>
      <c r="BK352" s="271"/>
      <c r="BL352" s="271"/>
    </row>
    <row r="353" spans="18:64" ht="21" customHeight="1" x14ac:dyDescent="0.25">
      <c r="R353" s="34" t="s">
        <v>477</v>
      </c>
      <c r="S353" s="451"/>
      <c r="T353" s="497" t="s">
        <v>462</v>
      </c>
      <c r="V353" s="475">
        <v>8</v>
      </c>
      <c r="W353" s="475" t="str">
        <f>IF($AC$353="","",$W$324)</f>
        <v/>
      </c>
      <c r="X353" s="476" t="str">
        <f>IF($AC$353="","",$X$324)</f>
        <v/>
      </c>
      <c r="Y353" s="477" t="str">
        <f>IF($X$353="","",$Y$324)</f>
        <v/>
      </c>
      <c r="Z353" s="477" t="str">
        <f>IF($X$353="","",$Z$324)</f>
        <v/>
      </c>
      <c r="AA353" s="477" t="str">
        <f>IF($AC$353="","",ROW($A$353)-ROW($A$324))</f>
        <v/>
      </c>
      <c r="AB353" s="478"/>
      <c r="AC353" s="34"/>
      <c r="AD353" s="356"/>
      <c r="AE353" s="18"/>
      <c r="AF353" s="19"/>
      <c r="AG353" s="480" t="str">
        <f t="shared" si="88"/>
        <v/>
      </c>
      <c r="AH353" s="481" t="str">
        <f t="shared" si="89"/>
        <v/>
      </c>
      <c r="AI353" s="477" t="str">
        <f>IF($AC$353="","",IFERROR(INDEX($AZ$74:$AZ$119,MATCH($AH$353,$AY$74:$AY$119,0)),"AUTRE"))</f>
        <v/>
      </c>
      <c r="AJ353" s="482" t="str">
        <f>IF($AC$353="","",IFERROR(INDEX($BA$74:$BA$119,MATCH($AH$353,$AY$74:$AY$119,0)),1))</f>
        <v/>
      </c>
      <c r="AK353" s="482" t="str">
        <f t="shared" si="90"/>
        <v/>
      </c>
      <c r="AL353" s="477" t="str">
        <f>IF($AC$353="","",IFERROR(INDEX($BB$74:$BB$119,MATCH($AH$353,$AY$74:$AY$119,0)),$AH$353))</f>
        <v/>
      </c>
      <c r="AM353" s="483" t="str">
        <f t="shared" si="91"/>
        <v/>
      </c>
      <c r="AN353" s="484" t="str">
        <f t="shared" si="92"/>
        <v/>
      </c>
      <c r="AO353" s="473" t="str">
        <f t="shared" si="93"/>
        <v/>
      </c>
      <c r="AP353" s="473" t="str">
        <f t="shared" si="94"/>
        <v/>
      </c>
      <c r="AQ353" s="473" t="str">
        <f t="shared" si="95"/>
        <v/>
      </c>
      <c r="AR353" s="473" t="str">
        <f t="shared" si="96"/>
        <v/>
      </c>
      <c r="AS353" s="473" t="str">
        <f t="shared" si="97"/>
        <v/>
      </c>
      <c r="AT353" s="473" t="str">
        <f t="shared" si="98"/>
        <v/>
      </c>
      <c r="AU353" s="473" t="str">
        <f t="shared" si="99"/>
        <v/>
      </c>
      <c r="AY353" s="497" t="s">
        <v>8145</v>
      </c>
      <c r="AZ353" s="28" t="s">
        <v>13</v>
      </c>
      <c r="BA353" s="34" t="s">
        <v>470</v>
      </c>
      <c r="BB353" s="499"/>
      <c r="BC353" s="271"/>
      <c r="BD353" s="279">
        <v>1</v>
      </c>
      <c r="BE353" s="271"/>
      <c r="BF353" s="271"/>
      <c r="BG353" s="271"/>
      <c r="BH353" s="271"/>
      <c r="BI353" s="271"/>
      <c r="BJ353" s="271"/>
      <c r="BK353" s="271"/>
      <c r="BL353" s="271"/>
    </row>
    <row r="354" spans="18:64" ht="21" customHeight="1" x14ac:dyDescent="0.25">
      <c r="S354" s="451"/>
      <c r="T354" s="497" t="s">
        <v>463</v>
      </c>
      <c r="V354" s="475">
        <v>8</v>
      </c>
      <c r="W354" s="475" t="str">
        <f>IF($AC$354="","",$W$324)</f>
        <v/>
      </c>
      <c r="X354" s="476" t="str">
        <f>IF($AC$354="","",$X$324)</f>
        <v/>
      </c>
      <c r="Y354" s="477" t="str">
        <f>IF($X$354="","",$Y$324)</f>
        <v/>
      </c>
      <c r="Z354" s="477" t="str">
        <f>IF($X$354="","",$Z$324)</f>
        <v/>
      </c>
      <c r="AA354" s="477" t="str">
        <f>IF($AC$354="","",ROW($A$354)-ROW($A$324))</f>
        <v/>
      </c>
      <c r="AB354" s="478"/>
      <c r="AC354" s="34"/>
      <c r="AD354" s="356"/>
      <c r="AE354" s="18"/>
      <c r="AF354" s="19"/>
      <c r="AG354" s="480" t="str">
        <f t="shared" si="88"/>
        <v/>
      </c>
      <c r="AH354" s="481" t="str">
        <f t="shared" si="89"/>
        <v/>
      </c>
      <c r="AI354" s="477" t="str">
        <f>IF($AC$354="","",IFERROR(INDEX($AZ$74:$AZ$119,MATCH($AH$354,$AY$74:$AY$119,0)),"AUTRE"))</f>
        <v/>
      </c>
      <c r="AJ354" s="482" t="str">
        <f>IF($AC$354="","",IFERROR(INDEX($BA$74:$BA$119,MATCH($AH$354,$AY$74:$AY$119,0)),1))</f>
        <v/>
      </c>
      <c r="AK354" s="482" t="str">
        <f t="shared" si="90"/>
        <v/>
      </c>
      <c r="AL354" s="477" t="str">
        <f>IF($AC$354="","",IFERROR(INDEX($BB$74:$BB$119,MATCH($AH$354,$AY$74:$AY$119,0)),$AH$354))</f>
        <v/>
      </c>
      <c r="AM354" s="483" t="str">
        <f t="shared" si="91"/>
        <v/>
      </c>
      <c r="AN354" s="484" t="str">
        <f t="shared" si="92"/>
        <v/>
      </c>
      <c r="AO354" s="473" t="str">
        <f t="shared" si="93"/>
        <v/>
      </c>
      <c r="AP354" s="473" t="str">
        <f t="shared" si="94"/>
        <v/>
      </c>
      <c r="AQ354" s="473" t="str">
        <f t="shared" si="95"/>
        <v/>
      </c>
      <c r="AR354" s="473" t="str">
        <f t="shared" si="96"/>
        <v/>
      </c>
      <c r="AS354" s="473" t="str">
        <f t="shared" si="97"/>
        <v/>
      </c>
      <c r="AT354" s="473" t="str">
        <f t="shared" si="98"/>
        <v/>
      </c>
      <c r="AU354" s="473" t="str">
        <f t="shared" si="99"/>
        <v/>
      </c>
      <c r="AY354" s="497" t="s">
        <v>462</v>
      </c>
      <c r="AZ354" s="28" t="s">
        <v>14</v>
      </c>
      <c r="BA354" s="34" t="s">
        <v>477</v>
      </c>
      <c r="BB354" s="499"/>
      <c r="BC354" s="271"/>
      <c r="BD354" s="279">
        <v>1</v>
      </c>
      <c r="BE354" s="271"/>
      <c r="BF354" s="271"/>
      <c r="BG354" s="271"/>
      <c r="BH354" s="271"/>
      <c r="BI354" s="271"/>
      <c r="BJ354" s="271"/>
      <c r="BK354" s="271"/>
      <c r="BL354" s="271"/>
    </row>
    <row r="355" spans="18:64" ht="21" customHeight="1" x14ac:dyDescent="0.25">
      <c r="R355" s="25" t="s">
        <v>6134</v>
      </c>
      <c r="S355" s="451"/>
      <c r="T355" s="497" t="s">
        <v>8147</v>
      </c>
      <c r="V355" s="475">
        <v>8</v>
      </c>
      <c r="W355" s="475" t="str">
        <f>IF($AC$355="","",$W$324)</f>
        <v/>
      </c>
      <c r="X355" s="476" t="str">
        <f>IF($AC$355="","",$X$324)</f>
        <v/>
      </c>
      <c r="Y355" s="477" t="str">
        <f>IF($X$355="","",$Y$324)</f>
        <v/>
      </c>
      <c r="Z355" s="477" t="str">
        <f>IF($X$355="","",$Z$324)</f>
        <v/>
      </c>
      <c r="AA355" s="477" t="str">
        <f>IF($AC$355="","",ROW($A$355)-ROW($A$324))</f>
        <v/>
      </c>
      <c r="AB355" s="478"/>
      <c r="AC355" s="34"/>
      <c r="AD355" s="356"/>
      <c r="AE355" s="18"/>
      <c r="AF355" s="19"/>
      <c r="AG355" s="480" t="str">
        <f t="shared" si="88"/>
        <v/>
      </c>
      <c r="AH355" s="481" t="str">
        <f t="shared" si="89"/>
        <v/>
      </c>
      <c r="AI355" s="477" t="str">
        <f>IF($AC$355="","",IFERROR(INDEX($AZ$74:$AZ$119,MATCH($AH$355,$AY$74:$AY$119,0)),"AUTRE"))</f>
        <v/>
      </c>
      <c r="AJ355" s="482" t="str">
        <f>IF($AC$355="","",IFERROR(INDEX($BA$74:$BA$119,MATCH($AH$355,$AY$74:$AY$119,0)),1))</f>
        <v/>
      </c>
      <c r="AK355" s="482" t="str">
        <f t="shared" si="90"/>
        <v/>
      </c>
      <c r="AL355" s="477" t="str">
        <f>IF($AC$355="","",IFERROR(INDEX($BB$74:$BB$119,MATCH($AH$355,$AY$74:$AY$119,0)),$AH$355))</f>
        <v/>
      </c>
      <c r="AM355" s="483" t="str">
        <f t="shared" si="91"/>
        <v/>
      </c>
      <c r="AN355" s="484" t="str">
        <f t="shared" si="92"/>
        <v/>
      </c>
      <c r="AO355" s="473" t="str">
        <f t="shared" si="93"/>
        <v/>
      </c>
      <c r="AP355" s="473" t="str">
        <f t="shared" si="94"/>
        <v/>
      </c>
      <c r="AQ355" s="473" t="str">
        <f t="shared" si="95"/>
        <v/>
      </c>
      <c r="AR355" s="473" t="str">
        <f t="shared" si="96"/>
        <v/>
      </c>
      <c r="AS355" s="473" t="str">
        <f t="shared" si="97"/>
        <v/>
      </c>
      <c r="AT355" s="473" t="str">
        <f t="shared" si="98"/>
        <v/>
      </c>
      <c r="AU355" s="473" t="str">
        <f t="shared" si="99"/>
        <v/>
      </c>
      <c r="AY355" s="497" t="s">
        <v>463</v>
      </c>
      <c r="AZ355" s="28" t="s">
        <v>15</v>
      </c>
      <c r="BB355" s="499"/>
      <c r="BC355" s="271"/>
      <c r="BD355" s="279">
        <v>1</v>
      </c>
      <c r="BE355" s="271"/>
      <c r="BF355" s="271"/>
      <c r="BG355" s="271"/>
      <c r="BH355" s="271"/>
      <c r="BI355" s="271"/>
      <c r="BJ355" s="271"/>
      <c r="BK355" s="271"/>
      <c r="BL355" s="271"/>
    </row>
    <row r="356" spans="18:64" ht="21" customHeight="1" x14ac:dyDescent="0.25">
      <c r="R356" s="34" t="s">
        <v>481</v>
      </c>
      <c r="S356" s="451"/>
      <c r="T356" s="497" t="s">
        <v>465</v>
      </c>
      <c r="V356" s="475">
        <v>8</v>
      </c>
      <c r="W356" s="475" t="str">
        <f>IF($AC$356="","",$W$324)</f>
        <v/>
      </c>
      <c r="X356" s="476" t="str">
        <f>IF($AC$356="","",$X$324)</f>
        <v/>
      </c>
      <c r="Y356" s="477" t="str">
        <f>IF($X$356="","",$Y$324)</f>
        <v/>
      </c>
      <c r="Z356" s="477" t="str">
        <f>IF($X$356="","",$Z$324)</f>
        <v/>
      </c>
      <c r="AA356" s="477" t="str">
        <f>IF($AC$356="","",ROW($A$356)-ROW($A$324))</f>
        <v/>
      </c>
      <c r="AB356" s="478"/>
      <c r="AC356" s="34"/>
      <c r="AD356" s="356"/>
      <c r="AE356" s="18"/>
      <c r="AF356" s="19"/>
      <c r="AG356" s="480" t="str">
        <f t="shared" si="88"/>
        <v/>
      </c>
      <c r="AH356" s="481" t="str">
        <f t="shared" si="89"/>
        <v/>
      </c>
      <c r="AI356" s="477" t="str">
        <f>IF($AC$356="","",IFERROR(INDEX($AZ$74:$AZ$119,MATCH($AH$356,$AY$74:$AY$119,0)),"AUTRE"))</f>
        <v/>
      </c>
      <c r="AJ356" s="482" t="str">
        <f>IF($AC$356="","",IFERROR(INDEX($BA$74:$BA$119,MATCH($AH$356,$AY$74:$AY$119,0)),1))</f>
        <v/>
      </c>
      <c r="AK356" s="482" t="str">
        <f t="shared" si="90"/>
        <v/>
      </c>
      <c r="AL356" s="477" t="str">
        <f>IF($AC$356="","",IFERROR(INDEX($BB$74:$BB$119,MATCH($AH$356,$AY$74:$AY$119,0)),$AH$356))</f>
        <v/>
      </c>
      <c r="AM356" s="483" t="str">
        <f t="shared" si="91"/>
        <v/>
      </c>
      <c r="AN356" s="484" t="str">
        <f t="shared" si="92"/>
        <v/>
      </c>
      <c r="AO356" s="473" t="str">
        <f t="shared" si="93"/>
        <v/>
      </c>
      <c r="AP356" s="473" t="str">
        <f t="shared" si="94"/>
        <v/>
      </c>
      <c r="AQ356" s="473" t="str">
        <f t="shared" si="95"/>
        <v/>
      </c>
      <c r="AR356" s="473" t="str">
        <f t="shared" si="96"/>
        <v/>
      </c>
      <c r="AS356" s="473" t="str">
        <f t="shared" si="97"/>
        <v/>
      </c>
      <c r="AT356" s="473" t="str">
        <f t="shared" si="98"/>
        <v/>
      </c>
      <c r="AU356" s="473" t="str">
        <f t="shared" si="99"/>
        <v/>
      </c>
      <c r="AY356" s="497" t="s">
        <v>8147</v>
      </c>
      <c r="AZ356" s="29" t="s">
        <v>9</v>
      </c>
      <c r="BA356" s="25" t="s">
        <v>6134</v>
      </c>
      <c r="BB356" s="499"/>
      <c r="BC356" s="271"/>
      <c r="BD356" s="279">
        <v>1</v>
      </c>
      <c r="BE356" s="271"/>
      <c r="BF356" s="271"/>
      <c r="BG356" s="271"/>
      <c r="BH356" s="271"/>
      <c r="BI356" s="271"/>
      <c r="BJ356" s="271"/>
      <c r="BK356" s="271"/>
      <c r="BL356" s="271"/>
    </row>
    <row r="357" spans="18:64" ht="21" customHeight="1" x14ac:dyDescent="0.25">
      <c r="R357" s="34" t="s">
        <v>475</v>
      </c>
      <c r="S357" s="451"/>
      <c r="T357" s="497" t="s">
        <v>466</v>
      </c>
      <c r="V357" s="475">
        <v>8</v>
      </c>
      <c r="W357" s="475" t="str">
        <f>IF($AC$357="","",$W$324)</f>
        <v/>
      </c>
      <c r="X357" s="476" t="str">
        <f>IF($AC$357="","",$X$324)</f>
        <v/>
      </c>
      <c r="Y357" s="477" t="str">
        <f>IF($X$357="","",$Y$324)</f>
        <v/>
      </c>
      <c r="Z357" s="477" t="str">
        <f>IF($X$357="","",$Z$324)</f>
        <v/>
      </c>
      <c r="AA357" s="477" t="str">
        <f>IF($AC$357="","",ROW($A$357)-ROW($A$324))</f>
        <v/>
      </c>
      <c r="AB357" s="478"/>
      <c r="AC357" s="34"/>
      <c r="AD357" s="356"/>
      <c r="AE357" s="18"/>
      <c r="AF357" s="19"/>
      <c r="AG357" s="480" t="str">
        <f t="shared" si="88"/>
        <v/>
      </c>
      <c r="AH357" s="481" t="str">
        <f t="shared" si="89"/>
        <v/>
      </c>
      <c r="AI357" s="477" t="str">
        <f>IF($AC$357="","",IFERROR(INDEX($AZ$74:$AZ$119,MATCH($AH$357,$AY$74:$AY$119,0)),"AUTRE"))</f>
        <v/>
      </c>
      <c r="AJ357" s="482" t="str">
        <f>IF($AC$357="","",IFERROR(INDEX($BA$74:$BA$119,MATCH($AH$357,$AY$74:$AY$119,0)),1))</f>
        <v/>
      </c>
      <c r="AK357" s="482" t="str">
        <f t="shared" si="90"/>
        <v/>
      </c>
      <c r="AL357" s="477" t="str">
        <f>IF($AC$357="","",IFERROR(INDEX($BB$74:$BB$119,MATCH($AH$357,$AY$74:$AY$119,0)),$AH$357))</f>
        <v/>
      </c>
      <c r="AM357" s="483" t="str">
        <f t="shared" si="91"/>
        <v/>
      </c>
      <c r="AN357" s="484" t="str">
        <f t="shared" si="92"/>
        <v/>
      </c>
      <c r="AO357" s="473" t="str">
        <f t="shared" si="93"/>
        <v/>
      </c>
      <c r="AP357" s="473" t="str">
        <f t="shared" si="94"/>
        <v/>
      </c>
      <c r="AQ357" s="473" t="str">
        <f t="shared" si="95"/>
        <v/>
      </c>
      <c r="AR357" s="473" t="str">
        <f t="shared" si="96"/>
        <v/>
      </c>
      <c r="AS357" s="473" t="str">
        <f t="shared" si="97"/>
        <v/>
      </c>
      <c r="AT357" s="473" t="str">
        <f t="shared" si="98"/>
        <v/>
      </c>
      <c r="AU357" s="473" t="str">
        <f t="shared" si="99"/>
        <v/>
      </c>
      <c r="AY357" s="497" t="s">
        <v>465</v>
      </c>
      <c r="AZ357" s="30" t="s">
        <v>10</v>
      </c>
      <c r="BA357" s="34" t="s">
        <v>481</v>
      </c>
      <c r="BB357" s="499"/>
      <c r="BC357" s="271"/>
      <c r="BD357" s="279">
        <v>1</v>
      </c>
      <c r="BE357" s="271"/>
      <c r="BF357" s="271"/>
      <c r="BG357" s="271"/>
      <c r="BH357" s="271"/>
      <c r="BI357" s="271"/>
      <c r="BJ357" s="271"/>
      <c r="BK357" s="271"/>
      <c r="BL357" s="271"/>
    </row>
    <row r="358" spans="18:64" ht="21" customHeight="1" x14ac:dyDescent="0.25">
      <c r="R358" s="34" t="s">
        <v>457</v>
      </c>
      <c r="S358" s="451"/>
      <c r="T358" s="440" t="s">
        <v>8110</v>
      </c>
      <c r="V358" s="475">
        <v>8</v>
      </c>
      <c r="W358" s="475" t="str">
        <f>IF($AC$358="","",$W$324)</f>
        <v>N° 32</v>
      </c>
      <c r="X358" s="476" t="str">
        <f>IF($AC$358="","",$X$324)</f>
        <v>MOUSSE DE FOIE DE VOLAILLE OLIVE</v>
      </c>
      <c r="Y358" s="477">
        <f>IF($X$358="","",$Y$324)</f>
        <v>49</v>
      </c>
      <c r="Z358" s="477">
        <f>IF($X$358="","",$Z$324)</f>
        <v>100</v>
      </c>
      <c r="AA358" s="477">
        <f>IF($AC$358="","",ROW($A$358)-ROW($A$324))</f>
        <v>34</v>
      </c>
      <c r="AB358" s="478"/>
      <c r="AC358" s="34" t="s">
        <v>486</v>
      </c>
      <c r="AD358" s="356"/>
      <c r="AE358" s="18">
        <v>5</v>
      </c>
      <c r="AF358" s="33" t="s">
        <v>462</v>
      </c>
      <c r="AG358" s="491">
        <f t="shared" si="88"/>
        <v>5</v>
      </c>
      <c r="AH358" s="481" t="str">
        <f t="shared" si="89"/>
        <v>BAC(S)</v>
      </c>
      <c r="AI358" s="477" t="str">
        <f>IF($AC$358="","",IFERROR(INDEX($AZ$74:$AZ$119,MATCH($AH$358,$AY$74:$AY$119,0)),"AUTRE"))</f>
        <v>AUTRE</v>
      </c>
      <c r="AJ358" s="482">
        <f>IF($AC$358="","",IFERROR(INDEX($BA$74:$BA$119,MATCH($AH$358,$AY$74:$AY$119,0)),1))</f>
        <v>1</v>
      </c>
      <c r="AK358" s="482">
        <f t="shared" si="90"/>
        <v>5</v>
      </c>
      <c r="AL358" s="477" t="str">
        <f>IF($AC$358="","",IFERROR(INDEX($BB$74:$BB$119,MATCH($AH$358,$AY$74:$AY$119,0)),$AH$358))</f>
        <v>bac(s)</v>
      </c>
      <c r="AM358" s="483" t="str">
        <f t="shared" si="91"/>
        <v>OK</v>
      </c>
      <c r="AN358" s="484">
        <f t="shared" si="92"/>
        <v>5</v>
      </c>
      <c r="AO358" s="473" t="str">
        <f t="shared" si="93"/>
        <v/>
      </c>
      <c r="AP358" s="473" t="str">
        <f t="shared" si="94"/>
        <v/>
      </c>
      <c r="AQ358" s="473" t="str">
        <f t="shared" si="95"/>
        <v/>
      </c>
      <c r="AR358" s="473" t="str">
        <f t="shared" si="96"/>
        <v/>
      </c>
      <c r="AS358" s="473" t="str">
        <f t="shared" si="97"/>
        <v/>
      </c>
      <c r="AT358" s="473" t="str">
        <f t="shared" si="98"/>
        <v/>
      </c>
      <c r="AU358" s="473" t="str">
        <f t="shared" si="99"/>
        <v/>
      </c>
      <c r="AY358" s="497" t="s">
        <v>466</v>
      </c>
      <c r="AZ358" s="30" t="s">
        <v>11</v>
      </c>
      <c r="BA358" s="34" t="s">
        <v>475</v>
      </c>
      <c r="BB358" s="499"/>
      <c r="BC358" s="271"/>
      <c r="BD358" s="279">
        <v>1</v>
      </c>
      <c r="BE358" s="271"/>
      <c r="BF358" s="271"/>
      <c r="BG358" s="271"/>
      <c r="BH358" s="271"/>
      <c r="BI358" s="271"/>
      <c r="BJ358" s="271"/>
      <c r="BK358" s="271"/>
      <c r="BL358" s="271"/>
    </row>
    <row r="359" spans="18:64" ht="30" customHeight="1" x14ac:dyDescent="0.25">
      <c r="R359" s="34" t="s">
        <v>482</v>
      </c>
      <c r="S359" s="451"/>
      <c r="T359" s="452" t="s">
        <v>8113</v>
      </c>
      <c r="V359" s="453" t="s">
        <v>324</v>
      </c>
      <c r="W359" s="453" t="s">
        <v>7912</v>
      </c>
      <c r="X359" s="453" t="s">
        <v>326</v>
      </c>
      <c r="Y359" s="453" t="s">
        <v>327</v>
      </c>
      <c r="Z359" s="454" t="s">
        <v>7930</v>
      </c>
      <c r="AA359" s="453" t="s">
        <v>7937</v>
      </c>
      <c r="AB359" s="455" t="s">
        <v>39</v>
      </c>
      <c r="AC359" s="455" t="s">
        <v>338</v>
      </c>
      <c r="AD359" s="455" t="s">
        <v>8114</v>
      </c>
      <c r="AE359" s="455" t="s">
        <v>339</v>
      </c>
      <c r="AF359" s="455" t="s">
        <v>7997</v>
      </c>
      <c r="AG359" s="453" t="s">
        <v>8018</v>
      </c>
      <c r="AH359" s="453" t="s">
        <v>8023</v>
      </c>
      <c r="AI359" s="453" t="s">
        <v>330</v>
      </c>
      <c r="AJ359" s="453" t="s">
        <v>8031</v>
      </c>
      <c r="AK359" s="453" t="s">
        <v>8037</v>
      </c>
      <c r="AL359" s="453" t="s">
        <v>8041</v>
      </c>
      <c r="AM359" s="453" t="s">
        <v>343</v>
      </c>
      <c r="AN359" s="457" t="s">
        <v>8115</v>
      </c>
      <c r="AO359" s="457" t="s">
        <v>8116</v>
      </c>
      <c r="AP359" s="656" t="s">
        <v>8117</v>
      </c>
      <c r="AQ359" s="656"/>
      <c r="AR359" s="656"/>
      <c r="AS359" s="656"/>
      <c r="AT359" s="656"/>
      <c r="AU359" s="657"/>
      <c r="AZ359" s="30" t="s">
        <v>12</v>
      </c>
      <c r="BA359" s="34" t="s">
        <v>457</v>
      </c>
      <c r="BB359" s="499"/>
      <c r="BC359" s="271"/>
      <c r="BD359" s="279">
        <v>1</v>
      </c>
      <c r="BE359" s="271"/>
      <c r="BF359" s="271"/>
      <c r="BG359" s="271"/>
      <c r="BH359" s="271"/>
      <c r="BI359" s="271"/>
      <c r="BJ359" s="271"/>
      <c r="BK359" s="271"/>
      <c r="BL359" s="271"/>
    </row>
    <row r="360" spans="18:64" ht="30" customHeight="1" x14ac:dyDescent="0.25">
      <c r="R360" s="34" t="s">
        <v>496</v>
      </c>
      <c r="S360" s="451"/>
      <c r="T360" s="14" t="s">
        <v>7</v>
      </c>
      <c r="V360" s="459">
        <v>9</v>
      </c>
      <c r="W360" s="460" t="s">
        <v>221</v>
      </c>
      <c r="X360" s="461" t="s">
        <v>220</v>
      </c>
      <c r="Y360" s="462">
        <v>50</v>
      </c>
      <c r="Z360" s="463">
        <v>100</v>
      </c>
      <c r="AA360" s="464">
        <f>IF($AC$396="","",ROW($A$396)-ROW($A$396))</f>
        <v>0</v>
      </c>
      <c r="AB360" s="461"/>
      <c r="AC360" s="465" t="s">
        <v>149</v>
      </c>
      <c r="AD360" s="390"/>
      <c r="AE360" s="13">
        <v>12</v>
      </c>
      <c r="AF360" s="11" t="s">
        <v>7</v>
      </c>
      <c r="AG360" s="467">
        <f t="shared" ref="AG360:AG394" si="100">IF($AC360="","",IF(LEN($AN360&amp;"")=0,"",$AN360))</f>
        <v>12</v>
      </c>
      <c r="AH360" s="468" t="str">
        <f t="shared" ref="AH360:AH394" si="101">IF($AC360="","",IF($AF360&lt;&gt;"",UPPER(TRIM(SUBSTITUTE(SUBSTITUTE($AF360&amp;"",CHAR(160)," ")," "," "))),$AP360))</f>
        <v>KG</v>
      </c>
      <c r="AI360" s="469" t="str">
        <f>IF($AC$360="","",IFERROR(INDEX($AZ$74:$AZ$119,MATCH($AH$360,$AY$74:$AY$119,0)),"AUTRE"))</f>
        <v>MASSE</v>
      </c>
      <c r="AJ360" s="470">
        <f>IF($AC$360="","",IFERROR(INDEX($BA$74:$BA$119,MATCH($AH$360,$AY$74:$AY$119,0)),1))</f>
        <v>1</v>
      </c>
      <c r="AK360" s="470">
        <f t="shared" ref="AK360:AK394" si="102">IF(OR(AG360="",AJ360=""),"",AG360*AJ360)</f>
        <v>12</v>
      </c>
      <c r="AL360" s="469" t="str">
        <f>IF($AC$360="","",IFERROR(INDEX($BB$74:$BB$119,MATCH($AH$360,$AY$74:$AY$119,0)),$AH$360))</f>
        <v>kg</v>
      </c>
      <c r="AM360" s="471" t="str">
        <f t="shared" ref="AM360:AM394" si="103">IF($AC360="","",IF($AH360="QT. SUFFISANTE","OK",IF($AG360="","TEXTE",IF(NOT(ISNUMBER($AG360)),"QUANTITÉ À CONTRÔLER",IF(COUNTIF($AY$74:$AY$119,$AH360)=0,"UNITÉ À CONTRÔLER","OK")))))</f>
        <v>OK</v>
      </c>
      <c r="AN360" s="474">
        <f t="shared" ref="AN360:AN394" si="104">IF($AE360&lt;&gt;"",$AE360,IF($AD360="","",IF(ISNUMBER($AD360),$AD360,IF($AO360="QT",0,IF($AO360="","",IFERROR(IF(ISNUMBER(SEARCH("/",$AO360)),VALUE(TRIM(LEFT($AO360,SEARCH("/",$AO360)-1)))/VALUE(TRIM(MID($AO360,SEARCH("/",$AO360)+1,99))),VALUE(SUBSTITUTE($AO360,".",","))),""))))))</f>
        <v>12</v>
      </c>
      <c r="AO360" s="473" t="str">
        <f t="shared" ref="AO360:AO394" si="105">IF($AD360="","",IF(ISNUMBER($AD360),$AD360,IF(OR(LEFT($AQ360,3)="QT.",LEFT($AQ360,4)="QUAN"),"QT",IF($AR360=999,$AQ360,TRIM(LEFT($AQ360,$AR360-1))))))</f>
        <v/>
      </c>
      <c r="AP360" s="473" t="str">
        <f t="shared" ref="AP360:AP394" si="106">IF($AD360="","",IF(ISNUMBER($AD360),"",IF(OR(LEFT($AQ360,3)="QT.",LEFT($AQ360,4)="QUAN"),"QT. SUFFISANTE",IF($AO360="","",TRIM(MID($AQ360,LEN($AO360&amp;"")+1,999))))))</f>
        <v/>
      </c>
      <c r="AQ360" s="473" t="str">
        <f t="shared" ref="AQ360:AQ394" si="107">IF($AD360="","",UPPER(TRIM(SUBSTITUTE(SUBSTITUTE($AD360&amp;"",CHAR(160)," ")," "," "))))</f>
        <v/>
      </c>
      <c r="AR360" s="473" t="str">
        <f t="shared" ref="AR360:AR394" si="108">IF($AQ360="","",MIN($AS360,$AT360,$AU360))</f>
        <v/>
      </c>
      <c r="AS360" s="473" t="str">
        <f t="shared" ref="AS360:AS394" si="109">IF($AQ360="","",MIN(IFERROR(SEARCH("A",$AQ360),999),IFERROR(SEARCH("B",$AQ360),999),IFERROR(SEARCH("C",$AQ360),999),IFERROR(SEARCH("D",$AQ360),999),IFERROR(SEARCH("E",$AQ360),999),IFERROR(SEARCH("F",$AQ360),999),IFERROR(SEARCH("G",$AQ360),999),IFERROR(SEARCH("H",$AQ360),999),IFERROR(SEARCH("I",$AQ360),999)))</f>
        <v/>
      </c>
      <c r="AT360" s="473" t="str">
        <f t="shared" ref="AT360:AT394" si="110">IF($AQ360="","",MIN(IFERROR(SEARCH("J",$AQ360),999),IFERROR(SEARCH("K",$AQ360),999),IFERROR(SEARCH("L",$AQ360),999),IFERROR(SEARCH("M",$AQ360),999),IFERROR(SEARCH("N",$AQ360),999),IFERROR(SEARCH("O",$AQ360),999),IFERROR(SEARCH("P",$AQ360),999),IFERROR(SEARCH("Q",$AQ360),999),IFERROR(SEARCH("R",$AQ360),999)))</f>
        <v/>
      </c>
      <c r="AU360" s="473" t="str">
        <f t="shared" ref="AU360:AU394" si="111">IF($AQ360="","",MIN(IFERROR(SEARCH("S",$AQ360),999),IFERROR(SEARCH("T",$AQ360),999),IFERROR(SEARCH("U",$AQ360),999),IFERROR(SEARCH("V",$AQ360),999),IFERROR(SEARCH("W",$AQ360),999),IFERROR(SEARCH("X",$AQ360),999),IFERROR(SEARCH("Y",$AQ360),999),IFERROR(SEARCH("Z",$AQ360),999)))</f>
        <v/>
      </c>
      <c r="AZ360" s="31" t="s">
        <v>16</v>
      </c>
      <c r="BA360" s="34" t="s">
        <v>482</v>
      </c>
      <c r="BB360" s="499"/>
      <c r="BC360" s="271"/>
      <c r="BD360" s="279">
        <v>1</v>
      </c>
      <c r="BE360" s="271"/>
      <c r="BF360" s="271"/>
      <c r="BG360" s="271"/>
      <c r="BH360" s="271"/>
      <c r="BI360" s="271"/>
      <c r="BJ360" s="271"/>
      <c r="BK360" s="271"/>
      <c r="BL360" s="271"/>
    </row>
    <row r="361" spans="18:64" ht="21" customHeight="1" x14ac:dyDescent="0.25">
      <c r="R361" s="34" t="s">
        <v>483</v>
      </c>
      <c r="S361" s="451"/>
      <c r="T361" s="27" t="s">
        <v>8</v>
      </c>
      <c r="V361" s="475">
        <f>$V$360</f>
        <v>9</v>
      </c>
      <c r="W361" s="475" t="str">
        <f>IF($AC$361="","",$W$360)</f>
        <v>N° 33</v>
      </c>
      <c r="X361" s="476" t="str">
        <f>IF($AC$361="","",$X$360)</f>
        <v>TOMATES SOUFFLÉES AU FROMAGE</v>
      </c>
      <c r="Y361" s="477">
        <f>IF($X$361="","",$Y$360)</f>
        <v>50</v>
      </c>
      <c r="Z361" s="477">
        <f>IF($X$361="","",$Z$360)</f>
        <v>100</v>
      </c>
      <c r="AA361" s="477">
        <f>IF($AC$361="","",ROW($A$361)-ROW($A$360))</f>
        <v>1</v>
      </c>
      <c r="AB361" s="478"/>
      <c r="AC361" s="34" t="s">
        <v>372</v>
      </c>
      <c r="AD361" s="356"/>
      <c r="AE361" s="18">
        <v>300</v>
      </c>
      <c r="AF361" s="16" t="s">
        <v>8</v>
      </c>
      <c r="AG361" s="480">
        <f t="shared" si="100"/>
        <v>300</v>
      </c>
      <c r="AH361" s="481" t="str">
        <f t="shared" si="101"/>
        <v>G</v>
      </c>
      <c r="AI361" s="477" t="str">
        <f>IF($AC$361="","",IFERROR(INDEX($AZ$74:$AZ$119,MATCH($AH$361,$AY$74:$AY$119,0)),"AUTRE"))</f>
        <v>MASSE</v>
      </c>
      <c r="AJ361" s="482">
        <f>IF($AC$361="","",IFERROR(INDEX($BA$74:$BA$119,MATCH($AH$361,$AY$74:$AY$119,0)),1))</f>
        <v>1E-3</v>
      </c>
      <c r="AK361" s="482">
        <f t="shared" si="102"/>
        <v>0.3</v>
      </c>
      <c r="AL361" s="477" t="str">
        <f>IF($AC$361="","",IFERROR(INDEX($BB$74:$BB$119,MATCH($AH$361,$AY$74:$AY$119,0)),$AH$361))</f>
        <v>kg</v>
      </c>
      <c r="AM361" s="483" t="str">
        <f t="shared" si="103"/>
        <v>OK</v>
      </c>
      <c r="AN361" s="484">
        <f t="shared" si="104"/>
        <v>300</v>
      </c>
      <c r="AO361" s="473" t="str">
        <f t="shared" si="105"/>
        <v/>
      </c>
      <c r="AP361" s="473" t="str">
        <f t="shared" si="106"/>
        <v/>
      </c>
      <c r="AQ361" s="473" t="str">
        <f t="shared" si="107"/>
        <v/>
      </c>
      <c r="AR361" s="473" t="str">
        <f t="shared" si="108"/>
        <v/>
      </c>
      <c r="AS361" s="473" t="str">
        <f t="shared" si="109"/>
        <v/>
      </c>
      <c r="AT361" s="473" t="str">
        <f t="shared" si="110"/>
        <v/>
      </c>
      <c r="AU361" s="473" t="str">
        <f t="shared" si="111"/>
        <v/>
      </c>
      <c r="AZ361" s="31" t="s">
        <v>17</v>
      </c>
      <c r="BA361" s="34" t="s">
        <v>496</v>
      </c>
      <c r="BB361" s="499"/>
      <c r="BC361" s="271"/>
      <c r="BD361" s="279">
        <v>1</v>
      </c>
      <c r="BE361" s="271"/>
      <c r="BF361" s="271"/>
      <c r="BG361" s="271"/>
      <c r="BH361" s="271"/>
      <c r="BI361" s="271"/>
      <c r="BJ361" s="271"/>
      <c r="BK361" s="271"/>
      <c r="BL361" s="271"/>
    </row>
    <row r="362" spans="18:64" ht="21" customHeight="1" x14ac:dyDescent="0.25">
      <c r="R362" s="34" t="s">
        <v>493</v>
      </c>
      <c r="S362" s="451"/>
      <c r="T362" s="28" t="s">
        <v>13</v>
      </c>
      <c r="V362" s="475">
        <v>9</v>
      </c>
      <c r="W362" s="475" t="str">
        <f>IF($AC$362="","",$W$360)</f>
        <v>N° 33</v>
      </c>
      <c r="X362" s="476" t="str">
        <f>IF($AC$362="","",$X$360)</f>
        <v>TOMATES SOUFFLÉES AU FROMAGE</v>
      </c>
      <c r="Y362" s="477">
        <f>IF($X$362="","",$Y$360)</f>
        <v>50</v>
      </c>
      <c r="Z362" s="477">
        <f>IF($X$362="","",$Z$360)</f>
        <v>100</v>
      </c>
      <c r="AA362" s="477">
        <f>IF($AC$362="","",ROW($A$362)-ROW($A$360))</f>
        <v>2</v>
      </c>
      <c r="AB362" s="478"/>
      <c r="AC362" s="34" t="s">
        <v>382</v>
      </c>
      <c r="AD362" s="356"/>
      <c r="AE362" s="18">
        <v>250</v>
      </c>
      <c r="AF362" s="16" t="s">
        <v>8</v>
      </c>
      <c r="AG362" s="480">
        <f t="shared" si="100"/>
        <v>250</v>
      </c>
      <c r="AH362" s="481" t="str">
        <f t="shared" si="101"/>
        <v>G</v>
      </c>
      <c r="AI362" s="477" t="str">
        <f>IF($AC$362="","",IFERROR(INDEX($AZ$74:$AZ$119,MATCH($AH$362,$AY$74:$AY$119,0)),"AUTRE"))</f>
        <v>MASSE</v>
      </c>
      <c r="AJ362" s="482">
        <f>IF($AC$362="","",IFERROR(INDEX($BA$74:$BA$119,MATCH($AH$362,$AY$74:$AY$119,0)),1))</f>
        <v>1E-3</v>
      </c>
      <c r="AK362" s="482">
        <f t="shared" si="102"/>
        <v>0.25</v>
      </c>
      <c r="AL362" s="477" t="str">
        <f>IF($AC$362="","",IFERROR(INDEX($BB$74:$BB$119,MATCH($AH$362,$AY$74:$AY$119,0)),$AH$362))</f>
        <v>kg</v>
      </c>
      <c r="AM362" s="483" t="str">
        <f t="shared" si="103"/>
        <v>OK</v>
      </c>
      <c r="AN362" s="484">
        <f t="shared" si="104"/>
        <v>250</v>
      </c>
      <c r="AO362" s="473" t="str">
        <f t="shared" si="105"/>
        <v/>
      </c>
      <c r="AP362" s="473" t="str">
        <f t="shared" si="106"/>
        <v/>
      </c>
      <c r="AQ362" s="473" t="str">
        <f t="shared" si="107"/>
        <v/>
      </c>
      <c r="AR362" s="473" t="str">
        <f t="shared" si="108"/>
        <v/>
      </c>
      <c r="AS362" s="473" t="str">
        <f t="shared" si="109"/>
        <v/>
      </c>
      <c r="AT362" s="473" t="str">
        <f t="shared" si="110"/>
        <v/>
      </c>
      <c r="AU362" s="473" t="str">
        <f t="shared" si="111"/>
        <v/>
      </c>
      <c r="AZ362" s="31" t="s">
        <v>18</v>
      </c>
      <c r="BA362" s="34" t="s">
        <v>483</v>
      </c>
      <c r="BB362" s="499"/>
      <c r="BC362" s="271"/>
      <c r="BD362" s="279">
        <v>1</v>
      </c>
      <c r="BE362" s="271"/>
      <c r="BF362" s="271"/>
      <c r="BG362" s="271"/>
      <c r="BH362" s="271"/>
      <c r="BI362" s="271"/>
      <c r="BJ362" s="271"/>
      <c r="BK362" s="271"/>
      <c r="BL362" s="271"/>
    </row>
    <row r="363" spans="18:64" ht="21" customHeight="1" x14ac:dyDescent="0.25">
      <c r="R363" s="34" t="s">
        <v>494</v>
      </c>
      <c r="S363" s="451"/>
      <c r="T363" s="28" t="s">
        <v>14</v>
      </c>
      <c r="V363" s="475">
        <v>9</v>
      </c>
      <c r="W363" s="475" t="str">
        <f>IF($AC$363="","",$W$360)</f>
        <v>N° 33</v>
      </c>
      <c r="X363" s="476" t="str">
        <f>IF($AC$363="","",$X$360)</f>
        <v>TOMATES SOUFFLÉES AU FROMAGE</v>
      </c>
      <c r="Y363" s="477">
        <f>IF($X$363="","",$Y$360)</f>
        <v>50</v>
      </c>
      <c r="Z363" s="477">
        <f>IF($X$363="","",$Z$360)</f>
        <v>100</v>
      </c>
      <c r="AA363" s="477">
        <f>IF($AC$363="","",ROW($A$363)-ROW($A$360))</f>
        <v>3</v>
      </c>
      <c r="AB363" s="478"/>
      <c r="AC363" s="34" t="s">
        <v>222</v>
      </c>
      <c r="AD363" s="356"/>
      <c r="AE363" s="18">
        <v>250</v>
      </c>
      <c r="AF363" s="16" t="s">
        <v>8</v>
      </c>
      <c r="AG363" s="480">
        <f t="shared" si="100"/>
        <v>250</v>
      </c>
      <c r="AH363" s="481" t="str">
        <f t="shared" si="101"/>
        <v>G</v>
      </c>
      <c r="AI363" s="477" t="str">
        <f>IF($AC$363="","",IFERROR(INDEX($AZ$74:$AZ$119,MATCH($AH$363,$AY$74:$AY$119,0)),"AUTRE"))</f>
        <v>MASSE</v>
      </c>
      <c r="AJ363" s="482">
        <f>IF($AC$363="","",IFERROR(INDEX($BA$74:$BA$119,MATCH($AH$363,$AY$74:$AY$119,0)),1))</f>
        <v>1E-3</v>
      </c>
      <c r="AK363" s="482">
        <f t="shared" si="102"/>
        <v>0.25</v>
      </c>
      <c r="AL363" s="477" t="str">
        <f>IF($AC$363="","",IFERROR(INDEX($BB$74:$BB$119,MATCH($AH$363,$AY$74:$AY$119,0)),$AH$363))</f>
        <v>kg</v>
      </c>
      <c r="AM363" s="483" t="str">
        <f t="shared" si="103"/>
        <v>OK</v>
      </c>
      <c r="AN363" s="484">
        <f t="shared" si="104"/>
        <v>250</v>
      </c>
      <c r="AO363" s="473" t="str">
        <f t="shared" si="105"/>
        <v/>
      </c>
      <c r="AP363" s="473" t="str">
        <f t="shared" si="106"/>
        <v/>
      </c>
      <c r="AQ363" s="473" t="str">
        <f t="shared" si="107"/>
        <v/>
      </c>
      <c r="AR363" s="473" t="str">
        <f t="shared" si="108"/>
        <v/>
      </c>
      <c r="AS363" s="473" t="str">
        <f t="shared" si="109"/>
        <v/>
      </c>
      <c r="AT363" s="473" t="str">
        <f t="shared" si="110"/>
        <v/>
      </c>
      <c r="AU363" s="473" t="str">
        <f t="shared" si="111"/>
        <v/>
      </c>
      <c r="AZ363" s="31" t="s">
        <v>19</v>
      </c>
      <c r="BA363" s="34" t="s">
        <v>493</v>
      </c>
      <c r="BB363" s="499"/>
      <c r="BC363" s="271"/>
      <c r="BD363" s="279">
        <v>1</v>
      </c>
      <c r="BE363" s="271"/>
      <c r="BF363" s="271"/>
      <c r="BG363" s="271"/>
      <c r="BH363" s="271"/>
      <c r="BI363" s="271"/>
      <c r="BJ363" s="271"/>
      <c r="BK363" s="271"/>
      <c r="BL363" s="271"/>
    </row>
    <row r="364" spans="18:64" ht="21" customHeight="1" x14ac:dyDescent="0.25">
      <c r="S364" s="451"/>
      <c r="T364" s="28" t="s">
        <v>15</v>
      </c>
      <c r="V364" s="475">
        <v>9</v>
      </c>
      <c r="W364" s="475" t="str">
        <f>IF($AC$364="","",$W$360)</f>
        <v>N° 33</v>
      </c>
      <c r="X364" s="476" t="str">
        <f>IF($AC$364="","",$X$360)</f>
        <v>TOMATES SOUFFLÉES AU FROMAGE</v>
      </c>
      <c r="Y364" s="477">
        <f>IF($X$364="","",$Y$360)</f>
        <v>50</v>
      </c>
      <c r="Z364" s="477">
        <f>IF($X$364="","",$Z$360)</f>
        <v>100</v>
      </c>
      <c r="AA364" s="477">
        <f>IF($AC$364="","",ROW($A$364)-ROW($A$360))</f>
        <v>4</v>
      </c>
      <c r="AB364" s="478"/>
      <c r="AC364" s="34" t="s">
        <v>360</v>
      </c>
      <c r="AD364" s="356"/>
      <c r="AE364" s="18">
        <v>5</v>
      </c>
      <c r="AF364" s="20" t="s">
        <v>9</v>
      </c>
      <c r="AG364" s="480">
        <f t="shared" si="100"/>
        <v>5</v>
      </c>
      <c r="AH364" s="481" t="str">
        <f t="shared" si="101"/>
        <v>L</v>
      </c>
      <c r="AI364" s="477" t="str">
        <f>IF($AC$364="","",IFERROR(INDEX($AZ$74:$AZ$119,MATCH($AH$364,$AY$74:$AY$119,0)),"AUTRE"))</f>
        <v>VOLUME</v>
      </c>
      <c r="AJ364" s="482">
        <f>IF($AC$364="","",IFERROR(INDEX($BA$74:$BA$119,MATCH($AH$364,$AY$74:$AY$119,0)),1))</f>
        <v>1</v>
      </c>
      <c r="AK364" s="482">
        <f t="shared" si="102"/>
        <v>5</v>
      </c>
      <c r="AL364" s="477" t="str">
        <f>IF($AC$364="","",IFERROR(INDEX($BB$74:$BB$119,MATCH($AH$364,$AY$74:$AY$119,0)),$AH$364))</f>
        <v>L</v>
      </c>
      <c r="AM364" s="483" t="str">
        <f t="shared" si="103"/>
        <v>OK</v>
      </c>
      <c r="AN364" s="484">
        <f t="shared" si="104"/>
        <v>5</v>
      </c>
      <c r="AO364" s="473" t="str">
        <f t="shared" si="105"/>
        <v/>
      </c>
      <c r="AP364" s="473" t="str">
        <f t="shared" si="106"/>
        <v/>
      </c>
      <c r="AQ364" s="473" t="str">
        <f t="shared" si="107"/>
        <v/>
      </c>
      <c r="AR364" s="473" t="str">
        <f t="shared" si="108"/>
        <v/>
      </c>
      <c r="AS364" s="473" t="str">
        <f t="shared" si="109"/>
        <v/>
      </c>
      <c r="AT364" s="473" t="str">
        <f t="shared" si="110"/>
        <v/>
      </c>
      <c r="AU364" s="473" t="str">
        <f t="shared" si="111"/>
        <v/>
      </c>
      <c r="AZ364" s="31" t="s">
        <v>211</v>
      </c>
      <c r="BA364" s="34" t="s">
        <v>494</v>
      </c>
      <c r="BB364" s="499"/>
      <c r="BC364" s="271"/>
      <c r="BD364" s="279">
        <v>1</v>
      </c>
      <c r="BE364" s="271"/>
      <c r="BF364" s="271"/>
      <c r="BG364" s="271"/>
      <c r="BH364" s="271"/>
      <c r="BI364" s="271"/>
      <c r="BJ364" s="271"/>
      <c r="BK364" s="271"/>
      <c r="BL364" s="271"/>
    </row>
    <row r="365" spans="18:64" ht="21" customHeight="1" x14ac:dyDescent="0.25">
      <c r="R365" s="25" t="s">
        <v>6115</v>
      </c>
      <c r="S365" s="451"/>
      <c r="T365" s="28" t="s">
        <v>21</v>
      </c>
      <c r="V365" s="475">
        <v>9</v>
      </c>
      <c r="W365" s="475" t="str">
        <f>IF($AC$365="","",$W$360)</f>
        <v>N° 33</v>
      </c>
      <c r="X365" s="476" t="str">
        <f>IF($AC$365="","",$X$360)</f>
        <v>TOMATES SOUFFLÉES AU FROMAGE</v>
      </c>
      <c r="Y365" s="477">
        <f>IF($X$365="","",$Y$360)</f>
        <v>50</v>
      </c>
      <c r="Z365" s="477">
        <f>IF($X$365="","",$Z$360)</f>
        <v>100</v>
      </c>
      <c r="AA365" s="477">
        <f>IF($AC$365="","",ROW($A$365)-ROW($A$360))</f>
        <v>5</v>
      </c>
      <c r="AB365" s="478"/>
      <c r="AC365" s="34" t="s">
        <v>422</v>
      </c>
      <c r="AD365" s="356"/>
      <c r="AE365" s="18">
        <v>1.5</v>
      </c>
      <c r="AF365" s="11" t="s">
        <v>7</v>
      </c>
      <c r="AG365" s="480">
        <f t="shared" si="100"/>
        <v>1.5</v>
      </c>
      <c r="AH365" s="481" t="str">
        <f t="shared" si="101"/>
        <v>KG</v>
      </c>
      <c r="AI365" s="477" t="str">
        <f>IF($AC$365="","",IFERROR(INDEX($AZ$74:$AZ$119,MATCH($AH$365,$AY$74:$AY$119,0)),"AUTRE"))</f>
        <v>MASSE</v>
      </c>
      <c r="AJ365" s="482">
        <f>IF($AC$365="","",IFERROR(INDEX($BA$74:$BA$119,MATCH($AH$365,$AY$74:$AY$119,0)),1))</f>
        <v>1</v>
      </c>
      <c r="AK365" s="482">
        <f t="shared" si="102"/>
        <v>1.5</v>
      </c>
      <c r="AL365" s="477" t="str">
        <f>IF($AC$365="","",IFERROR(INDEX($BB$74:$BB$119,MATCH($AH$365,$AY$74:$AY$119,0)),$AH$365))</f>
        <v>kg</v>
      </c>
      <c r="AM365" s="483" t="str">
        <f t="shared" si="103"/>
        <v>OK</v>
      </c>
      <c r="AN365" s="484">
        <f t="shared" si="104"/>
        <v>1.5</v>
      </c>
      <c r="AO365" s="473" t="str">
        <f t="shared" si="105"/>
        <v/>
      </c>
      <c r="AP365" s="473" t="str">
        <f t="shared" si="106"/>
        <v/>
      </c>
      <c r="AQ365" s="473" t="str">
        <f t="shared" si="107"/>
        <v/>
      </c>
      <c r="AR365" s="473" t="str">
        <f t="shared" si="108"/>
        <v/>
      </c>
      <c r="AS365" s="473" t="str">
        <f t="shared" si="109"/>
        <v/>
      </c>
      <c r="AT365" s="473" t="str">
        <f t="shared" si="110"/>
        <v/>
      </c>
      <c r="AU365" s="473" t="str">
        <f t="shared" si="111"/>
        <v/>
      </c>
      <c r="AZ365" s="31" t="s">
        <v>20</v>
      </c>
      <c r="BB365" s="499"/>
      <c r="BC365" s="271"/>
      <c r="BD365" s="279">
        <v>1</v>
      </c>
      <c r="BE365" s="271"/>
      <c r="BF365" s="271"/>
      <c r="BG365" s="271"/>
      <c r="BH365" s="271"/>
      <c r="BI365" s="271"/>
      <c r="BJ365" s="271"/>
      <c r="BK365" s="271"/>
      <c r="BL365" s="271"/>
    </row>
    <row r="366" spans="18:64" ht="21" customHeight="1" x14ac:dyDescent="0.25">
      <c r="R366" s="34" t="s">
        <v>471</v>
      </c>
      <c r="S366" s="451"/>
      <c r="T366" s="28" t="s">
        <v>22</v>
      </c>
      <c r="V366" s="475">
        <v>9</v>
      </c>
      <c r="W366" s="475" t="str">
        <f>IF($AC$366="","",$W$360)</f>
        <v>N° 33</v>
      </c>
      <c r="X366" s="476" t="str">
        <f>IF($AC$366="","",$X$360)</f>
        <v>TOMATES SOUFFLÉES AU FROMAGE</v>
      </c>
      <c r="Y366" s="477">
        <f>IF($X$366="","",$Y$360)</f>
        <v>50</v>
      </c>
      <c r="Z366" s="477">
        <f>IF($X$366="","",$Z$360)</f>
        <v>100</v>
      </c>
      <c r="AA366" s="477">
        <f>IF($AC$366="","",ROW($A$366)-ROW($A$360))</f>
        <v>6</v>
      </c>
      <c r="AB366" s="478"/>
      <c r="AC366" s="34" t="s">
        <v>416</v>
      </c>
      <c r="AD366" s="356"/>
      <c r="AE366" s="18">
        <v>1</v>
      </c>
      <c r="AF366" s="22" t="s">
        <v>18</v>
      </c>
      <c r="AG366" s="480">
        <f t="shared" si="100"/>
        <v>1</v>
      </c>
      <c r="AH366" s="481" t="str">
        <f t="shared" si="101"/>
        <v>3.QUART/L</v>
      </c>
      <c r="AI366" s="477" t="str">
        <f>IF($AC$366="","",IFERROR(INDEX($AZ$74:$AZ$119,MATCH($AH$366,$AY$74:$AY$119,0)),"AUTRE"))</f>
        <v>VOLUME</v>
      </c>
      <c r="AJ366" s="482">
        <f>IF($AC$366="","",IFERROR(INDEX($BA$74:$BA$119,MATCH($AH$366,$AY$74:$AY$119,0)),1))</f>
        <v>0.75</v>
      </c>
      <c r="AK366" s="482">
        <f t="shared" si="102"/>
        <v>0.75</v>
      </c>
      <c r="AL366" s="477" t="str">
        <f>IF($AC$366="","",IFERROR(INDEX($BB$74:$BB$119,MATCH($AH$366,$AY$74:$AY$119,0)),$AH$366))</f>
        <v>L</v>
      </c>
      <c r="AM366" s="483" t="str">
        <f t="shared" si="103"/>
        <v>OK</v>
      </c>
      <c r="AN366" s="484">
        <f t="shared" si="104"/>
        <v>1</v>
      </c>
      <c r="AO366" s="473" t="str">
        <f t="shared" si="105"/>
        <v/>
      </c>
      <c r="AP366" s="473" t="str">
        <f t="shared" si="106"/>
        <v/>
      </c>
      <c r="AQ366" s="473" t="str">
        <f t="shared" si="107"/>
        <v/>
      </c>
      <c r="AR366" s="473" t="str">
        <f t="shared" si="108"/>
        <v/>
      </c>
      <c r="AS366" s="473" t="str">
        <f t="shared" si="109"/>
        <v/>
      </c>
      <c r="AT366" s="473" t="str">
        <f t="shared" si="110"/>
        <v/>
      </c>
      <c r="AU366" s="473" t="str">
        <f t="shared" si="111"/>
        <v/>
      </c>
      <c r="AZ366" s="31" t="s">
        <v>304</v>
      </c>
      <c r="BA366" s="25" t="s">
        <v>6115</v>
      </c>
      <c r="BB366" s="499"/>
      <c r="BC366" s="271"/>
      <c r="BD366" s="279">
        <v>1</v>
      </c>
      <c r="BE366" s="271"/>
      <c r="BF366" s="271"/>
      <c r="BG366" s="271"/>
      <c r="BH366" s="271"/>
      <c r="BI366" s="271"/>
      <c r="BJ366" s="271"/>
      <c r="BK366" s="271"/>
      <c r="BL366" s="271"/>
    </row>
    <row r="367" spans="18:64" ht="21" customHeight="1" x14ac:dyDescent="0.25">
      <c r="R367" s="34" t="s">
        <v>472</v>
      </c>
      <c r="S367" s="451"/>
      <c r="T367" s="28" t="s">
        <v>23</v>
      </c>
      <c r="V367" s="475">
        <v>9</v>
      </c>
      <c r="W367" s="475" t="str">
        <f>IF($AC$367="","",$W$360)</f>
        <v>N° 33</v>
      </c>
      <c r="X367" s="476" t="str">
        <f>IF($AC$367="","",$X$360)</f>
        <v>TOMATES SOUFFLÉES AU FROMAGE</v>
      </c>
      <c r="Y367" s="477">
        <f>IF($X$367="","",$Y$360)</f>
        <v>50</v>
      </c>
      <c r="Z367" s="477">
        <f>IF($X$367="","",$Z$360)</f>
        <v>100</v>
      </c>
      <c r="AA367" s="477">
        <f>IF($AC$367="","",ROW($A$367)-ROW($A$360))</f>
        <v>7</v>
      </c>
      <c r="AB367" s="478"/>
      <c r="AC367" s="34" t="s">
        <v>425</v>
      </c>
      <c r="AD367" s="356"/>
      <c r="AE367" s="18">
        <v>1</v>
      </c>
      <c r="AF367" s="20" t="s">
        <v>9</v>
      </c>
      <c r="AG367" s="480">
        <f t="shared" si="100"/>
        <v>1</v>
      </c>
      <c r="AH367" s="481" t="str">
        <f t="shared" si="101"/>
        <v>L</v>
      </c>
      <c r="AI367" s="477" t="str">
        <f>IF($AC$367="","",IFERROR(INDEX($AZ$74:$AZ$119,MATCH($AH$367,$AY$74:$AY$119,0)),"AUTRE"))</f>
        <v>VOLUME</v>
      </c>
      <c r="AJ367" s="482">
        <f>IF($AC$367="","",IFERROR(INDEX($BA$74:$BA$119,MATCH($AH$367,$AY$74:$AY$119,0)),1))</f>
        <v>1</v>
      </c>
      <c r="AK367" s="482">
        <f t="shared" si="102"/>
        <v>1</v>
      </c>
      <c r="AL367" s="477" t="str">
        <f>IF($AC$367="","",IFERROR(INDEX($BB$74:$BB$119,MATCH($AH$367,$AY$74:$AY$119,0)),$AH$367))</f>
        <v>L</v>
      </c>
      <c r="AM367" s="483" t="str">
        <f t="shared" si="103"/>
        <v>OK</v>
      </c>
      <c r="AN367" s="484">
        <f t="shared" si="104"/>
        <v>1</v>
      </c>
      <c r="AO367" s="473" t="str">
        <f t="shared" si="105"/>
        <v/>
      </c>
      <c r="AP367" s="473" t="str">
        <f t="shared" si="106"/>
        <v/>
      </c>
      <c r="AQ367" s="473" t="str">
        <f t="shared" si="107"/>
        <v/>
      </c>
      <c r="AR367" s="473" t="str">
        <f t="shared" si="108"/>
        <v/>
      </c>
      <c r="AS367" s="473" t="str">
        <f t="shared" si="109"/>
        <v/>
      </c>
      <c r="AT367" s="473" t="str">
        <f t="shared" si="110"/>
        <v/>
      </c>
      <c r="AU367" s="473" t="str">
        <f t="shared" si="111"/>
        <v/>
      </c>
      <c r="AZ367" s="31" t="s">
        <v>352</v>
      </c>
      <c r="BA367" s="34" t="s">
        <v>471</v>
      </c>
      <c r="BB367" s="499"/>
      <c r="BC367" s="271"/>
      <c r="BD367" s="279">
        <v>1</v>
      </c>
      <c r="BE367" s="271"/>
      <c r="BF367" s="271"/>
      <c r="BG367" s="271"/>
      <c r="BH367" s="271"/>
      <c r="BI367" s="271"/>
      <c r="BJ367" s="271"/>
      <c r="BK367" s="271"/>
      <c r="BL367" s="271"/>
    </row>
    <row r="368" spans="18:64" ht="21" customHeight="1" x14ac:dyDescent="0.25">
      <c r="R368" s="34" t="s">
        <v>6112</v>
      </c>
      <c r="S368" s="451"/>
      <c r="T368" s="28" t="s">
        <v>24</v>
      </c>
      <c r="V368" s="475">
        <v>9</v>
      </c>
      <c r="W368" s="475" t="str">
        <f>IF($AC$368="","",$W$360)</f>
        <v>N° 33</v>
      </c>
      <c r="X368" s="476" t="str">
        <f>IF($AC$368="","",$X$360)</f>
        <v>TOMATES SOUFFLÉES AU FROMAGE</v>
      </c>
      <c r="Y368" s="477">
        <f>IF($X$368="","",$Y$360)</f>
        <v>50</v>
      </c>
      <c r="Z368" s="477">
        <f>IF($X$368="","",$Z$360)</f>
        <v>100</v>
      </c>
      <c r="AA368" s="477">
        <f>IF($AC$368="","",ROW($A$368)-ROW($A$360))</f>
        <v>8</v>
      </c>
      <c r="AB368" s="478"/>
      <c r="AC368" s="34" t="s">
        <v>194</v>
      </c>
      <c r="AD368" s="356"/>
      <c r="AE368" s="18">
        <v>60</v>
      </c>
      <c r="AF368" s="16" t="s">
        <v>8</v>
      </c>
      <c r="AG368" s="480">
        <f t="shared" si="100"/>
        <v>60</v>
      </c>
      <c r="AH368" s="481" t="str">
        <f t="shared" si="101"/>
        <v>G</v>
      </c>
      <c r="AI368" s="477" t="str">
        <f>IF($AC$368="","",IFERROR(INDEX($AZ$74:$AZ$119,MATCH($AH$368,$AY$74:$AY$119,0)),"AUTRE"))</f>
        <v>MASSE</v>
      </c>
      <c r="AJ368" s="482">
        <f>IF($AC$368="","",IFERROR(INDEX($BA$74:$BA$119,MATCH($AH$368,$AY$74:$AY$119,0)),1))</f>
        <v>1E-3</v>
      </c>
      <c r="AK368" s="482">
        <f t="shared" si="102"/>
        <v>0.06</v>
      </c>
      <c r="AL368" s="477" t="str">
        <f>IF($AC$368="","",IFERROR(INDEX($BB$74:$BB$119,MATCH($AH$368,$AY$74:$AY$119,0)),$AH$368))</f>
        <v>kg</v>
      </c>
      <c r="AM368" s="483" t="str">
        <f t="shared" si="103"/>
        <v>OK</v>
      </c>
      <c r="AN368" s="484">
        <f t="shared" si="104"/>
        <v>60</v>
      </c>
      <c r="AO368" s="473" t="str">
        <f t="shared" si="105"/>
        <v/>
      </c>
      <c r="AP368" s="473" t="str">
        <f t="shared" si="106"/>
        <v/>
      </c>
      <c r="AQ368" s="473" t="str">
        <f t="shared" si="107"/>
        <v/>
      </c>
      <c r="AR368" s="473" t="str">
        <f t="shared" si="108"/>
        <v/>
      </c>
      <c r="AS368" s="473" t="str">
        <f t="shared" si="109"/>
        <v/>
      </c>
      <c r="AT368" s="473" t="str">
        <f t="shared" si="110"/>
        <v/>
      </c>
      <c r="AU368" s="473" t="str">
        <f t="shared" si="111"/>
        <v/>
      </c>
      <c r="AZ368" s="31" t="s">
        <v>27</v>
      </c>
      <c r="BA368" s="34" t="s">
        <v>472</v>
      </c>
      <c r="BB368" s="499"/>
      <c r="BC368" s="271"/>
      <c r="BD368" s="279">
        <v>1</v>
      </c>
      <c r="BE368" s="271"/>
      <c r="BF368" s="271"/>
      <c r="BG368" s="271"/>
      <c r="BH368" s="271"/>
      <c r="BI368" s="271"/>
      <c r="BJ368" s="271"/>
      <c r="BK368" s="271"/>
      <c r="BL368" s="271"/>
    </row>
    <row r="369" spans="18:64" ht="21" customHeight="1" x14ac:dyDescent="0.25">
      <c r="R369" s="25" t="s">
        <v>6116</v>
      </c>
      <c r="S369" s="451"/>
      <c r="T369" s="29" t="s">
        <v>9</v>
      </c>
      <c r="V369" s="475">
        <v>9</v>
      </c>
      <c r="W369" s="475" t="str">
        <f>IF($AC$369="","",$W$360)</f>
        <v>N° 33</v>
      </c>
      <c r="X369" s="476" t="str">
        <f>IF($AC$369="","",$X$360)</f>
        <v>TOMATES SOUFFLÉES AU FROMAGE</v>
      </c>
      <c r="Y369" s="477">
        <f>IF($X$369="","",$Y$360)</f>
        <v>50</v>
      </c>
      <c r="Z369" s="477">
        <f>IF($X$369="","",$Z$360)</f>
        <v>100</v>
      </c>
      <c r="AA369" s="477">
        <f>IF($AC$369="","",ROW($A$369)-ROW($A$360))</f>
        <v>9</v>
      </c>
      <c r="AB369" s="478"/>
      <c r="AC369" s="34" t="s">
        <v>67</v>
      </c>
      <c r="AD369" s="356"/>
      <c r="AE369" s="18">
        <v>50</v>
      </c>
      <c r="AF369" s="16" t="s">
        <v>8</v>
      </c>
      <c r="AG369" s="480">
        <f t="shared" si="100"/>
        <v>50</v>
      </c>
      <c r="AH369" s="481" t="str">
        <f t="shared" si="101"/>
        <v>G</v>
      </c>
      <c r="AI369" s="477" t="str">
        <f>IF($AC$369="","",IFERROR(INDEX($AZ$74:$AZ$119,MATCH($AH$369,$AY$74:$AY$119,0)),"AUTRE"))</f>
        <v>MASSE</v>
      </c>
      <c r="AJ369" s="482">
        <f>IF($AC$369="","",IFERROR(INDEX($BA$74:$BA$119,MATCH($AH$369,$AY$74:$AY$119,0)),1))</f>
        <v>1E-3</v>
      </c>
      <c r="AK369" s="482">
        <f t="shared" si="102"/>
        <v>0.05</v>
      </c>
      <c r="AL369" s="477" t="str">
        <f>IF($AC$369="","",IFERROR(INDEX($BB$74:$BB$119,MATCH($AH$369,$AY$74:$AY$119,0)),$AH$369))</f>
        <v>kg</v>
      </c>
      <c r="AM369" s="483" t="str">
        <f t="shared" si="103"/>
        <v>OK</v>
      </c>
      <c r="AN369" s="484">
        <f t="shared" si="104"/>
        <v>50</v>
      </c>
      <c r="AO369" s="473" t="str">
        <f t="shared" si="105"/>
        <v/>
      </c>
      <c r="AP369" s="473" t="str">
        <f t="shared" si="106"/>
        <v/>
      </c>
      <c r="AQ369" s="473" t="str">
        <f t="shared" si="107"/>
        <v/>
      </c>
      <c r="AR369" s="473" t="str">
        <f t="shared" si="108"/>
        <v/>
      </c>
      <c r="AS369" s="473" t="str">
        <f t="shared" si="109"/>
        <v/>
      </c>
      <c r="AT369" s="473" t="str">
        <f t="shared" si="110"/>
        <v/>
      </c>
      <c r="AU369" s="473" t="str">
        <f t="shared" si="111"/>
        <v/>
      </c>
      <c r="AZ369" s="31" t="s">
        <v>28</v>
      </c>
      <c r="BA369" s="34" t="s">
        <v>6112</v>
      </c>
      <c r="BB369" s="499"/>
      <c r="BC369" s="271"/>
      <c r="BD369" s="279">
        <v>1</v>
      </c>
      <c r="BE369" s="271"/>
      <c r="BF369" s="271"/>
      <c r="BG369" s="271"/>
      <c r="BH369" s="271"/>
      <c r="BI369" s="271"/>
      <c r="BJ369" s="271"/>
      <c r="BK369" s="271"/>
      <c r="BL369" s="271"/>
    </row>
    <row r="370" spans="18:64" ht="21" customHeight="1" x14ac:dyDescent="0.25">
      <c r="R370" s="34" t="s">
        <v>6117</v>
      </c>
      <c r="S370" s="451"/>
      <c r="T370" s="30" t="s">
        <v>10</v>
      </c>
      <c r="V370" s="475">
        <v>9</v>
      </c>
      <c r="W370" s="475" t="str">
        <f>IF($AC$370="","",$W$360)</f>
        <v>N° 33</v>
      </c>
      <c r="X370" s="476" t="str">
        <f>IF($AC$370="","",$X$360)</f>
        <v>TOMATES SOUFFLÉES AU FROMAGE</v>
      </c>
      <c r="Y370" s="477">
        <f>IF($X$370="","",$Y$360)</f>
        <v>50</v>
      </c>
      <c r="Z370" s="477">
        <f>IF($X$370="","",$Z$360)</f>
        <v>100</v>
      </c>
      <c r="AA370" s="477">
        <f>IF($AC$370="","",ROW($A$370)-ROW($A$360))</f>
        <v>10</v>
      </c>
      <c r="AB370" s="478"/>
      <c r="AC370" s="34" t="s">
        <v>44</v>
      </c>
      <c r="AD370" s="356"/>
      <c r="AE370" s="18">
        <v>15</v>
      </c>
      <c r="AF370" s="16" t="s">
        <v>8</v>
      </c>
      <c r="AG370" s="480">
        <f t="shared" si="100"/>
        <v>15</v>
      </c>
      <c r="AH370" s="481" t="str">
        <f t="shared" si="101"/>
        <v>G</v>
      </c>
      <c r="AI370" s="477" t="str">
        <f>IF($AC$370="","",IFERROR(INDEX($AZ$74:$AZ$119,MATCH($AH$370,$AY$74:$AY$119,0)),"AUTRE"))</f>
        <v>MASSE</v>
      </c>
      <c r="AJ370" s="482">
        <f>IF($AC$370="","",IFERROR(INDEX($BA$74:$BA$119,MATCH($AH$370,$AY$74:$AY$119,0)),1))</f>
        <v>1E-3</v>
      </c>
      <c r="AK370" s="482">
        <f t="shared" si="102"/>
        <v>1.4999999999999999E-2</v>
      </c>
      <c r="AL370" s="477" t="str">
        <f>IF($AC$370="","",IFERROR(INDEX($BB$74:$BB$119,MATCH($AH$370,$AY$74:$AY$119,0)),$AH$370))</f>
        <v>kg</v>
      </c>
      <c r="AM370" s="483" t="str">
        <f t="shared" si="103"/>
        <v>OK</v>
      </c>
      <c r="AN370" s="484">
        <f t="shared" si="104"/>
        <v>15</v>
      </c>
      <c r="AO370" s="473" t="str">
        <f t="shared" si="105"/>
        <v/>
      </c>
      <c r="AP370" s="473" t="str">
        <f t="shared" si="106"/>
        <v/>
      </c>
      <c r="AQ370" s="473" t="str">
        <f t="shared" si="107"/>
        <v/>
      </c>
      <c r="AR370" s="473" t="str">
        <f t="shared" si="108"/>
        <v/>
      </c>
      <c r="AS370" s="473" t="str">
        <f t="shared" si="109"/>
        <v/>
      </c>
      <c r="AT370" s="473" t="str">
        <f t="shared" si="110"/>
        <v/>
      </c>
      <c r="AU370" s="473" t="str">
        <f t="shared" si="111"/>
        <v/>
      </c>
      <c r="AZ370" s="31" t="s">
        <v>29</v>
      </c>
      <c r="BA370" s="25" t="s">
        <v>6116</v>
      </c>
      <c r="BB370" s="499"/>
      <c r="BC370" s="271"/>
      <c r="BD370" s="279">
        <v>1</v>
      </c>
      <c r="BE370" s="271"/>
      <c r="BF370" s="271"/>
      <c r="BG370" s="271"/>
      <c r="BH370" s="271"/>
      <c r="BI370" s="271"/>
      <c r="BJ370" s="271"/>
      <c r="BK370" s="271"/>
      <c r="BL370" s="271"/>
    </row>
    <row r="371" spans="18:64" ht="21" customHeight="1" x14ac:dyDescent="0.25">
      <c r="R371" s="34" t="s">
        <v>469</v>
      </c>
      <c r="S371" s="451"/>
      <c r="T371" s="30" t="s">
        <v>11</v>
      </c>
      <c r="V371" s="475">
        <v>9</v>
      </c>
      <c r="W371" s="475" t="str">
        <f>IF($AC$371="","",$W$360)</f>
        <v>N° 33</v>
      </c>
      <c r="X371" s="476" t="str">
        <f>IF($AC$371="","",$X$360)</f>
        <v>TOMATES SOUFFLÉES AU FROMAGE</v>
      </c>
      <c r="Y371" s="477">
        <f>IF($X$371="","",$Y$360)</f>
        <v>50</v>
      </c>
      <c r="Z371" s="477">
        <f>IF($X$371="","",$Z$360)</f>
        <v>100</v>
      </c>
      <c r="AA371" s="477">
        <f>IF($AC$371="","",ROW($A$371)-ROW($A$360))</f>
        <v>11</v>
      </c>
      <c r="AB371" s="478"/>
      <c r="AC371" s="34" t="s">
        <v>167</v>
      </c>
      <c r="AD371" s="356"/>
      <c r="AE371" s="18">
        <v>6</v>
      </c>
      <c r="AF371" s="16" t="s">
        <v>8</v>
      </c>
      <c r="AG371" s="480">
        <f t="shared" si="100"/>
        <v>6</v>
      </c>
      <c r="AH371" s="481" t="str">
        <f t="shared" si="101"/>
        <v>G</v>
      </c>
      <c r="AI371" s="477" t="str">
        <f>IF($AC$371="","",IFERROR(INDEX($AZ$74:$AZ$119,MATCH($AH$371,$AY$74:$AY$119,0)),"AUTRE"))</f>
        <v>MASSE</v>
      </c>
      <c r="AJ371" s="482">
        <f>IF($AC$371="","",IFERROR(INDEX($BA$74:$BA$119,MATCH($AH$371,$AY$74:$AY$119,0)),1))</f>
        <v>1E-3</v>
      </c>
      <c r="AK371" s="482">
        <f t="shared" si="102"/>
        <v>6.0000000000000001E-3</v>
      </c>
      <c r="AL371" s="477" t="str">
        <f>IF($AC$371="","",IFERROR(INDEX($BB$74:$BB$119,MATCH($AH$371,$AY$74:$AY$119,0)),$AH$371))</f>
        <v>kg</v>
      </c>
      <c r="AM371" s="483" t="str">
        <f t="shared" si="103"/>
        <v>OK</v>
      </c>
      <c r="AN371" s="484">
        <f t="shared" si="104"/>
        <v>6</v>
      </c>
      <c r="AO371" s="473" t="str">
        <f t="shared" si="105"/>
        <v/>
      </c>
      <c r="AP371" s="473" t="str">
        <f t="shared" si="106"/>
        <v/>
      </c>
      <c r="AQ371" s="473" t="str">
        <f t="shared" si="107"/>
        <v/>
      </c>
      <c r="AR371" s="473" t="str">
        <f t="shared" si="108"/>
        <v/>
      </c>
      <c r="AS371" s="473" t="str">
        <f t="shared" si="109"/>
        <v/>
      </c>
      <c r="AT371" s="473" t="str">
        <f t="shared" si="110"/>
        <v/>
      </c>
      <c r="AU371" s="473" t="str">
        <f t="shared" si="111"/>
        <v/>
      </c>
      <c r="AZ371" s="31" t="s">
        <v>30</v>
      </c>
      <c r="BA371" s="34" t="s">
        <v>6117</v>
      </c>
      <c r="BB371" s="499"/>
      <c r="BC371" s="271"/>
      <c r="BD371" s="279">
        <v>1</v>
      </c>
      <c r="BE371" s="271"/>
      <c r="BF371" s="271"/>
      <c r="BG371" s="271"/>
      <c r="BH371" s="271"/>
      <c r="BI371" s="271"/>
      <c r="BJ371" s="271"/>
      <c r="BK371" s="271"/>
      <c r="BL371" s="271"/>
    </row>
    <row r="372" spans="18:64" ht="21" customHeight="1" x14ac:dyDescent="0.25">
      <c r="R372" s="34" t="s">
        <v>6118</v>
      </c>
      <c r="S372" s="451"/>
      <c r="T372" s="30" t="s">
        <v>12</v>
      </c>
      <c r="V372" s="475">
        <v>9</v>
      </c>
      <c r="W372" s="475" t="str">
        <f>IF($AC$372="","",$W$360)</f>
        <v/>
      </c>
      <c r="X372" s="476" t="str">
        <f>IF($AC$372="","",$X$360)</f>
        <v/>
      </c>
      <c r="Y372" s="477" t="str">
        <f>IF($X$372="","",$Y$360)</f>
        <v/>
      </c>
      <c r="Z372" s="477" t="str">
        <f>IF($X$372="","",$Z$360)</f>
        <v/>
      </c>
      <c r="AA372" s="477" t="str">
        <f>IF($AC$372="","",ROW($A$372)-ROW($A$360))</f>
        <v/>
      </c>
      <c r="AB372" s="478"/>
      <c r="AC372" s="34"/>
      <c r="AD372" s="356"/>
      <c r="AE372" s="18"/>
      <c r="AF372" s="19"/>
      <c r="AG372" s="480" t="str">
        <f t="shared" si="100"/>
        <v/>
      </c>
      <c r="AH372" s="481" t="str">
        <f t="shared" si="101"/>
        <v/>
      </c>
      <c r="AI372" s="477" t="str">
        <f>IF($AC$372="","",IFERROR(INDEX($AZ$74:$AZ$119,MATCH($AH$372,$AY$74:$AY$119,0)),"AUTRE"))</f>
        <v/>
      </c>
      <c r="AJ372" s="482" t="str">
        <f>IF($AC$372="","",IFERROR(INDEX($BA$74:$BA$119,MATCH($AH$372,$AY$74:$AY$119,0)),1))</f>
        <v/>
      </c>
      <c r="AK372" s="482" t="str">
        <f t="shared" si="102"/>
        <v/>
      </c>
      <c r="AL372" s="477" t="str">
        <f>IF($AC$372="","",IFERROR(INDEX($BB$74:$BB$119,MATCH($AH$372,$AY$74:$AY$119,0)),$AH$372))</f>
        <v/>
      </c>
      <c r="AM372" s="483" t="str">
        <f t="shared" si="103"/>
        <v/>
      </c>
      <c r="AN372" s="484" t="str">
        <f t="shared" si="104"/>
        <v/>
      </c>
      <c r="AO372" s="473" t="str">
        <f t="shared" si="105"/>
        <v/>
      </c>
      <c r="AP372" s="473" t="str">
        <f t="shared" si="106"/>
        <v/>
      </c>
      <c r="AQ372" s="473" t="str">
        <f t="shared" si="107"/>
        <v/>
      </c>
      <c r="AR372" s="473" t="str">
        <f t="shared" si="108"/>
        <v/>
      </c>
      <c r="AS372" s="473" t="str">
        <f t="shared" si="109"/>
        <v/>
      </c>
      <c r="AT372" s="473" t="str">
        <f t="shared" si="110"/>
        <v/>
      </c>
      <c r="AU372" s="473" t="str">
        <f t="shared" si="111"/>
        <v/>
      </c>
      <c r="AZ372" s="32" t="s">
        <v>33</v>
      </c>
      <c r="BA372" s="34" t="s">
        <v>469</v>
      </c>
      <c r="BB372" s="499"/>
      <c r="BC372" s="271"/>
      <c r="BD372" s="279">
        <v>1</v>
      </c>
      <c r="BE372" s="271"/>
      <c r="BF372" s="271"/>
      <c r="BG372" s="271"/>
      <c r="BH372" s="271"/>
      <c r="BI372" s="271"/>
      <c r="BJ372" s="271"/>
      <c r="BK372" s="271"/>
      <c r="BL372" s="271"/>
    </row>
    <row r="373" spans="18:64" ht="21" customHeight="1" x14ac:dyDescent="0.25">
      <c r="R373" s="34" t="s">
        <v>492</v>
      </c>
      <c r="S373" s="451"/>
      <c r="T373" s="31" t="s">
        <v>16</v>
      </c>
      <c r="V373" s="475">
        <v>9</v>
      </c>
      <c r="W373" s="475" t="str">
        <f>IF($AC$373="","",$W$360)</f>
        <v/>
      </c>
      <c r="X373" s="476" t="str">
        <f>IF($AC$373="","",$X$360)</f>
        <v/>
      </c>
      <c r="Y373" s="477" t="str">
        <f>IF($X$373="","",$Y$360)</f>
        <v/>
      </c>
      <c r="Z373" s="477" t="str">
        <f>IF($X$373="","",$Z$360)</f>
        <v/>
      </c>
      <c r="AA373" s="477" t="str">
        <f>IF($AC$373="","",ROW($A$373)-ROW($A$360))</f>
        <v/>
      </c>
      <c r="AB373" s="478"/>
      <c r="AC373" s="34"/>
      <c r="AD373" s="356"/>
      <c r="AE373" s="18"/>
      <c r="AF373" s="19"/>
      <c r="AG373" s="480" t="str">
        <f t="shared" si="100"/>
        <v/>
      </c>
      <c r="AH373" s="481" t="str">
        <f t="shared" si="101"/>
        <v/>
      </c>
      <c r="AI373" s="477" t="str">
        <f>IF($AC$373="","",IFERROR(INDEX($AZ$74:$AZ$119,MATCH($AH$373,$AY$74:$AY$119,0)),"AUTRE"))</f>
        <v/>
      </c>
      <c r="AJ373" s="482" t="str">
        <f>IF($AC$373="","",IFERROR(INDEX($BA$74:$BA$119,MATCH($AH$373,$AY$74:$AY$119,0)),1))</f>
        <v/>
      </c>
      <c r="AK373" s="482" t="str">
        <f t="shared" si="102"/>
        <v/>
      </c>
      <c r="AL373" s="477" t="str">
        <f>IF($AC$373="","",IFERROR(INDEX($BB$74:$BB$119,MATCH($AH$373,$AY$74:$AY$119,0)),$AH$373))</f>
        <v/>
      </c>
      <c r="AM373" s="483" t="str">
        <f t="shared" si="103"/>
        <v/>
      </c>
      <c r="AN373" s="484" t="str">
        <f t="shared" si="104"/>
        <v/>
      </c>
      <c r="AO373" s="473" t="str">
        <f t="shared" si="105"/>
        <v/>
      </c>
      <c r="AP373" s="473" t="str">
        <f t="shared" si="106"/>
        <v/>
      </c>
      <c r="AQ373" s="473" t="str">
        <f t="shared" si="107"/>
        <v/>
      </c>
      <c r="AR373" s="473" t="str">
        <f t="shared" si="108"/>
        <v/>
      </c>
      <c r="AS373" s="473" t="str">
        <f t="shared" si="109"/>
        <v/>
      </c>
      <c r="AT373" s="473" t="str">
        <f t="shared" si="110"/>
        <v/>
      </c>
      <c r="AU373" s="473" t="str">
        <f t="shared" si="111"/>
        <v/>
      </c>
      <c r="AZ373" s="32" t="s">
        <v>8125</v>
      </c>
      <c r="BA373" s="34" t="s">
        <v>6118</v>
      </c>
      <c r="BB373" s="499"/>
      <c r="BC373" s="271"/>
      <c r="BD373" s="279">
        <v>1</v>
      </c>
      <c r="BE373" s="271"/>
      <c r="BF373" s="271"/>
      <c r="BG373" s="271"/>
      <c r="BH373" s="271"/>
      <c r="BI373" s="271"/>
      <c r="BJ373" s="271"/>
      <c r="BK373" s="271"/>
      <c r="BL373" s="271"/>
    </row>
    <row r="374" spans="18:64" ht="21" customHeight="1" x14ac:dyDescent="0.25">
      <c r="R374" s="34" t="s">
        <v>458</v>
      </c>
      <c r="S374" s="451"/>
      <c r="T374" s="31" t="s">
        <v>17</v>
      </c>
      <c r="V374" s="475">
        <v>9</v>
      </c>
      <c r="W374" s="475" t="str">
        <f>IF($AC$374="","",$W$360)</f>
        <v/>
      </c>
      <c r="X374" s="476" t="str">
        <f>IF($AC$374="","",$X$360)</f>
        <v/>
      </c>
      <c r="Y374" s="477" t="str">
        <f>IF($X$374="","",$Y$360)</f>
        <v/>
      </c>
      <c r="Z374" s="477" t="str">
        <f>IF($X$374="","",$Z$360)</f>
        <v/>
      </c>
      <c r="AA374" s="477" t="str">
        <f>IF($AC$374="","",ROW($A$374)-ROW($A$360))</f>
        <v/>
      </c>
      <c r="AB374" s="478"/>
      <c r="AC374" s="34"/>
      <c r="AD374" s="356"/>
      <c r="AE374" s="18"/>
      <c r="AF374" s="19"/>
      <c r="AG374" s="480" t="str">
        <f t="shared" si="100"/>
        <v/>
      </c>
      <c r="AH374" s="481" t="str">
        <f t="shared" si="101"/>
        <v/>
      </c>
      <c r="AI374" s="477" t="str">
        <f>IF($AC$374="","",IFERROR(INDEX($AZ$74:$AZ$119,MATCH($AH$374,$AY$74:$AY$119,0)),"AUTRE"))</f>
        <v/>
      </c>
      <c r="AJ374" s="482" t="str">
        <f>IF($AC$374="","",IFERROR(INDEX($BA$74:$BA$119,MATCH($AH$374,$AY$74:$AY$119,0)),1))</f>
        <v/>
      </c>
      <c r="AK374" s="482" t="str">
        <f t="shared" si="102"/>
        <v/>
      </c>
      <c r="AL374" s="477" t="str">
        <f>IF($AC$374="","",IFERROR(INDEX($BB$74:$BB$119,MATCH($AH$374,$AY$74:$AY$119,0)),$AH$374))</f>
        <v/>
      </c>
      <c r="AM374" s="483" t="str">
        <f t="shared" si="103"/>
        <v/>
      </c>
      <c r="AN374" s="484" t="str">
        <f t="shared" si="104"/>
        <v/>
      </c>
      <c r="AO374" s="473" t="str">
        <f t="shared" si="105"/>
        <v/>
      </c>
      <c r="AP374" s="473" t="str">
        <f t="shared" si="106"/>
        <v/>
      </c>
      <c r="AQ374" s="473" t="str">
        <f t="shared" si="107"/>
        <v/>
      </c>
      <c r="AR374" s="473" t="str">
        <f t="shared" si="108"/>
        <v/>
      </c>
      <c r="AS374" s="473" t="str">
        <f t="shared" si="109"/>
        <v/>
      </c>
      <c r="AT374" s="473" t="str">
        <f t="shared" si="110"/>
        <v/>
      </c>
      <c r="AU374" s="473" t="str">
        <f t="shared" si="111"/>
        <v/>
      </c>
      <c r="AZ374" s="32" t="s">
        <v>8127</v>
      </c>
      <c r="BA374" s="34" t="s">
        <v>492</v>
      </c>
      <c r="BB374" s="499"/>
      <c r="BC374" s="271"/>
      <c r="BD374" s="279">
        <v>1</v>
      </c>
      <c r="BE374" s="271"/>
      <c r="BF374" s="271"/>
      <c r="BG374" s="271"/>
      <c r="BH374" s="271"/>
      <c r="BI374" s="271"/>
      <c r="BJ374" s="271"/>
      <c r="BK374" s="271"/>
      <c r="BL374" s="271"/>
    </row>
    <row r="375" spans="18:64" ht="21" customHeight="1" x14ac:dyDescent="0.25">
      <c r="R375" s="490"/>
      <c r="S375" s="451"/>
      <c r="T375" s="31" t="s">
        <v>18</v>
      </c>
      <c r="V375" s="475">
        <v>9</v>
      </c>
      <c r="W375" s="475" t="str">
        <f>IF($AC$375="","",$W$360)</f>
        <v/>
      </c>
      <c r="X375" s="476" t="str">
        <f>IF($AC$375="","",$X$360)</f>
        <v/>
      </c>
      <c r="Y375" s="477" t="str">
        <f>IF($X$375="","",$Y$360)</f>
        <v/>
      </c>
      <c r="Z375" s="477" t="str">
        <f>IF($X$375="","",$Z$360)</f>
        <v/>
      </c>
      <c r="AA375" s="477" t="str">
        <f>IF($AC$375="","",ROW($A$375)-ROW($A$360))</f>
        <v/>
      </c>
      <c r="AB375" s="478"/>
      <c r="AC375" s="34"/>
      <c r="AD375" s="356"/>
      <c r="AE375" s="18"/>
      <c r="AF375" s="19"/>
      <c r="AG375" s="480" t="str">
        <f t="shared" si="100"/>
        <v/>
      </c>
      <c r="AH375" s="481" t="str">
        <f t="shared" si="101"/>
        <v/>
      </c>
      <c r="AI375" s="477" t="str">
        <f>IF($AC$375="","",IFERROR(INDEX($AZ$74:$AZ$119,MATCH($AH$375,$AY$74:$AY$119,0)),"AUTRE"))</f>
        <v/>
      </c>
      <c r="AJ375" s="482" t="str">
        <f>IF($AC$375="","",IFERROR(INDEX($BA$74:$BA$119,MATCH($AH$375,$AY$74:$AY$119,0)),1))</f>
        <v/>
      </c>
      <c r="AK375" s="482" t="str">
        <f t="shared" si="102"/>
        <v/>
      </c>
      <c r="AL375" s="477" t="str">
        <f>IF($AC$375="","",IFERROR(INDEX($BB$74:$BB$119,MATCH($AH$375,$AY$74:$AY$119,0)),$AH$375))</f>
        <v/>
      </c>
      <c r="AM375" s="483" t="str">
        <f t="shared" si="103"/>
        <v/>
      </c>
      <c r="AN375" s="484" t="str">
        <f t="shared" si="104"/>
        <v/>
      </c>
      <c r="AO375" s="473" t="str">
        <f t="shared" si="105"/>
        <v/>
      </c>
      <c r="AP375" s="473" t="str">
        <f t="shared" si="106"/>
        <v/>
      </c>
      <c r="AQ375" s="473" t="str">
        <f t="shared" si="107"/>
        <v/>
      </c>
      <c r="AR375" s="473" t="str">
        <f t="shared" si="108"/>
        <v/>
      </c>
      <c r="AS375" s="473" t="str">
        <f t="shared" si="109"/>
        <v/>
      </c>
      <c r="AT375" s="473" t="str">
        <f t="shared" si="110"/>
        <v/>
      </c>
      <c r="AU375" s="473" t="str">
        <f t="shared" si="111"/>
        <v/>
      </c>
      <c r="AZ375" s="32" t="s">
        <v>320</v>
      </c>
      <c r="BA375" s="34" t="s">
        <v>458</v>
      </c>
      <c r="BB375" s="499"/>
      <c r="BC375" s="271"/>
      <c r="BD375" s="279">
        <v>1</v>
      </c>
      <c r="BE375" s="271"/>
      <c r="BF375" s="271"/>
      <c r="BG375" s="271"/>
      <c r="BH375" s="271"/>
      <c r="BI375" s="271"/>
      <c r="BJ375" s="271"/>
      <c r="BK375" s="271"/>
      <c r="BL375" s="271"/>
    </row>
    <row r="376" spans="18:64" ht="21" customHeight="1" x14ac:dyDescent="0.25">
      <c r="R376" s="25" t="s">
        <v>6119</v>
      </c>
      <c r="S376" s="451"/>
      <c r="T376" s="31" t="s">
        <v>19</v>
      </c>
      <c r="V376" s="475">
        <v>9</v>
      </c>
      <c r="W376" s="475" t="str">
        <f>IF($AC$376="","",$W$360)</f>
        <v/>
      </c>
      <c r="X376" s="476" t="str">
        <f>IF($AC$376="","",$X$360)</f>
        <v/>
      </c>
      <c r="Y376" s="477" t="str">
        <f>IF($X$376="","",$Y$360)</f>
        <v/>
      </c>
      <c r="Z376" s="477" t="str">
        <f>IF($X$376="","",$Z$360)</f>
        <v/>
      </c>
      <c r="AA376" s="477" t="str">
        <f>IF($AC$376="","",ROW($A$376)-ROW($A$360))</f>
        <v/>
      </c>
      <c r="AB376" s="478"/>
      <c r="AC376" s="34"/>
      <c r="AD376" s="356"/>
      <c r="AE376" s="18"/>
      <c r="AF376" s="19"/>
      <c r="AG376" s="480" t="str">
        <f t="shared" si="100"/>
        <v/>
      </c>
      <c r="AH376" s="481" t="str">
        <f t="shared" si="101"/>
        <v/>
      </c>
      <c r="AI376" s="477" t="str">
        <f>IF($AC$376="","",IFERROR(INDEX($AZ$74:$AZ$119,MATCH($AH$376,$AY$74:$AY$119,0)),"AUTRE"))</f>
        <v/>
      </c>
      <c r="AJ376" s="482" t="str">
        <f>IF($AC$376="","",IFERROR(INDEX($BA$74:$BA$119,MATCH($AH$376,$AY$74:$AY$119,0)),1))</f>
        <v/>
      </c>
      <c r="AK376" s="482" t="str">
        <f t="shared" si="102"/>
        <v/>
      </c>
      <c r="AL376" s="477" t="str">
        <f>IF($AC$376="","",IFERROR(INDEX($BB$74:$BB$119,MATCH($AH$376,$AY$74:$AY$119,0)),$AH$376))</f>
        <v/>
      </c>
      <c r="AM376" s="483" t="str">
        <f t="shared" si="103"/>
        <v/>
      </c>
      <c r="AN376" s="484" t="str">
        <f t="shared" si="104"/>
        <v/>
      </c>
      <c r="AO376" s="473" t="str">
        <f t="shared" si="105"/>
        <v/>
      </c>
      <c r="AP376" s="473" t="str">
        <f t="shared" si="106"/>
        <v/>
      </c>
      <c r="AQ376" s="473" t="str">
        <f t="shared" si="107"/>
        <v/>
      </c>
      <c r="AR376" s="473" t="str">
        <f t="shared" si="108"/>
        <v/>
      </c>
      <c r="AS376" s="473" t="str">
        <f t="shared" si="109"/>
        <v/>
      </c>
      <c r="AT376" s="473" t="str">
        <f t="shared" si="110"/>
        <v/>
      </c>
      <c r="AU376" s="473" t="str">
        <f t="shared" si="111"/>
        <v/>
      </c>
      <c r="AZ376" s="32" t="s">
        <v>318</v>
      </c>
      <c r="BA376" s="490"/>
      <c r="BB376" s="499"/>
      <c r="BC376" s="271"/>
      <c r="BD376" s="279">
        <v>1</v>
      </c>
      <c r="BE376" s="271"/>
      <c r="BF376" s="271"/>
      <c r="BG376" s="271"/>
      <c r="BH376" s="271"/>
      <c r="BI376" s="271"/>
      <c r="BJ376" s="271"/>
      <c r="BK376" s="271"/>
      <c r="BL376" s="271"/>
    </row>
    <row r="377" spans="18:64" ht="21" customHeight="1" x14ac:dyDescent="0.25">
      <c r="R377" s="34" t="s">
        <v>6120</v>
      </c>
      <c r="S377" s="451"/>
      <c r="T377" s="31" t="s">
        <v>211</v>
      </c>
      <c r="V377" s="475">
        <v>9</v>
      </c>
      <c r="W377" s="475" t="str">
        <f>IF($AC$377="","",$W$360)</f>
        <v/>
      </c>
      <c r="X377" s="476" t="str">
        <f>IF($AC$377="","",$X$360)</f>
        <v/>
      </c>
      <c r="Y377" s="477" t="str">
        <f>IF($X$377="","",$Y$360)</f>
        <v/>
      </c>
      <c r="Z377" s="477" t="str">
        <f>IF($X$377="","",$Z$360)</f>
        <v/>
      </c>
      <c r="AA377" s="477" t="str">
        <f>IF($AC$377="","",ROW($A$377)-ROW($A$360))</f>
        <v/>
      </c>
      <c r="AB377" s="478"/>
      <c r="AC377" s="34"/>
      <c r="AD377" s="356"/>
      <c r="AE377" s="18"/>
      <c r="AF377" s="19"/>
      <c r="AG377" s="480" t="str">
        <f t="shared" si="100"/>
        <v/>
      </c>
      <c r="AH377" s="481" t="str">
        <f t="shared" si="101"/>
        <v/>
      </c>
      <c r="AI377" s="477" t="str">
        <f>IF($AC$377="","",IFERROR(INDEX($AZ$74:$AZ$119,MATCH($AH$377,$AY$74:$AY$119,0)),"AUTRE"))</f>
        <v/>
      </c>
      <c r="AJ377" s="482" t="str">
        <f>IF($AC$377="","",IFERROR(INDEX($BA$74:$BA$119,MATCH($AH$377,$AY$74:$AY$119,0)),1))</f>
        <v/>
      </c>
      <c r="AK377" s="482" t="str">
        <f t="shared" si="102"/>
        <v/>
      </c>
      <c r="AL377" s="477" t="str">
        <f>IF($AC$377="","",IFERROR(INDEX($BB$74:$BB$119,MATCH($AH$377,$AY$74:$AY$119,0)),$AH$377))</f>
        <v/>
      </c>
      <c r="AM377" s="483" t="str">
        <f t="shared" si="103"/>
        <v/>
      </c>
      <c r="AN377" s="484" t="str">
        <f t="shared" si="104"/>
        <v/>
      </c>
      <c r="AO377" s="473" t="str">
        <f t="shared" si="105"/>
        <v/>
      </c>
      <c r="AP377" s="473" t="str">
        <f t="shared" si="106"/>
        <v/>
      </c>
      <c r="AQ377" s="473" t="str">
        <f t="shared" si="107"/>
        <v/>
      </c>
      <c r="AR377" s="473" t="str">
        <f t="shared" si="108"/>
        <v/>
      </c>
      <c r="AS377" s="473" t="str">
        <f t="shared" si="109"/>
        <v/>
      </c>
      <c r="AT377" s="473" t="str">
        <f t="shared" si="110"/>
        <v/>
      </c>
      <c r="AU377" s="473" t="str">
        <f t="shared" si="111"/>
        <v/>
      </c>
      <c r="AZ377" s="32" t="s">
        <v>316</v>
      </c>
      <c r="BA377" s="25" t="s">
        <v>6119</v>
      </c>
      <c r="BB377" s="499"/>
      <c r="BC377" s="271"/>
      <c r="BD377" s="279">
        <v>1</v>
      </c>
      <c r="BE377" s="271"/>
      <c r="BF377" s="271"/>
      <c r="BG377" s="271"/>
      <c r="BH377" s="271"/>
      <c r="BI377" s="271"/>
      <c r="BJ377" s="271"/>
      <c r="BK377" s="271"/>
      <c r="BL377" s="271"/>
    </row>
    <row r="378" spans="18:64" ht="21" customHeight="1" x14ac:dyDescent="0.25">
      <c r="R378" s="34" t="s">
        <v>6121</v>
      </c>
      <c r="S378" s="451"/>
      <c r="T378" s="31" t="s">
        <v>20</v>
      </c>
      <c r="V378" s="475">
        <v>9</v>
      </c>
      <c r="W378" s="475" t="str">
        <f>IF($AC$378="","",$W$360)</f>
        <v/>
      </c>
      <c r="X378" s="476" t="str">
        <f>IF($AC$378="","",$X$360)</f>
        <v/>
      </c>
      <c r="Y378" s="477" t="str">
        <f>IF($X$378="","",$Y$360)</f>
        <v/>
      </c>
      <c r="Z378" s="477" t="str">
        <f>IF($X$378="","",$Z$360)</f>
        <v/>
      </c>
      <c r="AA378" s="477" t="str">
        <f>IF($AC$378="","",ROW($A$378)-ROW($A$360))</f>
        <v/>
      </c>
      <c r="AB378" s="478"/>
      <c r="AC378" s="34"/>
      <c r="AD378" s="356"/>
      <c r="AE378" s="18"/>
      <c r="AF378" s="19"/>
      <c r="AG378" s="480" t="str">
        <f t="shared" si="100"/>
        <v/>
      </c>
      <c r="AH378" s="481" t="str">
        <f t="shared" si="101"/>
        <v/>
      </c>
      <c r="AI378" s="477" t="str">
        <f>IF($AC$378="","",IFERROR(INDEX($AZ$74:$AZ$119,MATCH($AH$378,$AY$74:$AY$119,0)),"AUTRE"))</f>
        <v/>
      </c>
      <c r="AJ378" s="482" t="str">
        <f>IF($AC$378="","",IFERROR(INDEX($BA$74:$BA$119,MATCH($AH$378,$AY$74:$AY$119,0)),1))</f>
        <v/>
      </c>
      <c r="AK378" s="482" t="str">
        <f t="shared" si="102"/>
        <v/>
      </c>
      <c r="AL378" s="477" t="str">
        <f>IF($AC$378="","",IFERROR(INDEX($BB$74:$BB$119,MATCH($AH$378,$AY$74:$AY$119,0)),$AH$378))</f>
        <v/>
      </c>
      <c r="AM378" s="483" t="str">
        <f t="shared" si="103"/>
        <v/>
      </c>
      <c r="AN378" s="484" t="str">
        <f t="shared" si="104"/>
        <v/>
      </c>
      <c r="AO378" s="473" t="str">
        <f t="shared" si="105"/>
        <v/>
      </c>
      <c r="AP378" s="473" t="str">
        <f t="shared" si="106"/>
        <v/>
      </c>
      <c r="AQ378" s="473" t="str">
        <f t="shared" si="107"/>
        <v/>
      </c>
      <c r="AR378" s="473" t="str">
        <f t="shared" si="108"/>
        <v/>
      </c>
      <c r="AS378" s="473" t="str">
        <f t="shared" si="109"/>
        <v/>
      </c>
      <c r="AT378" s="473" t="str">
        <f t="shared" si="110"/>
        <v/>
      </c>
      <c r="AU378" s="473" t="str">
        <f t="shared" si="111"/>
        <v/>
      </c>
      <c r="AZ378" s="32" t="s">
        <v>313</v>
      </c>
      <c r="BA378" s="34" t="s">
        <v>6120</v>
      </c>
      <c r="BB378" s="499"/>
      <c r="BC378" s="271"/>
      <c r="BD378" s="279">
        <v>1</v>
      </c>
      <c r="BE378" s="271"/>
      <c r="BF378" s="271"/>
      <c r="BG378" s="271"/>
      <c r="BH378" s="271"/>
      <c r="BI378" s="271"/>
      <c r="BJ378" s="271"/>
      <c r="BK378" s="271"/>
      <c r="BL378" s="271"/>
    </row>
    <row r="379" spans="18:64" ht="21" customHeight="1" x14ac:dyDescent="0.25">
      <c r="R379" s="34" t="s">
        <v>6122</v>
      </c>
      <c r="S379" s="451"/>
      <c r="T379" s="31" t="s">
        <v>304</v>
      </c>
      <c r="V379" s="475">
        <v>9</v>
      </c>
      <c r="W379" s="475" t="str">
        <f>IF($AC$379="","",$W$360)</f>
        <v/>
      </c>
      <c r="X379" s="476" t="str">
        <f>IF($AC$379="","",$X$360)</f>
        <v/>
      </c>
      <c r="Y379" s="477" t="str">
        <f>IF($X$379="","",$Y$360)</f>
        <v/>
      </c>
      <c r="Z379" s="477" t="str">
        <f>IF($X$379="","",$Z$360)</f>
        <v/>
      </c>
      <c r="AA379" s="477" t="str">
        <f>IF($AC$379="","",ROW($A$379)-ROW($A$360))</f>
        <v/>
      </c>
      <c r="AB379" s="478"/>
      <c r="AC379" s="34"/>
      <c r="AD379" s="356"/>
      <c r="AE379" s="18"/>
      <c r="AF379" s="19"/>
      <c r="AG379" s="480" t="str">
        <f t="shared" si="100"/>
        <v/>
      </c>
      <c r="AH379" s="481" t="str">
        <f t="shared" si="101"/>
        <v/>
      </c>
      <c r="AI379" s="477" t="str">
        <f>IF($AC$379="","",IFERROR(INDEX($AZ$74:$AZ$119,MATCH($AH$379,$AY$74:$AY$119,0)),"AUTRE"))</f>
        <v/>
      </c>
      <c r="AJ379" s="482" t="str">
        <f>IF($AC$379="","",IFERROR(INDEX($BA$74:$BA$119,MATCH($AH$379,$AY$74:$AY$119,0)),1))</f>
        <v/>
      </c>
      <c r="AK379" s="482" t="str">
        <f t="shared" si="102"/>
        <v/>
      </c>
      <c r="AL379" s="477" t="str">
        <f>IF($AC$379="","",IFERROR(INDEX($BB$74:$BB$119,MATCH($AH$379,$AY$74:$AY$119,0)),$AH$379))</f>
        <v/>
      </c>
      <c r="AM379" s="483" t="str">
        <f t="shared" si="103"/>
        <v/>
      </c>
      <c r="AN379" s="484" t="str">
        <f t="shared" si="104"/>
        <v/>
      </c>
      <c r="AO379" s="473" t="str">
        <f t="shared" si="105"/>
        <v/>
      </c>
      <c r="AP379" s="473" t="str">
        <f t="shared" si="106"/>
        <v/>
      </c>
      <c r="AQ379" s="473" t="str">
        <f t="shared" si="107"/>
        <v/>
      </c>
      <c r="AR379" s="473" t="str">
        <f t="shared" si="108"/>
        <v/>
      </c>
      <c r="AS379" s="473" t="str">
        <f t="shared" si="109"/>
        <v/>
      </c>
      <c r="AT379" s="473" t="str">
        <f t="shared" si="110"/>
        <v/>
      </c>
      <c r="AU379" s="473" t="str">
        <f t="shared" si="111"/>
        <v/>
      </c>
      <c r="AZ379" s="32" t="s">
        <v>307</v>
      </c>
      <c r="BA379" s="34" t="s">
        <v>6121</v>
      </c>
      <c r="BB379" s="499"/>
      <c r="BC379" s="271"/>
      <c r="BD379" s="279">
        <v>1</v>
      </c>
      <c r="BE379" s="271"/>
      <c r="BF379" s="271"/>
      <c r="BG379" s="271"/>
      <c r="BH379" s="271"/>
      <c r="BI379" s="271"/>
      <c r="BJ379" s="271"/>
      <c r="BK379" s="271"/>
      <c r="BL379" s="271"/>
    </row>
    <row r="380" spans="18:64" ht="21" customHeight="1" x14ac:dyDescent="0.25">
      <c r="R380" s="34" t="s">
        <v>6123</v>
      </c>
      <c r="S380" s="451"/>
      <c r="T380" s="31" t="s">
        <v>352</v>
      </c>
      <c r="V380" s="475">
        <v>9</v>
      </c>
      <c r="W380" s="475" t="str">
        <f>IF($AC$380="","",$W$360)</f>
        <v/>
      </c>
      <c r="X380" s="476" t="str">
        <f>IF($AC$380="","",$X$360)</f>
        <v/>
      </c>
      <c r="Y380" s="477" t="str">
        <f>IF($X$380="","",$Y$360)</f>
        <v/>
      </c>
      <c r="Z380" s="477" t="str">
        <f>IF($X$380="","",$Z$360)</f>
        <v/>
      </c>
      <c r="AA380" s="477" t="str">
        <f>IF($AC$380="","",ROW($A$380)-ROW($A$360))</f>
        <v/>
      </c>
      <c r="AB380" s="478"/>
      <c r="AC380" s="34"/>
      <c r="AD380" s="356"/>
      <c r="AE380" s="18"/>
      <c r="AF380" s="19"/>
      <c r="AG380" s="480" t="str">
        <f t="shared" si="100"/>
        <v/>
      </c>
      <c r="AH380" s="481" t="str">
        <f t="shared" si="101"/>
        <v/>
      </c>
      <c r="AI380" s="477" t="str">
        <f>IF($AC$380="","",IFERROR(INDEX($AZ$74:$AZ$119,MATCH($AH$380,$AY$74:$AY$119,0)),"AUTRE"))</f>
        <v/>
      </c>
      <c r="AJ380" s="482" t="str">
        <f>IF($AC$380="","",IFERROR(INDEX($BA$74:$BA$119,MATCH($AH$380,$AY$74:$AY$119,0)),1))</f>
        <v/>
      </c>
      <c r="AK380" s="482" t="str">
        <f t="shared" si="102"/>
        <v/>
      </c>
      <c r="AL380" s="477" t="str">
        <f>IF($AC$380="","",IFERROR(INDEX($BB$74:$BB$119,MATCH($AH$380,$AY$74:$AY$119,0)),$AH$380))</f>
        <v/>
      </c>
      <c r="AM380" s="483" t="str">
        <f t="shared" si="103"/>
        <v/>
      </c>
      <c r="AN380" s="484" t="str">
        <f t="shared" si="104"/>
        <v/>
      </c>
      <c r="AO380" s="473" t="str">
        <f t="shared" si="105"/>
        <v/>
      </c>
      <c r="AP380" s="473" t="str">
        <f t="shared" si="106"/>
        <v/>
      </c>
      <c r="AQ380" s="473" t="str">
        <f t="shared" si="107"/>
        <v/>
      </c>
      <c r="AR380" s="473" t="str">
        <f t="shared" si="108"/>
        <v/>
      </c>
      <c r="AS380" s="473" t="str">
        <f t="shared" si="109"/>
        <v/>
      </c>
      <c r="AT380" s="473" t="str">
        <f t="shared" si="110"/>
        <v/>
      </c>
      <c r="AU380" s="473" t="str">
        <f t="shared" si="111"/>
        <v/>
      </c>
      <c r="AZ380" s="32" t="s">
        <v>322</v>
      </c>
      <c r="BA380" s="34" t="s">
        <v>6122</v>
      </c>
      <c r="BB380" s="499"/>
      <c r="BC380" s="271"/>
      <c r="BD380" s="279">
        <v>1</v>
      </c>
      <c r="BE380" s="271"/>
      <c r="BF380" s="271"/>
      <c r="BG380" s="271"/>
      <c r="BH380" s="271"/>
      <c r="BI380" s="271"/>
      <c r="BJ380" s="271"/>
      <c r="BK380" s="271"/>
      <c r="BL380" s="271"/>
    </row>
    <row r="381" spans="18:64" ht="21" customHeight="1" x14ac:dyDescent="0.25">
      <c r="R381" s="34" t="s">
        <v>6124</v>
      </c>
      <c r="S381" s="451"/>
      <c r="T381" s="31" t="s">
        <v>25</v>
      </c>
      <c r="V381" s="475">
        <v>9</v>
      </c>
      <c r="W381" s="475" t="str">
        <f>IF($AC$381="","",$W$360)</f>
        <v/>
      </c>
      <c r="X381" s="476" t="str">
        <f>IF($AC$381="","",$X$360)</f>
        <v/>
      </c>
      <c r="Y381" s="477" t="str">
        <f>IF($X$381="","",$Y$360)</f>
        <v/>
      </c>
      <c r="Z381" s="477" t="str">
        <f>IF($X$381="","",$Z$360)</f>
        <v/>
      </c>
      <c r="AA381" s="477" t="str">
        <f>IF($AC$381="","",ROW($A$381)-ROW($A$360))</f>
        <v/>
      </c>
      <c r="AB381" s="478"/>
      <c r="AC381" s="34"/>
      <c r="AD381" s="356"/>
      <c r="AE381" s="18"/>
      <c r="AF381" s="19"/>
      <c r="AG381" s="480" t="str">
        <f t="shared" si="100"/>
        <v/>
      </c>
      <c r="AH381" s="481" t="str">
        <f t="shared" si="101"/>
        <v/>
      </c>
      <c r="AI381" s="477" t="str">
        <f>IF($AC$381="","",IFERROR(INDEX($AZ$74:$AZ$119,MATCH($AH$381,$AY$74:$AY$119,0)),"AUTRE"))</f>
        <v/>
      </c>
      <c r="AJ381" s="482" t="str">
        <f>IF($AC$381="","",IFERROR(INDEX($BA$74:$BA$119,MATCH($AH$381,$AY$74:$AY$119,0)),1))</f>
        <v/>
      </c>
      <c r="AK381" s="482" t="str">
        <f t="shared" si="102"/>
        <v/>
      </c>
      <c r="AL381" s="477" t="str">
        <f>IF($AC$381="","",IFERROR(INDEX($BB$74:$BB$119,MATCH($AH$381,$AY$74:$AY$119,0)),$AH$381))</f>
        <v/>
      </c>
      <c r="AM381" s="483" t="str">
        <f t="shared" si="103"/>
        <v/>
      </c>
      <c r="AN381" s="484" t="str">
        <f t="shared" si="104"/>
        <v/>
      </c>
      <c r="AO381" s="473" t="str">
        <f t="shared" si="105"/>
        <v/>
      </c>
      <c r="AP381" s="473" t="str">
        <f t="shared" si="106"/>
        <v/>
      </c>
      <c r="AQ381" s="473" t="str">
        <f t="shared" si="107"/>
        <v/>
      </c>
      <c r="AR381" s="473" t="str">
        <f t="shared" si="108"/>
        <v/>
      </c>
      <c r="AS381" s="473" t="str">
        <f t="shared" si="109"/>
        <v/>
      </c>
      <c r="AT381" s="473" t="str">
        <f t="shared" si="110"/>
        <v/>
      </c>
      <c r="AU381" s="473" t="str">
        <f t="shared" si="111"/>
        <v/>
      </c>
      <c r="AZ381" s="32" t="s">
        <v>305</v>
      </c>
      <c r="BA381" s="34" t="s">
        <v>6123</v>
      </c>
      <c r="BB381" s="499"/>
      <c r="BC381" s="271"/>
      <c r="BD381" s="279">
        <v>1</v>
      </c>
      <c r="BE381" s="271"/>
      <c r="BF381" s="271"/>
      <c r="BG381" s="271"/>
      <c r="BH381" s="271"/>
      <c r="BI381" s="271"/>
      <c r="BJ381" s="271"/>
      <c r="BK381" s="271"/>
      <c r="BL381" s="271"/>
    </row>
    <row r="382" spans="18:64" ht="21" customHeight="1" x14ac:dyDescent="0.25">
      <c r="R382" s="34" t="s">
        <v>6125</v>
      </c>
      <c r="S382" s="451"/>
      <c r="T382" s="31" t="s">
        <v>26</v>
      </c>
      <c r="V382" s="475">
        <v>9</v>
      </c>
      <c r="W382" s="475" t="str">
        <f>IF($AC$382="","",$W$360)</f>
        <v/>
      </c>
      <c r="X382" s="476" t="str">
        <f>IF($AC$382="","",$X$360)</f>
        <v/>
      </c>
      <c r="Y382" s="477" t="str">
        <f>IF($X$382="","",$Y$360)</f>
        <v/>
      </c>
      <c r="Z382" s="477" t="str">
        <f>IF($X$382="","",$Z$360)</f>
        <v/>
      </c>
      <c r="AA382" s="477" t="str">
        <f>IF($AC$382="","",ROW($A$382)-ROW($A$360))</f>
        <v/>
      </c>
      <c r="AB382" s="478"/>
      <c r="AC382" s="34"/>
      <c r="AD382" s="356"/>
      <c r="AE382" s="18"/>
      <c r="AF382" s="19"/>
      <c r="AG382" s="480" t="str">
        <f t="shared" si="100"/>
        <v/>
      </c>
      <c r="AH382" s="481" t="str">
        <f t="shared" si="101"/>
        <v/>
      </c>
      <c r="AI382" s="477" t="str">
        <f>IF($AC$382="","",IFERROR(INDEX($AZ$74:$AZ$119,MATCH($AH$382,$AY$74:$AY$119,0)),"AUTRE"))</f>
        <v/>
      </c>
      <c r="AJ382" s="482" t="str">
        <f>IF($AC$382="","",IFERROR(INDEX($BA$74:$BA$119,MATCH($AH$382,$AY$74:$AY$119,0)),1))</f>
        <v/>
      </c>
      <c r="AK382" s="482" t="str">
        <f t="shared" si="102"/>
        <v/>
      </c>
      <c r="AL382" s="477" t="str">
        <f>IF($AC$382="","",IFERROR(INDEX($BB$74:$BB$119,MATCH($AH$382,$AY$74:$AY$119,0)),$AH$382))</f>
        <v/>
      </c>
      <c r="AM382" s="483" t="str">
        <f t="shared" si="103"/>
        <v/>
      </c>
      <c r="AN382" s="484" t="str">
        <f t="shared" si="104"/>
        <v/>
      </c>
      <c r="AO382" s="473" t="str">
        <f t="shared" si="105"/>
        <v/>
      </c>
      <c r="AP382" s="473" t="str">
        <f t="shared" si="106"/>
        <v/>
      </c>
      <c r="AQ382" s="473" t="str">
        <f t="shared" si="107"/>
        <v/>
      </c>
      <c r="AR382" s="473" t="str">
        <f t="shared" si="108"/>
        <v/>
      </c>
      <c r="AS382" s="473" t="str">
        <f t="shared" si="109"/>
        <v/>
      </c>
      <c r="AT382" s="473" t="str">
        <f t="shared" si="110"/>
        <v/>
      </c>
      <c r="AU382" s="473" t="str">
        <f t="shared" si="111"/>
        <v/>
      </c>
      <c r="AZ382" s="32" t="s">
        <v>8129</v>
      </c>
      <c r="BA382" s="34" t="s">
        <v>6124</v>
      </c>
      <c r="BB382" s="499"/>
      <c r="BC382" s="271"/>
      <c r="BD382" s="279">
        <v>1</v>
      </c>
      <c r="BE382" s="271"/>
      <c r="BF382" s="271"/>
      <c r="BG382" s="271"/>
      <c r="BH382" s="271"/>
      <c r="BI382" s="271"/>
      <c r="BJ382" s="271"/>
      <c r="BK382" s="271"/>
      <c r="BL382" s="271"/>
    </row>
    <row r="383" spans="18:64" ht="21" customHeight="1" x14ac:dyDescent="0.25">
      <c r="R383" s="34" t="s">
        <v>6126</v>
      </c>
      <c r="S383" s="451"/>
      <c r="T383" s="31" t="s">
        <v>27</v>
      </c>
      <c r="V383" s="475">
        <v>9</v>
      </c>
      <c r="W383" s="475" t="str">
        <f>IF($AC$383="","",$W$360)</f>
        <v/>
      </c>
      <c r="X383" s="476" t="str">
        <f>IF($AC$383="","",$X$360)</f>
        <v/>
      </c>
      <c r="Y383" s="477" t="str">
        <f>IF($X$383="","",$Y$360)</f>
        <v/>
      </c>
      <c r="Z383" s="477" t="str">
        <f>IF($X$383="","",$Z$360)</f>
        <v/>
      </c>
      <c r="AA383" s="477" t="str">
        <f>IF($AC$383="","",ROW($A$383)-ROW($A$360))</f>
        <v/>
      </c>
      <c r="AB383" s="478"/>
      <c r="AC383" s="34"/>
      <c r="AD383" s="356"/>
      <c r="AE383" s="18"/>
      <c r="AF383" s="19"/>
      <c r="AG383" s="480" t="str">
        <f t="shared" si="100"/>
        <v/>
      </c>
      <c r="AH383" s="481" t="str">
        <f t="shared" si="101"/>
        <v/>
      </c>
      <c r="AI383" s="477" t="str">
        <f>IF($AC$383="","",IFERROR(INDEX($AZ$74:$AZ$119,MATCH($AH$383,$AY$74:$AY$119,0)),"AUTRE"))</f>
        <v/>
      </c>
      <c r="AJ383" s="482" t="str">
        <f>IF($AC$383="","",IFERROR(INDEX($BA$74:$BA$119,MATCH($AH$383,$AY$74:$AY$119,0)),1))</f>
        <v/>
      </c>
      <c r="AK383" s="482" t="str">
        <f t="shared" si="102"/>
        <v/>
      </c>
      <c r="AL383" s="477" t="str">
        <f>IF($AC$383="","",IFERROR(INDEX($BB$74:$BB$119,MATCH($AH$383,$AY$74:$AY$119,0)),$AH$383))</f>
        <v/>
      </c>
      <c r="AM383" s="483" t="str">
        <f t="shared" si="103"/>
        <v/>
      </c>
      <c r="AN383" s="484" t="str">
        <f t="shared" si="104"/>
        <v/>
      </c>
      <c r="AO383" s="473" t="str">
        <f t="shared" si="105"/>
        <v/>
      </c>
      <c r="AP383" s="473" t="str">
        <f t="shared" si="106"/>
        <v/>
      </c>
      <c r="AQ383" s="473" t="str">
        <f t="shared" si="107"/>
        <v/>
      </c>
      <c r="AR383" s="473" t="str">
        <f t="shared" si="108"/>
        <v/>
      </c>
      <c r="AS383" s="473" t="str">
        <f t="shared" si="109"/>
        <v/>
      </c>
      <c r="AT383" s="473" t="str">
        <f t="shared" si="110"/>
        <v/>
      </c>
      <c r="AU383" s="473" t="str">
        <f t="shared" si="111"/>
        <v/>
      </c>
      <c r="AZ383" s="32" t="s">
        <v>8131</v>
      </c>
      <c r="BA383" s="34" t="s">
        <v>6125</v>
      </c>
      <c r="BB383" s="499"/>
      <c r="BC383" s="271"/>
      <c r="BD383" s="279">
        <v>1</v>
      </c>
      <c r="BE383" s="271"/>
      <c r="BF383" s="271"/>
      <c r="BG383" s="271"/>
      <c r="BH383" s="271"/>
      <c r="BI383" s="271"/>
      <c r="BJ383" s="271"/>
      <c r="BK383" s="271"/>
      <c r="BL383" s="271"/>
    </row>
    <row r="384" spans="18:64" ht="21" customHeight="1" x14ac:dyDescent="0.25">
      <c r="R384" s="34" t="s">
        <v>6127</v>
      </c>
      <c r="S384" s="451"/>
      <c r="T384" s="31" t="s">
        <v>28</v>
      </c>
      <c r="V384" s="475">
        <v>9</v>
      </c>
      <c r="W384" s="475" t="str">
        <f>IF($AC$384="","",$W$360)</f>
        <v/>
      </c>
      <c r="X384" s="476" t="str">
        <f>IF($AC$384="","",$X$360)</f>
        <v/>
      </c>
      <c r="Y384" s="477" t="str">
        <f>IF($X$384="","",$Y$360)</f>
        <v/>
      </c>
      <c r="Z384" s="477" t="str">
        <f>IF($X$384="","",$Z$360)</f>
        <v/>
      </c>
      <c r="AA384" s="477" t="str">
        <f>IF($AC$384="","",ROW($A$384)-ROW($A$360))</f>
        <v/>
      </c>
      <c r="AB384" s="478"/>
      <c r="AC384" s="34"/>
      <c r="AD384" s="356"/>
      <c r="AE384" s="18"/>
      <c r="AF384" s="19"/>
      <c r="AG384" s="480" t="str">
        <f t="shared" si="100"/>
        <v/>
      </c>
      <c r="AH384" s="481" t="str">
        <f t="shared" si="101"/>
        <v/>
      </c>
      <c r="AI384" s="477" t="str">
        <f>IF($AC$384="","",IFERROR(INDEX($AZ$74:$AZ$119,MATCH($AH$384,$AY$74:$AY$119,0)),"AUTRE"))</f>
        <v/>
      </c>
      <c r="AJ384" s="482" t="str">
        <f>IF($AC$384="","",IFERROR(INDEX($BA$74:$BA$119,MATCH($AH$384,$AY$74:$AY$119,0)),1))</f>
        <v/>
      </c>
      <c r="AK384" s="482" t="str">
        <f t="shared" si="102"/>
        <v/>
      </c>
      <c r="AL384" s="477" t="str">
        <f>IF($AC$384="","",IFERROR(INDEX($BB$74:$BB$119,MATCH($AH$384,$AY$74:$AY$119,0)),$AH$384))</f>
        <v/>
      </c>
      <c r="AM384" s="483" t="str">
        <f t="shared" si="103"/>
        <v/>
      </c>
      <c r="AN384" s="484" t="str">
        <f t="shared" si="104"/>
        <v/>
      </c>
      <c r="AO384" s="473" t="str">
        <f t="shared" si="105"/>
        <v/>
      </c>
      <c r="AP384" s="473" t="str">
        <f t="shared" si="106"/>
        <v/>
      </c>
      <c r="AQ384" s="473" t="str">
        <f t="shared" si="107"/>
        <v/>
      </c>
      <c r="AR384" s="473" t="str">
        <f t="shared" si="108"/>
        <v/>
      </c>
      <c r="AS384" s="473" t="str">
        <f t="shared" si="109"/>
        <v/>
      </c>
      <c r="AT384" s="473" t="str">
        <f t="shared" si="110"/>
        <v/>
      </c>
      <c r="AU384" s="473" t="str">
        <f t="shared" si="111"/>
        <v/>
      </c>
      <c r="AZ384" s="32" t="s">
        <v>309</v>
      </c>
      <c r="BA384" s="34" t="s">
        <v>6126</v>
      </c>
      <c r="BB384" s="499"/>
      <c r="BC384" s="271"/>
      <c r="BD384" s="279">
        <v>1</v>
      </c>
      <c r="BE384" s="271"/>
      <c r="BF384" s="271"/>
      <c r="BG384" s="271"/>
      <c r="BH384" s="271"/>
      <c r="BI384" s="271"/>
      <c r="BJ384" s="271"/>
      <c r="BK384" s="271"/>
      <c r="BL384" s="271"/>
    </row>
    <row r="385" spans="18:64" ht="21" customHeight="1" x14ac:dyDescent="0.25">
      <c r="R385" s="25" t="s">
        <v>6128</v>
      </c>
      <c r="S385" s="451"/>
      <c r="T385" s="31" t="s">
        <v>29</v>
      </c>
      <c r="V385" s="475">
        <v>9</v>
      </c>
      <c r="W385" s="475" t="str">
        <f>IF($AC$385="","",$W$360)</f>
        <v/>
      </c>
      <c r="X385" s="476" t="str">
        <f>IF($AC$385="","",$X$360)</f>
        <v/>
      </c>
      <c r="Y385" s="477" t="str">
        <f>IF($X$385="","",$Y$360)</f>
        <v/>
      </c>
      <c r="Z385" s="477" t="str">
        <f>IF($X$385="","",$Z$360)</f>
        <v/>
      </c>
      <c r="AA385" s="477" t="str">
        <f>IF($AC$385="","",ROW($A$385)-ROW($A$360))</f>
        <v/>
      </c>
      <c r="AB385" s="478"/>
      <c r="AC385" s="34"/>
      <c r="AD385" s="356"/>
      <c r="AE385" s="18"/>
      <c r="AF385" s="19"/>
      <c r="AG385" s="480" t="str">
        <f t="shared" si="100"/>
        <v/>
      </c>
      <c r="AH385" s="481" t="str">
        <f t="shared" si="101"/>
        <v/>
      </c>
      <c r="AI385" s="477" t="str">
        <f>IF($AC$385="","",IFERROR(INDEX($AZ$74:$AZ$119,MATCH($AH$385,$AY$74:$AY$119,0)),"AUTRE"))</f>
        <v/>
      </c>
      <c r="AJ385" s="482" t="str">
        <f>IF($AC$385="","",IFERROR(INDEX($BA$74:$BA$119,MATCH($AH$385,$AY$74:$AY$119,0)),1))</f>
        <v/>
      </c>
      <c r="AK385" s="482" t="str">
        <f t="shared" si="102"/>
        <v/>
      </c>
      <c r="AL385" s="477" t="str">
        <f>IF($AC$385="","",IFERROR(INDEX($BB$74:$BB$119,MATCH($AH$385,$AY$74:$AY$119,0)),$AH$385))</f>
        <v/>
      </c>
      <c r="AM385" s="483" t="str">
        <f t="shared" si="103"/>
        <v/>
      </c>
      <c r="AN385" s="484" t="str">
        <f t="shared" si="104"/>
        <v/>
      </c>
      <c r="AO385" s="473" t="str">
        <f t="shared" si="105"/>
        <v/>
      </c>
      <c r="AP385" s="473" t="str">
        <f t="shared" si="106"/>
        <v/>
      </c>
      <c r="AQ385" s="473" t="str">
        <f t="shared" si="107"/>
        <v/>
      </c>
      <c r="AR385" s="473" t="str">
        <f t="shared" si="108"/>
        <v/>
      </c>
      <c r="AS385" s="473" t="str">
        <f t="shared" si="109"/>
        <v/>
      </c>
      <c r="AT385" s="473" t="str">
        <f t="shared" si="110"/>
        <v/>
      </c>
      <c r="AU385" s="473" t="str">
        <f t="shared" si="111"/>
        <v/>
      </c>
      <c r="AZ385" s="32" t="s">
        <v>311</v>
      </c>
      <c r="BA385" s="34" t="s">
        <v>6127</v>
      </c>
      <c r="BB385" s="499"/>
      <c r="BC385" s="271"/>
      <c r="BD385" s="279">
        <v>1</v>
      </c>
      <c r="BE385" s="271"/>
      <c r="BF385" s="271"/>
      <c r="BG385" s="271"/>
      <c r="BH385" s="271"/>
      <c r="BI385" s="271"/>
      <c r="BJ385" s="271"/>
      <c r="BK385" s="271"/>
      <c r="BL385" s="271"/>
    </row>
    <row r="386" spans="18:64" ht="21" customHeight="1" x14ac:dyDescent="0.25">
      <c r="R386" s="34" t="s">
        <v>474</v>
      </c>
      <c r="S386" s="451"/>
      <c r="T386" s="31" t="s">
        <v>30</v>
      </c>
      <c r="V386" s="475">
        <v>9</v>
      </c>
      <c r="W386" s="475" t="str">
        <f>IF($AC$386="","",$W$360)</f>
        <v/>
      </c>
      <c r="X386" s="476" t="str">
        <f>IF($AC$386="","",$X$360)</f>
        <v/>
      </c>
      <c r="Y386" s="477" t="str">
        <f>IF($X$386="","",$Y$360)</f>
        <v/>
      </c>
      <c r="Z386" s="477" t="str">
        <f>IF($X$386="","",$Z$360)</f>
        <v/>
      </c>
      <c r="AA386" s="477" t="str">
        <f>IF($AC$386="","",ROW($A$386)-ROW($A$360))</f>
        <v/>
      </c>
      <c r="AB386" s="478"/>
      <c r="AC386" s="34"/>
      <c r="AD386" s="356"/>
      <c r="AE386" s="18"/>
      <c r="AF386" s="19"/>
      <c r="AG386" s="480" t="str">
        <f t="shared" si="100"/>
        <v/>
      </c>
      <c r="AH386" s="481" t="str">
        <f t="shared" si="101"/>
        <v/>
      </c>
      <c r="AI386" s="477" t="str">
        <f>IF($AC$386="","",IFERROR(INDEX($AZ$74:$AZ$119,MATCH($AH$386,$AY$74:$AY$119,0)),"AUTRE"))</f>
        <v/>
      </c>
      <c r="AJ386" s="482" t="str">
        <f>IF($AC$386="","",IFERROR(INDEX($BA$74:$BA$119,MATCH($AH$386,$AY$74:$AY$119,0)),1))</f>
        <v/>
      </c>
      <c r="AK386" s="482" t="str">
        <f t="shared" si="102"/>
        <v/>
      </c>
      <c r="AL386" s="477" t="str">
        <f>IF($AC$386="","",IFERROR(INDEX($BB$74:$BB$119,MATCH($AH$386,$AY$74:$AY$119,0)),$AH$386))</f>
        <v/>
      </c>
      <c r="AM386" s="483" t="str">
        <f t="shared" si="103"/>
        <v/>
      </c>
      <c r="AN386" s="484" t="str">
        <f t="shared" si="104"/>
        <v/>
      </c>
      <c r="AO386" s="473" t="str">
        <f t="shared" si="105"/>
        <v/>
      </c>
      <c r="AP386" s="473" t="str">
        <f t="shared" si="106"/>
        <v/>
      </c>
      <c r="AQ386" s="473" t="str">
        <f t="shared" si="107"/>
        <v/>
      </c>
      <c r="AR386" s="473" t="str">
        <f t="shared" si="108"/>
        <v/>
      </c>
      <c r="AS386" s="473" t="str">
        <f t="shared" si="109"/>
        <v/>
      </c>
      <c r="AT386" s="473" t="str">
        <f t="shared" si="110"/>
        <v/>
      </c>
      <c r="AU386" s="473" t="str">
        <f t="shared" si="111"/>
        <v/>
      </c>
      <c r="AZ386" s="32" t="s">
        <v>8135</v>
      </c>
      <c r="BA386" s="25" t="s">
        <v>6128</v>
      </c>
      <c r="BB386" s="499"/>
      <c r="BC386" s="271"/>
      <c r="BD386" s="279">
        <v>1</v>
      </c>
      <c r="BE386" s="271"/>
      <c r="BF386" s="271"/>
      <c r="BG386" s="271"/>
      <c r="BH386" s="271"/>
      <c r="BI386" s="271"/>
      <c r="BJ386" s="271"/>
      <c r="BK386" s="271"/>
      <c r="BL386" s="271"/>
    </row>
    <row r="387" spans="18:64" ht="21" customHeight="1" x14ac:dyDescent="0.25">
      <c r="R387" s="34" t="s">
        <v>490</v>
      </c>
      <c r="S387" s="451"/>
      <c r="T387" s="31" t="s">
        <v>31</v>
      </c>
      <c r="V387" s="475">
        <v>9</v>
      </c>
      <c r="W387" s="475" t="str">
        <f>IF($AC$387="","",$W$360)</f>
        <v/>
      </c>
      <c r="X387" s="476" t="str">
        <f>IF($AC$387="","",$X$360)</f>
        <v/>
      </c>
      <c r="Y387" s="477" t="str">
        <f>IF($X$387="","",$Y$360)</f>
        <v/>
      </c>
      <c r="Z387" s="477" t="str">
        <f>IF($X$387="","",$Z$360)</f>
        <v/>
      </c>
      <c r="AA387" s="477" t="str">
        <f>IF($AC$387="","",ROW($A$387)-ROW($A$360))</f>
        <v/>
      </c>
      <c r="AB387" s="478"/>
      <c r="AC387" s="34"/>
      <c r="AD387" s="356"/>
      <c r="AE387" s="18"/>
      <c r="AF387" s="19"/>
      <c r="AG387" s="480" t="str">
        <f t="shared" si="100"/>
        <v/>
      </c>
      <c r="AH387" s="481" t="str">
        <f t="shared" si="101"/>
        <v/>
      </c>
      <c r="AI387" s="477" t="str">
        <f>IF($AC$387="","",IFERROR(INDEX($AZ$74:$AZ$119,MATCH($AH$387,$AY$74:$AY$119,0)),"AUTRE"))</f>
        <v/>
      </c>
      <c r="AJ387" s="482" t="str">
        <f>IF($AC$387="","",IFERROR(INDEX($BA$74:$BA$119,MATCH($AH$387,$AY$74:$AY$119,0)),1))</f>
        <v/>
      </c>
      <c r="AK387" s="482" t="str">
        <f t="shared" si="102"/>
        <v/>
      </c>
      <c r="AL387" s="477" t="str">
        <f>IF($AC$387="","",IFERROR(INDEX($BB$74:$BB$119,MATCH($AH$387,$AY$74:$AY$119,0)),$AH$387))</f>
        <v/>
      </c>
      <c r="AM387" s="483" t="str">
        <f t="shared" si="103"/>
        <v/>
      </c>
      <c r="AN387" s="484" t="str">
        <f t="shared" si="104"/>
        <v/>
      </c>
      <c r="AO387" s="473" t="str">
        <f t="shared" si="105"/>
        <v/>
      </c>
      <c r="AP387" s="473" t="str">
        <f t="shared" si="106"/>
        <v/>
      </c>
      <c r="AQ387" s="473" t="str">
        <f t="shared" si="107"/>
        <v/>
      </c>
      <c r="AR387" s="473" t="str">
        <f t="shared" si="108"/>
        <v/>
      </c>
      <c r="AS387" s="473" t="str">
        <f t="shared" si="109"/>
        <v/>
      </c>
      <c r="AT387" s="473" t="str">
        <f t="shared" si="110"/>
        <v/>
      </c>
      <c r="AU387" s="473" t="str">
        <f t="shared" si="111"/>
        <v/>
      </c>
      <c r="AZ387" s="32" t="s">
        <v>8137</v>
      </c>
      <c r="BA387" s="34" t="s">
        <v>474</v>
      </c>
      <c r="BB387" s="499"/>
      <c r="BC387" s="271"/>
      <c r="BD387" s="279">
        <v>1</v>
      </c>
      <c r="BE387" s="271"/>
      <c r="BF387" s="271"/>
      <c r="BG387" s="271"/>
      <c r="BH387" s="271"/>
      <c r="BI387" s="271"/>
      <c r="BJ387" s="271"/>
      <c r="BK387" s="271"/>
      <c r="BL387" s="271"/>
    </row>
    <row r="388" spans="18:64" ht="21" customHeight="1" x14ac:dyDescent="0.25">
      <c r="R388" s="34" t="s">
        <v>6129</v>
      </c>
      <c r="S388" s="451"/>
      <c r="T388" s="32" t="s">
        <v>33</v>
      </c>
      <c r="V388" s="475">
        <v>9</v>
      </c>
      <c r="W388" s="475" t="str">
        <f>IF($AC$388="","",$W$360)</f>
        <v/>
      </c>
      <c r="X388" s="476" t="str">
        <f>IF($AC$388="","",$X$360)</f>
        <v/>
      </c>
      <c r="Y388" s="477" t="str">
        <f>IF($X$388="","",$Y$360)</f>
        <v/>
      </c>
      <c r="Z388" s="477" t="str">
        <f>IF($X$388="","",$Z$360)</f>
        <v/>
      </c>
      <c r="AA388" s="477" t="str">
        <f>IF($AC$388="","",ROW($A$388)-ROW($A$360))</f>
        <v/>
      </c>
      <c r="AB388" s="478"/>
      <c r="AC388" s="34"/>
      <c r="AD388" s="356"/>
      <c r="AE388" s="18"/>
      <c r="AF388" s="19"/>
      <c r="AG388" s="480" t="str">
        <f t="shared" si="100"/>
        <v/>
      </c>
      <c r="AH388" s="481" t="str">
        <f t="shared" si="101"/>
        <v/>
      </c>
      <c r="AI388" s="477" t="str">
        <f>IF($AC$388="","",IFERROR(INDEX($AZ$74:$AZ$119,MATCH($AH$388,$AY$74:$AY$119,0)),"AUTRE"))</f>
        <v/>
      </c>
      <c r="AJ388" s="482" t="str">
        <f>IF($AC$388="","",IFERROR(INDEX($BA$74:$BA$119,MATCH($AH$388,$AY$74:$AY$119,0)),1))</f>
        <v/>
      </c>
      <c r="AK388" s="482" t="str">
        <f t="shared" si="102"/>
        <v/>
      </c>
      <c r="AL388" s="477" t="str">
        <f>IF($AC$388="","",IFERROR(INDEX($BB$74:$BB$119,MATCH($AH$388,$AY$74:$AY$119,0)),$AH$388))</f>
        <v/>
      </c>
      <c r="AM388" s="483" t="str">
        <f t="shared" si="103"/>
        <v/>
      </c>
      <c r="AN388" s="484" t="str">
        <f t="shared" si="104"/>
        <v/>
      </c>
      <c r="AO388" s="473" t="str">
        <f t="shared" si="105"/>
        <v/>
      </c>
      <c r="AP388" s="473" t="str">
        <f t="shared" si="106"/>
        <v/>
      </c>
      <c r="AQ388" s="473" t="str">
        <f t="shared" si="107"/>
        <v/>
      </c>
      <c r="AR388" s="473" t="str">
        <f t="shared" si="108"/>
        <v/>
      </c>
      <c r="AS388" s="473" t="str">
        <f t="shared" si="109"/>
        <v/>
      </c>
      <c r="AT388" s="473" t="str">
        <f t="shared" si="110"/>
        <v/>
      </c>
      <c r="AU388" s="473" t="str">
        <f t="shared" si="111"/>
        <v/>
      </c>
      <c r="AY388" s="271"/>
      <c r="AZ388" s="32" t="s">
        <v>8139</v>
      </c>
      <c r="BA388" s="34" t="s">
        <v>490</v>
      </c>
      <c r="BB388" s="499"/>
      <c r="BC388" s="271"/>
      <c r="BD388" s="279">
        <v>1</v>
      </c>
      <c r="BE388" s="271"/>
      <c r="BF388" s="271"/>
      <c r="BG388" s="271"/>
      <c r="BH388" s="271"/>
      <c r="BI388" s="271"/>
      <c r="BJ388" s="271"/>
      <c r="BK388" s="271"/>
      <c r="BL388" s="271"/>
    </row>
    <row r="389" spans="18:64" ht="21" customHeight="1" x14ac:dyDescent="0.25">
      <c r="R389" s="34" t="s">
        <v>478</v>
      </c>
      <c r="S389" s="451"/>
      <c r="T389" s="32" t="s">
        <v>8125</v>
      </c>
      <c r="V389" s="475">
        <v>9</v>
      </c>
      <c r="W389" s="475" t="str">
        <f>IF($AC$389="","",$W$360)</f>
        <v/>
      </c>
      <c r="X389" s="476" t="str">
        <f>IF($AC$389="","",$X$360)</f>
        <v/>
      </c>
      <c r="Y389" s="477" t="str">
        <f>IF($X$389="","",$Y$360)</f>
        <v/>
      </c>
      <c r="Z389" s="477" t="str">
        <f>IF($X$389="","",$Z$360)</f>
        <v/>
      </c>
      <c r="AA389" s="477" t="str">
        <f>IF($AC$389="","",ROW($A$389)-ROW($A$360))</f>
        <v/>
      </c>
      <c r="AB389" s="478"/>
      <c r="AC389" s="34"/>
      <c r="AD389" s="356"/>
      <c r="AE389" s="18"/>
      <c r="AF389" s="19"/>
      <c r="AG389" s="480" t="str">
        <f t="shared" si="100"/>
        <v/>
      </c>
      <c r="AH389" s="481" t="str">
        <f t="shared" si="101"/>
        <v/>
      </c>
      <c r="AI389" s="477" t="str">
        <f>IF($AC$389="","",IFERROR(INDEX($AZ$74:$AZ$119,MATCH($AH$389,$AY$74:$AY$119,0)),"AUTRE"))</f>
        <v/>
      </c>
      <c r="AJ389" s="482" t="str">
        <f>IF($AC$389="","",IFERROR(INDEX($BA$74:$BA$119,MATCH($AH$389,$AY$74:$AY$119,0)),1))</f>
        <v/>
      </c>
      <c r="AK389" s="482" t="str">
        <f t="shared" si="102"/>
        <v/>
      </c>
      <c r="AL389" s="477" t="str">
        <f>IF($AC$389="","",IFERROR(INDEX($BB$74:$BB$119,MATCH($AH$389,$AY$74:$AY$119,0)),$AH$389))</f>
        <v/>
      </c>
      <c r="AM389" s="483" t="str">
        <f t="shared" si="103"/>
        <v/>
      </c>
      <c r="AN389" s="484" t="str">
        <f t="shared" si="104"/>
        <v/>
      </c>
      <c r="AO389" s="473" t="str">
        <f t="shared" si="105"/>
        <v/>
      </c>
      <c r="AP389" s="473" t="str">
        <f t="shared" si="106"/>
        <v/>
      </c>
      <c r="AQ389" s="473" t="str">
        <f t="shared" si="107"/>
        <v/>
      </c>
      <c r="AR389" s="473" t="str">
        <f t="shared" si="108"/>
        <v/>
      </c>
      <c r="AS389" s="473" t="str">
        <f t="shared" si="109"/>
        <v/>
      </c>
      <c r="AT389" s="473" t="str">
        <f t="shared" si="110"/>
        <v/>
      </c>
      <c r="AU389" s="473" t="str">
        <f t="shared" si="111"/>
        <v/>
      </c>
      <c r="AY389" s="497" t="s">
        <v>8145</v>
      </c>
      <c r="AZ389" s="32" t="s">
        <v>8141</v>
      </c>
      <c r="BA389" s="34" t="s">
        <v>6129</v>
      </c>
      <c r="BB389" s="499"/>
      <c r="BC389" s="271"/>
      <c r="BD389" s="279">
        <v>1</v>
      </c>
      <c r="BE389" s="271"/>
      <c r="BF389" s="271"/>
      <c r="BG389" s="271"/>
      <c r="BH389" s="271"/>
      <c r="BI389" s="271"/>
      <c r="BJ389" s="271"/>
      <c r="BK389" s="271"/>
      <c r="BL389" s="271"/>
    </row>
    <row r="390" spans="18:64" ht="21" customHeight="1" x14ac:dyDescent="0.25">
      <c r="R390" s="34" t="s">
        <v>6130</v>
      </c>
      <c r="S390" s="451"/>
      <c r="T390" s="32" t="s">
        <v>8127</v>
      </c>
      <c r="V390" s="475">
        <v>9</v>
      </c>
      <c r="W390" s="475" t="str">
        <f>IF($AC$390="","",$W$360)</f>
        <v/>
      </c>
      <c r="X390" s="476" t="str">
        <f>IF($AC$390="","",$X$360)</f>
        <v/>
      </c>
      <c r="Y390" s="477" t="str">
        <f>IF($X$390="","",$Y$360)</f>
        <v/>
      </c>
      <c r="Z390" s="477" t="str">
        <f>IF($X$390="","",$Z$360)</f>
        <v/>
      </c>
      <c r="AA390" s="477" t="str">
        <f>IF($AC$390="","",ROW($A$390)-ROW($A$360))</f>
        <v/>
      </c>
      <c r="AB390" s="478"/>
      <c r="AC390" s="34"/>
      <c r="AD390" s="356"/>
      <c r="AE390" s="18"/>
      <c r="AF390" s="19"/>
      <c r="AG390" s="480" t="str">
        <f t="shared" si="100"/>
        <v/>
      </c>
      <c r="AH390" s="481" t="str">
        <f t="shared" si="101"/>
        <v/>
      </c>
      <c r="AI390" s="477" t="str">
        <f>IF($AC$390="","",IFERROR(INDEX($AZ$74:$AZ$119,MATCH($AH$390,$AY$74:$AY$119,0)),"AUTRE"))</f>
        <v/>
      </c>
      <c r="AJ390" s="482" t="str">
        <f>IF($AC$390="","",IFERROR(INDEX($BA$74:$BA$119,MATCH($AH$390,$AY$74:$AY$119,0)),1))</f>
        <v/>
      </c>
      <c r="AK390" s="482" t="str">
        <f t="shared" si="102"/>
        <v/>
      </c>
      <c r="AL390" s="477" t="str">
        <f>IF($AC$390="","",IFERROR(INDEX($BB$74:$BB$119,MATCH($AH$390,$AY$74:$AY$119,0)),$AH$390))</f>
        <v/>
      </c>
      <c r="AM390" s="483" t="str">
        <f t="shared" si="103"/>
        <v/>
      </c>
      <c r="AN390" s="484" t="str">
        <f t="shared" si="104"/>
        <v/>
      </c>
      <c r="AO390" s="473" t="str">
        <f t="shared" si="105"/>
        <v/>
      </c>
      <c r="AP390" s="473" t="str">
        <f t="shared" si="106"/>
        <v/>
      </c>
      <c r="AQ390" s="473" t="str">
        <f t="shared" si="107"/>
        <v/>
      </c>
      <c r="AR390" s="473" t="str">
        <f t="shared" si="108"/>
        <v/>
      </c>
      <c r="AS390" s="473" t="str">
        <f t="shared" si="109"/>
        <v/>
      </c>
      <c r="AT390" s="473" t="str">
        <f t="shared" si="110"/>
        <v/>
      </c>
      <c r="AU390" s="473" t="str">
        <f t="shared" si="111"/>
        <v/>
      </c>
      <c r="AY390" s="497" t="s">
        <v>462</v>
      </c>
      <c r="AZ390" s="32" t="s">
        <v>8143</v>
      </c>
      <c r="BA390" s="34" t="s">
        <v>478</v>
      </c>
      <c r="BB390" s="499"/>
      <c r="BC390" s="271"/>
      <c r="BD390" s="279">
        <v>1</v>
      </c>
      <c r="BE390" s="271"/>
      <c r="BF390" s="271"/>
      <c r="BG390" s="271"/>
      <c r="BH390" s="271"/>
      <c r="BI390" s="271"/>
      <c r="BJ390" s="271"/>
      <c r="BK390" s="271"/>
      <c r="BL390" s="271"/>
    </row>
    <row r="391" spans="18:64" ht="21" customHeight="1" x14ac:dyDescent="0.25">
      <c r="R391" s="34" t="s">
        <v>486</v>
      </c>
      <c r="S391" s="451"/>
      <c r="T391" s="32" t="s">
        <v>320</v>
      </c>
      <c r="V391" s="475">
        <v>9</v>
      </c>
      <c r="W391" s="475" t="str">
        <f>IF($AC$391="","",$W$360)</f>
        <v/>
      </c>
      <c r="X391" s="476" t="str">
        <f>IF($AC$391="","",$X$360)</f>
        <v/>
      </c>
      <c r="Y391" s="477" t="str">
        <f>IF($X$391="","",$Y$360)</f>
        <v/>
      </c>
      <c r="Z391" s="477" t="str">
        <f>IF($X$391="","",$Z$360)</f>
        <v/>
      </c>
      <c r="AA391" s="477" t="str">
        <f>IF($AC$391="","",ROW($A$391)-ROW($A$360))</f>
        <v/>
      </c>
      <c r="AB391" s="478"/>
      <c r="AC391" s="34"/>
      <c r="AD391" s="356"/>
      <c r="AE391" s="18"/>
      <c r="AF391" s="19"/>
      <c r="AG391" s="480" t="str">
        <f t="shared" si="100"/>
        <v/>
      </c>
      <c r="AH391" s="481" t="str">
        <f t="shared" si="101"/>
        <v/>
      </c>
      <c r="AI391" s="477" t="str">
        <f>IF($AC$391="","",IFERROR(INDEX($AZ$74:$AZ$119,MATCH($AH$391,$AY$74:$AY$119,0)),"AUTRE"))</f>
        <v/>
      </c>
      <c r="AJ391" s="482" t="str">
        <f>IF($AC$391="","",IFERROR(INDEX($BA$74:$BA$119,MATCH($AH$391,$AY$74:$AY$119,0)),1))</f>
        <v/>
      </c>
      <c r="AK391" s="482" t="str">
        <f t="shared" si="102"/>
        <v/>
      </c>
      <c r="AL391" s="477" t="str">
        <f>IF($AC$391="","",IFERROR(INDEX($BB$74:$BB$119,MATCH($AH$391,$AY$74:$AY$119,0)),$AH$391))</f>
        <v/>
      </c>
      <c r="AM391" s="483" t="str">
        <f t="shared" si="103"/>
        <v/>
      </c>
      <c r="AN391" s="484" t="str">
        <f t="shared" si="104"/>
        <v/>
      </c>
      <c r="AO391" s="473" t="str">
        <f t="shared" si="105"/>
        <v/>
      </c>
      <c r="AP391" s="473" t="str">
        <f t="shared" si="106"/>
        <v/>
      </c>
      <c r="AQ391" s="473" t="str">
        <f t="shared" si="107"/>
        <v/>
      </c>
      <c r="AR391" s="473" t="str">
        <f t="shared" si="108"/>
        <v/>
      </c>
      <c r="AS391" s="473" t="str">
        <f t="shared" si="109"/>
        <v/>
      </c>
      <c r="AT391" s="473" t="str">
        <f t="shared" si="110"/>
        <v/>
      </c>
      <c r="AU391" s="473" t="str">
        <f t="shared" si="111"/>
        <v/>
      </c>
      <c r="AY391" s="497" t="s">
        <v>463</v>
      </c>
      <c r="AZ391" s="497" t="s">
        <v>8145</v>
      </c>
      <c r="BA391" s="34" t="s">
        <v>6130</v>
      </c>
      <c r="BB391" s="499"/>
      <c r="BC391" s="271"/>
      <c r="BD391" s="279">
        <v>1</v>
      </c>
      <c r="BE391" s="271"/>
      <c r="BF391" s="271"/>
      <c r="BG391" s="271"/>
      <c r="BH391" s="271"/>
      <c r="BI391" s="271"/>
      <c r="BJ391" s="271"/>
      <c r="BK391" s="271"/>
      <c r="BL391" s="271"/>
    </row>
    <row r="392" spans="18:64" ht="21" customHeight="1" x14ac:dyDescent="0.25">
      <c r="R392" s="34" t="s">
        <v>479</v>
      </c>
      <c r="S392" s="451"/>
      <c r="T392" s="32" t="s">
        <v>318</v>
      </c>
      <c r="V392" s="475">
        <v>9</v>
      </c>
      <c r="W392" s="475" t="str">
        <f>IF($AC$392="","",$W$360)</f>
        <v/>
      </c>
      <c r="X392" s="476" t="str">
        <f>IF($AC$392="","",$X$360)</f>
        <v/>
      </c>
      <c r="Y392" s="477" t="str">
        <f>IF($X$392="","",$Y$360)</f>
        <v/>
      </c>
      <c r="Z392" s="477" t="str">
        <f>IF($X$392="","",$Z$360)</f>
        <v/>
      </c>
      <c r="AA392" s="477" t="str">
        <f>IF($AC$392="","",ROW($A$392)-ROW($A$360))</f>
        <v/>
      </c>
      <c r="AB392" s="478"/>
      <c r="AC392" s="34"/>
      <c r="AD392" s="356"/>
      <c r="AE392" s="18"/>
      <c r="AF392" s="19"/>
      <c r="AG392" s="480" t="str">
        <f t="shared" si="100"/>
        <v/>
      </c>
      <c r="AH392" s="481" t="str">
        <f t="shared" si="101"/>
        <v/>
      </c>
      <c r="AI392" s="477" t="str">
        <f>IF($AC$392="","",IFERROR(INDEX($AZ$74:$AZ$119,MATCH($AH$392,$AY$74:$AY$119,0)),"AUTRE"))</f>
        <v/>
      </c>
      <c r="AJ392" s="482" t="str">
        <f>IF($AC$392="","",IFERROR(INDEX($BA$74:$BA$119,MATCH($AH$392,$AY$74:$AY$119,0)),1))</f>
        <v/>
      </c>
      <c r="AK392" s="482" t="str">
        <f t="shared" si="102"/>
        <v/>
      </c>
      <c r="AL392" s="477" t="str">
        <f>IF($AC$392="","",IFERROR(INDEX($BB$74:$BB$119,MATCH($AH$392,$AY$74:$AY$119,0)),$AH$392))</f>
        <v/>
      </c>
      <c r="AM392" s="483" t="str">
        <f t="shared" si="103"/>
        <v/>
      </c>
      <c r="AN392" s="484" t="str">
        <f t="shared" si="104"/>
        <v/>
      </c>
      <c r="AO392" s="473" t="str">
        <f t="shared" si="105"/>
        <v/>
      </c>
      <c r="AP392" s="473" t="str">
        <f t="shared" si="106"/>
        <v/>
      </c>
      <c r="AQ392" s="473" t="str">
        <f t="shared" si="107"/>
        <v/>
      </c>
      <c r="AR392" s="473" t="str">
        <f t="shared" si="108"/>
        <v/>
      </c>
      <c r="AS392" s="473" t="str">
        <f t="shared" si="109"/>
        <v/>
      </c>
      <c r="AT392" s="473" t="str">
        <f t="shared" si="110"/>
        <v/>
      </c>
      <c r="AU392" s="473" t="str">
        <f t="shared" si="111"/>
        <v/>
      </c>
      <c r="AY392" s="497" t="s">
        <v>8147</v>
      </c>
      <c r="AZ392" s="497" t="s">
        <v>462</v>
      </c>
      <c r="BA392" s="34" t="s">
        <v>486</v>
      </c>
      <c r="BB392" s="499"/>
      <c r="BC392" s="271"/>
      <c r="BD392" s="279">
        <v>1</v>
      </c>
      <c r="BE392" s="271"/>
      <c r="BF392" s="271"/>
      <c r="BG392" s="271"/>
      <c r="BH392" s="271"/>
      <c r="BI392" s="271"/>
      <c r="BJ392" s="271"/>
      <c r="BK392" s="271"/>
      <c r="BL392" s="271"/>
    </row>
    <row r="393" spans="18:64" ht="21" customHeight="1" x14ac:dyDescent="0.25">
      <c r="R393" s="34" t="s">
        <v>6131</v>
      </c>
      <c r="S393" s="451"/>
      <c r="T393" s="32" t="s">
        <v>316</v>
      </c>
      <c r="V393" s="475">
        <v>9</v>
      </c>
      <c r="W393" s="475" t="str">
        <f>IF($AC$393="","",$W$360)</f>
        <v/>
      </c>
      <c r="X393" s="476" t="str">
        <f>IF($AC$393="","",$X$360)</f>
        <v/>
      </c>
      <c r="Y393" s="477" t="str">
        <f>IF($X$393="","",$Y$360)</f>
        <v/>
      </c>
      <c r="Z393" s="477" t="str">
        <f>IF($X$393="","",$Z$360)</f>
        <v/>
      </c>
      <c r="AA393" s="477" t="str">
        <f>IF($AC$393="","",ROW($A$393)-ROW($A$360))</f>
        <v/>
      </c>
      <c r="AB393" s="478"/>
      <c r="AC393" s="34"/>
      <c r="AD393" s="356"/>
      <c r="AE393" s="18"/>
      <c r="AF393" s="19"/>
      <c r="AG393" s="480" t="str">
        <f t="shared" si="100"/>
        <v/>
      </c>
      <c r="AH393" s="481" t="str">
        <f t="shared" si="101"/>
        <v/>
      </c>
      <c r="AI393" s="477" t="str">
        <f>IF($AC$393="","",IFERROR(INDEX($AZ$74:$AZ$119,MATCH($AH$393,$AY$74:$AY$119,0)),"AUTRE"))</f>
        <v/>
      </c>
      <c r="AJ393" s="482" t="str">
        <f>IF($AC$393="","",IFERROR(INDEX($BA$74:$BA$119,MATCH($AH$393,$AY$74:$AY$119,0)),1))</f>
        <v/>
      </c>
      <c r="AK393" s="482" t="str">
        <f t="shared" si="102"/>
        <v/>
      </c>
      <c r="AL393" s="477" t="str">
        <f>IF($AC$393="","",IFERROR(INDEX($BB$74:$BB$119,MATCH($AH$393,$AY$74:$AY$119,0)),$AH$393))</f>
        <v/>
      </c>
      <c r="AM393" s="483" t="str">
        <f t="shared" si="103"/>
        <v/>
      </c>
      <c r="AN393" s="484" t="str">
        <f t="shared" si="104"/>
        <v/>
      </c>
      <c r="AO393" s="473" t="str">
        <f t="shared" si="105"/>
        <v/>
      </c>
      <c r="AP393" s="473" t="str">
        <f t="shared" si="106"/>
        <v/>
      </c>
      <c r="AQ393" s="473" t="str">
        <f t="shared" si="107"/>
        <v/>
      </c>
      <c r="AR393" s="473" t="str">
        <f t="shared" si="108"/>
        <v/>
      </c>
      <c r="AS393" s="473" t="str">
        <f t="shared" si="109"/>
        <v/>
      </c>
      <c r="AT393" s="473" t="str">
        <f t="shared" si="110"/>
        <v/>
      </c>
      <c r="AU393" s="473" t="str">
        <f t="shared" si="111"/>
        <v/>
      </c>
      <c r="AY393" s="497" t="s">
        <v>465</v>
      </c>
      <c r="AZ393" s="497" t="s">
        <v>463</v>
      </c>
      <c r="BA393" s="34" t="s">
        <v>479</v>
      </c>
      <c r="BB393" s="499"/>
      <c r="BC393" s="271"/>
      <c r="BD393" s="279">
        <v>1</v>
      </c>
      <c r="BE393" s="271"/>
      <c r="BF393" s="271"/>
      <c r="BG393" s="271"/>
      <c r="BH393" s="271"/>
      <c r="BI393" s="271"/>
      <c r="BJ393" s="271"/>
      <c r="BK393" s="271"/>
      <c r="BL393" s="271"/>
    </row>
    <row r="394" spans="18:64" ht="21" customHeight="1" x14ac:dyDescent="0.25">
      <c r="R394" s="34" t="s">
        <v>485</v>
      </c>
      <c r="S394" s="451"/>
      <c r="T394" s="32" t="s">
        <v>313</v>
      </c>
      <c r="V394" s="475">
        <v>9</v>
      </c>
      <c r="W394" s="475" t="str">
        <f>IF($AC$394="","",$W$360)</f>
        <v>N° 33</v>
      </c>
      <c r="X394" s="476" t="str">
        <f>IF($AC$394="","",$X$360)</f>
        <v>TOMATES SOUFFLÉES AU FROMAGE</v>
      </c>
      <c r="Y394" s="477">
        <f>IF($X$394="","",$Y$360)</f>
        <v>50</v>
      </c>
      <c r="Z394" s="477">
        <f>IF($X$394="","",$Z$360)</f>
        <v>100</v>
      </c>
      <c r="AA394" s="477">
        <f>IF($AC$394="","",ROW($A$394)-ROW($A$360))</f>
        <v>34</v>
      </c>
      <c r="AB394" s="478"/>
      <c r="AC394" s="34" t="s">
        <v>497</v>
      </c>
      <c r="AD394" s="356"/>
      <c r="AE394" s="18">
        <v>5</v>
      </c>
      <c r="AF394" s="33" t="s">
        <v>462</v>
      </c>
      <c r="AG394" s="491">
        <f t="shared" si="100"/>
        <v>5</v>
      </c>
      <c r="AH394" s="481" t="str">
        <f t="shared" si="101"/>
        <v>BAC(S)</v>
      </c>
      <c r="AI394" s="477" t="str">
        <f>IF($AC$394="","",IFERROR(INDEX($AZ$74:$AZ$119,MATCH($AH$394,$AY$74:$AY$119,0)),"AUTRE"))</f>
        <v>AUTRE</v>
      </c>
      <c r="AJ394" s="482">
        <f>IF($AC$394="","",IFERROR(INDEX($BA$74:$BA$119,MATCH($AH$394,$AY$74:$AY$119,0)),1))</f>
        <v>1</v>
      </c>
      <c r="AK394" s="482">
        <f t="shared" si="102"/>
        <v>5</v>
      </c>
      <c r="AL394" s="477" t="str">
        <f>IF($AC$394="","",IFERROR(INDEX($BB$74:$BB$119,MATCH($AH$394,$AY$74:$AY$119,0)),$AH$394))</f>
        <v>bac(s)</v>
      </c>
      <c r="AM394" s="483" t="str">
        <f t="shared" si="103"/>
        <v>OK</v>
      </c>
      <c r="AN394" s="484">
        <f t="shared" si="104"/>
        <v>5</v>
      </c>
      <c r="AO394" s="473" t="str">
        <f t="shared" si="105"/>
        <v/>
      </c>
      <c r="AP394" s="473" t="str">
        <f t="shared" si="106"/>
        <v/>
      </c>
      <c r="AQ394" s="473" t="str">
        <f t="shared" si="107"/>
        <v/>
      </c>
      <c r="AR394" s="473" t="str">
        <f t="shared" si="108"/>
        <v/>
      </c>
      <c r="AS394" s="473" t="str">
        <f t="shared" si="109"/>
        <v/>
      </c>
      <c r="AT394" s="473" t="str">
        <f t="shared" si="110"/>
        <v/>
      </c>
      <c r="AU394" s="473" t="str">
        <f t="shared" si="111"/>
        <v/>
      </c>
      <c r="AY394" s="497" t="s">
        <v>466</v>
      </c>
      <c r="AZ394" s="497" t="s">
        <v>8147</v>
      </c>
      <c r="BA394" s="34" t="s">
        <v>6131</v>
      </c>
      <c r="BB394" s="499"/>
      <c r="BC394" s="271"/>
      <c r="BD394" s="279">
        <v>1</v>
      </c>
      <c r="BE394" s="271"/>
      <c r="BF394" s="271"/>
      <c r="BG394" s="271"/>
      <c r="BH394" s="271"/>
      <c r="BI394" s="271"/>
      <c r="BJ394" s="271"/>
      <c r="BK394" s="271"/>
      <c r="BL394" s="271"/>
    </row>
    <row r="395" spans="18:64" ht="30" customHeight="1" x14ac:dyDescent="0.25">
      <c r="R395" s="34" t="s">
        <v>6132</v>
      </c>
      <c r="S395" s="451"/>
      <c r="T395" s="32" t="s">
        <v>307</v>
      </c>
      <c r="V395" s="453" t="s">
        <v>324</v>
      </c>
      <c r="W395" s="453" t="s">
        <v>7912</v>
      </c>
      <c r="X395" s="453" t="s">
        <v>326</v>
      </c>
      <c r="Y395" s="453" t="s">
        <v>327</v>
      </c>
      <c r="Z395" s="454" t="s">
        <v>7930</v>
      </c>
      <c r="AA395" s="453" t="s">
        <v>7937</v>
      </c>
      <c r="AB395" s="501" t="s">
        <v>39</v>
      </c>
      <c r="AC395" s="501" t="s">
        <v>338</v>
      </c>
      <c r="AD395" s="501" t="s">
        <v>8114</v>
      </c>
      <c r="AE395" s="501" t="s">
        <v>339</v>
      </c>
      <c r="AF395" s="501" t="s">
        <v>7997</v>
      </c>
      <c r="AG395" s="453" t="s">
        <v>8018</v>
      </c>
      <c r="AH395" s="453" t="s">
        <v>8023</v>
      </c>
      <c r="AI395" s="453" t="s">
        <v>330</v>
      </c>
      <c r="AJ395" s="453" t="s">
        <v>8031</v>
      </c>
      <c r="AK395" s="453" t="s">
        <v>8037</v>
      </c>
      <c r="AL395" s="453" t="s">
        <v>8041</v>
      </c>
      <c r="AM395" s="453" t="s">
        <v>343</v>
      </c>
      <c r="AN395" s="457" t="s">
        <v>8115</v>
      </c>
      <c r="AO395" s="457" t="s">
        <v>8116</v>
      </c>
      <c r="AP395" s="656" t="s">
        <v>8117</v>
      </c>
      <c r="AQ395" s="656"/>
      <c r="AR395" s="656"/>
      <c r="AS395" s="656"/>
      <c r="AT395" s="656"/>
      <c r="AU395" s="657"/>
      <c r="AZ395" s="497" t="s">
        <v>465</v>
      </c>
      <c r="BA395" s="34" t="s">
        <v>485</v>
      </c>
      <c r="BB395" s="499"/>
      <c r="BC395" s="271"/>
      <c r="BD395" s="279">
        <v>1</v>
      </c>
      <c r="BE395" s="271"/>
      <c r="BF395" s="271"/>
      <c r="BG395" s="271"/>
      <c r="BH395" s="271"/>
      <c r="BI395" s="271"/>
      <c r="BJ395" s="271"/>
      <c r="BK395" s="271"/>
      <c r="BL395" s="271"/>
    </row>
    <row r="396" spans="18:64" ht="30" customHeight="1" x14ac:dyDescent="0.25">
      <c r="R396" s="25" t="s">
        <v>6133</v>
      </c>
      <c r="S396" s="451"/>
      <c r="T396" s="32" t="s">
        <v>322</v>
      </c>
      <c r="V396" s="459">
        <v>10</v>
      </c>
      <c r="W396" s="460" t="s">
        <v>8159</v>
      </c>
      <c r="X396" s="461" t="s">
        <v>8164</v>
      </c>
      <c r="Y396" s="502"/>
      <c r="Z396" s="463">
        <v>100</v>
      </c>
      <c r="AA396" s="464">
        <f>IF($AC$396="","",ROW($A$396)-ROW($A$396))</f>
        <v>0</v>
      </c>
      <c r="AB396" s="461"/>
      <c r="AC396" s="465" t="s">
        <v>8165</v>
      </c>
      <c r="AD396" s="390"/>
      <c r="AE396" s="390"/>
      <c r="AF396" s="466"/>
      <c r="AG396" s="467" t="str">
        <f t="shared" ref="AG396:AG430" si="112">IF($AC396="","",IF(LEN($AN396&amp;"")=0,"",$AN396))</f>
        <v/>
      </c>
      <c r="AH396" s="468" t="str">
        <f t="shared" ref="AH396:AH430" si="113">IF($AC396="","",IF($AF396&lt;&gt;"",UPPER(TRIM(SUBSTITUTE(SUBSTITUTE($AF396&amp;"",CHAR(160)," ")," "," "))),$AP396))</f>
        <v/>
      </c>
      <c r="AI396" s="469" t="str">
        <f>IF($AC$396="","",IFERROR(INDEX($AZ$74:$AZ$119,MATCH($AH$396,$AY$74:$AY$119,0)),"AUTRE"))</f>
        <v>AUTRE</v>
      </c>
      <c r="AJ396" s="470">
        <f>IF($AC$396="","",IFERROR(INDEX($BA$74:$BA$119,MATCH($AH$396,$AY$74:$AY$119,0)),1))</f>
        <v>1</v>
      </c>
      <c r="AK396" s="470" t="str">
        <f t="shared" ref="AK396:AK430" si="114">IF(OR(AG396="",AJ396=""),"",AG396*AJ396)</f>
        <v/>
      </c>
      <c r="AL396" s="469" t="str">
        <f>IF($AC$396="","",IFERROR(INDEX($BB$74:$BB$119,MATCH($AH$396,$AY$74:$AY$119,0)),$AH$396))</f>
        <v/>
      </c>
      <c r="AM396" s="471" t="str">
        <f t="shared" ref="AM396:AM430" si="115">IF($AC396="","",IF($AH396="QT. SUFFISANTE","OK",IF($AG396="","TEXTE",IF(NOT(ISNUMBER($AG396)),"QUANTITÉ À CONTRÔLER",IF(COUNTIF($AY$74:$AY$119,$AH396)=0,"UNITÉ À CONTRÔLER","OK")))))</f>
        <v>TEXTE</v>
      </c>
      <c r="AN396" s="474" t="str">
        <f t="shared" ref="AN396:AN430" si="116">IF($AE396&lt;&gt;"",$AE396,IF($AD396="","",IF(ISNUMBER($AD396),$AD396,IF($AO396="QT",0,IF($AO396="","",IFERROR(IF(ISNUMBER(SEARCH("/",$AO396)),VALUE(TRIM(LEFT($AO396,SEARCH("/",$AO396)-1)))/VALUE(TRIM(MID($AO396,SEARCH("/",$AO396)+1,99))),VALUE(SUBSTITUTE($AO396,".",","))),""))))))</f>
        <v/>
      </c>
      <c r="AO396" s="473" t="str">
        <f t="shared" ref="AO396:AO430" si="117">IF($AD396="","",IF(ISNUMBER($AD396),$AD396,IF(OR(LEFT($AQ396,3)="QT.",LEFT($AQ396,4)="QUAN"),"QT",IF($AR396=999,$AQ396,TRIM(LEFT($AQ396,$AR396-1))))))</f>
        <v/>
      </c>
      <c r="AP396" s="473" t="str">
        <f t="shared" ref="AP396:AP430" si="118">IF($AD396="","",IF(ISNUMBER($AD396),"",IF(OR(LEFT($AQ396,3)="QT.",LEFT($AQ396,4)="QUAN"),"QT. SUFFISANTE",IF($AO396="","",TRIM(MID($AQ396,LEN($AO396&amp;"")+1,999))))))</f>
        <v/>
      </c>
      <c r="AQ396" s="473" t="str">
        <f t="shared" ref="AQ396:AQ430" si="119">IF($AD396="","",UPPER(TRIM(SUBSTITUTE(SUBSTITUTE($AD396&amp;"",CHAR(160)," ")," "," "))))</f>
        <v/>
      </c>
      <c r="AR396" s="473" t="str">
        <f t="shared" ref="AR396:AR430" si="120">IF($AQ396="","",MIN($AS396,$AT396,$AU396))</f>
        <v/>
      </c>
      <c r="AS396" s="473" t="str">
        <f t="shared" ref="AS396:AS430" si="121">IF($AQ396="","",MIN(IFERROR(SEARCH("A",$AQ396),999),IFERROR(SEARCH("B",$AQ396),999),IFERROR(SEARCH("C",$AQ396),999),IFERROR(SEARCH("D",$AQ396),999),IFERROR(SEARCH("E",$AQ396),999),IFERROR(SEARCH("F",$AQ396),999),IFERROR(SEARCH("G",$AQ396),999),IFERROR(SEARCH("H",$AQ396),999),IFERROR(SEARCH("I",$AQ396),999)))</f>
        <v/>
      </c>
      <c r="AT396" s="473" t="str">
        <f t="shared" ref="AT396:AT430" si="122">IF($AQ396="","",MIN(IFERROR(SEARCH("J",$AQ396),999),IFERROR(SEARCH("K",$AQ396),999),IFERROR(SEARCH("L",$AQ396),999),IFERROR(SEARCH("M",$AQ396),999),IFERROR(SEARCH("N",$AQ396),999),IFERROR(SEARCH("O",$AQ396),999),IFERROR(SEARCH("P",$AQ396),999),IFERROR(SEARCH("Q",$AQ396),999),IFERROR(SEARCH("R",$AQ396),999)))</f>
        <v/>
      </c>
      <c r="AU396" s="473" t="str">
        <f t="shared" ref="AU396:AU430" si="123">IF($AQ396="","",MIN(IFERROR(SEARCH("S",$AQ396),999),IFERROR(SEARCH("T",$AQ396),999),IFERROR(SEARCH("U",$AQ396),999),IFERROR(SEARCH("V",$AQ396),999),IFERROR(SEARCH("W",$AQ396),999),IFERROR(SEARCH("X",$AQ396),999),IFERROR(SEARCH("Y",$AQ396),999),IFERROR(SEARCH("Z",$AQ396),999)))</f>
        <v/>
      </c>
      <c r="AZ396" s="497" t="s">
        <v>466</v>
      </c>
      <c r="BA396" s="34" t="s">
        <v>6132</v>
      </c>
      <c r="BB396" s="499"/>
      <c r="BC396" s="271"/>
      <c r="BD396" s="279">
        <v>1</v>
      </c>
      <c r="BE396" s="271"/>
      <c r="BF396" s="271"/>
      <c r="BG396" s="271"/>
      <c r="BH396" s="271"/>
      <c r="BI396" s="271"/>
      <c r="BJ396" s="271"/>
      <c r="BK396" s="271"/>
      <c r="BL396" s="271"/>
    </row>
    <row r="397" spans="18:64" ht="21" customHeight="1" x14ac:dyDescent="0.25">
      <c r="R397" s="34" t="s">
        <v>476</v>
      </c>
      <c r="S397" s="451"/>
      <c r="T397" s="32" t="s">
        <v>305</v>
      </c>
      <c r="V397" s="475">
        <f>$V$396</f>
        <v>10</v>
      </c>
      <c r="W397" s="475" t="str">
        <f>IF($AC$397="","",$W$396)</f>
        <v/>
      </c>
      <c r="X397" s="476" t="str">
        <f>IF($AC$397="","",$X$396)</f>
        <v/>
      </c>
      <c r="Y397" s="477" t="str">
        <f>IF($X$397="","",$Y$396)</f>
        <v/>
      </c>
      <c r="Z397" s="477" t="str">
        <f>IF($X$397="","",$Z$396)</f>
        <v/>
      </c>
      <c r="AA397" s="477" t="str">
        <f>IF($AC$397="","",ROW($A$397)-ROW($A$396))</f>
        <v/>
      </c>
      <c r="AB397" s="478"/>
      <c r="AC397" s="34"/>
      <c r="AD397" s="356"/>
      <c r="AE397" s="479"/>
      <c r="AF397" s="475"/>
      <c r="AG397" s="480" t="str">
        <f t="shared" si="112"/>
        <v/>
      </c>
      <c r="AH397" s="481" t="str">
        <f t="shared" si="113"/>
        <v/>
      </c>
      <c r="AI397" s="477" t="str">
        <f>IF($AC$397="","",IFERROR(INDEX($AZ$74:$AZ$119,MATCH($AH$397,$AY$74:$AY$119,0)),"AUTRE"))</f>
        <v/>
      </c>
      <c r="AJ397" s="482" t="str">
        <f>IF($AC$397="","",IFERROR(INDEX($BA$74:$BA$119,MATCH($AH$397,$AY$74:$AY$119,0)),1))</f>
        <v/>
      </c>
      <c r="AK397" s="482" t="str">
        <f t="shared" si="114"/>
        <v/>
      </c>
      <c r="AL397" s="477" t="str">
        <f>IF($AC$397="","",IFERROR(INDEX($BB$74:$BB$119,MATCH($AH$397,$AY$74:$AY$119,0)),$AH$397))</f>
        <v/>
      </c>
      <c r="AM397" s="483" t="str">
        <f t="shared" si="115"/>
        <v/>
      </c>
      <c r="AN397" s="484" t="str">
        <f t="shared" si="116"/>
        <v/>
      </c>
      <c r="AO397" s="473" t="str">
        <f t="shared" si="117"/>
        <v/>
      </c>
      <c r="AP397" s="473" t="str">
        <f t="shared" si="118"/>
        <v/>
      </c>
      <c r="AQ397" s="473" t="str">
        <f t="shared" si="119"/>
        <v/>
      </c>
      <c r="AR397" s="473" t="str">
        <f t="shared" si="120"/>
        <v/>
      </c>
      <c r="AS397" s="473" t="str">
        <f t="shared" si="121"/>
        <v/>
      </c>
      <c r="AT397" s="473" t="str">
        <f t="shared" si="122"/>
        <v/>
      </c>
      <c r="AU397" s="473" t="str">
        <f t="shared" si="123"/>
        <v/>
      </c>
      <c r="AZ397" s="14" t="s">
        <v>7</v>
      </c>
      <c r="BA397" s="25" t="s">
        <v>6133</v>
      </c>
      <c r="BB397" s="499"/>
      <c r="BC397" s="271"/>
      <c r="BD397" s="279">
        <v>1</v>
      </c>
      <c r="BE397" s="271"/>
      <c r="BF397" s="271"/>
      <c r="BG397" s="271"/>
      <c r="BH397" s="271"/>
      <c r="BI397" s="271"/>
      <c r="BJ397" s="271"/>
      <c r="BK397" s="271"/>
      <c r="BL397" s="271"/>
    </row>
    <row r="398" spans="18:64" ht="21" customHeight="1" x14ac:dyDescent="0.25">
      <c r="R398" s="34" t="s">
        <v>468</v>
      </c>
      <c r="S398" s="451"/>
      <c r="T398" s="32" t="s">
        <v>309</v>
      </c>
      <c r="V398" s="475">
        <v>10</v>
      </c>
      <c r="W398" s="475" t="str">
        <f>IF($AC$398="","",$W$396)</f>
        <v/>
      </c>
      <c r="X398" s="476" t="str">
        <f>IF($AC$398="","",$X$396)</f>
        <v/>
      </c>
      <c r="Y398" s="477" t="str">
        <f>IF($X$398="","",$Y$396)</f>
        <v/>
      </c>
      <c r="Z398" s="477" t="str">
        <f>IF($X$398="","",$Z$396)</f>
        <v/>
      </c>
      <c r="AA398" s="477" t="str">
        <f>IF($AC$398="","",ROW($A$398)-ROW($A$396))</f>
        <v/>
      </c>
      <c r="AB398" s="478"/>
      <c r="AC398" s="34"/>
      <c r="AD398" s="356"/>
      <c r="AE398" s="479"/>
      <c r="AF398" s="475"/>
      <c r="AG398" s="480" t="str">
        <f t="shared" si="112"/>
        <v/>
      </c>
      <c r="AH398" s="481" t="str">
        <f t="shared" si="113"/>
        <v/>
      </c>
      <c r="AI398" s="477" t="str">
        <f>IF($AC$398="","",IFERROR(INDEX($AZ$74:$AZ$119,MATCH($AH$398,$AY$74:$AY$119,0)),"AUTRE"))</f>
        <v/>
      </c>
      <c r="AJ398" s="482" t="str">
        <f>IF($AC$398="","",IFERROR(INDEX($BA$74:$BA$119,MATCH($AH$398,$AY$74:$AY$119,0)),1))</f>
        <v/>
      </c>
      <c r="AK398" s="482" t="str">
        <f t="shared" si="114"/>
        <v/>
      </c>
      <c r="AL398" s="477" t="str">
        <f>IF($AC$398="","",IFERROR(INDEX($BB$74:$BB$119,MATCH($AH$398,$AY$74:$AY$119,0)),$AH$398))</f>
        <v/>
      </c>
      <c r="AM398" s="483" t="str">
        <f t="shared" si="115"/>
        <v/>
      </c>
      <c r="AN398" s="484" t="str">
        <f t="shared" si="116"/>
        <v/>
      </c>
      <c r="AO398" s="473" t="str">
        <f t="shared" si="117"/>
        <v/>
      </c>
      <c r="AP398" s="473" t="str">
        <f t="shared" si="118"/>
        <v/>
      </c>
      <c r="AQ398" s="473" t="str">
        <f t="shared" si="119"/>
        <v/>
      </c>
      <c r="AR398" s="473" t="str">
        <f t="shared" si="120"/>
        <v/>
      </c>
      <c r="AS398" s="473" t="str">
        <f t="shared" si="121"/>
        <v/>
      </c>
      <c r="AT398" s="473" t="str">
        <f t="shared" si="122"/>
        <v/>
      </c>
      <c r="AU398" s="473" t="str">
        <f t="shared" si="123"/>
        <v/>
      </c>
      <c r="AZ398" s="27" t="s">
        <v>8</v>
      </c>
      <c r="BA398" s="34" t="s">
        <v>476</v>
      </c>
      <c r="BB398" s="499"/>
      <c r="BC398" s="271"/>
      <c r="BD398" s="279">
        <v>1</v>
      </c>
      <c r="BE398" s="271"/>
      <c r="BF398" s="271"/>
      <c r="BG398" s="271"/>
      <c r="BH398" s="271"/>
      <c r="BI398" s="271"/>
      <c r="BJ398" s="271"/>
      <c r="BK398" s="271"/>
      <c r="BL398" s="271"/>
    </row>
    <row r="399" spans="18:64" ht="21" customHeight="1" x14ac:dyDescent="0.25">
      <c r="R399" s="34" t="s">
        <v>473</v>
      </c>
      <c r="S399" s="451"/>
      <c r="T399" s="32" t="s">
        <v>311</v>
      </c>
      <c r="V399" s="475">
        <v>10</v>
      </c>
      <c r="W399" s="475" t="str">
        <f>IF($AC$399="","",$W$396)</f>
        <v/>
      </c>
      <c r="X399" s="476" t="str">
        <f>IF($AC$399="","",$X$396)</f>
        <v/>
      </c>
      <c r="Y399" s="477" t="str">
        <f>IF($X$399="","",$Y$396)</f>
        <v/>
      </c>
      <c r="Z399" s="477" t="str">
        <f>IF($X$399="","",$Z$396)</f>
        <v/>
      </c>
      <c r="AA399" s="477" t="str">
        <f>IF($AC$399="","",ROW($A$399)-ROW($A$396))</f>
        <v/>
      </c>
      <c r="AB399" s="478"/>
      <c r="AC399" s="34"/>
      <c r="AD399" s="356"/>
      <c r="AE399" s="479"/>
      <c r="AF399" s="475"/>
      <c r="AG399" s="480" t="str">
        <f t="shared" si="112"/>
        <v/>
      </c>
      <c r="AH399" s="481" t="str">
        <f t="shared" si="113"/>
        <v/>
      </c>
      <c r="AI399" s="477" t="str">
        <f>IF($AC$399="","",IFERROR(INDEX($AZ$74:$AZ$119,MATCH($AH$399,$AY$74:$AY$119,0)),"AUTRE"))</f>
        <v/>
      </c>
      <c r="AJ399" s="482" t="str">
        <f>IF($AC$399="","",IFERROR(INDEX($BA$74:$BA$119,MATCH($AH$399,$AY$74:$AY$119,0)),1))</f>
        <v/>
      </c>
      <c r="AK399" s="482" t="str">
        <f t="shared" si="114"/>
        <v/>
      </c>
      <c r="AL399" s="477" t="str">
        <f>IF($AC$399="","",IFERROR(INDEX($BB$74:$BB$119,MATCH($AH$399,$AY$74:$AY$119,0)),$AH$399))</f>
        <v/>
      </c>
      <c r="AM399" s="483" t="str">
        <f t="shared" si="115"/>
        <v/>
      </c>
      <c r="AN399" s="484" t="str">
        <f t="shared" si="116"/>
        <v/>
      </c>
      <c r="AO399" s="473" t="str">
        <f t="shared" si="117"/>
        <v/>
      </c>
      <c r="AP399" s="473" t="str">
        <f t="shared" si="118"/>
        <v/>
      </c>
      <c r="AQ399" s="473" t="str">
        <f t="shared" si="119"/>
        <v/>
      </c>
      <c r="AR399" s="473" t="str">
        <f t="shared" si="120"/>
        <v/>
      </c>
      <c r="AS399" s="473" t="str">
        <f t="shared" si="121"/>
        <v/>
      </c>
      <c r="AT399" s="473" t="str">
        <f t="shared" si="122"/>
        <v/>
      </c>
      <c r="AU399" s="473" t="str">
        <f t="shared" si="123"/>
        <v/>
      </c>
      <c r="AZ399" s="28" t="s">
        <v>13</v>
      </c>
      <c r="BA399" s="34" t="s">
        <v>468</v>
      </c>
      <c r="BB399" s="499"/>
      <c r="BC399" s="271"/>
      <c r="BD399" s="279">
        <v>1</v>
      </c>
      <c r="BE399" s="271"/>
      <c r="BF399" s="271"/>
      <c r="BG399" s="271"/>
      <c r="BH399" s="271"/>
      <c r="BI399" s="271"/>
      <c r="BJ399" s="271"/>
      <c r="BK399" s="271"/>
      <c r="BL399" s="271"/>
    </row>
    <row r="400" spans="18:64" ht="21" customHeight="1" x14ac:dyDescent="0.25">
      <c r="R400" s="34" t="s">
        <v>497</v>
      </c>
      <c r="S400" s="451"/>
      <c r="T400" s="32" t="s">
        <v>8135</v>
      </c>
      <c r="V400" s="475">
        <v>10</v>
      </c>
      <c r="W400" s="475" t="str">
        <f>IF($AC$400="","",$W$396)</f>
        <v/>
      </c>
      <c r="X400" s="476" t="str">
        <f>IF($AC$400="","",$X$396)</f>
        <v/>
      </c>
      <c r="Y400" s="477" t="str">
        <f>IF($X$400="","",$Y$396)</f>
        <v/>
      </c>
      <c r="Z400" s="477" t="str">
        <f>IF($X$400="","",$Z$396)</f>
        <v/>
      </c>
      <c r="AA400" s="477" t="str">
        <f>IF($AC$400="","",ROW($A$400)-ROW($A$396))</f>
        <v/>
      </c>
      <c r="AB400" s="478"/>
      <c r="AC400" s="34"/>
      <c r="AD400" s="356"/>
      <c r="AE400" s="479"/>
      <c r="AF400" s="475"/>
      <c r="AG400" s="480" t="str">
        <f t="shared" si="112"/>
        <v/>
      </c>
      <c r="AH400" s="481" t="str">
        <f t="shared" si="113"/>
        <v/>
      </c>
      <c r="AI400" s="477" t="str">
        <f>IF($AC$400="","",IFERROR(INDEX($AZ$74:$AZ$119,MATCH($AH$400,$AY$74:$AY$119,0)),"AUTRE"))</f>
        <v/>
      </c>
      <c r="AJ400" s="482" t="str">
        <f>IF($AC$400="","",IFERROR(INDEX($BA$74:$BA$119,MATCH($AH$400,$AY$74:$AY$119,0)),1))</f>
        <v/>
      </c>
      <c r="AK400" s="482" t="str">
        <f t="shared" si="114"/>
        <v/>
      </c>
      <c r="AL400" s="477" t="str">
        <f>IF($AC$400="","",IFERROR(INDEX($BB$74:$BB$119,MATCH($AH$400,$AY$74:$AY$119,0)),$AH$400))</f>
        <v/>
      </c>
      <c r="AM400" s="483" t="str">
        <f t="shared" si="115"/>
        <v/>
      </c>
      <c r="AN400" s="484" t="str">
        <f t="shared" si="116"/>
        <v/>
      </c>
      <c r="AO400" s="473" t="str">
        <f t="shared" si="117"/>
        <v/>
      </c>
      <c r="AP400" s="473" t="str">
        <f t="shared" si="118"/>
        <v/>
      </c>
      <c r="AQ400" s="473" t="str">
        <f t="shared" si="119"/>
        <v/>
      </c>
      <c r="AR400" s="473" t="str">
        <f t="shared" si="120"/>
        <v/>
      </c>
      <c r="AS400" s="473" t="str">
        <f t="shared" si="121"/>
        <v/>
      </c>
      <c r="AT400" s="473" t="str">
        <f t="shared" si="122"/>
        <v/>
      </c>
      <c r="AU400" s="473" t="str">
        <f t="shared" si="123"/>
        <v/>
      </c>
      <c r="AZ400" s="28" t="s">
        <v>14</v>
      </c>
      <c r="BA400" s="34" t="s">
        <v>473</v>
      </c>
      <c r="BB400" s="499"/>
      <c r="BC400" s="271"/>
      <c r="BD400" s="279">
        <v>1</v>
      </c>
      <c r="BE400" s="271"/>
      <c r="BF400" s="271"/>
      <c r="BG400" s="271"/>
      <c r="BH400" s="271"/>
      <c r="BI400" s="271"/>
      <c r="BJ400" s="271"/>
      <c r="BK400" s="271"/>
      <c r="BL400" s="271"/>
    </row>
    <row r="401" spans="18:64" ht="21" customHeight="1" x14ac:dyDescent="0.25">
      <c r="R401" s="34" t="s">
        <v>470</v>
      </c>
      <c r="S401" s="451"/>
      <c r="T401" s="497" t="s">
        <v>462</v>
      </c>
      <c r="V401" s="475">
        <v>10</v>
      </c>
      <c r="W401" s="475" t="str">
        <f>IF($AC$401="","",$W$396)</f>
        <v/>
      </c>
      <c r="X401" s="476" t="str">
        <f>IF($AC$401="","",$X$396)</f>
        <v/>
      </c>
      <c r="Y401" s="477" t="str">
        <f>IF($X$401="","",$Y$396)</f>
        <v/>
      </c>
      <c r="Z401" s="477" t="str">
        <f>IF($X$401="","",$Z$396)</f>
        <v/>
      </c>
      <c r="AA401" s="477" t="str">
        <f>IF($AC$401="","",ROW($A$401)-ROW($A$396))</f>
        <v/>
      </c>
      <c r="AB401" s="478"/>
      <c r="AC401" s="34"/>
      <c r="AD401" s="356"/>
      <c r="AE401" s="479"/>
      <c r="AF401" s="475"/>
      <c r="AG401" s="480" t="str">
        <f t="shared" si="112"/>
        <v/>
      </c>
      <c r="AH401" s="481" t="str">
        <f t="shared" si="113"/>
        <v/>
      </c>
      <c r="AI401" s="477" t="str">
        <f>IF($AC$401="","",IFERROR(INDEX($AZ$74:$AZ$119,MATCH($AH$401,$AY$74:$AY$119,0)),"AUTRE"))</f>
        <v/>
      </c>
      <c r="AJ401" s="482" t="str">
        <f>IF($AC$401="","",IFERROR(INDEX($BA$74:$BA$119,MATCH($AH$401,$AY$74:$AY$119,0)),1))</f>
        <v/>
      </c>
      <c r="AK401" s="482" t="str">
        <f t="shared" si="114"/>
        <v/>
      </c>
      <c r="AL401" s="477" t="str">
        <f>IF($AC$401="","",IFERROR(INDEX($BB$74:$BB$119,MATCH($AH$401,$AY$74:$AY$119,0)),$AH$401))</f>
        <v/>
      </c>
      <c r="AM401" s="483" t="str">
        <f t="shared" si="115"/>
        <v/>
      </c>
      <c r="AN401" s="484" t="str">
        <f t="shared" si="116"/>
        <v/>
      </c>
      <c r="AO401" s="473" t="str">
        <f t="shared" si="117"/>
        <v/>
      </c>
      <c r="AP401" s="473" t="str">
        <f t="shared" si="118"/>
        <v/>
      </c>
      <c r="AQ401" s="473" t="str">
        <f t="shared" si="119"/>
        <v/>
      </c>
      <c r="AR401" s="473" t="str">
        <f t="shared" si="120"/>
        <v/>
      </c>
      <c r="AS401" s="473" t="str">
        <f t="shared" si="121"/>
        <v/>
      </c>
      <c r="AT401" s="473" t="str">
        <f t="shared" si="122"/>
        <v/>
      </c>
      <c r="AU401" s="473" t="str">
        <f t="shared" si="123"/>
        <v/>
      </c>
      <c r="AZ401" s="28" t="s">
        <v>15</v>
      </c>
      <c r="BA401" s="34" t="s">
        <v>497</v>
      </c>
      <c r="BB401" s="499"/>
      <c r="BC401" s="271"/>
      <c r="BD401" s="279">
        <v>1</v>
      </c>
      <c r="BE401" s="271"/>
      <c r="BF401" s="271"/>
      <c r="BG401" s="271"/>
      <c r="BH401" s="271"/>
      <c r="BI401" s="271"/>
      <c r="BJ401" s="271"/>
      <c r="BK401" s="271"/>
      <c r="BL401" s="271"/>
    </row>
    <row r="402" spans="18:64" ht="21" customHeight="1" x14ac:dyDescent="0.25">
      <c r="R402" s="34" t="s">
        <v>477</v>
      </c>
      <c r="S402" s="451"/>
      <c r="T402" s="497" t="s">
        <v>463</v>
      </c>
      <c r="V402" s="475">
        <v>10</v>
      </c>
      <c r="W402" s="475" t="str">
        <f>IF($AC$402="","",$W$396)</f>
        <v/>
      </c>
      <c r="X402" s="476" t="str">
        <f>IF($AC$402="","",$X$396)</f>
        <v/>
      </c>
      <c r="Y402" s="477" t="str">
        <f>IF($X$402="","",$Y$396)</f>
        <v/>
      </c>
      <c r="Z402" s="477" t="str">
        <f>IF($X$402="","",$Z$396)</f>
        <v/>
      </c>
      <c r="AA402" s="477" t="str">
        <f>IF($AC$402="","",ROW($A$402)-ROW($A$396))</f>
        <v/>
      </c>
      <c r="AB402" s="478"/>
      <c r="AC402" s="34"/>
      <c r="AD402" s="356"/>
      <c r="AE402" s="479"/>
      <c r="AF402" s="475"/>
      <c r="AG402" s="480" t="str">
        <f t="shared" si="112"/>
        <v/>
      </c>
      <c r="AH402" s="481" t="str">
        <f t="shared" si="113"/>
        <v/>
      </c>
      <c r="AI402" s="477" t="str">
        <f>IF($AC$402="","",IFERROR(INDEX($AZ$74:$AZ$119,MATCH($AH$402,$AY$74:$AY$119,0)),"AUTRE"))</f>
        <v/>
      </c>
      <c r="AJ402" s="482" t="str">
        <f>IF($AC$402="","",IFERROR(INDEX($BA$74:$BA$119,MATCH($AH$402,$AY$74:$AY$119,0)),1))</f>
        <v/>
      </c>
      <c r="AK402" s="482" t="str">
        <f t="shared" si="114"/>
        <v/>
      </c>
      <c r="AL402" s="477" t="str">
        <f>IF($AC$402="","",IFERROR(INDEX($BB$74:$BB$119,MATCH($AH$402,$AY$74:$AY$119,0)),$AH$402))</f>
        <v/>
      </c>
      <c r="AM402" s="483" t="str">
        <f t="shared" si="115"/>
        <v/>
      </c>
      <c r="AN402" s="484" t="str">
        <f t="shared" si="116"/>
        <v/>
      </c>
      <c r="AO402" s="473" t="str">
        <f t="shared" si="117"/>
        <v/>
      </c>
      <c r="AP402" s="473" t="str">
        <f t="shared" si="118"/>
        <v/>
      </c>
      <c r="AQ402" s="473" t="str">
        <f t="shared" si="119"/>
        <v/>
      </c>
      <c r="AR402" s="473" t="str">
        <f t="shared" si="120"/>
        <v/>
      </c>
      <c r="AS402" s="473" t="str">
        <f t="shared" si="121"/>
        <v/>
      </c>
      <c r="AT402" s="473" t="str">
        <f t="shared" si="122"/>
        <v/>
      </c>
      <c r="AU402" s="473" t="str">
        <f t="shared" si="123"/>
        <v/>
      </c>
      <c r="AZ402" s="29" t="s">
        <v>9</v>
      </c>
      <c r="BA402" s="34" t="s">
        <v>470</v>
      </c>
      <c r="BB402" s="499"/>
      <c r="BC402" s="271"/>
      <c r="BD402" s="279">
        <v>1</v>
      </c>
      <c r="BE402" s="271"/>
      <c r="BF402" s="271"/>
      <c r="BG402" s="271"/>
      <c r="BH402" s="271"/>
      <c r="BI402" s="271"/>
      <c r="BJ402" s="271"/>
      <c r="BK402" s="271"/>
      <c r="BL402" s="271"/>
    </row>
    <row r="403" spans="18:64" ht="21" customHeight="1" x14ac:dyDescent="0.25">
      <c r="S403" s="451"/>
      <c r="T403" s="497" t="s">
        <v>8147</v>
      </c>
      <c r="V403" s="475">
        <v>10</v>
      </c>
      <c r="W403" s="475" t="str">
        <f>IF($AC$403="","",$W$396)</f>
        <v/>
      </c>
      <c r="X403" s="476" t="str">
        <f>IF($AC$403="","",$X$396)</f>
        <v/>
      </c>
      <c r="Y403" s="477" t="str">
        <f>IF($X$403="","",$Y$396)</f>
        <v/>
      </c>
      <c r="Z403" s="477" t="str">
        <f>IF($X$403="","",$Z$396)</f>
        <v/>
      </c>
      <c r="AA403" s="477" t="str">
        <f>IF($AC$403="","",ROW($A$403)-ROW($A$396))</f>
        <v/>
      </c>
      <c r="AB403" s="478"/>
      <c r="AC403" s="34"/>
      <c r="AD403" s="356"/>
      <c r="AE403" s="479"/>
      <c r="AF403" s="475"/>
      <c r="AG403" s="480" t="str">
        <f t="shared" si="112"/>
        <v/>
      </c>
      <c r="AH403" s="481" t="str">
        <f t="shared" si="113"/>
        <v/>
      </c>
      <c r="AI403" s="477" t="str">
        <f>IF($AC$403="","",IFERROR(INDEX($AZ$74:$AZ$119,MATCH($AH$403,$AY$74:$AY$119,0)),"AUTRE"))</f>
        <v/>
      </c>
      <c r="AJ403" s="482" t="str">
        <f>IF($AC$403="","",IFERROR(INDEX($BA$74:$BA$119,MATCH($AH$403,$AY$74:$AY$119,0)),1))</f>
        <v/>
      </c>
      <c r="AK403" s="482" t="str">
        <f t="shared" si="114"/>
        <v/>
      </c>
      <c r="AL403" s="477" t="str">
        <f>IF($AC$403="","",IFERROR(INDEX($BB$74:$BB$119,MATCH($AH$403,$AY$74:$AY$119,0)),$AH$403))</f>
        <v/>
      </c>
      <c r="AM403" s="483" t="str">
        <f t="shared" si="115"/>
        <v/>
      </c>
      <c r="AN403" s="484" t="str">
        <f t="shared" si="116"/>
        <v/>
      </c>
      <c r="AO403" s="473" t="str">
        <f t="shared" si="117"/>
        <v/>
      </c>
      <c r="AP403" s="473" t="str">
        <f t="shared" si="118"/>
        <v/>
      </c>
      <c r="AQ403" s="473" t="str">
        <f t="shared" si="119"/>
        <v/>
      </c>
      <c r="AR403" s="473" t="str">
        <f t="shared" si="120"/>
        <v/>
      </c>
      <c r="AS403" s="473" t="str">
        <f t="shared" si="121"/>
        <v/>
      </c>
      <c r="AT403" s="473" t="str">
        <f t="shared" si="122"/>
        <v/>
      </c>
      <c r="AU403" s="473" t="str">
        <f t="shared" si="123"/>
        <v/>
      </c>
      <c r="AZ403" s="30" t="s">
        <v>10</v>
      </c>
      <c r="BA403" s="34" t="s">
        <v>477</v>
      </c>
      <c r="BB403" s="499"/>
      <c r="BC403" s="271"/>
      <c r="BD403" s="279">
        <v>1</v>
      </c>
      <c r="BE403" s="271"/>
      <c r="BF403" s="271"/>
      <c r="BG403" s="271"/>
      <c r="BH403" s="271"/>
      <c r="BI403" s="271"/>
      <c r="BJ403" s="271"/>
      <c r="BK403" s="271"/>
      <c r="BL403" s="271"/>
    </row>
    <row r="404" spans="18:64" ht="21" customHeight="1" x14ac:dyDescent="0.25">
      <c r="R404" s="25" t="s">
        <v>6134</v>
      </c>
      <c r="S404" s="451"/>
      <c r="T404" s="497" t="s">
        <v>465</v>
      </c>
      <c r="V404" s="475">
        <v>10</v>
      </c>
      <c r="W404" s="475" t="str">
        <f>IF($AC$404="","",$W$396)</f>
        <v/>
      </c>
      <c r="X404" s="476" t="str">
        <f>IF($AC$404="","",$X$396)</f>
        <v/>
      </c>
      <c r="Y404" s="477" t="str">
        <f>IF($X$404="","",$Y$396)</f>
        <v/>
      </c>
      <c r="Z404" s="477" t="str">
        <f>IF($X$404="","",$Z$396)</f>
        <v/>
      </c>
      <c r="AA404" s="477" t="str">
        <f>IF($AC$404="","",ROW($A$404)-ROW($A$396))</f>
        <v/>
      </c>
      <c r="AB404" s="478"/>
      <c r="AC404" s="34"/>
      <c r="AD404" s="356"/>
      <c r="AE404" s="479"/>
      <c r="AF404" s="475"/>
      <c r="AG404" s="480" t="str">
        <f t="shared" si="112"/>
        <v/>
      </c>
      <c r="AH404" s="481" t="str">
        <f t="shared" si="113"/>
        <v/>
      </c>
      <c r="AI404" s="477" t="str">
        <f>IF($AC$404="","",IFERROR(INDEX($AZ$74:$AZ$119,MATCH($AH$404,$AY$74:$AY$119,0)),"AUTRE"))</f>
        <v/>
      </c>
      <c r="AJ404" s="482" t="str">
        <f>IF($AC$404="","",IFERROR(INDEX($BA$74:$BA$119,MATCH($AH$404,$AY$74:$AY$119,0)),1))</f>
        <v/>
      </c>
      <c r="AK404" s="482" t="str">
        <f t="shared" si="114"/>
        <v/>
      </c>
      <c r="AL404" s="477" t="str">
        <f>IF($AC$404="","",IFERROR(INDEX($BB$74:$BB$119,MATCH($AH$404,$AY$74:$AY$119,0)),$AH$404))</f>
        <v/>
      </c>
      <c r="AM404" s="483" t="str">
        <f t="shared" si="115"/>
        <v/>
      </c>
      <c r="AN404" s="484" t="str">
        <f t="shared" si="116"/>
        <v/>
      </c>
      <c r="AO404" s="473" t="str">
        <f t="shared" si="117"/>
        <v/>
      </c>
      <c r="AP404" s="473" t="str">
        <f t="shared" si="118"/>
        <v/>
      </c>
      <c r="AQ404" s="473" t="str">
        <f t="shared" si="119"/>
        <v/>
      </c>
      <c r="AR404" s="473" t="str">
        <f t="shared" si="120"/>
        <v/>
      </c>
      <c r="AS404" s="473" t="str">
        <f t="shared" si="121"/>
        <v/>
      </c>
      <c r="AT404" s="473" t="str">
        <f t="shared" si="122"/>
        <v/>
      </c>
      <c r="AU404" s="473" t="str">
        <f t="shared" si="123"/>
        <v/>
      </c>
      <c r="AZ404" s="30" t="s">
        <v>11</v>
      </c>
      <c r="BB404" s="499"/>
      <c r="BC404" s="271"/>
      <c r="BD404" s="279">
        <v>1</v>
      </c>
      <c r="BE404" s="271"/>
      <c r="BF404" s="271"/>
      <c r="BG404" s="271"/>
      <c r="BH404" s="271"/>
      <c r="BI404" s="271"/>
      <c r="BJ404" s="271"/>
      <c r="BK404" s="271"/>
      <c r="BL404" s="271"/>
    </row>
    <row r="405" spans="18:64" ht="21" customHeight="1" x14ac:dyDescent="0.25">
      <c r="R405" s="34" t="s">
        <v>481</v>
      </c>
      <c r="S405" s="451"/>
      <c r="T405" s="497" t="s">
        <v>466</v>
      </c>
      <c r="V405" s="475">
        <v>10</v>
      </c>
      <c r="W405" s="475" t="str">
        <f>IF($AC$405="","",$W$396)</f>
        <v/>
      </c>
      <c r="X405" s="476" t="str">
        <f>IF($AC$405="","",$X$396)</f>
        <v/>
      </c>
      <c r="Y405" s="477" t="str">
        <f>IF($X$405="","",$Y$396)</f>
        <v/>
      </c>
      <c r="Z405" s="477" t="str">
        <f>IF($X$405="","",$Z$396)</f>
        <v/>
      </c>
      <c r="AA405" s="477" t="str">
        <f>IF($AC$405="","",ROW($A$405)-ROW($A$396))</f>
        <v/>
      </c>
      <c r="AB405" s="478"/>
      <c r="AC405" s="34"/>
      <c r="AD405" s="356"/>
      <c r="AE405" s="479"/>
      <c r="AF405" s="475"/>
      <c r="AG405" s="480" t="str">
        <f t="shared" si="112"/>
        <v/>
      </c>
      <c r="AH405" s="481" t="str">
        <f t="shared" si="113"/>
        <v/>
      </c>
      <c r="AI405" s="477" t="str">
        <f>IF($AC$405="","",IFERROR(INDEX($AZ$74:$AZ$119,MATCH($AH$405,$AY$74:$AY$119,0)),"AUTRE"))</f>
        <v/>
      </c>
      <c r="AJ405" s="482" t="str">
        <f>IF($AC$405="","",IFERROR(INDEX($BA$74:$BA$119,MATCH($AH$405,$AY$74:$AY$119,0)),1))</f>
        <v/>
      </c>
      <c r="AK405" s="482" t="str">
        <f t="shared" si="114"/>
        <v/>
      </c>
      <c r="AL405" s="477" t="str">
        <f>IF($AC$405="","",IFERROR(INDEX($BB$74:$BB$119,MATCH($AH$405,$AY$74:$AY$119,0)),$AH$405))</f>
        <v/>
      </c>
      <c r="AM405" s="483" t="str">
        <f t="shared" si="115"/>
        <v/>
      </c>
      <c r="AN405" s="484" t="str">
        <f t="shared" si="116"/>
        <v/>
      </c>
      <c r="AO405" s="473" t="str">
        <f t="shared" si="117"/>
        <v/>
      </c>
      <c r="AP405" s="473" t="str">
        <f t="shared" si="118"/>
        <v/>
      </c>
      <c r="AQ405" s="473" t="str">
        <f t="shared" si="119"/>
        <v/>
      </c>
      <c r="AR405" s="473" t="str">
        <f t="shared" si="120"/>
        <v/>
      </c>
      <c r="AS405" s="473" t="str">
        <f t="shared" si="121"/>
        <v/>
      </c>
      <c r="AT405" s="473" t="str">
        <f t="shared" si="122"/>
        <v/>
      </c>
      <c r="AU405" s="473" t="str">
        <f t="shared" si="123"/>
        <v/>
      </c>
      <c r="AZ405" s="30" t="s">
        <v>12</v>
      </c>
      <c r="BA405" s="25" t="s">
        <v>6134</v>
      </c>
      <c r="BB405" s="499"/>
      <c r="BC405" s="271"/>
      <c r="BD405" s="279">
        <v>1</v>
      </c>
      <c r="BE405" s="271"/>
      <c r="BF405" s="271"/>
      <c r="BG405" s="271"/>
      <c r="BH405" s="271"/>
      <c r="BI405" s="271"/>
      <c r="BJ405" s="271"/>
      <c r="BK405" s="271"/>
      <c r="BL405" s="271"/>
    </row>
    <row r="406" spans="18:64" ht="21" customHeight="1" x14ac:dyDescent="0.25">
      <c r="R406" s="34" t="s">
        <v>475</v>
      </c>
      <c r="S406" s="451"/>
      <c r="T406" s="440" t="s">
        <v>8110</v>
      </c>
      <c r="V406" s="475">
        <v>10</v>
      </c>
      <c r="W406" s="475" t="str">
        <f>IF($AC$406="","",$W$396)</f>
        <v/>
      </c>
      <c r="X406" s="476" t="str">
        <f>IF($AC$406="","",$X$396)</f>
        <v/>
      </c>
      <c r="Y406" s="477" t="str">
        <f>IF($X$406="","",$Y$396)</f>
        <v/>
      </c>
      <c r="Z406" s="477" t="str">
        <f>IF($X$406="","",$Z$396)</f>
        <v/>
      </c>
      <c r="AA406" s="477" t="str">
        <f>IF($AC$406="","",ROW($A$406)-ROW($A$396))</f>
        <v/>
      </c>
      <c r="AB406" s="478"/>
      <c r="AC406" s="34"/>
      <c r="AD406" s="356"/>
      <c r="AE406" s="479"/>
      <c r="AF406" s="475"/>
      <c r="AG406" s="480" t="str">
        <f t="shared" si="112"/>
        <v/>
      </c>
      <c r="AH406" s="481" t="str">
        <f t="shared" si="113"/>
        <v/>
      </c>
      <c r="AI406" s="477" t="str">
        <f>IF($AC$406="","",IFERROR(INDEX($AZ$74:$AZ$119,MATCH($AH$406,$AY$74:$AY$119,0)),"AUTRE"))</f>
        <v/>
      </c>
      <c r="AJ406" s="482" t="str">
        <f>IF($AC$406="","",IFERROR(INDEX($BA$74:$BA$119,MATCH($AH$406,$AY$74:$AY$119,0)),1))</f>
        <v/>
      </c>
      <c r="AK406" s="482" t="str">
        <f t="shared" si="114"/>
        <v/>
      </c>
      <c r="AL406" s="477" t="str">
        <f>IF($AC$406="","",IFERROR(INDEX($BB$74:$BB$119,MATCH($AH$406,$AY$74:$AY$119,0)),$AH$406))</f>
        <v/>
      </c>
      <c r="AM406" s="483" t="str">
        <f t="shared" si="115"/>
        <v/>
      </c>
      <c r="AN406" s="484" t="str">
        <f t="shared" si="116"/>
        <v/>
      </c>
      <c r="AO406" s="473" t="str">
        <f t="shared" si="117"/>
        <v/>
      </c>
      <c r="AP406" s="473" t="str">
        <f t="shared" si="118"/>
        <v/>
      </c>
      <c r="AQ406" s="473" t="str">
        <f t="shared" si="119"/>
        <v/>
      </c>
      <c r="AR406" s="473" t="str">
        <f t="shared" si="120"/>
        <v/>
      </c>
      <c r="AS406" s="473" t="str">
        <f t="shared" si="121"/>
        <v/>
      </c>
      <c r="AT406" s="473" t="str">
        <f t="shared" si="122"/>
        <v/>
      </c>
      <c r="AU406" s="473" t="str">
        <f t="shared" si="123"/>
        <v/>
      </c>
      <c r="AZ406" s="31" t="s">
        <v>16</v>
      </c>
      <c r="BA406" s="34" t="s">
        <v>481</v>
      </c>
      <c r="BB406" s="499"/>
      <c r="BC406" s="271"/>
      <c r="BD406" s="279">
        <v>1</v>
      </c>
      <c r="BE406" s="271"/>
      <c r="BF406" s="271"/>
      <c r="BG406" s="271"/>
      <c r="BH406" s="271"/>
      <c r="BI406" s="271"/>
      <c r="BJ406" s="271"/>
      <c r="BK406" s="271"/>
      <c r="BL406" s="271"/>
    </row>
    <row r="407" spans="18:64" ht="21" customHeight="1" x14ac:dyDescent="0.25">
      <c r="R407" s="34" t="s">
        <v>457</v>
      </c>
      <c r="S407" s="451"/>
      <c r="T407" s="452" t="s">
        <v>8113</v>
      </c>
      <c r="V407" s="475">
        <v>10</v>
      </c>
      <c r="W407" s="475" t="str">
        <f>IF($AC$407="","",$W$396)</f>
        <v/>
      </c>
      <c r="X407" s="476" t="str">
        <f>IF($AC$407="","",$X$396)</f>
        <v/>
      </c>
      <c r="Y407" s="477" t="str">
        <f>IF($X$407="","",$Y$396)</f>
        <v/>
      </c>
      <c r="Z407" s="477" t="str">
        <f>IF($X$407="","",$Z$396)</f>
        <v/>
      </c>
      <c r="AA407" s="477" t="str">
        <f>IF($AC$407="","",ROW($A$407)-ROW($A$396))</f>
        <v/>
      </c>
      <c r="AB407" s="478"/>
      <c r="AC407" s="34"/>
      <c r="AD407" s="356"/>
      <c r="AE407" s="479"/>
      <c r="AF407" s="475"/>
      <c r="AG407" s="480" t="str">
        <f t="shared" si="112"/>
        <v/>
      </c>
      <c r="AH407" s="481" t="str">
        <f t="shared" si="113"/>
        <v/>
      </c>
      <c r="AI407" s="477" t="str">
        <f>IF($AC$407="","",IFERROR(INDEX($AZ$74:$AZ$119,MATCH($AH$407,$AY$74:$AY$119,0)),"AUTRE"))</f>
        <v/>
      </c>
      <c r="AJ407" s="482" t="str">
        <f>IF($AC$407="","",IFERROR(INDEX($BA$74:$BA$119,MATCH($AH$407,$AY$74:$AY$119,0)),1))</f>
        <v/>
      </c>
      <c r="AK407" s="482" t="str">
        <f t="shared" si="114"/>
        <v/>
      </c>
      <c r="AL407" s="477" t="str">
        <f>IF($AC$407="","",IFERROR(INDEX($BB$74:$BB$119,MATCH($AH$407,$AY$74:$AY$119,0)),$AH$407))</f>
        <v/>
      </c>
      <c r="AM407" s="483" t="str">
        <f t="shared" si="115"/>
        <v/>
      </c>
      <c r="AN407" s="484" t="str">
        <f t="shared" si="116"/>
        <v/>
      </c>
      <c r="AO407" s="473" t="str">
        <f t="shared" si="117"/>
        <v/>
      </c>
      <c r="AP407" s="473" t="str">
        <f t="shared" si="118"/>
        <v/>
      </c>
      <c r="AQ407" s="473" t="str">
        <f t="shared" si="119"/>
        <v/>
      </c>
      <c r="AR407" s="473" t="str">
        <f t="shared" si="120"/>
        <v/>
      </c>
      <c r="AS407" s="473" t="str">
        <f t="shared" si="121"/>
        <v/>
      </c>
      <c r="AT407" s="473" t="str">
        <f t="shared" si="122"/>
        <v/>
      </c>
      <c r="AU407" s="473" t="str">
        <f t="shared" si="123"/>
        <v/>
      </c>
      <c r="AZ407" s="31" t="s">
        <v>17</v>
      </c>
      <c r="BA407" s="34" t="s">
        <v>475</v>
      </c>
      <c r="BB407" s="499"/>
      <c r="BC407" s="271"/>
      <c r="BD407" s="279">
        <v>1</v>
      </c>
      <c r="BE407" s="271"/>
      <c r="BF407" s="271"/>
      <c r="BG407" s="271"/>
      <c r="BH407" s="271"/>
      <c r="BI407" s="271"/>
      <c r="BJ407" s="271"/>
      <c r="BK407" s="271"/>
      <c r="BL407" s="271"/>
    </row>
    <row r="408" spans="18:64" ht="21" customHeight="1" x14ac:dyDescent="0.25">
      <c r="R408" s="34" t="s">
        <v>482</v>
      </c>
      <c r="S408" s="451"/>
      <c r="T408" s="14" t="s">
        <v>7</v>
      </c>
      <c r="V408" s="475">
        <v>10</v>
      </c>
      <c r="W408" s="475" t="str">
        <f>IF($AC$408="","",$W$396)</f>
        <v/>
      </c>
      <c r="X408" s="476" t="str">
        <f>IF($AC$408="","",$X$396)</f>
        <v/>
      </c>
      <c r="Y408" s="477" t="str">
        <f>IF($X$408="","",$Y$396)</f>
        <v/>
      </c>
      <c r="Z408" s="477" t="str">
        <f>IF($X$408="","",$Z$396)</f>
        <v/>
      </c>
      <c r="AA408" s="477" t="str">
        <f>IF($AC$408="","",ROW($A$408)-ROW($A$396))</f>
        <v/>
      </c>
      <c r="AB408" s="478"/>
      <c r="AC408" s="34"/>
      <c r="AD408" s="356"/>
      <c r="AE408" s="479"/>
      <c r="AF408" s="475"/>
      <c r="AG408" s="480" t="str">
        <f t="shared" si="112"/>
        <v/>
      </c>
      <c r="AH408" s="481" t="str">
        <f t="shared" si="113"/>
        <v/>
      </c>
      <c r="AI408" s="477" t="str">
        <f>IF($AC$408="","",IFERROR(INDEX($AZ$74:$AZ$119,MATCH($AH$408,$AY$74:$AY$119,0)),"AUTRE"))</f>
        <v/>
      </c>
      <c r="AJ408" s="482" t="str">
        <f>IF($AC$408="","",IFERROR(INDEX($BA$74:$BA$119,MATCH($AH$408,$AY$74:$AY$119,0)),1))</f>
        <v/>
      </c>
      <c r="AK408" s="482" t="str">
        <f t="shared" si="114"/>
        <v/>
      </c>
      <c r="AL408" s="477" t="str">
        <f>IF($AC$408="","",IFERROR(INDEX($BB$74:$BB$119,MATCH($AH$408,$AY$74:$AY$119,0)),$AH$408))</f>
        <v/>
      </c>
      <c r="AM408" s="483" t="str">
        <f t="shared" si="115"/>
        <v/>
      </c>
      <c r="AN408" s="484" t="str">
        <f t="shared" si="116"/>
        <v/>
      </c>
      <c r="AO408" s="473" t="str">
        <f t="shared" si="117"/>
        <v/>
      </c>
      <c r="AP408" s="473" t="str">
        <f t="shared" si="118"/>
        <v/>
      </c>
      <c r="AQ408" s="473" t="str">
        <f t="shared" si="119"/>
        <v/>
      </c>
      <c r="AR408" s="473" t="str">
        <f t="shared" si="120"/>
        <v/>
      </c>
      <c r="AS408" s="473" t="str">
        <f t="shared" si="121"/>
        <v/>
      </c>
      <c r="AT408" s="473" t="str">
        <f t="shared" si="122"/>
        <v/>
      </c>
      <c r="AU408" s="473" t="str">
        <f t="shared" si="123"/>
        <v/>
      </c>
      <c r="AZ408" s="31" t="s">
        <v>18</v>
      </c>
      <c r="BA408" s="34" t="s">
        <v>457</v>
      </c>
      <c r="BB408" s="499"/>
      <c r="BC408" s="271"/>
      <c r="BD408" s="279">
        <v>1</v>
      </c>
      <c r="BE408" s="271"/>
      <c r="BF408" s="271"/>
      <c r="BG408" s="271"/>
      <c r="BH408" s="271"/>
      <c r="BI408" s="271"/>
      <c r="BJ408" s="271"/>
      <c r="BK408" s="271"/>
      <c r="BL408" s="271"/>
    </row>
    <row r="409" spans="18:64" ht="21" customHeight="1" x14ac:dyDescent="0.25">
      <c r="R409" s="34" t="s">
        <v>496</v>
      </c>
      <c r="S409" s="451"/>
      <c r="T409" s="27" t="s">
        <v>8</v>
      </c>
      <c r="V409" s="475">
        <v>10</v>
      </c>
      <c r="W409" s="475" t="str">
        <f>IF($AC$409="","",$W$396)</f>
        <v/>
      </c>
      <c r="X409" s="476" t="str">
        <f>IF($AC$409="","",$X$396)</f>
        <v/>
      </c>
      <c r="Y409" s="477" t="str">
        <f>IF($X$409="","",$Y$396)</f>
        <v/>
      </c>
      <c r="Z409" s="477" t="str">
        <f>IF($X$409="","",$Z$396)</f>
        <v/>
      </c>
      <c r="AA409" s="477" t="str">
        <f>IF($AC$409="","",ROW($A$409)-ROW($A$396))</f>
        <v/>
      </c>
      <c r="AB409" s="478"/>
      <c r="AC409" s="34"/>
      <c r="AD409" s="356"/>
      <c r="AE409" s="479"/>
      <c r="AF409" s="475"/>
      <c r="AG409" s="480" t="str">
        <f t="shared" si="112"/>
        <v/>
      </c>
      <c r="AH409" s="481" t="str">
        <f t="shared" si="113"/>
        <v/>
      </c>
      <c r="AI409" s="477" t="str">
        <f>IF($AC$409="","",IFERROR(INDEX($AZ$74:$AZ$119,MATCH($AH$409,$AY$74:$AY$119,0)),"AUTRE"))</f>
        <v/>
      </c>
      <c r="AJ409" s="482" t="str">
        <f>IF($AC$409="","",IFERROR(INDEX($BA$74:$BA$119,MATCH($AH$409,$AY$74:$AY$119,0)),1))</f>
        <v/>
      </c>
      <c r="AK409" s="482" t="str">
        <f t="shared" si="114"/>
        <v/>
      </c>
      <c r="AL409" s="477" t="str">
        <f>IF($AC$409="","",IFERROR(INDEX($BB$74:$BB$119,MATCH($AH$409,$AY$74:$AY$119,0)),$AH$409))</f>
        <v/>
      </c>
      <c r="AM409" s="483" t="str">
        <f t="shared" si="115"/>
        <v/>
      </c>
      <c r="AN409" s="484" t="str">
        <f t="shared" si="116"/>
        <v/>
      </c>
      <c r="AO409" s="473" t="str">
        <f t="shared" si="117"/>
        <v/>
      </c>
      <c r="AP409" s="473" t="str">
        <f t="shared" si="118"/>
        <v/>
      </c>
      <c r="AQ409" s="473" t="str">
        <f t="shared" si="119"/>
        <v/>
      </c>
      <c r="AR409" s="473" t="str">
        <f t="shared" si="120"/>
        <v/>
      </c>
      <c r="AS409" s="473" t="str">
        <f t="shared" si="121"/>
        <v/>
      </c>
      <c r="AT409" s="473" t="str">
        <f t="shared" si="122"/>
        <v/>
      </c>
      <c r="AU409" s="473" t="str">
        <f t="shared" si="123"/>
        <v/>
      </c>
      <c r="AZ409" s="31" t="s">
        <v>19</v>
      </c>
      <c r="BA409" s="34" t="s">
        <v>482</v>
      </c>
      <c r="BB409" s="499"/>
      <c r="BC409" s="271"/>
      <c r="BD409" s="279">
        <v>1</v>
      </c>
      <c r="BE409" s="271"/>
      <c r="BF409" s="271"/>
      <c r="BG409" s="271"/>
      <c r="BH409" s="271"/>
      <c r="BI409" s="271"/>
      <c r="BJ409" s="271"/>
      <c r="BK409" s="271"/>
      <c r="BL409" s="271"/>
    </row>
    <row r="410" spans="18:64" ht="21" customHeight="1" x14ac:dyDescent="0.25">
      <c r="R410" s="34" t="s">
        <v>483</v>
      </c>
      <c r="S410" s="451"/>
      <c r="T410" s="28" t="s">
        <v>13</v>
      </c>
      <c r="V410" s="475">
        <v>10</v>
      </c>
      <c r="W410" s="475" t="str">
        <f>IF($AC$410="","",$W$396)</f>
        <v/>
      </c>
      <c r="X410" s="476" t="str">
        <f>IF($AC$410="","",$X$396)</f>
        <v/>
      </c>
      <c r="Y410" s="477" t="str">
        <f>IF($X$410="","",$Y$396)</f>
        <v/>
      </c>
      <c r="Z410" s="477" t="str">
        <f>IF($X$410="","",$Z$396)</f>
        <v/>
      </c>
      <c r="AA410" s="477" t="str">
        <f>IF($AC$410="","",ROW($A$410)-ROW($A$396))</f>
        <v/>
      </c>
      <c r="AB410" s="478"/>
      <c r="AC410" s="34"/>
      <c r="AD410" s="356"/>
      <c r="AE410" s="479"/>
      <c r="AF410" s="475"/>
      <c r="AG410" s="480" t="str">
        <f t="shared" si="112"/>
        <v/>
      </c>
      <c r="AH410" s="481" t="str">
        <f t="shared" si="113"/>
        <v/>
      </c>
      <c r="AI410" s="477" t="str">
        <f>IF($AC$410="","",IFERROR(INDEX($AZ$74:$AZ$119,MATCH($AH$410,$AY$74:$AY$119,0)),"AUTRE"))</f>
        <v/>
      </c>
      <c r="AJ410" s="482" t="str">
        <f>IF($AC$410="","",IFERROR(INDEX($BA$74:$BA$119,MATCH($AH$410,$AY$74:$AY$119,0)),1))</f>
        <v/>
      </c>
      <c r="AK410" s="482" t="str">
        <f t="shared" si="114"/>
        <v/>
      </c>
      <c r="AL410" s="477" t="str">
        <f>IF($AC$410="","",IFERROR(INDEX($BB$74:$BB$119,MATCH($AH$410,$AY$74:$AY$119,0)),$AH$410))</f>
        <v/>
      </c>
      <c r="AM410" s="483" t="str">
        <f t="shared" si="115"/>
        <v/>
      </c>
      <c r="AN410" s="484" t="str">
        <f t="shared" si="116"/>
        <v/>
      </c>
      <c r="AO410" s="473" t="str">
        <f t="shared" si="117"/>
        <v/>
      </c>
      <c r="AP410" s="473" t="str">
        <f t="shared" si="118"/>
        <v/>
      </c>
      <c r="AQ410" s="473" t="str">
        <f t="shared" si="119"/>
        <v/>
      </c>
      <c r="AR410" s="473" t="str">
        <f t="shared" si="120"/>
        <v/>
      </c>
      <c r="AS410" s="473" t="str">
        <f t="shared" si="121"/>
        <v/>
      </c>
      <c r="AT410" s="473" t="str">
        <f t="shared" si="122"/>
        <v/>
      </c>
      <c r="AU410" s="473" t="str">
        <f t="shared" si="123"/>
        <v/>
      </c>
      <c r="AZ410" s="31" t="s">
        <v>211</v>
      </c>
      <c r="BA410" s="34" t="s">
        <v>496</v>
      </c>
      <c r="BB410" s="499"/>
      <c r="BC410" s="271"/>
      <c r="BD410" s="279">
        <v>1</v>
      </c>
      <c r="BE410" s="271"/>
      <c r="BF410" s="271"/>
      <c r="BG410" s="271"/>
      <c r="BH410" s="271"/>
      <c r="BI410" s="271"/>
      <c r="BJ410" s="271"/>
      <c r="BK410" s="271"/>
      <c r="BL410" s="271"/>
    </row>
    <row r="411" spans="18:64" ht="21" customHeight="1" x14ac:dyDescent="0.25">
      <c r="R411" s="34" t="s">
        <v>493</v>
      </c>
      <c r="S411" s="451"/>
      <c r="T411" s="28" t="s">
        <v>14</v>
      </c>
      <c r="V411" s="475">
        <v>10</v>
      </c>
      <c r="W411" s="475" t="str">
        <f>IF($AC$411="","",$W$396)</f>
        <v/>
      </c>
      <c r="X411" s="476" t="str">
        <f>IF($AC$411="","",$X$396)</f>
        <v/>
      </c>
      <c r="Y411" s="477" t="str">
        <f>IF($X$411="","",$Y$396)</f>
        <v/>
      </c>
      <c r="Z411" s="477" t="str">
        <f>IF($X$411="","",$Z$396)</f>
        <v/>
      </c>
      <c r="AA411" s="477" t="str">
        <f>IF($AC$411="","",ROW($A$411)-ROW($A$396))</f>
        <v/>
      </c>
      <c r="AB411" s="478"/>
      <c r="AC411" s="34"/>
      <c r="AD411" s="356"/>
      <c r="AE411" s="479"/>
      <c r="AF411" s="475"/>
      <c r="AG411" s="480" t="str">
        <f t="shared" si="112"/>
        <v/>
      </c>
      <c r="AH411" s="481" t="str">
        <f t="shared" si="113"/>
        <v/>
      </c>
      <c r="AI411" s="477" t="str">
        <f>IF($AC$411="","",IFERROR(INDEX($AZ$74:$AZ$119,MATCH($AH$411,$AY$74:$AY$119,0)),"AUTRE"))</f>
        <v/>
      </c>
      <c r="AJ411" s="482" t="str">
        <f>IF($AC$411="","",IFERROR(INDEX($BA$74:$BA$119,MATCH($AH$411,$AY$74:$AY$119,0)),1))</f>
        <v/>
      </c>
      <c r="AK411" s="482" t="str">
        <f t="shared" si="114"/>
        <v/>
      </c>
      <c r="AL411" s="477" t="str">
        <f>IF($AC$411="","",IFERROR(INDEX($BB$74:$BB$119,MATCH($AH$411,$AY$74:$AY$119,0)),$AH$411))</f>
        <v/>
      </c>
      <c r="AM411" s="483" t="str">
        <f t="shared" si="115"/>
        <v/>
      </c>
      <c r="AN411" s="484" t="str">
        <f t="shared" si="116"/>
        <v/>
      </c>
      <c r="AO411" s="473" t="str">
        <f t="shared" si="117"/>
        <v/>
      </c>
      <c r="AP411" s="473" t="str">
        <f t="shared" si="118"/>
        <v/>
      </c>
      <c r="AQ411" s="473" t="str">
        <f t="shared" si="119"/>
        <v/>
      </c>
      <c r="AR411" s="473" t="str">
        <f t="shared" si="120"/>
        <v/>
      </c>
      <c r="AS411" s="473" t="str">
        <f t="shared" si="121"/>
        <v/>
      </c>
      <c r="AT411" s="473" t="str">
        <f t="shared" si="122"/>
        <v/>
      </c>
      <c r="AU411" s="473" t="str">
        <f t="shared" si="123"/>
        <v/>
      </c>
      <c r="AZ411" s="31" t="s">
        <v>20</v>
      </c>
      <c r="BA411" s="34" t="s">
        <v>483</v>
      </c>
      <c r="BB411" s="499"/>
      <c r="BC411" s="271"/>
      <c r="BD411" s="279">
        <v>1</v>
      </c>
      <c r="BE411" s="271"/>
      <c r="BF411" s="271"/>
      <c r="BG411" s="271"/>
      <c r="BH411" s="271"/>
      <c r="BI411" s="271"/>
      <c r="BJ411" s="271"/>
      <c r="BK411" s="271"/>
      <c r="BL411" s="271"/>
    </row>
    <row r="412" spans="18:64" ht="21" customHeight="1" x14ac:dyDescent="0.25">
      <c r="R412" s="34" t="s">
        <v>494</v>
      </c>
      <c r="S412" s="451"/>
      <c r="T412" s="28" t="s">
        <v>15</v>
      </c>
      <c r="V412" s="475">
        <v>10</v>
      </c>
      <c r="W412" s="475" t="str">
        <f>IF($AC$412="","",$W$396)</f>
        <v/>
      </c>
      <c r="X412" s="476" t="str">
        <f>IF($AC$412="","",$X$396)</f>
        <v/>
      </c>
      <c r="Y412" s="477" t="str">
        <f>IF($X$412="","",$Y$396)</f>
        <v/>
      </c>
      <c r="Z412" s="477" t="str">
        <f>IF($X$412="","",$Z$396)</f>
        <v/>
      </c>
      <c r="AA412" s="477" t="str">
        <f>IF($AC$412="","",ROW($A$412)-ROW($A$396))</f>
        <v/>
      </c>
      <c r="AB412" s="478"/>
      <c r="AC412" s="34"/>
      <c r="AD412" s="356"/>
      <c r="AE412" s="479"/>
      <c r="AF412" s="475"/>
      <c r="AG412" s="480" t="str">
        <f t="shared" si="112"/>
        <v/>
      </c>
      <c r="AH412" s="481" t="str">
        <f t="shared" si="113"/>
        <v/>
      </c>
      <c r="AI412" s="477" t="str">
        <f>IF($AC$412="","",IFERROR(INDEX($AZ$74:$AZ$119,MATCH($AH$412,$AY$74:$AY$119,0)),"AUTRE"))</f>
        <v/>
      </c>
      <c r="AJ412" s="482" t="str">
        <f>IF($AC$412="","",IFERROR(INDEX($BA$74:$BA$119,MATCH($AH$412,$AY$74:$AY$119,0)),1))</f>
        <v/>
      </c>
      <c r="AK412" s="482" t="str">
        <f t="shared" si="114"/>
        <v/>
      </c>
      <c r="AL412" s="477" t="str">
        <f>IF($AC$412="","",IFERROR(INDEX($BB$74:$BB$119,MATCH($AH$412,$AY$74:$AY$119,0)),$AH$412))</f>
        <v/>
      </c>
      <c r="AM412" s="483" t="str">
        <f t="shared" si="115"/>
        <v/>
      </c>
      <c r="AN412" s="484" t="str">
        <f t="shared" si="116"/>
        <v/>
      </c>
      <c r="AO412" s="473" t="str">
        <f t="shared" si="117"/>
        <v/>
      </c>
      <c r="AP412" s="473" t="str">
        <f t="shared" si="118"/>
        <v/>
      </c>
      <c r="AQ412" s="473" t="str">
        <f t="shared" si="119"/>
        <v/>
      </c>
      <c r="AR412" s="473" t="str">
        <f t="shared" si="120"/>
        <v/>
      </c>
      <c r="AS412" s="473" t="str">
        <f t="shared" si="121"/>
        <v/>
      </c>
      <c r="AT412" s="473" t="str">
        <f t="shared" si="122"/>
        <v/>
      </c>
      <c r="AU412" s="473" t="str">
        <f t="shared" si="123"/>
        <v/>
      </c>
      <c r="AZ412" s="31" t="s">
        <v>304</v>
      </c>
      <c r="BA412" s="34" t="s">
        <v>493</v>
      </c>
      <c r="BB412" s="499"/>
      <c r="BC412" s="271"/>
      <c r="BD412" s="279">
        <v>1</v>
      </c>
      <c r="BE412" s="271"/>
      <c r="BF412" s="271"/>
      <c r="BG412" s="271"/>
      <c r="BH412" s="271"/>
      <c r="BI412" s="271"/>
      <c r="BJ412" s="271"/>
      <c r="BK412" s="271"/>
      <c r="BL412" s="271"/>
    </row>
    <row r="413" spans="18:64" ht="21" customHeight="1" x14ac:dyDescent="0.25">
      <c r="S413" s="451"/>
      <c r="T413" s="28" t="s">
        <v>21</v>
      </c>
      <c r="V413" s="475">
        <v>10</v>
      </c>
      <c r="W413" s="475" t="str">
        <f>IF($AC$413="","",$W$396)</f>
        <v/>
      </c>
      <c r="X413" s="476" t="str">
        <f>IF($AC$413="","",$X$396)</f>
        <v/>
      </c>
      <c r="Y413" s="477" t="str">
        <f>IF($X$413="","",$Y$396)</f>
        <v/>
      </c>
      <c r="Z413" s="477" t="str">
        <f>IF($X$413="","",$Z$396)</f>
        <v/>
      </c>
      <c r="AA413" s="477" t="str">
        <f>IF($AC$413="","",ROW($A$413)-ROW($A$396))</f>
        <v/>
      </c>
      <c r="AB413" s="478"/>
      <c r="AC413" s="34"/>
      <c r="AD413" s="356"/>
      <c r="AE413" s="479"/>
      <c r="AF413" s="475"/>
      <c r="AG413" s="480" t="str">
        <f t="shared" si="112"/>
        <v/>
      </c>
      <c r="AH413" s="481" t="str">
        <f t="shared" si="113"/>
        <v/>
      </c>
      <c r="AI413" s="477" t="str">
        <f>IF($AC$413="","",IFERROR(INDEX($AZ$74:$AZ$119,MATCH($AH$413,$AY$74:$AY$119,0)),"AUTRE"))</f>
        <v/>
      </c>
      <c r="AJ413" s="482" t="str">
        <f>IF($AC$413="","",IFERROR(INDEX($BA$74:$BA$119,MATCH($AH$413,$AY$74:$AY$119,0)),1))</f>
        <v/>
      </c>
      <c r="AK413" s="482" t="str">
        <f t="shared" si="114"/>
        <v/>
      </c>
      <c r="AL413" s="477" t="str">
        <f>IF($AC$413="","",IFERROR(INDEX($BB$74:$BB$119,MATCH($AH$413,$AY$74:$AY$119,0)),$AH$413))</f>
        <v/>
      </c>
      <c r="AM413" s="483" t="str">
        <f t="shared" si="115"/>
        <v/>
      </c>
      <c r="AN413" s="484" t="str">
        <f t="shared" si="116"/>
        <v/>
      </c>
      <c r="AO413" s="473" t="str">
        <f t="shared" si="117"/>
        <v/>
      </c>
      <c r="AP413" s="473" t="str">
        <f t="shared" si="118"/>
        <v/>
      </c>
      <c r="AQ413" s="473" t="str">
        <f t="shared" si="119"/>
        <v/>
      </c>
      <c r="AR413" s="473" t="str">
        <f t="shared" si="120"/>
        <v/>
      </c>
      <c r="AS413" s="473" t="str">
        <f t="shared" si="121"/>
        <v/>
      </c>
      <c r="AT413" s="473" t="str">
        <f t="shared" si="122"/>
        <v/>
      </c>
      <c r="AU413" s="473" t="str">
        <f t="shared" si="123"/>
        <v/>
      </c>
      <c r="AZ413" s="31" t="s">
        <v>352</v>
      </c>
      <c r="BA413" s="34" t="s">
        <v>494</v>
      </c>
      <c r="BB413" s="499"/>
      <c r="BC413" s="271"/>
      <c r="BD413" s="279">
        <v>1</v>
      </c>
      <c r="BE413" s="271"/>
      <c r="BF413" s="271"/>
      <c r="BG413" s="271"/>
      <c r="BH413" s="271"/>
      <c r="BI413" s="271"/>
      <c r="BJ413" s="271"/>
      <c r="BK413" s="271"/>
      <c r="BL413" s="271"/>
    </row>
    <row r="414" spans="18:64" ht="21" customHeight="1" x14ac:dyDescent="0.25">
      <c r="R414" s="25" t="s">
        <v>6115</v>
      </c>
      <c r="S414" s="451"/>
      <c r="T414" s="28" t="s">
        <v>22</v>
      </c>
      <c r="V414" s="475">
        <v>10</v>
      </c>
      <c r="W414" s="475" t="str">
        <f>IF($AC$414="","",$W$396)</f>
        <v/>
      </c>
      <c r="X414" s="476" t="str">
        <f>IF($AC$414="","",$X$396)</f>
        <v/>
      </c>
      <c r="Y414" s="477" t="str">
        <f>IF($X$414="","",$Y$396)</f>
        <v/>
      </c>
      <c r="Z414" s="477" t="str">
        <f>IF($X$414="","",$Z$396)</f>
        <v/>
      </c>
      <c r="AA414" s="477" t="str">
        <f>IF($AC$414="","",ROW($A$414)-ROW($A$396))</f>
        <v/>
      </c>
      <c r="AB414" s="478"/>
      <c r="AC414" s="34"/>
      <c r="AD414" s="356"/>
      <c r="AE414" s="479"/>
      <c r="AF414" s="475"/>
      <c r="AG414" s="480" t="str">
        <f t="shared" si="112"/>
        <v/>
      </c>
      <c r="AH414" s="481" t="str">
        <f t="shared" si="113"/>
        <v/>
      </c>
      <c r="AI414" s="477" t="str">
        <f>IF($AC$414="","",IFERROR(INDEX($AZ$74:$AZ$119,MATCH($AH$414,$AY$74:$AY$119,0)),"AUTRE"))</f>
        <v/>
      </c>
      <c r="AJ414" s="482" t="str">
        <f>IF($AC$414="","",IFERROR(INDEX($BA$74:$BA$119,MATCH($AH$414,$AY$74:$AY$119,0)),1))</f>
        <v/>
      </c>
      <c r="AK414" s="482" t="str">
        <f t="shared" si="114"/>
        <v/>
      </c>
      <c r="AL414" s="477" t="str">
        <f>IF($AC$414="","",IFERROR(INDEX($BB$74:$BB$119,MATCH($AH$414,$AY$74:$AY$119,0)),$AH$414))</f>
        <v/>
      </c>
      <c r="AM414" s="483" t="str">
        <f t="shared" si="115"/>
        <v/>
      </c>
      <c r="AN414" s="484" t="str">
        <f t="shared" si="116"/>
        <v/>
      </c>
      <c r="AO414" s="473" t="str">
        <f t="shared" si="117"/>
        <v/>
      </c>
      <c r="AP414" s="473" t="str">
        <f t="shared" si="118"/>
        <v/>
      </c>
      <c r="AQ414" s="473" t="str">
        <f t="shared" si="119"/>
        <v/>
      </c>
      <c r="AR414" s="473" t="str">
        <f t="shared" si="120"/>
        <v/>
      </c>
      <c r="AS414" s="473" t="str">
        <f t="shared" si="121"/>
        <v/>
      </c>
      <c r="AT414" s="473" t="str">
        <f t="shared" si="122"/>
        <v/>
      </c>
      <c r="AU414" s="473" t="str">
        <f t="shared" si="123"/>
        <v/>
      </c>
      <c r="AZ414" s="31" t="s">
        <v>27</v>
      </c>
      <c r="BB414" s="499"/>
      <c r="BC414" s="271"/>
      <c r="BD414" s="279">
        <v>1</v>
      </c>
      <c r="BE414" s="271"/>
      <c r="BF414" s="271"/>
      <c r="BG414" s="271"/>
      <c r="BH414" s="271"/>
      <c r="BI414" s="271"/>
      <c r="BJ414" s="271"/>
      <c r="BK414" s="271"/>
      <c r="BL414" s="271"/>
    </row>
    <row r="415" spans="18:64" ht="21" customHeight="1" x14ac:dyDescent="0.25">
      <c r="R415" s="34" t="s">
        <v>471</v>
      </c>
      <c r="S415" s="451"/>
      <c r="T415" s="28" t="s">
        <v>23</v>
      </c>
      <c r="V415" s="475">
        <v>10</v>
      </c>
      <c r="W415" s="475" t="str">
        <f>IF($AC$415="","",$W$396)</f>
        <v/>
      </c>
      <c r="X415" s="476" t="str">
        <f>IF($AC$415="","",$X$396)</f>
        <v/>
      </c>
      <c r="Y415" s="477" t="str">
        <f>IF($X$415="","",$Y$396)</f>
        <v/>
      </c>
      <c r="Z415" s="477" t="str">
        <f>IF($X$415="","",$Z$396)</f>
        <v/>
      </c>
      <c r="AA415" s="477" t="str">
        <f>IF($AC$415="","",ROW($A$415)-ROW($A$396))</f>
        <v/>
      </c>
      <c r="AB415" s="478"/>
      <c r="AC415" s="34"/>
      <c r="AD415" s="356"/>
      <c r="AE415" s="479"/>
      <c r="AF415" s="475"/>
      <c r="AG415" s="480" t="str">
        <f t="shared" si="112"/>
        <v/>
      </c>
      <c r="AH415" s="481" t="str">
        <f t="shared" si="113"/>
        <v/>
      </c>
      <c r="AI415" s="477" t="str">
        <f>IF($AC$415="","",IFERROR(INDEX($AZ$74:$AZ$119,MATCH($AH$415,$AY$74:$AY$119,0)),"AUTRE"))</f>
        <v/>
      </c>
      <c r="AJ415" s="482" t="str">
        <f>IF($AC$415="","",IFERROR(INDEX($BA$74:$BA$119,MATCH($AH$415,$AY$74:$AY$119,0)),1))</f>
        <v/>
      </c>
      <c r="AK415" s="482" t="str">
        <f t="shared" si="114"/>
        <v/>
      </c>
      <c r="AL415" s="477" t="str">
        <f>IF($AC$415="","",IFERROR(INDEX($BB$74:$BB$119,MATCH($AH$415,$AY$74:$AY$119,0)),$AH$415))</f>
        <v/>
      </c>
      <c r="AM415" s="483" t="str">
        <f t="shared" si="115"/>
        <v/>
      </c>
      <c r="AN415" s="484" t="str">
        <f t="shared" si="116"/>
        <v/>
      </c>
      <c r="AO415" s="473" t="str">
        <f t="shared" si="117"/>
        <v/>
      </c>
      <c r="AP415" s="473" t="str">
        <f t="shared" si="118"/>
        <v/>
      </c>
      <c r="AQ415" s="473" t="str">
        <f t="shared" si="119"/>
        <v/>
      </c>
      <c r="AR415" s="473" t="str">
        <f t="shared" si="120"/>
        <v/>
      </c>
      <c r="AS415" s="473" t="str">
        <f t="shared" si="121"/>
        <v/>
      </c>
      <c r="AT415" s="473" t="str">
        <f t="shared" si="122"/>
        <v/>
      </c>
      <c r="AU415" s="473" t="str">
        <f t="shared" si="123"/>
        <v/>
      </c>
      <c r="AZ415" s="31" t="s">
        <v>28</v>
      </c>
      <c r="BA415" s="25" t="s">
        <v>6115</v>
      </c>
      <c r="BB415" s="499"/>
      <c r="BC415" s="271"/>
      <c r="BD415" s="279">
        <v>1</v>
      </c>
      <c r="BE415" s="271"/>
      <c r="BF415" s="271"/>
      <c r="BG415" s="271"/>
      <c r="BH415" s="271"/>
      <c r="BI415" s="271"/>
      <c r="BJ415" s="271"/>
      <c r="BK415" s="271"/>
      <c r="BL415" s="271"/>
    </row>
    <row r="416" spans="18:64" ht="21" customHeight="1" x14ac:dyDescent="0.25">
      <c r="R416" s="34" t="s">
        <v>472</v>
      </c>
      <c r="S416" s="451"/>
      <c r="T416" s="28" t="s">
        <v>24</v>
      </c>
      <c r="V416" s="475">
        <v>10</v>
      </c>
      <c r="W416" s="475" t="str">
        <f>IF($AC$416="","",$W$396)</f>
        <v/>
      </c>
      <c r="X416" s="476" t="str">
        <f>IF($AC$416="","",$X$396)</f>
        <v/>
      </c>
      <c r="Y416" s="477" t="str">
        <f>IF($X$416="","",$Y$396)</f>
        <v/>
      </c>
      <c r="Z416" s="477" t="str">
        <f>IF($X$416="","",$Z$396)</f>
        <v/>
      </c>
      <c r="AA416" s="477" t="str">
        <f>IF($AC$416="","",ROW($A$416)-ROW($A$396))</f>
        <v/>
      </c>
      <c r="AB416" s="478"/>
      <c r="AC416" s="34"/>
      <c r="AD416" s="356"/>
      <c r="AE416" s="479"/>
      <c r="AF416" s="475"/>
      <c r="AG416" s="480" t="str">
        <f t="shared" si="112"/>
        <v/>
      </c>
      <c r="AH416" s="481" t="str">
        <f t="shared" si="113"/>
        <v/>
      </c>
      <c r="AI416" s="477" t="str">
        <f>IF($AC$416="","",IFERROR(INDEX($AZ$74:$AZ$119,MATCH($AH$416,$AY$74:$AY$119,0)),"AUTRE"))</f>
        <v/>
      </c>
      <c r="AJ416" s="482" t="str">
        <f>IF($AC$416="","",IFERROR(INDEX($BA$74:$BA$119,MATCH($AH$416,$AY$74:$AY$119,0)),1))</f>
        <v/>
      </c>
      <c r="AK416" s="482" t="str">
        <f t="shared" si="114"/>
        <v/>
      </c>
      <c r="AL416" s="477" t="str">
        <f>IF($AC$416="","",IFERROR(INDEX($BB$74:$BB$119,MATCH($AH$416,$AY$74:$AY$119,0)),$AH$416))</f>
        <v/>
      </c>
      <c r="AM416" s="483" t="str">
        <f t="shared" si="115"/>
        <v/>
      </c>
      <c r="AN416" s="484" t="str">
        <f t="shared" si="116"/>
        <v/>
      </c>
      <c r="AO416" s="473" t="str">
        <f t="shared" si="117"/>
        <v/>
      </c>
      <c r="AP416" s="473" t="str">
        <f t="shared" si="118"/>
        <v/>
      </c>
      <c r="AQ416" s="473" t="str">
        <f t="shared" si="119"/>
        <v/>
      </c>
      <c r="AR416" s="473" t="str">
        <f t="shared" si="120"/>
        <v/>
      </c>
      <c r="AS416" s="473" t="str">
        <f t="shared" si="121"/>
        <v/>
      </c>
      <c r="AT416" s="473" t="str">
        <f t="shared" si="122"/>
        <v/>
      </c>
      <c r="AU416" s="473" t="str">
        <f t="shared" si="123"/>
        <v/>
      </c>
      <c r="AZ416" s="31" t="s">
        <v>29</v>
      </c>
      <c r="BA416" s="34" t="s">
        <v>471</v>
      </c>
      <c r="BB416" s="499"/>
      <c r="BC416" s="271"/>
      <c r="BD416" s="279">
        <v>1</v>
      </c>
      <c r="BE416" s="271"/>
      <c r="BF416" s="271"/>
      <c r="BG416" s="271"/>
      <c r="BH416" s="271"/>
      <c r="BI416" s="271"/>
      <c r="BJ416" s="271"/>
      <c r="BK416" s="271"/>
      <c r="BL416" s="271"/>
    </row>
    <row r="417" spans="1:64" ht="21" customHeight="1" x14ac:dyDescent="0.25">
      <c r="R417" s="34" t="s">
        <v>6112</v>
      </c>
      <c r="S417" s="451"/>
      <c r="T417" s="29" t="s">
        <v>9</v>
      </c>
      <c r="V417" s="475">
        <v>10</v>
      </c>
      <c r="W417" s="475" t="str">
        <f>IF($AC$417="","",$W$396)</f>
        <v/>
      </c>
      <c r="X417" s="476" t="str">
        <f>IF($AC$417="","",$X$396)</f>
        <v/>
      </c>
      <c r="Y417" s="477" t="str">
        <f>IF($X$417="","",$Y$396)</f>
        <v/>
      </c>
      <c r="Z417" s="477" t="str">
        <f>IF($X$417="","",$Z$396)</f>
        <v/>
      </c>
      <c r="AA417" s="477" t="str">
        <f>IF($AC$417="","",ROW($A$417)-ROW($A$396))</f>
        <v/>
      </c>
      <c r="AB417" s="478"/>
      <c r="AC417" s="34"/>
      <c r="AD417" s="356"/>
      <c r="AE417" s="479"/>
      <c r="AF417" s="475"/>
      <c r="AG417" s="480" t="str">
        <f t="shared" si="112"/>
        <v/>
      </c>
      <c r="AH417" s="481" t="str">
        <f t="shared" si="113"/>
        <v/>
      </c>
      <c r="AI417" s="477" t="str">
        <f>IF($AC$417="","",IFERROR(INDEX($AZ$74:$AZ$119,MATCH($AH$417,$AY$74:$AY$119,0)),"AUTRE"))</f>
        <v/>
      </c>
      <c r="AJ417" s="482" t="str">
        <f>IF($AC$417="","",IFERROR(INDEX($BA$74:$BA$119,MATCH($AH$417,$AY$74:$AY$119,0)),1))</f>
        <v/>
      </c>
      <c r="AK417" s="482" t="str">
        <f t="shared" si="114"/>
        <v/>
      </c>
      <c r="AL417" s="477" t="str">
        <f>IF($AC$417="","",IFERROR(INDEX($BB$74:$BB$119,MATCH($AH$417,$AY$74:$AY$119,0)),$AH$417))</f>
        <v/>
      </c>
      <c r="AM417" s="483" t="str">
        <f t="shared" si="115"/>
        <v/>
      </c>
      <c r="AN417" s="484" t="str">
        <f t="shared" si="116"/>
        <v/>
      </c>
      <c r="AO417" s="473" t="str">
        <f t="shared" si="117"/>
        <v/>
      </c>
      <c r="AP417" s="473" t="str">
        <f t="shared" si="118"/>
        <v/>
      </c>
      <c r="AQ417" s="473" t="str">
        <f t="shared" si="119"/>
        <v/>
      </c>
      <c r="AR417" s="473" t="str">
        <f t="shared" si="120"/>
        <v/>
      </c>
      <c r="AS417" s="473" t="str">
        <f t="shared" si="121"/>
        <v/>
      </c>
      <c r="AT417" s="473" t="str">
        <f t="shared" si="122"/>
        <v/>
      </c>
      <c r="AU417" s="473" t="str">
        <f t="shared" si="123"/>
        <v/>
      </c>
      <c r="AZ417" s="31" t="s">
        <v>30</v>
      </c>
      <c r="BA417" s="34" t="s">
        <v>472</v>
      </c>
      <c r="BB417" s="499"/>
      <c r="BC417" s="271"/>
      <c r="BD417" s="279">
        <v>1</v>
      </c>
      <c r="BE417" s="271"/>
      <c r="BF417" s="271"/>
      <c r="BG417" s="271"/>
      <c r="BH417" s="271"/>
      <c r="BI417" s="271"/>
      <c r="BJ417" s="271"/>
      <c r="BK417" s="271"/>
      <c r="BL417" s="271"/>
    </row>
    <row r="418" spans="1:64" ht="21" customHeight="1" x14ac:dyDescent="0.25">
      <c r="R418" s="25" t="s">
        <v>6116</v>
      </c>
      <c r="S418" s="451"/>
      <c r="T418" s="30" t="s">
        <v>10</v>
      </c>
      <c r="V418" s="475">
        <v>10</v>
      </c>
      <c r="W418" s="475" t="str">
        <f>IF($AC$418="","",$W$396)</f>
        <v/>
      </c>
      <c r="X418" s="476" t="str">
        <f>IF($AC$418="","",$X$396)</f>
        <v/>
      </c>
      <c r="Y418" s="477" t="str">
        <f>IF($X$418="","",$Y$396)</f>
        <v/>
      </c>
      <c r="Z418" s="477" t="str">
        <f>IF($X$418="","",$Z$396)</f>
        <v/>
      </c>
      <c r="AA418" s="477" t="str">
        <f>IF($AC$418="","",ROW($A$418)-ROW($A$396))</f>
        <v/>
      </c>
      <c r="AB418" s="478"/>
      <c r="AC418" s="34"/>
      <c r="AD418" s="356"/>
      <c r="AE418" s="479"/>
      <c r="AF418" s="475"/>
      <c r="AG418" s="480" t="str">
        <f t="shared" si="112"/>
        <v/>
      </c>
      <c r="AH418" s="481" t="str">
        <f t="shared" si="113"/>
        <v/>
      </c>
      <c r="AI418" s="477" t="str">
        <f>IF($AC$418="","",IFERROR(INDEX($AZ$74:$AZ$119,MATCH($AH$418,$AY$74:$AY$119,0)),"AUTRE"))</f>
        <v/>
      </c>
      <c r="AJ418" s="482" t="str">
        <f>IF($AC$418="","",IFERROR(INDEX($BA$74:$BA$119,MATCH($AH$418,$AY$74:$AY$119,0)),1))</f>
        <v/>
      </c>
      <c r="AK418" s="482" t="str">
        <f t="shared" si="114"/>
        <v/>
      </c>
      <c r="AL418" s="477" t="str">
        <f>IF($AC$418="","",IFERROR(INDEX($BB$74:$BB$119,MATCH($AH$418,$AY$74:$AY$119,0)),$AH$418))</f>
        <v/>
      </c>
      <c r="AM418" s="483" t="str">
        <f t="shared" si="115"/>
        <v/>
      </c>
      <c r="AN418" s="484" t="str">
        <f t="shared" si="116"/>
        <v/>
      </c>
      <c r="AO418" s="473" t="str">
        <f t="shared" si="117"/>
        <v/>
      </c>
      <c r="AP418" s="473" t="str">
        <f t="shared" si="118"/>
        <v/>
      </c>
      <c r="AQ418" s="473" t="str">
        <f t="shared" si="119"/>
        <v/>
      </c>
      <c r="AR418" s="473" t="str">
        <f t="shared" si="120"/>
        <v/>
      </c>
      <c r="AS418" s="473" t="str">
        <f t="shared" si="121"/>
        <v/>
      </c>
      <c r="AT418" s="473" t="str">
        <f t="shared" si="122"/>
        <v/>
      </c>
      <c r="AU418" s="473" t="str">
        <f t="shared" si="123"/>
        <v/>
      </c>
      <c r="AZ418" s="32" t="s">
        <v>33</v>
      </c>
      <c r="BA418" s="34" t="s">
        <v>6112</v>
      </c>
      <c r="BB418" s="499"/>
      <c r="BC418" s="271"/>
      <c r="BD418" s="279">
        <v>1</v>
      </c>
      <c r="BE418" s="271"/>
      <c r="BF418" s="271"/>
      <c r="BG418" s="271"/>
      <c r="BH418" s="271"/>
      <c r="BI418" s="271"/>
      <c r="BJ418" s="271"/>
      <c r="BK418" s="271"/>
      <c r="BL418" s="271"/>
    </row>
    <row r="419" spans="1:64" ht="21" customHeight="1" x14ac:dyDescent="0.25">
      <c r="R419" s="34" t="s">
        <v>6117</v>
      </c>
      <c r="S419" s="451"/>
      <c r="T419" s="30" t="s">
        <v>11</v>
      </c>
      <c r="V419" s="475">
        <v>10</v>
      </c>
      <c r="W419" s="475" t="str">
        <f>IF($AC$419="","",$W$396)</f>
        <v/>
      </c>
      <c r="X419" s="476" t="str">
        <f>IF($AC$419="","",$X$396)</f>
        <v/>
      </c>
      <c r="Y419" s="477" t="str">
        <f>IF($X$419="","",$Y$396)</f>
        <v/>
      </c>
      <c r="Z419" s="477" t="str">
        <f>IF($X$419="","",$Z$396)</f>
        <v/>
      </c>
      <c r="AA419" s="477" t="str">
        <f>IF($AC$419="","",ROW($A$419)-ROW($A$396))</f>
        <v/>
      </c>
      <c r="AB419" s="478"/>
      <c r="AC419" s="34"/>
      <c r="AD419" s="356"/>
      <c r="AE419" s="479"/>
      <c r="AF419" s="475"/>
      <c r="AG419" s="480" t="str">
        <f t="shared" si="112"/>
        <v/>
      </c>
      <c r="AH419" s="481" t="str">
        <f t="shared" si="113"/>
        <v/>
      </c>
      <c r="AI419" s="477" t="str">
        <f>IF($AC$419="","",IFERROR(INDEX($AZ$74:$AZ$119,MATCH($AH$419,$AY$74:$AY$119,0)),"AUTRE"))</f>
        <v/>
      </c>
      <c r="AJ419" s="482" t="str">
        <f>IF($AC$419="","",IFERROR(INDEX($BA$74:$BA$119,MATCH($AH$419,$AY$74:$AY$119,0)),1))</f>
        <v/>
      </c>
      <c r="AK419" s="482" t="str">
        <f t="shared" si="114"/>
        <v/>
      </c>
      <c r="AL419" s="477" t="str">
        <f>IF($AC$419="","",IFERROR(INDEX($BB$74:$BB$119,MATCH($AH$419,$AY$74:$AY$119,0)),$AH$419))</f>
        <v/>
      </c>
      <c r="AM419" s="483" t="str">
        <f t="shared" si="115"/>
        <v/>
      </c>
      <c r="AN419" s="484" t="str">
        <f t="shared" si="116"/>
        <v/>
      </c>
      <c r="AO419" s="473" t="str">
        <f t="shared" si="117"/>
        <v/>
      </c>
      <c r="AP419" s="473" t="str">
        <f t="shared" si="118"/>
        <v/>
      </c>
      <c r="AQ419" s="473" t="str">
        <f t="shared" si="119"/>
        <v/>
      </c>
      <c r="AR419" s="473" t="str">
        <f t="shared" si="120"/>
        <v/>
      </c>
      <c r="AS419" s="473" t="str">
        <f t="shared" si="121"/>
        <v/>
      </c>
      <c r="AT419" s="473" t="str">
        <f t="shared" si="122"/>
        <v/>
      </c>
      <c r="AU419" s="473" t="str">
        <f t="shared" si="123"/>
        <v/>
      </c>
      <c r="AZ419" s="32" t="s">
        <v>8125</v>
      </c>
      <c r="BA419" s="25" t="s">
        <v>6116</v>
      </c>
      <c r="BB419" s="499"/>
      <c r="BC419" s="271"/>
      <c r="BD419" s="279">
        <v>1</v>
      </c>
      <c r="BE419" s="271"/>
      <c r="BF419" s="271"/>
      <c r="BG419" s="271"/>
      <c r="BH419" s="271"/>
      <c r="BI419" s="271"/>
      <c r="BJ419" s="271"/>
      <c r="BK419" s="271"/>
      <c r="BL419" s="271"/>
    </row>
    <row r="420" spans="1:64" ht="21" customHeight="1" x14ac:dyDescent="0.25">
      <c r="R420" s="34" t="s">
        <v>469</v>
      </c>
      <c r="S420" s="451"/>
      <c r="T420" s="30" t="s">
        <v>12</v>
      </c>
      <c r="V420" s="475">
        <v>10</v>
      </c>
      <c r="W420" s="475" t="str">
        <f>IF($AC$420="","",$W$396)</f>
        <v/>
      </c>
      <c r="X420" s="476" t="str">
        <f>IF($AC$420="","",$X$396)</f>
        <v/>
      </c>
      <c r="Y420" s="477" t="str">
        <f>IF($X$420="","",$Y$396)</f>
        <v/>
      </c>
      <c r="Z420" s="477" t="str">
        <f>IF($X$420="","",$Z$396)</f>
        <v/>
      </c>
      <c r="AA420" s="477" t="str">
        <f>IF($AC$420="","",ROW($A$420)-ROW($A$396))</f>
        <v/>
      </c>
      <c r="AB420" s="478"/>
      <c r="AC420" s="34"/>
      <c r="AD420" s="356"/>
      <c r="AE420" s="479"/>
      <c r="AF420" s="475"/>
      <c r="AG420" s="480" t="str">
        <f t="shared" si="112"/>
        <v/>
      </c>
      <c r="AH420" s="481" t="str">
        <f t="shared" si="113"/>
        <v/>
      </c>
      <c r="AI420" s="477" t="str">
        <f>IF($AC$420="","",IFERROR(INDEX($AZ$74:$AZ$119,MATCH($AH$420,$AY$74:$AY$119,0)),"AUTRE"))</f>
        <v/>
      </c>
      <c r="AJ420" s="482" t="str">
        <f>IF($AC$420="","",IFERROR(INDEX($BA$74:$BA$119,MATCH($AH$420,$AY$74:$AY$119,0)),1))</f>
        <v/>
      </c>
      <c r="AK420" s="482" t="str">
        <f t="shared" si="114"/>
        <v/>
      </c>
      <c r="AL420" s="477" t="str">
        <f>IF($AC$420="","",IFERROR(INDEX($BB$74:$BB$119,MATCH($AH$420,$AY$74:$AY$119,0)),$AH$420))</f>
        <v/>
      </c>
      <c r="AM420" s="483" t="str">
        <f t="shared" si="115"/>
        <v/>
      </c>
      <c r="AN420" s="484" t="str">
        <f t="shared" si="116"/>
        <v/>
      </c>
      <c r="AO420" s="473" t="str">
        <f t="shared" si="117"/>
        <v/>
      </c>
      <c r="AP420" s="473" t="str">
        <f t="shared" si="118"/>
        <v/>
      </c>
      <c r="AQ420" s="473" t="str">
        <f t="shared" si="119"/>
        <v/>
      </c>
      <c r="AR420" s="473" t="str">
        <f t="shared" si="120"/>
        <v/>
      </c>
      <c r="AS420" s="473" t="str">
        <f t="shared" si="121"/>
        <v/>
      </c>
      <c r="AT420" s="473" t="str">
        <f t="shared" si="122"/>
        <v/>
      </c>
      <c r="AU420" s="473" t="str">
        <f t="shared" si="123"/>
        <v/>
      </c>
      <c r="AZ420" s="32" t="s">
        <v>8127</v>
      </c>
      <c r="BA420" s="34" t="s">
        <v>6117</v>
      </c>
      <c r="BB420" s="499"/>
      <c r="BC420" s="271"/>
      <c r="BD420" s="279">
        <v>1</v>
      </c>
      <c r="BE420" s="271"/>
      <c r="BF420" s="271"/>
      <c r="BG420" s="271"/>
      <c r="BH420" s="271"/>
      <c r="BI420" s="271"/>
      <c r="BJ420" s="271"/>
      <c r="BK420" s="271"/>
      <c r="BL420" s="271"/>
    </row>
    <row r="421" spans="1:64" ht="21" customHeight="1" x14ac:dyDescent="0.25">
      <c r="R421" s="34" t="s">
        <v>6118</v>
      </c>
      <c r="S421" s="451"/>
      <c r="T421" s="31" t="s">
        <v>16</v>
      </c>
      <c r="V421" s="475">
        <v>10</v>
      </c>
      <c r="W421" s="475" t="str">
        <f>IF($AC$421="","",$W$396)</f>
        <v/>
      </c>
      <c r="X421" s="476" t="str">
        <f>IF($AC$421="","",$X$396)</f>
        <v/>
      </c>
      <c r="Y421" s="477" t="str">
        <f>IF($X$421="","",$Y$396)</f>
        <v/>
      </c>
      <c r="Z421" s="477" t="str">
        <f>IF($X$421="","",$Z$396)</f>
        <v/>
      </c>
      <c r="AA421" s="477" t="str">
        <f>IF($AC$421="","",ROW($A$421)-ROW($A$396))</f>
        <v/>
      </c>
      <c r="AB421" s="478"/>
      <c r="AC421" s="34"/>
      <c r="AD421" s="356"/>
      <c r="AE421" s="479"/>
      <c r="AF421" s="475"/>
      <c r="AG421" s="480" t="str">
        <f t="shared" si="112"/>
        <v/>
      </c>
      <c r="AH421" s="481" t="str">
        <f t="shared" si="113"/>
        <v/>
      </c>
      <c r="AI421" s="477" t="str">
        <f>IF($AC$421="","",IFERROR(INDEX($AZ$74:$AZ$119,MATCH($AH$421,$AY$74:$AY$119,0)),"AUTRE"))</f>
        <v/>
      </c>
      <c r="AJ421" s="482" t="str">
        <f>IF($AC$421="","",IFERROR(INDEX($BA$74:$BA$119,MATCH($AH$421,$AY$74:$AY$119,0)),1))</f>
        <v/>
      </c>
      <c r="AK421" s="482" t="str">
        <f t="shared" si="114"/>
        <v/>
      </c>
      <c r="AL421" s="477" t="str">
        <f>IF($AC$421="","",IFERROR(INDEX($BB$74:$BB$119,MATCH($AH$421,$AY$74:$AY$119,0)),$AH$421))</f>
        <v/>
      </c>
      <c r="AM421" s="483" t="str">
        <f t="shared" si="115"/>
        <v/>
      </c>
      <c r="AN421" s="484" t="str">
        <f t="shared" si="116"/>
        <v/>
      </c>
      <c r="AO421" s="473" t="str">
        <f t="shared" si="117"/>
        <v/>
      </c>
      <c r="AP421" s="473" t="str">
        <f t="shared" si="118"/>
        <v/>
      </c>
      <c r="AQ421" s="473" t="str">
        <f t="shared" si="119"/>
        <v/>
      </c>
      <c r="AR421" s="473" t="str">
        <f t="shared" si="120"/>
        <v/>
      </c>
      <c r="AS421" s="473" t="str">
        <f t="shared" si="121"/>
        <v/>
      </c>
      <c r="AT421" s="473" t="str">
        <f t="shared" si="122"/>
        <v/>
      </c>
      <c r="AU421" s="473" t="str">
        <f t="shared" si="123"/>
        <v/>
      </c>
      <c r="AZ421" s="32" t="s">
        <v>320</v>
      </c>
      <c r="BA421" s="34" t="s">
        <v>469</v>
      </c>
      <c r="BB421" s="499"/>
      <c r="BC421" s="271"/>
      <c r="BD421" s="279">
        <v>1</v>
      </c>
      <c r="BE421" s="271"/>
      <c r="BF421" s="271"/>
      <c r="BG421" s="271"/>
      <c r="BH421" s="271"/>
      <c r="BI421" s="271"/>
      <c r="BJ421" s="271"/>
      <c r="BK421" s="271"/>
      <c r="BL421" s="271"/>
    </row>
    <row r="422" spans="1:64" ht="21" customHeight="1" x14ac:dyDescent="0.25">
      <c r="R422" s="34" t="s">
        <v>492</v>
      </c>
      <c r="S422" s="451"/>
      <c r="T422" s="31" t="s">
        <v>17</v>
      </c>
      <c r="V422" s="475">
        <v>10</v>
      </c>
      <c r="W422" s="475" t="str">
        <f>IF($AC$422="","",$W$396)</f>
        <v/>
      </c>
      <c r="X422" s="476" t="str">
        <f>IF($AC$422="","",$X$396)</f>
        <v/>
      </c>
      <c r="Y422" s="477" t="str">
        <f>IF($X$422="","",$Y$396)</f>
        <v/>
      </c>
      <c r="Z422" s="477" t="str">
        <f>IF($X$422="","",$Z$396)</f>
        <v/>
      </c>
      <c r="AA422" s="477" t="str">
        <f>IF($AC$422="","",ROW($A$422)-ROW($A$396))</f>
        <v/>
      </c>
      <c r="AB422" s="478"/>
      <c r="AC422" s="34"/>
      <c r="AD422" s="356"/>
      <c r="AE422" s="479"/>
      <c r="AF422" s="475"/>
      <c r="AG422" s="480" t="str">
        <f t="shared" si="112"/>
        <v/>
      </c>
      <c r="AH422" s="481" t="str">
        <f t="shared" si="113"/>
        <v/>
      </c>
      <c r="AI422" s="477" t="str">
        <f>IF($AC$422="","",IFERROR(INDEX($AZ$74:$AZ$119,MATCH($AH$422,$AY$74:$AY$119,0)),"AUTRE"))</f>
        <v/>
      </c>
      <c r="AJ422" s="482" t="str">
        <f>IF($AC$422="","",IFERROR(INDEX($BA$74:$BA$119,MATCH($AH$422,$AY$74:$AY$119,0)),1))</f>
        <v/>
      </c>
      <c r="AK422" s="482" t="str">
        <f t="shared" si="114"/>
        <v/>
      </c>
      <c r="AL422" s="477" t="str">
        <f>IF($AC$422="","",IFERROR(INDEX($BB$74:$BB$119,MATCH($AH$422,$AY$74:$AY$119,0)),$AH$422))</f>
        <v/>
      </c>
      <c r="AM422" s="483" t="str">
        <f t="shared" si="115"/>
        <v/>
      </c>
      <c r="AN422" s="484" t="str">
        <f t="shared" si="116"/>
        <v/>
      </c>
      <c r="AO422" s="473" t="str">
        <f t="shared" si="117"/>
        <v/>
      </c>
      <c r="AP422" s="473" t="str">
        <f t="shared" si="118"/>
        <v/>
      </c>
      <c r="AQ422" s="473" t="str">
        <f t="shared" si="119"/>
        <v/>
      </c>
      <c r="AR422" s="473" t="str">
        <f t="shared" si="120"/>
        <v/>
      </c>
      <c r="AS422" s="473" t="str">
        <f t="shared" si="121"/>
        <v/>
      </c>
      <c r="AT422" s="473" t="str">
        <f t="shared" si="122"/>
        <v/>
      </c>
      <c r="AU422" s="473" t="str">
        <f t="shared" si="123"/>
        <v/>
      </c>
      <c r="AZ422" s="32" t="s">
        <v>318</v>
      </c>
      <c r="BA422" s="34" t="s">
        <v>6118</v>
      </c>
      <c r="BB422" s="499"/>
      <c r="BC422" s="271"/>
      <c r="BD422" s="279">
        <v>1</v>
      </c>
      <c r="BE422" s="271"/>
      <c r="BF422" s="271"/>
      <c r="BG422" s="271"/>
      <c r="BH422" s="271"/>
      <c r="BI422" s="271"/>
      <c r="BJ422" s="271"/>
      <c r="BK422" s="271"/>
      <c r="BL422" s="271"/>
    </row>
    <row r="423" spans="1:64" ht="21" customHeight="1" x14ac:dyDescent="0.25">
      <c r="R423" s="34" t="s">
        <v>458</v>
      </c>
      <c r="S423" s="451"/>
      <c r="T423" s="31" t="s">
        <v>18</v>
      </c>
      <c r="V423" s="475">
        <v>10</v>
      </c>
      <c r="W423" s="475" t="str">
        <f>IF($AC$423="","",$W$396)</f>
        <v/>
      </c>
      <c r="X423" s="476" t="str">
        <f>IF($AC$423="","",$X$396)</f>
        <v/>
      </c>
      <c r="Y423" s="477" t="str">
        <f>IF($X$423="","",$Y$396)</f>
        <v/>
      </c>
      <c r="Z423" s="477" t="str">
        <f>IF($X$423="","",$Z$396)</f>
        <v/>
      </c>
      <c r="AA423" s="477" t="str">
        <f>IF($AC$423="","",ROW($A$423)-ROW($A$396))</f>
        <v/>
      </c>
      <c r="AB423" s="478"/>
      <c r="AC423" s="34"/>
      <c r="AD423" s="356"/>
      <c r="AE423" s="479"/>
      <c r="AF423" s="475"/>
      <c r="AG423" s="480" t="str">
        <f t="shared" si="112"/>
        <v/>
      </c>
      <c r="AH423" s="481" t="str">
        <f t="shared" si="113"/>
        <v/>
      </c>
      <c r="AI423" s="477" t="str">
        <f>IF($AC$423="","",IFERROR(INDEX($AZ$74:$AZ$119,MATCH($AH$423,$AY$74:$AY$119,0)),"AUTRE"))</f>
        <v/>
      </c>
      <c r="AJ423" s="482" t="str">
        <f>IF($AC$423="","",IFERROR(INDEX($BA$74:$BA$119,MATCH($AH$423,$AY$74:$AY$119,0)),1))</f>
        <v/>
      </c>
      <c r="AK423" s="482" t="str">
        <f t="shared" si="114"/>
        <v/>
      </c>
      <c r="AL423" s="477" t="str">
        <f>IF($AC$423="","",IFERROR(INDEX($BB$74:$BB$119,MATCH($AH$423,$AY$74:$AY$119,0)),$AH$423))</f>
        <v/>
      </c>
      <c r="AM423" s="483" t="str">
        <f t="shared" si="115"/>
        <v/>
      </c>
      <c r="AN423" s="484" t="str">
        <f t="shared" si="116"/>
        <v/>
      </c>
      <c r="AO423" s="473" t="str">
        <f t="shared" si="117"/>
        <v/>
      </c>
      <c r="AP423" s="473" t="str">
        <f t="shared" si="118"/>
        <v/>
      </c>
      <c r="AQ423" s="473" t="str">
        <f t="shared" si="119"/>
        <v/>
      </c>
      <c r="AR423" s="473" t="str">
        <f t="shared" si="120"/>
        <v/>
      </c>
      <c r="AS423" s="473" t="str">
        <f t="shared" si="121"/>
        <v/>
      </c>
      <c r="AT423" s="473" t="str">
        <f t="shared" si="122"/>
        <v/>
      </c>
      <c r="AU423" s="473" t="str">
        <f t="shared" si="123"/>
        <v/>
      </c>
      <c r="AZ423" s="32" t="s">
        <v>316</v>
      </c>
      <c r="BA423" s="34" t="s">
        <v>492</v>
      </c>
      <c r="BB423" s="499"/>
      <c r="BC423" s="271"/>
      <c r="BD423" s="279">
        <v>1</v>
      </c>
      <c r="BE423" s="271"/>
      <c r="BF423" s="271"/>
      <c r="BG423" s="271"/>
      <c r="BH423" s="271"/>
      <c r="BI423" s="271"/>
      <c r="BJ423" s="271"/>
      <c r="BK423" s="271"/>
      <c r="BL423" s="271"/>
    </row>
    <row r="424" spans="1:64" ht="21" customHeight="1" x14ac:dyDescent="0.25">
      <c r="R424" s="490"/>
      <c r="S424" s="451"/>
      <c r="T424" s="31" t="s">
        <v>19</v>
      </c>
      <c r="V424" s="475">
        <v>10</v>
      </c>
      <c r="W424" s="475" t="str">
        <f>IF($AC$424="","",$W$396)</f>
        <v/>
      </c>
      <c r="X424" s="476" t="str">
        <f>IF($AC$424="","",$X$396)</f>
        <v/>
      </c>
      <c r="Y424" s="477" t="str">
        <f>IF($X$424="","",$Y$396)</f>
        <v/>
      </c>
      <c r="Z424" s="477" t="str">
        <f>IF($X$424="","",$Z$396)</f>
        <v/>
      </c>
      <c r="AA424" s="477" t="str">
        <f>IF($AC$424="","",ROW($A$424)-ROW($A$396))</f>
        <v/>
      </c>
      <c r="AB424" s="478"/>
      <c r="AC424" s="34"/>
      <c r="AD424" s="356"/>
      <c r="AE424" s="479"/>
      <c r="AF424" s="475"/>
      <c r="AG424" s="480" t="str">
        <f t="shared" si="112"/>
        <v/>
      </c>
      <c r="AH424" s="481" t="str">
        <f t="shared" si="113"/>
        <v/>
      </c>
      <c r="AI424" s="477" t="str">
        <f>IF($AC$424="","",IFERROR(INDEX($AZ$74:$AZ$119,MATCH($AH$424,$AY$74:$AY$119,0)),"AUTRE"))</f>
        <v/>
      </c>
      <c r="AJ424" s="482" t="str">
        <f>IF($AC$424="","",IFERROR(INDEX($BA$74:$BA$119,MATCH($AH$424,$AY$74:$AY$119,0)),1))</f>
        <v/>
      </c>
      <c r="AK424" s="482" t="str">
        <f t="shared" si="114"/>
        <v/>
      </c>
      <c r="AL424" s="477" t="str">
        <f>IF($AC$424="","",IFERROR(INDEX($BB$74:$BB$119,MATCH($AH$424,$AY$74:$AY$119,0)),$AH$424))</f>
        <v/>
      </c>
      <c r="AM424" s="483" t="str">
        <f t="shared" si="115"/>
        <v/>
      </c>
      <c r="AN424" s="484" t="str">
        <f t="shared" si="116"/>
        <v/>
      </c>
      <c r="AO424" s="473" t="str">
        <f t="shared" si="117"/>
        <v/>
      </c>
      <c r="AP424" s="473" t="str">
        <f t="shared" si="118"/>
        <v/>
      </c>
      <c r="AQ424" s="473" t="str">
        <f t="shared" si="119"/>
        <v/>
      </c>
      <c r="AR424" s="473" t="str">
        <f t="shared" si="120"/>
        <v/>
      </c>
      <c r="AS424" s="473" t="str">
        <f t="shared" si="121"/>
        <v/>
      </c>
      <c r="AT424" s="473" t="str">
        <f t="shared" si="122"/>
        <v/>
      </c>
      <c r="AU424" s="473" t="str">
        <f t="shared" si="123"/>
        <v/>
      </c>
      <c r="AY424" s="271"/>
      <c r="AZ424" s="32" t="s">
        <v>313</v>
      </c>
      <c r="BA424" s="34" t="s">
        <v>458</v>
      </c>
      <c r="BB424" s="499"/>
      <c r="BC424" s="271"/>
      <c r="BD424" s="279">
        <v>1</v>
      </c>
      <c r="BE424" s="271"/>
      <c r="BF424" s="271"/>
      <c r="BG424" s="271"/>
      <c r="BH424" s="271"/>
      <c r="BI424" s="271"/>
      <c r="BJ424" s="271"/>
      <c r="BK424" s="271"/>
      <c r="BL424" s="271"/>
    </row>
    <row r="425" spans="1:64" ht="21" customHeight="1" x14ac:dyDescent="0.25">
      <c r="R425" s="25" t="s">
        <v>6119</v>
      </c>
      <c r="S425" s="451"/>
      <c r="T425" s="31" t="s">
        <v>211</v>
      </c>
      <c r="V425" s="475">
        <v>10</v>
      </c>
      <c r="W425" s="475" t="str">
        <f>IF($AC$425="","",$W$396)</f>
        <v/>
      </c>
      <c r="X425" s="476" t="str">
        <f>IF($AC$425="","",$X$396)</f>
        <v/>
      </c>
      <c r="Y425" s="477" t="str">
        <f>IF($X$425="","",$Y$396)</f>
        <v/>
      </c>
      <c r="Z425" s="477" t="str">
        <f>IF($X$425="","",$Z$396)</f>
        <v/>
      </c>
      <c r="AA425" s="477" t="str">
        <f>IF($AC$425="","",ROW($A$425)-ROW($A$396))</f>
        <v/>
      </c>
      <c r="AB425" s="478"/>
      <c r="AC425" s="34"/>
      <c r="AD425" s="356"/>
      <c r="AE425" s="479"/>
      <c r="AF425" s="475"/>
      <c r="AG425" s="480" t="str">
        <f t="shared" si="112"/>
        <v/>
      </c>
      <c r="AH425" s="481" t="str">
        <f t="shared" si="113"/>
        <v/>
      </c>
      <c r="AI425" s="477" t="str">
        <f>IF($AC$425="","",IFERROR(INDEX($AZ$74:$AZ$119,MATCH($AH$425,$AY$74:$AY$119,0)),"AUTRE"))</f>
        <v/>
      </c>
      <c r="AJ425" s="482" t="str">
        <f>IF($AC$425="","",IFERROR(INDEX($BA$74:$BA$119,MATCH($AH$425,$AY$74:$AY$119,0)),1))</f>
        <v/>
      </c>
      <c r="AK425" s="482" t="str">
        <f t="shared" si="114"/>
        <v/>
      </c>
      <c r="AL425" s="477" t="str">
        <f>IF($AC$425="","",IFERROR(INDEX($BB$74:$BB$119,MATCH($AH$425,$AY$74:$AY$119,0)),$AH$425))</f>
        <v/>
      </c>
      <c r="AM425" s="483" t="str">
        <f t="shared" si="115"/>
        <v/>
      </c>
      <c r="AN425" s="484" t="str">
        <f t="shared" si="116"/>
        <v/>
      </c>
      <c r="AO425" s="473" t="str">
        <f t="shared" si="117"/>
        <v/>
      </c>
      <c r="AP425" s="473" t="str">
        <f t="shared" si="118"/>
        <v/>
      </c>
      <c r="AQ425" s="473" t="str">
        <f t="shared" si="119"/>
        <v/>
      </c>
      <c r="AR425" s="473" t="str">
        <f t="shared" si="120"/>
        <v/>
      </c>
      <c r="AS425" s="473" t="str">
        <f t="shared" si="121"/>
        <v/>
      </c>
      <c r="AT425" s="473" t="str">
        <f t="shared" si="122"/>
        <v/>
      </c>
      <c r="AU425" s="473" t="str">
        <f t="shared" si="123"/>
        <v/>
      </c>
      <c r="AY425" s="497" t="s">
        <v>8145</v>
      </c>
      <c r="AZ425" s="32" t="s">
        <v>307</v>
      </c>
      <c r="BA425" s="490"/>
      <c r="BB425" s="499"/>
      <c r="BC425" s="271"/>
      <c r="BD425" s="279">
        <v>1</v>
      </c>
      <c r="BE425" s="271"/>
      <c r="BF425" s="271"/>
      <c r="BG425" s="271"/>
      <c r="BH425" s="271"/>
      <c r="BI425" s="271"/>
      <c r="BJ425" s="271"/>
      <c r="BK425" s="271"/>
      <c r="BL425" s="271"/>
    </row>
    <row r="426" spans="1:64" ht="21" customHeight="1" x14ac:dyDescent="0.25">
      <c r="R426" s="34" t="s">
        <v>6120</v>
      </c>
      <c r="S426" s="451"/>
      <c r="T426" s="31" t="s">
        <v>20</v>
      </c>
      <c r="V426" s="475">
        <v>10</v>
      </c>
      <c r="W426" s="475" t="str">
        <f>IF($AC$426="","",$W$396)</f>
        <v/>
      </c>
      <c r="X426" s="476" t="str">
        <f>IF($AC$426="","",$X$396)</f>
        <v/>
      </c>
      <c r="Y426" s="477" t="str">
        <f>IF($X$426="","",$Y$396)</f>
        <v/>
      </c>
      <c r="Z426" s="477" t="str">
        <f>IF($X$426="","",$Z$396)</f>
        <v/>
      </c>
      <c r="AA426" s="477" t="str">
        <f>IF($AC$426="","",ROW($A$426)-ROW($A$396))</f>
        <v/>
      </c>
      <c r="AB426" s="478"/>
      <c r="AC426" s="34"/>
      <c r="AD426" s="356"/>
      <c r="AE426" s="479"/>
      <c r="AF426" s="475"/>
      <c r="AG426" s="480" t="str">
        <f t="shared" si="112"/>
        <v/>
      </c>
      <c r="AH426" s="481" t="str">
        <f t="shared" si="113"/>
        <v/>
      </c>
      <c r="AI426" s="477" t="str">
        <f>IF($AC$426="","",IFERROR(INDEX($AZ$74:$AZ$119,MATCH($AH$426,$AY$74:$AY$119,0)),"AUTRE"))</f>
        <v/>
      </c>
      <c r="AJ426" s="482" t="str">
        <f>IF($AC$426="","",IFERROR(INDEX($BA$74:$BA$119,MATCH($AH$426,$AY$74:$AY$119,0)),1))</f>
        <v/>
      </c>
      <c r="AK426" s="482" t="str">
        <f t="shared" si="114"/>
        <v/>
      </c>
      <c r="AL426" s="477" t="str">
        <f>IF($AC$426="","",IFERROR(INDEX($BB$74:$BB$119,MATCH($AH$426,$AY$74:$AY$119,0)),$AH$426))</f>
        <v/>
      </c>
      <c r="AM426" s="483" t="str">
        <f t="shared" si="115"/>
        <v/>
      </c>
      <c r="AN426" s="484" t="str">
        <f t="shared" si="116"/>
        <v/>
      </c>
      <c r="AO426" s="473" t="str">
        <f t="shared" si="117"/>
        <v/>
      </c>
      <c r="AP426" s="473" t="str">
        <f t="shared" si="118"/>
        <v/>
      </c>
      <c r="AQ426" s="473" t="str">
        <f t="shared" si="119"/>
        <v/>
      </c>
      <c r="AR426" s="473" t="str">
        <f t="shared" si="120"/>
        <v/>
      </c>
      <c r="AS426" s="473" t="str">
        <f t="shared" si="121"/>
        <v/>
      </c>
      <c r="AT426" s="473" t="str">
        <f t="shared" si="122"/>
        <v/>
      </c>
      <c r="AU426" s="473" t="str">
        <f t="shared" si="123"/>
        <v/>
      </c>
      <c r="AY426" s="497" t="s">
        <v>462</v>
      </c>
      <c r="AZ426" s="32" t="s">
        <v>322</v>
      </c>
      <c r="BA426" s="25" t="s">
        <v>6119</v>
      </c>
      <c r="BB426" s="499"/>
      <c r="BC426" s="271"/>
      <c r="BD426" s="279">
        <v>1</v>
      </c>
      <c r="BE426" s="271"/>
      <c r="BF426" s="271"/>
      <c r="BG426" s="271"/>
      <c r="BH426" s="271"/>
      <c r="BI426" s="271"/>
      <c r="BJ426" s="271"/>
      <c r="BK426" s="271"/>
      <c r="BL426" s="271"/>
    </row>
    <row r="427" spans="1:64" ht="21" customHeight="1" x14ac:dyDescent="0.25">
      <c r="R427" s="34" t="s">
        <v>6121</v>
      </c>
      <c r="S427" s="451"/>
      <c r="T427" s="31" t="s">
        <v>304</v>
      </c>
      <c r="V427" s="475">
        <v>10</v>
      </c>
      <c r="W427" s="475" t="str">
        <f>IF($AC$427="","",$W$396)</f>
        <v/>
      </c>
      <c r="X427" s="476" t="str">
        <f>IF($AC$427="","",$X$396)</f>
        <v/>
      </c>
      <c r="Y427" s="477" t="str">
        <f>IF($X$427="","",$Y$396)</f>
        <v/>
      </c>
      <c r="Z427" s="477" t="str">
        <f>IF($X$427="","",$Z$396)</f>
        <v/>
      </c>
      <c r="AA427" s="477" t="str">
        <f>IF($AC$427="","",ROW($A$427)-ROW($A$396))</f>
        <v/>
      </c>
      <c r="AB427" s="478"/>
      <c r="AC427" s="34"/>
      <c r="AD427" s="356"/>
      <c r="AE427" s="479"/>
      <c r="AF427" s="475"/>
      <c r="AG427" s="480" t="str">
        <f t="shared" si="112"/>
        <v/>
      </c>
      <c r="AH427" s="481" t="str">
        <f t="shared" si="113"/>
        <v/>
      </c>
      <c r="AI427" s="477" t="str">
        <f>IF($AC$427="","",IFERROR(INDEX($AZ$74:$AZ$119,MATCH($AH$427,$AY$74:$AY$119,0)),"AUTRE"))</f>
        <v/>
      </c>
      <c r="AJ427" s="482" t="str">
        <f>IF($AC$427="","",IFERROR(INDEX($BA$74:$BA$119,MATCH($AH$427,$AY$74:$AY$119,0)),1))</f>
        <v/>
      </c>
      <c r="AK427" s="482" t="str">
        <f t="shared" si="114"/>
        <v/>
      </c>
      <c r="AL427" s="477" t="str">
        <f>IF($AC$427="","",IFERROR(INDEX($BB$74:$BB$119,MATCH($AH$427,$AY$74:$AY$119,0)),$AH$427))</f>
        <v/>
      </c>
      <c r="AM427" s="483" t="str">
        <f t="shared" si="115"/>
        <v/>
      </c>
      <c r="AN427" s="484" t="str">
        <f t="shared" si="116"/>
        <v/>
      </c>
      <c r="AO427" s="473" t="str">
        <f t="shared" si="117"/>
        <v/>
      </c>
      <c r="AP427" s="473" t="str">
        <f t="shared" si="118"/>
        <v/>
      </c>
      <c r="AQ427" s="473" t="str">
        <f t="shared" si="119"/>
        <v/>
      </c>
      <c r="AR427" s="473" t="str">
        <f t="shared" si="120"/>
        <v/>
      </c>
      <c r="AS427" s="473" t="str">
        <f t="shared" si="121"/>
        <v/>
      </c>
      <c r="AT427" s="473" t="str">
        <f t="shared" si="122"/>
        <v/>
      </c>
      <c r="AU427" s="473" t="str">
        <f t="shared" si="123"/>
        <v/>
      </c>
      <c r="AY427" s="497" t="s">
        <v>463</v>
      </c>
      <c r="AZ427" s="32" t="s">
        <v>305</v>
      </c>
      <c r="BA427" s="34" t="s">
        <v>6120</v>
      </c>
      <c r="BB427" s="499"/>
      <c r="BC427" s="271"/>
      <c r="BD427" s="279">
        <v>1</v>
      </c>
      <c r="BE427" s="271"/>
      <c r="BF427" s="271"/>
      <c r="BG427" s="271"/>
      <c r="BH427" s="271"/>
      <c r="BI427" s="271"/>
      <c r="BJ427" s="271"/>
      <c r="BK427" s="271"/>
      <c r="BL427" s="271"/>
    </row>
    <row r="428" spans="1:64" ht="21" customHeight="1" x14ac:dyDescent="0.25">
      <c r="R428" s="34" t="s">
        <v>6122</v>
      </c>
      <c r="S428" s="451"/>
      <c r="T428" s="31" t="s">
        <v>352</v>
      </c>
      <c r="V428" s="475">
        <v>10</v>
      </c>
      <c r="W428" s="475" t="str">
        <f>IF($AC$428="","",$W$396)</f>
        <v/>
      </c>
      <c r="X428" s="476" t="str">
        <f>IF($AC$428="","",$X$396)</f>
        <v/>
      </c>
      <c r="Y428" s="477" t="str">
        <f>IF($X$428="","",$Y$396)</f>
        <v/>
      </c>
      <c r="Z428" s="477" t="str">
        <f>IF($X$428="","",$Z$396)</f>
        <v/>
      </c>
      <c r="AA428" s="477" t="str">
        <f>IF($AC$428="","",ROW($A$428)-ROW($A$396))</f>
        <v/>
      </c>
      <c r="AB428" s="478"/>
      <c r="AC428" s="34"/>
      <c r="AD428" s="356"/>
      <c r="AE428" s="479"/>
      <c r="AF428" s="475"/>
      <c r="AG428" s="480" t="str">
        <f t="shared" si="112"/>
        <v/>
      </c>
      <c r="AH428" s="481" t="str">
        <f t="shared" si="113"/>
        <v/>
      </c>
      <c r="AI428" s="477" t="str">
        <f>IF($AC$428="","",IFERROR(INDEX($AZ$74:$AZ$119,MATCH($AH$428,$AY$74:$AY$119,0)),"AUTRE"))</f>
        <v/>
      </c>
      <c r="AJ428" s="482" t="str">
        <f>IF($AC$428="","",IFERROR(INDEX($BA$74:$BA$119,MATCH($AH$428,$AY$74:$AY$119,0)),1))</f>
        <v/>
      </c>
      <c r="AK428" s="482" t="str">
        <f t="shared" si="114"/>
        <v/>
      </c>
      <c r="AL428" s="477" t="str">
        <f>IF($AC$428="","",IFERROR(INDEX($BB$74:$BB$119,MATCH($AH$428,$AY$74:$AY$119,0)),$AH$428))</f>
        <v/>
      </c>
      <c r="AM428" s="483" t="str">
        <f t="shared" si="115"/>
        <v/>
      </c>
      <c r="AN428" s="484" t="str">
        <f t="shared" si="116"/>
        <v/>
      </c>
      <c r="AO428" s="473" t="str">
        <f t="shared" si="117"/>
        <v/>
      </c>
      <c r="AP428" s="473" t="str">
        <f t="shared" si="118"/>
        <v/>
      </c>
      <c r="AQ428" s="473" t="str">
        <f t="shared" si="119"/>
        <v/>
      </c>
      <c r="AR428" s="473" t="str">
        <f t="shared" si="120"/>
        <v/>
      </c>
      <c r="AS428" s="473" t="str">
        <f t="shared" si="121"/>
        <v/>
      </c>
      <c r="AT428" s="473" t="str">
        <f t="shared" si="122"/>
        <v/>
      </c>
      <c r="AU428" s="473" t="str">
        <f t="shared" si="123"/>
        <v/>
      </c>
      <c r="AY428" s="497" t="s">
        <v>8147</v>
      </c>
      <c r="AZ428" s="32" t="s">
        <v>8129</v>
      </c>
      <c r="BA428" s="34" t="s">
        <v>6121</v>
      </c>
      <c r="BB428" s="499"/>
      <c r="BC428" s="271"/>
      <c r="BD428" s="279">
        <v>1</v>
      </c>
      <c r="BE428" s="271"/>
      <c r="BF428" s="271"/>
      <c r="BG428" s="271"/>
      <c r="BH428" s="271"/>
      <c r="BI428" s="271"/>
      <c r="BJ428" s="271"/>
      <c r="BK428" s="271"/>
      <c r="BL428" s="271"/>
    </row>
    <row r="429" spans="1:64" ht="21" customHeight="1" x14ac:dyDescent="0.25">
      <c r="R429" s="34" t="s">
        <v>6123</v>
      </c>
      <c r="S429" s="451"/>
      <c r="T429" s="31" t="s">
        <v>25</v>
      </c>
      <c r="V429" s="475">
        <v>10</v>
      </c>
      <c r="W429" s="475" t="str">
        <f>IF($AC$429="","",$W$396)</f>
        <v/>
      </c>
      <c r="X429" s="476" t="str">
        <f>IF($AC$429="","",$X$396)</f>
        <v/>
      </c>
      <c r="Y429" s="477" t="str">
        <f>IF($X$429="","",$Y$396)</f>
        <v/>
      </c>
      <c r="Z429" s="477" t="str">
        <f>IF($X$429="","",$Z$396)</f>
        <v/>
      </c>
      <c r="AA429" s="477" t="str">
        <f>IF($AC$429="","",ROW($A$429)-ROW($A$396))</f>
        <v/>
      </c>
      <c r="AB429" s="478"/>
      <c r="AC429" s="34"/>
      <c r="AD429" s="356"/>
      <c r="AE429" s="479"/>
      <c r="AF429" s="475"/>
      <c r="AG429" s="480" t="str">
        <f t="shared" si="112"/>
        <v/>
      </c>
      <c r="AH429" s="481" t="str">
        <f t="shared" si="113"/>
        <v/>
      </c>
      <c r="AI429" s="477" t="str">
        <f>IF($AC$429="","",IFERROR(INDEX($AZ$74:$AZ$119,MATCH($AH$429,$AY$74:$AY$119,0)),"AUTRE"))</f>
        <v/>
      </c>
      <c r="AJ429" s="482" t="str">
        <f>IF($AC$429="","",IFERROR(INDEX($BA$74:$BA$119,MATCH($AH$429,$AY$74:$AY$119,0)),1))</f>
        <v/>
      </c>
      <c r="AK429" s="482" t="str">
        <f t="shared" si="114"/>
        <v/>
      </c>
      <c r="AL429" s="477" t="str">
        <f>IF($AC$429="","",IFERROR(INDEX($BB$74:$BB$119,MATCH($AH$429,$AY$74:$AY$119,0)),$AH$429))</f>
        <v/>
      </c>
      <c r="AM429" s="483" t="str">
        <f t="shared" si="115"/>
        <v/>
      </c>
      <c r="AN429" s="484" t="str">
        <f t="shared" si="116"/>
        <v/>
      </c>
      <c r="AO429" s="473" t="str">
        <f t="shared" si="117"/>
        <v/>
      </c>
      <c r="AP429" s="473" t="str">
        <f t="shared" si="118"/>
        <v/>
      </c>
      <c r="AQ429" s="473" t="str">
        <f t="shared" si="119"/>
        <v/>
      </c>
      <c r="AR429" s="473" t="str">
        <f t="shared" si="120"/>
        <v/>
      </c>
      <c r="AS429" s="473" t="str">
        <f t="shared" si="121"/>
        <v/>
      </c>
      <c r="AT429" s="473" t="str">
        <f t="shared" si="122"/>
        <v/>
      </c>
      <c r="AU429" s="473" t="str">
        <f t="shared" si="123"/>
        <v/>
      </c>
      <c r="AY429" s="497" t="s">
        <v>465</v>
      </c>
      <c r="AZ429" s="32" t="s">
        <v>8131</v>
      </c>
      <c r="BA429" s="34" t="s">
        <v>6122</v>
      </c>
      <c r="BB429" s="499"/>
      <c r="BC429" s="271"/>
      <c r="BD429" s="279">
        <v>1</v>
      </c>
      <c r="BE429" s="271"/>
      <c r="BF429" s="271"/>
      <c r="BG429" s="271"/>
      <c r="BH429" s="271"/>
      <c r="BI429" s="271"/>
      <c r="BJ429" s="271"/>
      <c r="BK429" s="271"/>
      <c r="BL429" s="271"/>
    </row>
    <row r="430" spans="1:64" ht="21" customHeight="1" x14ac:dyDescent="0.25">
      <c r="R430" s="34" t="s">
        <v>6124</v>
      </c>
      <c r="S430" s="451"/>
      <c r="T430" s="31" t="s">
        <v>26</v>
      </c>
      <c r="V430" s="475">
        <v>10</v>
      </c>
      <c r="W430" s="475" t="str">
        <f>IF($AC$430="","",$W$396)</f>
        <v/>
      </c>
      <c r="X430" s="476" t="str">
        <f>IF($AC$430="","",$X$396)</f>
        <v/>
      </c>
      <c r="Y430" s="477" t="str">
        <f>IF($X$430="","",$Y$396)</f>
        <v/>
      </c>
      <c r="Z430" s="477" t="str">
        <f>IF($X$430="","",$Z$396)</f>
        <v/>
      </c>
      <c r="AA430" s="477" t="str">
        <f>IF($AC$430="","",ROW($A$430)-ROW($A$396))</f>
        <v/>
      </c>
      <c r="AB430" s="478"/>
      <c r="AC430" s="34"/>
      <c r="AD430" s="356"/>
      <c r="AE430" s="479"/>
      <c r="AF430" s="475"/>
      <c r="AG430" s="491" t="str">
        <f t="shared" si="112"/>
        <v/>
      </c>
      <c r="AH430" s="481" t="str">
        <f t="shared" si="113"/>
        <v/>
      </c>
      <c r="AI430" s="477" t="str">
        <f>IF($AC$430="","",IFERROR(INDEX($AZ$74:$AZ$119,MATCH($AH$430,$AY$74:$AY$119,0)),"AUTRE"))</f>
        <v/>
      </c>
      <c r="AJ430" s="482" t="str">
        <f>IF($AC$430="","",IFERROR(INDEX($BA$74:$BA$119,MATCH($AH$430,$AY$74:$AY$119,0)),1))</f>
        <v/>
      </c>
      <c r="AK430" s="482" t="str">
        <f t="shared" si="114"/>
        <v/>
      </c>
      <c r="AL430" s="477" t="str">
        <f>IF($AC$430="","",IFERROR(INDEX($BB$74:$BB$119,MATCH($AH$430,$AY$74:$AY$119,0)),$AH$430))</f>
        <v/>
      </c>
      <c r="AM430" s="483" t="str">
        <f t="shared" si="115"/>
        <v/>
      </c>
      <c r="AN430" s="484" t="str">
        <f t="shared" si="116"/>
        <v/>
      </c>
      <c r="AO430" s="473" t="str">
        <f t="shared" si="117"/>
        <v/>
      </c>
      <c r="AP430" s="473" t="str">
        <f t="shared" si="118"/>
        <v/>
      </c>
      <c r="AQ430" s="473" t="str">
        <f t="shared" si="119"/>
        <v/>
      </c>
      <c r="AR430" s="473" t="str">
        <f t="shared" si="120"/>
        <v/>
      </c>
      <c r="AS430" s="473" t="str">
        <f t="shared" si="121"/>
        <v/>
      </c>
      <c r="AT430" s="473" t="str">
        <f t="shared" si="122"/>
        <v/>
      </c>
      <c r="AU430" s="473" t="str">
        <f t="shared" si="123"/>
        <v/>
      </c>
      <c r="AY430" s="497" t="s">
        <v>466</v>
      </c>
      <c r="AZ430" s="32" t="s">
        <v>309</v>
      </c>
      <c r="BA430" s="34" t="s">
        <v>6123</v>
      </c>
      <c r="BB430" s="503" t="s">
        <v>8166</v>
      </c>
      <c r="BC430" s="271"/>
      <c r="BD430" s="279">
        <v>1</v>
      </c>
      <c r="BE430" s="271"/>
      <c r="BF430" s="271"/>
      <c r="BG430" s="271"/>
      <c r="BH430" s="271"/>
      <c r="BI430" s="271"/>
      <c r="BJ430" s="271"/>
      <c r="BK430" s="271"/>
      <c r="BL430" s="271"/>
    </row>
    <row r="431" spans="1:64" ht="21" customHeight="1" x14ac:dyDescent="0.25">
      <c r="R431" s="34" t="s">
        <v>6125</v>
      </c>
      <c r="S431" s="451"/>
      <c r="T431" s="31" t="s">
        <v>27</v>
      </c>
      <c r="V431" s="271"/>
      <c r="W431" s="271"/>
      <c r="X431" s="271"/>
      <c r="Y431" s="271"/>
      <c r="Z431" s="271"/>
      <c r="AA431" s="271"/>
      <c r="AB431" s="271"/>
      <c r="AC431" s="271"/>
      <c r="AD431" s="271"/>
      <c r="AE431" s="271"/>
      <c r="AF431" s="271"/>
      <c r="AG431" s="271"/>
      <c r="AH431" s="271"/>
      <c r="AI431" s="271"/>
      <c r="AJ431" s="271"/>
      <c r="AK431" s="271"/>
      <c r="AL431" s="271"/>
      <c r="AM431" s="271"/>
      <c r="AN431" s="271"/>
      <c r="AO431" s="271"/>
      <c r="AP431" s="271"/>
      <c r="AY431" s="271"/>
      <c r="AZ431" s="32" t="s">
        <v>311</v>
      </c>
      <c r="BA431" s="34" t="s">
        <v>6124</v>
      </c>
      <c r="BB431" s="271"/>
      <c r="BC431" s="271"/>
      <c r="BD431" s="504" t="s">
        <v>5889</v>
      </c>
      <c r="BE431" s="271"/>
      <c r="BF431" s="271"/>
      <c r="BG431" s="271"/>
      <c r="BH431" s="271"/>
      <c r="BI431" s="271"/>
      <c r="BJ431" s="271"/>
      <c r="BK431" s="271"/>
      <c r="BL431" s="271"/>
    </row>
    <row r="432" spans="1:64" ht="21" customHeight="1" x14ac:dyDescent="0.25">
      <c r="A432" s="279">
        <v>1</v>
      </c>
      <c r="B432" s="279">
        <v>1</v>
      </c>
      <c r="C432" s="279">
        <v>1</v>
      </c>
      <c r="D432" s="279">
        <v>1</v>
      </c>
      <c r="E432" s="279">
        <v>1</v>
      </c>
      <c r="F432" s="279">
        <v>1</v>
      </c>
      <c r="G432" s="279">
        <v>1</v>
      </c>
      <c r="H432" s="279">
        <v>1</v>
      </c>
      <c r="I432" s="279">
        <v>1</v>
      </c>
      <c r="J432" s="279">
        <v>1</v>
      </c>
      <c r="K432" s="279">
        <v>1</v>
      </c>
      <c r="L432" s="279">
        <v>1</v>
      </c>
      <c r="M432" s="279">
        <v>1</v>
      </c>
      <c r="N432" s="279">
        <v>1</v>
      </c>
      <c r="O432" s="279">
        <v>1</v>
      </c>
      <c r="P432" s="279">
        <v>1</v>
      </c>
      <c r="Q432" s="279">
        <v>1</v>
      </c>
      <c r="R432" s="279">
        <v>1</v>
      </c>
      <c r="S432" s="279">
        <v>1</v>
      </c>
      <c r="T432" s="279">
        <v>1</v>
      </c>
      <c r="U432" s="279">
        <v>1</v>
      </c>
      <c r="V432" s="279">
        <v>1</v>
      </c>
      <c r="W432" s="279">
        <v>1</v>
      </c>
      <c r="X432" s="279">
        <v>1</v>
      </c>
      <c r="Y432" s="279">
        <v>1</v>
      </c>
      <c r="Z432" s="279">
        <v>1</v>
      </c>
      <c r="AA432" s="279">
        <v>1</v>
      </c>
      <c r="AB432" s="279">
        <v>1</v>
      </c>
      <c r="AC432" s="279">
        <v>1</v>
      </c>
      <c r="AD432" s="279">
        <v>1</v>
      </c>
      <c r="AE432" s="279">
        <v>1</v>
      </c>
      <c r="AF432" s="279">
        <v>1</v>
      </c>
      <c r="AG432" s="279">
        <v>1</v>
      </c>
      <c r="AH432" s="279">
        <v>1</v>
      </c>
      <c r="AI432" s="279">
        <v>1</v>
      </c>
      <c r="AJ432" s="279">
        <v>1</v>
      </c>
      <c r="AK432" s="279"/>
      <c r="AL432" s="279">
        <v>1</v>
      </c>
      <c r="AM432" s="279">
        <v>1</v>
      </c>
      <c r="AN432" s="279">
        <v>1</v>
      </c>
      <c r="AO432" s="279">
        <v>1</v>
      </c>
      <c r="AP432" s="279">
        <v>1</v>
      </c>
      <c r="AQ432" s="279">
        <v>1</v>
      </c>
      <c r="AR432" s="279">
        <v>1</v>
      </c>
      <c r="AS432" s="279">
        <v>1</v>
      </c>
      <c r="AT432" s="279">
        <v>1</v>
      </c>
      <c r="AU432" s="279">
        <v>1</v>
      </c>
      <c r="AV432" s="279">
        <v>1</v>
      </c>
      <c r="AW432" s="279"/>
      <c r="AX432" s="279"/>
      <c r="AY432" s="279">
        <v>1</v>
      </c>
      <c r="AZ432" s="279">
        <v>1</v>
      </c>
      <c r="BA432" s="279">
        <v>1</v>
      </c>
      <c r="BB432" s="279">
        <v>1</v>
      </c>
      <c r="BC432" s="279">
        <v>1</v>
      </c>
      <c r="BD432" s="505" t="str">
        <f>ADDRESS(ROW(),COLUMN(),4)</f>
        <v>BD432</v>
      </c>
      <c r="BE432" s="271"/>
      <c r="BF432" s="271"/>
      <c r="BG432" s="271"/>
      <c r="BH432" s="271"/>
      <c r="BI432" s="271"/>
      <c r="BJ432" s="271"/>
      <c r="BK432" s="271"/>
      <c r="BL432" s="271"/>
    </row>
    <row r="433" spans="18:64" ht="21" customHeight="1" x14ac:dyDescent="0.25">
      <c r="S433" s="451"/>
      <c r="V433" s="271"/>
      <c r="W433" s="271"/>
      <c r="X433" s="271"/>
      <c r="Y433" s="271"/>
      <c r="Z433" s="271"/>
      <c r="AA433" s="271"/>
      <c r="AB433" s="271"/>
      <c r="AC433" s="271"/>
      <c r="AD433" s="271"/>
      <c r="AE433" s="271"/>
      <c r="AF433" s="271"/>
      <c r="AG433" s="271"/>
      <c r="AH433" s="271"/>
      <c r="AI433" s="271"/>
      <c r="AJ433" s="271"/>
      <c r="AK433" s="271"/>
      <c r="AL433" s="271"/>
      <c r="AM433" s="271"/>
      <c r="AN433" s="271"/>
      <c r="AO433" s="271"/>
      <c r="AP433" s="271"/>
      <c r="AY433" s="271"/>
      <c r="AZ433" s="271"/>
      <c r="BA433" s="271"/>
      <c r="BB433" s="271"/>
      <c r="BC433" s="271"/>
      <c r="BE433" s="271"/>
      <c r="BF433" s="271"/>
      <c r="BG433" s="271"/>
      <c r="BH433" s="271"/>
      <c r="BI433" s="271"/>
      <c r="BJ433" s="271"/>
      <c r="BK433" s="271"/>
      <c r="BL433" s="271"/>
    </row>
    <row r="434" spans="18:64" ht="21" customHeight="1" x14ac:dyDescent="0.25">
      <c r="S434" s="451"/>
      <c r="V434" s="271"/>
      <c r="W434" s="271"/>
      <c r="X434" s="271"/>
      <c r="Y434" s="271"/>
      <c r="Z434" s="271"/>
      <c r="AA434" s="271"/>
      <c r="AB434" s="271"/>
      <c r="AC434" s="271"/>
      <c r="AD434" s="271"/>
      <c r="AE434" s="271"/>
      <c r="AF434" s="271"/>
      <c r="AG434" s="271"/>
      <c r="AH434" s="271"/>
      <c r="AI434" s="271"/>
      <c r="AJ434" s="271"/>
      <c r="AK434" s="271"/>
      <c r="AL434" s="271"/>
      <c r="AM434" s="271"/>
      <c r="AN434" s="271"/>
      <c r="AO434" s="271"/>
      <c r="AP434" s="271"/>
      <c r="AY434" s="271"/>
      <c r="AZ434" s="271"/>
      <c r="BA434" s="271"/>
      <c r="BB434" s="271"/>
      <c r="BC434" s="271"/>
      <c r="BE434" s="271"/>
      <c r="BF434" s="271"/>
      <c r="BG434" s="271"/>
      <c r="BH434" s="271"/>
      <c r="BI434" s="271"/>
      <c r="BJ434" s="271"/>
      <c r="BK434" s="271"/>
      <c r="BL434" s="271"/>
    </row>
    <row r="435" spans="18:64" ht="21" customHeight="1" x14ac:dyDescent="0.25">
      <c r="S435" s="451"/>
    </row>
    <row r="436" spans="18:64" ht="21" customHeight="1" x14ac:dyDescent="0.25">
      <c r="S436" s="451"/>
    </row>
    <row r="437" spans="18:64" ht="21" customHeight="1" x14ac:dyDescent="0.25">
      <c r="S437" s="451"/>
    </row>
    <row r="438" spans="18:64" ht="21" customHeight="1" x14ac:dyDescent="0.25">
      <c r="S438" s="451"/>
    </row>
    <row r="439" spans="18:64" ht="21" customHeight="1" x14ac:dyDescent="0.25">
      <c r="S439" s="451"/>
    </row>
    <row r="440" spans="18:64" ht="21" customHeight="1" x14ac:dyDescent="0.25">
      <c r="R440" s="451"/>
      <c r="S440" s="451"/>
    </row>
    <row r="441" spans="18:64" ht="21" customHeight="1" x14ac:dyDescent="0.25">
      <c r="R441" s="451"/>
      <c r="S441" s="451"/>
    </row>
    <row r="442" spans="18:64" ht="21" customHeight="1" x14ac:dyDescent="0.25">
      <c r="R442" s="451"/>
      <c r="S442" s="451"/>
    </row>
    <row r="443" spans="18:64" ht="21" customHeight="1" x14ac:dyDescent="0.25"/>
    <row r="444" spans="18:64" ht="21" customHeight="1" x14ac:dyDescent="0.25"/>
    <row r="445" spans="18:64" ht="21" customHeight="1" x14ac:dyDescent="0.25"/>
    <row r="446" spans="18:64" ht="21" customHeight="1" x14ac:dyDescent="0.25"/>
    <row r="447" spans="18:64" ht="21" customHeight="1" x14ac:dyDescent="0.25"/>
    <row r="448" spans="18:64" ht="21" customHeight="1" x14ac:dyDescent="0.25"/>
    <row r="449" ht="21" customHeight="1" x14ac:dyDescent="0.25"/>
    <row r="450" ht="21" customHeight="1" x14ac:dyDescent="0.25"/>
    <row r="451" ht="21" customHeight="1" x14ac:dyDescent="0.25"/>
    <row r="452" ht="21" customHeight="1" x14ac:dyDescent="0.25"/>
    <row r="453" ht="21" customHeight="1" x14ac:dyDescent="0.25"/>
    <row r="454" ht="21" customHeight="1" x14ac:dyDescent="0.25"/>
  </sheetData>
  <mergeCells count="106">
    <mergeCell ref="A1:I1"/>
    <mergeCell ref="U1:AA1"/>
    <mergeCell ref="A2:I2"/>
    <mergeCell ref="U2:AA4"/>
    <mergeCell ref="AG3:AH3"/>
    <mergeCell ref="A4:I4"/>
    <mergeCell ref="R4:S5"/>
    <mergeCell ref="C5:I5"/>
    <mergeCell ref="AG5:AH5"/>
    <mergeCell ref="A9:I9"/>
    <mergeCell ref="AG9:AH9"/>
    <mergeCell ref="A10:D10"/>
    <mergeCell ref="F10:I10"/>
    <mergeCell ref="U10:AA11"/>
    <mergeCell ref="AG10:AH10"/>
    <mergeCell ref="B11:D11"/>
    <mergeCell ref="B6:I6"/>
    <mergeCell ref="U6:AA6"/>
    <mergeCell ref="AG6:AH6"/>
    <mergeCell ref="B7:C7"/>
    <mergeCell ref="E7:F7"/>
    <mergeCell ref="H7:I7"/>
    <mergeCell ref="U7:AA8"/>
    <mergeCell ref="AG7:AH7"/>
    <mergeCell ref="AG8:AH8"/>
    <mergeCell ref="A19:I19"/>
    <mergeCell ref="E20:F20"/>
    <mergeCell ref="G20:I20"/>
    <mergeCell ref="U20:U21"/>
    <mergeCell ref="V20:V21"/>
    <mergeCell ref="W20:AA21"/>
    <mergeCell ref="U12:AA13"/>
    <mergeCell ref="F13:I14"/>
    <mergeCell ref="A15:I15"/>
    <mergeCell ref="U15:AA15"/>
    <mergeCell ref="B16:I16"/>
    <mergeCell ref="U16:U17"/>
    <mergeCell ref="V16:V17"/>
    <mergeCell ref="W16:AA17"/>
    <mergeCell ref="B17:I17"/>
    <mergeCell ref="K17:Q21"/>
    <mergeCell ref="U22:U23"/>
    <mergeCell ref="V22:V23"/>
    <mergeCell ref="W22:AA23"/>
    <mergeCell ref="U24:U25"/>
    <mergeCell ref="V24:V25"/>
    <mergeCell ref="W24:AA25"/>
    <mergeCell ref="AG17:AH17"/>
    <mergeCell ref="U18:U19"/>
    <mergeCell ref="V18:V19"/>
    <mergeCell ref="W18:AA19"/>
    <mergeCell ref="U30:AA30"/>
    <mergeCell ref="AG30:AH30"/>
    <mergeCell ref="U31:V32"/>
    <mergeCell ref="W31:AA32"/>
    <mergeCell ref="AG31:AH31"/>
    <mergeCell ref="AG32:AH32"/>
    <mergeCell ref="U26:U27"/>
    <mergeCell ref="V26:V27"/>
    <mergeCell ref="W26:AA27"/>
    <mergeCell ref="AG26:AH26"/>
    <mergeCell ref="AG27:AH27"/>
    <mergeCell ref="U28:U29"/>
    <mergeCell ref="W28:AA29"/>
    <mergeCell ref="AG29:AH29"/>
    <mergeCell ref="U37:V38"/>
    <mergeCell ref="W37:AA38"/>
    <mergeCell ref="AG37:AH37"/>
    <mergeCell ref="AG38:AH38"/>
    <mergeCell ref="U39:V40"/>
    <mergeCell ref="W39:AA40"/>
    <mergeCell ref="AG39:AH39"/>
    <mergeCell ref="AG40:AH40"/>
    <mergeCell ref="U33:V34"/>
    <mergeCell ref="W33:AA34"/>
    <mergeCell ref="AG33:AH33"/>
    <mergeCell ref="AG34:AH34"/>
    <mergeCell ref="U35:V36"/>
    <mergeCell ref="W35:AA36"/>
    <mergeCell ref="AG35:AH35"/>
    <mergeCell ref="AG46:AH46"/>
    <mergeCell ref="AN55:BB65"/>
    <mergeCell ref="A58:I58"/>
    <mergeCell ref="A60:I60"/>
    <mergeCell ref="B61:I63"/>
    <mergeCell ref="AN66:BB67"/>
    <mergeCell ref="AB67:AC68"/>
    <mergeCell ref="U41:AA41"/>
    <mergeCell ref="AG41:AH41"/>
    <mergeCell ref="U42:V43"/>
    <mergeCell ref="W42:AA43"/>
    <mergeCell ref="AG43:AH43"/>
    <mergeCell ref="U44:V45"/>
    <mergeCell ref="W44:AA45"/>
    <mergeCell ref="AG44:AH44"/>
    <mergeCell ref="AG45:AH45"/>
    <mergeCell ref="AP287:AU287"/>
    <mergeCell ref="AP323:AU323"/>
    <mergeCell ref="AP359:AU359"/>
    <mergeCell ref="AP395:AU395"/>
    <mergeCell ref="AP71:AU71"/>
    <mergeCell ref="AP107:AU107"/>
    <mergeCell ref="AP143:AU143"/>
    <mergeCell ref="AP179:AU179"/>
    <mergeCell ref="AP215:AU215"/>
    <mergeCell ref="AP251:AU251"/>
  </mergeCells>
  <conditionalFormatting sqref="I22:I56">
    <cfRule type="expression" dxfId="11" priority="1">
      <formula>I22="A CONTROLER"</formula>
    </cfRule>
    <cfRule type="expression" dxfId="10" priority="2">
      <formula>I22="OK"</formula>
    </cfRule>
  </conditionalFormatting>
  <dataValidations count="1">
    <dataValidation type="list" sqref="B5" xr:uid="{6FBAE491-7360-48BB-B8B9-70D12DA963B0}">
      <formula1>"1,2,3,4,5,6,7,8,9,10"</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01AC5-22F5-4F33-B0BC-FE8BC05284F4}">
  <dimension ref="A1:DG454"/>
  <sheetViews>
    <sheetView workbookViewId="0">
      <selection activeCell="R26" sqref="R26"/>
    </sheetView>
  </sheetViews>
  <sheetFormatPr baseColWidth="10" defaultColWidth="10.28515625" defaultRowHeight="15.75" x14ac:dyDescent="0.25"/>
  <cols>
    <col min="1" max="1" width="23.7109375" style="151" customWidth="1"/>
    <col min="2" max="2" width="40.28515625" style="151" customWidth="1"/>
    <col min="3" max="3" width="13.140625" style="151" customWidth="1"/>
    <col min="4" max="4" width="16.28515625" style="151" customWidth="1"/>
    <col min="5" max="5" width="15.140625" style="151" customWidth="1"/>
    <col min="6" max="6" width="18.85546875" style="151" customWidth="1"/>
    <col min="7" max="7" width="15.42578125" style="151" customWidth="1"/>
    <col min="8" max="8" width="13.140625" style="151" customWidth="1"/>
    <col min="9" max="9" width="19.7109375" style="151" customWidth="1"/>
    <col min="10" max="12" width="10.28515625" style="151"/>
    <col min="13" max="13" width="31.140625" style="151" customWidth="1"/>
    <col min="14" max="14" width="14.85546875" style="151" customWidth="1"/>
    <col min="15" max="15" width="10.28515625" style="151"/>
    <col min="16" max="17" width="14.85546875" style="151" customWidth="1"/>
    <col min="18" max="18" width="41.7109375" style="151" customWidth="1"/>
    <col min="19" max="19" width="10.5703125" style="151" customWidth="1"/>
    <col min="20" max="20" width="18.85546875" style="151" customWidth="1"/>
    <col min="21" max="21" width="7.42578125" style="151" customWidth="1"/>
    <col min="22" max="22" width="16.85546875" style="151" customWidth="1"/>
    <col min="23" max="23" width="17.7109375" style="151" customWidth="1"/>
    <col min="24" max="24" width="55.7109375" style="151" customWidth="1"/>
    <col min="25" max="25" width="12" style="151" customWidth="1"/>
    <col min="26" max="26" width="10.85546875" style="151" customWidth="1"/>
    <col min="27" max="27" width="11.42578125" style="151" customWidth="1"/>
    <col min="28" max="28" width="23.7109375" style="151" customWidth="1"/>
    <col min="29" max="29" width="46.5703125" style="151" customWidth="1"/>
    <col min="30" max="30" width="25.7109375" style="151" customWidth="1"/>
    <col min="31" max="31" width="18.5703125" style="151" customWidth="1"/>
    <col min="32" max="34" width="18.28515625" style="151" customWidth="1"/>
    <col min="35" max="35" width="16.85546875" style="151" customWidth="1"/>
    <col min="36" max="38" width="16" style="151" customWidth="1"/>
    <col min="39" max="39" width="32.28515625" style="151" customWidth="1"/>
    <col min="40" max="40" width="16" style="151" customWidth="1"/>
    <col min="41" max="41" width="24.5703125" style="151" customWidth="1"/>
    <col min="42" max="42" width="20.5703125" style="151" customWidth="1"/>
    <col min="43" max="50" width="10.28515625" style="151"/>
    <col min="51" max="51" width="20.28515625" style="151" customWidth="1"/>
    <col min="52" max="52" width="16" style="151" customWidth="1"/>
    <col min="53" max="53" width="35.42578125" style="151" customWidth="1"/>
    <col min="54" max="54" width="17.140625" style="151" customWidth="1"/>
    <col min="55" max="55" width="13.7109375" style="151" customWidth="1"/>
    <col min="56" max="56" width="10.28515625" style="92"/>
    <col min="57" max="57" width="11.42578125" style="151" customWidth="1"/>
    <col min="58" max="58" width="14.85546875" style="151" customWidth="1"/>
    <col min="59" max="59" width="3.42578125" style="151" customWidth="1"/>
    <col min="60" max="60" width="11.42578125" style="151" customWidth="1"/>
    <col min="61" max="61" width="13.7109375" style="151" customWidth="1"/>
    <col min="62" max="62" width="11.42578125" style="151" customWidth="1"/>
    <col min="63" max="64" width="14.85546875" style="151" customWidth="1"/>
    <col min="65" max="16384" width="10.28515625" style="151"/>
  </cols>
  <sheetData>
    <row r="1" spans="1:111" ht="48" customHeight="1" x14ac:dyDescent="0.25">
      <c r="A1" s="735" t="str">
        <f>"RECETTES DE COLLECTIVITÉ &gt; LES ENTRÉES - TOASTS"&amp;" - "&amp;B6</f>
        <v>RECETTES DE COLLECTIVITÉ &gt; LES ENTRÉES - TOASTS - PANINI ALLA GRIGLIA</v>
      </c>
      <c r="B1" s="736"/>
      <c r="C1" s="736"/>
      <c r="D1" s="736"/>
      <c r="E1" s="736"/>
      <c r="F1" s="736"/>
      <c r="G1" s="736"/>
      <c r="H1" s="736"/>
      <c r="I1" s="737"/>
      <c r="J1" s="271"/>
      <c r="K1" s="272" t="s">
        <v>7897</v>
      </c>
      <c r="L1" s="273"/>
      <c r="M1" s="273"/>
      <c r="N1" s="273"/>
      <c r="O1" s="273"/>
      <c r="P1" s="274"/>
      <c r="Q1" s="274"/>
      <c r="R1" s="274"/>
      <c r="S1" s="274"/>
      <c r="T1" s="274"/>
      <c r="U1" s="538" t="s">
        <v>7898</v>
      </c>
      <c r="V1" s="539"/>
      <c r="W1" s="539"/>
      <c r="X1" s="539"/>
      <c r="Y1" s="539"/>
      <c r="Z1" s="539"/>
      <c r="AA1" s="540"/>
      <c r="AC1" s="275"/>
      <c r="AD1" s="276" t="s">
        <v>7899</v>
      </c>
      <c r="AE1" s="277"/>
      <c r="AF1" s="277"/>
      <c r="AG1" s="277"/>
      <c r="AH1" s="277"/>
      <c r="AI1" s="277"/>
      <c r="AJ1" s="277"/>
      <c r="AK1" s="277"/>
      <c r="AL1" s="277"/>
      <c r="AM1" s="277"/>
      <c r="AN1" s="277"/>
      <c r="AO1" s="277"/>
      <c r="AP1" s="277"/>
      <c r="AQ1" s="277"/>
      <c r="AS1" s="278" t="s">
        <v>0</v>
      </c>
      <c r="BB1" s="271"/>
      <c r="BC1" s="271"/>
      <c r="BD1" s="279">
        <v>1</v>
      </c>
      <c r="BE1" s="271"/>
      <c r="BF1" s="271"/>
      <c r="BG1" s="271"/>
      <c r="BH1" s="271"/>
      <c r="BI1" s="271"/>
      <c r="BJ1" s="271"/>
      <c r="BK1" s="271"/>
      <c r="BL1" s="271"/>
    </row>
    <row r="2" spans="1:111" ht="21.95" customHeight="1" x14ac:dyDescent="0.25">
      <c r="A2" s="705" t="s">
        <v>7900</v>
      </c>
      <c r="B2" s="706"/>
      <c r="C2" s="706"/>
      <c r="D2" s="706"/>
      <c r="E2" s="706"/>
      <c r="F2" s="706"/>
      <c r="G2" s="706"/>
      <c r="H2" s="706"/>
      <c r="I2" s="707"/>
      <c r="J2" s="271"/>
      <c r="K2" s="280"/>
      <c r="L2" s="280"/>
      <c r="M2" s="280"/>
      <c r="N2" s="281" t="s">
        <v>8218</v>
      </c>
      <c r="O2" s="280"/>
      <c r="P2" s="274"/>
      <c r="Q2" s="274"/>
      <c r="R2" s="274"/>
      <c r="S2" s="274"/>
      <c r="T2" s="274"/>
      <c r="U2" s="541" t="s">
        <v>7901</v>
      </c>
      <c r="V2" s="542"/>
      <c r="W2" s="542"/>
      <c r="X2" s="542"/>
      <c r="Y2" s="542"/>
      <c r="Z2" s="542"/>
      <c r="AA2" s="543"/>
      <c r="AC2" s="275"/>
      <c r="AD2" s="282" t="s">
        <v>7902</v>
      </c>
      <c r="AE2" s="283"/>
      <c r="AF2" s="283"/>
      <c r="AG2" s="283"/>
      <c r="AH2" s="283"/>
      <c r="AI2" s="283"/>
      <c r="AJ2" s="283"/>
      <c r="AK2" s="283"/>
      <c r="AL2" s="283"/>
      <c r="AM2" s="283"/>
      <c r="AN2" s="283"/>
      <c r="AO2" s="283"/>
      <c r="AP2" s="283"/>
      <c r="AQ2" s="283"/>
      <c r="BC2" s="271"/>
      <c r="BD2" s="279">
        <v>1</v>
      </c>
      <c r="BE2" s="271"/>
      <c r="BF2" s="271"/>
      <c r="BG2" s="271"/>
      <c r="BH2" s="271"/>
      <c r="BI2" s="271"/>
      <c r="BJ2" s="271"/>
      <c r="BK2" s="271"/>
      <c r="BL2" s="271"/>
    </row>
    <row r="3" spans="1:111" ht="21.95" customHeight="1" thickBot="1" x14ac:dyDescent="0.3">
      <c r="A3" s="152" t="s">
        <v>7903</v>
      </c>
      <c r="B3" s="284"/>
      <c r="C3" s="284"/>
      <c r="D3" s="284"/>
      <c r="E3" s="284"/>
      <c r="F3" s="284"/>
      <c r="G3" s="284"/>
      <c r="H3" s="284"/>
      <c r="I3" s="284"/>
      <c r="J3" s="271"/>
      <c r="K3" s="285" t="s">
        <v>344</v>
      </c>
      <c r="R3" s="274"/>
      <c r="S3" s="274"/>
      <c r="T3" s="274"/>
      <c r="U3" s="544"/>
      <c r="V3" s="545"/>
      <c r="W3" s="545"/>
      <c r="X3" s="545"/>
      <c r="Y3" s="545"/>
      <c r="Z3" s="545"/>
      <c r="AA3" s="546"/>
      <c r="AC3" s="275"/>
      <c r="AD3" s="286" t="s">
        <v>5975</v>
      </c>
      <c r="AE3" s="287" t="s">
        <v>7904</v>
      </c>
      <c r="AF3" s="287" t="s">
        <v>7905</v>
      </c>
      <c r="AG3" s="550" t="s">
        <v>7906</v>
      </c>
      <c r="AH3" s="550"/>
      <c r="AI3" s="288" t="s">
        <v>7907</v>
      </c>
      <c r="AJ3" s="289"/>
      <c r="AK3" s="289"/>
      <c r="AL3" s="289"/>
      <c r="AM3" s="290"/>
      <c r="AN3" s="290"/>
      <c r="AO3" s="290"/>
      <c r="AP3" s="290"/>
      <c r="AQ3" s="290"/>
      <c r="BC3" s="271"/>
      <c r="BD3" s="279">
        <v>1</v>
      </c>
      <c r="BE3" s="271"/>
      <c r="BF3" s="271"/>
      <c r="BG3" s="271"/>
      <c r="BH3" s="271"/>
      <c r="BI3" s="271"/>
      <c r="BJ3" s="271"/>
      <c r="BK3" s="271"/>
      <c r="BL3" s="271"/>
    </row>
    <row r="4" spans="1:111" ht="21.95" customHeight="1" x14ac:dyDescent="0.25">
      <c r="A4" s="738" t="s">
        <v>328</v>
      </c>
      <c r="B4" s="739"/>
      <c r="C4" s="739"/>
      <c r="D4" s="739"/>
      <c r="E4" s="739"/>
      <c r="F4" s="739"/>
      <c r="G4" s="739"/>
      <c r="H4" s="739"/>
      <c r="I4" s="740"/>
      <c r="J4" s="271"/>
      <c r="K4" s="291" t="s">
        <v>7908</v>
      </c>
      <c r="L4" s="292"/>
      <c r="M4" s="292"/>
      <c r="N4" s="292"/>
      <c r="O4" s="292"/>
      <c r="P4" s="292"/>
      <c r="Q4" s="292"/>
      <c r="R4" s="711" t="s">
        <v>5849</v>
      </c>
      <c r="S4" s="711"/>
      <c r="T4" s="293" t="str">
        <f>$BD$432</f>
        <v>BD432</v>
      </c>
      <c r="U4" s="547"/>
      <c r="V4" s="548"/>
      <c r="W4" s="548"/>
      <c r="X4" s="548"/>
      <c r="Y4" s="548"/>
      <c r="Z4" s="548"/>
      <c r="AA4" s="549"/>
      <c r="AC4" s="275"/>
      <c r="AD4" s="294" t="s">
        <v>7909</v>
      </c>
      <c r="AE4" s="295"/>
      <c r="AF4" s="296"/>
      <c r="AG4" s="295"/>
      <c r="AH4" s="295"/>
      <c r="AI4" s="295"/>
      <c r="AJ4" s="295"/>
      <c r="AK4" s="295"/>
      <c r="AL4" s="295"/>
      <c r="AM4" s="295"/>
      <c r="AN4" s="295"/>
      <c r="AO4" s="295"/>
      <c r="AP4" s="295"/>
      <c r="AQ4" s="295"/>
      <c r="BC4" s="271"/>
      <c r="BD4" s="279">
        <v>1</v>
      </c>
      <c r="BE4" s="271"/>
      <c r="BF4" s="271"/>
      <c r="BG4" s="271"/>
    </row>
    <row r="5" spans="1:111" ht="21.95" customHeight="1" x14ac:dyDescent="0.25">
      <c r="A5" s="297" t="s">
        <v>8170</v>
      </c>
      <c r="B5" s="153">
        <v>4</v>
      </c>
      <c r="C5" s="712" t="s">
        <v>7911</v>
      </c>
      <c r="D5" s="712"/>
      <c r="E5" s="712"/>
      <c r="F5" s="712"/>
      <c r="G5" s="712"/>
      <c r="H5" s="712"/>
      <c r="I5" s="713"/>
      <c r="J5" s="271"/>
      <c r="K5" s="298" t="s">
        <v>324</v>
      </c>
      <c r="L5" s="298" t="s">
        <v>7912</v>
      </c>
      <c r="M5" s="298" t="s">
        <v>326</v>
      </c>
      <c r="N5" s="298" t="s">
        <v>7913</v>
      </c>
      <c r="O5" s="298" t="s">
        <v>7914</v>
      </c>
      <c r="P5" s="298" t="s">
        <v>333</v>
      </c>
      <c r="Q5" s="298" t="s">
        <v>327</v>
      </c>
      <c r="R5" s="711"/>
      <c r="S5" s="711"/>
      <c r="U5" s="299"/>
      <c r="V5" s="271"/>
      <c r="W5" s="271"/>
      <c r="X5" s="271"/>
      <c r="Y5" s="271"/>
      <c r="Z5" s="271"/>
      <c r="AA5" s="300"/>
      <c r="AC5" s="275"/>
      <c r="AD5" s="301" t="s">
        <v>7858</v>
      </c>
      <c r="AE5" s="302" t="s">
        <v>7910</v>
      </c>
      <c r="AF5" s="303" t="s">
        <v>7915</v>
      </c>
      <c r="AG5" s="551" t="s">
        <v>281</v>
      </c>
      <c r="AH5" s="551"/>
      <c r="AI5" s="304" t="s">
        <v>7916</v>
      </c>
      <c r="AJ5" s="304"/>
      <c r="AK5" s="304"/>
      <c r="AL5" s="304"/>
      <c r="AM5" s="304"/>
      <c r="AN5" s="304"/>
      <c r="AO5" s="304"/>
      <c r="AP5" s="304"/>
      <c r="AQ5" s="304"/>
      <c r="BC5" s="271"/>
      <c r="BD5" s="279">
        <v>1</v>
      </c>
      <c r="BE5" s="271"/>
      <c r="BF5" s="271"/>
      <c r="BG5" s="271"/>
    </row>
    <row r="6" spans="1:111" ht="21.95" customHeight="1" x14ac:dyDescent="0.25">
      <c r="A6" s="305" t="s">
        <v>329</v>
      </c>
      <c r="B6" s="698" t="str" cm="1">
        <f t="array" ref="B6">IFERROR(INDEX($M$6:$M$15,$B$5),"")</f>
        <v>PANINI ALLA GRIGLIA</v>
      </c>
      <c r="C6" s="698"/>
      <c r="D6" s="698"/>
      <c r="E6" s="698"/>
      <c r="F6" s="698"/>
      <c r="G6" s="698"/>
      <c r="H6" s="698"/>
      <c r="I6" s="699"/>
      <c r="J6" s="271"/>
      <c r="K6" s="154">
        <f>$V$72</f>
        <v>1</v>
      </c>
      <c r="L6" s="306" t="str">
        <f>$W$72</f>
        <v>N° 34</v>
      </c>
      <c r="M6" s="307" t="str">
        <f>$X$72</f>
        <v>TOASTS A LA TAPENADE</v>
      </c>
      <c r="N6" s="308">
        <f>IF(AK72="","",AK72)</f>
        <v>4</v>
      </c>
      <c r="O6" s="308" t="str">
        <f>IF(AL72="","",AL72)</f>
        <v>kg</v>
      </c>
      <c r="P6" s="309">
        <f>$Z$72</f>
        <v>100</v>
      </c>
      <c r="Q6" s="310">
        <f>$Y$72</f>
        <v>51</v>
      </c>
      <c r="U6" s="558" t="s">
        <v>7917</v>
      </c>
      <c r="V6" s="559"/>
      <c r="W6" s="559"/>
      <c r="X6" s="559"/>
      <c r="Y6" s="559"/>
      <c r="Z6" s="559"/>
      <c r="AA6" s="560"/>
      <c r="AC6" s="275"/>
      <c r="AD6" s="301" t="s">
        <v>7858</v>
      </c>
      <c r="AE6" s="302" t="s">
        <v>7912</v>
      </c>
      <c r="AF6" s="303" t="s">
        <v>7918</v>
      </c>
      <c r="AG6" s="561" t="s">
        <v>7919</v>
      </c>
      <c r="AH6" s="561"/>
      <c r="AI6" s="311" t="s">
        <v>7920</v>
      </c>
      <c r="AJ6" s="311"/>
      <c r="AK6" s="311"/>
      <c r="AL6" s="311"/>
      <c r="AM6" s="311"/>
      <c r="AN6" s="311"/>
      <c r="AO6" s="311"/>
      <c r="AP6" s="311"/>
      <c r="AQ6" s="311"/>
      <c r="BC6" s="271"/>
      <c r="BD6" s="279">
        <v>1</v>
      </c>
      <c r="BE6" s="271"/>
      <c r="BF6" s="271"/>
      <c r="BG6" s="271"/>
    </row>
    <row r="7" spans="1:111" ht="15.75" customHeight="1" x14ac:dyDescent="0.25">
      <c r="A7" s="312" t="s">
        <v>325</v>
      </c>
      <c r="B7" s="700" t="str" cm="1">
        <f t="array" ref="B7">IFERROR(INDEX($L$6:$L$15,$B$5),"")</f>
        <v>N° 37</v>
      </c>
      <c r="C7" s="700"/>
      <c r="D7" s="313" t="s">
        <v>330</v>
      </c>
      <c r="E7" s="700" t="s">
        <v>3</v>
      </c>
      <c r="F7" s="700"/>
      <c r="G7" s="313" t="s">
        <v>327</v>
      </c>
      <c r="H7" s="700" cm="1">
        <f t="array" ref="H7">IFERROR(INDEX($Y$72:$Y$430,1+($B$5-1)*36),"")</f>
        <v>54</v>
      </c>
      <c r="I7" s="701"/>
      <c r="J7" s="271"/>
      <c r="K7" s="155">
        <f>$V$108</f>
        <v>2</v>
      </c>
      <c r="L7" s="306" t="str">
        <f>$W$108</f>
        <v>N° 35</v>
      </c>
      <c r="M7" s="307" t="str">
        <f>$X$108</f>
        <v>TOASTS A L'ANCHOÏADE</v>
      </c>
      <c r="N7" s="308">
        <f>IF(AK108="","",AK108)</f>
        <v>4</v>
      </c>
      <c r="O7" s="308" t="str">
        <f>IF(AL108="","",AL108)</f>
        <v>kg</v>
      </c>
      <c r="P7" s="309">
        <f>$Z$108</f>
        <v>100</v>
      </c>
      <c r="Q7" s="310">
        <f>$Y$108</f>
        <v>52</v>
      </c>
      <c r="U7" s="562" t="s">
        <v>7921</v>
      </c>
      <c r="V7" s="563"/>
      <c r="W7" s="563"/>
      <c r="X7" s="563"/>
      <c r="Y7" s="563"/>
      <c r="Z7" s="563"/>
      <c r="AA7" s="564"/>
      <c r="AC7" s="275"/>
      <c r="AD7" s="301" t="s">
        <v>7858</v>
      </c>
      <c r="AE7" s="302" t="s">
        <v>326</v>
      </c>
      <c r="AF7" s="303" t="s">
        <v>7922</v>
      </c>
      <c r="AG7" s="565" t="s">
        <v>7923</v>
      </c>
      <c r="AH7" s="565"/>
      <c r="AI7" s="311" t="s">
        <v>7924</v>
      </c>
      <c r="AJ7" s="311"/>
      <c r="AK7" s="311"/>
      <c r="AL7" s="311"/>
      <c r="AM7" s="311"/>
      <c r="AN7" s="311"/>
      <c r="AO7" s="311"/>
      <c r="AP7" s="311"/>
      <c r="AQ7" s="311"/>
      <c r="BC7" s="271"/>
      <c r="BD7" s="279">
        <v>1</v>
      </c>
      <c r="BE7" s="271"/>
      <c r="BF7" s="271"/>
      <c r="BG7" s="271"/>
    </row>
    <row r="8" spans="1:111" ht="23.1" customHeight="1" x14ac:dyDescent="0.25">
      <c r="A8" s="284"/>
      <c r="B8" s="284"/>
      <c r="C8" s="284"/>
      <c r="D8" s="284"/>
      <c r="E8" s="284"/>
      <c r="F8" s="284"/>
      <c r="G8" s="284"/>
      <c r="H8" s="284"/>
      <c r="I8" s="284"/>
      <c r="J8" s="271" t="s">
        <v>7925</v>
      </c>
      <c r="K8" s="155">
        <f>$V$144</f>
        <v>3</v>
      </c>
      <c r="L8" s="306" t="str">
        <f>$W$144</f>
        <v>N° 36</v>
      </c>
      <c r="M8" s="307" t="str">
        <f>$X$144</f>
        <v>BRUSCHETTA</v>
      </c>
      <c r="N8" s="308">
        <f>IF(AK144="","",AK144)</f>
        <v>4</v>
      </c>
      <c r="O8" s="308" t="str">
        <f>IF(AL144="","",AL144)</f>
        <v>kg</v>
      </c>
      <c r="P8" s="309">
        <f>$Z$144</f>
        <v>100</v>
      </c>
      <c r="Q8" s="310">
        <f>$Y$144</f>
        <v>53</v>
      </c>
      <c r="U8" s="553"/>
      <c r="V8" s="554"/>
      <c r="W8" s="554"/>
      <c r="X8" s="554"/>
      <c r="Y8" s="554"/>
      <c r="Z8" s="554"/>
      <c r="AA8" s="555"/>
      <c r="AC8" s="275"/>
      <c r="AD8" s="301" t="s">
        <v>7858</v>
      </c>
      <c r="AE8" s="302" t="s">
        <v>327</v>
      </c>
      <c r="AF8" s="303" t="s">
        <v>7926</v>
      </c>
      <c r="AG8" s="566" t="s">
        <v>7927</v>
      </c>
      <c r="AH8" s="566"/>
      <c r="AI8" s="311" t="s">
        <v>7928</v>
      </c>
      <c r="AJ8" s="311"/>
      <c r="AK8" s="311"/>
      <c r="AL8" s="311"/>
      <c r="AM8" s="311"/>
      <c r="AN8" s="311"/>
      <c r="AO8" s="311"/>
      <c r="AP8" s="311"/>
      <c r="AQ8" s="311"/>
      <c r="BC8" s="271"/>
      <c r="BD8" s="279">
        <v>1</v>
      </c>
      <c r="BE8" s="271"/>
      <c r="BF8" s="271"/>
      <c r="BG8" s="271"/>
    </row>
    <row r="9" spans="1:111" ht="23.1" customHeight="1" x14ac:dyDescent="0.25">
      <c r="A9" s="732" t="s">
        <v>331</v>
      </c>
      <c r="B9" s="733"/>
      <c r="C9" s="733"/>
      <c r="D9" s="733"/>
      <c r="E9" s="733"/>
      <c r="F9" s="733"/>
      <c r="G9" s="733"/>
      <c r="H9" s="733"/>
      <c r="I9" s="734"/>
      <c r="J9" s="271"/>
      <c r="K9" s="155">
        <f>$V$180</f>
        <v>4</v>
      </c>
      <c r="L9" s="306" t="str">
        <f>$W$180</f>
        <v>N° 37</v>
      </c>
      <c r="M9" s="307" t="str">
        <f>$X$180</f>
        <v>PANINI ALLA GRIGLIA</v>
      </c>
      <c r="N9" s="308">
        <f>IF(AK180="","",AK180)</f>
        <v>4</v>
      </c>
      <c r="O9" s="308" t="str">
        <f>IF(AL180="","",AL180)</f>
        <v>kg</v>
      </c>
      <c r="P9" s="309">
        <f>$Z$180</f>
        <v>100</v>
      </c>
      <c r="Q9" s="310">
        <f>$Y$180</f>
        <v>54</v>
      </c>
      <c r="U9" s="314" t="s">
        <v>7929</v>
      </c>
      <c r="V9" s="315"/>
      <c r="W9" s="315"/>
      <c r="X9" s="315"/>
      <c r="Y9" s="315"/>
      <c r="Z9" s="315"/>
      <c r="AA9" s="316"/>
      <c r="AC9" s="275"/>
      <c r="AD9" s="301" t="s">
        <v>7858</v>
      </c>
      <c r="AE9" s="317" t="s">
        <v>7930</v>
      </c>
      <c r="AF9" s="303" t="s">
        <v>7931</v>
      </c>
      <c r="AG9" s="552" t="s">
        <v>239</v>
      </c>
      <c r="AH9" s="551"/>
      <c r="AI9" s="304" t="s">
        <v>7932</v>
      </c>
      <c r="AJ9" s="304"/>
      <c r="AK9" s="304"/>
      <c r="AL9" s="304"/>
      <c r="AM9" s="304"/>
      <c r="AN9" s="304"/>
      <c r="AO9" s="304"/>
      <c r="AP9" s="304"/>
      <c r="AQ9" s="304"/>
      <c r="BC9" s="271"/>
      <c r="BD9" s="279">
        <v>1</v>
      </c>
      <c r="BE9" s="271"/>
      <c r="BF9" s="271"/>
      <c r="BG9" s="271"/>
      <c r="CL9" s="151">
        <v>1</v>
      </c>
      <c r="CM9" s="151">
        <v>2</v>
      </c>
      <c r="CN9" s="151">
        <v>3</v>
      </c>
      <c r="CO9" s="151">
        <v>4</v>
      </c>
      <c r="CP9" s="151">
        <v>5</v>
      </c>
      <c r="CQ9" s="151">
        <v>6</v>
      </c>
      <c r="CR9" s="151">
        <v>7</v>
      </c>
      <c r="CS9" s="151">
        <v>8</v>
      </c>
      <c r="CT9" s="151">
        <v>9</v>
      </c>
      <c r="CU9" s="151">
        <v>10</v>
      </c>
      <c r="CV9" s="151">
        <v>11</v>
      </c>
      <c r="CW9" s="151">
        <v>12</v>
      </c>
      <c r="CX9" s="151">
        <v>13</v>
      </c>
      <c r="CY9" s="151">
        <v>14</v>
      </c>
      <c r="CZ9" s="151">
        <v>15</v>
      </c>
      <c r="DA9" s="151">
        <v>16</v>
      </c>
      <c r="DB9" s="151">
        <v>17</v>
      </c>
      <c r="DC9" s="151">
        <v>18</v>
      </c>
      <c r="DD9" s="151">
        <v>19</v>
      </c>
      <c r="DE9" s="151">
        <v>20</v>
      </c>
      <c r="DF9" s="151">
        <v>21</v>
      </c>
      <c r="DG9" s="151">
        <v>22</v>
      </c>
    </row>
    <row r="10" spans="1:111" ht="23.1" customHeight="1" thickBot="1" x14ac:dyDescent="0.3">
      <c r="A10" s="690" t="s">
        <v>7933</v>
      </c>
      <c r="B10" s="691"/>
      <c r="C10" s="691"/>
      <c r="D10" s="692"/>
      <c r="E10" s="318"/>
      <c r="F10" s="693" t="s">
        <v>7934</v>
      </c>
      <c r="G10" s="694"/>
      <c r="H10" s="694"/>
      <c r="I10" s="695"/>
      <c r="J10" s="271"/>
      <c r="K10" s="155">
        <f>$V$216</f>
        <v>5</v>
      </c>
      <c r="L10" s="306" t="str">
        <f>$W$216</f>
        <v>N° 38</v>
      </c>
      <c r="M10" s="307" t="str">
        <f>$X$216</f>
        <v>WELSH RAREBIT</v>
      </c>
      <c r="N10" s="308">
        <f>IF(AK216="","",AK216)</f>
        <v>6.6</v>
      </c>
      <c r="O10" s="308" t="str">
        <f>IF(AL216="","",AL216)</f>
        <v>kg</v>
      </c>
      <c r="P10" s="309">
        <f>$Z$216</f>
        <v>100</v>
      </c>
      <c r="Q10" s="310">
        <f>$Y$216</f>
        <v>55</v>
      </c>
      <c r="U10" s="553" t="s">
        <v>7935</v>
      </c>
      <c r="V10" s="554"/>
      <c r="W10" s="554"/>
      <c r="X10" s="554"/>
      <c r="Y10" s="554"/>
      <c r="Z10" s="554"/>
      <c r="AA10" s="555"/>
      <c r="AC10" s="275"/>
      <c r="AD10" s="319" t="s">
        <v>7936</v>
      </c>
      <c r="AE10" s="320" t="s">
        <v>7937</v>
      </c>
      <c r="AF10" s="321" t="s">
        <v>7938</v>
      </c>
      <c r="AG10" s="556" t="s">
        <v>7939</v>
      </c>
      <c r="AH10" s="557"/>
      <c r="AI10" s="311" t="s">
        <v>7940</v>
      </c>
      <c r="AJ10" s="311"/>
      <c r="AK10" s="311"/>
      <c r="AL10" s="311"/>
      <c r="AM10" s="311"/>
      <c r="AN10" s="311"/>
      <c r="AO10" s="311"/>
      <c r="AP10" s="311"/>
      <c r="AQ10" s="311"/>
      <c r="BC10" s="271"/>
      <c r="BD10" s="279">
        <v>1</v>
      </c>
      <c r="BE10" s="271"/>
      <c r="BF10" s="271"/>
      <c r="BG10" s="271"/>
    </row>
    <row r="11" spans="1:111" ht="23.1" customHeight="1" x14ac:dyDescent="0.25">
      <c r="A11" s="323" t="s">
        <v>332</v>
      </c>
      <c r="B11" s="696" t="str" cm="1">
        <f t="array" ref="B11">IFERROR(INDEX($AC$72:$AC$430,1+($B$5-1)*36),"")</f>
        <v>Pain de campagne *</v>
      </c>
      <c r="C11" s="696"/>
      <c r="D11" s="697"/>
      <c r="E11" s="318"/>
      <c r="F11" s="324" t="s">
        <v>333</v>
      </c>
      <c r="G11" s="325" cm="1">
        <f t="array" ref="G11">IFERROR(INDEX($Z$72:$Z$430,1+($B$5-1)*36),"")</f>
        <v>100</v>
      </c>
      <c r="H11" s="326" t="s">
        <v>7941</v>
      </c>
      <c r="I11" s="327"/>
      <c r="J11" s="271"/>
      <c r="K11" s="155">
        <f>$V$252</f>
        <v>6</v>
      </c>
      <c r="L11" s="306" t="str">
        <f>$W$252</f>
        <v>N° 00 ?</v>
      </c>
      <c r="M11" s="307" t="str">
        <f>$X$252</f>
        <v>Saisissez votre recette X252</v>
      </c>
      <c r="N11" s="308" t="str">
        <f>IF(AK252="","",AK252)</f>
        <v/>
      </c>
      <c r="O11" s="308" t="str">
        <f>IF(AL252="","",AL252)</f>
        <v/>
      </c>
      <c r="P11" s="309">
        <f>$Z$252</f>
        <v>100</v>
      </c>
      <c r="Q11" s="310">
        <f>$Y$252</f>
        <v>0</v>
      </c>
      <c r="U11" s="553"/>
      <c r="V11" s="554"/>
      <c r="W11" s="554"/>
      <c r="X11" s="554"/>
      <c r="Y11" s="554"/>
      <c r="Z11" s="554"/>
      <c r="AA11" s="555"/>
      <c r="AC11" s="275"/>
      <c r="AD11" s="328" t="s">
        <v>7942</v>
      </c>
      <c r="AE11" s="329"/>
      <c r="AF11" s="330"/>
      <c r="AG11" s="329"/>
      <c r="AH11" s="329"/>
      <c r="AI11" s="329"/>
      <c r="AJ11" s="329"/>
      <c r="AK11" s="329"/>
      <c r="AL11" s="329"/>
      <c r="AM11" s="329"/>
      <c r="AN11" s="329"/>
      <c r="AO11" s="329"/>
      <c r="AP11" s="329"/>
      <c r="AQ11" s="329"/>
      <c r="BC11" s="271"/>
      <c r="BD11" s="279">
        <v>1</v>
      </c>
      <c r="BE11" s="271"/>
      <c r="BF11" s="271"/>
      <c r="BG11" s="271"/>
    </row>
    <row r="12" spans="1:111" ht="23.1" customHeight="1" x14ac:dyDescent="0.25">
      <c r="A12" s="305" t="s">
        <v>334</v>
      </c>
      <c r="B12" s="331" cm="1">
        <f t="array" ref="B12">IFERROR(INDEX($N$6:$N$15,$B$5),"")</f>
        <v>4</v>
      </c>
      <c r="C12" s="332" t="str" cm="1">
        <f t="array" ref="C12">IFERROR(INDEX($O$6:$O$15,$B$5),"")</f>
        <v>kg</v>
      </c>
      <c r="D12" s="333"/>
      <c r="E12" s="506" t="s">
        <v>8169</v>
      </c>
      <c r="F12" s="334" t="s">
        <v>335</v>
      </c>
      <c r="G12" s="335">
        <v>200</v>
      </c>
      <c r="H12" s="336" t="s">
        <v>7941</v>
      </c>
      <c r="I12" s="337"/>
      <c r="J12" s="271"/>
      <c r="K12" s="155">
        <f>$V$288</f>
        <v>7</v>
      </c>
      <c r="L12" s="306" t="str">
        <f>$W$288</f>
        <v>N° 00 ?</v>
      </c>
      <c r="M12" s="307" t="str">
        <f>$X$288</f>
        <v>Saisissez votre recette X288</v>
      </c>
      <c r="N12" s="308" t="str">
        <f>IF(AK288="","",AK288)</f>
        <v/>
      </c>
      <c r="O12" s="308" t="str">
        <f>IF(AL288="","",AL288)</f>
        <v/>
      </c>
      <c r="P12" s="309">
        <f>$Z$288</f>
        <v>100</v>
      </c>
      <c r="Q12" s="310">
        <f>$Y$288</f>
        <v>0</v>
      </c>
      <c r="U12" s="553" t="s">
        <v>7943</v>
      </c>
      <c r="V12" s="554"/>
      <c r="W12" s="554"/>
      <c r="X12" s="554"/>
      <c r="Y12" s="554"/>
      <c r="Z12" s="554"/>
      <c r="AA12" s="555"/>
      <c r="AC12" s="275"/>
      <c r="AD12" s="301" t="s">
        <v>7944</v>
      </c>
      <c r="AE12" s="311" t="s">
        <v>7945</v>
      </c>
      <c r="AF12" s="303" t="s">
        <v>7946</v>
      </c>
      <c r="AG12" s="17" t="s">
        <v>7947</v>
      </c>
      <c r="AH12" s="17"/>
      <c r="AI12" s="311" t="s">
        <v>7948</v>
      </c>
      <c r="AJ12" s="311"/>
      <c r="AK12" s="311"/>
      <c r="AL12" s="311"/>
      <c r="AM12" s="311"/>
      <c r="AN12" s="311"/>
      <c r="AO12" s="311"/>
      <c r="AP12" s="311"/>
      <c r="AQ12" s="311"/>
      <c r="BC12" s="271"/>
      <c r="BD12" s="279">
        <v>1</v>
      </c>
      <c r="BE12" s="271"/>
      <c r="BF12" s="271"/>
      <c r="BG12" s="271"/>
    </row>
    <row r="13" spans="1:111" ht="23.1" customHeight="1" x14ac:dyDescent="0.25">
      <c r="A13" s="338" t="s">
        <v>336</v>
      </c>
      <c r="B13" s="339">
        <v>2</v>
      </c>
      <c r="C13" s="340" t="s">
        <v>7949</v>
      </c>
      <c r="D13" s="341"/>
      <c r="E13" s="318"/>
      <c r="F13" s="676" t="s">
        <v>7950</v>
      </c>
      <c r="G13" s="676"/>
      <c r="H13" s="676"/>
      <c r="I13" s="676"/>
      <c r="J13" s="271"/>
      <c r="K13" s="155">
        <f>$V$324</f>
        <v>8</v>
      </c>
      <c r="L13" s="306" t="str">
        <f>$W$324</f>
        <v>N°00 ?</v>
      </c>
      <c r="M13" s="307" t="str">
        <f>$X$324</f>
        <v>Saisissez votre recette X324</v>
      </c>
      <c r="N13" s="308" t="str">
        <f>IF(AK324="","",AK324)</f>
        <v/>
      </c>
      <c r="O13" s="308" t="str">
        <f>IF(AL324="","",AL324)</f>
        <v/>
      </c>
      <c r="P13" s="309">
        <f>$Z$324</f>
        <v>100</v>
      </c>
      <c r="Q13" s="310">
        <f>$Y$324</f>
        <v>0</v>
      </c>
      <c r="U13" s="567"/>
      <c r="V13" s="568"/>
      <c r="W13" s="568"/>
      <c r="X13" s="568"/>
      <c r="Y13" s="568"/>
      <c r="Z13" s="568"/>
      <c r="AA13" s="569"/>
      <c r="AC13" s="275"/>
      <c r="AD13" s="301" t="s">
        <v>7828</v>
      </c>
      <c r="AE13" s="322" t="s">
        <v>338</v>
      </c>
      <c r="AF13" s="303" t="s">
        <v>7951</v>
      </c>
      <c r="AG13" s="34" t="s">
        <v>7952</v>
      </c>
      <c r="AH13" s="34"/>
      <c r="AI13" s="311" t="s">
        <v>7953</v>
      </c>
      <c r="AJ13" s="311"/>
      <c r="AK13" s="311"/>
      <c r="AL13" s="311"/>
      <c r="AM13" s="311"/>
      <c r="AN13" s="311"/>
      <c r="AO13" s="311"/>
      <c r="AP13" s="311"/>
      <c r="AQ13" s="311"/>
      <c r="BC13" s="271"/>
      <c r="BD13" s="279">
        <v>1</v>
      </c>
      <c r="BE13" s="271"/>
      <c r="BF13" s="271"/>
      <c r="BG13" s="271"/>
    </row>
    <row r="14" spans="1:111" ht="23.1" customHeight="1" x14ac:dyDescent="0.25">
      <c r="A14" s="284"/>
      <c r="B14" s="507" t="s">
        <v>8167</v>
      </c>
      <c r="C14" s="507" t="s">
        <v>8168</v>
      </c>
      <c r="D14" s="284"/>
      <c r="E14" s="318"/>
      <c r="F14" s="677"/>
      <c r="G14" s="677"/>
      <c r="H14" s="677"/>
      <c r="I14" s="677"/>
      <c r="J14" s="271"/>
      <c r="K14" s="155">
        <f>$V$360</f>
        <v>9</v>
      </c>
      <c r="L14" s="306" t="str">
        <f>$W$360</f>
        <v>N°00 ?</v>
      </c>
      <c r="M14" s="307" t="str">
        <f>$X$360</f>
        <v>Saisissez votre recette X360</v>
      </c>
      <c r="N14" s="308" t="str">
        <f>IF(AK360="","",AK360)</f>
        <v/>
      </c>
      <c r="O14" s="308" t="str">
        <f>IF(AL360="","",AL360)</f>
        <v/>
      </c>
      <c r="P14" s="309">
        <f>$Z$360</f>
        <v>100</v>
      </c>
      <c r="Q14" s="310">
        <f>$Y$360</f>
        <v>0</v>
      </c>
      <c r="U14" s="299"/>
      <c r="V14" s="271"/>
      <c r="W14" s="271"/>
      <c r="X14" s="271"/>
      <c r="Y14" s="271"/>
      <c r="Z14" s="271"/>
      <c r="AA14" s="300"/>
      <c r="AC14" s="275"/>
      <c r="AD14" s="301" t="s">
        <v>7828</v>
      </c>
      <c r="AE14" s="322" t="s">
        <v>338</v>
      </c>
      <c r="AF14" s="303" t="s">
        <v>7951</v>
      </c>
      <c r="AG14" s="34" t="s">
        <v>7954</v>
      </c>
      <c r="AH14" s="34"/>
      <c r="AI14" s="311" t="s">
        <v>7955</v>
      </c>
      <c r="AJ14" s="311"/>
      <c r="AK14" s="311"/>
      <c r="AL14" s="311"/>
      <c r="AM14" s="311"/>
      <c r="AN14" s="311"/>
      <c r="AO14" s="311"/>
      <c r="AP14" s="311"/>
      <c r="AQ14" s="311"/>
      <c r="BC14" s="271"/>
      <c r="BD14" s="279">
        <v>1</v>
      </c>
      <c r="BE14" s="271"/>
      <c r="BF14" s="271"/>
      <c r="BG14" s="271"/>
    </row>
    <row r="15" spans="1:111" ht="23.1" customHeight="1" x14ac:dyDescent="0.25">
      <c r="A15" s="732" t="s">
        <v>7956</v>
      </c>
      <c r="B15" s="733"/>
      <c r="C15" s="733"/>
      <c r="D15" s="733"/>
      <c r="E15" s="733"/>
      <c r="F15" s="733"/>
      <c r="G15" s="733"/>
      <c r="H15" s="733"/>
      <c r="I15" s="734"/>
      <c r="J15" s="271"/>
      <c r="K15" s="157">
        <f>$V$396</f>
        <v>10</v>
      </c>
      <c r="L15" s="342" t="str">
        <f>$W$396</f>
        <v>N°00 ?</v>
      </c>
      <c r="M15" s="343" t="str">
        <f>$X$396</f>
        <v>Saisissez votre recette X396</v>
      </c>
      <c r="N15" s="344" t="str">
        <f>IF(AK396="","",AK396)</f>
        <v/>
      </c>
      <c r="O15" s="344" t="str">
        <f>IF(AL396="","",AL396)</f>
        <v/>
      </c>
      <c r="P15" s="345">
        <f>$Z$396</f>
        <v>100</v>
      </c>
      <c r="Q15" s="346">
        <f>$Y$396</f>
        <v>0</v>
      </c>
      <c r="U15" s="558" t="s">
        <v>7899</v>
      </c>
      <c r="V15" s="559"/>
      <c r="W15" s="559"/>
      <c r="X15" s="559"/>
      <c r="Y15" s="559"/>
      <c r="Z15" s="559"/>
      <c r="AA15" s="560"/>
      <c r="AC15" s="275"/>
      <c r="AD15" s="301" t="s">
        <v>7828</v>
      </c>
      <c r="AE15" s="322" t="s">
        <v>338</v>
      </c>
      <c r="AF15" s="303" t="s">
        <v>7951</v>
      </c>
      <c r="AG15" s="34" t="s">
        <v>139</v>
      </c>
      <c r="AH15" s="34"/>
      <c r="AI15" s="311" t="s">
        <v>7957</v>
      </c>
      <c r="AJ15" s="311"/>
      <c r="AK15" s="311"/>
      <c r="AL15" s="311"/>
      <c r="AM15" s="311"/>
      <c r="AN15" s="311"/>
      <c r="AO15" s="311"/>
      <c r="AP15" s="311"/>
      <c r="AQ15" s="311"/>
      <c r="BC15" s="271"/>
      <c r="BD15" s="279">
        <v>1</v>
      </c>
      <c r="BE15" s="271"/>
      <c r="BF15" s="271"/>
      <c r="BG15" s="271"/>
    </row>
    <row r="16" spans="1:111" ht="23.1" customHeight="1" x14ac:dyDescent="0.25">
      <c r="A16" s="347" t="s">
        <v>7958</v>
      </c>
      <c r="B16" s="678" t="str">
        <f>IF(AND($B$13&lt;&gt;"",$G$12&lt;&gt;""),"DEUX CALCULS ACTIFS — A ET B",IF($B$13&lt;&gt;"","MODE A ACTIF — ÉLÉMENT PRINCIPAL",IF($G$12&lt;&gt;"","MODE B ACTIF — COUVERTS","AUCUN CALCUL ACTIF")))</f>
        <v>DEUX CALCULS ACTIFS — A ET B</v>
      </c>
      <c r="C16" s="678"/>
      <c r="D16" s="678"/>
      <c r="E16" s="678"/>
      <c r="F16" s="678"/>
      <c r="G16" s="678"/>
      <c r="H16" s="678"/>
      <c r="I16" s="678"/>
      <c r="J16" s="271"/>
      <c r="K16" s="271"/>
      <c r="L16" s="271"/>
      <c r="M16" s="271"/>
      <c r="N16" s="271"/>
      <c r="O16" s="271"/>
      <c r="P16" s="271"/>
      <c r="Q16" s="271"/>
      <c r="U16" s="570" t="s">
        <v>281</v>
      </c>
      <c r="V16" s="572" t="s">
        <v>7959</v>
      </c>
      <c r="W16" s="574" t="s">
        <v>7911</v>
      </c>
      <c r="X16" s="574"/>
      <c r="Y16" s="574"/>
      <c r="Z16" s="574"/>
      <c r="AA16" s="575"/>
      <c r="AC16" s="275"/>
      <c r="AD16" s="301" t="s">
        <v>7828</v>
      </c>
      <c r="AE16" s="322" t="s">
        <v>7960</v>
      </c>
      <c r="AF16" s="303" t="s">
        <v>7951</v>
      </c>
      <c r="AG16" s="34" t="s">
        <v>7961</v>
      </c>
      <c r="AH16" s="34"/>
      <c r="AI16" s="311" t="s">
        <v>7962</v>
      </c>
      <c r="AJ16" s="311"/>
      <c r="AK16" s="311"/>
      <c r="AL16" s="311"/>
      <c r="AM16" s="311"/>
      <c r="AN16" s="311"/>
      <c r="AO16" s="311"/>
      <c r="AP16" s="311"/>
      <c r="AQ16" s="311"/>
      <c r="BC16" s="271"/>
      <c r="BD16" s="279">
        <v>1</v>
      </c>
      <c r="BE16" s="271"/>
      <c r="BF16" s="271"/>
      <c r="BG16" s="271"/>
    </row>
    <row r="17" spans="1:59" ht="23.1" customHeight="1" thickBot="1" x14ac:dyDescent="0.3">
      <c r="A17" s="348" t="s">
        <v>6113</v>
      </c>
      <c r="B17" s="679" t="str">
        <f>IF(AND(COUNTIF(B22:B57,"*~**")=0,COUNTIF(B22:B57,"*~?*")=0),"",IF(COUNTIF(B22:B57,"*~**")&gt;0,COUNTIF(B22:B57,"*~**")&amp;" allergène"&amp;IF(COUNTIF(B22:B57,"*~**")&gt;1,"s","")&amp;" repéré"&amp;IF(COUNTIF(B22:B57,"*~**")&gt;1,"s","")&amp;" par *","")&amp;IF(AND(COUNTIF(B22:B57,"*~**")&gt;0,COUNTIF(B22:B57,"*~?*")&gt;0)," | ","")&amp;IF(COUNTIF(B22:B57,"*~?*")&gt;0,COUNTIF(B22:B57,"*~?*")&amp;" produit"&amp;IF(COUNTIF(B22:B57,"*~?*")&gt;1,"s","")&amp;" à vérifier par ?",""))</f>
        <v>2 allergènes repérés par *</v>
      </c>
      <c r="C17" s="679"/>
      <c r="D17" s="679"/>
      <c r="E17" s="679"/>
      <c r="F17" s="679"/>
      <c r="G17" s="679"/>
      <c r="H17" s="679"/>
      <c r="I17" s="680"/>
      <c r="J17" s="271"/>
      <c r="K17" s="681" t="s">
        <v>7963</v>
      </c>
      <c r="L17" s="682"/>
      <c r="M17" s="682"/>
      <c r="N17" s="682"/>
      <c r="O17" s="682"/>
      <c r="P17" s="682"/>
      <c r="Q17" s="683"/>
      <c r="U17" s="571"/>
      <c r="V17" s="573"/>
      <c r="W17" s="576"/>
      <c r="X17" s="576"/>
      <c r="Y17" s="576"/>
      <c r="Z17" s="576"/>
      <c r="AA17" s="577"/>
      <c r="AC17" s="275"/>
      <c r="AD17" s="301" t="s">
        <v>7964</v>
      </c>
      <c r="AE17" s="322" t="s">
        <v>7965</v>
      </c>
      <c r="AF17" s="303" t="s">
        <v>7966</v>
      </c>
      <c r="AG17" s="578" t="s">
        <v>7967</v>
      </c>
      <c r="AH17" s="578"/>
      <c r="AI17" s="311" t="s">
        <v>7968</v>
      </c>
      <c r="AJ17" s="311"/>
      <c r="AK17" s="311"/>
      <c r="AL17" s="311"/>
      <c r="AM17" s="311"/>
      <c r="AN17" s="311"/>
      <c r="AO17" s="311"/>
      <c r="AP17" s="311"/>
      <c r="AQ17" s="311"/>
      <c r="BC17" s="271"/>
      <c r="BD17" s="279">
        <v>1</v>
      </c>
      <c r="BE17" s="271"/>
      <c r="BF17" s="271"/>
      <c r="BG17" s="271"/>
    </row>
    <row r="18" spans="1:59" ht="18.75" x14ac:dyDescent="0.25">
      <c r="A18" s="349"/>
      <c r="B18" s="350" t="s">
        <v>6114</v>
      </c>
      <c r="C18" s="351"/>
      <c r="D18" s="351"/>
      <c r="E18" s="351"/>
      <c r="F18" s="351"/>
      <c r="G18" s="351"/>
      <c r="H18" s="351"/>
      <c r="I18" s="351"/>
      <c r="J18" s="271"/>
      <c r="K18" s="684"/>
      <c r="L18" s="685"/>
      <c r="M18" s="685"/>
      <c r="N18" s="685"/>
      <c r="O18" s="685"/>
      <c r="P18" s="685"/>
      <c r="Q18" s="686"/>
      <c r="U18" s="579" t="s">
        <v>6154</v>
      </c>
      <c r="V18" s="581" t="s">
        <v>7969</v>
      </c>
      <c r="W18" s="583" t="s">
        <v>7970</v>
      </c>
      <c r="X18" s="583"/>
      <c r="Y18" s="583"/>
      <c r="Z18" s="583"/>
      <c r="AA18" s="584"/>
      <c r="AC18" s="275"/>
      <c r="AD18" s="352" t="s">
        <v>7971</v>
      </c>
      <c r="AE18" s="353"/>
      <c r="AF18" s="354"/>
      <c r="AG18" s="353"/>
      <c r="AH18" s="353"/>
      <c r="AI18" s="353"/>
      <c r="AJ18" s="353"/>
      <c r="AK18" s="353"/>
      <c r="AL18" s="353"/>
      <c r="AM18" s="353"/>
      <c r="AN18" s="353"/>
      <c r="AO18" s="353"/>
      <c r="AP18" s="353"/>
      <c r="AQ18" s="353"/>
      <c r="BC18" s="271"/>
      <c r="BD18" s="279">
        <v>1</v>
      </c>
      <c r="BE18" s="271"/>
      <c r="BF18" s="271"/>
      <c r="BG18" s="271"/>
    </row>
    <row r="19" spans="1:59" ht="23.1" customHeight="1" x14ac:dyDescent="0.25">
      <c r="A19" s="732" t="s">
        <v>7972</v>
      </c>
      <c r="B19" s="733"/>
      <c r="C19" s="733"/>
      <c r="D19" s="733"/>
      <c r="E19" s="733"/>
      <c r="F19" s="733"/>
      <c r="G19" s="733"/>
      <c r="H19" s="733"/>
      <c r="I19" s="734"/>
      <c r="J19" s="271"/>
      <c r="K19" s="684"/>
      <c r="L19" s="685"/>
      <c r="M19" s="685"/>
      <c r="N19" s="685"/>
      <c r="O19" s="685"/>
      <c r="P19" s="685"/>
      <c r="Q19" s="686"/>
      <c r="U19" s="580"/>
      <c r="V19" s="582"/>
      <c r="W19" s="585"/>
      <c r="X19" s="585"/>
      <c r="Y19" s="585"/>
      <c r="Z19" s="585"/>
      <c r="AA19" s="586"/>
      <c r="AC19" s="275"/>
      <c r="AD19" s="301" t="s">
        <v>7973</v>
      </c>
      <c r="AE19" s="355" t="s">
        <v>7974</v>
      </c>
      <c r="AF19" s="303" t="s">
        <v>7975</v>
      </c>
      <c r="AG19" s="356" t="s">
        <v>7976</v>
      </c>
      <c r="AH19" s="357"/>
      <c r="AI19" s="358" t="s">
        <v>7977</v>
      </c>
      <c r="AJ19" s="358"/>
      <c r="AK19" s="358"/>
      <c r="AL19" s="358"/>
      <c r="AM19" s="358"/>
      <c r="AN19" s="358"/>
      <c r="AO19" s="358"/>
      <c r="AP19" s="358"/>
      <c r="AQ19" s="358"/>
      <c r="BC19" s="271"/>
      <c r="BD19" s="279">
        <v>1</v>
      </c>
      <c r="BE19" s="271"/>
      <c r="BF19" s="271"/>
      <c r="BG19" s="271"/>
    </row>
    <row r="20" spans="1:59" ht="21.95" customHeight="1" x14ac:dyDescent="0.25">
      <c r="A20" s="359"/>
      <c r="B20" s="359"/>
      <c r="C20" s="360" cm="1">
        <f t="array" ref="C20">IFERROR(INDEX($P$6:$P$15,$B$5),"")</f>
        <v>100</v>
      </c>
      <c r="D20" s="361" t="s">
        <v>7941</v>
      </c>
      <c r="E20" s="673" t="str">
        <f>IF($B$13="","MODE A NON RENSEIGNÉ","MODE A — "&amp;$B$13&amp;" "&amp;$C$13)</f>
        <v>MODE A — 2 Kg</v>
      </c>
      <c r="F20" s="673"/>
      <c r="G20" s="674" t="str">
        <f>IF($G$12="","MODE B NON RENSEIGNÉ","MODE B — "&amp;$G$12&amp;" COUVERTS")</f>
        <v>MODE B — 200 COUVERTS</v>
      </c>
      <c r="H20" s="674"/>
      <c r="I20" s="675"/>
      <c r="J20" s="271"/>
      <c r="K20" s="684"/>
      <c r="L20" s="685"/>
      <c r="M20" s="685"/>
      <c r="N20" s="685"/>
      <c r="O20" s="685"/>
      <c r="P20" s="685"/>
      <c r="Q20" s="686"/>
      <c r="U20" s="587" t="s">
        <v>6146</v>
      </c>
      <c r="V20" s="589" t="s">
        <v>7978</v>
      </c>
      <c r="W20" s="591" t="s">
        <v>7979</v>
      </c>
      <c r="X20" s="591"/>
      <c r="Y20" s="591"/>
      <c r="Z20" s="591"/>
      <c r="AA20" s="592"/>
      <c r="AC20" s="275"/>
      <c r="AD20" s="301" t="s">
        <v>7973</v>
      </c>
      <c r="AE20" s="355" t="s">
        <v>7974</v>
      </c>
      <c r="AF20" s="303" t="s">
        <v>7975</v>
      </c>
      <c r="AG20" s="356" t="s">
        <v>7980</v>
      </c>
      <c r="AH20" s="357"/>
      <c r="AI20" s="362" t="s">
        <v>7981</v>
      </c>
      <c r="AJ20" s="362"/>
      <c r="AK20" s="362"/>
      <c r="AL20" s="362"/>
      <c r="AM20" s="362"/>
      <c r="AN20" s="362"/>
      <c r="AO20" s="362"/>
      <c r="AP20" s="362"/>
      <c r="AQ20" s="362"/>
      <c r="BC20" s="271"/>
      <c r="BD20" s="279">
        <v>1</v>
      </c>
      <c r="BE20" s="271"/>
      <c r="BF20" s="271"/>
      <c r="BG20" s="271"/>
    </row>
    <row r="21" spans="1:59" ht="21.95" customHeight="1" x14ac:dyDescent="0.25">
      <c r="A21" s="363" t="s">
        <v>337</v>
      </c>
      <c r="B21" s="364" t="s">
        <v>338</v>
      </c>
      <c r="C21" s="364" t="s">
        <v>339</v>
      </c>
      <c r="D21" s="364" t="s">
        <v>340</v>
      </c>
      <c r="E21" s="365" t="s">
        <v>7982</v>
      </c>
      <c r="F21" s="366" t="s">
        <v>341</v>
      </c>
      <c r="G21" s="367" t="s">
        <v>7983</v>
      </c>
      <c r="H21" s="368" t="s">
        <v>342</v>
      </c>
      <c r="I21" s="369" t="s">
        <v>343</v>
      </c>
      <c r="J21" s="271"/>
      <c r="K21" s="687"/>
      <c r="L21" s="688"/>
      <c r="M21" s="688"/>
      <c r="N21" s="688"/>
      <c r="O21" s="688"/>
      <c r="P21" s="688"/>
      <c r="Q21" s="689"/>
      <c r="U21" s="588"/>
      <c r="V21" s="590"/>
      <c r="W21" s="593"/>
      <c r="X21" s="593"/>
      <c r="Y21" s="593"/>
      <c r="Z21" s="593"/>
      <c r="AA21" s="594"/>
      <c r="AC21" s="275"/>
      <c r="AD21" s="370" t="s">
        <v>7984</v>
      </c>
      <c r="AE21" s="371" t="s">
        <v>7974</v>
      </c>
      <c r="AF21" s="372" t="s">
        <v>7975</v>
      </c>
      <c r="AG21" s="356" t="s">
        <v>7985</v>
      </c>
      <c r="AH21" s="357"/>
      <c r="AI21" s="373" t="s">
        <v>7986</v>
      </c>
      <c r="AJ21" s="373"/>
      <c r="AK21" s="373"/>
      <c r="AL21" s="373"/>
      <c r="AM21" s="373"/>
      <c r="AN21" s="373"/>
      <c r="AO21" s="373"/>
      <c r="AP21" s="373"/>
      <c r="AQ21" s="373"/>
      <c r="BC21" s="271"/>
      <c r="BD21" s="279">
        <v>1</v>
      </c>
      <c r="BE21" s="271"/>
      <c r="BF21" s="271"/>
      <c r="BG21" s="271"/>
    </row>
    <row r="22" spans="1:59" ht="21.95" customHeight="1" thickBot="1" x14ac:dyDescent="0.3">
      <c r="A22" s="374">
        <f>IF($B22="","",0)</f>
        <v>0</v>
      </c>
      <c r="B22" s="375" t="str" cm="1">
        <f t="array" ref="B22">IFERROR(IF(INDEX($AC$72:$AC$430,$K22)="","",INDEX($AC$72:$AC$430,$K22)),"")</f>
        <v>Pain de campagne *</v>
      </c>
      <c r="C22" s="376" cm="1">
        <f t="array" ref="C22">IF($B22="","",INDEX($AG$72:$AG$430,$K22))</f>
        <v>4</v>
      </c>
      <c r="D22" s="377" t="str" cm="1">
        <f t="array" ref="D22">IF($B22="","",INDEX($AH$72:$AH$430,$K22))</f>
        <v>KG</v>
      </c>
      <c r="E22" s="378">
        <f t="shared" ref="E22:E56" si="0">IF($B22="","",IF(UPPER(TRIM($D22))="QT. SUFFISANTE","",IF($N22="","",IF($L22="MASSE",IF($N22&gt;=1,ROUND($N22,2),ROUND($N22*1000,0)),IF($L22="VOLUME",IF($N22&gt;=1,ROUND($N22,2),ROUND($N22*100,0)),ROUND($N22,0))))))</f>
        <v>2</v>
      </c>
      <c r="F22" s="379" t="str" cm="1">
        <f t="array" ref="F22">IF($B22="","",IF(UPPER(TRIM($D22))="QT. SUFFISANTE","Qt. suffisante",IF($N22="","",IF($L22="MASSE",IF($N22&gt;=1,"Kg","g"),IF($L22="VOLUME",IF($N22&gt;=1,"L","cl"),INDEX($AL$72:$AL$430,$K22))))))</f>
        <v>Kg</v>
      </c>
      <c r="G22" s="380">
        <f t="shared" ref="G22:G56" si="1">IF($B22="","",IF(UPPER(TRIM($D22))="QT. SUFFISANTE","",IF($O22="","",IF($L22="MASSE",IF($O22&gt;=1,ROUND($O22,2),ROUND($O22*1000,0)),IF($L22="VOLUME",IF($O22&gt;=1,ROUND($O22,2),ROUND($O22*100,0)),ROUND($O22,0))))))</f>
        <v>8</v>
      </c>
      <c r="H22" s="381" t="str" cm="1">
        <f t="array" ref="H22">IF($B22="","",IF(UPPER(TRIM($D22))="QT. SUFFISANTE","Qt. suffisante",IF($O22="","",IF($L22="MASSE",IF($O22&gt;=1,"Kg","g"),IF($L22="VOLUME",IF($O22&gt;=1,"L","cl"),INDEX($AL$72:$AL$430,$K22))))))</f>
        <v>Kg</v>
      </c>
      <c r="I22" s="382" t="str" cm="1">
        <f t="array" ref="I22">IF($B22="","",INDEX($AM$72:$AM$430,$K22))</f>
        <v>OK</v>
      </c>
      <c r="J22" s="271"/>
      <c r="K22" s="383">
        <f>1+($B$5-1)*36+0</f>
        <v>109</v>
      </c>
      <c r="L22" s="383" t="str" cm="1">
        <f t="array" ref="L22">IF($B22="","",INDEX($AI$72:$AI$430,$K22))</f>
        <v>MASSE</v>
      </c>
      <c r="M22" s="383" cm="1">
        <f t="array" ref="M22">IF($B22="","",INDEX($AJ$72:$AJ$430,$K22))</f>
        <v>1</v>
      </c>
      <c r="N22" s="384" cm="1">
        <f t="array" ref="N22">IF(OR($B22="",$B$13="",$B$12="",$B$12=0),"",IF($L$22="AUTRE",IFERROR(INDEX($AK$72:$AK$430,$K22)*($B$13/$B$12),""),IF(OR($C$12="",$C$13=""),"",IFERROR(INDEX($AK$72:$AK$430,$K22)*(($B$13*VLOOKUP($C$13,$AY$74:$BA$119,3,FALSE))/($B$12*VLOOKUP($C$12,$AY$74:$BA$119,3,FALSE))),""))))</f>
        <v>2</v>
      </c>
      <c r="O22" s="384" cm="1">
        <f t="array" ref="O22">IF(OR($B22="",$G$12="",$G$11="",$G$11=0),"",IFERROR(INDEX($AK$72:$AK$430,$K22)*($G$12/$G$11),""))</f>
        <v>8</v>
      </c>
      <c r="U22" s="602" t="s">
        <v>6174</v>
      </c>
      <c r="V22" s="604" t="s">
        <v>7987</v>
      </c>
      <c r="W22" s="606" t="s">
        <v>7988</v>
      </c>
      <c r="X22" s="606"/>
      <c r="Y22" s="606"/>
      <c r="Z22" s="606"/>
      <c r="AA22" s="607"/>
      <c r="AC22" s="275"/>
      <c r="AD22" s="370" t="s">
        <v>7984</v>
      </c>
      <c r="AE22" s="385" t="s">
        <v>7974</v>
      </c>
      <c r="AF22" s="372" t="s">
        <v>7975</v>
      </c>
      <c r="AG22" s="356" t="s">
        <v>7989</v>
      </c>
      <c r="AH22" s="357"/>
      <c r="AI22" s="373" t="s">
        <v>7990</v>
      </c>
      <c r="AJ22" s="373"/>
      <c r="AK22" s="373"/>
      <c r="AL22" s="373"/>
      <c r="AM22" s="373"/>
      <c r="AN22" s="373"/>
      <c r="AO22" s="373"/>
      <c r="AP22" s="373"/>
      <c r="AQ22" s="373"/>
      <c r="BC22" s="271"/>
      <c r="BD22" s="279">
        <v>1</v>
      </c>
      <c r="BE22" s="271"/>
      <c r="BF22" s="271"/>
      <c r="BG22" s="271"/>
    </row>
    <row r="23" spans="1:59" ht="21.95" customHeight="1" x14ac:dyDescent="0.25">
      <c r="A23" s="374">
        <f>IF($B23="","",1)</f>
        <v>1</v>
      </c>
      <c r="B23" s="375" t="str" cm="1">
        <f t="array" ref="B23">IFERROR(IF(INDEX($AC$72:$AC$430,$K23)="","",INDEX($AC$72:$AC$430,$K23)),"")</f>
        <v>Dés de tomates surgelés</v>
      </c>
      <c r="C23" s="376" cm="1">
        <f t="array" ref="C23">IF($B23="","",INDEX($AG$72:$AG$430,$K23))</f>
        <v>10</v>
      </c>
      <c r="D23" s="377" t="str" cm="1">
        <f t="array" ref="D23">IF($B23="","",INDEX($AH$72:$AH$430,$K23))</f>
        <v>KG</v>
      </c>
      <c r="E23" s="378">
        <f t="shared" si="0"/>
        <v>5</v>
      </c>
      <c r="F23" s="379" t="str" cm="1">
        <f t="array" ref="F23">IF($B23="","",IF(UPPER(TRIM($D23))="QT. SUFFISANTE","Qt. suffisante",IF($N23="","",IF($L23="MASSE",IF($N23&gt;=1,"Kg","g"),IF($L23="VOLUME",IF($N23&gt;=1,"L","cl"),INDEX($AL$72:$AL$430,$K23))))))</f>
        <v>Kg</v>
      </c>
      <c r="G23" s="380">
        <f t="shared" si="1"/>
        <v>20</v>
      </c>
      <c r="H23" s="381" t="str" cm="1">
        <f t="array" ref="H23">IF($B23="","",IF(UPPER(TRIM($D23))="QT. SUFFISANTE","Qt. suffisante",IF($O23="","",IF($L23="MASSE",IF($O23&gt;=1,"Kg","g"),IF($L23="VOLUME",IF($O23&gt;=1,"L","cl"),INDEX($AL$72:$AL$430,$K23))))))</f>
        <v>Kg</v>
      </c>
      <c r="I23" s="382" t="str" cm="1">
        <f t="array" ref="I23">IF($B23="","",INDEX($AM$72:$AM$430,$K23))</f>
        <v>OK</v>
      </c>
      <c r="J23" s="271"/>
      <c r="K23" s="383">
        <f>1+($B$5-1)*36+1</f>
        <v>110</v>
      </c>
      <c r="L23" s="383" t="str" cm="1">
        <f t="array" ref="L23">IF($B23="","",INDEX($AI$72:$AI$430,$K23))</f>
        <v>MASSE</v>
      </c>
      <c r="M23" s="383" cm="1">
        <f t="array" ref="M23">IF($B23="","",INDEX($AJ$72:$AJ$430,$K23))</f>
        <v>1</v>
      </c>
      <c r="N23" s="384" cm="1">
        <f t="array" ref="N23">IF(OR($B23="",$B$13="",$B$12="",$B$12=0),"",IF($L$22="AUTRE",IFERROR(INDEX($AK$72:$AK$430,$K23)*($B$13/$B$12),""),IF(OR($C$12="",$C$13=""),"",IFERROR(INDEX($AK$72:$AK$430,$K23)*(($B$13*VLOOKUP($C$13,$AY$74:$BA$119,3,FALSE))/($B$12*VLOOKUP($C$12,$AY$74:$BA$119,3,FALSE))),""))))</f>
        <v>5</v>
      </c>
      <c r="O23" s="384" cm="1">
        <f t="array" ref="O23">IF(OR($B23="",$G$12="",$G$11="",$G$11=0),"",IFERROR(INDEX($AK$72:$AK$430,$K23)*($G$12/$G$11),""))</f>
        <v>20</v>
      </c>
      <c r="U23" s="603"/>
      <c r="V23" s="605"/>
      <c r="W23" s="608"/>
      <c r="X23" s="608"/>
      <c r="Y23" s="608"/>
      <c r="Z23" s="608"/>
      <c r="AA23" s="609"/>
      <c r="AC23" s="275"/>
      <c r="AD23" s="386" t="s">
        <v>7991</v>
      </c>
      <c r="AE23" s="387"/>
      <c r="AF23" s="388"/>
      <c r="AG23" s="387"/>
      <c r="AH23" s="387"/>
      <c r="AI23" s="387"/>
      <c r="AJ23" s="387"/>
      <c r="AK23" s="387"/>
      <c r="AL23" s="387"/>
      <c r="AM23" s="387"/>
      <c r="AN23" s="387"/>
      <c r="AO23" s="387"/>
      <c r="AP23" s="387"/>
      <c r="AQ23" s="387"/>
      <c r="BB23" s="271"/>
      <c r="BC23" s="271"/>
      <c r="BD23" s="279">
        <v>1</v>
      </c>
      <c r="BE23" s="271"/>
      <c r="BF23" s="271"/>
      <c r="BG23" s="271"/>
    </row>
    <row r="24" spans="1:59" ht="21.95" customHeight="1" x14ac:dyDescent="0.25">
      <c r="A24" s="374">
        <f>IF($B24="","",2)</f>
        <v>2</v>
      </c>
      <c r="B24" s="375" t="str" cm="1">
        <f t="array" ref="B24">IFERROR(IF(INDEX($AC$72:$AC$430,$K24)="","",INDEX($AC$72:$AC$430,$K24)),"")</f>
        <v>Mozzarella *</v>
      </c>
      <c r="C24" s="376" cm="1">
        <f t="array" ref="C24">IF($B24="","",INDEX($AG$72:$AG$430,$K24))</f>
        <v>3</v>
      </c>
      <c r="D24" s="377" t="str" cm="1">
        <f t="array" ref="D24">IF($B24="","",INDEX($AH$72:$AH$430,$K24))</f>
        <v>KG</v>
      </c>
      <c r="E24" s="378">
        <f t="shared" si="0"/>
        <v>1.5</v>
      </c>
      <c r="F24" s="379" t="str" cm="1">
        <f t="array" ref="F24">IF($B24="","",IF(UPPER(TRIM($D24))="QT. SUFFISANTE","Qt. suffisante",IF($N24="","",IF($L24="MASSE",IF($N24&gt;=1,"Kg","g"),IF($L24="VOLUME",IF($N24&gt;=1,"L","cl"),INDEX($AL$72:$AL$430,$K24))))))</f>
        <v>Kg</v>
      </c>
      <c r="G24" s="380">
        <f t="shared" si="1"/>
        <v>6</v>
      </c>
      <c r="H24" s="381" t="str" cm="1">
        <f t="array" ref="H24">IF($B24="","",IF(UPPER(TRIM($D24))="QT. SUFFISANTE","Qt. suffisante",IF($O24="","",IF($L24="MASSE",IF($O24&gt;=1,"Kg","g"),IF($L24="VOLUME",IF($O24&gt;=1,"L","cl"),INDEX($AL$72:$AL$430,$K24))))))</f>
        <v>Kg</v>
      </c>
      <c r="I24" s="382" t="str" cm="1">
        <f t="array" ref="I24">IF($B24="","",INDEX($AM$72:$AM$430,$K24))</f>
        <v>OK</v>
      </c>
      <c r="J24" s="271"/>
      <c r="K24" s="383">
        <f>1+($B$5-1)*36+2</f>
        <v>111</v>
      </c>
      <c r="L24" s="383" t="str" cm="1">
        <f t="array" ref="L24">IF($B24="","",INDEX($AI$72:$AI$430,$K24))</f>
        <v>MASSE</v>
      </c>
      <c r="M24" s="383" cm="1">
        <f t="array" ref="M24">IF($B24="","",INDEX($AJ$72:$AJ$430,$K24))</f>
        <v>1</v>
      </c>
      <c r="N24" s="384" cm="1">
        <f t="array" ref="N24">IF(OR($B24="",$B$13="",$B$12="",$B$12=0),"",IF($L$22="AUTRE",IFERROR(INDEX($AK$72:$AK$430,$K24)*($B$13/$B$12),""),IF(OR($C$12="",$C$13=""),"",IFERROR(INDEX($AK$72:$AK$430,$K24)*(($B$13*VLOOKUP($C$13,$AY$74:$BA$119,3,FALSE))/($B$12*VLOOKUP($C$12,$AY$74:$BA$119,3,FALSE))),""))))</f>
        <v>1.5</v>
      </c>
      <c r="O24" s="384" cm="1">
        <f t="array" ref="O24">IF(OR($B24="",$G$12="",$G$11="",$G$11=0),"",IFERROR(INDEX($AK$72:$AK$430,$K24)*($G$12/$G$11),""))</f>
        <v>6</v>
      </c>
      <c r="U24" s="610" t="s">
        <v>136</v>
      </c>
      <c r="V24" s="612" t="s">
        <v>7992</v>
      </c>
      <c r="W24" s="614" t="s">
        <v>7993</v>
      </c>
      <c r="X24" s="614"/>
      <c r="Y24" s="614"/>
      <c r="Z24" s="614"/>
      <c r="AA24" s="615"/>
      <c r="AC24" s="275"/>
      <c r="AD24" s="301" t="s">
        <v>7994</v>
      </c>
      <c r="AE24" s="322" t="s">
        <v>339</v>
      </c>
      <c r="AF24" s="303" t="s">
        <v>7995</v>
      </c>
      <c r="AG24" s="389" t="s">
        <v>136</v>
      </c>
      <c r="AH24" s="14"/>
      <c r="AI24" s="304" t="s">
        <v>7996</v>
      </c>
      <c r="AJ24" s="304"/>
      <c r="AK24" s="304"/>
      <c r="AL24" s="304"/>
      <c r="AM24" s="304"/>
      <c r="AN24" s="304"/>
      <c r="AO24" s="304"/>
      <c r="AP24" s="304"/>
      <c r="AQ24" s="304"/>
      <c r="BB24" s="271"/>
      <c r="BC24" s="271"/>
      <c r="BD24" s="279">
        <v>1</v>
      </c>
      <c r="BE24" s="271"/>
      <c r="BF24" s="271"/>
      <c r="BG24" s="271"/>
    </row>
    <row r="25" spans="1:59" ht="21.95" customHeight="1" x14ac:dyDescent="0.25">
      <c r="A25" s="374">
        <f>IF($B25="","",3)</f>
        <v>3</v>
      </c>
      <c r="B25" s="375" t="str" cm="1">
        <f t="array" ref="B25">IFERROR(IF(INDEX($AC$72:$AC$430,$K25)="","",INDEX($AC$72:$AC$430,$K25)),"")</f>
        <v>Huile d’olive</v>
      </c>
      <c r="C25" s="376" cm="1">
        <f t="array" ref="C25">IF($B25="","",INDEX($AG$72:$AG$430,$K25))</f>
        <v>1</v>
      </c>
      <c r="D25" s="377" t="str" cm="1">
        <f t="array" ref="D25">IF($B25="","",INDEX($AH$72:$AH$430,$K25))</f>
        <v>DEMI/L</v>
      </c>
      <c r="E25" s="378">
        <f t="shared" si="0"/>
        <v>25</v>
      </c>
      <c r="F25" s="379" t="str" cm="1">
        <f t="array" ref="F25">IF($B25="","",IF(UPPER(TRIM($D25))="QT. SUFFISANTE","Qt. suffisante",IF($N25="","",IF($L25="MASSE",IF($N25&gt;=1,"Kg","g"),IF($L25="VOLUME",IF($N25&gt;=1,"L","cl"),INDEX($AL$72:$AL$430,$K25))))))</f>
        <v>cl</v>
      </c>
      <c r="G25" s="380">
        <f t="shared" si="1"/>
        <v>1</v>
      </c>
      <c r="H25" s="381" t="str" cm="1">
        <f t="array" ref="H25">IF($B25="","",IF(UPPER(TRIM($D25))="QT. SUFFISANTE","Qt. suffisante",IF($O25="","",IF($L25="MASSE",IF($O25&gt;=1,"Kg","g"),IF($L25="VOLUME",IF($O25&gt;=1,"L","cl"),INDEX($AL$72:$AL$430,$K25))))))</f>
        <v>L</v>
      </c>
      <c r="I25" s="382" t="str" cm="1">
        <f t="array" ref="I25">IF($B25="","",INDEX($AM$72:$AM$430,$K25))</f>
        <v>OK</v>
      </c>
      <c r="J25" s="271"/>
      <c r="K25" s="383">
        <f>1+($B$5-1)*36+3</f>
        <v>112</v>
      </c>
      <c r="L25" s="383" t="str" cm="1">
        <f t="array" ref="L25">IF($B25="","",INDEX($AI$72:$AI$430,$K25))</f>
        <v>VOLUME</v>
      </c>
      <c r="M25" s="383" cm="1">
        <f t="array" ref="M25">IF($B25="","",INDEX($AJ$72:$AJ$430,$K25))</f>
        <v>0.5</v>
      </c>
      <c r="N25" s="384" cm="1">
        <f t="array" ref="N25">IF(OR($B25="",$B$13="",$B$12="",$B$12=0),"",IF($L$22="AUTRE",IFERROR(INDEX($AK$72:$AK$430,$K25)*($B$13/$B$12),""),IF(OR($C$12="",$C$13=""),"",IFERROR(INDEX($AK$72:$AK$430,$K25)*(($B$13*VLOOKUP($C$13,$AY$74:$BA$119,3,FALSE))/($B$12*VLOOKUP($C$12,$AY$74:$BA$119,3,FALSE))),""))))</f>
        <v>0.25</v>
      </c>
      <c r="O25" s="384" cm="1">
        <f t="array" ref="O25">IF(OR($B25="",$G$12="",$G$11="",$G$11=0),"",IFERROR(INDEX($AK$72:$AK$430,$K25)*($G$12/$G$11),""))</f>
        <v>1</v>
      </c>
      <c r="U25" s="611"/>
      <c r="V25" s="613"/>
      <c r="W25" s="616"/>
      <c r="X25" s="616"/>
      <c r="Y25" s="616"/>
      <c r="Z25" s="616"/>
      <c r="AA25" s="617"/>
      <c r="AC25" s="275"/>
      <c r="AD25" s="301" t="s">
        <v>7994</v>
      </c>
      <c r="AE25" s="322" t="s">
        <v>7997</v>
      </c>
      <c r="AF25" s="303" t="s">
        <v>7998</v>
      </c>
      <c r="AG25" s="390"/>
      <c r="AH25" s="391" t="s">
        <v>7999</v>
      </c>
      <c r="AI25" s="311" t="s">
        <v>8000</v>
      </c>
      <c r="AJ25" s="311"/>
      <c r="AK25" s="311"/>
      <c r="AL25" s="311"/>
      <c r="AM25" s="311"/>
      <c r="AN25" s="311"/>
      <c r="AO25" s="311"/>
      <c r="AP25" s="311"/>
      <c r="AQ25" s="311"/>
      <c r="BB25" s="271"/>
      <c r="BC25" s="271"/>
      <c r="BD25" s="279">
        <v>1</v>
      </c>
      <c r="BE25" s="271"/>
      <c r="BF25" s="271"/>
      <c r="BG25" s="271"/>
    </row>
    <row r="26" spans="1:59" ht="21.95" customHeight="1" x14ac:dyDescent="0.25">
      <c r="A26" s="374">
        <f>IF($B26="","",4)</f>
        <v>4</v>
      </c>
      <c r="B26" s="375" t="str" cm="1">
        <f t="array" ref="B26">IFERROR(IF(INDEX($AC$72:$AC$430,$K26)="","",INDEX($AC$72:$AC$430,$K26)),"")</f>
        <v>Basilic</v>
      </c>
      <c r="C26" s="376" t="str" cm="1">
        <f t="array" ref="C26">IF($B26="","",INDEX($AG$72:$AG$430,$K26))</f>
        <v>QT. SUFFISANTE</v>
      </c>
      <c r="D26" s="377" t="str" cm="1">
        <f t="array" ref="D26">IF($B26="","",INDEX($AH$72:$AH$430,$K26))</f>
        <v/>
      </c>
      <c r="E26" s="378" t="str">
        <f t="shared" si="0"/>
        <v/>
      </c>
      <c r="F26" s="379" t="str" cm="1">
        <f t="array" ref="F26">IF($B26="","",IF(UPPER(TRIM($D26))="QT. SUFFISANTE","Qt. suffisante",IF($N26="","",IF($L26="MASSE",IF($N26&gt;=1,"Kg","g"),IF($L26="VOLUME",IF($N26&gt;=1,"L","cl"),INDEX($AL$72:$AL$430,$K26))))))</f>
        <v/>
      </c>
      <c r="G26" s="380" t="str">
        <f t="shared" si="1"/>
        <v/>
      </c>
      <c r="H26" s="381" t="str" cm="1">
        <f t="array" ref="H26">IF($B26="","",IF(UPPER(TRIM($D26))="QT. SUFFISANTE","Qt. suffisante",IF($O26="","",IF($L26="MASSE",IF($O26&gt;=1,"Kg","g"),IF($L26="VOLUME",IF($O26&gt;=1,"L","cl"),INDEX($AL$72:$AL$430,$K26))))))</f>
        <v/>
      </c>
      <c r="I26" s="382" t="str" cm="1">
        <f t="array" ref="I26">IF($B26="","",INDEX($AM$72:$AM$430,$K26))</f>
        <v>QUANTITÉ À CONTRÔLER</v>
      </c>
      <c r="J26" s="271"/>
      <c r="K26" s="383">
        <f>1+($B$5-1)*36+4</f>
        <v>113</v>
      </c>
      <c r="L26" s="383" t="str" cm="1">
        <f t="array" ref="L26">IF($B26="","",INDEX($AI$72:$AI$430,$K26))</f>
        <v>AUTRE</v>
      </c>
      <c r="M26" s="383" cm="1">
        <f t="array" ref="M26">IF($B26="","",INDEX($AJ$72:$AJ$430,$K26))</f>
        <v>1</v>
      </c>
      <c r="N26" s="384" t="str" cm="1">
        <f t="array" ref="N26">IF(OR($B26="",$B$13="",$B$12="",$B$12=0),"",IF($L$22="AUTRE",IFERROR(INDEX($AK$72:$AK$430,$K26)*($B$13/$B$12),""),IF(OR($C$12="",$C$13=""),"",IFERROR(INDEX($AK$72:$AK$430,$K26)*(($B$13*VLOOKUP($C$13,$AY$74:$BA$119,3,FALSE))/($B$12*VLOOKUP($C$12,$AY$74:$BA$119,3,FALSE))),""))))</f>
        <v/>
      </c>
      <c r="O26" s="384" t="str" cm="1">
        <f t="array" ref="O26">IF(OR($B26="",$G$12="",$G$11="",$G$11=0),"",IFERROR(INDEX($AK$72:$AK$430,$K26)*($G$12/$G$11),""))</f>
        <v/>
      </c>
      <c r="U26" s="618" t="s">
        <v>8001</v>
      </c>
      <c r="V26" s="619" t="s">
        <v>8002</v>
      </c>
      <c r="W26" s="620" t="s">
        <v>8003</v>
      </c>
      <c r="X26" s="620"/>
      <c r="Y26" s="620"/>
      <c r="Z26" s="620"/>
      <c r="AA26" s="621"/>
      <c r="AC26" s="275"/>
      <c r="AD26" s="301" t="s">
        <v>8004</v>
      </c>
      <c r="AE26" s="322" t="s">
        <v>8005</v>
      </c>
      <c r="AF26" s="303" t="s">
        <v>8006</v>
      </c>
      <c r="AG26" s="624" t="s">
        <v>8007</v>
      </c>
      <c r="AH26" s="624"/>
      <c r="AI26" s="311" t="s">
        <v>8008</v>
      </c>
      <c r="AJ26" s="311"/>
      <c r="AK26" s="311"/>
      <c r="AL26" s="311"/>
      <c r="AM26" s="311"/>
      <c r="AN26" s="311"/>
      <c r="AO26" s="311"/>
      <c r="AP26" s="311"/>
      <c r="AQ26" s="311"/>
      <c r="BB26" s="271"/>
      <c r="BC26" s="271"/>
      <c r="BD26" s="279">
        <v>1</v>
      </c>
      <c r="BE26" s="271"/>
      <c r="BF26" s="271"/>
      <c r="BG26" s="271"/>
    </row>
    <row r="27" spans="1:59" ht="21.95" customHeight="1" thickBot="1" x14ac:dyDescent="0.3">
      <c r="A27" s="374">
        <f>IF($B27="","",5)</f>
        <v>5</v>
      </c>
      <c r="B27" s="375" t="str" cm="1">
        <f t="array" ref="B27">IFERROR(IF(INDEX($AC$72:$AC$430,$K27)="","",INDEX($AC$72:$AC$430,$K27)),"")</f>
        <v>Ail haché surgelé</v>
      </c>
      <c r="C27" s="376" cm="1">
        <f t="array" ref="C27">IF($B27="","",INDEX($AG$72:$AG$430,$K27))</f>
        <v>75</v>
      </c>
      <c r="D27" s="377" t="str" cm="1">
        <f t="array" ref="D27">IF($B27="","",INDEX($AH$72:$AH$430,$K27))</f>
        <v>G</v>
      </c>
      <c r="E27" s="378">
        <f t="shared" si="0"/>
        <v>38</v>
      </c>
      <c r="F27" s="379" t="str" cm="1">
        <f t="array" ref="F27">IF($B27="","",IF(UPPER(TRIM($D27))="QT. SUFFISANTE","Qt. suffisante",IF($N27="","",IF($L27="MASSE",IF($N27&gt;=1,"Kg","g"),IF($L27="VOLUME",IF($N27&gt;=1,"L","cl"),INDEX($AL$72:$AL$430,$K27))))))</f>
        <v>g</v>
      </c>
      <c r="G27" s="380">
        <f t="shared" si="1"/>
        <v>150</v>
      </c>
      <c r="H27" s="381" t="str" cm="1">
        <f t="array" ref="H27">IF($B27="","",IF(UPPER(TRIM($D27))="QT. SUFFISANTE","Qt. suffisante",IF($O27="","",IF($L27="MASSE",IF($O27&gt;=1,"Kg","g"),IF($L27="VOLUME",IF($O27&gt;=1,"L","cl"),INDEX($AL$72:$AL$430,$K27))))))</f>
        <v>g</v>
      </c>
      <c r="I27" s="382" t="str" cm="1">
        <f t="array" ref="I27">IF($B27="","",INDEX($AM$72:$AM$430,$K27))</f>
        <v>OK</v>
      </c>
      <c r="J27" s="271"/>
      <c r="K27" s="383">
        <f>1+($B$5-1)*36+5</f>
        <v>114</v>
      </c>
      <c r="L27" s="383" t="str" cm="1">
        <f t="array" ref="L27">IF($B27="","",INDEX($AI$72:$AI$430,$K27))</f>
        <v>MASSE</v>
      </c>
      <c r="M27" s="383" cm="1">
        <f t="array" ref="M27">IF($B27="","",INDEX($AJ$72:$AJ$430,$K27))</f>
        <v>1E-3</v>
      </c>
      <c r="N27" s="384" cm="1">
        <f t="array" ref="N27">IF(OR($B27="",$B$13="",$B$12="",$B$12=0),"",IF($L$22="AUTRE",IFERROR(INDEX($AK$72:$AK$430,$K27)*($B$13/$B$12),""),IF(OR($C$12="",$C$13=""),"",IFERROR(INDEX($AK$72:$AK$430,$K27)*(($B$13*VLOOKUP($C$13,$AY$74:$BA$119,3,FALSE))/($B$12*VLOOKUP($C$12,$AY$74:$BA$119,3,FALSE))),""))))</f>
        <v>3.7499999999999999E-2</v>
      </c>
      <c r="O27" s="384" cm="1">
        <f t="array" ref="O27">IF(OR($B27="",$G$12="",$G$11="",$G$11=0),"",IFERROR(INDEX($AK$72:$AK$430,$K27)*($G$12/$G$11),""))</f>
        <v>0.15</v>
      </c>
      <c r="U27" s="588"/>
      <c r="V27" s="590"/>
      <c r="W27" s="622"/>
      <c r="X27" s="622"/>
      <c r="Y27" s="622"/>
      <c r="Z27" s="622"/>
      <c r="AA27" s="623"/>
      <c r="AC27" s="275"/>
      <c r="AD27" s="301" t="s">
        <v>8009</v>
      </c>
      <c r="AE27" s="355" t="s">
        <v>8010</v>
      </c>
      <c r="AF27" s="303" t="s">
        <v>8011</v>
      </c>
      <c r="AG27" s="625" t="s">
        <v>8012</v>
      </c>
      <c r="AH27" s="625"/>
      <c r="AI27" s="304" t="s">
        <v>8013</v>
      </c>
      <c r="AJ27" s="304"/>
      <c r="AK27" s="304"/>
      <c r="AL27" s="304"/>
      <c r="AM27" s="304"/>
      <c r="AN27" s="304"/>
      <c r="AO27" s="304"/>
      <c r="AP27" s="304"/>
      <c r="AQ27" s="304"/>
      <c r="BB27" s="271"/>
      <c r="BC27" s="271"/>
      <c r="BD27" s="279">
        <v>1</v>
      </c>
      <c r="BE27" s="271"/>
      <c r="BF27" s="271"/>
      <c r="BG27" s="271"/>
    </row>
    <row r="28" spans="1:59" ht="21.95" customHeight="1" x14ac:dyDescent="0.25">
      <c r="A28" s="374">
        <f>IF($B28="","",6)</f>
        <v>6</v>
      </c>
      <c r="B28" s="375" t="str" cm="1">
        <f t="array" ref="B28">IFERROR(IF(INDEX($AC$72:$AC$430,$K28)="","",INDEX($AC$72:$AC$430,$K28)),"")</f>
        <v>Sel / Poivre</v>
      </c>
      <c r="C28" s="376" t="str" cm="1">
        <f t="array" ref="C28">IF($B28="","",INDEX($AG$72:$AG$430,$K28))</f>
        <v>QT. SUFFISANTE</v>
      </c>
      <c r="D28" s="377" t="str" cm="1">
        <f t="array" ref="D28">IF($B28="","",INDEX($AH$72:$AH$430,$K28))</f>
        <v/>
      </c>
      <c r="E28" s="378" t="str">
        <f t="shared" si="0"/>
        <v/>
      </c>
      <c r="F28" s="379" t="str" cm="1">
        <f t="array" ref="F28">IF($B28="","",IF(UPPER(TRIM($D28))="QT. SUFFISANTE","Qt. suffisante",IF($N28="","",IF($L28="MASSE",IF($N28&gt;=1,"Kg","g"),IF($L28="VOLUME",IF($N28&gt;=1,"L","cl"),INDEX($AL$72:$AL$430,$K28))))))</f>
        <v/>
      </c>
      <c r="G28" s="380" t="str">
        <f t="shared" si="1"/>
        <v/>
      </c>
      <c r="H28" s="381" t="str" cm="1">
        <f t="array" ref="H28">IF($B28="","",IF(UPPER(TRIM($D28))="QT. SUFFISANTE","Qt. suffisante",IF($O28="","",IF($L28="MASSE",IF($O28&gt;=1,"Kg","g"),IF($L28="VOLUME",IF($O28&gt;=1,"L","cl"),INDEX($AL$72:$AL$430,$K28))))))</f>
        <v/>
      </c>
      <c r="I28" s="382" t="str" cm="1">
        <f t="array" ref="I28">IF($B28="","",INDEX($AM$72:$AM$430,$K28))</f>
        <v>QUANTITÉ À CONTRÔLER</v>
      </c>
      <c r="J28" s="271"/>
      <c r="K28" s="383">
        <f>1+($B$5-1)*36+6</f>
        <v>115</v>
      </c>
      <c r="L28" s="383" t="str" cm="1">
        <f t="array" ref="L28">IF($B28="","",INDEX($AI$72:$AI$430,$K28))</f>
        <v>AUTRE</v>
      </c>
      <c r="M28" s="383" cm="1">
        <f t="array" ref="M28">IF($B28="","",INDEX($AJ$72:$AJ$430,$K28))</f>
        <v>1</v>
      </c>
      <c r="N28" s="384" t="str" cm="1">
        <f t="array" ref="N28">IF(OR($B28="",$B$13="",$B$12="",$B$12=0),"",IF($L$22="AUTRE",IFERROR(INDEX($AK$72:$AK$430,$K28)*($B$13/$B$12),""),IF(OR($C$12="",$C$13=""),"",IFERROR(INDEX($AK$72:$AK$430,$K28)*(($B$13*VLOOKUP($C$13,$AY$74:$BA$119,3,FALSE))/($B$12*VLOOKUP($C$12,$AY$74:$BA$119,3,FALSE))),""))))</f>
        <v/>
      </c>
      <c r="O28" s="384" t="str" cm="1">
        <f t="array" ref="O28">IF(OR($B28="",$G$12="",$G$11="",$G$11=0),"",IFERROR(INDEX($AK$72:$AK$430,$K28)*($G$12/$G$11),""))</f>
        <v/>
      </c>
      <c r="U28" s="595" t="s">
        <v>8014</v>
      </c>
      <c r="V28" s="392" t="s">
        <v>4</v>
      </c>
      <c r="W28" s="597" t="s">
        <v>8015</v>
      </c>
      <c r="X28" s="597"/>
      <c r="Y28" s="597"/>
      <c r="Z28" s="597"/>
      <c r="AA28" s="598"/>
      <c r="AC28" s="275"/>
      <c r="AD28" s="328" t="s">
        <v>8016</v>
      </c>
      <c r="AE28" s="329"/>
      <c r="AF28" s="330"/>
      <c r="AG28" s="329"/>
      <c r="AH28" s="329"/>
      <c r="AI28" s="329"/>
      <c r="AJ28" s="329"/>
      <c r="AK28" s="329"/>
      <c r="AL28" s="329"/>
      <c r="AM28" s="329"/>
      <c r="AN28" s="329"/>
      <c r="AO28" s="329"/>
      <c r="AP28" s="329"/>
      <c r="AQ28" s="329"/>
      <c r="BB28" s="271"/>
      <c r="BC28" s="271"/>
      <c r="BD28" s="279">
        <v>1</v>
      </c>
      <c r="BE28" s="271"/>
      <c r="BF28" s="271"/>
      <c r="BG28" s="271"/>
    </row>
    <row r="29" spans="1:59" ht="21.95" customHeight="1" x14ac:dyDescent="0.25">
      <c r="A29" s="374" t="str">
        <f>IF($B29="","",7)</f>
        <v/>
      </c>
      <c r="B29" s="375" t="str" cm="1">
        <f t="array" ref="B29">IFERROR(IF(INDEX($AC$72:$AC$430,$K29)="","",INDEX($AC$72:$AC$430,$K29)),"")</f>
        <v/>
      </c>
      <c r="C29" s="376" t="str" cm="1">
        <f t="array" ref="C29">IF($B29="","",INDEX($AG$72:$AG$430,$K29))</f>
        <v/>
      </c>
      <c r="D29" s="377" t="str" cm="1">
        <f t="array" ref="D29">IF($B29="","",INDEX($AH$72:$AH$430,$K29))</f>
        <v/>
      </c>
      <c r="E29" s="378" t="str">
        <f t="shared" si="0"/>
        <v/>
      </c>
      <c r="F29" s="379" t="str" cm="1">
        <f t="array" ref="F29">IF($B29="","",IF(UPPER(TRIM($D29))="QT. SUFFISANTE","Qt. suffisante",IF($N29="","",IF($L29="MASSE",IF($N29&gt;=1,"Kg","g"),IF($L29="VOLUME",IF($N29&gt;=1,"L","cl"),INDEX($AL$72:$AL$430,$K29))))))</f>
        <v/>
      </c>
      <c r="G29" s="380" t="str">
        <f t="shared" si="1"/>
        <v/>
      </c>
      <c r="H29" s="381" t="str" cm="1">
        <f t="array" ref="H29">IF($B29="","",IF(UPPER(TRIM($D29))="QT. SUFFISANTE","Qt. suffisante",IF($O29="","",IF($L29="MASSE",IF($O29&gt;=1,"Kg","g"),IF($L29="VOLUME",IF($O29&gt;=1,"L","cl"),INDEX($AL$72:$AL$430,$K29))))))</f>
        <v/>
      </c>
      <c r="I29" s="382" t="str" cm="1">
        <f t="array" ref="I29">IF($B29="","",INDEX($AM$72:$AM$430,$K29))</f>
        <v/>
      </c>
      <c r="J29" s="271"/>
      <c r="K29" s="383">
        <f>1+($B$5-1)*36+7</f>
        <v>116</v>
      </c>
      <c r="L29" s="383" t="str" cm="1">
        <f t="array" ref="L29">IF($B29="","",INDEX($AI$72:$AI$430,$K29))</f>
        <v/>
      </c>
      <c r="M29" s="383" t="str" cm="1">
        <f t="array" ref="M29">IF($B29="","",INDEX($AJ$72:$AJ$430,$K29))</f>
        <v/>
      </c>
      <c r="N29" s="384" t="str" cm="1">
        <f t="array" ref="N29">IF(OR($B29="",$B$13="",$B$12="",$B$12=0),"",IF($L$22="AUTRE",IFERROR(INDEX($AK$72:$AK$430,$K29)*($B$13/$B$12),""),IF(OR($C$12="",$C$13=""),"",IFERROR(INDEX($AK$72:$AK$430,$K29)*(($B$13*VLOOKUP($C$13,$AY$74:$BA$119,3,FALSE))/($B$12*VLOOKUP($C$12,$AY$74:$BA$119,3,FALSE))),""))))</f>
        <v/>
      </c>
      <c r="O29" s="384" t="str" cm="1">
        <f t="array" ref="O29">IF(OR($B29="",$G$12="",$G$11="",$G$11=0),"",IFERROR(INDEX($AK$72:$AK$430,$K29)*($G$12/$G$11),""))</f>
        <v/>
      </c>
      <c r="U29" s="596"/>
      <c r="V29" s="393"/>
      <c r="W29" s="599"/>
      <c r="X29" s="599"/>
      <c r="Y29" s="599"/>
      <c r="Z29" s="599"/>
      <c r="AA29" s="600"/>
      <c r="AC29" s="275"/>
      <c r="AD29" s="319" t="s">
        <v>8017</v>
      </c>
      <c r="AE29" s="394" t="s">
        <v>8018</v>
      </c>
      <c r="AF29" s="395" t="s">
        <v>8019</v>
      </c>
      <c r="AG29" s="601" t="s">
        <v>8020</v>
      </c>
      <c r="AH29" s="601"/>
      <c r="AI29" s="304" t="s">
        <v>8021</v>
      </c>
      <c r="AJ29" s="304"/>
      <c r="AK29" s="304"/>
      <c r="AL29" s="304"/>
      <c r="AM29" s="304"/>
      <c r="AN29" s="304"/>
      <c r="AO29" s="304"/>
      <c r="AP29" s="304"/>
      <c r="AQ29" s="304"/>
      <c r="BB29" s="271"/>
      <c r="BC29" s="271"/>
      <c r="BD29" s="279">
        <v>1</v>
      </c>
      <c r="BE29" s="271"/>
      <c r="BF29" s="271"/>
      <c r="BG29" s="271"/>
    </row>
    <row r="30" spans="1:59" ht="21.95" customHeight="1" x14ac:dyDescent="0.25">
      <c r="A30" s="374" t="str">
        <f>IF($B30="","",8)</f>
        <v/>
      </c>
      <c r="B30" s="375" t="str" cm="1">
        <f t="array" ref="B30">IFERROR(IF(INDEX($AC$72:$AC$430,$K30)="","",INDEX($AC$72:$AC$430,$K30)),"")</f>
        <v/>
      </c>
      <c r="C30" s="376" t="str" cm="1">
        <f t="array" ref="C30">IF($B30="","",INDEX($AG$72:$AG$430,$K30))</f>
        <v/>
      </c>
      <c r="D30" s="377" t="str" cm="1">
        <f t="array" ref="D30">IF($B30="","",INDEX($AH$72:$AH$430,$K30))</f>
        <v/>
      </c>
      <c r="E30" s="378" t="str">
        <f t="shared" si="0"/>
        <v/>
      </c>
      <c r="F30" s="379" t="str" cm="1">
        <f t="array" ref="F30">IF($B30="","",IF(UPPER(TRIM($D30))="QT. SUFFISANTE","Qt. suffisante",IF($N30="","",IF($L30="MASSE",IF($N30&gt;=1,"Kg","g"),IF($L30="VOLUME",IF($N30&gt;=1,"L","cl"),INDEX($AL$72:$AL$430,$K30))))))</f>
        <v/>
      </c>
      <c r="G30" s="380" t="str">
        <f t="shared" si="1"/>
        <v/>
      </c>
      <c r="H30" s="381" t="str" cm="1">
        <f t="array" ref="H30">IF($B30="","",IF(UPPER(TRIM($D30))="QT. SUFFISANTE","Qt. suffisante",IF($O30="","",IF($L30="MASSE",IF($O30&gt;=1,"Kg","g"),IF($L30="VOLUME",IF($O30&gt;=1,"L","cl"),INDEX($AL$72:$AL$430,$K30))))))</f>
        <v/>
      </c>
      <c r="I30" s="382" t="str" cm="1">
        <f t="array" ref="I30">IF($B30="","",INDEX($AM$72:$AM$430,$K30))</f>
        <v/>
      </c>
      <c r="J30" s="271"/>
      <c r="K30" s="383">
        <f>1+($B$5-1)*36+8</f>
        <v>117</v>
      </c>
      <c r="L30" s="383" t="str" cm="1">
        <f t="array" ref="L30">IF($B30="","",INDEX($AI$72:$AI$430,$K30))</f>
        <v/>
      </c>
      <c r="M30" s="383" t="str" cm="1">
        <f t="array" ref="M30">IF($B30="","",INDEX($AJ$72:$AJ$430,$K30))</f>
        <v/>
      </c>
      <c r="N30" s="384" t="str" cm="1">
        <f t="array" ref="N30">IF(OR($B30="",$B$13="",$B$12="",$B$12=0),"",IF($L$22="AUTRE",IFERROR(INDEX($AK$72:$AK$430,$K30)*($B$13/$B$12),""),IF(OR($C$12="",$C$13=""),"",IFERROR(INDEX($AK$72:$AK$430,$K30)*(($B$13*VLOOKUP($C$13,$AY$74:$BA$119,3,FALSE))/($B$12*VLOOKUP($C$12,$AY$74:$BA$119,3,FALSE))),""))))</f>
        <v/>
      </c>
      <c r="O30" s="384" t="str" cm="1">
        <f t="array" ref="O30">IF(OR($B30="",$G$12="",$G$11="",$G$11=0),"",IFERROR(INDEX($AK$72:$AK$430,$K30)*($G$12/$G$11),""))</f>
        <v/>
      </c>
      <c r="U30" s="626" t="s">
        <v>8022</v>
      </c>
      <c r="V30" s="627"/>
      <c r="W30" s="627"/>
      <c r="X30" s="627"/>
      <c r="Y30" s="627"/>
      <c r="Z30" s="627"/>
      <c r="AA30" s="628"/>
      <c r="AC30" s="275"/>
      <c r="AD30" s="319" t="s">
        <v>8017</v>
      </c>
      <c r="AE30" s="320" t="s">
        <v>8023</v>
      </c>
      <c r="AF30" s="395" t="s">
        <v>8024</v>
      </c>
      <c r="AG30" s="629" t="s">
        <v>7</v>
      </c>
      <c r="AH30" s="629"/>
      <c r="AI30" s="304" t="s">
        <v>8025</v>
      </c>
      <c r="AJ30" s="304"/>
      <c r="AK30" s="304"/>
      <c r="AL30" s="304"/>
      <c r="AM30" s="304"/>
      <c r="AN30" s="304"/>
      <c r="AO30" s="304"/>
      <c r="AP30" s="304"/>
      <c r="AQ30" s="304"/>
      <c r="BB30" s="271"/>
      <c r="BC30" s="271"/>
      <c r="BD30" s="279">
        <v>1</v>
      </c>
      <c r="BE30" s="271"/>
      <c r="BF30" s="271"/>
      <c r="BG30" s="271"/>
    </row>
    <row r="31" spans="1:59" ht="21.95" customHeight="1" x14ac:dyDescent="0.25">
      <c r="A31" s="374" t="str">
        <f>IF($B31="","",9)</f>
        <v/>
      </c>
      <c r="B31" s="375" t="str" cm="1">
        <f t="array" ref="B31">IFERROR(IF(INDEX($AC$72:$AC$430,$K31)="","",INDEX($AC$72:$AC$430,$K31)),"")</f>
        <v/>
      </c>
      <c r="C31" s="376" t="str" cm="1">
        <f t="array" ref="C31">IF($B31="","",INDEX($AG$72:$AG$430,$K31))</f>
        <v/>
      </c>
      <c r="D31" s="377" t="str" cm="1">
        <f t="array" ref="D31">IF($B31="","",INDEX($AH$72:$AH$430,$K31))</f>
        <v/>
      </c>
      <c r="E31" s="378" t="str">
        <f t="shared" si="0"/>
        <v/>
      </c>
      <c r="F31" s="379" t="str" cm="1">
        <f t="array" ref="F31">IF($B31="","",IF(UPPER(TRIM($D31))="QT. SUFFISANTE","Qt. suffisante",IF($N31="","",IF($L31="MASSE",IF($N31&gt;=1,"Kg","g"),IF($L31="VOLUME",IF($N31&gt;=1,"L","cl"),INDEX($AL$72:$AL$430,$K31))))))</f>
        <v/>
      </c>
      <c r="G31" s="380" t="str">
        <f t="shared" si="1"/>
        <v/>
      </c>
      <c r="H31" s="381" t="str" cm="1">
        <f t="array" ref="H31">IF($B31="","",IF(UPPER(TRIM($D31))="QT. SUFFISANTE","Qt. suffisante",IF($O31="","",IF($L31="MASSE",IF($O31&gt;=1,"Kg","g"),IF($L31="VOLUME",IF($O31&gt;=1,"L","cl"),INDEX($AL$72:$AL$430,$K31))))))</f>
        <v/>
      </c>
      <c r="I31" s="382" t="str" cm="1">
        <f t="array" ref="I31">IF($B31="","",INDEX($AM$72:$AM$430,$K31))</f>
        <v/>
      </c>
      <c r="J31" s="271"/>
      <c r="K31" s="383">
        <f>1+($B$5-1)*36+9</f>
        <v>118</v>
      </c>
      <c r="L31" s="383" t="str" cm="1">
        <f t="array" ref="L31">IF($B31="","",INDEX($AI$72:$AI$430,$K31))</f>
        <v/>
      </c>
      <c r="M31" s="383" t="str" cm="1">
        <f t="array" ref="M31">IF($B31="","",INDEX($AJ$72:$AJ$430,$K31))</f>
        <v/>
      </c>
      <c r="N31" s="384" t="str" cm="1">
        <f t="array" ref="N31">IF(OR($B31="",$B$13="",$B$12="",$B$12=0),"",IF($L$22="AUTRE",IFERROR(INDEX($AK$72:$AK$430,$K31)*($B$13/$B$12),""),IF(OR($C$12="",$C$13=""),"",IFERROR(INDEX($AK$72:$AK$430,$K31)*(($B$13*VLOOKUP($C$13,$AY$74:$BA$119,3,FALSE))/($B$12*VLOOKUP($C$12,$AY$74:$BA$119,3,FALSE))),""))))</f>
        <v/>
      </c>
      <c r="O31" s="384" t="str" cm="1">
        <f t="array" ref="O31">IF(OR($B31="",$G$12="",$G$11="",$G$11=0),"",IFERROR(INDEX($AK$72:$AK$430,$K31)*($G$12/$G$11),""))</f>
        <v/>
      </c>
      <c r="U31" s="630" t="s">
        <v>8026</v>
      </c>
      <c r="V31" s="631"/>
      <c r="W31" s="632" t="s">
        <v>8027</v>
      </c>
      <c r="X31" s="632"/>
      <c r="Y31" s="632"/>
      <c r="Z31" s="632"/>
      <c r="AA31" s="633"/>
      <c r="AC31" s="275"/>
      <c r="AD31" s="319" t="s">
        <v>8017</v>
      </c>
      <c r="AE31" s="320" t="s">
        <v>330</v>
      </c>
      <c r="AF31" s="395" t="s">
        <v>8028</v>
      </c>
      <c r="AG31" s="634" t="s">
        <v>8029</v>
      </c>
      <c r="AH31" s="634"/>
      <c r="AI31" s="304" t="s">
        <v>8030</v>
      </c>
      <c r="AJ31" s="304"/>
      <c r="AK31" s="304"/>
      <c r="AL31" s="304"/>
      <c r="AM31" s="304"/>
      <c r="AN31" s="304"/>
      <c r="AO31" s="304"/>
      <c r="AP31" s="304"/>
      <c r="AQ31" s="304"/>
      <c r="BB31" s="271"/>
      <c r="BC31" s="271"/>
      <c r="BD31" s="279">
        <v>1</v>
      </c>
      <c r="BE31" s="271"/>
      <c r="BF31" s="271"/>
      <c r="BG31" s="271"/>
    </row>
    <row r="32" spans="1:59" ht="21.95" customHeight="1" x14ac:dyDescent="0.25">
      <c r="A32" s="374" t="str">
        <f>IF($B32="","",10)</f>
        <v/>
      </c>
      <c r="B32" s="375" t="str" cm="1">
        <f t="array" ref="B32">IFERROR(IF(INDEX($AC$72:$AC$430,$K32)="","",INDEX($AC$72:$AC$430,$K32)),"")</f>
        <v/>
      </c>
      <c r="C32" s="376" t="str" cm="1">
        <f t="array" ref="C32">IF($B32="","",INDEX($AG$72:$AG$430,$K32))</f>
        <v/>
      </c>
      <c r="D32" s="377" t="str" cm="1">
        <f t="array" ref="D32">IF($B32="","",INDEX($AH$72:$AH$430,$K32))</f>
        <v/>
      </c>
      <c r="E32" s="378" t="str">
        <f t="shared" si="0"/>
        <v/>
      </c>
      <c r="F32" s="379" t="str" cm="1">
        <f t="array" ref="F32">IF($B32="","",IF(UPPER(TRIM($D32))="QT. SUFFISANTE","Qt. suffisante",IF($N32="","",IF($L32="MASSE",IF($N32&gt;=1,"Kg","g"),IF($L32="VOLUME",IF($N32&gt;=1,"L","cl"),INDEX($AL$72:$AL$430,$K32))))))</f>
        <v/>
      </c>
      <c r="G32" s="380" t="str">
        <f t="shared" si="1"/>
        <v/>
      </c>
      <c r="H32" s="381" t="str" cm="1">
        <f t="array" ref="H32">IF($B32="","",IF(UPPER(TRIM($D32))="QT. SUFFISANTE","Qt. suffisante",IF($O32="","",IF($L32="MASSE",IF($O32&gt;=1,"Kg","g"),IF($L32="VOLUME",IF($O32&gt;=1,"L","cl"),INDEX($AL$72:$AL$430,$K32))))))</f>
        <v/>
      </c>
      <c r="I32" s="382" t="str" cm="1">
        <f t="array" ref="I32">IF($B32="","",INDEX($AM$72:$AM$430,$K32))</f>
        <v/>
      </c>
      <c r="J32" s="271"/>
      <c r="K32" s="383">
        <f>1+($B$5-1)*36+10</f>
        <v>119</v>
      </c>
      <c r="L32" s="383" t="str" cm="1">
        <f t="array" ref="L32">IF($B32="","",INDEX($AI$72:$AI$430,$K32))</f>
        <v/>
      </c>
      <c r="M32" s="383" t="str" cm="1">
        <f t="array" ref="M32">IF($B32="","",INDEX($AJ$72:$AJ$430,$K32))</f>
        <v/>
      </c>
      <c r="N32" s="384" t="str" cm="1">
        <f t="array" ref="N32">IF(OR($B32="",$B$13="",$B$12="",$B$12=0),"",IF($L$22="AUTRE",IFERROR(INDEX($AK$72:$AK$430,$K32)*($B$13/$B$12),""),IF(OR($C$12="",$C$13=""),"",IFERROR(INDEX($AK$72:$AK$430,$K32)*(($B$13*VLOOKUP($C$13,$AY$74:$BA$119,3,FALSE))/($B$12*VLOOKUP($C$12,$AY$74:$BA$119,3,FALSE))),""))))</f>
        <v/>
      </c>
      <c r="O32" s="384" t="str" cm="1">
        <f t="array" ref="O32">IF(OR($B32="",$G$12="",$G$11="",$G$11=0),"",IFERROR(INDEX($AK$72:$AK$430,$K32)*($G$12/$G$11),""))</f>
        <v/>
      </c>
      <c r="U32" s="630"/>
      <c r="V32" s="631"/>
      <c r="W32" s="632"/>
      <c r="X32" s="632"/>
      <c r="Y32" s="632"/>
      <c r="Z32" s="632"/>
      <c r="AA32" s="633"/>
      <c r="AC32" s="275"/>
      <c r="AD32" s="319" t="s">
        <v>8017</v>
      </c>
      <c r="AE32" s="320" t="s">
        <v>8031</v>
      </c>
      <c r="AF32" s="395" t="s">
        <v>8032</v>
      </c>
      <c r="AG32" s="634" t="s">
        <v>8033</v>
      </c>
      <c r="AH32" s="634"/>
      <c r="AI32" s="311" t="s">
        <v>8034</v>
      </c>
      <c r="AJ32" s="311"/>
      <c r="AK32" s="311"/>
      <c r="AL32" s="311"/>
      <c r="AM32" s="311"/>
      <c r="AN32" s="311"/>
      <c r="AO32" s="311"/>
      <c r="AP32" s="311"/>
      <c r="AQ32" s="311"/>
      <c r="BB32" s="271"/>
      <c r="BC32" s="271"/>
      <c r="BD32" s="279">
        <v>1</v>
      </c>
      <c r="BE32" s="271"/>
      <c r="BF32" s="271"/>
      <c r="BG32" s="271"/>
    </row>
    <row r="33" spans="1:59" ht="21.95" customHeight="1" x14ac:dyDescent="0.25">
      <c r="A33" s="374" t="str">
        <f>IF($B33="","",11)</f>
        <v/>
      </c>
      <c r="B33" s="375" t="str" cm="1">
        <f t="array" ref="B33">IFERROR(IF(INDEX($AC$72:$AC$430,$K33)="","",INDEX($AC$72:$AC$430,$K33)),"")</f>
        <v/>
      </c>
      <c r="C33" s="376" t="str" cm="1">
        <f t="array" ref="C33">IF($B33="","",INDEX($AG$72:$AG$430,$K33))</f>
        <v/>
      </c>
      <c r="D33" s="377" t="str" cm="1">
        <f t="array" ref="D33">IF($B33="","",INDEX($AH$72:$AH$430,$K33))</f>
        <v/>
      </c>
      <c r="E33" s="378" t="str">
        <f t="shared" si="0"/>
        <v/>
      </c>
      <c r="F33" s="379" t="str" cm="1">
        <f t="array" ref="F33">IF($B33="","",IF(UPPER(TRIM($D33))="QT. SUFFISANTE","Qt. suffisante",IF($N33="","",IF($L33="MASSE",IF($N33&gt;=1,"Kg","g"),IF($L33="VOLUME",IF($N33&gt;=1,"L","cl"),INDEX($AL$72:$AL$430,$K33))))))</f>
        <v/>
      </c>
      <c r="G33" s="380" t="str">
        <f t="shared" si="1"/>
        <v/>
      </c>
      <c r="H33" s="381" t="str" cm="1">
        <f t="array" ref="H33">IF($B33="","",IF(UPPER(TRIM($D33))="QT. SUFFISANTE","Qt. suffisante",IF($O33="","",IF($L33="MASSE",IF($O33&gt;=1,"Kg","g"),IF($L33="VOLUME",IF($O33&gt;=1,"L","cl"),INDEX($AL$72:$AL$430,$K33))))))</f>
        <v/>
      </c>
      <c r="I33" s="382" t="str" cm="1">
        <f t="array" ref="I33">IF($B33="","",INDEX($AM$72:$AM$430,$K33))</f>
        <v/>
      </c>
      <c r="J33" s="271"/>
      <c r="K33" s="383">
        <f>1+($B$5-1)*36+11</f>
        <v>120</v>
      </c>
      <c r="L33" s="383" t="str" cm="1">
        <f t="array" ref="L33">IF($B33="","",INDEX($AI$72:$AI$430,$K33))</f>
        <v/>
      </c>
      <c r="M33" s="383" t="str" cm="1">
        <f t="array" ref="M33">IF($B33="","",INDEX($AJ$72:$AJ$430,$K33))</f>
        <v/>
      </c>
      <c r="N33" s="384" t="str" cm="1">
        <f t="array" ref="N33">IF(OR($B33="",$B$13="",$B$12="",$B$12=0),"",IF($L$22="AUTRE",IFERROR(INDEX($AK$72:$AK$430,$K33)*($B$13/$B$12),""),IF(OR($C$12="",$C$13=""),"",IFERROR(INDEX($AK$72:$AK$430,$K33)*(($B$13*VLOOKUP($C$13,$AY$74:$BA$119,3,FALSE))/($B$12*VLOOKUP($C$12,$AY$74:$BA$119,3,FALSE))),""))))</f>
        <v/>
      </c>
      <c r="O33" s="384" t="str" cm="1">
        <f t="array" ref="O33">IF(OR($B33="",$G$12="",$G$11="",$G$11=0),"",IFERROR(INDEX($AK$72:$AK$430,$K33)*($G$12/$G$11),""))</f>
        <v/>
      </c>
      <c r="U33" s="635" t="s">
        <v>8035</v>
      </c>
      <c r="V33" s="636"/>
      <c r="W33" s="637" t="s">
        <v>8036</v>
      </c>
      <c r="X33" s="637"/>
      <c r="Y33" s="637"/>
      <c r="Z33" s="637"/>
      <c r="AA33" s="638"/>
      <c r="AC33" s="275"/>
      <c r="AD33" s="319" t="s">
        <v>8017</v>
      </c>
      <c r="AE33" s="394" t="s">
        <v>8037</v>
      </c>
      <c r="AF33" s="395" t="s">
        <v>8038</v>
      </c>
      <c r="AG33" s="634" t="s">
        <v>8039</v>
      </c>
      <c r="AH33" s="634"/>
      <c r="AI33" s="311" t="s">
        <v>8040</v>
      </c>
      <c r="AJ33" s="311"/>
      <c r="AK33" s="311"/>
      <c r="AL33" s="311"/>
      <c r="AM33" s="311"/>
      <c r="AN33" s="311"/>
      <c r="AO33" s="311"/>
      <c r="AP33" s="311"/>
      <c r="AQ33" s="311"/>
      <c r="BB33" s="271"/>
      <c r="BC33" s="271"/>
      <c r="BD33" s="279">
        <v>1</v>
      </c>
      <c r="BE33" s="271"/>
      <c r="BF33" s="271"/>
      <c r="BG33" s="271"/>
    </row>
    <row r="34" spans="1:59" ht="21.95" customHeight="1" x14ac:dyDescent="0.25">
      <c r="A34" s="374" t="str">
        <f>IF($B34="","",12)</f>
        <v/>
      </c>
      <c r="B34" s="375" t="str" cm="1">
        <f t="array" ref="B34">IFERROR(IF(INDEX($AC$72:$AC$430,$K34)="","",INDEX($AC$72:$AC$430,$K34)),"")</f>
        <v/>
      </c>
      <c r="C34" s="376" t="str" cm="1">
        <f t="array" ref="C34">IF($B34="","",INDEX($AG$72:$AG$430,$K34))</f>
        <v/>
      </c>
      <c r="D34" s="377" t="str" cm="1">
        <f t="array" ref="D34">IF($B34="","",INDEX($AH$72:$AH$430,$K34))</f>
        <v/>
      </c>
      <c r="E34" s="378" t="str">
        <f t="shared" si="0"/>
        <v/>
      </c>
      <c r="F34" s="379" t="str" cm="1">
        <f t="array" ref="F34">IF($B34="","",IF(UPPER(TRIM($D34))="QT. SUFFISANTE","Qt. suffisante",IF($N34="","",IF($L34="MASSE",IF($N34&gt;=1,"Kg","g"),IF($L34="VOLUME",IF($N34&gt;=1,"L","cl"),INDEX($AL$72:$AL$430,$K34))))))</f>
        <v/>
      </c>
      <c r="G34" s="380" t="str">
        <f t="shared" si="1"/>
        <v/>
      </c>
      <c r="H34" s="381" t="str" cm="1">
        <f t="array" ref="H34">IF($B34="","",IF(UPPER(TRIM($D34))="QT. SUFFISANTE","Qt. suffisante",IF($O34="","",IF($L34="MASSE",IF($O34&gt;=1,"Kg","g"),IF($L34="VOLUME",IF($O34&gt;=1,"L","cl"),INDEX($AL$72:$AL$430,$K34))))))</f>
        <v/>
      </c>
      <c r="I34" s="382" t="str" cm="1">
        <f t="array" ref="I34">IF($B34="","",INDEX($AM$72:$AM$430,$K34))</f>
        <v/>
      </c>
      <c r="J34" s="271"/>
      <c r="K34" s="383">
        <f>1+($B$5-1)*36+12</f>
        <v>121</v>
      </c>
      <c r="L34" s="383" t="str" cm="1">
        <f t="array" ref="L34">IF($B34="","",INDEX($AI$72:$AI$430,$K34))</f>
        <v/>
      </c>
      <c r="M34" s="383" t="str" cm="1">
        <f t="array" ref="M34">IF($B34="","",INDEX($AJ$72:$AJ$430,$K34))</f>
        <v/>
      </c>
      <c r="N34" s="384" t="str" cm="1">
        <f t="array" ref="N34">IF(OR($B34="",$B$13="",$B$12="",$B$12=0),"",IF($L$22="AUTRE",IFERROR(INDEX($AK$72:$AK$430,$K34)*($B$13/$B$12),""),IF(OR($C$12="",$C$13=""),"",IFERROR(INDEX($AK$72:$AK$430,$K34)*(($B$13*VLOOKUP($C$13,$AY$74:$BA$119,3,FALSE))/($B$12*VLOOKUP($C$12,$AY$74:$BA$119,3,FALSE))),""))))</f>
        <v/>
      </c>
      <c r="O34" s="384" t="str" cm="1">
        <f t="array" ref="O34">IF(OR($B34="",$G$12="",$G$11="",$G$11=0),"",IFERROR(INDEX($AK$72:$AK$430,$K34)*($G$12/$G$11),""))</f>
        <v/>
      </c>
      <c r="U34" s="635"/>
      <c r="V34" s="636"/>
      <c r="W34" s="637"/>
      <c r="X34" s="637"/>
      <c r="Y34" s="637"/>
      <c r="Z34" s="637"/>
      <c r="AA34" s="638"/>
      <c r="AC34" s="275"/>
      <c r="AD34" s="319" t="s">
        <v>8017</v>
      </c>
      <c r="AE34" s="320" t="s">
        <v>8041</v>
      </c>
      <c r="AF34" s="395" t="s">
        <v>8042</v>
      </c>
      <c r="AG34" s="634" t="s">
        <v>8043</v>
      </c>
      <c r="AH34" s="634"/>
      <c r="AI34" s="311" t="s">
        <v>8044</v>
      </c>
      <c r="AJ34" s="311"/>
      <c r="AK34" s="311"/>
      <c r="AL34" s="311"/>
      <c r="AM34" s="311"/>
      <c r="AN34" s="311"/>
      <c r="AO34" s="311"/>
      <c r="AP34" s="311"/>
      <c r="AQ34" s="311"/>
      <c r="BB34" s="271"/>
      <c r="BC34" s="271"/>
      <c r="BD34" s="279">
        <v>1</v>
      </c>
      <c r="BE34" s="271"/>
      <c r="BF34" s="271"/>
      <c r="BG34" s="271"/>
    </row>
    <row r="35" spans="1:59" ht="21.95" customHeight="1" thickBot="1" x14ac:dyDescent="0.3">
      <c r="A35" s="374" t="str">
        <f>IF($B35="","",13)</f>
        <v/>
      </c>
      <c r="B35" s="375" t="str" cm="1">
        <f t="array" ref="B35">IFERROR(IF(INDEX($AC$72:$AC$430,$K35)="","",INDEX($AC$72:$AC$430,$K35)),"")</f>
        <v/>
      </c>
      <c r="C35" s="376" t="str" cm="1">
        <f t="array" ref="C35">IF($B35="","",INDEX($AG$72:$AG$430,$K35))</f>
        <v/>
      </c>
      <c r="D35" s="377" t="str" cm="1">
        <f t="array" ref="D35">IF($B35="","",INDEX($AH$72:$AH$430,$K35))</f>
        <v/>
      </c>
      <c r="E35" s="378" t="str">
        <f t="shared" si="0"/>
        <v/>
      </c>
      <c r="F35" s="379" t="str" cm="1">
        <f t="array" ref="F35">IF($B35="","",IF(UPPER(TRIM($D35))="QT. SUFFISANTE","Qt. suffisante",IF($N35="","",IF($L35="MASSE",IF($N35&gt;=1,"Kg","g"),IF($L35="VOLUME",IF($N35&gt;=1,"L","cl"),INDEX($AL$72:$AL$430,$K35))))))</f>
        <v/>
      </c>
      <c r="G35" s="380" t="str">
        <f t="shared" si="1"/>
        <v/>
      </c>
      <c r="H35" s="381" t="str" cm="1">
        <f t="array" ref="H35">IF($B35="","",IF(UPPER(TRIM($D35))="QT. SUFFISANTE","Qt. suffisante",IF($O35="","",IF($L35="MASSE",IF($O35&gt;=1,"Kg","g"),IF($L35="VOLUME",IF($O35&gt;=1,"L","cl"),INDEX($AL$72:$AL$430,$K35))))))</f>
        <v/>
      </c>
      <c r="I35" s="382" t="str" cm="1">
        <f t="array" ref="I35">IF($B35="","",INDEX($AM$72:$AM$430,$K35))</f>
        <v/>
      </c>
      <c r="J35" s="271"/>
      <c r="K35" s="383">
        <f>1+($B$5-1)*36+13</f>
        <v>122</v>
      </c>
      <c r="L35" s="383" t="str" cm="1">
        <f t="array" ref="L35">IF($B35="","",INDEX($AI$72:$AI$430,$K35))</f>
        <v/>
      </c>
      <c r="M35" s="383" t="str" cm="1">
        <f t="array" ref="M35">IF($B35="","",INDEX($AJ$72:$AJ$430,$K35))</f>
        <v/>
      </c>
      <c r="N35" s="384" t="str" cm="1">
        <f t="array" ref="N35">IF(OR($B35="",$B$13="",$B$12="",$B$12=0),"",IF($L$22="AUTRE",IFERROR(INDEX($AK$72:$AK$430,$K35)*($B$13/$B$12),""),IF(OR($C$12="",$C$13=""),"",IFERROR(INDEX($AK$72:$AK$430,$K35)*(($B$13*VLOOKUP($C$13,$AY$74:$BA$119,3,FALSE))/($B$12*VLOOKUP($C$12,$AY$74:$BA$119,3,FALSE))),""))))</f>
        <v/>
      </c>
      <c r="O35" s="384" t="str" cm="1">
        <f t="array" ref="O35">IF(OR($B35="",$G$12="",$G$11="",$G$11=0),"",IFERROR(INDEX($AK$72:$AK$430,$K35)*($G$12/$G$11),""))</f>
        <v/>
      </c>
      <c r="U35" s="635" t="s">
        <v>8045</v>
      </c>
      <c r="V35" s="636"/>
      <c r="W35" s="637" t="s">
        <v>8046</v>
      </c>
      <c r="X35" s="637"/>
      <c r="Y35" s="637"/>
      <c r="Z35" s="637"/>
      <c r="AA35" s="638"/>
      <c r="AC35" s="275"/>
      <c r="AD35" s="301" t="s">
        <v>343</v>
      </c>
      <c r="AE35" s="322" t="s">
        <v>343</v>
      </c>
      <c r="AF35" s="396" t="s">
        <v>8047</v>
      </c>
      <c r="AG35" s="639" t="s">
        <v>8048</v>
      </c>
      <c r="AH35" s="639"/>
      <c r="AI35" s="311" t="s">
        <v>8049</v>
      </c>
      <c r="AJ35" s="311"/>
      <c r="AK35" s="311"/>
      <c r="AL35" s="311"/>
      <c r="AM35" s="311"/>
      <c r="AN35" s="311"/>
      <c r="AO35" s="311"/>
      <c r="AP35" s="311"/>
      <c r="AQ35" s="311"/>
      <c r="BB35" s="271"/>
      <c r="BC35" s="271"/>
      <c r="BD35" s="279">
        <v>1</v>
      </c>
      <c r="BE35" s="271"/>
      <c r="BF35" s="271"/>
      <c r="BG35" s="271"/>
    </row>
    <row r="36" spans="1:59" ht="20.100000000000001" customHeight="1" x14ac:dyDescent="0.25">
      <c r="A36" s="374" t="str">
        <f>IF($B36="","",14)</f>
        <v/>
      </c>
      <c r="B36" s="375" t="str" cm="1">
        <f t="array" ref="B36">IFERROR(IF(INDEX($AC$72:$AC$430,$K36)="","",INDEX($AC$72:$AC$430,$K36)),"")</f>
        <v/>
      </c>
      <c r="C36" s="376" t="str" cm="1">
        <f t="array" ref="C36">IF($B36="","",INDEX($AG$72:$AG$430,$K36))</f>
        <v/>
      </c>
      <c r="D36" s="377" t="str" cm="1">
        <f t="array" ref="D36">IF($B36="","",INDEX($AH$72:$AH$430,$K36))</f>
        <v/>
      </c>
      <c r="E36" s="378" t="str">
        <f t="shared" si="0"/>
        <v/>
      </c>
      <c r="F36" s="379" t="str" cm="1">
        <f t="array" ref="F36">IF($B36="","",IF(UPPER(TRIM($D36))="QT. SUFFISANTE","Qt. suffisante",IF($N36="","",IF($L36="MASSE",IF($N36&gt;=1,"Kg","g"),IF($L36="VOLUME",IF($N36&gt;=1,"L","cl"),INDEX($AL$72:$AL$430,$K36))))))</f>
        <v/>
      </c>
      <c r="G36" s="380" t="str">
        <f t="shared" si="1"/>
        <v/>
      </c>
      <c r="H36" s="381" t="str" cm="1">
        <f t="array" ref="H36">IF($B36="","",IF(UPPER(TRIM($D36))="QT. SUFFISANTE","Qt. suffisante",IF($O36="","",IF($L36="MASSE",IF($O36&gt;=1,"Kg","g"),IF($L36="VOLUME",IF($O36&gt;=1,"L","cl"),INDEX($AL$72:$AL$430,$K36))))))</f>
        <v/>
      </c>
      <c r="I36" s="382" t="str" cm="1">
        <f t="array" ref="I36">IF($B36="","",INDEX($AM$72:$AM$430,$K36))</f>
        <v/>
      </c>
      <c r="J36" s="271"/>
      <c r="K36" s="383">
        <f>1+($B$5-1)*36+14</f>
        <v>123</v>
      </c>
      <c r="L36" s="383" t="str" cm="1">
        <f t="array" ref="L36">IF($B36="","",INDEX($AI$72:$AI$430,$K36))</f>
        <v/>
      </c>
      <c r="M36" s="383" t="str" cm="1">
        <f t="array" ref="M36">IF($B36="","",INDEX($AJ$72:$AJ$430,$K36))</f>
        <v/>
      </c>
      <c r="N36" s="384" t="str" cm="1">
        <f t="array" ref="N36">IF(OR($B36="",$B$13="",$B$12="",$B$12=0),"",IF($L$22="AUTRE",IFERROR(INDEX($AK$72:$AK$430,$K36)*($B$13/$B$12),""),IF(OR($C$12="",$C$13=""),"",IFERROR(INDEX($AK$72:$AK$430,$K36)*(($B$13*VLOOKUP($C$13,$AY$74:$BA$119,3,FALSE))/($B$12*VLOOKUP($C$12,$AY$74:$BA$119,3,FALSE))),""))))</f>
        <v/>
      </c>
      <c r="O36" s="384" t="str" cm="1">
        <f t="array" ref="O36">IF(OR($B36="",$G$12="",$G$11="",$G$11=0),"",IFERROR(INDEX($AK$72:$AK$430,$K36)*($G$12/$G$11),""))</f>
        <v/>
      </c>
      <c r="U36" s="635"/>
      <c r="V36" s="636"/>
      <c r="W36" s="637"/>
      <c r="X36" s="637"/>
      <c r="Y36" s="637"/>
      <c r="Z36" s="637"/>
      <c r="AA36" s="638"/>
      <c r="AC36" s="275"/>
      <c r="AD36" s="352" t="s">
        <v>8050</v>
      </c>
      <c r="AE36" s="353"/>
      <c r="AF36" s="354"/>
      <c r="AG36" s="353"/>
      <c r="AH36" s="353"/>
      <c r="AI36" s="353"/>
      <c r="AJ36" s="353"/>
      <c r="AK36" s="353"/>
      <c r="AL36" s="353"/>
      <c r="AM36" s="353"/>
      <c r="AN36" s="353"/>
      <c r="AO36" s="353"/>
      <c r="AP36" s="353"/>
      <c r="AQ36" s="353"/>
      <c r="BB36" s="271"/>
      <c r="BC36" s="271"/>
      <c r="BD36" s="279">
        <v>1</v>
      </c>
      <c r="BE36" s="271"/>
      <c r="BF36" s="271"/>
      <c r="BG36" s="271"/>
    </row>
    <row r="37" spans="1:59" ht="23.1" customHeight="1" x14ac:dyDescent="0.25">
      <c r="A37" s="374" t="str">
        <f>IF($B37="","",15)</f>
        <v/>
      </c>
      <c r="B37" s="375" t="str" cm="1">
        <f t="array" ref="B37">IFERROR(IF(INDEX($AC$72:$AC$430,$K37)="","",INDEX($AC$72:$AC$430,$K37)),"")</f>
        <v/>
      </c>
      <c r="C37" s="376" t="str" cm="1">
        <f t="array" ref="C37">IF($B37="","",INDEX($AG$72:$AG$430,$K37))</f>
        <v/>
      </c>
      <c r="D37" s="377" t="str" cm="1">
        <f t="array" ref="D37">IF($B37="","",INDEX($AH$72:$AH$430,$K37))</f>
        <v/>
      </c>
      <c r="E37" s="378" t="str">
        <f t="shared" si="0"/>
        <v/>
      </c>
      <c r="F37" s="379" t="str" cm="1">
        <f t="array" ref="F37">IF($B37="","",IF(UPPER(TRIM($D37))="QT. SUFFISANTE","Qt. suffisante",IF($N37="","",IF($L37="MASSE",IF($N37&gt;=1,"Kg","g"),IF($L37="VOLUME",IF($N37&gt;=1,"L","cl"),INDEX($AL$72:$AL$430,$K37))))))</f>
        <v/>
      </c>
      <c r="G37" s="380" t="str">
        <f t="shared" si="1"/>
        <v/>
      </c>
      <c r="H37" s="381" t="str" cm="1">
        <f t="array" ref="H37">IF($B37="","",IF(UPPER(TRIM($D37))="QT. SUFFISANTE","Qt. suffisante",IF($O37="","",IF($L37="MASSE",IF($O37&gt;=1,"Kg","g"),IF($L37="VOLUME",IF($O37&gt;=1,"L","cl"),INDEX($AL$72:$AL$430,$K37))))))</f>
        <v/>
      </c>
      <c r="I37" s="382" t="str" cm="1">
        <f t="array" ref="I37">IF($B37="","",INDEX($AM$72:$AM$430,$K37))</f>
        <v/>
      </c>
      <c r="J37" s="271"/>
      <c r="K37" s="383">
        <f>1+($B$5-1)*36+15</f>
        <v>124</v>
      </c>
      <c r="L37" s="383" t="str" cm="1">
        <f t="array" ref="L37">IF($B37="","",INDEX($AI$72:$AI$430,$K37))</f>
        <v/>
      </c>
      <c r="M37" s="383" t="str" cm="1">
        <f t="array" ref="M37">IF($B37="","",INDEX($AJ$72:$AJ$430,$K37))</f>
        <v/>
      </c>
      <c r="N37" s="384" t="str" cm="1">
        <f t="array" ref="N37">IF(OR($B37="",$B$13="",$B$12="",$B$12=0),"",IF($L$22="AUTRE",IFERROR(INDEX($AK$72:$AK$430,$K37)*($B$13/$B$12),""),IF(OR($C$12="",$C$13=""),"",IFERROR(INDEX($AK$72:$AK$430,$K37)*(($B$13*VLOOKUP($C$13,$AY$74:$BA$119,3,FALSE))/($B$12*VLOOKUP($C$12,$AY$74:$BA$119,3,FALSE))),""))))</f>
        <v/>
      </c>
      <c r="O37" s="384" t="str" cm="1">
        <f t="array" ref="O37">IF(OR($B37="",$G$12="",$G$11="",$G$11=0),"",IFERROR(INDEX($AK$72:$AK$430,$K37)*($G$12/$G$11),""))</f>
        <v/>
      </c>
      <c r="U37" s="635" t="s">
        <v>8051</v>
      </c>
      <c r="V37" s="636"/>
      <c r="W37" s="637" t="s">
        <v>8052</v>
      </c>
      <c r="X37" s="637"/>
      <c r="Y37" s="637"/>
      <c r="Z37" s="637"/>
      <c r="AA37" s="638"/>
      <c r="AC37" s="275"/>
      <c r="AD37" s="398" t="s">
        <v>343</v>
      </c>
      <c r="AE37" s="397" t="s">
        <v>8048</v>
      </c>
      <c r="AF37" s="396" t="s">
        <v>8047</v>
      </c>
      <c r="AG37" s="639" t="s">
        <v>8048</v>
      </c>
      <c r="AH37" s="639"/>
      <c r="AI37" s="399" t="s">
        <v>8053</v>
      </c>
      <c r="AJ37" s="399"/>
      <c r="AK37" s="399"/>
      <c r="AL37" s="399"/>
      <c r="AM37" s="399"/>
      <c r="AN37" s="399"/>
      <c r="AO37" s="399"/>
      <c r="AP37" s="399"/>
      <c r="AQ37" s="399"/>
      <c r="BB37" s="271"/>
      <c r="BC37" s="271"/>
      <c r="BD37" s="279">
        <v>1</v>
      </c>
      <c r="BE37" s="271"/>
      <c r="BF37" s="271"/>
      <c r="BG37" s="271"/>
    </row>
    <row r="38" spans="1:59" ht="20.100000000000001" customHeight="1" x14ac:dyDescent="0.25">
      <c r="A38" s="374" t="str">
        <f>IF($B38="","",16)</f>
        <v/>
      </c>
      <c r="B38" s="375" t="str" cm="1">
        <f t="array" ref="B38">IFERROR(IF(INDEX($AC$72:$AC$430,$K38)="","",INDEX($AC$72:$AC$430,$K38)),"")</f>
        <v/>
      </c>
      <c r="C38" s="376" t="str" cm="1">
        <f t="array" ref="C38">IF($B38="","",INDEX($AG$72:$AG$430,$K38))</f>
        <v/>
      </c>
      <c r="D38" s="377" t="str" cm="1">
        <f t="array" ref="D38">IF($B38="","",INDEX($AH$72:$AH$430,$K38))</f>
        <v/>
      </c>
      <c r="E38" s="378" t="str">
        <f t="shared" si="0"/>
        <v/>
      </c>
      <c r="F38" s="379" t="str" cm="1">
        <f t="array" ref="F38">IF($B38="","",IF(UPPER(TRIM($D38))="QT. SUFFISANTE","Qt. suffisante",IF($N38="","",IF($L38="MASSE",IF($N38&gt;=1,"Kg","g"),IF($L38="VOLUME",IF($N38&gt;=1,"L","cl"),INDEX($AL$72:$AL$430,$K38))))))</f>
        <v/>
      </c>
      <c r="G38" s="380" t="str">
        <f t="shared" si="1"/>
        <v/>
      </c>
      <c r="H38" s="381" t="str" cm="1">
        <f t="array" ref="H38">IF($B38="","",IF(UPPER(TRIM($D38))="QT. SUFFISANTE","Qt. suffisante",IF($O38="","",IF($L38="MASSE",IF($O38&gt;=1,"Kg","g"),IF($L38="VOLUME",IF($O38&gt;=1,"L","cl"),INDEX($AL$72:$AL$430,$K38))))))</f>
        <v/>
      </c>
      <c r="I38" s="382" t="str" cm="1">
        <f t="array" ref="I38">IF($B38="","",INDEX($AM$72:$AM$430,$K38))</f>
        <v/>
      </c>
      <c r="J38" s="271"/>
      <c r="K38" s="383">
        <f>1+($B$5-1)*36+16</f>
        <v>125</v>
      </c>
      <c r="L38" s="383" t="str" cm="1">
        <f t="array" ref="L38">IF($B38="","",INDEX($AI$72:$AI$430,$K38))</f>
        <v/>
      </c>
      <c r="M38" s="383" t="str" cm="1">
        <f t="array" ref="M38">IF($B38="","",INDEX($AJ$72:$AJ$430,$K38))</f>
        <v/>
      </c>
      <c r="N38" s="384" t="str" cm="1">
        <f t="array" ref="N38">IF(OR($B38="",$B$13="",$B$12="",$B$12=0),"",IF($L$22="AUTRE",IFERROR(INDEX($AK$72:$AK$430,$K38)*($B$13/$B$12),""),IF(OR($C$12="",$C$13=""),"",IFERROR(INDEX($AK$72:$AK$430,$K38)*(($B$13*VLOOKUP($C$13,$AY$74:$BA$119,3,FALSE))/($B$12*VLOOKUP($C$12,$AY$74:$BA$119,3,FALSE))),""))))</f>
        <v/>
      </c>
      <c r="O38" s="384" t="str" cm="1">
        <f t="array" ref="O38">IF(OR($B38="",$G$12="",$G$11="",$G$11=0),"",IFERROR(INDEX($AK$72:$AK$430,$K38)*($G$12/$G$11),""))</f>
        <v/>
      </c>
      <c r="U38" s="635"/>
      <c r="V38" s="636"/>
      <c r="W38" s="637"/>
      <c r="X38" s="637"/>
      <c r="Y38" s="637"/>
      <c r="Z38" s="637"/>
      <c r="AA38" s="638"/>
      <c r="AC38" s="275"/>
      <c r="AD38" s="400" t="s">
        <v>343</v>
      </c>
      <c r="AE38" s="401" t="s">
        <v>8054</v>
      </c>
      <c r="AF38" s="396" t="s">
        <v>8047</v>
      </c>
      <c r="AG38" s="644" t="s">
        <v>8054</v>
      </c>
      <c r="AH38" s="644"/>
      <c r="AI38" s="402" t="s">
        <v>8055</v>
      </c>
      <c r="AJ38" s="403"/>
      <c r="AK38" s="403"/>
      <c r="AL38" s="403"/>
      <c r="AM38" s="403"/>
      <c r="AN38" s="403"/>
      <c r="AO38" s="403"/>
      <c r="AP38" s="403"/>
      <c r="AQ38" s="403"/>
      <c r="BB38" s="271"/>
      <c r="BC38" s="271"/>
      <c r="BD38" s="279">
        <v>1</v>
      </c>
      <c r="BE38" s="271"/>
      <c r="BF38" s="271"/>
      <c r="BG38" s="271"/>
    </row>
    <row r="39" spans="1:59" ht="20.100000000000001" customHeight="1" x14ac:dyDescent="0.25">
      <c r="A39" s="374" t="str">
        <f>IF($B39="","",17)</f>
        <v/>
      </c>
      <c r="B39" s="375" t="str" cm="1">
        <f t="array" ref="B39">IFERROR(IF(INDEX($AC$72:$AC$430,$K39)="","",INDEX($AC$72:$AC$430,$K39)),"")</f>
        <v/>
      </c>
      <c r="C39" s="376" t="str" cm="1">
        <f t="array" ref="C39">IF($B39="","",INDEX($AG$72:$AG$430,$K39))</f>
        <v/>
      </c>
      <c r="D39" s="377" t="str" cm="1">
        <f t="array" ref="D39">IF($B39="","",INDEX($AH$72:$AH$430,$K39))</f>
        <v/>
      </c>
      <c r="E39" s="378" t="str">
        <f t="shared" si="0"/>
        <v/>
      </c>
      <c r="F39" s="379" t="str" cm="1">
        <f t="array" ref="F39">IF($B39="","",IF(UPPER(TRIM($D39))="QT. SUFFISANTE","Qt. suffisante",IF($N39="","",IF($L39="MASSE",IF($N39&gt;=1,"Kg","g"),IF($L39="VOLUME",IF($N39&gt;=1,"L","cl"),INDEX($AL$72:$AL$430,$K39))))))</f>
        <v/>
      </c>
      <c r="G39" s="380" t="str">
        <f t="shared" si="1"/>
        <v/>
      </c>
      <c r="H39" s="381" t="str" cm="1">
        <f t="array" ref="H39">IF($B39="","",IF(UPPER(TRIM($D39))="QT. SUFFISANTE","Qt. suffisante",IF($O39="","",IF($L39="MASSE",IF($O39&gt;=1,"Kg","g"),IF($L39="VOLUME",IF($O39&gt;=1,"L","cl"),INDEX($AL$72:$AL$430,$K39))))))</f>
        <v/>
      </c>
      <c r="I39" s="382" t="str" cm="1">
        <f t="array" ref="I39">IF($B39="","",INDEX($AM$72:$AM$430,$K39))</f>
        <v/>
      </c>
      <c r="J39" s="271"/>
      <c r="K39" s="383">
        <f>1+($B$5-1)*36+17</f>
        <v>126</v>
      </c>
      <c r="L39" s="383" t="str" cm="1">
        <f t="array" ref="L39">IF($B39="","",INDEX($AI$72:$AI$430,$K39))</f>
        <v/>
      </c>
      <c r="M39" s="383" t="str" cm="1">
        <f t="array" ref="M39">IF($B39="","",INDEX($AJ$72:$AJ$430,$K39))</f>
        <v/>
      </c>
      <c r="N39" s="384" t="str" cm="1">
        <f t="array" ref="N39">IF(OR($B39="",$B$13="",$B$12="",$B$12=0),"",IF($L$22="AUTRE",IFERROR(INDEX($AK$72:$AK$430,$K39)*($B$13/$B$12),""),IF(OR($C$12="",$C$13=""),"",IFERROR(INDEX($AK$72:$AK$430,$K39)*(($B$13*VLOOKUP($C$13,$AY$74:$BA$119,3,FALSE))/($B$12*VLOOKUP($C$12,$AY$74:$BA$119,3,FALSE))),""))))</f>
        <v/>
      </c>
      <c r="O39" s="384" t="str" cm="1">
        <f t="array" ref="O39">IF(OR($B39="",$G$12="",$G$11="",$G$11=0),"",IFERROR(INDEX($AK$72:$AK$430,$K39)*($G$12/$G$11),""))</f>
        <v/>
      </c>
      <c r="U39" s="635" t="s">
        <v>8056</v>
      </c>
      <c r="V39" s="636"/>
      <c r="W39" s="637" t="s">
        <v>8057</v>
      </c>
      <c r="X39" s="637"/>
      <c r="Y39" s="637"/>
      <c r="Z39" s="637"/>
      <c r="AA39" s="638"/>
      <c r="AC39" s="275"/>
      <c r="AD39" s="370" t="s">
        <v>343</v>
      </c>
      <c r="AE39" s="404" t="s">
        <v>8058</v>
      </c>
      <c r="AF39" s="396" t="s">
        <v>8047</v>
      </c>
      <c r="AG39" s="645" t="s">
        <v>8058</v>
      </c>
      <c r="AH39" s="645"/>
      <c r="AI39" s="405" t="s">
        <v>8059</v>
      </c>
      <c r="AJ39" s="406"/>
      <c r="AK39" s="406"/>
      <c r="AL39" s="406"/>
      <c r="AM39" s="406"/>
      <c r="AN39" s="406"/>
      <c r="AO39" s="406"/>
      <c r="AP39" s="406"/>
      <c r="AQ39" s="406"/>
      <c r="BB39" s="271"/>
      <c r="BC39" s="271"/>
      <c r="BD39" s="279">
        <v>1</v>
      </c>
      <c r="BE39" s="271"/>
      <c r="BF39" s="271"/>
      <c r="BG39" s="271"/>
    </row>
    <row r="40" spans="1:59" ht="20.100000000000001" customHeight="1" x14ac:dyDescent="0.25">
      <c r="A40" s="374" t="str">
        <f>IF($B40="","",18)</f>
        <v/>
      </c>
      <c r="B40" s="375" t="str" cm="1">
        <f t="array" ref="B40">IFERROR(IF(INDEX($AC$72:$AC$430,$K40)="","",INDEX($AC$72:$AC$430,$K40)),"")</f>
        <v/>
      </c>
      <c r="C40" s="376" t="str" cm="1">
        <f t="array" ref="C40">IF($B40="","",INDEX($AG$72:$AG$430,$K40))</f>
        <v/>
      </c>
      <c r="D40" s="377" t="str" cm="1">
        <f t="array" ref="D40">IF($B40="","",INDEX($AH$72:$AH$430,$K40))</f>
        <v/>
      </c>
      <c r="E40" s="378" t="str">
        <f t="shared" si="0"/>
        <v/>
      </c>
      <c r="F40" s="379" t="str" cm="1">
        <f t="array" ref="F40">IF($B40="","",IF(UPPER(TRIM($D40))="QT. SUFFISANTE","Qt. suffisante",IF($N40="","",IF($L40="MASSE",IF($N40&gt;=1,"Kg","g"),IF($L40="VOLUME",IF($N40&gt;=1,"L","cl"),INDEX($AL$72:$AL$430,$K40))))))</f>
        <v/>
      </c>
      <c r="G40" s="380" t="str">
        <f t="shared" si="1"/>
        <v/>
      </c>
      <c r="H40" s="381" t="str" cm="1">
        <f t="array" ref="H40">IF($B40="","",IF(UPPER(TRIM($D40))="QT. SUFFISANTE","Qt. suffisante",IF($O40="","",IF($L40="MASSE",IF($O40&gt;=1,"Kg","g"),IF($L40="VOLUME",IF($O40&gt;=1,"L","cl"),INDEX($AL$72:$AL$430,$K40))))))</f>
        <v/>
      </c>
      <c r="I40" s="382" t="str" cm="1">
        <f t="array" ref="I40">IF($B40="","",INDEX($AM$72:$AM$430,$K40))</f>
        <v/>
      </c>
      <c r="J40" s="271"/>
      <c r="K40" s="383">
        <f>1+($B$5-1)*36+18</f>
        <v>127</v>
      </c>
      <c r="L40" s="383" t="str" cm="1">
        <f t="array" ref="L40">IF($B40="","",INDEX($AI$72:$AI$430,$K40))</f>
        <v/>
      </c>
      <c r="M40" s="383" t="str" cm="1">
        <f t="array" ref="M40">IF($B40="","",INDEX($AJ$72:$AJ$430,$K40))</f>
        <v/>
      </c>
      <c r="N40" s="384" t="str" cm="1">
        <f t="array" ref="N40">IF(OR($B40="",$B$13="",$B$12="",$B$12=0),"",IF($L$22="AUTRE",IFERROR(INDEX($AK$72:$AK$430,$K40)*($B$13/$B$12),""),IF(OR($C$12="",$C$13=""),"",IFERROR(INDEX($AK$72:$AK$430,$K40)*(($B$13*VLOOKUP($C$13,$AY$74:$BA$119,3,FALSE))/($B$12*VLOOKUP($C$12,$AY$74:$BA$119,3,FALSE))),""))))</f>
        <v/>
      </c>
      <c r="O40" s="384" t="str" cm="1">
        <f t="array" ref="O40">IF(OR($B40="",$G$12="",$G$11="",$G$11=0),"",IFERROR(INDEX($AK$72:$AK$430,$K40)*($G$12/$G$11),""))</f>
        <v/>
      </c>
      <c r="U40" s="635"/>
      <c r="V40" s="636"/>
      <c r="W40" s="637"/>
      <c r="X40" s="637"/>
      <c r="Y40" s="637"/>
      <c r="Z40" s="637"/>
      <c r="AA40" s="638"/>
      <c r="AC40" s="275"/>
      <c r="AD40" s="370" t="s">
        <v>343</v>
      </c>
      <c r="AE40" s="407" t="s">
        <v>8060</v>
      </c>
      <c r="AF40" s="396" t="s">
        <v>8047</v>
      </c>
      <c r="AG40" s="646" t="s">
        <v>8060</v>
      </c>
      <c r="AH40" s="646"/>
      <c r="AI40" s="406" t="s">
        <v>8061</v>
      </c>
      <c r="AJ40" s="406"/>
      <c r="AK40" s="406"/>
      <c r="AL40" s="406"/>
      <c r="AM40" s="406"/>
      <c r="AN40" s="406"/>
      <c r="AO40" s="406"/>
      <c r="AP40" s="406"/>
      <c r="AQ40" s="406"/>
      <c r="BB40" s="271"/>
      <c r="BC40" s="271"/>
      <c r="BD40" s="279">
        <v>1</v>
      </c>
      <c r="BE40" s="271"/>
      <c r="BF40" s="271"/>
      <c r="BG40" s="271"/>
    </row>
    <row r="41" spans="1:59" ht="20.100000000000001" customHeight="1" thickBot="1" x14ac:dyDescent="0.3">
      <c r="A41" s="374" t="str">
        <f>IF($B41="","",19)</f>
        <v/>
      </c>
      <c r="B41" s="375" t="str" cm="1">
        <f t="array" ref="B41">IFERROR(IF(INDEX($AC$72:$AC$430,$K41)="","",INDEX($AC$72:$AC$430,$K41)),"")</f>
        <v/>
      </c>
      <c r="C41" s="376" t="str" cm="1">
        <f t="array" ref="C41">IF($B41="","",INDEX($AG$72:$AG$430,$K41))</f>
        <v/>
      </c>
      <c r="D41" s="377" t="str" cm="1">
        <f t="array" ref="D41">IF($B41="","",INDEX($AH$72:$AH$430,$K41))</f>
        <v/>
      </c>
      <c r="E41" s="378" t="str">
        <f t="shared" si="0"/>
        <v/>
      </c>
      <c r="F41" s="379" t="str" cm="1">
        <f t="array" ref="F41">IF($B41="","",IF(UPPER(TRIM($D41))="QT. SUFFISANTE","Qt. suffisante",IF($N41="","",IF($L41="MASSE",IF($N41&gt;=1,"Kg","g"),IF($L41="VOLUME",IF($N41&gt;=1,"L","cl"),INDEX($AL$72:$AL$430,$K41))))))</f>
        <v/>
      </c>
      <c r="G41" s="380" t="str">
        <f t="shared" si="1"/>
        <v/>
      </c>
      <c r="H41" s="381" t="str" cm="1">
        <f t="array" ref="H41">IF($B41="","",IF(UPPER(TRIM($D41))="QT. SUFFISANTE","Qt. suffisante",IF($O41="","",IF($L41="MASSE",IF($O41&gt;=1,"Kg","g"),IF($L41="VOLUME",IF($O41&gt;=1,"L","cl"),INDEX($AL$72:$AL$430,$K41))))))</f>
        <v/>
      </c>
      <c r="I41" s="382" t="str" cm="1">
        <f t="array" ref="I41">IF($B41="","",INDEX($AM$72:$AM$430,$K41))</f>
        <v/>
      </c>
      <c r="J41" s="271"/>
      <c r="K41" s="383">
        <f>1+($B$5-1)*36+19</f>
        <v>128</v>
      </c>
      <c r="L41" s="383" t="str" cm="1">
        <f t="array" ref="L41">IF($B41="","",INDEX($AI$72:$AI$430,$K41))</f>
        <v/>
      </c>
      <c r="M41" s="383" t="str" cm="1">
        <f t="array" ref="M41">IF($B41="","",INDEX($AJ$72:$AJ$430,$K41))</f>
        <v/>
      </c>
      <c r="N41" s="384" t="str" cm="1">
        <f t="array" ref="N41">IF(OR($B41="",$B$13="",$B$12="",$B$12=0),"",IF($L$22="AUTRE",IFERROR(INDEX($AK$72:$AK$430,$K41)*($B$13/$B$12),""),IF(OR($C$12="",$C$13=""),"",IFERROR(INDEX($AK$72:$AK$430,$K41)*(($B$13*VLOOKUP($C$13,$AY$74:$BA$119,3,FALSE))/($B$12*VLOOKUP($C$12,$AY$74:$BA$119,3,FALSE))),""))))</f>
        <v/>
      </c>
      <c r="O41" s="384" t="str" cm="1">
        <f t="array" ref="O41">IF(OR($B41="",$G$12="",$G$11="",$G$11=0),"",IFERROR(INDEX($AK$72:$AK$430,$K41)*($G$12/$G$11),""))</f>
        <v/>
      </c>
      <c r="U41" s="647" t="s">
        <v>8062</v>
      </c>
      <c r="V41" s="648"/>
      <c r="W41" s="648"/>
      <c r="X41" s="648"/>
      <c r="Y41" s="648"/>
      <c r="Z41" s="648"/>
      <c r="AA41" s="649"/>
      <c r="AD41" s="408" t="s">
        <v>8063</v>
      </c>
      <c r="AE41" s="409" t="s">
        <v>8064</v>
      </c>
      <c r="AF41" s="410" t="s">
        <v>8065</v>
      </c>
      <c r="AG41" s="650" t="s">
        <v>8066</v>
      </c>
      <c r="AH41" s="650"/>
      <c r="AI41" s="411" t="s">
        <v>8067</v>
      </c>
      <c r="AJ41" s="411"/>
      <c r="AK41" s="411"/>
      <c r="AL41" s="411"/>
      <c r="AM41" s="411"/>
      <c r="AN41" s="411"/>
      <c r="AO41" s="411"/>
      <c r="AP41" s="411"/>
      <c r="AQ41" s="411"/>
      <c r="BB41" s="271"/>
      <c r="BC41" s="271"/>
      <c r="BD41" s="279">
        <v>1</v>
      </c>
      <c r="BE41" s="271"/>
      <c r="BF41" s="271"/>
      <c r="BG41" s="271"/>
    </row>
    <row r="42" spans="1:59" ht="20.100000000000001" customHeight="1" x14ac:dyDescent="0.25">
      <c r="A42" s="374" t="str">
        <f>IF($B42="","",20)</f>
        <v/>
      </c>
      <c r="B42" s="375" t="str" cm="1">
        <f t="array" ref="B42">IFERROR(IF(INDEX($AC$72:$AC$430,$K42)="","",INDEX($AC$72:$AC$430,$K42)),"")</f>
        <v/>
      </c>
      <c r="C42" s="376" t="str" cm="1">
        <f t="array" ref="C42">IF($B42="","",INDEX($AG$72:$AG$430,$K42))</f>
        <v/>
      </c>
      <c r="D42" s="377" t="str" cm="1">
        <f t="array" ref="D42">IF($B42="","",INDEX($AH$72:$AH$430,$K42))</f>
        <v/>
      </c>
      <c r="E42" s="378" t="str">
        <f t="shared" si="0"/>
        <v/>
      </c>
      <c r="F42" s="379" t="str" cm="1">
        <f t="array" ref="F42">IF($B42="","",IF(UPPER(TRIM($D42))="QT. SUFFISANTE","Qt. suffisante",IF($N42="","",IF($L42="MASSE",IF($N42&gt;=1,"Kg","g"),IF($L42="VOLUME",IF($N42&gt;=1,"L","cl"),INDEX($AL$72:$AL$430,$K42))))))</f>
        <v/>
      </c>
      <c r="G42" s="380" t="str">
        <f t="shared" si="1"/>
        <v/>
      </c>
      <c r="H42" s="381" t="str" cm="1">
        <f t="array" ref="H42">IF($B42="","",IF(UPPER(TRIM($D42))="QT. SUFFISANTE","Qt. suffisante",IF($O42="","",IF($L42="MASSE",IF($O42&gt;=1,"Kg","g"),IF($L42="VOLUME",IF($O42&gt;=1,"L","cl"),INDEX($AL$72:$AL$430,$K42))))))</f>
        <v/>
      </c>
      <c r="I42" s="382" t="str" cm="1">
        <f t="array" ref="I42">IF($B42="","",INDEX($AM$72:$AM$430,$K42))</f>
        <v/>
      </c>
      <c r="J42" s="271"/>
      <c r="K42" s="383">
        <f>1+($B$5-1)*36+20</f>
        <v>129</v>
      </c>
      <c r="L42" s="383" t="str" cm="1">
        <f t="array" ref="L42">IF($B42="","",INDEX($AI$72:$AI$430,$K42))</f>
        <v/>
      </c>
      <c r="M42" s="383" t="str" cm="1">
        <f t="array" ref="M42">IF($B42="","",INDEX($AJ$72:$AJ$430,$K42))</f>
        <v/>
      </c>
      <c r="N42" s="384" t="str" cm="1">
        <f t="array" ref="N42">IF(OR($B42="",$B$13="",$B$12="",$B$12=0),"",IF($L$22="AUTRE",IFERROR(INDEX($AK$72:$AK$430,$K42)*($B$13/$B$12),""),IF(OR($C$12="",$C$13=""),"",IFERROR(INDEX($AK$72:$AK$430,$K42)*(($B$13*VLOOKUP($C$13,$AY$74:$BA$119,3,FALSE))/($B$12*VLOOKUP($C$12,$AY$74:$BA$119,3,FALSE))),""))))</f>
        <v/>
      </c>
      <c r="O42" s="384" t="str" cm="1">
        <f t="array" ref="O42">IF(OR($B42="",$G$12="",$G$11="",$G$11=0),"",IFERROR(INDEX($AK$72:$AK$430,$K42)*($G$12/$G$11),""))</f>
        <v/>
      </c>
      <c r="U42" s="651" t="s">
        <v>8068</v>
      </c>
      <c r="V42" s="652"/>
      <c r="W42" s="653" t="s">
        <v>8069</v>
      </c>
      <c r="X42" s="653"/>
      <c r="Y42" s="653"/>
      <c r="Z42" s="653"/>
      <c r="AA42" s="654"/>
      <c r="AD42" s="294" t="s">
        <v>8070</v>
      </c>
      <c r="AE42" s="295"/>
      <c r="AF42" s="296"/>
      <c r="AG42" s="295"/>
      <c r="AH42" s="295"/>
      <c r="AI42" s="295"/>
      <c r="AJ42" s="295"/>
      <c r="AK42" s="295"/>
      <c r="AL42" s="295"/>
      <c r="AM42" s="295"/>
      <c r="AN42" s="295"/>
      <c r="AO42" s="295"/>
      <c r="AP42" s="295"/>
      <c r="AQ42" s="295"/>
      <c r="BB42" s="271"/>
      <c r="BC42" s="271"/>
      <c r="BD42" s="279">
        <v>1</v>
      </c>
      <c r="BE42" s="271"/>
      <c r="BF42" s="271"/>
      <c r="BG42" s="271"/>
    </row>
    <row r="43" spans="1:59" ht="20.100000000000001" customHeight="1" x14ac:dyDescent="0.25">
      <c r="A43" s="374" t="str">
        <f>IF($B43="","",21)</f>
        <v/>
      </c>
      <c r="B43" s="375" t="str" cm="1">
        <f t="array" ref="B43">IFERROR(IF(INDEX($AC$72:$AC$430,$K43)="","",INDEX($AC$72:$AC$430,$K43)),"")</f>
        <v/>
      </c>
      <c r="C43" s="376" t="str" cm="1">
        <f t="array" ref="C43">IF($B43="","",INDEX($AG$72:$AG$430,$K43))</f>
        <v/>
      </c>
      <c r="D43" s="377" t="str" cm="1">
        <f t="array" ref="D43">IF($B43="","",INDEX($AH$72:$AH$430,$K43))</f>
        <v/>
      </c>
      <c r="E43" s="378" t="str">
        <f t="shared" si="0"/>
        <v/>
      </c>
      <c r="F43" s="379" t="str" cm="1">
        <f t="array" ref="F43">IF($B43="","",IF(UPPER(TRIM($D43))="QT. SUFFISANTE","Qt. suffisante",IF($N43="","",IF($L43="MASSE",IF($N43&gt;=1,"Kg","g"),IF($L43="VOLUME",IF($N43&gt;=1,"L","cl"),INDEX($AL$72:$AL$430,$K43))))))</f>
        <v/>
      </c>
      <c r="G43" s="380" t="str">
        <f t="shared" si="1"/>
        <v/>
      </c>
      <c r="H43" s="381" t="str" cm="1">
        <f t="array" ref="H43">IF($B43="","",IF(UPPER(TRIM($D43))="QT. SUFFISANTE","Qt. suffisante",IF($O43="","",IF($L43="MASSE",IF($O43&gt;=1,"Kg","g"),IF($L43="VOLUME",IF($O43&gt;=1,"L","cl"),INDEX($AL$72:$AL$430,$K43))))))</f>
        <v/>
      </c>
      <c r="I43" s="382" t="str" cm="1">
        <f t="array" ref="I43">IF($B43="","",INDEX($AM$72:$AM$430,$K43))</f>
        <v/>
      </c>
      <c r="J43" s="271"/>
      <c r="K43" s="383">
        <f>1+($B$5-1)*36+21</f>
        <v>130</v>
      </c>
      <c r="L43" s="383" t="str" cm="1">
        <f t="array" ref="L43">IF($B43="","",INDEX($AI$72:$AI$430,$K43))</f>
        <v/>
      </c>
      <c r="M43" s="383" t="str" cm="1">
        <f t="array" ref="M43">IF($B43="","",INDEX($AJ$72:$AJ$430,$K43))</f>
        <v/>
      </c>
      <c r="N43" s="384" t="str" cm="1">
        <f t="array" ref="N43">IF(OR($B43="",$B$13="",$B$12="",$B$12=0),"",IF($L$22="AUTRE",IFERROR(INDEX($AK$72:$AK$430,$K43)*($B$13/$B$12),""),IF(OR($C$12="",$C$13=""),"",IFERROR(INDEX($AK$72:$AK$430,$K43)*(($B$13*VLOOKUP($C$13,$AY$74:$BA$119,3,FALSE))/($B$12*VLOOKUP($C$12,$AY$74:$BA$119,3,FALSE))),""))))</f>
        <v/>
      </c>
      <c r="O43" s="384" t="str" cm="1">
        <f t="array" ref="O43">IF(OR($B43="",$G$12="",$G$11="",$G$11=0),"",IFERROR(INDEX($AK$72:$AK$430,$K43)*($G$12/$G$11),""))</f>
        <v/>
      </c>
      <c r="U43" s="651"/>
      <c r="V43" s="652"/>
      <c r="W43" s="653"/>
      <c r="X43" s="653"/>
      <c r="Y43" s="653"/>
      <c r="Z43" s="653"/>
      <c r="AA43" s="654"/>
      <c r="AD43" s="301" t="s">
        <v>8071</v>
      </c>
      <c r="AE43" s="322" t="s">
        <v>8072</v>
      </c>
      <c r="AF43" s="303"/>
      <c r="AG43" s="557" t="s">
        <v>8073</v>
      </c>
      <c r="AH43" s="557"/>
      <c r="AI43" s="311" t="s">
        <v>8074</v>
      </c>
      <c r="AJ43" s="311"/>
      <c r="AK43" s="311"/>
      <c r="AL43" s="311"/>
      <c r="AM43" s="311"/>
      <c r="AN43" s="311"/>
      <c r="AO43" s="311"/>
      <c r="AP43" s="311"/>
      <c r="AQ43" s="311"/>
      <c r="BB43" s="271"/>
      <c r="BC43" s="271"/>
      <c r="BD43" s="279">
        <v>1</v>
      </c>
      <c r="BE43" s="271"/>
      <c r="BF43" s="271"/>
      <c r="BG43" s="271"/>
    </row>
    <row r="44" spans="1:59" ht="20.100000000000001" customHeight="1" x14ac:dyDescent="0.25">
      <c r="A44" s="374" t="str">
        <f>IF($B44="","",22)</f>
        <v/>
      </c>
      <c r="B44" s="375" t="str" cm="1">
        <f t="array" ref="B44">IFERROR(IF(INDEX($AC$72:$AC$430,$K44)="","",INDEX($AC$72:$AC$430,$K44)),"")</f>
        <v/>
      </c>
      <c r="C44" s="376" t="str" cm="1">
        <f t="array" ref="C44">IF($B44="","",INDEX($AG$72:$AG$430,$K44))</f>
        <v/>
      </c>
      <c r="D44" s="377" t="str" cm="1">
        <f t="array" ref="D44">IF($B44="","",INDEX($AH$72:$AH$430,$K44))</f>
        <v/>
      </c>
      <c r="E44" s="378" t="str">
        <f t="shared" si="0"/>
        <v/>
      </c>
      <c r="F44" s="379" t="str" cm="1">
        <f t="array" ref="F44">IF($B44="","",IF(UPPER(TRIM($D44))="QT. SUFFISANTE","Qt. suffisante",IF($N44="","",IF($L44="MASSE",IF($N44&gt;=1,"Kg","g"),IF($L44="VOLUME",IF($N44&gt;=1,"L","cl"),INDEX($AL$72:$AL$430,$K44))))))</f>
        <v/>
      </c>
      <c r="G44" s="380" t="str">
        <f t="shared" si="1"/>
        <v/>
      </c>
      <c r="H44" s="381" t="str" cm="1">
        <f t="array" ref="H44">IF($B44="","",IF(UPPER(TRIM($D44))="QT. SUFFISANTE","Qt. suffisante",IF($O44="","",IF($L44="MASSE",IF($O44&gt;=1,"Kg","g"),IF($L44="VOLUME",IF($O44&gt;=1,"L","cl"),INDEX($AL$72:$AL$430,$K44))))))</f>
        <v/>
      </c>
      <c r="I44" s="382" t="str" cm="1">
        <f t="array" ref="I44">IF($B44="","",INDEX($AM$72:$AM$430,$K44))</f>
        <v/>
      </c>
      <c r="J44" s="271"/>
      <c r="K44" s="383">
        <f>1+($B$5-1)*36+22</f>
        <v>131</v>
      </c>
      <c r="L44" s="383" t="str" cm="1">
        <f t="array" ref="L44">IF($B44="","",INDEX($AI$72:$AI$430,$K44))</f>
        <v/>
      </c>
      <c r="M44" s="383" t="str" cm="1">
        <f t="array" ref="M44">IF($B44="","",INDEX($AJ$72:$AJ$430,$K44))</f>
        <v/>
      </c>
      <c r="N44" s="384" t="str" cm="1">
        <f t="array" ref="N44">IF(OR($B44="",$B$13="",$B$12="",$B$12=0),"",IF($L$22="AUTRE",IFERROR(INDEX($AK$72:$AK$430,$K44)*($B$13/$B$12),""),IF(OR($C$12="",$C$13=""),"",IFERROR(INDEX($AK$72:$AK$430,$K44)*(($B$13*VLOOKUP($C$13,$AY$74:$BA$119,3,FALSE))/($B$12*VLOOKUP($C$12,$AY$74:$BA$119,3,FALSE))),""))))</f>
        <v/>
      </c>
      <c r="O44" s="384" t="str" cm="1">
        <f t="array" ref="O44">IF(OR($B44="",$G$12="",$G$11="",$G$11=0),"",IFERROR(INDEX($AK$72:$AK$430,$K44)*($G$12/$G$11),""))</f>
        <v/>
      </c>
      <c r="U44" s="640" t="s">
        <v>343</v>
      </c>
      <c r="V44" s="641"/>
      <c r="W44" s="642" t="s">
        <v>8075</v>
      </c>
      <c r="X44" s="642"/>
      <c r="Y44" s="642"/>
      <c r="Z44" s="642"/>
      <c r="AA44" s="643"/>
      <c r="AD44" s="301" t="s">
        <v>8071</v>
      </c>
      <c r="AE44" s="322" t="s">
        <v>8076</v>
      </c>
      <c r="AF44" s="303"/>
      <c r="AG44" s="557" t="s">
        <v>8077</v>
      </c>
      <c r="AH44" s="557"/>
      <c r="AI44" s="311" t="s">
        <v>8078</v>
      </c>
      <c r="AJ44" s="311"/>
      <c r="AK44" s="311"/>
      <c r="AL44" s="311"/>
      <c r="AM44" s="311"/>
      <c r="AN44" s="311"/>
      <c r="AO44" s="311"/>
      <c r="AP44" s="311"/>
      <c r="AQ44" s="311"/>
      <c r="BB44" s="271"/>
      <c r="BC44" s="271"/>
      <c r="BD44" s="279">
        <v>1</v>
      </c>
      <c r="BE44" s="271"/>
      <c r="BF44" s="271"/>
      <c r="BG44" s="271"/>
    </row>
    <row r="45" spans="1:59" ht="20.100000000000001" customHeight="1" x14ac:dyDescent="0.25">
      <c r="A45" s="374" t="str">
        <f>IF($B45="","",23)</f>
        <v/>
      </c>
      <c r="B45" s="375" t="str" cm="1">
        <f t="array" ref="B45">IFERROR(IF(INDEX($AC$72:$AC$430,$K45)="","",INDEX($AC$72:$AC$430,$K45)),"")</f>
        <v/>
      </c>
      <c r="C45" s="376" t="str" cm="1">
        <f t="array" ref="C45">IF($B45="","",INDEX($AG$72:$AG$430,$K45))</f>
        <v/>
      </c>
      <c r="D45" s="377" t="str" cm="1">
        <f t="array" ref="D45">IF($B45="","",INDEX($AH$72:$AH$430,$K45))</f>
        <v/>
      </c>
      <c r="E45" s="378" t="str">
        <f t="shared" si="0"/>
        <v/>
      </c>
      <c r="F45" s="379" t="str" cm="1">
        <f t="array" ref="F45">IF($B45="","",IF(UPPER(TRIM($D45))="QT. SUFFISANTE","Qt. suffisante",IF($N45="","",IF($L45="MASSE",IF($N45&gt;=1,"Kg","g"),IF($L45="VOLUME",IF($N45&gt;=1,"L","cl"),INDEX($AL$72:$AL$430,$K45))))))</f>
        <v/>
      </c>
      <c r="G45" s="380" t="str">
        <f t="shared" si="1"/>
        <v/>
      </c>
      <c r="H45" s="381" t="str" cm="1">
        <f t="array" ref="H45">IF($B45="","",IF(UPPER(TRIM($D45))="QT. SUFFISANTE","Qt. suffisante",IF($O45="","",IF($L45="MASSE",IF($O45&gt;=1,"Kg","g"),IF($L45="VOLUME",IF($O45&gt;=1,"L","cl"),INDEX($AL$72:$AL$430,$K45))))))</f>
        <v/>
      </c>
      <c r="I45" s="382" t="str" cm="1">
        <f t="array" ref="I45">IF($B45="","",INDEX($AM$72:$AM$430,$K45))</f>
        <v/>
      </c>
      <c r="J45" s="271"/>
      <c r="K45" s="383">
        <f>1+($B$5-1)*36+23</f>
        <v>132</v>
      </c>
      <c r="L45" s="383" t="str" cm="1">
        <f t="array" ref="L45">IF($B45="","",INDEX($AI$72:$AI$430,$K45))</f>
        <v/>
      </c>
      <c r="M45" s="383" t="str" cm="1">
        <f t="array" ref="M45">IF($B45="","",INDEX($AJ$72:$AJ$430,$K45))</f>
        <v/>
      </c>
      <c r="N45" s="384" t="str" cm="1">
        <f t="array" ref="N45">IF(OR($B45="",$B$13="",$B$12="",$B$12=0),"",IF($L$22="AUTRE",IFERROR(INDEX($AK$72:$AK$430,$K45)*($B$13/$B$12),""),IF(OR($C$12="",$C$13=""),"",IFERROR(INDEX($AK$72:$AK$430,$K45)*(($B$13*VLOOKUP($C$13,$AY$74:$BA$119,3,FALSE))/($B$12*VLOOKUP($C$12,$AY$74:$BA$119,3,FALSE))),""))))</f>
        <v/>
      </c>
      <c r="O45" s="384" t="str" cm="1">
        <f t="array" ref="O45">IF(OR($B45="",$G$12="",$G$11="",$G$11=0),"",IFERROR(INDEX($AK$72:$AK$430,$K45)*($G$12/$G$11),""))</f>
        <v/>
      </c>
      <c r="U45" s="640"/>
      <c r="V45" s="641"/>
      <c r="W45" s="642"/>
      <c r="X45" s="642"/>
      <c r="Y45" s="642"/>
      <c r="Z45" s="642"/>
      <c r="AA45" s="643"/>
      <c r="AD45" s="301" t="s">
        <v>8071</v>
      </c>
      <c r="AE45" s="322" t="s">
        <v>8079</v>
      </c>
      <c r="AF45" s="303"/>
      <c r="AG45" s="557" t="s">
        <v>8080</v>
      </c>
      <c r="AH45" s="557"/>
      <c r="AI45" s="311" t="s">
        <v>8081</v>
      </c>
      <c r="AJ45" s="311"/>
      <c r="AK45" s="311"/>
      <c r="AL45" s="311"/>
      <c r="AM45" s="311"/>
      <c r="AN45" s="311"/>
      <c r="AO45" s="311"/>
      <c r="AP45" s="311"/>
      <c r="AQ45" s="311"/>
      <c r="BB45" s="271"/>
      <c r="BC45" s="271"/>
      <c r="BD45" s="279">
        <v>1</v>
      </c>
      <c r="BE45" s="271"/>
      <c r="BF45" s="271"/>
      <c r="BG45" s="271"/>
    </row>
    <row r="46" spans="1:59" ht="20.100000000000001" customHeight="1" x14ac:dyDescent="0.25">
      <c r="A46" s="374" t="str">
        <f>IF($B46="","",24)</f>
        <v/>
      </c>
      <c r="B46" s="375" t="str" cm="1">
        <f t="array" ref="B46">IFERROR(IF(INDEX($AC$72:$AC$430,$K46)="","",INDEX($AC$72:$AC$430,$K46)),"")</f>
        <v/>
      </c>
      <c r="C46" s="376" t="str" cm="1">
        <f t="array" ref="C46">IF($B46="","",INDEX($AG$72:$AG$430,$K46))</f>
        <v/>
      </c>
      <c r="D46" s="377" t="str" cm="1">
        <f t="array" ref="D46">IF($B46="","",INDEX($AH$72:$AH$430,$K46))</f>
        <v/>
      </c>
      <c r="E46" s="378" t="str">
        <f t="shared" si="0"/>
        <v/>
      </c>
      <c r="F46" s="379" t="str" cm="1">
        <f t="array" ref="F46">IF($B46="","",IF(UPPER(TRIM($D46))="QT. SUFFISANTE","Qt. suffisante",IF($N46="","",IF($L46="MASSE",IF($N46&gt;=1,"Kg","g"),IF($L46="VOLUME",IF($N46&gt;=1,"L","cl"),INDEX($AL$72:$AL$430,$K46))))))</f>
        <v/>
      </c>
      <c r="G46" s="380" t="str">
        <f t="shared" si="1"/>
        <v/>
      </c>
      <c r="H46" s="381" t="str" cm="1">
        <f t="array" ref="H46">IF($B46="","",IF(UPPER(TRIM($D46))="QT. SUFFISANTE","Qt. suffisante",IF($O46="","",IF($L46="MASSE",IF($O46&gt;=1,"Kg","g"),IF($L46="VOLUME",IF($O46&gt;=1,"L","cl"),INDEX($AL$72:$AL$430,$K46))))))</f>
        <v/>
      </c>
      <c r="I46" s="382" t="str" cm="1">
        <f t="array" ref="I46">IF($B46="","",INDEX($AM$72:$AM$430,$K46))</f>
        <v/>
      </c>
      <c r="J46" s="271"/>
      <c r="K46" s="383">
        <f>1+($B$5-1)*36+24</f>
        <v>133</v>
      </c>
      <c r="L46" s="383" t="str" cm="1">
        <f t="array" ref="L46">IF($B46="","",INDEX($AI$72:$AI$430,$K46))</f>
        <v/>
      </c>
      <c r="M46" s="383" t="str" cm="1">
        <f t="array" ref="M46">IF($B46="","",INDEX($AJ$72:$AJ$430,$K46))</f>
        <v/>
      </c>
      <c r="N46" s="384" t="str" cm="1">
        <f t="array" ref="N46">IF(OR($B46="",$B$13="",$B$12="",$B$12=0),"",IF($L$22="AUTRE",IFERROR(INDEX($AK$72:$AK$430,$K46)*($B$13/$B$12),""),IF(OR($C$12="",$C$13=""),"",IFERROR(INDEX($AK$72:$AK$430,$K46)*(($B$13*VLOOKUP($C$13,$AY$74:$BA$119,3,FALSE))/($B$12*VLOOKUP($C$12,$AY$74:$BA$119,3,FALSE))),""))))</f>
        <v/>
      </c>
      <c r="O46" s="384" t="str" cm="1">
        <f t="array" ref="O46">IF(OR($B46="",$G$12="",$G$11="",$G$11=0),"",IFERROR(INDEX($AK$72:$AK$430,$K46)*($G$12/$G$11),""))</f>
        <v/>
      </c>
      <c r="U46" s="156"/>
      <c r="V46" s="156"/>
      <c r="W46" s="156"/>
      <c r="X46" s="156"/>
      <c r="Y46" s="156"/>
      <c r="Z46" s="156"/>
      <c r="AA46" s="156"/>
      <c r="AD46" s="412" t="s">
        <v>8082</v>
      </c>
      <c r="AE46" s="413" t="s">
        <v>8035</v>
      </c>
      <c r="AF46" s="414"/>
      <c r="AG46" s="658" t="s">
        <v>33</v>
      </c>
      <c r="AH46" s="658"/>
      <c r="AI46" s="415" t="s">
        <v>8083</v>
      </c>
      <c r="AJ46" s="415"/>
      <c r="AK46" s="415"/>
      <c r="AL46" s="415"/>
      <c r="AM46" s="415"/>
      <c r="AN46" s="415"/>
      <c r="AO46" s="415"/>
      <c r="AP46" s="415"/>
      <c r="AQ46" s="415"/>
      <c r="AY46" s="416" t="s">
        <v>8084</v>
      </c>
      <c r="AZ46" s="220"/>
      <c r="BA46" s="220"/>
      <c r="BB46" s="220"/>
      <c r="BC46" s="271"/>
      <c r="BD46" s="279">
        <v>1</v>
      </c>
      <c r="BE46" s="271"/>
      <c r="BF46" s="271"/>
      <c r="BG46" s="271"/>
    </row>
    <row r="47" spans="1:59" ht="20.100000000000001" customHeight="1" x14ac:dyDescent="0.25">
      <c r="A47" s="374" t="str">
        <f>IF($B47="","",25)</f>
        <v/>
      </c>
      <c r="B47" s="375" t="str" cm="1">
        <f t="array" ref="B47">IFERROR(IF(INDEX($AC$72:$AC$430,$K47)="","",INDEX($AC$72:$AC$430,$K47)),"")</f>
        <v/>
      </c>
      <c r="C47" s="376" t="str" cm="1">
        <f t="array" ref="C47">IF($B47="","",INDEX($AG$72:$AG$430,$K47))</f>
        <v/>
      </c>
      <c r="D47" s="377" t="str" cm="1">
        <f t="array" ref="D47">IF($B47="","",INDEX($AH$72:$AH$430,$K47))</f>
        <v/>
      </c>
      <c r="E47" s="378" t="str">
        <f t="shared" si="0"/>
        <v/>
      </c>
      <c r="F47" s="379" t="str" cm="1">
        <f t="array" ref="F47">IF($B47="","",IF(UPPER(TRIM($D47))="QT. SUFFISANTE","Qt. suffisante",IF($N47="","",IF($L47="MASSE",IF($N47&gt;=1,"Kg","g"),IF($L47="VOLUME",IF($N47&gt;=1,"L","cl"),INDEX($AL$72:$AL$430,$K47))))))</f>
        <v/>
      </c>
      <c r="G47" s="380" t="str">
        <f t="shared" si="1"/>
        <v/>
      </c>
      <c r="H47" s="381" t="str" cm="1">
        <f t="array" ref="H47">IF($B47="","",IF(UPPER(TRIM($D47))="QT. SUFFISANTE","Qt. suffisante",IF($O47="","",IF($L47="MASSE",IF($O47&gt;=1,"Kg","g"),IF($L47="VOLUME",IF($O47&gt;=1,"L","cl"),INDEX($AL$72:$AL$430,$K47))))))</f>
        <v/>
      </c>
      <c r="I47" s="382" t="str" cm="1">
        <f t="array" ref="I47">IF($B47="","",INDEX($AM$72:$AM$430,$K47))</f>
        <v/>
      </c>
      <c r="J47" s="271"/>
      <c r="K47" s="383">
        <f>1+($B$5-1)*36+25</f>
        <v>134</v>
      </c>
      <c r="L47" s="383" t="str" cm="1">
        <f t="array" ref="L47">IF($B47="","",INDEX($AI$72:$AI$430,$K47))</f>
        <v/>
      </c>
      <c r="M47" s="383" t="str" cm="1">
        <f t="array" ref="M47">IF($B47="","",INDEX($AJ$72:$AJ$430,$K47))</f>
        <v/>
      </c>
      <c r="N47" s="384" t="str" cm="1">
        <f t="array" ref="N47">IF(OR($B47="",$B$13="",$B$12="",$B$12=0),"",IF($L$22="AUTRE",IFERROR(INDEX($AK$72:$AK$430,$K47)*($B$13/$B$12),""),IF(OR($C$12="",$C$13=""),"",IFERROR(INDEX($AK$72:$AK$430,$K47)*(($B$13*VLOOKUP($C$13,$AY$74:$BA$119,3,FALSE))/($B$12*VLOOKUP($C$12,$AY$74:$BA$119,3,FALSE))),""))))</f>
        <v/>
      </c>
      <c r="O47" s="384" t="str" cm="1">
        <f t="array" ref="O47">IF(OR($B47="",$G$12="",$G$11="",$G$11=0),"",IFERROR(INDEX($AK$72:$AK$430,$K47)*($G$12/$G$11),""))</f>
        <v/>
      </c>
      <c r="U47" s="156"/>
      <c r="V47" s="156"/>
      <c r="W47" s="156"/>
      <c r="X47" s="156"/>
      <c r="Y47" s="156"/>
      <c r="Z47" s="156"/>
      <c r="AA47" s="156"/>
      <c r="AY47" s="28" t="s">
        <v>21</v>
      </c>
      <c r="AZ47" s="417" t="s">
        <v>35</v>
      </c>
      <c r="BA47" s="418">
        <v>2.835E-2</v>
      </c>
      <c r="BB47" s="419" t="s">
        <v>36</v>
      </c>
      <c r="BC47" s="271"/>
      <c r="BD47" s="279">
        <v>1</v>
      </c>
      <c r="BE47" s="271"/>
      <c r="BF47" s="271"/>
      <c r="BG47" s="271"/>
    </row>
    <row r="48" spans="1:59" ht="20.100000000000001" customHeight="1" x14ac:dyDescent="0.25">
      <c r="A48" s="374" t="str">
        <f>IF($B48="","",26)</f>
        <v/>
      </c>
      <c r="B48" s="375" t="str" cm="1">
        <f t="array" ref="B48">IFERROR(IF(INDEX($AC$72:$AC$430,$K48)="","",INDEX($AC$72:$AC$430,$K48)),"")</f>
        <v/>
      </c>
      <c r="C48" s="376" t="str" cm="1">
        <f t="array" ref="C48">IF($B48="","",INDEX($AG$72:$AG$430,$K48))</f>
        <v/>
      </c>
      <c r="D48" s="377" t="str" cm="1">
        <f t="array" ref="D48">IF($B48="","",INDEX($AH$72:$AH$430,$K48))</f>
        <v/>
      </c>
      <c r="E48" s="378" t="str">
        <f t="shared" si="0"/>
        <v/>
      </c>
      <c r="F48" s="379" t="str" cm="1">
        <f t="array" ref="F48">IF($B48="","",IF(UPPER(TRIM($D48))="QT. SUFFISANTE","Qt. suffisante",IF($N48="","",IF($L48="MASSE",IF($N48&gt;=1,"Kg","g"),IF($L48="VOLUME",IF($N48&gt;=1,"L","cl"),INDEX($AL$72:$AL$430,$K48))))))</f>
        <v/>
      </c>
      <c r="G48" s="380" t="str">
        <f t="shared" si="1"/>
        <v/>
      </c>
      <c r="H48" s="381" t="str" cm="1">
        <f t="array" ref="H48">IF($B48="","",IF(UPPER(TRIM($D48))="QT. SUFFISANTE","Qt. suffisante",IF($O48="","",IF($L48="MASSE",IF($O48&gt;=1,"Kg","g"),IF($L48="VOLUME",IF($O48&gt;=1,"L","cl"),INDEX($AL$72:$AL$430,$K48))))))</f>
        <v/>
      </c>
      <c r="I48" s="382" t="str" cm="1">
        <f t="array" ref="I48">IF($B48="","",INDEX($AM$72:$AM$430,$K48))</f>
        <v/>
      </c>
      <c r="J48" s="271"/>
      <c r="K48" s="383">
        <f>1+($B$5-1)*36+26</f>
        <v>135</v>
      </c>
      <c r="L48" s="383" t="str" cm="1">
        <f t="array" ref="L48">IF($B48="","",INDEX($AI$72:$AI$430,$K48))</f>
        <v/>
      </c>
      <c r="M48" s="383" t="str" cm="1">
        <f t="array" ref="M48">IF($B48="","",INDEX($AJ$72:$AJ$430,$K48))</f>
        <v/>
      </c>
      <c r="N48" s="384" t="str" cm="1">
        <f t="array" ref="N48">IF(OR($B48="",$B$13="",$B$12="",$B$12=0),"",IF($L$22="AUTRE",IFERROR(INDEX($AK$72:$AK$430,$K48)*($B$13/$B$12),""),IF(OR($C$12="",$C$13=""),"",IFERROR(INDEX($AK$72:$AK$430,$K48)*(($B$13*VLOOKUP($C$13,$AY$74:$BA$119,3,FALSE))/($B$12*VLOOKUP($C$12,$AY$74:$BA$119,3,FALSE))),""))))</f>
        <v/>
      </c>
      <c r="O48" s="384" t="str" cm="1">
        <f t="array" ref="O48">IF(OR($B48="",$G$12="",$G$11="",$G$11=0),"",IFERROR(INDEX($AK$72:$AK$430,$K48)*($G$12/$G$11),""))</f>
        <v/>
      </c>
      <c r="U48" s="156"/>
      <c r="V48" s="156"/>
      <c r="W48" s="156"/>
      <c r="X48" s="156"/>
      <c r="Y48" s="156"/>
      <c r="Z48" s="156"/>
      <c r="AA48" s="156"/>
      <c r="AD48" s="10" t="s">
        <v>8171</v>
      </c>
      <c r="AY48" s="28" t="s">
        <v>22</v>
      </c>
      <c r="AZ48" s="417" t="s">
        <v>35</v>
      </c>
      <c r="BA48" s="418">
        <v>0.13</v>
      </c>
      <c r="BB48" s="419" t="s">
        <v>36</v>
      </c>
      <c r="BC48" s="271"/>
      <c r="BD48" s="279">
        <v>1</v>
      </c>
      <c r="BE48" s="271"/>
      <c r="BF48" s="271"/>
      <c r="BG48" s="271"/>
    </row>
    <row r="49" spans="1:64" ht="20.100000000000001" customHeight="1" x14ac:dyDescent="0.25">
      <c r="A49" s="374" t="str">
        <f>IF($B49="","",27)</f>
        <v/>
      </c>
      <c r="B49" s="375" t="str" cm="1">
        <f t="array" ref="B49">IFERROR(IF(INDEX($AC$72:$AC$430,$K49)="","",INDEX($AC$72:$AC$430,$K49)),"")</f>
        <v/>
      </c>
      <c r="C49" s="376" t="str" cm="1">
        <f t="array" ref="C49">IF($B49="","",INDEX($AG$72:$AG$430,$K49))</f>
        <v/>
      </c>
      <c r="D49" s="377" t="str" cm="1">
        <f t="array" ref="D49">IF($B49="","",INDEX($AH$72:$AH$430,$K49))</f>
        <v/>
      </c>
      <c r="E49" s="378" t="str">
        <f t="shared" si="0"/>
        <v/>
      </c>
      <c r="F49" s="379" t="str" cm="1">
        <f t="array" ref="F49">IF($B49="","",IF(UPPER(TRIM($D49))="QT. SUFFISANTE","Qt. suffisante",IF($N49="","",IF($L49="MASSE",IF($N49&gt;=1,"Kg","g"),IF($L49="VOLUME",IF($N49&gt;=1,"L","cl"),INDEX($AL$72:$AL$430,$K49))))))</f>
        <v/>
      </c>
      <c r="G49" s="380" t="str">
        <f t="shared" si="1"/>
        <v/>
      </c>
      <c r="H49" s="381" t="str" cm="1">
        <f t="array" ref="H49">IF($B49="","",IF(UPPER(TRIM($D49))="QT. SUFFISANTE","Qt. suffisante",IF($O49="","",IF($L49="MASSE",IF($O49&gt;=1,"Kg","g"),IF($L49="VOLUME",IF($O49&gt;=1,"L","cl"),INDEX($AL$72:$AL$430,$K49))))))</f>
        <v/>
      </c>
      <c r="I49" s="382" t="str" cm="1">
        <f t="array" ref="I49">IF($B49="","",INDEX($AM$72:$AM$430,$K49))</f>
        <v/>
      </c>
      <c r="J49" s="271"/>
      <c r="K49" s="383">
        <f>1+($B$5-1)*36+27</f>
        <v>136</v>
      </c>
      <c r="L49" s="383" t="str" cm="1">
        <f t="array" ref="L49">IF($B49="","",INDEX($AI$72:$AI$430,$K49))</f>
        <v/>
      </c>
      <c r="M49" s="383" t="str" cm="1">
        <f t="array" ref="M49">IF($B49="","",INDEX($AJ$72:$AJ$430,$K49))</f>
        <v/>
      </c>
      <c r="N49" s="384" t="str" cm="1">
        <f t="array" ref="N49">IF(OR($B49="",$B$13="",$B$12="",$B$12=0),"",IF($L$22="AUTRE",IFERROR(INDEX($AK$72:$AK$430,$K49)*($B$13/$B$12),""),IF(OR($C$12="",$C$13=""),"",IFERROR(INDEX($AK$72:$AK$430,$K49)*(($B$13*VLOOKUP($C$13,$AY$74:$BA$119,3,FALSE))/($B$12*VLOOKUP($C$12,$AY$74:$BA$119,3,FALSE))),""))))</f>
        <v/>
      </c>
      <c r="O49" s="384" t="str" cm="1">
        <f t="array" ref="O49">IF(OR($B49="",$G$12="",$G$11="",$G$11=0),"",IFERROR(INDEX($AK$72:$AK$430,$K49)*($G$12/$G$11),""))</f>
        <v/>
      </c>
      <c r="U49" s="156"/>
      <c r="V49" s="156"/>
      <c r="W49" s="156"/>
      <c r="X49" s="156"/>
      <c r="Y49" s="156"/>
      <c r="Z49" s="156"/>
      <c r="AA49" s="156"/>
      <c r="AD49" s="2" t="s">
        <v>1</v>
      </c>
      <c r="AY49" s="28" t="s">
        <v>23</v>
      </c>
      <c r="AZ49" s="417" t="s">
        <v>35</v>
      </c>
      <c r="BA49" s="418">
        <v>0.2</v>
      </c>
      <c r="BB49" s="419" t="s">
        <v>36</v>
      </c>
      <c r="BC49" s="271"/>
      <c r="BD49" s="279">
        <v>1</v>
      </c>
      <c r="BE49" s="271"/>
      <c r="BF49" s="271"/>
      <c r="BG49" s="271"/>
    </row>
    <row r="50" spans="1:64" ht="20.100000000000001" customHeight="1" x14ac:dyDescent="0.25">
      <c r="A50" s="374" t="str">
        <f>IF($B50="","",28)</f>
        <v/>
      </c>
      <c r="B50" s="375" t="str" cm="1">
        <f t="array" ref="B50">IFERROR(IF(INDEX($AC$72:$AC$430,$K50)="","",INDEX($AC$72:$AC$430,$K50)),"")</f>
        <v/>
      </c>
      <c r="C50" s="376" t="str" cm="1">
        <f t="array" ref="C50">IF($B50="","",INDEX($AG$72:$AG$430,$K50))</f>
        <v/>
      </c>
      <c r="D50" s="377" t="str" cm="1">
        <f t="array" ref="D50">IF($B50="","",INDEX($AH$72:$AH$430,$K50))</f>
        <v/>
      </c>
      <c r="E50" s="378" t="str">
        <f t="shared" si="0"/>
        <v/>
      </c>
      <c r="F50" s="379" t="str" cm="1">
        <f t="array" ref="F50">IF($B50="","",IF(UPPER(TRIM($D50))="QT. SUFFISANTE","Qt. suffisante",IF($N50="","",IF($L50="MASSE",IF($N50&gt;=1,"Kg","g"),IF($L50="VOLUME",IF($N50&gt;=1,"L","cl"),INDEX($AL$72:$AL$430,$K50))))))</f>
        <v/>
      </c>
      <c r="G50" s="380" t="str">
        <f t="shared" si="1"/>
        <v/>
      </c>
      <c r="H50" s="381" t="str" cm="1">
        <f t="array" ref="H50">IF($B50="","",IF(UPPER(TRIM($D50))="QT. SUFFISANTE","Qt. suffisante",IF($O50="","",IF($L50="MASSE",IF($O50&gt;=1,"Kg","g"),IF($L50="VOLUME",IF($O50&gt;=1,"L","cl"),INDEX($AL$72:$AL$430,$K50))))))</f>
        <v/>
      </c>
      <c r="I50" s="382" t="str" cm="1">
        <f t="array" ref="I50">IF($B50="","",INDEX($AM$72:$AM$430,$K50))</f>
        <v/>
      </c>
      <c r="J50" s="271"/>
      <c r="K50" s="383">
        <f>1+($B$5-1)*36+28</f>
        <v>137</v>
      </c>
      <c r="L50" s="383" t="str" cm="1">
        <f t="array" ref="L50">IF($B50="","",INDEX($AI$72:$AI$430,$K50))</f>
        <v/>
      </c>
      <c r="M50" s="383" t="str" cm="1">
        <f t="array" ref="M50">IF($B50="","",INDEX($AJ$72:$AJ$430,$K50))</f>
        <v/>
      </c>
      <c r="N50" s="384" t="str" cm="1">
        <f t="array" ref="N50">IF(OR($B50="",$B$13="",$B$12="",$B$12=0),"",IF($L$22="AUTRE",IFERROR(INDEX($AK$72:$AK$430,$K50)*($B$13/$B$12),""),IF(OR($C$12="",$C$13=""),"",IFERROR(INDEX($AK$72:$AK$430,$K50)*(($B$13*VLOOKUP($C$13,$AY$74:$BA$119,3,FALSE))/($B$12*VLOOKUP($C$12,$AY$74:$BA$119,3,FALSE))),""))))</f>
        <v/>
      </c>
      <c r="O50" s="384" t="str" cm="1">
        <f t="array" ref="O50">IF(OR($B50="",$G$12="",$G$11="",$G$11=0),"",IFERROR(INDEX($AK$72:$AK$430,$K50)*($G$12/$G$11),""))</f>
        <v/>
      </c>
      <c r="U50" s="156"/>
      <c r="V50" s="156"/>
      <c r="W50" s="156"/>
      <c r="X50" s="156"/>
      <c r="Y50" s="156"/>
      <c r="Z50" s="156"/>
      <c r="AA50" s="156"/>
      <c r="AD50" s="2" t="s">
        <v>8219</v>
      </c>
      <c r="AY50" s="28" t="s">
        <v>24</v>
      </c>
      <c r="AZ50" s="417" t="s">
        <v>35</v>
      </c>
      <c r="BA50" s="418">
        <v>0.23</v>
      </c>
      <c r="BB50" s="419" t="s">
        <v>36</v>
      </c>
      <c r="BC50" s="271"/>
      <c r="BD50" s="279">
        <v>1</v>
      </c>
      <c r="BE50" s="271"/>
      <c r="BF50" s="271"/>
      <c r="BG50" s="271"/>
    </row>
    <row r="51" spans="1:64" ht="23.1" customHeight="1" x14ac:dyDescent="0.25">
      <c r="A51" s="374" t="str">
        <f>IF($B51="","",29)</f>
        <v/>
      </c>
      <c r="B51" s="375" t="str" cm="1">
        <f t="array" ref="B51">IFERROR(IF(INDEX($AC$72:$AC$430,$K51)="","",INDEX($AC$72:$AC$430,$K51)),"")</f>
        <v/>
      </c>
      <c r="C51" s="376" t="str" cm="1">
        <f t="array" ref="C51">IF($B51="","",INDEX($AG$72:$AG$430,$K51))</f>
        <v/>
      </c>
      <c r="D51" s="377" t="str" cm="1">
        <f t="array" ref="D51">IF($B51="","",INDEX($AH$72:$AH$430,$K51))</f>
        <v/>
      </c>
      <c r="E51" s="378" t="str">
        <f t="shared" si="0"/>
        <v/>
      </c>
      <c r="F51" s="379" t="str" cm="1">
        <f t="array" ref="F51">IF($B51="","",IF(UPPER(TRIM($D51))="QT. SUFFISANTE","Qt. suffisante",IF($N51="","",IF($L51="MASSE",IF($N51&gt;=1,"Kg","g"),IF($L51="VOLUME",IF($N51&gt;=1,"L","cl"),INDEX($AL$72:$AL$430,$K51))))))</f>
        <v/>
      </c>
      <c r="G51" s="380" t="str">
        <f t="shared" si="1"/>
        <v/>
      </c>
      <c r="H51" s="381" t="str" cm="1">
        <f t="array" ref="H51">IF($B51="","",IF(UPPER(TRIM($D51))="QT. SUFFISANTE","Qt. suffisante",IF($O51="","",IF($L51="MASSE",IF($O51&gt;=1,"Kg","g"),IF($L51="VOLUME",IF($O51&gt;=1,"L","cl"),INDEX($AL$72:$AL$430,$K51))))))</f>
        <v/>
      </c>
      <c r="I51" s="382" t="str" cm="1">
        <f t="array" ref="I51">IF($B51="","",INDEX($AM$72:$AM$430,$K51))</f>
        <v/>
      </c>
      <c r="J51" s="271"/>
      <c r="K51" s="383">
        <f>1+($B$5-1)*36+29</f>
        <v>138</v>
      </c>
      <c r="L51" s="383" t="str" cm="1">
        <f t="array" ref="L51">IF($B51="","",INDEX($AI$72:$AI$430,$K51))</f>
        <v/>
      </c>
      <c r="M51" s="383" t="str" cm="1">
        <f t="array" ref="M51">IF($B51="","",INDEX($AJ$72:$AJ$430,$K51))</f>
        <v/>
      </c>
      <c r="N51" s="384" t="str" cm="1">
        <f t="array" ref="N51">IF(OR($B51="",$B$13="",$B$12="",$B$12=0),"",IF($L$22="AUTRE",IFERROR(INDEX($AK$72:$AK$430,$K51)*($B$13/$B$12),""),IF(OR($C$12="",$C$13=""),"",IFERROR(INDEX($AK$72:$AK$430,$K51)*(($B$13*VLOOKUP($C$13,$AY$74:$BA$119,3,FALSE))/($B$12*VLOOKUP($C$12,$AY$74:$BA$119,3,FALSE))),""))))</f>
        <v/>
      </c>
      <c r="O51" s="384" t="str" cm="1">
        <f t="array" ref="O51">IF(OR($B51="",$G$12="",$G$11="",$G$11=0),"",IFERROR(INDEX($AK$72:$AK$430,$K51)*($G$12/$G$11),""))</f>
        <v/>
      </c>
      <c r="U51" s="156"/>
      <c r="V51" s="156"/>
      <c r="W51" s="156"/>
      <c r="X51" s="156"/>
      <c r="Y51" s="156"/>
      <c r="Z51" s="156"/>
      <c r="AA51" s="156"/>
      <c r="AY51" s="31" t="s">
        <v>25</v>
      </c>
      <c r="AZ51" s="417" t="s">
        <v>37</v>
      </c>
      <c r="BA51" s="418">
        <v>0.22500000000000001</v>
      </c>
      <c r="BB51" s="419" t="s">
        <v>9</v>
      </c>
      <c r="BC51" s="271"/>
      <c r="BD51" s="279">
        <v>1</v>
      </c>
      <c r="BE51" s="271"/>
      <c r="BF51" s="271"/>
      <c r="BG51" s="271"/>
    </row>
    <row r="52" spans="1:64" ht="21" customHeight="1" x14ac:dyDescent="0.25">
      <c r="A52" s="374" t="str">
        <f>IF($B52="","",30)</f>
        <v/>
      </c>
      <c r="B52" s="375" t="str" cm="1">
        <f t="array" ref="B52">IFERROR(IF(INDEX($AC$72:$AC$430,$K52)="","",INDEX($AC$72:$AC$430,$K52)),"")</f>
        <v/>
      </c>
      <c r="C52" s="376" t="str" cm="1">
        <f t="array" ref="C52">IF($B52="","",INDEX($AG$72:$AG$430,$K52))</f>
        <v/>
      </c>
      <c r="D52" s="377" t="str" cm="1">
        <f t="array" ref="D52">IF($B52="","",INDEX($AH$72:$AH$430,$K52))</f>
        <v/>
      </c>
      <c r="E52" s="378" t="str">
        <f t="shared" si="0"/>
        <v/>
      </c>
      <c r="F52" s="379" t="str" cm="1">
        <f t="array" ref="F52">IF($B52="","",IF(UPPER(TRIM($D52))="QT. SUFFISANTE","Qt. suffisante",IF($N52="","",IF($L52="MASSE",IF($N52&gt;=1,"Kg","g"),IF($L52="VOLUME",IF($N52&gt;=1,"L","cl"),INDEX($AL$72:$AL$430,$K52))))))</f>
        <v/>
      </c>
      <c r="G52" s="380" t="str">
        <f t="shared" si="1"/>
        <v/>
      </c>
      <c r="H52" s="381" t="str" cm="1">
        <f t="array" ref="H52">IF($B52="","",IF(UPPER(TRIM($D52))="QT. SUFFISANTE","Qt. suffisante",IF($O52="","",IF($L52="MASSE",IF($O52&gt;=1,"Kg","g"),IF($L52="VOLUME",IF($O52&gt;=1,"L","cl"),INDEX($AL$72:$AL$430,$K52))))))</f>
        <v/>
      </c>
      <c r="I52" s="382" t="str" cm="1">
        <f t="array" ref="I52">IF($B52="","",INDEX($AM$72:$AM$430,$K52))</f>
        <v/>
      </c>
      <c r="J52" s="271"/>
      <c r="K52" s="383">
        <f>1+($B$5-1)*36+30</f>
        <v>139</v>
      </c>
      <c r="L52" s="383" t="str" cm="1">
        <f t="array" ref="L52">IF($B52="","",INDEX($AI$72:$AI$430,$K52))</f>
        <v/>
      </c>
      <c r="M52" s="383" t="str" cm="1">
        <f t="array" ref="M52">IF($B52="","",INDEX($AJ$72:$AJ$430,$K52))</f>
        <v/>
      </c>
      <c r="N52" s="384" t="str" cm="1">
        <f t="array" ref="N52">IF(OR($B52="",$B$13="",$B$12="",$B$12=0),"",IF($L$22="AUTRE",IFERROR(INDEX($AK$72:$AK$430,$K52)*($B$13/$B$12),""),IF(OR($C$12="",$C$13=""),"",IFERROR(INDEX($AK$72:$AK$430,$K52)*(($B$13*VLOOKUP($C$13,$AY$74:$BA$119,3,FALSE))/($B$12*VLOOKUP($C$12,$AY$74:$BA$119,3,FALSE))),""))))</f>
        <v/>
      </c>
      <c r="O52" s="384" t="str" cm="1">
        <f t="array" ref="O52">IF(OR($B52="",$G$12="",$G$11="",$G$11=0),"",IFERROR(INDEX($AK$72:$AK$430,$K52)*($G$12/$G$11),""))</f>
        <v/>
      </c>
      <c r="U52" s="156"/>
      <c r="V52" s="156"/>
      <c r="W52" s="156"/>
      <c r="X52" s="156"/>
      <c r="Y52" s="156"/>
      <c r="Z52" s="156"/>
      <c r="AA52" s="156"/>
      <c r="AY52" s="31" t="s">
        <v>26</v>
      </c>
      <c r="AZ52" s="417" t="s">
        <v>37</v>
      </c>
      <c r="BA52" s="418">
        <v>0.35</v>
      </c>
      <c r="BB52" s="419" t="s">
        <v>9</v>
      </c>
      <c r="BC52" s="271"/>
      <c r="BD52" s="279">
        <v>1</v>
      </c>
      <c r="BE52" s="271"/>
      <c r="BF52" s="271"/>
      <c r="BG52" s="271"/>
    </row>
    <row r="53" spans="1:64" ht="21" customHeight="1" x14ac:dyDescent="0.25">
      <c r="A53" s="374" t="str">
        <f>IF($B53="","",31)</f>
        <v/>
      </c>
      <c r="B53" s="375" t="str" cm="1">
        <f t="array" ref="B53">IFERROR(IF(INDEX($AC$72:$AC$430,$K53)="","",INDEX($AC$72:$AC$430,$K53)),"")</f>
        <v/>
      </c>
      <c r="C53" s="376" t="str" cm="1">
        <f t="array" ref="C53">IF($B53="","",INDEX($AG$72:$AG$430,$K53))</f>
        <v/>
      </c>
      <c r="D53" s="377" t="str" cm="1">
        <f t="array" ref="D53">IF($B53="","",INDEX($AH$72:$AH$430,$K53))</f>
        <v/>
      </c>
      <c r="E53" s="378" t="str">
        <f t="shared" si="0"/>
        <v/>
      </c>
      <c r="F53" s="379" t="str" cm="1">
        <f t="array" ref="F53">IF($B53="","",IF(UPPER(TRIM($D53))="QT. SUFFISANTE","Qt. suffisante",IF($N53="","",IF($L53="MASSE",IF($N53&gt;=1,"Kg","g"),IF($L53="VOLUME",IF($N53&gt;=1,"L","cl"),INDEX($AL$72:$AL$430,$K53))))))</f>
        <v/>
      </c>
      <c r="G53" s="380" t="str">
        <f t="shared" si="1"/>
        <v/>
      </c>
      <c r="H53" s="381" t="str" cm="1">
        <f t="array" ref="H53">IF($B53="","",IF(UPPER(TRIM($D53))="QT. SUFFISANTE","Qt. suffisante",IF($O53="","",IF($L53="MASSE",IF($O53&gt;=1,"Kg","g"),IF($L53="VOLUME",IF($O53&gt;=1,"L","cl"),INDEX($AL$72:$AL$430,$K53))))))</f>
        <v/>
      </c>
      <c r="I53" s="382" t="str" cm="1">
        <f t="array" ref="I53">IF($B53="","",INDEX($AM$72:$AM$430,$K53))</f>
        <v/>
      </c>
      <c r="J53" s="271"/>
      <c r="K53" s="383">
        <f>1+($B$5-1)*36+31</f>
        <v>140</v>
      </c>
      <c r="L53" s="383" t="str" cm="1">
        <f t="array" ref="L53">IF($B53="","",INDEX($AI$72:$AI$430,$K53))</f>
        <v/>
      </c>
      <c r="M53" s="383" t="str" cm="1">
        <f t="array" ref="M53">IF($B53="","",INDEX($AJ$72:$AJ$430,$K53))</f>
        <v/>
      </c>
      <c r="N53" s="384" t="str" cm="1">
        <f t="array" ref="N53">IF(OR($B53="",$B$13="",$B$12="",$B$12=0),"",IF($L$22="AUTRE",IFERROR(INDEX($AK$72:$AK$430,$K53)*($B$13/$B$12),""),IF(OR($C$12="",$C$13=""),"",IFERROR(INDEX($AK$72:$AK$430,$K53)*(($B$13*VLOOKUP($C$13,$AY$74:$BA$119,3,FALSE))/($B$12*VLOOKUP($C$12,$AY$74:$BA$119,3,FALSE))),""))))</f>
        <v/>
      </c>
      <c r="O53" s="384" t="str" cm="1">
        <f t="array" ref="O53">IF(OR($B53="",$G$12="",$G$11="",$G$11=0),"",IFERROR(INDEX($AK$72:$AK$430,$K53)*($G$12/$G$11),""))</f>
        <v/>
      </c>
      <c r="U53" s="420" t="s">
        <v>7905</v>
      </c>
      <c r="V53" s="421"/>
      <c r="W53" s="421" t="s">
        <v>8085</v>
      </c>
      <c r="X53" s="421"/>
      <c r="Y53" s="421"/>
      <c r="Z53" s="421"/>
      <c r="AA53" s="421"/>
      <c r="AY53" s="31" t="s">
        <v>31</v>
      </c>
      <c r="AZ53" s="417" t="s">
        <v>37</v>
      </c>
      <c r="BA53" s="418">
        <v>0.22500000000000001</v>
      </c>
      <c r="BB53" s="419" t="s">
        <v>9</v>
      </c>
      <c r="BC53" s="271"/>
      <c r="BD53" s="279">
        <v>1</v>
      </c>
      <c r="BE53" s="271"/>
      <c r="BF53" s="271"/>
      <c r="BG53" s="271"/>
    </row>
    <row r="54" spans="1:64" ht="21" customHeight="1" x14ac:dyDescent="0.25">
      <c r="A54" s="374" t="str">
        <f>IF($B54="","",32)</f>
        <v/>
      </c>
      <c r="B54" s="375" t="str" cm="1">
        <f t="array" ref="B54">IFERROR(IF(INDEX($AC$72:$AC$430,$K54)="","",INDEX($AC$72:$AC$430,$K54)),"")</f>
        <v/>
      </c>
      <c r="C54" s="376" t="str" cm="1">
        <f t="array" ref="C54">IF($B54="","",INDEX($AG$72:$AG$430,$K54))</f>
        <v/>
      </c>
      <c r="D54" s="377" t="str" cm="1">
        <f t="array" ref="D54">IF($B54="","",INDEX($AH$72:$AH$430,$K54))</f>
        <v/>
      </c>
      <c r="E54" s="378" t="str">
        <f t="shared" si="0"/>
        <v/>
      </c>
      <c r="F54" s="379" t="str" cm="1">
        <f t="array" ref="F54">IF($B54="","",IF(UPPER(TRIM($D54))="QT. SUFFISANTE","Qt. suffisante",IF($N54="","",IF($L54="MASSE",IF($N54&gt;=1,"Kg","g"),IF($L54="VOLUME",IF($N54&gt;=1,"L","cl"),INDEX($AL$72:$AL$430,$K54))))))</f>
        <v/>
      </c>
      <c r="G54" s="380" t="str">
        <f t="shared" si="1"/>
        <v/>
      </c>
      <c r="H54" s="381" t="str" cm="1">
        <f t="array" ref="H54">IF($B54="","",IF(UPPER(TRIM($D54))="QT. SUFFISANTE","Qt. suffisante",IF($O54="","",IF($L54="MASSE",IF($O54&gt;=1,"Kg","g"),IF($L54="VOLUME",IF($O54&gt;=1,"L","cl"),INDEX($AL$72:$AL$430,$K54))))))</f>
        <v/>
      </c>
      <c r="I54" s="382" t="str" cm="1">
        <f t="array" ref="I54">IF($B54="","",INDEX($AM$72:$AM$430,$K54))</f>
        <v/>
      </c>
      <c r="J54" s="271"/>
      <c r="K54" s="383">
        <f>1+($B$5-1)*36+32</f>
        <v>141</v>
      </c>
      <c r="L54" s="383" t="str" cm="1">
        <f t="array" ref="L54">IF($B54="","",INDEX($AI$72:$AI$430,$K54))</f>
        <v/>
      </c>
      <c r="M54" s="383" t="str" cm="1">
        <f t="array" ref="M54">IF($B54="","",INDEX($AJ$72:$AJ$430,$K54))</f>
        <v/>
      </c>
      <c r="N54" s="384" t="str" cm="1">
        <f t="array" ref="N54">IF(OR($B54="",$B$13="",$B$12="",$B$12=0),"",IF($L$22="AUTRE",IFERROR(INDEX($AK$72:$AK$430,$K54)*($B$13/$B$12),""),IF(OR($C$12="",$C$13=""),"",IFERROR(INDEX($AK$72:$AK$430,$K54)*(($B$13*VLOOKUP($C$13,$AY$74:$BA$119,3,FALSE))/($B$12*VLOOKUP($C$12,$AY$74:$BA$119,3,FALSE))),""))))</f>
        <v/>
      </c>
      <c r="O54" s="384" t="str" cm="1">
        <f t="array" ref="O54">IF(OR($B54="",$G$12="",$G$11="",$G$11=0),"",IFERROR(INDEX($AK$72:$AK$430,$K54)*($G$12/$G$11),""))</f>
        <v/>
      </c>
      <c r="U54" s="422" t="s">
        <v>7915</v>
      </c>
      <c r="V54" s="423" t="s">
        <v>8086</v>
      </c>
      <c r="W54" s="156"/>
      <c r="X54" s="156"/>
      <c r="Y54" s="156"/>
      <c r="Z54" s="156"/>
      <c r="AA54" s="156"/>
      <c r="AN54" s="424" t="s">
        <v>8087</v>
      </c>
      <c r="BD54" s="279">
        <v>1</v>
      </c>
    </row>
    <row r="55" spans="1:64" ht="21" customHeight="1" x14ac:dyDescent="0.25">
      <c r="A55" s="374" t="str">
        <f>IF($B55="","",33)</f>
        <v/>
      </c>
      <c r="B55" s="375" t="str" cm="1">
        <f t="array" ref="B55">IFERROR(IF(INDEX($AC$72:$AC$430,$K55)="","",INDEX($AC$72:$AC$430,$K55)),"")</f>
        <v/>
      </c>
      <c r="C55" s="376" t="str" cm="1">
        <f t="array" ref="C55">IF($B55="","",INDEX($AG$72:$AG$430,$K55))</f>
        <v/>
      </c>
      <c r="D55" s="377" t="str" cm="1">
        <f t="array" ref="D55">IF($B55="","",INDEX($AH$72:$AH$430,$K55))</f>
        <v/>
      </c>
      <c r="E55" s="378" t="str">
        <f t="shared" si="0"/>
        <v/>
      </c>
      <c r="F55" s="379" t="str" cm="1">
        <f t="array" ref="F55">IF($B55="","",IF(UPPER(TRIM($D55))="QT. SUFFISANTE","Qt. suffisante",IF($N55="","",IF($L55="MASSE",IF($N55&gt;=1,"Kg","g"),IF($L55="VOLUME",IF($N55&gt;=1,"L","cl"),INDEX($AL$72:$AL$430,$K55))))))</f>
        <v/>
      </c>
      <c r="G55" s="380" t="str">
        <f t="shared" si="1"/>
        <v/>
      </c>
      <c r="H55" s="381" t="str" cm="1">
        <f t="array" ref="H55">IF($B55="","",IF(UPPER(TRIM($D55))="QT. SUFFISANTE","Qt. suffisante",IF($O55="","",IF($L55="MASSE",IF($O55&gt;=1,"Kg","g"),IF($L55="VOLUME",IF($O55&gt;=1,"L","cl"),INDEX($AL$72:$AL$430,$K55))))))</f>
        <v/>
      </c>
      <c r="I55" s="382" t="str" cm="1">
        <f t="array" ref="I55">IF($B55="","",INDEX($AM$72:$AM$430,$K55))</f>
        <v/>
      </c>
      <c r="J55" s="271"/>
      <c r="K55" s="383">
        <f>1+($B$5-1)*36+33</f>
        <v>142</v>
      </c>
      <c r="L55" s="383" t="str" cm="1">
        <f t="array" ref="L55">IF($B55="","",INDEX($AI$72:$AI$430,$K55))</f>
        <v/>
      </c>
      <c r="M55" s="383" t="str" cm="1">
        <f t="array" ref="M55">IF($B55="","",INDEX($AJ$72:$AJ$430,$K55))</f>
        <v/>
      </c>
      <c r="N55" s="384" t="str" cm="1">
        <f t="array" ref="N55">IF(OR($B55="",$B$13="",$B$12="",$B$12=0),"",IF($L$22="AUTRE",IFERROR(INDEX($AK$72:$AK$430,$K55)*($B$13/$B$12),""),IF(OR($C$12="",$C$13=""),"",IFERROR(INDEX($AK$72:$AK$430,$K55)*(($B$13*VLOOKUP($C$13,$AY$74:$BA$119,3,FALSE))/($B$12*VLOOKUP($C$12,$AY$74:$BA$119,3,FALSE))),""))))</f>
        <v/>
      </c>
      <c r="O55" s="384" t="str" cm="1">
        <f t="array" ref="O55">IF(OR($B55="",$G$12="",$G$11="",$G$11=0),"",IFERROR(INDEX($AK$72:$AK$430,$K55)*($G$12/$G$11),""))</f>
        <v/>
      </c>
      <c r="U55" s="422" t="s">
        <v>7918</v>
      </c>
      <c r="V55" s="423" t="s">
        <v>8088</v>
      </c>
      <c r="W55" s="156"/>
      <c r="X55" s="156"/>
      <c r="Y55" s="156"/>
      <c r="Z55" s="156"/>
      <c r="AA55" s="156"/>
      <c r="AN55" s="659" t="s">
        <v>8089</v>
      </c>
      <c r="AO55" s="659"/>
      <c r="AP55" s="659"/>
      <c r="AQ55" s="659"/>
      <c r="AR55" s="659"/>
      <c r="AS55" s="659"/>
      <c r="AT55" s="659"/>
      <c r="AU55" s="659"/>
      <c r="AV55" s="659"/>
      <c r="AW55" s="659"/>
      <c r="AX55" s="659"/>
      <c r="AY55" s="659"/>
      <c r="AZ55" s="659"/>
      <c r="BA55" s="659"/>
      <c r="BB55" s="659"/>
      <c r="BD55" s="279">
        <v>1</v>
      </c>
    </row>
    <row r="56" spans="1:64" ht="21" customHeight="1" x14ac:dyDescent="0.25">
      <c r="A56" s="374">
        <f>IF($B56="","",34)</f>
        <v>34</v>
      </c>
      <c r="B56" s="375" t="str" cm="1">
        <f t="array" ref="B56">IFERROR(IF(INDEX($AC$72:$AC$430,$K56)="","",INDEX($AC$72:$AC$430,$K56)),"")</f>
        <v>grille(s) de cuisson GN 1/1</v>
      </c>
      <c r="C56" s="376" cm="1">
        <f t="array" ref="C56">IF($B56="","",INDEX($AG$72:$AG$430,$K56))</f>
        <v>6</v>
      </c>
      <c r="D56" s="377" t="str" cm="1">
        <f t="array" ref="D56">IF($B56="","",INDEX($AH$72:$AH$430,$K56))</f>
        <v>GRILLE(S)</v>
      </c>
      <c r="E56" s="378">
        <f t="shared" si="0"/>
        <v>3</v>
      </c>
      <c r="F56" s="379" t="str" cm="1">
        <f t="array" ref="F56">IF($B56="","",IF(UPPER(TRIM($D56))="QT. SUFFISANTE","Qt. suffisante",IF($N56="","",IF($L56="MASSE",IF($N56&gt;=1,"Kg","g"),IF($L56="VOLUME",IF($N56&gt;=1,"L","cl"),INDEX($AL$72:$AL$430,$K56))))))</f>
        <v>grille(s)</v>
      </c>
      <c r="G56" s="380">
        <f t="shared" si="1"/>
        <v>12</v>
      </c>
      <c r="H56" s="381" t="str" cm="1">
        <f t="array" ref="H56">IF($B56="","",IF(UPPER(TRIM($D56))="QT. SUFFISANTE","Qt. suffisante",IF($O56="","",IF($L56="MASSE",IF($O56&gt;=1,"Kg","g"),IF($L56="VOLUME",IF($O56&gt;=1,"L","cl"),INDEX($AL$72:$AL$430,$K56))))))</f>
        <v>grille(s)</v>
      </c>
      <c r="I56" s="382" t="str" cm="1">
        <f t="array" ref="I56">IF($B56="","",INDEX($AM$72:$AM$430,$K56))</f>
        <v>OK</v>
      </c>
      <c r="J56" s="271"/>
      <c r="K56" s="383">
        <f>1+($B$5-1)*36+34</f>
        <v>143</v>
      </c>
      <c r="L56" s="383" t="str" cm="1">
        <f t="array" ref="L56">IF($B56="","",INDEX($AI$72:$AI$430,$K56))</f>
        <v>AUTRE</v>
      </c>
      <c r="M56" s="383" cm="1">
        <f t="array" ref="M56">IF($B56="","",INDEX($AJ$72:$AJ$430,$K56))</f>
        <v>1</v>
      </c>
      <c r="N56" s="384" cm="1">
        <f t="array" ref="N56">IF(OR($B56="",$B$13="",$B$12="",$B$12=0),"",IF($L$22="AUTRE",IFERROR(INDEX($AK$72:$AK$430,$K56)*($B$13/$B$12),""),IF(OR($C$12="",$C$13=""),"",IFERROR(INDEX($AK$72:$AK$430,$K56)*(($B$13*VLOOKUP($C$13,$AY$74:$BA$119,3,FALSE))/($B$12*VLOOKUP($C$12,$AY$74:$BA$119,3,FALSE))),""))))</f>
        <v>3</v>
      </c>
      <c r="O56" s="384" cm="1">
        <f t="array" ref="O56">IF(OR($B56="",$G$12="",$G$11="",$G$11=0),"",IFERROR(INDEX($AK$72:$AK$430,$K56)*($G$12/$G$11),""))</f>
        <v>12</v>
      </c>
      <c r="U56" s="422" t="s">
        <v>7922</v>
      </c>
      <c r="V56" s="423" t="s">
        <v>8090</v>
      </c>
      <c r="W56" s="156"/>
      <c r="X56" s="156"/>
      <c r="Y56" s="156"/>
      <c r="Z56" s="156"/>
      <c r="AA56" s="156"/>
      <c r="AN56" s="659"/>
      <c r="AO56" s="659"/>
      <c r="AP56" s="659"/>
      <c r="AQ56" s="659"/>
      <c r="AR56" s="659"/>
      <c r="AS56" s="659"/>
      <c r="AT56" s="659"/>
      <c r="AU56" s="659"/>
      <c r="AV56" s="659"/>
      <c r="AW56" s="659"/>
      <c r="AX56" s="659"/>
      <c r="AY56" s="659"/>
      <c r="AZ56" s="659"/>
      <c r="BA56" s="659"/>
      <c r="BB56" s="659"/>
      <c r="BD56" s="279">
        <v>1</v>
      </c>
    </row>
    <row r="57" spans="1:64" ht="21" customHeight="1" x14ac:dyDescent="0.25">
      <c r="A57" s="284"/>
      <c r="B57" s="425"/>
      <c r="C57" s="426"/>
      <c r="D57" s="426"/>
      <c r="E57" s="427"/>
      <c r="F57" s="427"/>
      <c r="G57" s="427"/>
      <c r="H57" s="427"/>
      <c r="I57" s="284"/>
      <c r="J57" s="271"/>
      <c r="U57" s="422" t="s">
        <v>7926</v>
      </c>
      <c r="V57" s="423" t="s">
        <v>8091</v>
      </c>
      <c r="W57" s="156"/>
      <c r="X57" s="156"/>
      <c r="Y57" s="156"/>
      <c r="Z57" s="156"/>
      <c r="AA57" s="156"/>
      <c r="AN57" s="659"/>
      <c r="AO57" s="659"/>
      <c r="AP57" s="659"/>
      <c r="AQ57" s="659"/>
      <c r="AR57" s="659"/>
      <c r="AS57" s="659"/>
      <c r="AT57" s="659"/>
      <c r="AU57" s="659"/>
      <c r="AV57" s="659"/>
      <c r="AW57" s="659"/>
      <c r="AX57" s="659"/>
      <c r="AY57" s="659"/>
      <c r="AZ57" s="659"/>
      <c r="BA57" s="659"/>
      <c r="BB57" s="659"/>
      <c r="BD57" s="279">
        <v>1</v>
      </c>
      <c r="BI57" s="271"/>
      <c r="BJ57" s="271"/>
      <c r="BK57" s="271"/>
      <c r="BL57" s="271"/>
    </row>
    <row r="58" spans="1:64" ht="21" customHeight="1" x14ac:dyDescent="0.25">
      <c r="A58" s="661" t="s">
        <v>8092</v>
      </c>
      <c r="B58" s="662"/>
      <c r="C58" s="662"/>
      <c r="D58" s="662"/>
      <c r="E58" s="662"/>
      <c r="F58" s="662"/>
      <c r="G58" s="662"/>
      <c r="H58" s="662"/>
      <c r="I58" s="663"/>
      <c r="J58" s="271"/>
      <c r="U58" s="422" t="s">
        <v>7931</v>
      </c>
      <c r="V58" s="423" t="s">
        <v>8093</v>
      </c>
      <c r="W58" s="156"/>
      <c r="X58" s="156"/>
      <c r="Y58" s="156"/>
      <c r="Z58" s="156"/>
      <c r="AA58" s="156"/>
      <c r="AN58" s="659"/>
      <c r="AO58" s="659"/>
      <c r="AP58" s="659"/>
      <c r="AQ58" s="659"/>
      <c r="AR58" s="659"/>
      <c r="AS58" s="659"/>
      <c r="AT58" s="659"/>
      <c r="AU58" s="659"/>
      <c r="AV58" s="659"/>
      <c r="AW58" s="659"/>
      <c r="AX58" s="659"/>
      <c r="AY58" s="659"/>
      <c r="AZ58" s="659"/>
      <c r="BA58" s="659"/>
      <c r="BB58" s="659"/>
      <c r="BD58" s="279">
        <v>1</v>
      </c>
      <c r="BI58" s="271"/>
      <c r="BJ58" s="271"/>
      <c r="BK58" s="271"/>
      <c r="BL58" s="271"/>
    </row>
    <row r="59" spans="1:64" ht="21" customHeight="1" x14ac:dyDescent="0.25">
      <c r="A59" s="284"/>
      <c r="B59" s="284"/>
      <c r="C59" s="284"/>
      <c r="D59" s="284"/>
      <c r="E59" s="284"/>
      <c r="F59" s="284"/>
      <c r="G59" s="284"/>
      <c r="H59" s="284"/>
      <c r="I59" s="284"/>
      <c r="J59" s="271"/>
      <c r="U59" s="422" t="s">
        <v>7938</v>
      </c>
      <c r="V59" s="423" t="s">
        <v>8094</v>
      </c>
      <c r="W59" s="156"/>
      <c r="X59" s="156"/>
      <c r="Y59" s="156"/>
      <c r="Z59" s="156"/>
      <c r="AA59" s="156"/>
      <c r="AN59" s="659"/>
      <c r="AO59" s="659"/>
      <c r="AP59" s="659"/>
      <c r="AQ59" s="659"/>
      <c r="AR59" s="659"/>
      <c r="AS59" s="659"/>
      <c r="AT59" s="659"/>
      <c r="AU59" s="659"/>
      <c r="AV59" s="659"/>
      <c r="AW59" s="659"/>
      <c r="AX59" s="659"/>
      <c r="AY59" s="659"/>
      <c r="AZ59" s="659"/>
      <c r="BA59" s="659"/>
      <c r="BB59" s="659"/>
      <c r="BD59" s="279">
        <v>1</v>
      </c>
      <c r="BI59" s="271"/>
      <c r="BJ59" s="271"/>
      <c r="BK59" s="271"/>
      <c r="BL59" s="271"/>
    </row>
    <row r="60" spans="1:64" ht="21" customHeight="1" x14ac:dyDescent="0.25">
      <c r="A60" s="732" t="s">
        <v>8095</v>
      </c>
      <c r="B60" s="733"/>
      <c r="C60" s="733"/>
      <c r="D60" s="733"/>
      <c r="E60" s="733"/>
      <c r="F60" s="733"/>
      <c r="G60" s="733"/>
      <c r="H60" s="733"/>
      <c r="I60" s="734"/>
      <c r="J60" s="271"/>
      <c r="U60" s="422" t="s">
        <v>7946</v>
      </c>
      <c r="V60" s="423" t="s">
        <v>8096</v>
      </c>
      <c r="W60" s="156"/>
      <c r="X60" s="156"/>
      <c r="Y60" s="156"/>
      <c r="Z60" s="156"/>
      <c r="AA60" s="156"/>
      <c r="AN60" s="659"/>
      <c r="AO60" s="659"/>
      <c r="AP60" s="659"/>
      <c r="AQ60" s="659"/>
      <c r="AR60" s="659"/>
      <c r="AS60" s="659"/>
      <c r="AT60" s="659"/>
      <c r="AU60" s="659"/>
      <c r="AV60" s="659"/>
      <c r="AW60" s="659"/>
      <c r="AX60" s="659"/>
      <c r="AY60" s="659"/>
      <c r="AZ60" s="659"/>
      <c r="BA60" s="659"/>
      <c r="BB60" s="659"/>
      <c r="BD60" s="279">
        <v>1</v>
      </c>
      <c r="BI60" s="271"/>
      <c r="BJ60" s="271"/>
      <c r="BK60" s="271"/>
      <c r="BL60" s="271"/>
    </row>
    <row r="61" spans="1:64" ht="21" customHeight="1" x14ac:dyDescent="0.25">
      <c r="A61" s="428"/>
      <c r="B61" s="667" t="s">
        <v>8097</v>
      </c>
      <c r="C61" s="667"/>
      <c r="D61" s="667"/>
      <c r="E61" s="667"/>
      <c r="F61" s="667"/>
      <c r="G61" s="667"/>
      <c r="H61" s="667"/>
      <c r="I61" s="668"/>
      <c r="J61" s="271"/>
      <c r="U61" s="422" t="s">
        <v>7951</v>
      </c>
      <c r="V61" s="423" t="s">
        <v>8098</v>
      </c>
      <c r="W61" s="156"/>
      <c r="X61" s="156"/>
      <c r="Y61" s="156"/>
      <c r="Z61" s="156"/>
      <c r="AA61" s="156"/>
      <c r="AN61" s="659"/>
      <c r="AO61" s="659"/>
      <c r="AP61" s="659"/>
      <c r="AQ61" s="659"/>
      <c r="AR61" s="659"/>
      <c r="AS61" s="659"/>
      <c r="AT61" s="659"/>
      <c r="AU61" s="659"/>
      <c r="AV61" s="659"/>
      <c r="AW61" s="659"/>
      <c r="AX61" s="659"/>
      <c r="AY61" s="659"/>
      <c r="AZ61" s="659"/>
      <c r="BA61" s="659"/>
      <c r="BB61" s="659"/>
      <c r="BD61" s="279">
        <v>1</v>
      </c>
      <c r="BI61" s="271"/>
      <c r="BJ61" s="271"/>
      <c r="BK61" s="271"/>
      <c r="BL61" s="271"/>
    </row>
    <row r="62" spans="1:64" ht="21" customHeight="1" x14ac:dyDescent="0.25">
      <c r="A62" s="429"/>
      <c r="B62" s="669"/>
      <c r="C62" s="669"/>
      <c r="D62" s="669"/>
      <c r="E62" s="669"/>
      <c r="F62" s="669"/>
      <c r="G62" s="669"/>
      <c r="H62" s="669"/>
      <c r="I62" s="670"/>
      <c r="J62" s="271"/>
      <c r="U62" s="422" t="s">
        <v>7975</v>
      </c>
      <c r="V62" s="430" t="s">
        <v>8099</v>
      </c>
      <c r="W62" s="156"/>
      <c r="X62" s="156"/>
      <c r="Y62" s="156"/>
      <c r="Z62" s="156"/>
      <c r="AA62" s="156"/>
      <c r="AN62" s="659"/>
      <c r="AO62" s="659"/>
      <c r="AP62" s="659"/>
      <c r="AQ62" s="659"/>
      <c r="AR62" s="659"/>
      <c r="AS62" s="659"/>
      <c r="AT62" s="659"/>
      <c r="AU62" s="659"/>
      <c r="AV62" s="659"/>
      <c r="AW62" s="659"/>
      <c r="AX62" s="659"/>
      <c r="AY62" s="659"/>
      <c r="AZ62" s="659"/>
      <c r="BA62" s="659"/>
      <c r="BB62" s="659"/>
      <c r="BD62" s="279">
        <v>1</v>
      </c>
      <c r="BI62" s="271"/>
      <c r="BJ62" s="271"/>
      <c r="BK62" s="271"/>
      <c r="BL62" s="271"/>
    </row>
    <row r="63" spans="1:64" ht="21" customHeight="1" x14ac:dyDescent="0.25">
      <c r="A63" s="431"/>
      <c r="B63" s="671"/>
      <c r="C63" s="671"/>
      <c r="D63" s="671"/>
      <c r="E63" s="671"/>
      <c r="F63" s="671"/>
      <c r="G63" s="671"/>
      <c r="H63" s="671"/>
      <c r="I63" s="672"/>
      <c r="J63" s="271"/>
      <c r="U63" s="422" t="s">
        <v>7995</v>
      </c>
      <c r="V63" s="423" t="s">
        <v>8100</v>
      </c>
      <c r="W63" s="156"/>
      <c r="X63" s="156"/>
      <c r="Y63" s="156"/>
      <c r="Z63" s="156"/>
      <c r="AA63" s="156"/>
      <c r="AN63" s="659"/>
      <c r="AO63" s="659"/>
      <c r="AP63" s="659"/>
      <c r="AQ63" s="659"/>
      <c r="AR63" s="659"/>
      <c r="AS63" s="659"/>
      <c r="AT63" s="659"/>
      <c r="AU63" s="659"/>
      <c r="AV63" s="659"/>
      <c r="AW63" s="659"/>
      <c r="AX63" s="659"/>
      <c r="AY63" s="659"/>
      <c r="AZ63" s="659"/>
      <c r="BA63" s="659"/>
      <c r="BB63" s="659"/>
      <c r="BC63" s="271"/>
      <c r="BD63" s="279">
        <v>1</v>
      </c>
      <c r="BE63" s="271"/>
      <c r="BF63" s="271"/>
      <c r="BG63" s="271"/>
      <c r="BH63" s="271"/>
      <c r="BI63" s="271"/>
      <c r="BJ63" s="271"/>
      <c r="BK63" s="271"/>
      <c r="BL63" s="271"/>
    </row>
    <row r="64" spans="1:64" ht="15.75" customHeight="1" x14ac:dyDescent="0.25">
      <c r="A64" s="432" t="s">
        <v>2</v>
      </c>
      <c r="B64" s="433" t="str" cm="1">
        <f t="array" aca="1" ref="B64" ca="1">CELL("nomfichier")</f>
        <v>D:\Données\1.UPRT\0-UPRT.fait\1-UPRT.FR-SITE-WEB\ff-fiches-fabrications\ff.fiches.fabrication.2023\ffr-restaurant-2026\[02-06-recettes-entrees-cuisine-collective-fiches-techniques.xlsx]H.O.FROIDS.11.à.20</v>
      </c>
      <c r="C64" s="271"/>
      <c r="D64" s="271"/>
      <c r="E64" s="271"/>
      <c r="F64" s="271"/>
      <c r="G64" s="271"/>
      <c r="H64" s="271"/>
      <c r="I64" s="271"/>
      <c r="J64" s="271"/>
      <c r="K64" s="271"/>
      <c r="L64" s="271"/>
      <c r="M64" s="271"/>
      <c r="N64" s="271"/>
      <c r="O64" s="271"/>
      <c r="P64" s="271"/>
      <c r="Q64" s="271"/>
      <c r="R64" s="271"/>
      <c r="S64" s="271"/>
      <c r="U64" s="422" t="s">
        <v>7998</v>
      </c>
      <c r="V64" s="423" t="s">
        <v>8101</v>
      </c>
      <c r="W64" s="156"/>
      <c r="X64" s="156"/>
      <c r="Y64" s="156"/>
      <c r="Z64" s="156"/>
      <c r="AA64" s="156"/>
      <c r="AB64" s="220"/>
      <c r="AC64" s="220"/>
      <c r="AD64" s="220"/>
      <c r="AE64" s="220"/>
      <c r="AF64" s="220"/>
      <c r="AG64" s="220"/>
      <c r="AH64" s="220"/>
      <c r="AI64" s="220"/>
      <c r="AJ64" s="220"/>
      <c r="AK64" s="220"/>
      <c r="AL64" s="220"/>
      <c r="AN64" s="659"/>
      <c r="AO64" s="659"/>
      <c r="AP64" s="659"/>
      <c r="AQ64" s="659"/>
      <c r="AR64" s="659"/>
      <c r="AS64" s="659"/>
      <c r="AT64" s="659"/>
      <c r="AU64" s="659"/>
      <c r="AV64" s="659"/>
      <c r="AW64" s="659"/>
      <c r="AX64" s="659"/>
      <c r="AY64" s="659"/>
      <c r="AZ64" s="659"/>
      <c r="BA64" s="659"/>
      <c r="BB64" s="659"/>
      <c r="BC64" s="271"/>
      <c r="BD64" s="279">
        <v>1</v>
      </c>
      <c r="BE64" s="271"/>
      <c r="BF64" s="271"/>
      <c r="BG64" s="271"/>
      <c r="BH64" s="271"/>
      <c r="BI64" s="271"/>
      <c r="BJ64" s="271"/>
      <c r="BK64" s="271"/>
      <c r="BL64" s="271"/>
    </row>
    <row r="65" spans="1:111" x14ac:dyDescent="0.25">
      <c r="A65" s="271"/>
      <c r="B65" s="271"/>
      <c r="C65" s="271"/>
      <c r="D65" s="271"/>
      <c r="E65" s="271"/>
      <c r="F65" s="271"/>
      <c r="G65" s="271"/>
      <c r="H65" s="271"/>
      <c r="I65" s="271"/>
      <c r="J65" s="271"/>
      <c r="K65" s="271"/>
      <c r="L65" s="271"/>
      <c r="M65" s="271"/>
      <c r="N65" s="271"/>
      <c r="O65" s="271"/>
      <c r="P65" s="271"/>
      <c r="Q65" s="271"/>
      <c r="R65" s="271"/>
      <c r="S65" s="271"/>
      <c r="T65" s="271"/>
      <c r="U65" s="422" t="s">
        <v>8102</v>
      </c>
      <c r="V65" s="434" t="s">
        <v>8103</v>
      </c>
      <c r="W65" s="156"/>
      <c r="X65" s="156"/>
      <c r="Y65" s="156"/>
      <c r="Z65" s="156"/>
      <c r="AA65" s="156"/>
      <c r="AB65" s="220"/>
      <c r="AC65" s="220"/>
      <c r="AD65" s="220"/>
      <c r="AE65" s="220"/>
      <c r="AF65" s="220"/>
      <c r="AG65" s="220"/>
      <c r="AH65" s="220"/>
      <c r="AI65" s="220"/>
      <c r="AJ65" s="220"/>
      <c r="AK65" s="271"/>
      <c r="AL65" s="271"/>
      <c r="AN65" s="659"/>
      <c r="AO65" s="659"/>
      <c r="AP65" s="659"/>
      <c r="AQ65" s="659"/>
      <c r="AR65" s="659"/>
      <c r="AS65" s="659"/>
      <c r="AT65" s="659"/>
      <c r="AU65" s="659"/>
      <c r="AV65" s="659"/>
      <c r="AW65" s="659"/>
      <c r="AX65" s="659"/>
      <c r="AY65" s="659"/>
      <c r="AZ65" s="659"/>
      <c r="BA65" s="659"/>
      <c r="BB65" s="659"/>
      <c r="BC65" s="271"/>
      <c r="BD65" s="279">
        <v>1</v>
      </c>
      <c r="BE65" s="271"/>
      <c r="BF65" s="271"/>
      <c r="BG65" s="271"/>
      <c r="BH65" s="271"/>
      <c r="BI65" s="271"/>
      <c r="BJ65" s="271"/>
      <c r="BK65" s="271"/>
      <c r="BL65" s="271"/>
      <c r="BM65" s="271"/>
      <c r="BN65" s="271"/>
      <c r="BO65" s="271"/>
      <c r="BP65" s="271"/>
      <c r="BQ65" s="271"/>
      <c r="BR65" s="271"/>
      <c r="BS65" s="271"/>
      <c r="BT65" s="271"/>
      <c r="BU65" s="271"/>
      <c r="BV65" s="271"/>
      <c r="BW65" s="271"/>
      <c r="BX65" s="271"/>
      <c r="BY65" s="271"/>
      <c r="BZ65" s="271"/>
      <c r="CA65" s="271"/>
      <c r="CB65" s="271"/>
      <c r="CC65" s="271"/>
      <c r="CD65" s="271"/>
      <c r="CE65" s="271"/>
      <c r="CF65" s="271"/>
      <c r="CG65" s="271"/>
      <c r="CH65" s="271"/>
      <c r="CI65" s="271"/>
      <c r="CJ65" s="271"/>
      <c r="CK65" s="271"/>
      <c r="CL65" s="271"/>
      <c r="CM65" s="271"/>
      <c r="CN65" s="271"/>
      <c r="CO65" s="271"/>
      <c r="CP65" s="271"/>
      <c r="CQ65" s="271"/>
      <c r="CR65" s="271"/>
      <c r="CS65" s="271"/>
      <c r="CT65" s="271"/>
      <c r="CU65" s="271"/>
      <c r="CV65" s="271"/>
      <c r="CW65" s="271"/>
      <c r="CX65" s="271"/>
      <c r="CY65" s="271"/>
      <c r="CZ65" s="271"/>
      <c r="DA65" s="271"/>
      <c r="DB65" s="271"/>
      <c r="DC65" s="271"/>
      <c r="DD65" s="271"/>
      <c r="DE65" s="271"/>
      <c r="DF65" s="271"/>
      <c r="DG65" s="271"/>
    </row>
    <row r="66" spans="1:111" ht="15.75" customHeight="1" x14ac:dyDescent="0.25">
      <c r="U66" s="422" t="s">
        <v>8047</v>
      </c>
      <c r="V66" s="434" t="s">
        <v>8104</v>
      </c>
      <c r="W66" s="435"/>
      <c r="X66" s="435"/>
      <c r="Y66" s="435"/>
      <c r="Z66" s="435"/>
      <c r="AA66" s="435"/>
      <c r="AB66" s="271"/>
      <c r="AC66" s="271"/>
      <c r="AD66" s="220"/>
      <c r="AE66" s="220"/>
      <c r="AF66" s="220"/>
      <c r="AG66" s="220"/>
      <c r="AH66" s="220"/>
      <c r="AI66" s="220"/>
      <c r="AJ66" s="220"/>
      <c r="AK66" s="271"/>
      <c r="AL66" s="271"/>
      <c r="AM66" s="271"/>
      <c r="AN66" s="660" t="s">
        <v>8105</v>
      </c>
      <c r="AO66" s="660"/>
      <c r="AP66" s="660"/>
      <c r="AQ66" s="660"/>
      <c r="AR66" s="660"/>
      <c r="AS66" s="660"/>
      <c r="AT66" s="660"/>
      <c r="AU66" s="660"/>
      <c r="AV66" s="660"/>
      <c r="AW66" s="660"/>
      <c r="AX66" s="660"/>
      <c r="AY66" s="660"/>
      <c r="AZ66" s="660"/>
      <c r="BA66" s="660"/>
      <c r="BB66" s="660"/>
      <c r="BC66" s="271"/>
      <c r="BD66" s="279">
        <v>1</v>
      </c>
      <c r="BE66" s="271"/>
      <c r="BF66" s="271"/>
      <c r="BG66" s="271"/>
      <c r="BH66" s="271"/>
      <c r="BI66" s="271"/>
      <c r="BJ66" s="271"/>
      <c r="BK66" s="271"/>
      <c r="BL66" s="271"/>
    </row>
    <row r="67" spans="1:111" ht="15.75" customHeight="1" x14ac:dyDescent="0.25">
      <c r="U67" s="156"/>
      <c r="V67" s="435"/>
      <c r="W67" s="435"/>
      <c r="X67" s="435"/>
      <c r="Y67" s="435"/>
      <c r="Z67" s="435"/>
      <c r="AA67" s="435"/>
      <c r="AB67" s="655" t="str">
        <f>IF(AND(COUNTIF(AC72:AC430,"*~**")=0,COUNTIF(AC72:AC430,"*~?*")=0),"",IF(COUNTIF(AC72:AC430,"*~**")&gt;0,COUNTIF(AC72:AC430,"*~**")&amp;" allergène"&amp;IF(COUNTIF(AC72:AC430,"*~**")&gt;1,"s","")&amp;" repéré"&amp;IF(COUNTIF(AC72:AC430,"*~**")&gt;1,"s","")&amp;" par *","")&amp;IF(AND(COUNTIF(AC72:AC430,"*~**")&gt;0,COUNTIF(AC72:AC430,"*~?*")&gt;0)," | ","")&amp;IF(COUNTIF(AC72:AC430,"*~?*")&gt;0,COUNTIF(AC72:AC430,"*~?*")&amp;" produit"&amp;IF(COUNTIF(AC72:AC430,"*~?*")&gt;1,"s","")&amp;" à vérifier par ?",""))</f>
        <v>15 allergènes repérés par * | 1 produit à vérifier par ?</v>
      </c>
      <c r="AC67" s="655"/>
      <c r="AD67" s="436" t="s">
        <v>8106</v>
      </c>
      <c r="AE67" s="436"/>
      <c r="AF67" s="436"/>
      <c r="AG67" s="271"/>
      <c r="AH67" s="271"/>
      <c r="AI67" s="271"/>
      <c r="AJ67" s="271"/>
      <c r="AK67" s="271"/>
      <c r="AL67" s="271"/>
      <c r="AM67" s="271"/>
      <c r="AN67" s="660"/>
      <c r="AO67" s="660"/>
      <c r="AP67" s="660"/>
      <c r="AQ67" s="660"/>
      <c r="AR67" s="660"/>
      <c r="AS67" s="660"/>
      <c r="AT67" s="660"/>
      <c r="AU67" s="660"/>
      <c r="AV67" s="660"/>
      <c r="AW67" s="660"/>
      <c r="AX67" s="660"/>
      <c r="AY67" s="660"/>
      <c r="AZ67" s="660"/>
      <c r="BA67" s="660"/>
      <c r="BB67" s="660"/>
      <c r="BC67" s="271"/>
      <c r="BD67" s="279"/>
      <c r="BE67" s="271"/>
      <c r="BF67" s="271"/>
      <c r="BG67" s="271"/>
      <c r="BH67" s="271"/>
      <c r="BI67" s="271"/>
      <c r="BJ67" s="271"/>
      <c r="BK67" s="271"/>
      <c r="BL67" s="271"/>
    </row>
    <row r="68" spans="1:111" ht="15.75" customHeight="1" x14ac:dyDescent="0.25">
      <c r="R68" s="437" t="s">
        <v>8107</v>
      </c>
      <c r="U68" s="156"/>
      <c r="V68" s="435"/>
      <c r="W68" s="435"/>
      <c r="X68" s="435"/>
      <c r="Y68" s="435"/>
      <c r="Z68" s="435"/>
      <c r="AA68" s="435"/>
      <c r="AB68" s="655"/>
      <c r="AC68" s="655"/>
      <c r="AD68" s="436" t="s">
        <v>8108</v>
      </c>
      <c r="AE68" s="436"/>
      <c r="AF68" s="436"/>
      <c r="AG68" s="271"/>
      <c r="AH68" s="271"/>
      <c r="AI68" s="271"/>
      <c r="AJ68" s="271"/>
      <c r="AK68" s="271"/>
      <c r="AL68" s="271"/>
      <c r="AM68" s="271"/>
      <c r="AN68" s="438" t="s">
        <v>8109</v>
      </c>
      <c r="AO68" s="438"/>
      <c r="AP68" s="271"/>
      <c r="BC68" s="271"/>
      <c r="BD68" s="279">
        <v>1</v>
      </c>
      <c r="BE68" s="271"/>
      <c r="BF68" s="271"/>
      <c r="BG68" s="271"/>
      <c r="BH68" s="271"/>
      <c r="BI68" s="271"/>
      <c r="BJ68" s="271"/>
      <c r="BK68" s="271"/>
      <c r="BL68" s="271"/>
    </row>
    <row r="69" spans="1:111" x14ac:dyDescent="0.25">
      <c r="R69" s="422" t="str">
        <f>SUBSTITUTE(ADDRESS(1,COLUMN(),4),"1","")</f>
        <v>R</v>
      </c>
      <c r="T69" s="422" t="str">
        <f>SUBSTITUTE(ADDRESS(1,COLUMN(),4),"1","")</f>
        <v>T</v>
      </c>
      <c r="V69" s="422" t="str">
        <f t="shared" ref="V69:AF69" si="2">SUBSTITUTE(ADDRESS(1,COLUMN(),4),"1","")</f>
        <v>V</v>
      </c>
      <c r="W69" s="422" t="str">
        <f t="shared" si="2"/>
        <v>W</v>
      </c>
      <c r="X69" s="422" t="str">
        <f t="shared" si="2"/>
        <v>X</v>
      </c>
      <c r="Y69" s="422" t="str">
        <f t="shared" si="2"/>
        <v>Y</v>
      </c>
      <c r="Z69" s="422" t="str">
        <f t="shared" si="2"/>
        <v>Z</v>
      </c>
      <c r="AA69" s="422" t="str">
        <f t="shared" si="2"/>
        <v>AA</v>
      </c>
      <c r="AB69" s="422" t="str">
        <f t="shared" si="2"/>
        <v>AB</v>
      </c>
      <c r="AC69" s="422" t="str">
        <f t="shared" si="2"/>
        <v>AC</v>
      </c>
      <c r="AD69" s="422" t="str">
        <f t="shared" si="2"/>
        <v>AD</v>
      </c>
      <c r="AE69" s="422" t="str">
        <f t="shared" si="2"/>
        <v>AE</v>
      </c>
      <c r="AF69" s="422" t="str">
        <f t="shared" si="2"/>
        <v>AF</v>
      </c>
      <c r="AG69" s="395"/>
      <c r="AH69" s="395"/>
      <c r="AI69" s="395"/>
      <c r="AJ69" s="395"/>
      <c r="AK69" s="395"/>
      <c r="AL69" s="395"/>
      <c r="AM69" s="439" t="str">
        <f>SUBSTITUTE(ADDRESS(1,COLUMN(),4),"1","")</f>
        <v>AM</v>
      </c>
      <c r="AN69" s="395" t="str">
        <f>SUBSTITUTE(ADDRESS(1,COLUMN(),4),"1","")</f>
        <v>AN</v>
      </c>
      <c r="AO69" s="395" t="str">
        <f>SUBSTITUTE(ADDRESS(1,COLUMN(),4),"1","")</f>
        <v>AO</v>
      </c>
      <c r="AP69" s="395" t="str">
        <f t="shared" ref="AP69:AU69" si="3">SUBSTITUTE(ADDRESS(1,COLUMN(),4),"1","")</f>
        <v>AP</v>
      </c>
      <c r="AQ69" s="395" t="str">
        <f t="shared" si="3"/>
        <v>AQ</v>
      </c>
      <c r="AR69" s="395" t="str">
        <f t="shared" si="3"/>
        <v>AR</v>
      </c>
      <c r="AS69" s="395" t="str">
        <f t="shared" si="3"/>
        <v>AS</v>
      </c>
      <c r="AT69" s="395" t="str">
        <f t="shared" si="3"/>
        <v>AT</v>
      </c>
      <c r="AU69" s="395" t="str">
        <f t="shared" si="3"/>
        <v>AU</v>
      </c>
      <c r="BC69" s="271"/>
      <c r="BD69" s="279">
        <v>1</v>
      </c>
      <c r="BE69" s="271"/>
      <c r="BF69" s="271"/>
      <c r="BG69" s="271"/>
      <c r="BH69" s="271"/>
      <c r="BI69" s="271"/>
      <c r="BJ69" s="271"/>
      <c r="BK69" s="271"/>
      <c r="BL69" s="271"/>
    </row>
    <row r="70" spans="1:111" ht="35.25" customHeight="1" x14ac:dyDescent="0.25">
      <c r="R70" s="440" t="s">
        <v>484</v>
      </c>
      <c r="T70" s="440" t="s">
        <v>8110</v>
      </c>
      <c r="V70" s="441" t="s">
        <v>8111</v>
      </c>
      <c r="W70" s="442"/>
      <c r="X70" s="442"/>
      <c r="Y70" s="442"/>
      <c r="Z70" s="442"/>
      <c r="AA70" s="442"/>
      <c r="AB70" s="442"/>
      <c r="AC70" s="442"/>
      <c r="AD70" s="443"/>
      <c r="AE70" s="442"/>
      <c r="AF70" s="442"/>
      <c r="AG70" s="444" t="s">
        <v>8112</v>
      </c>
      <c r="AH70" s="445"/>
      <c r="AI70" s="445"/>
      <c r="AJ70" s="445"/>
      <c r="AK70" s="445"/>
      <c r="AL70" s="445"/>
      <c r="AM70" s="446"/>
      <c r="AN70" s="444" t="s">
        <v>8112</v>
      </c>
      <c r="AO70" s="447"/>
      <c r="AP70" s="447"/>
      <c r="AQ70" s="447"/>
      <c r="AR70" s="447"/>
      <c r="AS70" s="447"/>
      <c r="AT70" s="447"/>
      <c r="AU70" s="447"/>
      <c r="AY70" s="448" t="str">
        <f>ADDRESS(ROW(),COLUMN(),4)</f>
        <v>AY70</v>
      </c>
      <c r="AZ70" s="449"/>
      <c r="BA70" s="449"/>
      <c r="BB70" s="450"/>
      <c r="BD70" s="279">
        <v>1</v>
      </c>
      <c r="BG70" s="271"/>
      <c r="BH70" s="271"/>
      <c r="BI70" s="271"/>
      <c r="BJ70" s="271"/>
      <c r="BK70" s="271"/>
      <c r="BL70" s="271"/>
    </row>
    <row r="71" spans="1:111" ht="34.5" customHeight="1" x14ac:dyDescent="0.25">
      <c r="R71" s="25" t="s">
        <v>6115</v>
      </c>
      <c r="S71" s="451"/>
      <c r="T71" s="452" t="s">
        <v>8113</v>
      </c>
      <c r="V71" s="453" t="s">
        <v>324</v>
      </c>
      <c r="W71" s="453" t="s">
        <v>7912</v>
      </c>
      <c r="X71" s="453" t="s">
        <v>326</v>
      </c>
      <c r="Y71" s="453" t="s">
        <v>327</v>
      </c>
      <c r="Z71" s="454" t="s">
        <v>7930</v>
      </c>
      <c r="AA71" s="453" t="s">
        <v>7937</v>
      </c>
      <c r="AB71" s="455" t="s">
        <v>39</v>
      </c>
      <c r="AC71" s="455" t="s">
        <v>338</v>
      </c>
      <c r="AD71" s="455" t="s">
        <v>8114</v>
      </c>
      <c r="AE71" s="455" t="s">
        <v>339</v>
      </c>
      <c r="AF71" s="455" t="s">
        <v>7997</v>
      </c>
      <c r="AG71" s="456" t="s">
        <v>8018</v>
      </c>
      <c r="AH71" s="456" t="s">
        <v>8023</v>
      </c>
      <c r="AI71" s="456" t="s">
        <v>330</v>
      </c>
      <c r="AJ71" s="456" t="s">
        <v>8031</v>
      </c>
      <c r="AK71" s="453" t="s">
        <v>8037</v>
      </c>
      <c r="AL71" s="453" t="s">
        <v>8041</v>
      </c>
      <c r="AM71" s="456" t="s">
        <v>343</v>
      </c>
      <c r="AN71" s="457" t="s">
        <v>8115</v>
      </c>
      <c r="AO71" s="457" t="s">
        <v>8116</v>
      </c>
      <c r="AP71" s="656" t="s">
        <v>8117</v>
      </c>
      <c r="AQ71" s="656"/>
      <c r="AR71" s="656"/>
      <c r="AS71" s="656"/>
      <c r="AT71" s="656"/>
      <c r="AU71" s="657"/>
      <c r="AY71" s="448" t="s">
        <v>8118</v>
      </c>
      <c r="AZ71" s="448" t="s">
        <v>8119</v>
      </c>
      <c r="BA71" s="448"/>
      <c r="BB71" s="458"/>
      <c r="BD71" s="279">
        <v>1</v>
      </c>
      <c r="BG71" s="271"/>
      <c r="BH71" s="271"/>
      <c r="BI71" s="271"/>
      <c r="BJ71" s="271"/>
      <c r="BK71" s="271"/>
      <c r="BL71" s="271"/>
    </row>
    <row r="72" spans="1:111" ht="30" customHeight="1" x14ac:dyDescent="0.25">
      <c r="R72" s="34" t="s">
        <v>471</v>
      </c>
      <c r="S72" s="451"/>
      <c r="T72" s="14" t="s">
        <v>7</v>
      </c>
      <c r="V72" s="459">
        <v>1</v>
      </c>
      <c r="W72" s="460" t="s">
        <v>224</v>
      </c>
      <c r="X72" s="461" t="s">
        <v>223</v>
      </c>
      <c r="Y72" s="462">
        <v>51</v>
      </c>
      <c r="Z72" s="463">
        <v>100</v>
      </c>
      <c r="AA72" s="464">
        <f>IF($AC$396="","",ROW($A$396)-ROW($A$396))</f>
        <v>0</v>
      </c>
      <c r="AB72" s="461"/>
      <c r="AC72" s="465" t="s">
        <v>408</v>
      </c>
      <c r="AD72" s="390"/>
      <c r="AE72" s="13">
        <v>4</v>
      </c>
      <c r="AF72" s="11" t="s">
        <v>7</v>
      </c>
      <c r="AG72" s="467">
        <f t="shared" ref="AG72:AG106" si="4">IF($AC72="","",IF(LEN($AN72&amp;"")=0,"",$AN72))</f>
        <v>4</v>
      </c>
      <c r="AH72" s="468" t="str">
        <f t="shared" ref="AH72:AH106" si="5">IF($AC72="","",IF($AF72&lt;&gt;"",UPPER(TRIM(SUBSTITUTE(SUBSTITUTE($AF72&amp;"",CHAR(160)," ")," "," "))),$AP72))</f>
        <v>KG</v>
      </c>
      <c r="AI72" s="469" t="str">
        <f>IF($AC$72="","",IFERROR(INDEX($AZ$74:$AZ$119,MATCH($AH$72,$AY$74:$AY$119,0)),"AUTRE"))</f>
        <v>MASSE</v>
      </c>
      <c r="AJ72" s="470">
        <f>IF($AC$72="","",IFERROR(INDEX($BA$74:$BA$119,MATCH($AH$72,$AY$74:$AY$119,0)),1))</f>
        <v>1</v>
      </c>
      <c r="AK72" s="470">
        <f t="shared" ref="AK72:AK106" si="6">IF(OR(AG72="",AJ72=""),"",AG72*AJ72)</f>
        <v>4</v>
      </c>
      <c r="AL72" s="469" t="str">
        <f>IF($AC$72="","",IFERROR(INDEX($BB$74:$BB$119,MATCH($AH$72,$AY$74:$AY$119,0)),$AH$72))</f>
        <v>kg</v>
      </c>
      <c r="AM72" s="471" t="str">
        <f t="shared" ref="AM72:AM106" si="7">IF($AC72="","",IF($AH72="QT. SUFFISANTE","OK",IF($AG72="","TEXTE",IF(NOT(ISNUMBER($AG72)),"QUANTITÉ À CONTRÔLER",IF(COUNTIF($AY$74:$AY$119,$AH72)=0,"UNITÉ À CONTRÔLER","OK")))))</f>
        <v>OK</v>
      </c>
      <c r="AN72" s="472">
        <f>IF($AE72&lt;&gt;"",$AE72,IF($AD72="","",IF(ISNUMBER($AD72),$AD72,IF($AO72="QT",0,IF($AO72="","",IFERROR(IF(ISNUMBER(SEARCH("/",$AO72)),VALUE(TRIM(LEFT($AO72,SEARCH("/",$AO72)-1)))/VALUE(TRIM(MID($AO72,SEARCH("/",$AO72)+1,99))),VALUE(SUBSTITUTE($AO72,".",","))),""))))))</f>
        <v>4</v>
      </c>
      <c r="AO72" s="473" t="str">
        <f t="shared" ref="AO72:AO106" si="8">IF($AD72="","",IF(ISNUMBER($AD72),$AD72,IF(OR(LEFT($AQ72,3)="QT.",LEFT($AQ72,4)="QUAN"),"QT",IF($AR72=999,$AQ72,TRIM(LEFT($AQ72,$AR72-1))))))</f>
        <v/>
      </c>
      <c r="AP72" s="473" t="str">
        <f t="shared" ref="AP72:AP106" si="9">IF($AD72="","",IF(ISNUMBER($AD72),"",IF(OR(LEFT($AQ72,3)="QT.",LEFT($AQ72,4)="QUAN"),"QT. SUFFISANTE",IF($AO72="","",TRIM(MID($AQ72,LEN($AO72&amp;"")+1,999))))))</f>
        <v/>
      </c>
      <c r="AQ72" s="474" t="str">
        <f t="shared" ref="AQ72:AQ106" si="10">IF($AD72="","",UPPER(TRIM(SUBSTITUTE(SUBSTITUTE($AD72&amp;"",CHAR(160)," ")," "," "))))</f>
        <v/>
      </c>
      <c r="AR72" s="474" t="str">
        <f t="shared" ref="AR72:AR106" si="11">IF($AQ72="","",MIN($AS72,$AT72,$AU72))</f>
        <v/>
      </c>
      <c r="AS72" s="474" t="str">
        <f t="shared" ref="AS72:AS106" si="12">IF($AQ72="","",MIN(IFERROR(SEARCH("A",$AQ72),999),IFERROR(SEARCH("B",$AQ72),999),IFERROR(SEARCH("C",$AQ72),999),IFERROR(SEARCH("D",$AQ72),999),IFERROR(SEARCH("E",$AQ72),999),IFERROR(SEARCH("F",$AQ72),999),IFERROR(SEARCH("G",$AQ72),999),IFERROR(SEARCH("H",$AQ72),999),IFERROR(SEARCH("I",$AQ72),999)))</f>
        <v/>
      </c>
      <c r="AT72" s="474" t="str">
        <f t="shared" ref="AT72:AT106" si="13">IF($AQ72="","",MIN(IFERROR(SEARCH("J",$AQ72),999),IFERROR(SEARCH("K",$AQ72),999),IFERROR(SEARCH("L",$AQ72),999),IFERROR(SEARCH("M",$AQ72),999),IFERROR(SEARCH("N",$AQ72),999),IFERROR(SEARCH("O",$AQ72),999),IFERROR(SEARCH("P",$AQ72),999),IFERROR(SEARCH("Q",$AQ72),999),IFERROR(SEARCH("R",$AQ72),999)))</f>
        <v/>
      </c>
      <c r="AU72" s="474" t="str">
        <f t="shared" ref="AU72:AU106" si="14">IF($AQ72="","",MIN(IFERROR(SEARCH("S",$AQ72),999),IFERROR(SEARCH("T",$AQ72),999),IFERROR(SEARCH("U",$AQ72),999),IFERROR(SEARCH("V",$AQ72),999),IFERROR(SEARCH("W",$AQ72),999),IFERROR(SEARCH("X",$AQ72),999),IFERROR(SEARCH("Y",$AQ72),999),IFERROR(SEARCH("Z",$AQ72),999)))</f>
        <v/>
      </c>
      <c r="AY72" s="418"/>
      <c r="AZ72" s="418"/>
      <c r="BA72" s="418"/>
      <c r="BB72" s="419"/>
      <c r="BD72" s="279">
        <v>1</v>
      </c>
      <c r="BG72" s="271"/>
      <c r="BH72" s="271"/>
      <c r="BI72" s="271"/>
      <c r="BJ72" s="271"/>
      <c r="BK72" s="271"/>
      <c r="BL72" s="271"/>
    </row>
    <row r="73" spans="1:111" ht="21" customHeight="1" x14ac:dyDescent="0.25">
      <c r="R73" s="34" t="s">
        <v>472</v>
      </c>
      <c r="S73" s="451"/>
      <c r="T73" s="27" t="s">
        <v>8</v>
      </c>
      <c r="V73" s="475">
        <f>$V$72</f>
        <v>1</v>
      </c>
      <c r="W73" s="475" t="str">
        <f>IF($AC$73="","",$W$72)</f>
        <v>N° 34</v>
      </c>
      <c r="X73" s="476" t="str">
        <f>IF($AC$73="","",$X$72)</f>
        <v>TOASTS A LA TAPENADE</v>
      </c>
      <c r="Y73" s="477">
        <f>IF($X$73="","",$Y$72)</f>
        <v>51</v>
      </c>
      <c r="Z73" s="477">
        <f>IF($X$73="","",$Z$72)</f>
        <v>100</v>
      </c>
      <c r="AA73" s="477">
        <f>IF($AC$73="","",ROW($A$73)-ROW($A$72))</f>
        <v>1</v>
      </c>
      <c r="AB73" s="478"/>
      <c r="AC73" s="34" t="s">
        <v>435</v>
      </c>
      <c r="AD73" s="356"/>
      <c r="AE73" s="18">
        <v>1</v>
      </c>
      <c r="AF73" s="11" t="s">
        <v>7</v>
      </c>
      <c r="AG73" s="480">
        <f t="shared" si="4"/>
        <v>1</v>
      </c>
      <c r="AH73" s="481" t="str">
        <f t="shared" si="5"/>
        <v>KG</v>
      </c>
      <c r="AI73" s="477" t="str">
        <f>IF($AC$73="","",IFERROR(INDEX($AZ$74:$AZ$119,MATCH($AH$73,$AY$74:$AY$119,0)),"AUTRE"))</f>
        <v>MASSE</v>
      </c>
      <c r="AJ73" s="482">
        <f>IF($AC$73="","",IFERROR(INDEX($BA$74:$BA$119,MATCH($AH$73,$AY$74:$AY$119,0)),1))</f>
        <v>1</v>
      </c>
      <c r="AK73" s="482">
        <f t="shared" si="6"/>
        <v>1</v>
      </c>
      <c r="AL73" s="477" t="str">
        <f>IF($AC$73="","",IFERROR(INDEX($BB$74:$BB$119,MATCH($AH$73,$AY$74:$AY$119,0)),$AH$73))</f>
        <v>kg</v>
      </c>
      <c r="AM73" s="483" t="str">
        <f t="shared" si="7"/>
        <v>OK</v>
      </c>
      <c r="AN73" s="484">
        <f t="shared" ref="AN73:AN106" si="15">IF($AE73&lt;&gt;"",$AE73,IF($AD73="","",IF(ISNUMBER($AD73),$AD73,IF($AO73="QT",0,IF($AO73="","",IFERROR(IF(ISNUMBER(SEARCH("/",$AO73)),VALUE(TRIM(LEFT($AO73,SEARCH("/",$AO73)-1)))/VALUE(TRIM(MID($AO73,SEARCH("/",$AO73)+1,99))),VALUE(SUBSTITUTE($AO73,".",","))),""))))))</f>
        <v>1</v>
      </c>
      <c r="AO73" s="473" t="str">
        <f t="shared" si="8"/>
        <v/>
      </c>
      <c r="AP73" s="473" t="str">
        <f t="shared" si="9"/>
        <v/>
      </c>
      <c r="AQ73" s="473" t="str">
        <f t="shared" si="10"/>
        <v/>
      </c>
      <c r="AR73" s="473" t="str">
        <f t="shared" si="11"/>
        <v/>
      </c>
      <c r="AS73" s="473" t="str">
        <f t="shared" si="12"/>
        <v/>
      </c>
      <c r="AT73" s="473" t="str">
        <f t="shared" si="13"/>
        <v/>
      </c>
      <c r="AU73" s="473" t="str">
        <f t="shared" si="14"/>
        <v/>
      </c>
      <c r="AY73" s="440" t="s">
        <v>8110</v>
      </c>
      <c r="AZ73" s="485" t="s">
        <v>34</v>
      </c>
      <c r="BA73" s="485" t="s">
        <v>8123</v>
      </c>
      <c r="BB73" s="486" t="s">
        <v>8124</v>
      </c>
      <c r="BD73" s="279">
        <v>1</v>
      </c>
      <c r="BG73" s="271"/>
      <c r="BH73" s="271"/>
      <c r="BI73" s="271"/>
      <c r="BJ73" s="271"/>
      <c r="BK73" s="271"/>
      <c r="BL73" s="271"/>
    </row>
    <row r="74" spans="1:111" ht="21" customHeight="1" x14ac:dyDescent="0.25">
      <c r="R74" s="34" t="s">
        <v>6112</v>
      </c>
      <c r="S74" s="451"/>
      <c r="T74" s="28" t="s">
        <v>13</v>
      </c>
      <c r="V74" s="475">
        <v>1</v>
      </c>
      <c r="W74" s="475" t="str">
        <f>IF($AC$74="","",$W$72)</f>
        <v>N° 34</v>
      </c>
      <c r="X74" s="476" t="str">
        <f>IF($AC$74="","",$X$72)</f>
        <v>TOASTS A LA TAPENADE</v>
      </c>
      <c r="Y74" s="477">
        <f>IF($X$74="","",$Y$72)</f>
        <v>51</v>
      </c>
      <c r="Z74" s="477">
        <f>IF($X$74="","",$Z$72)</f>
        <v>100</v>
      </c>
      <c r="AA74" s="477">
        <f>IF($AC$74="","",ROW($A$74)-ROW($A$72))</f>
        <v>2</v>
      </c>
      <c r="AB74" s="487"/>
      <c r="AC74" s="34" t="s">
        <v>199</v>
      </c>
      <c r="AD74" s="356"/>
      <c r="AE74" s="18">
        <v>3</v>
      </c>
      <c r="AF74" s="11" t="s">
        <v>7</v>
      </c>
      <c r="AG74" s="480">
        <f t="shared" si="4"/>
        <v>3</v>
      </c>
      <c r="AH74" s="481" t="str">
        <f t="shared" si="5"/>
        <v>KG</v>
      </c>
      <c r="AI74" s="477" t="str">
        <f>IF($AC$74="","",IFERROR(INDEX($AZ$74:$AZ$119,MATCH($AH$74,$AY$74:$AY$119,0)),"AUTRE"))</f>
        <v>MASSE</v>
      </c>
      <c r="AJ74" s="482">
        <f>IF($AC$74="","",IFERROR(INDEX($BA$74:$BA$119,MATCH($AH$74,$AY$74:$AY$119,0)),1))</f>
        <v>1</v>
      </c>
      <c r="AK74" s="482">
        <f t="shared" si="6"/>
        <v>3</v>
      </c>
      <c r="AL74" s="477" t="str">
        <f>IF($AC$74="","",IFERROR(INDEX($BB$74:$BB$119,MATCH($AH$74,$AY$74:$AY$119,0)),$AH$74))</f>
        <v>kg</v>
      </c>
      <c r="AM74" s="483" t="str">
        <f t="shared" si="7"/>
        <v>OK</v>
      </c>
      <c r="AN74" s="484">
        <f t="shared" si="15"/>
        <v>3</v>
      </c>
      <c r="AO74" s="473" t="str">
        <f t="shared" si="8"/>
        <v/>
      </c>
      <c r="AP74" s="473" t="str">
        <f t="shared" si="9"/>
        <v/>
      </c>
      <c r="AQ74" s="473" t="str">
        <f t="shared" si="10"/>
        <v/>
      </c>
      <c r="AR74" s="473" t="str">
        <f t="shared" si="11"/>
        <v/>
      </c>
      <c r="AS74" s="473" t="str">
        <f t="shared" si="12"/>
        <v/>
      </c>
      <c r="AT74" s="473" t="str">
        <f t="shared" si="13"/>
        <v/>
      </c>
      <c r="AU74" s="473" t="str">
        <f t="shared" si="14"/>
        <v/>
      </c>
      <c r="AY74" s="14" t="s">
        <v>7</v>
      </c>
      <c r="AZ74" s="488" t="s">
        <v>35</v>
      </c>
      <c r="BA74" s="418">
        <v>1</v>
      </c>
      <c r="BB74" s="419" t="s">
        <v>36</v>
      </c>
      <c r="BD74" s="279">
        <v>1</v>
      </c>
      <c r="BG74" s="271"/>
      <c r="BH74" s="271"/>
      <c r="BI74" s="271"/>
      <c r="BJ74" s="271"/>
      <c r="BK74" s="271"/>
      <c r="BL74" s="271"/>
    </row>
    <row r="75" spans="1:111" ht="21" customHeight="1" x14ac:dyDescent="0.25">
      <c r="R75" s="25" t="s">
        <v>6116</v>
      </c>
      <c r="S75" s="451"/>
      <c r="T75" s="28" t="s">
        <v>14</v>
      </c>
      <c r="V75" s="475">
        <v>1</v>
      </c>
      <c r="W75" s="475" t="str">
        <f>IF($AC$75="","",$W$72)</f>
        <v>N° 34</v>
      </c>
      <c r="X75" s="476" t="str">
        <f>IF($AC$75="","",$X$72)</f>
        <v>TOASTS A LA TAPENADE</v>
      </c>
      <c r="Y75" s="477">
        <f>IF($X$75="","",$Y$72)</f>
        <v>51</v>
      </c>
      <c r="Z75" s="477">
        <f>IF($X$75="","",$Z$72)</f>
        <v>100</v>
      </c>
      <c r="AA75" s="477">
        <f>IF($AC$75="","",ROW($A$75)-ROW($A$72))</f>
        <v>3</v>
      </c>
      <c r="AB75" s="478"/>
      <c r="AC75" s="34" t="s">
        <v>225</v>
      </c>
      <c r="AD75" s="356"/>
      <c r="AE75" s="18">
        <v>1.5</v>
      </c>
      <c r="AF75" s="11" t="s">
        <v>7</v>
      </c>
      <c r="AG75" s="480">
        <f t="shared" si="4"/>
        <v>1.5</v>
      </c>
      <c r="AH75" s="481" t="str">
        <f t="shared" si="5"/>
        <v>KG</v>
      </c>
      <c r="AI75" s="477" t="str">
        <f>IF($AC$75="","",IFERROR(INDEX($AZ$74:$AZ$119,MATCH($AH$75,$AY$74:$AY$119,0)),"AUTRE"))</f>
        <v>MASSE</v>
      </c>
      <c r="AJ75" s="482">
        <f>IF($AC$75="","",IFERROR(INDEX($BA$74:$BA$119,MATCH($AH$75,$AY$74:$AY$119,0)),1))</f>
        <v>1</v>
      </c>
      <c r="AK75" s="482">
        <f t="shared" si="6"/>
        <v>1.5</v>
      </c>
      <c r="AL75" s="477" t="str">
        <f>IF($AC$75="","",IFERROR(INDEX($BB$74:$BB$119,MATCH($AH$75,$AY$74:$AY$119,0)),$AH$75))</f>
        <v>kg</v>
      </c>
      <c r="AM75" s="483" t="str">
        <f t="shared" si="7"/>
        <v>OK</v>
      </c>
      <c r="AN75" s="484">
        <f t="shared" si="15"/>
        <v>1.5</v>
      </c>
      <c r="AO75" s="473" t="str">
        <f t="shared" si="8"/>
        <v/>
      </c>
      <c r="AP75" s="473" t="str">
        <f t="shared" si="9"/>
        <v/>
      </c>
      <c r="AQ75" s="473" t="str">
        <f t="shared" si="10"/>
        <v/>
      </c>
      <c r="AR75" s="473" t="str">
        <f t="shared" si="11"/>
        <v/>
      </c>
      <c r="AS75" s="473" t="str">
        <f t="shared" si="12"/>
        <v/>
      </c>
      <c r="AT75" s="473" t="str">
        <f t="shared" si="13"/>
        <v/>
      </c>
      <c r="AU75" s="473" t="str">
        <f t="shared" si="14"/>
        <v/>
      </c>
      <c r="AY75" s="27" t="s">
        <v>8</v>
      </c>
      <c r="AZ75" s="488" t="s">
        <v>35</v>
      </c>
      <c r="BA75" s="489">
        <v>1E-3</v>
      </c>
      <c r="BB75" s="419" t="s">
        <v>36</v>
      </c>
      <c r="BD75" s="279">
        <v>1</v>
      </c>
      <c r="BG75" s="271"/>
      <c r="BH75" s="271"/>
      <c r="BI75" s="271"/>
      <c r="BJ75" s="271"/>
      <c r="BK75" s="271"/>
      <c r="BL75" s="271"/>
    </row>
    <row r="76" spans="1:111" ht="21" customHeight="1" x14ac:dyDescent="0.25">
      <c r="R76" s="34" t="s">
        <v>6117</v>
      </c>
      <c r="S76" s="451"/>
      <c r="T76" s="28" t="s">
        <v>15</v>
      </c>
      <c r="V76" s="475">
        <v>1</v>
      </c>
      <c r="W76" s="475" t="str">
        <f>IF($AC$76="","",$W$72)</f>
        <v>N° 34</v>
      </c>
      <c r="X76" s="476" t="str">
        <f>IF($AC$76="","",$X$72)</f>
        <v>TOASTS A LA TAPENADE</v>
      </c>
      <c r="Y76" s="477">
        <f>IF($X$76="","",$Y$72)</f>
        <v>51</v>
      </c>
      <c r="Z76" s="477">
        <f>IF($X$76="","",$Z$72)</f>
        <v>100</v>
      </c>
      <c r="AA76" s="477">
        <f>IF($AC$76="","",ROW($A$76)-ROW($A$72))</f>
        <v>4</v>
      </c>
      <c r="AB76" s="478"/>
      <c r="AC76" s="34" t="s">
        <v>363</v>
      </c>
      <c r="AD76" s="356"/>
      <c r="AE76" s="18">
        <v>200</v>
      </c>
      <c r="AF76" s="16" t="s">
        <v>8</v>
      </c>
      <c r="AG76" s="480">
        <f t="shared" si="4"/>
        <v>200</v>
      </c>
      <c r="AH76" s="481" t="str">
        <f t="shared" si="5"/>
        <v>G</v>
      </c>
      <c r="AI76" s="477" t="str">
        <f>IF($AC$76="","",IFERROR(INDEX($AZ$74:$AZ$119,MATCH($AH$76,$AY$74:$AY$119,0)),"AUTRE"))</f>
        <v>MASSE</v>
      </c>
      <c r="AJ76" s="482">
        <f>IF($AC$76="","",IFERROR(INDEX($BA$74:$BA$119,MATCH($AH$76,$AY$74:$AY$119,0)),1))</f>
        <v>1E-3</v>
      </c>
      <c r="AK76" s="482">
        <f t="shared" si="6"/>
        <v>0.2</v>
      </c>
      <c r="AL76" s="477" t="str">
        <f>IF($AC$76="","",IFERROR(INDEX($BB$74:$BB$119,MATCH($AH$76,$AY$74:$AY$119,0)),$AH$76))</f>
        <v>kg</v>
      </c>
      <c r="AM76" s="483" t="str">
        <f t="shared" si="7"/>
        <v>OK</v>
      </c>
      <c r="AN76" s="484">
        <f t="shared" si="15"/>
        <v>200</v>
      </c>
      <c r="AO76" s="473" t="str">
        <f t="shared" si="8"/>
        <v/>
      </c>
      <c r="AP76" s="473" t="str">
        <f t="shared" si="9"/>
        <v/>
      </c>
      <c r="AQ76" s="473" t="str">
        <f t="shared" si="10"/>
        <v/>
      </c>
      <c r="AR76" s="473" t="str">
        <f t="shared" si="11"/>
        <v/>
      </c>
      <c r="AS76" s="473" t="str">
        <f t="shared" si="12"/>
        <v/>
      </c>
      <c r="AT76" s="473" t="str">
        <f t="shared" si="13"/>
        <v/>
      </c>
      <c r="AU76" s="473" t="str">
        <f t="shared" si="14"/>
        <v/>
      </c>
      <c r="AY76" s="28" t="s">
        <v>13</v>
      </c>
      <c r="AZ76" s="488" t="s">
        <v>35</v>
      </c>
      <c r="BA76" s="489">
        <v>0.25</v>
      </c>
      <c r="BB76" s="419" t="s">
        <v>36</v>
      </c>
      <c r="BD76" s="279">
        <v>1</v>
      </c>
      <c r="BG76" s="271"/>
      <c r="BH76" s="271"/>
      <c r="BI76" s="271"/>
      <c r="BJ76" s="271"/>
      <c r="BK76" s="271"/>
      <c r="BL76" s="271"/>
    </row>
    <row r="77" spans="1:111" ht="21" customHeight="1" x14ac:dyDescent="0.25">
      <c r="R77" s="34" t="s">
        <v>469</v>
      </c>
      <c r="S77" s="451"/>
      <c r="T77" s="28" t="s">
        <v>21</v>
      </c>
      <c r="V77" s="475">
        <v>1</v>
      </c>
      <c r="W77" s="475" t="str">
        <f>IF($AC$77="","",$W$72)</f>
        <v>N° 34</v>
      </c>
      <c r="X77" s="476" t="str">
        <f>IF($AC$77="","",$X$72)</f>
        <v>TOASTS A LA TAPENADE</v>
      </c>
      <c r="Y77" s="477">
        <f>IF($X$77="","",$Y$72)</f>
        <v>51</v>
      </c>
      <c r="Z77" s="477">
        <f>IF($X$77="","",$Z$72)</f>
        <v>100</v>
      </c>
      <c r="AA77" s="477">
        <f>IF($AC$77="","",ROW($A$77)-ROW($A$72))</f>
        <v>5</v>
      </c>
      <c r="AB77" s="478"/>
      <c r="AC77" s="34" t="s">
        <v>44</v>
      </c>
      <c r="AD77" s="356"/>
      <c r="AE77" s="23" t="s">
        <v>33</v>
      </c>
      <c r="AF77" s="19"/>
      <c r="AG77" s="480" t="str">
        <f t="shared" si="4"/>
        <v>QT. SUFFISANTE</v>
      </c>
      <c r="AH77" s="481" t="str">
        <f t="shared" si="5"/>
        <v/>
      </c>
      <c r="AI77" s="477" t="str">
        <f>IF($AC$77="","",IFERROR(INDEX($AZ$74:$AZ$119,MATCH($AH$77,$AY$74:$AY$119,0)),"AUTRE"))</f>
        <v>AUTRE</v>
      </c>
      <c r="AJ77" s="482">
        <f>IF($AC$77="","",IFERROR(INDEX($BA$74:$BA$119,MATCH($AH$77,$AY$74:$AY$119,0)),1))</f>
        <v>1</v>
      </c>
      <c r="AK77" s="482" t="e">
        <f t="shared" si="6"/>
        <v>#VALUE!</v>
      </c>
      <c r="AL77" s="477" t="str">
        <f>IF($AC$77="","",IFERROR(INDEX($BB$74:$BB$119,MATCH($AH$77,$AY$74:$AY$119,0)),$AH$77))</f>
        <v/>
      </c>
      <c r="AM77" s="483" t="str">
        <f t="shared" si="7"/>
        <v>QUANTITÉ À CONTRÔLER</v>
      </c>
      <c r="AN77" s="484" t="str">
        <f t="shared" si="15"/>
        <v>QT. SUFFISANTE</v>
      </c>
      <c r="AO77" s="473" t="str">
        <f t="shared" si="8"/>
        <v/>
      </c>
      <c r="AP77" s="473" t="str">
        <f t="shared" si="9"/>
        <v/>
      </c>
      <c r="AQ77" s="473" t="str">
        <f t="shared" si="10"/>
        <v/>
      </c>
      <c r="AR77" s="473" t="str">
        <f t="shared" si="11"/>
        <v/>
      </c>
      <c r="AS77" s="473" t="str">
        <f t="shared" si="12"/>
        <v/>
      </c>
      <c r="AT77" s="473" t="str">
        <f t="shared" si="13"/>
        <v/>
      </c>
      <c r="AU77" s="473" t="str">
        <f t="shared" si="14"/>
        <v/>
      </c>
      <c r="AY77" s="28" t="s">
        <v>14</v>
      </c>
      <c r="AZ77" s="488" t="s">
        <v>35</v>
      </c>
      <c r="BA77" s="489">
        <v>0.33333333300000001</v>
      </c>
      <c r="BB77" s="419" t="s">
        <v>36</v>
      </c>
      <c r="BD77" s="279">
        <v>1</v>
      </c>
      <c r="BG77" s="271"/>
      <c r="BH77" s="271"/>
      <c r="BI77" s="271"/>
      <c r="BJ77" s="271"/>
      <c r="BK77" s="271"/>
      <c r="BL77" s="271"/>
    </row>
    <row r="78" spans="1:111" ht="21" customHeight="1" x14ac:dyDescent="0.25">
      <c r="R78" s="34" t="s">
        <v>6118</v>
      </c>
      <c r="S78" s="451"/>
      <c r="T78" s="28" t="s">
        <v>22</v>
      </c>
      <c r="V78" s="475">
        <v>1</v>
      </c>
      <c r="W78" s="475" t="str">
        <f>IF($AC$78="","",$W$72)</f>
        <v>N° 34</v>
      </c>
      <c r="X78" s="476" t="str">
        <f>IF($AC$78="","",$X$72)</f>
        <v>TOASTS A LA TAPENADE</v>
      </c>
      <c r="Y78" s="477">
        <f>IF($X$78="","",$Y$72)</f>
        <v>51</v>
      </c>
      <c r="Z78" s="477">
        <f>IF($X$78="","",$Z$72)</f>
        <v>100</v>
      </c>
      <c r="AA78" s="477">
        <f>IF($AC$78="","",ROW($A$78)-ROW($A$72))</f>
        <v>6</v>
      </c>
      <c r="AB78" s="478"/>
      <c r="AC78" s="34" t="s">
        <v>42</v>
      </c>
      <c r="AD78" s="356"/>
      <c r="AE78" s="18">
        <v>75</v>
      </c>
      <c r="AF78" s="21" t="s">
        <v>11</v>
      </c>
      <c r="AG78" s="480">
        <f t="shared" si="4"/>
        <v>75</v>
      </c>
      <c r="AH78" s="481" t="str">
        <f t="shared" si="5"/>
        <v>CL</v>
      </c>
      <c r="AI78" s="477" t="str">
        <f>IF($AC$78="","",IFERROR(INDEX($AZ$74:$AZ$119,MATCH($AH$78,$AY$74:$AY$119,0)),"AUTRE"))</f>
        <v>VOLUME</v>
      </c>
      <c r="AJ78" s="482">
        <f>IF($AC$78="","",IFERROR(INDEX($BA$74:$BA$119,MATCH($AH$78,$AY$74:$AY$119,0)),1))</f>
        <v>0.01</v>
      </c>
      <c r="AK78" s="482">
        <f t="shared" si="6"/>
        <v>0.75</v>
      </c>
      <c r="AL78" s="477" t="str">
        <f>IF($AC$78="","",IFERROR(INDEX($BB$74:$BB$119,MATCH($AH$78,$AY$74:$AY$119,0)),$AH$78))</f>
        <v>L</v>
      </c>
      <c r="AM78" s="483" t="str">
        <f t="shared" si="7"/>
        <v>OK</v>
      </c>
      <c r="AN78" s="484">
        <f t="shared" si="15"/>
        <v>75</v>
      </c>
      <c r="AO78" s="473" t="str">
        <f t="shared" si="8"/>
        <v/>
      </c>
      <c r="AP78" s="473" t="str">
        <f t="shared" si="9"/>
        <v/>
      </c>
      <c r="AQ78" s="473" t="str">
        <f t="shared" si="10"/>
        <v/>
      </c>
      <c r="AR78" s="473" t="str">
        <f t="shared" si="11"/>
        <v/>
      </c>
      <c r="AS78" s="473" t="str">
        <f t="shared" si="12"/>
        <v/>
      </c>
      <c r="AT78" s="473" t="str">
        <f t="shared" si="13"/>
        <v/>
      </c>
      <c r="AU78" s="473" t="str">
        <f t="shared" si="14"/>
        <v/>
      </c>
      <c r="AY78" s="28" t="s">
        <v>15</v>
      </c>
      <c r="AZ78" s="488" t="s">
        <v>35</v>
      </c>
      <c r="BA78" s="489">
        <v>0.5</v>
      </c>
      <c r="BB78" s="419" t="s">
        <v>36</v>
      </c>
      <c r="BD78" s="279">
        <v>1</v>
      </c>
      <c r="BG78" s="271"/>
      <c r="BH78" s="271"/>
      <c r="BI78" s="271"/>
      <c r="BJ78" s="271"/>
      <c r="BK78" s="271"/>
      <c r="BL78" s="271"/>
    </row>
    <row r="79" spans="1:111" ht="21" customHeight="1" x14ac:dyDescent="0.25">
      <c r="R79" s="34" t="s">
        <v>492</v>
      </c>
      <c r="S79" s="451"/>
      <c r="T79" s="28" t="s">
        <v>23</v>
      </c>
      <c r="V79" s="475">
        <v>1</v>
      </c>
      <c r="W79" s="475" t="str">
        <f>IF($AC$79="","",$W$72)</f>
        <v>N° 34</v>
      </c>
      <c r="X79" s="476" t="str">
        <f>IF($AC$79="","",$X$72)</f>
        <v>TOASTS A LA TAPENADE</v>
      </c>
      <c r="Y79" s="477">
        <f>IF($X$79="","",$Y$72)</f>
        <v>51</v>
      </c>
      <c r="Z79" s="477">
        <f>IF($X$79="","",$Z$72)</f>
        <v>100</v>
      </c>
      <c r="AA79" s="477">
        <f>IF($AC$79="","",ROW($A$79)-ROW($A$72))</f>
        <v>7</v>
      </c>
      <c r="AB79" s="478"/>
      <c r="AC79" s="34" t="s">
        <v>226</v>
      </c>
      <c r="AD79" s="356"/>
      <c r="AE79" s="18"/>
      <c r="AF79" s="19"/>
      <c r="AG79" s="480" t="str">
        <f t="shared" si="4"/>
        <v/>
      </c>
      <c r="AH79" s="481" t="str">
        <f t="shared" si="5"/>
        <v/>
      </c>
      <c r="AI79" s="477" t="str">
        <f>IF($AC$79="","",IFERROR(INDEX($AZ$74:$AZ$119,MATCH($AH$79,$AY$74:$AY$119,0)),"AUTRE"))</f>
        <v>AUTRE</v>
      </c>
      <c r="AJ79" s="482">
        <f>IF($AC$79="","",IFERROR(INDEX($BA$74:$BA$119,MATCH($AH$79,$AY$74:$AY$119,0)),1))</f>
        <v>1</v>
      </c>
      <c r="AK79" s="482" t="str">
        <f t="shared" si="6"/>
        <v/>
      </c>
      <c r="AL79" s="477" t="str">
        <f>IF($AC$79="","",IFERROR(INDEX($BB$74:$BB$119,MATCH($AH$79,$AY$74:$AY$119,0)),$AH$79))</f>
        <v/>
      </c>
      <c r="AM79" s="483" t="str">
        <f t="shared" si="7"/>
        <v>TEXTE</v>
      </c>
      <c r="AN79" s="484" t="str">
        <f t="shared" si="15"/>
        <v/>
      </c>
      <c r="AO79" s="473" t="str">
        <f t="shared" si="8"/>
        <v/>
      </c>
      <c r="AP79" s="473" t="str">
        <f t="shared" si="9"/>
        <v/>
      </c>
      <c r="AQ79" s="473" t="str">
        <f t="shared" si="10"/>
        <v/>
      </c>
      <c r="AR79" s="473" t="str">
        <f t="shared" si="11"/>
        <v/>
      </c>
      <c r="AS79" s="473" t="str">
        <f t="shared" si="12"/>
        <v/>
      </c>
      <c r="AT79" s="473" t="str">
        <f t="shared" si="13"/>
        <v/>
      </c>
      <c r="AU79" s="473" t="str">
        <f t="shared" si="14"/>
        <v/>
      </c>
      <c r="AY79" s="29" t="s">
        <v>9</v>
      </c>
      <c r="AZ79" s="488" t="s">
        <v>37</v>
      </c>
      <c r="BA79" s="489">
        <v>1</v>
      </c>
      <c r="BB79" s="419" t="s">
        <v>9</v>
      </c>
      <c r="BD79" s="279">
        <v>1</v>
      </c>
      <c r="BG79" s="271"/>
      <c r="BH79" s="271"/>
      <c r="BI79" s="271"/>
      <c r="BJ79" s="271"/>
      <c r="BK79" s="271"/>
      <c r="BL79" s="271"/>
    </row>
    <row r="80" spans="1:111" ht="21" customHeight="1" x14ac:dyDescent="0.25">
      <c r="R80" s="34" t="s">
        <v>458</v>
      </c>
      <c r="S80" s="451"/>
      <c r="T80" s="28" t="s">
        <v>24</v>
      </c>
      <c r="V80" s="475">
        <v>1</v>
      </c>
      <c r="W80" s="475" t="str">
        <f>IF($AC$80="","",$W$72)</f>
        <v/>
      </c>
      <c r="X80" s="476" t="str">
        <f>IF($AC$80="","",$X$72)</f>
        <v/>
      </c>
      <c r="Y80" s="477" t="str">
        <f>IF($X$80="","",$Y$72)</f>
        <v/>
      </c>
      <c r="Z80" s="477" t="str">
        <f>IF($X$80="","",$Z$72)</f>
        <v/>
      </c>
      <c r="AA80" s="477" t="str">
        <f>IF($AC$80="","",ROW($A$80)-ROW($A$72))</f>
        <v/>
      </c>
      <c r="AB80" s="478"/>
      <c r="AC80" s="34"/>
      <c r="AD80" s="356"/>
      <c r="AE80" s="18"/>
      <c r="AF80" s="19"/>
      <c r="AG80" s="480" t="str">
        <f t="shared" si="4"/>
        <v/>
      </c>
      <c r="AH80" s="481" t="str">
        <f t="shared" si="5"/>
        <v/>
      </c>
      <c r="AI80" s="477" t="str">
        <f>IF($AC$80="","",IFERROR(INDEX($AZ$74:$AZ$119,MATCH($AH$80,$AY$74:$AY$119,0)),"AUTRE"))</f>
        <v/>
      </c>
      <c r="AJ80" s="482" t="str">
        <f>IF($AC$80="","",IFERROR(INDEX($BA$74:$BA$119,MATCH($AH$80,$AY$74:$AY$119,0)),1))</f>
        <v/>
      </c>
      <c r="AK80" s="482" t="str">
        <f t="shared" si="6"/>
        <v/>
      </c>
      <c r="AL80" s="477" t="str">
        <f>IF($AC$80="","",IFERROR(INDEX($BB$74:$BB$119,MATCH($AH$80,$AY$74:$AY$119,0)),$AH$80))</f>
        <v/>
      </c>
      <c r="AM80" s="483" t="str">
        <f t="shared" si="7"/>
        <v/>
      </c>
      <c r="AN80" s="484" t="str">
        <f t="shared" si="15"/>
        <v/>
      </c>
      <c r="AO80" s="473" t="str">
        <f t="shared" si="8"/>
        <v/>
      </c>
      <c r="AP80" s="473" t="str">
        <f t="shared" si="9"/>
        <v/>
      </c>
      <c r="AQ80" s="473" t="str">
        <f t="shared" si="10"/>
        <v/>
      </c>
      <c r="AR80" s="473" t="str">
        <f t="shared" si="11"/>
        <v/>
      </c>
      <c r="AS80" s="473" t="str">
        <f t="shared" si="12"/>
        <v/>
      </c>
      <c r="AT80" s="473" t="str">
        <f t="shared" si="13"/>
        <v/>
      </c>
      <c r="AU80" s="473" t="str">
        <f t="shared" si="14"/>
        <v/>
      </c>
      <c r="AY80" s="30" t="s">
        <v>10</v>
      </c>
      <c r="AZ80" s="488" t="s">
        <v>37</v>
      </c>
      <c r="BA80" s="489">
        <v>0.1</v>
      </c>
      <c r="BB80" s="419" t="s">
        <v>9</v>
      </c>
      <c r="BD80" s="279">
        <v>1</v>
      </c>
      <c r="BG80" s="271"/>
      <c r="BH80" s="271"/>
      <c r="BI80" s="271"/>
      <c r="BJ80" s="271"/>
      <c r="BK80" s="271"/>
      <c r="BL80" s="271"/>
    </row>
    <row r="81" spans="18:64" ht="21" customHeight="1" x14ac:dyDescent="0.25">
      <c r="R81" s="490"/>
      <c r="S81" s="451"/>
      <c r="T81" s="29" t="s">
        <v>9</v>
      </c>
      <c r="V81" s="475">
        <v>1</v>
      </c>
      <c r="W81" s="475" t="str">
        <f>IF($AC$81="","",$W$72)</f>
        <v/>
      </c>
      <c r="X81" s="476" t="str">
        <f>IF($AC$81="","",$X$72)</f>
        <v/>
      </c>
      <c r="Y81" s="477" t="str">
        <f>IF($X$81="","",$Y$72)</f>
        <v/>
      </c>
      <c r="Z81" s="477" t="str">
        <f>IF($X$81="","",$Z$72)</f>
        <v/>
      </c>
      <c r="AA81" s="477" t="str">
        <f>IF($AC$81="","",ROW($A$81)-ROW($A$72))</f>
        <v/>
      </c>
      <c r="AB81" s="478"/>
      <c r="AC81" s="34"/>
      <c r="AD81" s="356"/>
      <c r="AE81" s="18"/>
      <c r="AF81" s="19"/>
      <c r="AG81" s="480" t="str">
        <f t="shared" si="4"/>
        <v/>
      </c>
      <c r="AH81" s="481" t="str">
        <f t="shared" si="5"/>
        <v/>
      </c>
      <c r="AI81" s="477" t="str">
        <f>IF($AC$81="","",IFERROR(INDEX($AZ$74:$AZ$119,MATCH($AH$81,$AY$74:$AY$119,0)),"AUTRE"))</f>
        <v/>
      </c>
      <c r="AJ81" s="482" t="str">
        <f>IF($AC$81="","",IFERROR(INDEX($BA$74:$BA$119,MATCH($AH$81,$AY$74:$AY$119,0)),1))</f>
        <v/>
      </c>
      <c r="AK81" s="482" t="str">
        <f t="shared" si="6"/>
        <v/>
      </c>
      <c r="AL81" s="477" t="str">
        <f>IF($AC$81="","",IFERROR(INDEX($BB$74:$BB$119,MATCH($AH$81,$AY$74:$AY$119,0)),$AH$81))</f>
        <v/>
      </c>
      <c r="AM81" s="483" t="str">
        <f t="shared" si="7"/>
        <v/>
      </c>
      <c r="AN81" s="484" t="str">
        <f t="shared" si="15"/>
        <v/>
      </c>
      <c r="AO81" s="473" t="str">
        <f t="shared" si="8"/>
        <v/>
      </c>
      <c r="AP81" s="473" t="str">
        <f t="shared" si="9"/>
        <v/>
      </c>
      <c r="AQ81" s="473" t="str">
        <f t="shared" si="10"/>
        <v/>
      </c>
      <c r="AR81" s="473" t="str">
        <f t="shared" si="11"/>
        <v/>
      </c>
      <c r="AS81" s="473" t="str">
        <f t="shared" si="12"/>
        <v/>
      </c>
      <c r="AT81" s="473" t="str">
        <f t="shared" si="13"/>
        <v/>
      </c>
      <c r="AU81" s="473" t="str">
        <f t="shared" si="14"/>
        <v/>
      </c>
      <c r="AY81" s="30" t="s">
        <v>11</v>
      </c>
      <c r="AZ81" s="488" t="s">
        <v>37</v>
      </c>
      <c r="BA81" s="489">
        <v>0.01</v>
      </c>
      <c r="BB81" s="419" t="s">
        <v>9</v>
      </c>
      <c r="BD81" s="279">
        <v>1</v>
      </c>
      <c r="BG81" s="271"/>
      <c r="BH81" s="271"/>
      <c r="BI81" s="271"/>
      <c r="BJ81" s="271"/>
      <c r="BK81" s="271"/>
      <c r="BL81" s="271"/>
    </row>
    <row r="82" spans="18:64" ht="21" customHeight="1" x14ac:dyDescent="0.25">
      <c r="R82" s="25" t="s">
        <v>6119</v>
      </c>
      <c r="S82" s="451"/>
      <c r="T82" s="30" t="s">
        <v>10</v>
      </c>
      <c r="V82" s="475">
        <v>1</v>
      </c>
      <c r="W82" s="475" t="str">
        <f>IF($AC$82="","",$W$72)</f>
        <v/>
      </c>
      <c r="X82" s="476" t="str">
        <f>IF($AC$82="","",$X$72)</f>
        <v/>
      </c>
      <c r="Y82" s="477" t="str">
        <f>IF($X$82="","",$Y$72)</f>
        <v/>
      </c>
      <c r="Z82" s="477" t="str">
        <f>IF($X$82="","",$Z$72)</f>
        <v/>
      </c>
      <c r="AA82" s="477" t="str">
        <f>IF($AC$82="","",ROW($A$82)-ROW($A$72))</f>
        <v/>
      </c>
      <c r="AB82" s="478"/>
      <c r="AC82" s="34"/>
      <c r="AD82" s="356"/>
      <c r="AE82" s="18"/>
      <c r="AF82" s="19"/>
      <c r="AG82" s="480" t="str">
        <f t="shared" si="4"/>
        <v/>
      </c>
      <c r="AH82" s="481" t="str">
        <f t="shared" si="5"/>
        <v/>
      </c>
      <c r="AI82" s="477" t="str">
        <f>IF($AC$82="","",IFERROR(INDEX($AZ$74:$AZ$119,MATCH($AH$82,$AY$74:$AY$119,0)),"AUTRE"))</f>
        <v/>
      </c>
      <c r="AJ82" s="482" t="str">
        <f>IF($AC$82="","",IFERROR(INDEX($BA$74:$BA$119,MATCH($AH$82,$AY$74:$AY$119,0)),1))</f>
        <v/>
      </c>
      <c r="AK82" s="482" t="str">
        <f t="shared" si="6"/>
        <v/>
      </c>
      <c r="AL82" s="477" t="str">
        <f>IF($AC$82="","",IFERROR(INDEX($BB$74:$BB$119,MATCH($AH$82,$AY$74:$AY$119,0)),$AH$82))</f>
        <v/>
      </c>
      <c r="AM82" s="483" t="str">
        <f t="shared" si="7"/>
        <v/>
      </c>
      <c r="AN82" s="484" t="str">
        <f t="shared" si="15"/>
        <v/>
      </c>
      <c r="AO82" s="473" t="str">
        <f t="shared" si="8"/>
        <v/>
      </c>
      <c r="AP82" s="473" t="str">
        <f t="shared" si="9"/>
        <v/>
      </c>
      <c r="AQ82" s="473" t="str">
        <f t="shared" si="10"/>
        <v/>
      </c>
      <c r="AR82" s="473" t="str">
        <f t="shared" si="11"/>
        <v/>
      </c>
      <c r="AS82" s="473" t="str">
        <f t="shared" si="12"/>
        <v/>
      </c>
      <c r="AT82" s="473" t="str">
        <f t="shared" si="13"/>
        <v/>
      </c>
      <c r="AU82" s="473" t="str">
        <f t="shared" si="14"/>
        <v/>
      </c>
      <c r="AY82" s="30" t="s">
        <v>12</v>
      </c>
      <c r="AZ82" s="488" t="s">
        <v>37</v>
      </c>
      <c r="BA82" s="489">
        <v>1E-3</v>
      </c>
      <c r="BB82" s="419" t="s">
        <v>9</v>
      </c>
      <c r="BD82" s="279">
        <v>1</v>
      </c>
      <c r="BG82" s="271"/>
      <c r="BH82" s="271"/>
      <c r="BI82" s="271"/>
      <c r="BJ82" s="271"/>
      <c r="BK82" s="271"/>
      <c r="BL82" s="271"/>
    </row>
    <row r="83" spans="18:64" ht="21" customHeight="1" x14ac:dyDescent="0.25">
      <c r="R83" s="34" t="s">
        <v>6120</v>
      </c>
      <c r="S83" s="451"/>
      <c r="T83" s="30" t="s">
        <v>11</v>
      </c>
      <c r="V83" s="475">
        <v>1</v>
      </c>
      <c r="W83" s="475" t="str">
        <f>IF($AC$83="","",$W$72)</f>
        <v/>
      </c>
      <c r="X83" s="476" t="str">
        <f>IF($AC$83="","",$X$72)</f>
        <v/>
      </c>
      <c r="Y83" s="477" t="str">
        <f>IF($X$83="","",$Y$72)</f>
        <v/>
      </c>
      <c r="Z83" s="477" t="str">
        <f>IF($X$83="","",$Z$72)</f>
        <v/>
      </c>
      <c r="AA83" s="477" t="str">
        <f>IF($AC$83="","",ROW($A$83)-ROW($A$72))</f>
        <v/>
      </c>
      <c r="AB83" s="478"/>
      <c r="AC83" s="34"/>
      <c r="AD83" s="356"/>
      <c r="AE83" s="18"/>
      <c r="AF83" s="19"/>
      <c r="AG83" s="480" t="str">
        <f t="shared" si="4"/>
        <v/>
      </c>
      <c r="AH83" s="481" t="str">
        <f t="shared" si="5"/>
        <v/>
      </c>
      <c r="AI83" s="477" t="str">
        <f>IF($AC$83="","",IFERROR(INDEX($AZ$74:$AZ$119,MATCH($AH$83,$AY$74:$AY$119,0)),"AUTRE"))</f>
        <v/>
      </c>
      <c r="AJ83" s="482" t="str">
        <f>IF($AC$83="","",IFERROR(INDEX($BA$74:$BA$119,MATCH($AH$83,$AY$74:$AY$119,0)),1))</f>
        <v/>
      </c>
      <c r="AK83" s="482" t="str">
        <f t="shared" si="6"/>
        <v/>
      </c>
      <c r="AL83" s="477" t="str">
        <f>IF($AC$83="","",IFERROR(INDEX($BB$74:$BB$119,MATCH($AH$83,$AY$74:$AY$119,0)),$AH$83))</f>
        <v/>
      </c>
      <c r="AM83" s="483" t="str">
        <f t="shared" si="7"/>
        <v/>
      </c>
      <c r="AN83" s="484" t="str">
        <f t="shared" si="15"/>
        <v/>
      </c>
      <c r="AO83" s="473" t="str">
        <f t="shared" si="8"/>
        <v/>
      </c>
      <c r="AP83" s="473" t="str">
        <f t="shared" si="9"/>
        <v/>
      </c>
      <c r="AQ83" s="473" t="str">
        <f t="shared" si="10"/>
        <v/>
      </c>
      <c r="AR83" s="473" t="str">
        <f t="shared" si="11"/>
        <v/>
      </c>
      <c r="AS83" s="473" t="str">
        <f t="shared" si="12"/>
        <v/>
      </c>
      <c r="AT83" s="473" t="str">
        <f t="shared" si="13"/>
        <v/>
      </c>
      <c r="AU83" s="473" t="str">
        <f t="shared" si="14"/>
        <v/>
      </c>
      <c r="AY83" s="31" t="s">
        <v>16</v>
      </c>
      <c r="AZ83" s="488" t="s">
        <v>37</v>
      </c>
      <c r="BA83" s="489">
        <v>0.5</v>
      </c>
      <c r="BB83" s="419" t="s">
        <v>9</v>
      </c>
      <c r="BD83" s="279">
        <v>1</v>
      </c>
      <c r="BG83" s="271"/>
      <c r="BH83" s="271"/>
      <c r="BI83" s="271"/>
      <c r="BJ83" s="271"/>
      <c r="BK83" s="271"/>
      <c r="BL83" s="271"/>
    </row>
    <row r="84" spans="18:64" ht="21" customHeight="1" x14ac:dyDescent="0.25">
      <c r="R84" s="34" t="s">
        <v>6121</v>
      </c>
      <c r="S84" s="451"/>
      <c r="T84" s="30" t="s">
        <v>12</v>
      </c>
      <c r="V84" s="475">
        <v>1</v>
      </c>
      <c r="W84" s="475" t="str">
        <f>IF($AC$84="","",$W$72)</f>
        <v/>
      </c>
      <c r="X84" s="476" t="str">
        <f>IF($AC$84="","",$X$72)</f>
        <v/>
      </c>
      <c r="Y84" s="477" t="str">
        <f>IF($X$84="","",$Y$72)</f>
        <v/>
      </c>
      <c r="Z84" s="477" t="str">
        <f>IF($X$84="","",$Z$72)</f>
        <v/>
      </c>
      <c r="AA84" s="477" t="str">
        <f>IF($AC$84="","",ROW($A$84)-ROW($A$72))</f>
        <v/>
      </c>
      <c r="AB84" s="478"/>
      <c r="AC84" s="34"/>
      <c r="AD84" s="356"/>
      <c r="AE84" s="18"/>
      <c r="AF84" s="19"/>
      <c r="AG84" s="480" t="str">
        <f t="shared" si="4"/>
        <v/>
      </c>
      <c r="AH84" s="481" t="str">
        <f t="shared" si="5"/>
        <v/>
      </c>
      <c r="AI84" s="477" t="str">
        <f>IF($AC$84="","",IFERROR(INDEX($AZ$74:$AZ$119,MATCH($AH$84,$AY$74:$AY$119,0)),"AUTRE"))</f>
        <v/>
      </c>
      <c r="AJ84" s="482" t="str">
        <f>IF($AC$84="","",IFERROR(INDEX($BA$74:$BA$119,MATCH($AH$84,$AY$74:$AY$119,0)),1))</f>
        <v/>
      </c>
      <c r="AK84" s="482" t="str">
        <f t="shared" si="6"/>
        <v/>
      </c>
      <c r="AL84" s="477" t="str">
        <f>IF($AC$84="","",IFERROR(INDEX($BB$74:$BB$119,MATCH($AH$84,$AY$74:$AY$119,0)),$AH$84))</f>
        <v/>
      </c>
      <c r="AM84" s="483" t="str">
        <f t="shared" si="7"/>
        <v/>
      </c>
      <c r="AN84" s="484" t="str">
        <f t="shared" si="15"/>
        <v/>
      </c>
      <c r="AO84" s="473" t="str">
        <f t="shared" si="8"/>
        <v/>
      </c>
      <c r="AP84" s="473" t="str">
        <f t="shared" si="9"/>
        <v/>
      </c>
      <c r="AQ84" s="473" t="str">
        <f t="shared" si="10"/>
        <v/>
      </c>
      <c r="AR84" s="473" t="str">
        <f t="shared" si="11"/>
        <v/>
      </c>
      <c r="AS84" s="473" t="str">
        <f t="shared" si="12"/>
        <v/>
      </c>
      <c r="AT84" s="473" t="str">
        <f t="shared" si="13"/>
        <v/>
      </c>
      <c r="AU84" s="473" t="str">
        <f t="shared" si="14"/>
        <v/>
      </c>
      <c r="AY84" s="31" t="s">
        <v>17</v>
      </c>
      <c r="AZ84" s="488" t="s">
        <v>37</v>
      </c>
      <c r="BA84" s="489">
        <v>0.25</v>
      </c>
      <c r="BB84" s="419" t="s">
        <v>9</v>
      </c>
      <c r="BD84" s="279">
        <v>1</v>
      </c>
      <c r="BG84" s="271"/>
      <c r="BH84" s="271"/>
      <c r="BI84" s="271"/>
      <c r="BJ84" s="271"/>
      <c r="BK84" s="271"/>
      <c r="BL84" s="271"/>
    </row>
    <row r="85" spans="18:64" ht="21" customHeight="1" x14ac:dyDescent="0.25">
      <c r="R85" s="34" t="s">
        <v>6122</v>
      </c>
      <c r="S85" s="451"/>
      <c r="T85" s="31" t="s">
        <v>16</v>
      </c>
      <c r="V85" s="475">
        <v>1</v>
      </c>
      <c r="W85" s="475" t="str">
        <f>IF($AC$85="","",$W$72)</f>
        <v/>
      </c>
      <c r="X85" s="476" t="str">
        <f>IF($AC$85="","",$X$72)</f>
        <v/>
      </c>
      <c r="Y85" s="477" t="str">
        <f>IF($X$85="","",$Y$72)</f>
        <v/>
      </c>
      <c r="Z85" s="477" t="str">
        <f>IF($X$85="","",$Z$72)</f>
        <v/>
      </c>
      <c r="AA85" s="477" t="str">
        <f>IF($AC$85="","",ROW($A$85)-ROW($A$72))</f>
        <v/>
      </c>
      <c r="AB85" s="478"/>
      <c r="AC85" s="34"/>
      <c r="AD85" s="356"/>
      <c r="AE85" s="18"/>
      <c r="AF85" s="19"/>
      <c r="AG85" s="480" t="str">
        <f t="shared" si="4"/>
        <v/>
      </c>
      <c r="AH85" s="481" t="str">
        <f t="shared" si="5"/>
        <v/>
      </c>
      <c r="AI85" s="477" t="str">
        <f>IF($AC$85="","",IFERROR(INDEX($AZ$74:$AZ$119,MATCH($AH$85,$AY$74:$AY$119,0)),"AUTRE"))</f>
        <v/>
      </c>
      <c r="AJ85" s="482" t="str">
        <f>IF($AC$85="","",IFERROR(INDEX($BA$74:$BA$119,MATCH($AH$85,$AY$74:$AY$119,0)),1))</f>
        <v/>
      </c>
      <c r="AK85" s="482" t="str">
        <f t="shared" si="6"/>
        <v/>
      </c>
      <c r="AL85" s="477" t="str">
        <f>IF($AC$85="","",IFERROR(INDEX($BB$74:$BB$119,MATCH($AH$85,$AY$74:$AY$119,0)),$AH$85))</f>
        <v/>
      </c>
      <c r="AM85" s="483" t="str">
        <f t="shared" si="7"/>
        <v/>
      </c>
      <c r="AN85" s="484" t="str">
        <f t="shared" si="15"/>
        <v/>
      </c>
      <c r="AO85" s="473" t="str">
        <f t="shared" si="8"/>
        <v/>
      </c>
      <c r="AP85" s="473" t="str">
        <f t="shared" si="9"/>
        <v/>
      </c>
      <c r="AQ85" s="473" t="str">
        <f t="shared" si="10"/>
        <v/>
      </c>
      <c r="AR85" s="473" t="str">
        <f t="shared" si="11"/>
        <v/>
      </c>
      <c r="AS85" s="473" t="str">
        <f t="shared" si="12"/>
        <v/>
      </c>
      <c r="AT85" s="473" t="str">
        <f t="shared" si="13"/>
        <v/>
      </c>
      <c r="AU85" s="473" t="str">
        <f t="shared" si="14"/>
        <v/>
      </c>
      <c r="AY85" s="31" t="s">
        <v>18</v>
      </c>
      <c r="AZ85" s="488" t="s">
        <v>37</v>
      </c>
      <c r="BA85" s="489">
        <v>0.75</v>
      </c>
      <c r="BB85" s="419" t="s">
        <v>9</v>
      </c>
      <c r="BD85" s="279">
        <v>1</v>
      </c>
      <c r="BG85" s="271"/>
      <c r="BH85" s="271"/>
      <c r="BI85" s="271"/>
      <c r="BJ85" s="271"/>
      <c r="BK85" s="271"/>
      <c r="BL85" s="271"/>
    </row>
    <row r="86" spans="18:64" ht="21" customHeight="1" x14ac:dyDescent="0.25">
      <c r="R86" s="34" t="s">
        <v>6123</v>
      </c>
      <c r="S86" s="451"/>
      <c r="T86" s="31" t="s">
        <v>17</v>
      </c>
      <c r="V86" s="475">
        <v>1</v>
      </c>
      <c r="W86" s="475" t="str">
        <f>IF($AC$86="","",$W$72)</f>
        <v/>
      </c>
      <c r="X86" s="476" t="str">
        <f>IF($AC$86="","",$X$72)</f>
        <v/>
      </c>
      <c r="Y86" s="477" t="str">
        <f>IF($X$86="","",$Y$72)</f>
        <v/>
      </c>
      <c r="Z86" s="477" t="str">
        <f>IF($X$86="","",$Z$72)</f>
        <v/>
      </c>
      <c r="AA86" s="477" t="str">
        <f>IF($AC$86="","",ROW($A$86)-ROW($A$72))</f>
        <v/>
      </c>
      <c r="AB86" s="478"/>
      <c r="AC86" s="34"/>
      <c r="AD86" s="356"/>
      <c r="AE86" s="18"/>
      <c r="AF86" s="19"/>
      <c r="AG86" s="480" t="str">
        <f t="shared" si="4"/>
        <v/>
      </c>
      <c r="AH86" s="481" t="str">
        <f t="shared" si="5"/>
        <v/>
      </c>
      <c r="AI86" s="477" t="str">
        <f>IF($AC$86="","",IFERROR(INDEX($AZ$74:$AZ$119,MATCH($AH$86,$AY$74:$AY$119,0)),"AUTRE"))</f>
        <v/>
      </c>
      <c r="AJ86" s="482" t="str">
        <f>IF($AC$86="","",IFERROR(INDEX($BA$74:$BA$119,MATCH($AH$86,$AY$74:$AY$119,0)),1))</f>
        <v/>
      </c>
      <c r="AK86" s="482" t="str">
        <f t="shared" si="6"/>
        <v/>
      </c>
      <c r="AL86" s="477" t="str">
        <f>IF($AC$86="","",IFERROR(INDEX($BB$74:$BB$119,MATCH($AH$86,$AY$74:$AY$119,0)),$AH$86))</f>
        <v/>
      </c>
      <c r="AM86" s="483" t="str">
        <f t="shared" si="7"/>
        <v/>
      </c>
      <c r="AN86" s="484" t="str">
        <f t="shared" si="15"/>
        <v/>
      </c>
      <c r="AO86" s="473" t="str">
        <f t="shared" si="8"/>
        <v/>
      </c>
      <c r="AP86" s="473" t="str">
        <f t="shared" si="9"/>
        <v/>
      </c>
      <c r="AQ86" s="473" t="str">
        <f t="shared" si="10"/>
        <v/>
      </c>
      <c r="AR86" s="473" t="str">
        <f t="shared" si="11"/>
        <v/>
      </c>
      <c r="AS86" s="473" t="str">
        <f t="shared" si="12"/>
        <v/>
      </c>
      <c r="AT86" s="473" t="str">
        <f t="shared" si="13"/>
        <v/>
      </c>
      <c r="AU86" s="473" t="str">
        <f t="shared" si="14"/>
        <v/>
      </c>
      <c r="AY86" s="31" t="s">
        <v>19</v>
      </c>
      <c r="AZ86" s="488" t="s">
        <v>37</v>
      </c>
      <c r="BA86" s="489">
        <v>0.33333333300000001</v>
      </c>
      <c r="BB86" s="419" t="s">
        <v>9</v>
      </c>
      <c r="BD86" s="279">
        <v>1</v>
      </c>
      <c r="BG86" s="271"/>
      <c r="BH86" s="271"/>
      <c r="BI86" s="271"/>
      <c r="BJ86" s="271"/>
      <c r="BK86" s="271"/>
      <c r="BL86" s="271"/>
    </row>
    <row r="87" spans="18:64" ht="21" customHeight="1" x14ac:dyDescent="0.25">
      <c r="R87" s="34" t="s">
        <v>6124</v>
      </c>
      <c r="S87" s="451"/>
      <c r="T87" s="31" t="s">
        <v>18</v>
      </c>
      <c r="V87" s="475">
        <v>1</v>
      </c>
      <c r="W87" s="475" t="str">
        <f>IF($AC$87="","",$W$72)</f>
        <v/>
      </c>
      <c r="X87" s="476" t="str">
        <f>IF($AC$87="","",$X$72)</f>
        <v/>
      </c>
      <c r="Y87" s="477" t="str">
        <f>IF($X$87="","",$Y$72)</f>
        <v/>
      </c>
      <c r="Z87" s="477" t="str">
        <f>IF($X$87="","",$Z$72)</f>
        <v/>
      </c>
      <c r="AA87" s="477" t="str">
        <f>IF($AC$87="","",ROW($A$87)-ROW($A$72))</f>
        <v/>
      </c>
      <c r="AB87" s="478"/>
      <c r="AC87" s="34"/>
      <c r="AD87" s="356"/>
      <c r="AE87" s="18"/>
      <c r="AF87" s="19"/>
      <c r="AG87" s="480" t="str">
        <f t="shared" si="4"/>
        <v/>
      </c>
      <c r="AH87" s="481" t="str">
        <f t="shared" si="5"/>
        <v/>
      </c>
      <c r="AI87" s="477" t="str">
        <f>IF($AC$87="","",IFERROR(INDEX($AZ$74:$AZ$119,MATCH($AH$87,$AY$74:$AY$119,0)),"AUTRE"))</f>
        <v/>
      </c>
      <c r="AJ87" s="482" t="str">
        <f>IF($AC$87="","",IFERROR(INDEX($BA$74:$BA$119,MATCH($AH$87,$AY$74:$AY$119,0)),1))</f>
        <v/>
      </c>
      <c r="AK87" s="482" t="str">
        <f t="shared" si="6"/>
        <v/>
      </c>
      <c r="AL87" s="477" t="str">
        <f>IF($AC$87="","",IFERROR(INDEX($BB$74:$BB$119,MATCH($AH$87,$AY$74:$AY$119,0)),$AH$87))</f>
        <v/>
      </c>
      <c r="AM87" s="483" t="str">
        <f t="shared" si="7"/>
        <v/>
      </c>
      <c r="AN87" s="484" t="str">
        <f t="shared" si="15"/>
        <v/>
      </c>
      <c r="AO87" s="473" t="str">
        <f t="shared" si="8"/>
        <v/>
      </c>
      <c r="AP87" s="473" t="str">
        <f t="shared" si="9"/>
        <v/>
      </c>
      <c r="AQ87" s="473" t="str">
        <f t="shared" si="10"/>
        <v/>
      </c>
      <c r="AR87" s="473" t="str">
        <f t="shared" si="11"/>
        <v/>
      </c>
      <c r="AS87" s="473" t="str">
        <f t="shared" si="12"/>
        <v/>
      </c>
      <c r="AT87" s="473" t="str">
        <f t="shared" si="13"/>
        <v/>
      </c>
      <c r="AU87" s="473" t="str">
        <f t="shared" si="14"/>
        <v/>
      </c>
      <c r="AY87" s="31" t="s">
        <v>211</v>
      </c>
      <c r="AZ87" s="488" t="s">
        <v>37</v>
      </c>
      <c r="BA87" s="489">
        <v>0.66666666699999999</v>
      </c>
      <c r="BB87" s="419" t="s">
        <v>9</v>
      </c>
      <c r="BD87" s="279">
        <v>1</v>
      </c>
      <c r="BG87" s="271"/>
      <c r="BH87" s="271"/>
      <c r="BI87" s="271"/>
      <c r="BJ87" s="271"/>
      <c r="BK87" s="271"/>
      <c r="BL87" s="271"/>
    </row>
    <row r="88" spans="18:64" ht="21" customHeight="1" x14ac:dyDescent="0.25">
      <c r="R88" s="34" t="s">
        <v>6125</v>
      </c>
      <c r="S88" s="451"/>
      <c r="T88" s="31" t="s">
        <v>19</v>
      </c>
      <c r="V88" s="475">
        <v>1</v>
      </c>
      <c r="W88" s="475" t="str">
        <f>IF($AC$88="","",$W$72)</f>
        <v/>
      </c>
      <c r="X88" s="476" t="str">
        <f>IF($AC$88="","",$X$72)</f>
        <v/>
      </c>
      <c r="Y88" s="477" t="str">
        <f>IF($X$88="","",$Y$72)</f>
        <v/>
      </c>
      <c r="Z88" s="477" t="str">
        <f>IF($X$88="","",$Z$72)</f>
        <v/>
      </c>
      <c r="AA88" s="477" t="str">
        <f>IF($AC$88="","",ROW($A$88)-ROW($A$72))</f>
        <v/>
      </c>
      <c r="AB88" s="478"/>
      <c r="AC88" s="34"/>
      <c r="AD88" s="356"/>
      <c r="AE88" s="18"/>
      <c r="AF88" s="19"/>
      <c r="AG88" s="480" t="str">
        <f t="shared" si="4"/>
        <v/>
      </c>
      <c r="AH88" s="481" t="str">
        <f t="shared" si="5"/>
        <v/>
      </c>
      <c r="AI88" s="477" t="str">
        <f>IF($AC$88="","",IFERROR(INDEX($AZ$74:$AZ$119,MATCH($AH$88,$AY$74:$AY$119,0)),"AUTRE"))</f>
        <v/>
      </c>
      <c r="AJ88" s="482" t="str">
        <f>IF($AC$88="","",IFERROR(INDEX($BA$74:$BA$119,MATCH($AH$88,$AY$74:$AY$119,0)),1))</f>
        <v/>
      </c>
      <c r="AK88" s="482" t="str">
        <f t="shared" si="6"/>
        <v/>
      </c>
      <c r="AL88" s="477" t="str">
        <f>IF($AC$88="","",IFERROR(INDEX($BB$74:$BB$119,MATCH($AH$88,$AY$74:$AY$119,0)),$AH$88))</f>
        <v/>
      </c>
      <c r="AM88" s="483" t="str">
        <f t="shared" si="7"/>
        <v/>
      </c>
      <c r="AN88" s="484" t="str">
        <f t="shared" si="15"/>
        <v/>
      </c>
      <c r="AO88" s="473" t="str">
        <f t="shared" si="8"/>
        <v/>
      </c>
      <c r="AP88" s="473" t="str">
        <f t="shared" si="9"/>
        <v/>
      </c>
      <c r="AQ88" s="473" t="str">
        <f t="shared" si="10"/>
        <v/>
      </c>
      <c r="AR88" s="473" t="str">
        <f t="shared" si="11"/>
        <v/>
      </c>
      <c r="AS88" s="473" t="str">
        <f t="shared" si="12"/>
        <v/>
      </c>
      <c r="AT88" s="473" t="str">
        <f t="shared" si="13"/>
        <v/>
      </c>
      <c r="AU88" s="473" t="str">
        <f t="shared" si="14"/>
        <v/>
      </c>
      <c r="AY88" s="31" t="s">
        <v>20</v>
      </c>
      <c r="AZ88" s="488" t="s">
        <v>37</v>
      </c>
      <c r="BA88" s="489">
        <v>0.2</v>
      </c>
      <c r="BB88" s="419" t="s">
        <v>9</v>
      </c>
      <c r="BD88" s="279">
        <v>1</v>
      </c>
      <c r="BG88" s="271"/>
      <c r="BH88" s="271"/>
      <c r="BI88" s="271"/>
      <c r="BJ88" s="271"/>
      <c r="BK88" s="271"/>
      <c r="BL88" s="271"/>
    </row>
    <row r="89" spans="18:64" ht="21" customHeight="1" x14ac:dyDescent="0.25">
      <c r="R89" s="34" t="s">
        <v>6126</v>
      </c>
      <c r="S89" s="451"/>
      <c r="T89" s="31" t="s">
        <v>211</v>
      </c>
      <c r="V89" s="475">
        <v>1</v>
      </c>
      <c r="W89" s="475" t="str">
        <f>IF($AC$89="","",$W$72)</f>
        <v/>
      </c>
      <c r="X89" s="476" t="str">
        <f>IF($AC$89="","",$X$72)</f>
        <v/>
      </c>
      <c r="Y89" s="477" t="str">
        <f>IF($X$89="","",$Y$72)</f>
        <v/>
      </c>
      <c r="Z89" s="477" t="str">
        <f>IF($X$89="","",$Z$72)</f>
        <v/>
      </c>
      <c r="AA89" s="477" t="str">
        <f>IF($AC$89="","",ROW($A$89)-ROW($A$72))</f>
        <v/>
      </c>
      <c r="AB89" s="478"/>
      <c r="AC89" s="34"/>
      <c r="AD89" s="356"/>
      <c r="AE89" s="18"/>
      <c r="AF89" s="19"/>
      <c r="AG89" s="480" t="str">
        <f t="shared" si="4"/>
        <v/>
      </c>
      <c r="AH89" s="481" t="str">
        <f t="shared" si="5"/>
        <v/>
      </c>
      <c r="AI89" s="477" t="str">
        <f>IF($AC$89="","",IFERROR(INDEX($AZ$74:$AZ$119,MATCH($AH$89,$AY$74:$AY$119,0)),"AUTRE"))</f>
        <v/>
      </c>
      <c r="AJ89" s="482" t="str">
        <f>IF($AC$89="","",IFERROR(INDEX($BA$74:$BA$119,MATCH($AH$89,$AY$74:$AY$119,0)),1))</f>
        <v/>
      </c>
      <c r="AK89" s="482" t="str">
        <f t="shared" si="6"/>
        <v/>
      </c>
      <c r="AL89" s="477" t="str">
        <f>IF($AC$89="","",IFERROR(INDEX($BB$74:$BB$119,MATCH($AH$89,$AY$74:$AY$119,0)),$AH$89))</f>
        <v/>
      </c>
      <c r="AM89" s="483" t="str">
        <f t="shared" si="7"/>
        <v/>
      </c>
      <c r="AN89" s="484" t="str">
        <f t="shared" si="15"/>
        <v/>
      </c>
      <c r="AO89" s="473" t="str">
        <f t="shared" si="8"/>
        <v/>
      </c>
      <c r="AP89" s="473" t="str">
        <f t="shared" si="9"/>
        <v/>
      </c>
      <c r="AQ89" s="473" t="str">
        <f t="shared" si="10"/>
        <v/>
      </c>
      <c r="AR89" s="473" t="str">
        <f t="shared" si="11"/>
        <v/>
      </c>
      <c r="AS89" s="473" t="str">
        <f t="shared" si="12"/>
        <v/>
      </c>
      <c r="AT89" s="473" t="str">
        <f t="shared" si="13"/>
        <v/>
      </c>
      <c r="AU89" s="473" t="str">
        <f t="shared" si="14"/>
        <v/>
      </c>
      <c r="AY89" s="31" t="s">
        <v>304</v>
      </c>
      <c r="AZ89" s="488" t="s">
        <v>37</v>
      </c>
      <c r="BA89" s="489">
        <v>0.125</v>
      </c>
      <c r="BB89" s="419" t="s">
        <v>9</v>
      </c>
      <c r="BC89" s="271"/>
      <c r="BD89" s="279">
        <v>1</v>
      </c>
      <c r="BG89" s="271"/>
      <c r="BH89" s="271"/>
      <c r="BI89" s="271"/>
      <c r="BJ89" s="271"/>
      <c r="BK89" s="271"/>
      <c r="BL89" s="271"/>
    </row>
    <row r="90" spans="18:64" ht="21" customHeight="1" x14ac:dyDescent="0.25">
      <c r="R90" s="34" t="s">
        <v>6127</v>
      </c>
      <c r="S90" s="451"/>
      <c r="T90" s="31" t="s">
        <v>20</v>
      </c>
      <c r="V90" s="475">
        <v>1</v>
      </c>
      <c r="W90" s="475" t="str">
        <f>IF($AC$90="","",$W$72)</f>
        <v/>
      </c>
      <c r="X90" s="476" t="str">
        <f>IF($AC$90="","",$X$72)</f>
        <v/>
      </c>
      <c r="Y90" s="477" t="str">
        <f>IF($X$90="","",$Y$72)</f>
        <v/>
      </c>
      <c r="Z90" s="477" t="str">
        <f>IF($X$90="","",$Z$72)</f>
        <v/>
      </c>
      <c r="AA90" s="477" t="str">
        <f>IF($AC$90="","",ROW($A$90)-ROW($A$72))</f>
        <v/>
      </c>
      <c r="AB90" s="478"/>
      <c r="AC90" s="34"/>
      <c r="AD90" s="356"/>
      <c r="AE90" s="18"/>
      <c r="AF90" s="19"/>
      <c r="AG90" s="480" t="str">
        <f t="shared" si="4"/>
        <v/>
      </c>
      <c r="AH90" s="481" t="str">
        <f t="shared" si="5"/>
        <v/>
      </c>
      <c r="AI90" s="477" t="str">
        <f>IF($AC$90="","",IFERROR(INDEX($AZ$74:$AZ$119,MATCH($AH$90,$AY$74:$AY$119,0)),"AUTRE"))</f>
        <v/>
      </c>
      <c r="AJ90" s="482" t="str">
        <f>IF($AC$90="","",IFERROR(INDEX($BA$74:$BA$119,MATCH($AH$90,$AY$74:$AY$119,0)),1))</f>
        <v/>
      </c>
      <c r="AK90" s="482" t="str">
        <f t="shared" si="6"/>
        <v/>
      </c>
      <c r="AL90" s="477" t="str">
        <f>IF($AC$90="","",IFERROR(INDEX($BB$74:$BB$119,MATCH($AH$90,$AY$74:$AY$119,0)),$AH$90))</f>
        <v/>
      </c>
      <c r="AM90" s="483" t="str">
        <f t="shared" si="7"/>
        <v/>
      </c>
      <c r="AN90" s="484" t="str">
        <f t="shared" si="15"/>
        <v/>
      </c>
      <c r="AO90" s="473" t="str">
        <f t="shared" si="8"/>
        <v/>
      </c>
      <c r="AP90" s="473" t="str">
        <f t="shared" si="9"/>
        <v/>
      </c>
      <c r="AQ90" s="473" t="str">
        <f t="shared" si="10"/>
        <v/>
      </c>
      <c r="AR90" s="473" t="str">
        <f t="shared" si="11"/>
        <v/>
      </c>
      <c r="AS90" s="473" t="str">
        <f t="shared" si="12"/>
        <v/>
      </c>
      <c r="AT90" s="473" t="str">
        <f t="shared" si="13"/>
        <v/>
      </c>
      <c r="AU90" s="473" t="str">
        <f t="shared" si="14"/>
        <v/>
      </c>
      <c r="AY90" s="31" t="s">
        <v>352</v>
      </c>
      <c r="AZ90" s="488" t="s">
        <v>37</v>
      </c>
      <c r="BA90" s="489">
        <v>0.125</v>
      </c>
      <c r="BB90" s="419" t="s">
        <v>9</v>
      </c>
      <c r="BC90" s="271"/>
      <c r="BD90" s="279">
        <v>1</v>
      </c>
      <c r="BG90" s="271"/>
      <c r="BH90" s="271"/>
      <c r="BI90" s="271"/>
      <c r="BJ90" s="271"/>
      <c r="BK90" s="271"/>
      <c r="BL90" s="271"/>
    </row>
    <row r="91" spans="18:64" ht="21" customHeight="1" x14ac:dyDescent="0.25">
      <c r="R91" s="25" t="s">
        <v>6128</v>
      </c>
      <c r="S91" s="451"/>
      <c r="T91" s="31" t="s">
        <v>304</v>
      </c>
      <c r="V91" s="475">
        <v>1</v>
      </c>
      <c r="W91" s="475" t="str">
        <f>IF($AC$91="","",$W$72)</f>
        <v/>
      </c>
      <c r="X91" s="476" t="str">
        <f>IF($AC$91="","",$X$72)</f>
        <v/>
      </c>
      <c r="Y91" s="477" t="str">
        <f>IF($X$91="","",$Y$72)</f>
        <v/>
      </c>
      <c r="Z91" s="477" t="str">
        <f>IF($X$91="","",$Z$72)</f>
        <v/>
      </c>
      <c r="AA91" s="477" t="str">
        <f>IF($AC$91="","",ROW($A$91)-ROW($A$72))</f>
        <v/>
      </c>
      <c r="AB91" s="478"/>
      <c r="AC91" s="34"/>
      <c r="AD91" s="356"/>
      <c r="AE91" s="18"/>
      <c r="AF91" s="19"/>
      <c r="AG91" s="480" t="str">
        <f t="shared" si="4"/>
        <v/>
      </c>
      <c r="AH91" s="481" t="str">
        <f t="shared" si="5"/>
        <v/>
      </c>
      <c r="AI91" s="477" t="str">
        <f>IF($AC$91="","",IFERROR(INDEX($AZ$74:$AZ$119,MATCH($AH$91,$AY$74:$AY$119,0)),"AUTRE"))</f>
        <v/>
      </c>
      <c r="AJ91" s="482" t="str">
        <f>IF($AC$91="","",IFERROR(INDEX($BA$74:$BA$119,MATCH($AH$91,$AY$74:$AY$119,0)),1))</f>
        <v/>
      </c>
      <c r="AK91" s="482" t="str">
        <f t="shared" si="6"/>
        <v/>
      </c>
      <c r="AL91" s="477" t="str">
        <f>IF($AC$91="","",IFERROR(INDEX($BB$74:$BB$119,MATCH($AH$91,$AY$74:$AY$119,0)),$AH$91))</f>
        <v/>
      </c>
      <c r="AM91" s="483" t="str">
        <f t="shared" si="7"/>
        <v/>
      </c>
      <c r="AN91" s="484" t="str">
        <f t="shared" si="15"/>
        <v/>
      </c>
      <c r="AO91" s="473" t="str">
        <f t="shared" si="8"/>
        <v/>
      </c>
      <c r="AP91" s="473" t="str">
        <f t="shared" si="9"/>
        <v/>
      </c>
      <c r="AQ91" s="473" t="str">
        <f t="shared" si="10"/>
        <v/>
      </c>
      <c r="AR91" s="473" t="str">
        <f t="shared" si="11"/>
        <v/>
      </c>
      <c r="AS91" s="473" t="str">
        <f t="shared" si="12"/>
        <v/>
      </c>
      <c r="AT91" s="473" t="str">
        <f t="shared" si="13"/>
        <v/>
      </c>
      <c r="AU91" s="473" t="str">
        <f t="shared" si="14"/>
        <v/>
      </c>
      <c r="AY91" s="31" t="s">
        <v>27</v>
      </c>
      <c r="AZ91" s="488" t="s">
        <v>37</v>
      </c>
      <c r="BA91" s="489">
        <v>5.0000000000000001E-3</v>
      </c>
      <c r="BB91" s="419" t="s">
        <v>9</v>
      </c>
      <c r="BC91" s="271"/>
      <c r="BD91" s="279">
        <v>1</v>
      </c>
      <c r="BG91" s="271"/>
      <c r="BH91" s="271"/>
      <c r="BI91" s="271"/>
      <c r="BJ91" s="271"/>
      <c r="BK91" s="271"/>
      <c r="BL91" s="271"/>
    </row>
    <row r="92" spans="18:64" ht="21" customHeight="1" x14ac:dyDescent="0.25">
      <c r="R92" s="34" t="s">
        <v>474</v>
      </c>
      <c r="S92" s="451"/>
      <c r="T92" s="31" t="s">
        <v>352</v>
      </c>
      <c r="V92" s="475">
        <v>1</v>
      </c>
      <c r="W92" s="475" t="str">
        <f>IF($AC$92="","",$W$72)</f>
        <v/>
      </c>
      <c r="X92" s="476" t="str">
        <f>IF($AC$92="","",$X$72)</f>
        <v/>
      </c>
      <c r="Y92" s="477" t="str">
        <f>IF($X$92="","",$Y$72)</f>
        <v/>
      </c>
      <c r="Z92" s="477" t="str">
        <f>IF($X$92="","",$Z$72)</f>
        <v/>
      </c>
      <c r="AA92" s="477" t="str">
        <f>IF($AC$92="","",ROW($A$92)-ROW($A$72))</f>
        <v/>
      </c>
      <c r="AB92" s="478"/>
      <c r="AC92" s="34"/>
      <c r="AD92" s="356"/>
      <c r="AE92" s="18"/>
      <c r="AF92" s="19"/>
      <c r="AG92" s="480" t="str">
        <f t="shared" si="4"/>
        <v/>
      </c>
      <c r="AH92" s="481" t="str">
        <f t="shared" si="5"/>
        <v/>
      </c>
      <c r="AI92" s="477" t="str">
        <f>IF($AC$92="","",IFERROR(INDEX($AZ$74:$AZ$119,MATCH($AH$92,$AY$74:$AY$119,0)),"AUTRE"))</f>
        <v/>
      </c>
      <c r="AJ92" s="482" t="str">
        <f>IF($AC$92="","",IFERROR(INDEX($BA$74:$BA$119,MATCH($AH$92,$AY$74:$AY$119,0)),1))</f>
        <v/>
      </c>
      <c r="AK92" s="482" t="str">
        <f t="shared" si="6"/>
        <v/>
      </c>
      <c r="AL92" s="477" t="str">
        <f>IF($AC$92="","",IFERROR(INDEX($BB$74:$BB$119,MATCH($AH$92,$AY$74:$AY$119,0)),$AH$92))</f>
        <v/>
      </c>
      <c r="AM92" s="483" t="str">
        <f t="shared" si="7"/>
        <v/>
      </c>
      <c r="AN92" s="484" t="str">
        <f t="shared" si="15"/>
        <v/>
      </c>
      <c r="AO92" s="473" t="str">
        <f t="shared" si="8"/>
        <v/>
      </c>
      <c r="AP92" s="473" t="str">
        <f t="shared" si="9"/>
        <v/>
      </c>
      <c r="AQ92" s="473" t="str">
        <f t="shared" si="10"/>
        <v/>
      </c>
      <c r="AR92" s="473" t="str">
        <f t="shared" si="11"/>
        <v/>
      </c>
      <c r="AS92" s="473" t="str">
        <f t="shared" si="12"/>
        <v/>
      </c>
      <c r="AT92" s="473" t="str">
        <f t="shared" si="13"/>
        <v/>
      </c>
      <c r="AU92" s="473" t="str">
        <f t="shared" si="14"/>
        <v/>
      </c>
      <c r="AY92" s="31" t="s">
        <v>28</v>
      </c>
      <c r="AZ92" s="488" t="s">
        <v>37</v>
      </c>
      <c r="BA92" s="489">
        <v>5.0000000000000001E-3</v>
      </c>
      <c r="BB92" s="419" t="s">
        <v>9</v>
      </c>
      <c r="BC92" s="271"/>
      <c r="BD92" s="279">
        <v>1</v>
      </c>
      <c r="BG92" s="271"/>
      <c r="BH92" s="271"/>
      <c r="BI92" s="271"/>
      <c r="BJ92" s="271"/>
      <c r="BK92" s="271"/>
      <c r="BL92" s="271"/>
    </row>
    <row r="93" spans="18:64" ht="21" customHeight="1" x14ac:dyDescent="0.25">
      <c r="R93" s="34" t="s">
        <v>490</v>
      </c>
      <c r="S93" s="451"/>
      <c r="T93" s="31" t="s">
        <v>25</v>
      </c>
      <c r="V93" s="475">
        <v>1</v>
      </c>
      <c r="W93" s="475" t="str">
        <f>IF($AC$93="","",$W$72)</f>
        <v/>
      </c>
      <c r="X93" s="476" t="str">
        <f>IF($AC$93="","",$X$72)</f>
        <v/>
      </c>
      <c r="Y93" s="477" t="str">
        <f>IF($X$93="","",$Y$72)</f>
        <v/>
      </c>
      <c r="Z93" s="477" t="str">
        <f>IF($X$93="","",$Z$72)</f>
        <v/>
      </c>
      <c r="AA93" s="477" t="str">
        <f>IF($AC$93="","",ROW($A$93)-ROW($A$72))</f>
        <v/>
      </c>
      <c r="AB93" s="478"/>
      <c r="AC93" s="34"/>
      <c r="AD93" s="356"/>
      <c r="AE93" s="18"/>
      <c r="AF93" s="19"/>
      <c r="AG93" s="480" t="str">
        <f t="shared" si="4"/>
        <v/>
      </c>
      <c r="AH93" s="481" t="str">
        <f t="shared" si="5"/>
        <v/>
      </c>
      <c r="AI93" s="477" t="str">
        <f>IF($AC$93="","",IFERROR(INDEX($AZ$74:$AZ$119,MATCH($AH$93,$AY$74:$AY$119,0)),"AUTRE"))</f>
        <v/>
      </c>
      <c r="AJ93" s="482" t="str">
        <f>IF($AC$93="","",IFERROR(INDEX($BA$74:$BA$119,MATCH($AH$93,$AY$74:$AY$119,0)),1))</f>
        <v/>
      </c>
      <c r="AK93" s="482" t="str">
        <f t="shared" si="6"/>
        <v/>
      </c>
      <c r="AL93" s="477" t="str">
        <f>IF($AC$93="","",IFERROR(INDEX($BB$74:$BB$119,MATCH($AH$93,$AY$74:$AY$119,0)),$AH$93))</f>
        <v/>
      </c>
      <c r="AM93" s="483" t="str">
        <f t="shared" si="7"/>
        <v/>
      </c>
      <c r="AN93" s="484" t="str">
        <f t="shared" si="15"/>
        <v/>
      </c>
      <c r="AO93" s="473" t="str">
        <f t="shared" si="8"/>
        <v/>
      </c>
      <c r="AP93" s="473" t="str">
        <f t="shared" si="9"/>
        <v/>
      </c>
      <c r="AQ93" s="473" t="str">
        <f t="shared" si="10"/>
        <v/>
      </c>
      <c r="AR93" s="473" t="str">
        <f t="shared" si="11"/>
        <v/>
      </c>
      <c r="AS93" s="473" t="str">
        <f t="shared" si="12"/>
        <v/>
      </c>
      <c r="AT93" s="473" t="str">
        <f t="shared" si="13"/>
        <v/>
      </c>
      <c r="AU93" s="473" t="str">
        <f t="shared" si="14"/>
        <v/>
      </c>
      <c r="AY93" s="31" t="s">
        <v>29</v>
      </c>
      <c r="AZ93" s="488" t="s">
        <v>37</v>
      </c>
      <c r="BA93" s="489">
        <v>1.4999999999999999E-2</v>
      </c>
      <c r="BB93" s="419" t="s">
        <v>9</v>
      </c>
      <c r="BC93" s="271"/>
      <c r="BD93" s="279">
        <v>1</v>
      </c>
      <c r="BG93" s="271"/>
      <c r="BH93" s="271"/>
      <c r="BI93" s="271"/>
      <c r="BJ93" s="271"/>
      <c r="BK93" s="271"/>
      <c r="BL93" s="271"/>
    </row>
    <row r="94" spans="18:64" ht="21" customHeight="1" x14ac:dyDescent="0.25">
      <c r="R94" s="34" t="s">
        <v>6129</v>
      </c>
      <c r="S94" s="451"/>
      <c r="T94" s="31" t="s">
        <v>26</v>
      </c>
      <c r="V94" s="475">
        <v>1</v>
      </c>
      <c r="W94" s="475" t="str">
        <f>IF($AC$94="","",$W$72)</f>
        <v/>
      </c>
      <c r="X94" s="476" t="str">
        <f>IF($AC$94="","",$X$72)</f>
        <v/>
      </c>
      <c r="Y94" s="477" t="str">
        <f>IF($X$94="","",$Y$72)</f>
        <v/>
      </c>
      <c r="Z94" s="477" t="str">
        <f>IF($X$94="","",$Z$72)</f>
        <v/>
      </c>
      <c r="AA94" s="477" t="str">
        <f>IF($AC$94="","",ROW($A$94)-ROW($A$72))</f>
        <v/>
      </c>
      <c r="AB94" s="478"/>
      <c r="AC94" s="34"/>
      <c r="AD94" s="356"/>
      <c r="AE94" s="18"/>
      <c r="AF94" s="19"/>
      <c r="AG94" s="480" t="str">
        <f t="shared" si="4"/>
        <v/>
      </c>
      <c r="AH94" s="481" t="str">
        <f t="shared" si="5"/>
        <v/>
      </c>
      <c r="AI94" s="477" t="str">
        <f>IF($AC$94="","",IFERROR(INDEX($AZ$74:$AZ$119,MATCH($AH$94,$AY$74:$AY$119,0)),"AUTRE"))</f>
        <v/>
      </c>
      <c r="AJ94" s="482" t="str">
        <f>IF($AC$94="","",IFERROR(INDEX($BA$74:$BA$119,MATCH($AH$94,$AY$74:$AY$119,0)),1))</f>
        <v/>
      </c>
      <c r="AK94" s="482" t="str">
        <f t="shared" si="6"/>
        <v/>
      </c>
      <c r="AL94" s="477" t="str">
        <f>IF($AC$94="","",IFERROR(INDEX($BB$74:$BB$119,MATCH($AH$94,$AY$74:$AY$119,0)),$AH$94))</f>
        <v/>
      </c>
      <c r="AM94" s="483" t="str">
        <f t="shared" si="7"/>
        <v/>
      </c>
      <c r="AN94" s="484" t="str">
        <f t="shared" si="15"/>
        <v/>
      </c>
      <c r="AO94" s="473" t="str">
        <f t="shared" si="8"/>
        <v/>
      </c>
      <c r="AP94" s="473" t="str">
        <f t="shared" si="9"/>
        <v/>
      </c>
      <c r="AQ94" s="473" t="str">
        <f t="shared" si="10"/>
        <v/>
      </c>
      <c r="AR94" s="473" t="str">
        <f t="shared" si="11"/>
        <v/>
      </c>
      <c r="AS94" s="473" t="str">
        <f t="shared" si="12"/>
        <v/>
      </c>
      <c r="AT94" s="473" t="str">
        <f t="shared" si="13"/>
        <v/>
      </c>
      <c r="AU94" s="473" t="str">
        <f t="shared" si="14"/>
        <v/>
      </c>
      <c r="AY94" s="31" t="s">
        <v>30</v>
      </c>
      <c r="AZ94" s="488" t="s">
        <v>37</v>
      </c>
      <c r="BA94" s="489">
        <v>0.1</v>
      </c>
      <c r="BB94" s="419" t="s">
        <v>9</v>
      </c>
      <c r="BC94" s="271"/>
      <c r="BD94" s="279">
        <v>1</v>
      </c>
      <c r="BG94" s="271"/>
      <c r="BH94" s="271"/>
      <c r="BI94" s="271"/>
      <c r="BJ94" s="271"/>
      <c r="BK94" s="271"/>
      <c r="BL94" s="271"/>
    </row>
    <row r="95" spans="18:64" ht="21" customHeight="1" x14ac:dyDescent="0.25">
      <c r="R95" s="34" t="s">
        <v>478</v>
      </c>
      <c r="S95" s="451"/>
      <c r="T95" s="31" t="s">
        <v>27</v>
      </c>
      <c r="V95" s="475">
        <v>1</v>
      </c>
      <c r="W95" s="475" t="str">
        <f>IF($AC$95="","",$W$72)</f>
        <v/>
      </c>
      <c r="X95" s="476" t="str">
        <f>IF($AC$95="","",$X$72)</f>
        <v/>
      </c>
      <c r="Y95" s="477" t="str">
        <f>IF($X$95="","",$Y$72)</f>
        <v/>
      </c>
      <c r="Z95" s="477" t="str">
        <f>IF($X$95="","",$Z$72)</f>
        <v/>
      </c>
      <c r="AA95" s="477" t="str">
        <f>IF($AC$95="","",ROW($A$95)-ROW($A$72))</f>
        <v/>
      </c>
      <c r="AB95" s="478"/>
      <c r="AC95" s="34"/>
      <c r="AD95" s="356"/>
      <c r="AE95" s="18"/>
      <c r="AF95" s="19"/>
      <c r="AG95" s="480" t="str">
        <f t="shared" si="4"/>
        <v/>
      </c>
      <c r="AH95" s="481" t="str">
        <f t="shared" si="5"/>
        <v/>
      </c>
      <c r="AI95" s="477" t="str">
        <f>IF($AC$95="","",IFERROR(INDEX($AZ$74:$AZ$119,MATCH($AH$95,$AY$74:$AY$119,0)),"AUTRE"))</f>
        <v/>
      </c>
      <c r="AJ95" s="482" t="str">
        <f>IF($AC$95="","",IFERROR(INDEX($BA$74:$BA$119,MATCH($AH$95,$AY$74:$AY$119,0)),1))</f>
        <v/>
      </c>
      <c r="AK95" s="482" t="str">
        <f t="shared" si="6"/>
        <v/>
      </c>
      <c r="AL95" s="477" t="str">
        <f>IF($AC$95="","",IFERROR(INDEX($BB$74:$BB$119,MATCH($AH$95,$AY$74:$AY$119,0)),$AH$95))</f>
        <v/>
      </c>
      <c r="AM95" s="483" t="str">
        <f t="shared" si="7"/>
        <v/>
      </c>
      <c r="AN95" s="484" t="str">
        <f t="shared" si="15"/>
        <v/>
      </c>
      <c r="AO95" s="473" t="str">
        <f t="shared" si="8"/>
        <v/>
      </c>
      <c r="AP95" s="473" t="str">
        <f t="shared" si="9"/>
        <v/>
      </c>
      <c r="AQ95" s="473" t="str">
        <f t="shared" si="10"/>
        <v/>
      </c>
      <c r="AR95" s="473" t="str">
        <f t="shared" si="11"/>
        <v/>
      </c>
      <c r="AS95" s="473" t="str">
        <f t="shared" si="12"/>
        <v/>
      </c>
      <c r="AT95" s="473" t="str">
        <f t="shared" si="13"/>
        <v/>
      </c>
      <c r="AU95" s="473" t="str">
        <f t="shared" si="14"/>
        <v/>
      </c>
      <c r="AY95" s="32" t="s">
        <v>33</v>
      </c>
      <c r="AZ95" s="488" t="s">
        <v>38</v>
      </c>
      <c r="BA95" s="489">
        <v>1</v>
      </c>
      <c r="BB95" s="419" t="s">
        <v>8035</v>
      </c>
      <c r="BC95" s="271"/>
      <c r="BD95" s="279">
        <v>1</v>
      </c>
      <c r="BG95" s="271"/>
      <c r="BH95" s="271"/>
      <c r="BI95" s="271"/>
      <c r="BJ95" s="271"/>
      <c r="BK95" s="271"/>
      <c r="BL95" s="271"/>
    </row>
    <row r="96" spans="18:64" ht="21" customHeight="1" x14ac:dyDescent="0.25">
      <c r="R96" s="34" t="s">
        <v>6130</v>
      </c>
      <c r="S96" s="451"/>
      <c r="T96" s="31" t="s">
        <v>28</v>
      </c>
      <c r="V96" s="475">
        <v>1</v>
      </c>
      <c r="W96" s="475" t="str">
        <f>IF($AC$96="","",$W$72)</f>
        <v/>
      </c>
      <c r="X96" s="476" t="str">
        <f>IF($AC$96="","",$X$72)</f>
        <v/>
      </c>
      <c r="Y96" s="477" t="str">
        <f>IF($X$96="","",$Y$72)</f>
        <v/>
      </c>
      <c r="Z96" s="477" t="str">
        <f>IF($X$96="","",$Z$72)</f>
        <v/>
      </c>
      <c r="AA96" s="477" t="str">
        <f>IF($AC$96="","",ROW($A$96)-ROW($A$72))</f>
        <v/>
      </c>
      <c r="AB96" s="478"/>
      <c r="AC96" s="34"/>
      <c r="AD96" s="356"/>
      <c r="AE96" s="18"/>
      <c r="AF96" s="19"/>
      <c r="AG96" s="480" t="str">
        <f t="shared" si="4"/>
        <v/>
      </c>
      <c r="AH96" s="481" t="str">
        <f t="shared" si="5"/>
        <v/>
      </c>
      <c r="AI96" s="477" t="str">
        <f>IF($AC$96="","",IFERROR(INDEX($AZ$74:$AZ$119,MATCH($AH$96,$AY$74:$AY$119,0)),"AUTRE"))</f>
        <v/>
      </c>
      <c r="AJ96" s="482" t="str">
        <f>IF($AC$96="","",IFERROR(INDEX($BA$74:$BA$119,MATCH($AH$96,$AY$74:$AY$119,0)),1))</f>
        <v/>
      </c>
      <c r="AK96" s="482" t="str">
        <f t="shared" si="6"/>
        <v/>
      </c>
      <c r="AL96" s="477" t="str">
        <f>IF($AC$96="","",IFERROR(INDEX($BB$74:$BB$119,MATCH($AH$96,$AY$74:$AY$119,0)),$AH$96))</f>
        <v/>
      </c>
      <c r="AM96" s="483" t="str">
        <f t="shared" si="7"/>
        <v/>
      </c>
      <c r="AN96" s="484" t="str">
        <f t="shared" si="15"/>
        <v/>
      </c>
      <c r="AO96" s="473" t="str">
        <f t="shared" si="8"/>
        <v/>
      </c>
      <c r="AP96" s="473" t="str">
        <f t="shared" si="9"/>
        <v/>
      </c>
      <c r="AQ96" s="473" t="str">
        <f t="shared" si="10"/>
        <v/>
      </c>
      <c r="AR96" s="473" t="str">
        <f t="shared" si="11"/>
        <v/>
      </c>
      <c r="AS96" s="473" t="str">
        <f t="shared" si="12"/>
        <v/>
      </c>
      <c r="AT96" s="473" t="str">
        <f t="shared" si="13"/>
        <v/>
      </c>
      <c r="AU96" s="473" t="str">
        <f t="shared" si="14"/>
        <v/>
      </c>
      <c r="AY96" s="32" t="s">
        <v>8125</v>
      </c>
      <c r="AZ96" s="488" t="s">
        <v>38</v>
      </c>
      <c r="BA96" s="489">
        <v>1</v>
      </c>
      <c r="BB96" s="419" t="s">
        <v>8126</v>
      </c>
      <c r="BC96" s="271"/>
      <c r="BD96" s="279">
        <v>1</v>
      </c>
      <c r="BG96" s="271"/>
      <c r="BH96" s="271"/>
      <c r="BI96" s="271"/>
      <c r="BJ96" s="271"/>
      <c r="BK96" s="271"/>
      <c r="BL96" s="271"/>
    </row>
    <row r="97" spans="18:64" ht="21" customHeight="1" x14ac:dyDescent="0.25">
      <c r="R97" s="34" t="s">
        <v>486</v>
      </c>
      <c r="S97" s="451"/>
      <c r="T97" s="31" t="s">
        <v>29</v>
      </c>
      <c r="V97" s="475">
        <v>1</v>
      </c>
      <c r="W97" s="475" t="str">
        <f>IF($AC$97="","",$W$72)</f>
        <v/>
      </c>
      <c r="X97" s="476" t="str">
        <f>IF($AC$97="","",$X$72)</f>
        <v/>
      </c>
      <c r="Y97" s="477" t="str">
        <f>IF($X$97="","",$Y$72)</f>
        <v/>
      </c>
      <c r="Z97" s="477" t="str">
        <f>IF($X$97="","",$Z$72)</f>
        <v/>
      </c>
      <c r="AA97" s="477" t="str">
        <f>IF($AC$97="","",ROW($A$97)-ROW($A$72))</f>
        <v/>
      </c>
      <c r="AB97" s="478"/>
      <c r="AC97" s="34"/>
      <c r="AD97" s="356"/>
      <c r="AE97" s="18"/>
      <c r="AF97" s="19"/>
      <c r="AG97" s="480" t="str">
        <f t="shared" si="4"/>
        <v/>
      </c>
      <c r="AH97" s="481" t="str">
        <f t="shared" si="5"/>
        <v/>
      </c>
      <c r="AI97" s="477" t="str">
        <f>IF($AC$97="","",IFERROR(INDEX($AZ$74:$AZ$119,MATCH($AH$97,$AY$74:$AY$119,0)),"AUTRE"))</f>
        <v/>
      </c>
      <c r="AJ97" s="482" t="str">
        <f>IF($AC$97="","",IFERROR(INDEX($BA$74:$BA$119,MATCH($AH$97,$AY$74:$AY$119,0)),1))</f>
        <v/>
      </c>
      <c r="AK97" s="482" t="str">
        <f t="shared" si="6"/>
        <v/>
      </c>
      <c r="AL97" s="477" t="str">
        <f>IF($AC$97="","",IFERROR(INDEX($BB$74:$BB$119,MATCH($AH$97,$AY$74:$AY$119,0)),$AH$97))</f>
        <v/>
      </c>
      <c r="AM97" s="483" t="str">
        <f t="shared" si="7"/>
        <v/>
      </c>
      <c r="AN97" s="484" t="str">
        <f t="shared" si="15"/>
        <v/>
      </c>
      <c r="AO97" s="473" t="str">
        <f t="shared" si="8"/>
        <v/>
      </c>
      <c r="AP97" s="473" t="str">
        <f t="shared" si="9"/>
        <v/>
      </c>
      <c r="AQ97" s="473" t="str">
        <f t="shared" si="10"/>
        <v/>
      </c>
      <c r="AR97" s="473" t="str">
        <f t="shared" si="11"/>
        <v/>
      </c>
      <c r="AS97" s="473" t="str">
        <f t="shared" si="12"/>
        <v/>
      </c>
      <c r="AT97" s="473" t="str">
        <f t="shared" si="13"/>
        <v/>
      </c>
      <c r="AU97" s="473" t="str">
        <f t="shared" si="14"/>
        <v/>
      </c>
      <c r="AY97" s="32" t="s">
        <v>8127</v>
      </c>
      <c r="AZ97" s="488" t="s">
        <v>38</v>
      </c>
      <c r="BA97" s="489">
        <v>1</v>
      </c>
      <c r="BB97" s="419" t="s">
        <v>8128</v>
      </c>
      <c r="BC97" s="271"/>
      <c r="BD97" s="279">
        <v>1</v>
      </c>
      <c r="BG97" s="271"/>
      <c r="BH97" s="271"/>
      <c r="BI97" s="271"/>
      <c r="BJ97" s="271"/>
      <c r="BK97" s="271"/>
      <c r="BL97" s="271"/>
    </row>
    <row r="98" spans="18:64" ht="21" customHeight="1" x14ac:dyDescent="0.25">
      <c r="R98" s="34" t="s">
        <v>479</v>
      </c>
      <c r="S98" s="451"/>
      <c r="T98" s="31" t="s">
        <v>30</v>
      </c>
      <c r="V98" s="475">
        <v>1</v>
      </c>
      <c r="W98" s="475" t="str">
        <f>IF($AC$98="","",$W$72)</f>
        <v/>
      </c>
      <c r="X98" s="476" t="str">
        <f>IF($AC$98="","",$X$72)</f>
        <v/>
      </c>
      <c r="Y98" s="477" t="str">
        <f>IF($X$98="","",$Y$72)</f>
        <v/>
      </c>
      <c r="Z98" s="477" t="str">
        <f>IF($X$98="","",$Z$72)</f>
        <v/>
      </c>
      <c r="AA98" s="477" t="str">
        <f>IF($AC$98="","",ROW($A$98)-ROW($A$72))</f>
        <v/>
      </c>
      <c r="AB98" s="478"/>
      <c r="AC98" s="34"/>
      <c r="AD98" s="356"/>
      <c r="AE98" s="18"/>
      <c r="AF98" s="19"/>
      <c r="AG98" s="480" t="str">
        <f t="shared" si="4"/>
        <v/>
      </c>
      <c r="AH98" s="481" t="str">
        <f t="shared" si="5"/>
        <v/>
      </c>
      <c r="AI98" s="477" t="str">
        <f>IF($AC$98="","",IFERROR(INDEX($AZ$74:$AZ$119,MATCH($AH$98,$AY$74:$AY$119,0)),"AUTRE"))</f>
        <v/>
      </c>
      <c r="AJ98" s="482" t="str">
        <f>IF($AC$98="","",IFERROR(INDEX($BA$74:$BA$119,MATCH($AH$98,$AY$74:$AY$119,0)),1))</f>
        <v/>
      </c>
      <c r="AK98" s="482" t="str">
        <f t="shared" si="6"/>
        <v/>
      </c>
      <c r="AL98" s="477" t="str">
        <f>IF($AC$98="","",IFERROR(INDEX($BB$74:$BB$119,MATCH($AH$98,$AY$74:$AY$119,0)),$AH$98))</f>
        <v/>
      </c>
      <c r="AM98" s="483" t="str">
        <f t="shared" si="7"/>
        <v/>
      </c>
      <c r="AN98" s="484" t="str">
        <f t="shared" si="15"/>
        <v/>
      </c>
      <c r="AO98" s="473" t="str">
        <f t="shared" si="8"/>
        <v/>
      </c>
      <c r="AP98" s="473" t="str">
        <f t="shared" si="9"/>
        <v/>
      </c>
      <c r="AQ98" s="473" t="str">
        <f t="shared" si="10"/>
        <v/>
      </c>
      <c r="AR98" s="473" t="str">
        <f t="shared" si="11"/>
        <v/>
      </c>
      <c r="AS98" s="473" t="str">
        <f t="shared" si="12"/>
        <v/>
      </c>
      <c r="AT98" s="473" t="str">
        <f t="shared" si="13"/>
        <v/>
      </c>
      <c r="AU98" s="473" t="str">
        <f t="shared" si="14"/>
        <v/>
      </c>
      <c r="AY98" s="32" t="s">
        <v>320</v>
      </c>
      <c r="AZ98" s="488" t="s">
        <v>38</v>
      </c>
      <c r="BA98" s="489">
        <v>1</v>
      </c>
      <c r="BB98" s="419" t="s">
        <v>321</v>
      </c>
      <c r="BC98" s="271"/>
      <c r="BD98" s="279">
        <v>1</v>
      </c>
      <c r="BG98" s="271"/>
      <c r="BH98" s="271"/>
      <c r="BI98" s="271"/>
      <c r="BJ98" s="271"/>
      <c r="BK98" s="271"/>
      <c r="BL98" s="271"/>
    </row>
    <row r="99" spans="18:64" ht="21" customHeight="1" x14ac:dyDescent="0.25">
      <c r="R99" s="34" t="s">
        <v>6131</v>
      </c>
      <c r="S99" s="451"/>
      <c r="T99" s="31" t="s">
        <v>31</v>
      </c>
      <c r="V99" s="475">
        <v>1</v>
      </c>
      <c r="W99" s="475" t="str">
        <f>IF($AC$99="","",$W$72)</f>
        <v/>
      </c>
      <c r="X99" s="476" t="str">
        <f>IF($AC$99="","",$X$72)</f>
        <v/>
      </c>
      <c r="Y99" s="477" t="str">
        <f>IF($X$99="","",$Y$72)</f>
        <v/>
      </c>
      <c r="Z99" s="477" t="str">
        <f>IF($X$99="","",$Z$72)</f>
        <v/>
      </c>
      <c r="AA99" s="477" t="str">
        <f>IF($AC$99="","",ROW($A$99)-ROW($A$72))</f>
        <v/>
      </c>
      <c r="AB99" s="478"/>
      <c r="AC99" s="34"/>
      <c r="AD99" s="356"/>
      <c r="AE99" s="18"/>
      <c r="AF99" s="19"/>
      <c r="AG99" s="480" t="str">
        <f t="shared" si="4"/>
        <v/>
      </c>
      <c r="AH99" s="481" t="str">
        <f t="shared" si="5"/>
        <v/>
      </c>
      <c r="AI99" s="477" t="str">
        <f>IF($AC$99="","",IFERROR(INDEX($AZ$74:$AZ$119,MATCH($AH$99,$AY$74:$AY$119,0)),"AUTRE"))</f>
        <v/>
      </c>
      <c r="AJ99" s="482" t="str">
        <f>IF($AC$99="","",IFERROR(INDEX($BA$74:$BA$119,MATCH($AH$99,$AY$74:$AY$119,0)),1))</f>
        <v/>
      </c>
      <c r="AK99" s="482" t="str">
        <f t="shared" si="6"/>
        <v/>
      </c>
      <c r="AL99" s="477" t="str">
        <f>IF($AC$99="","",IFERROR(INDEX($BB$74:$BB$119,MATCH($AH$99,$AY$74:$AY$119,0)),$AH$99))</f>
        <v/>
      </c>
      <c r="AM99" s="483" t="str">
        <f t="shared" si="7"/>
        <v/>
      </c>
      <c r="AN99" s="484" t="str">
        <f t="shared" si="15"/>
        <v/>
      </c>
      <c r="AO99" s="473" t="str">
        <f t="shared" si="8"/>
        <v/>
      </c>
      <c r="AP99" s="473" t="str">
        <f t="shared" si="9"/>
        <v/>
      </c>
      <c r="AQ99" s="473" t="str">
        <f t="shared" si="10"/>
        <v/>
      </c>
      <c r="AR99" s="473" t="str">
        <f t="shared" si="11"/>
        <v/>
      </c>
      <c r="AS99" s="473" t="str">
        <f t="shared" si="12"/>
        <v/>
      </c>
      <c r="AT99" s="473" t="str">
        <f t="shared" si="13"/>
        <v/>
      </c>
      <c r="AU99" s="473" t="str">
        <f t="shared" si="14"/>
        <v/>
      </c>
      <c r="AY99" s="32" t="s">
        <v>318</v>
      </c>
      <c r="AZ99" s="488" t="s">
        <v>38</v>
      </c>
      <c r="BA99" s="489">
        <v>1</v>
      </c>
      <c r="BB99" s="419" t="s">
        <v>319</v>
      </c>
      <c r="BC99" s="271"/>
      <c r="BD99" s="279">
        <v>1</v>
      </c>
      <c r="BG99" s="271"/>
      <c r="BH99" s="271"/>
      <c r="BI99" s="271"/>
      <c r="BJ99" s="271"/>
      <c r="BK99" s="271"/>
      <c r="BL99" s="271"/>
    </row>
    <row r="100" spans="18:64" ht="21" customHeight="1" x14ac:dyDescent="0.25">
      <c r="R100" s="34" t="s">
        <v>485</v>
      </c>
      <c r="S100" s="451"/>
      <c r="T100" s="32" t="s">
        <v>33</v>
      </c>
      <c r="V100" s="475">
        <v>1</v>
      </c>
      <c r="W100" s="475" t="str">
        <f>IF($AC$100="","",$W$72)</f>
        <v/>
      </c>
      <c r="X100" s="476" t="str">
        <f>IF($AC$100="","",$X$72)</f>
        <v/>
      </c>
      <c r="Y100" s="477" t="str">
        <f>IF($X$100="","",$Y$72)</f>
        <v/>
      </c>
      <c r="Z100" s="477" t="str">
        <f>IF($X$100="","",$Z$72)</f>
        <v/>
      </c>
      <c r="AA100" s="477" t="str">
        <f>IF($AC$100="","",ROW($A$100)-ROW($A$72))</f>
        <v/>
      </c>
      <c r="AB100" s="478"/>
      <c r="AC100" s="34"/>
      <c r="AD100" s="356"/>
      <c r="AE100" s="18"/>
      <c r="AF100" s="19"/>
      <c r="AG100" s="480" t="str">
        <f t="shared" si="4"/>
        <v/>
      </c>
      <c r="AH100" s="481" t="str">
        <f t="shared" si="5"/>
        <v/>
      </c>
      <c r="AI100" s="477" t="str">
        <f>IF($AC$100="","",IFERROR(INDEX($AZ$74:$AZ$119,MATCH($AH$100,$AY$74:$AY$119,0)),"AUTRE"))</f>
        <v/>
      </c>
      <c r="AJ100" s="482" t="str">
        <f>IF($AC$100="","",IFERROR(INDEX($BA$74:$BA$119,MATCH($AH$100,$AY$74:$AY$119,0)),1))</f>
        <v/>
      </c>
      <c r="AK100" s="482" t="str">
        <f t="shared" si="6"/>
        <v/>
      </c>
      <c r="AL100" s="477" t="str">
        <f>IF($AC$100="","",IFERROR(INDEX($BB$74:$BB$119,MATCH($AH$100,$AY$74:$AY$119,0)),$AH$100))</f>
        <v/>
      </c>
      <c r="AM100" s="483" t="str">
        <f t="shared" si="7"/>
        <v/>
      </c>
      <c r="AN100" s="484" t="str">
        <f t="shared" si="15"/>
        <v/>
      </c>
      <c r="AO100" s="473" t="str">
        <f t="shared" si="8"/>
        <v/>
      </c>
      <c r="AP100" s="473" t="str">
        <f t="shared" si="9"/>
        <v/>
      </c>
      <c r="AQ100" s="473" t="str">
        <f t="shared" si="10"/>
        <v/>
      </c>
      <c r="AR100" s="473" t="str">
        <f t="shared" si="11"/>
        <v/>
      </c>
      <c r="AS100" s="473" t="str">
        <f t="shared" si="12"/>
        <v/>
      </c>
      <c r="AT100" s="473" t="str">
        <f t="shared" si="13"/>
        <v/>
      </c>
      <c r="AU100" s="473" t="str">
        <f t="shared" si="14"/>
        <v/>
      </c>
      <c r="AY100" s="32" t="s">
        <v>316</v>
      </c>
      <c r="AZ100" s="488" t="s">
        <v>38</v>
      </c>
      <c r="BA100" s="489">
        <v>1</v>
      </c>
      <c r="BB100" s="419" t="s">
        <v>317</v>
      </c>
      <c r="BC100" s="271"/>
      <c r="BD100" s="279">
        <v>1</v>
      </c>
      <c r="BG100" s="271"/>
      <c r="BH100" s="271"/>
      <c r="BI100" s="271"/>
      <c r="BJ100" s="271"/>
      <c r="BK100" s="271"/>
      <c r="BL100" s="271"/>
    </row>
    <row r="101" spans="18:64" ht="21" customHeight="1" x14ac:dyDescent="0.25">
      <c r="R101" s="34" t="s">
        <v>6132</v>
      </c>
      <c r="S101" s="451"/>
      <c r="T101" s="32" t="s">
        <v>8125</v>
      </c>
      <c r="V101" s="475">
        <v>1</v>
      </c>
      <c r="W101" s="475" t="str">
        <f>IF($AC$101="","",$W$72)</f>
        <v/>
      </c>
      <c r="X101" s="476" t="str">
        <f>IF($AC$101="","",$X$72)</f>
        <v/>
      </c>
      <c r="Y101" s="477" t="str">
        <f>IF($X$101="","",$Y$72)</f>
        <v/>
      </c>
      <c r="Z101" s="477" t="str">
        <f>IF($X$101="","",$Z$72)</f>
        <v/>
      </c>
      <c r="AA101" s="477" t="str">
        <f>IF($AC$101="","",ROW($A$101)-ROW($A$72))</f>
        <v/>
      </c>
      <c r="AB101" s="478"/>
      <c r="AC101" s="34"/>
      <c r="AD101" s="356"/>
      <c r="AE101" s="18"/>
      <c r="AF101" s="19"/>
      <c r="AG101" s="480" t="str">
        <f t="shared" si="4"/>
        <v/>
      </c>
      <c r="AH101" s="481" t="str">
        <f t="shared" si="5"/>
        <v/>
      </c>
      <c r="AI101" s="477" t="str">
        <f>IF($AC$101="","",IFERROR(INDEX($AZ$74:$AZ$119,MATCH($AH$101,$AY$74:$AY$119,0)),"AUTRE"))</f>
        <v/>
      </c>
      <c r="AJ101" s="482" t="str">
        <f>IF($AC$101="","",IFERROR(INDEX($BA$74:$BA$119,MATCH($AH$101,$AY$74:$AY$119,0)),1))</f>
        <v/>
      </c>
      <c r="AK101" s="482" t="str">
        <f t="shared" si="6"/>
        <v/>
      </c>
      <c r="AL101" s="477" t="str">
        <f>IF($AC$101="","",IFERROR(INDEX($BB$74:$BB$119,MATCH($AH$101,$AY$74:$AY$119,0)),$AH$101))</f>
        <v/>
      </c>
      <c r="AM101" s="483" t="str">
        <f t="shared" si="7"/>
        <v/>
      </c>
      <c r="AN101" s="484" t="str">
        <f t="shared" si="15"/>
        <v/>
      </c>
      <c r="AO101" s="473" t="str">
        <f t="shared" si="8"/>
        <v/>
      </c>
      <c r="AP101" s="473" t="str">
        <f t="shared" si="9"/>
        <v/>
      </c>
      <c r="AQ101" s="473" t="str">
        <f t="shared" si="10"/>
        <v/>
      </c>
      <c r="AR101" s="473" t="str">
        <f t="shared" si="11"/>
        <v/>
      </c>
      <c r="AS101" s="473" t="str">
        <f t="shared" si="12"/>
        <v/>
      </c>
      <c r="AT101" s="473" t="str">
        <f t="shared" si="13"/>
        <v/>
      </c>
      <c r="AU101" s="473" t="str">
        <f t="shared" si="14"/>
        <v/>
      </c>
      <c r="AY101" s="32" t="s">
        <v>313</v>
      </c>
      <c r="AZ101" s="488" t="s">
        <v>38</v>
      </c>
      <c r="BA101" s="489">
        <v>1</v>
      </c>
      <c r="BB101" s="419" t="s">
        <v>314</v>
      </c>
      <c r="BC101" s="271"/>
      <c r="BD101" s="279">
        <v>1</v>
      </c>
      <c r="BG101" s="271"/>
      <c r="BH101" s="271"/>
      <c r="BI101" s="271"/>
      <c r="BJ101" s="271"/>
      <c r="BK101" s="271"/>
      <c r="BL101" s="271"/>
    </row>
    <row r="102" spans="18:64" ht="21" customHeight="1" x14ac:dyDescent="0.25">
      <c r="R102" s="25" t="s">
        <v>6133</v>
      </c>
      <c r="S102" s="451"/>
      <c r="T102" s="32" t="s">
        <v>8127</v>
      </c>
      <c r="V102" s="475">
        <v>1</v>
      </c>
      <c r="W102" s="475" t="str">
        <f>IF($AC$102="","",$W$72)</f>
        <v/>
      </c>
      <c r="X102" s="476" t="str">
        <f>IF($AC$102="","",$X$72)</f>
        <v/>
      </c>
      <c r="Y102" s="477" t="str">
        <f>IF($X$102="","",$Y$72)</f>
        <v/>
      </c>
      <c r="Z102" s="477" t="str">
        <f>IF($X$102="","",$Z$72)</f>
        <v/>
      </c>
      <c r="AA102" s="477" t="str">
        <f>IF($AC$102="","",ROW($A$102)-ROW($A$72))</f>
        <v/>
      </c>
      <c r="AB102" s="478"/>
      <c r="AC102" s="34"/>
      <c r="AD102" s="356"/>
      <c r="AE102" s="18"/>
      <c r="AF102" s="19"/>
      <c r="AG102" s="480" t="str">
        <f t="shared" si="4"/>
        <v/>
      </c>
      <c r="AH102" s="481" t="str">
        <f t="shared" si="5"/>
        <v/>
      </c>
      <c r="AI102" s="477" t="str">
        <f>IF($AC$102="","",IFERROR(INDEX($AZ$74:$AZ$119,MATCH($AH$102,$AY$74:$AY$119,0)),"AUTRE"))</f>
        <v/>
      </c>
      <c r="AJ102" s="482" t="str">
        <f>IF($AC$102="","",IFERROR(INDEX($BA$74:$BA$119,MATCH($AH$102,$AY$74:$AY$119,0)),1))</f>
        <v/>
      </c>
      <c r="AK102" s="482" t="str">
        <f t="shared" si="6"/>
        <v/>
      </c>
      <c r="AL102" s="477" t="str">
        <f>IF($AC$102="","",IFERROR(INDEX($BB$74:$BB$119,MATCH($AH$102,$AY$74:$AY$119,0)),$AH$102))</f>
        <v/>
      </c>
      <c r="AM102" s="483" t="str">
        <f t="shared" si="7"/>
        <v/>
      </c>
      <c r="AN102" s="484" t="str">
        <f t="shared" si="15"/>
        <v/>
      </c>
      <c r="AO102" s="473" t="str">
        <f t="shared" si="8"/>
        <v/>
      </c>
      <c r="AP102" s="473" t="str">
        <f t="shared" si="9"/>
        <v/>
      </c>
      <c r="AQ102" s="473" t="str">
        <f t="shared" si="10"/>
        <v/>
      </c>
      <c r="AR102" s="473" t="str">
        <f t="shared" si="11"/>
        <v/>
      </c>
      <c r="AS102" s="473" t="str">
        <f t="shared" si="12"/>
        <v/>
      </c>
      <c r="AT102" s="473" t="str">
        <f t="shared" si="13"/>
        <v/>
      </c>
      <c r="AU102" s="473" t="str">
        <f t="shared" si="14"/>
        <v/>
      </c>
      <c r="AY102" s="32" t="s">
        <v>307</v>
      </c>
      <c r="AZ102" s="488" t="s">
        <v>38</v>
      </c>
      <c r="BA102" s="489">
        <v>1</v>
      </c>
      <c r="BB102" s="419" t="s">
        <v>308</v>
      </c>
      <c r="BC102" s="271"/>
      <c r="BD102" s="279">
        <v>1</v>
      </c>
      <c r="BG102" s="271"/>
      <c r="BH102" s="271"/>
      <c r="BI102" s="271"/>
      <c r="BJ102" s="271"/>
      <c r="BK102" s="271"/>
      <c r="BL102" s="271"/>
    </row>
    <row r="103" spans="18:64" ht="21" customHeight="1" x14ac:dyDescent="0.25">
      <c r="R103" s="34" t="s">
        <v>476</v>
      </c>
      <c r="S103" s="451"/>
      <c r="T103" s="32" t="s">
        <v>320</v>
      </c>
      <c r="V103" s="475">
        <v>1</v>
      </c>
      <c r="W103" s="475" t="str">
        <f>IF($AC$103="","",$W$72)</f>
        <v/>
      </c>
      <c r="X103" s="476" t="str">
        <f>IF($AC$103="","",$X$72)</f>
        <v/>
      </c>
      <c r="Y103" s="477" t="str">
        <f>IF($X$103="","",$Y$72)</f>
        <v/>
      </c>
      <c r="Z103" s="477" t="str">
        <f>IF($X$103="","",$Z$72)</f>
        <v/>
      </c>
      <c r="AA103" s="477" t="str">
        <f>IF($AC$103="","",ROW($A$103)-ROW($A$72))</f>
        <v/>
      </c>
      <c r="AB103" s="478"/>
      <c r="AC103" s="34"/>
      <c r="AD103" s="356"/>
      <c r="AE103" s="18"/>
      <c r="AF103" s="19"/>
      <c r="AG103" s="480" t="str">
        <f t="shared" si="4"/>
        <v/>
      </c>
      <c r="AH103" s="481" t="str">
        <f t="shared" si="5"/>
        <v/>
      </c>
      <c r="AI103" s="477" t="str">
        <f>IF($AC$103="","",IFERROR(INDEX($AZ$74:$AZ$119,MATCH($AH$103,$AY$74:$AY$119,0)),"AUTRE"))</f>
        <v/>
      </c>
      <c r="AJ103" s="482" t="str">
        <f>IF($AC$103="","",IFERROR(INDEX($BA$74:$BA$119,MATCH($AH$103,$AY$74:$AY$119,0)),1))</f>
        <v/>
      </c>
      <c r="AK103" s="482" t="str">
        <f t="shared" si="6"/>
        <v/>
      </c>
      <c r="AL103" s="477" t="str">
        <f>IF($AC$103="","",IFERROR(INDEX($BB$74:$BB$119,MATCH($AH$103,$AY$74:$AY$119,0)),$AH$103))</f>
        <v/>
      </c>
      <c r="AM103" s="483" t="str">
        <f t="shared" si="7"/>
        <v/>
      </c>
      <c r="AN103" s="484" t="str">
        <f t="shared" si="15"/>
        <v/>
      </c>
      <c r="AO103" s="473" t="str">
        <f t="shared" si="8"/>
        <v/>
      </c>
      <c r="AP103" s="473" t="str">
        <f t="shared" si="9"/>
        <v/>
      </c>
      <c r="AQ103" s="473" t="str">
        <f t="shared" si="10"/>
        <v/>
      </c>
      <c r="AR103" s="473" t="str">
        <f t="shared" si="11"/>
        <v/>
      </c>
      <c r="AS103" s="473" t="str">
        <f t="shared" si="12"/>
        <v/>
      </c>
      <c r="AT103" s="473" t="str">
        <f t="shared" si="13"/>
        <v/>
      </c>
      <c r="AU103" s="473" t="str">
        <f t="shared" si="14"/>
        <v/>
      </c>
      <c r="AY103" s="32" t="s">
        <v>322</v>
      </c>
      <c r="AZ103" s="488" t="s">
        <v>38</v>
      </c>
      <c r="BA103" s="489">
        <v>1</v>
      </c>
      <c r="BB103" s="419" t="s">
        <v>323</v>
      </c>
      <c r="BC103" s="271"/>
      <c r="BD103" s="279">
        <v>1</v>
      </c>
      <c r="BG103" s="271"/>
      <c r="BH103" s="271"/>
      <c r="BI103" s="271"/>
      <c r="BJ103" s="271"/>
      <c r="BK103" s="271"/>
      <c r="BL103" s="271"/>
    </row>
    <row r="104" spans="18:64" ht="21" customHeight="1" x14ac:dyDescent="0.25">
      <c r="R104" s="34" t="s">
        <v>468</v>
      </c>
      <c r="S104" s="451"/>
      <c r="T104" s="32" t="s">
        <v>318</v>
      </c>
      <c r="V104" s="475">
        <v>1</v>
      </c>
      <c r="W104" s="475" t="str">
        <f>IF($AC$104="","",$W$72)</f>
        <v/>
      </c>
      <c r="X104" s="476" t="str">
        <f>IF($AC$104="","",$X$72)</f>
        <v/>
      </c>
      <c r="Y104" s="477" t="str">
        <f>IF($X$104="","",$Y$72)</f>
        <v/>
      </c>
      <c r="Z104" s="477" t="str">
        <f>IF($X$104="","",$Z$72)</f>
        <v/>
      </c>
      <c r="AA104" s="477" t="str">
        <f>IF($AC$104="","",ROW($A$104)-ROW($A$72))</f>
        <v/>
      </c>
      <c r="AB104" s="478"/>
      <c r="AC104" s="34"/>
      <c r="AD104" s="356"/>
      <c r="AE104" s="18"/>
      <c r="AF104" s="19"/>
      <c r="AG104" s="480" t="str">
        <f t="shared" si="4"/>
        <v/>
      </c>
      <c r="AH104" s="481" t="str">
        <f t="shared" si="5"/>
        <v/>
      </c>
      <c r="AI104" s="477" t="str">
        <f>IF($AC$104="","",IFERROR(INDEX($AZ$74:$AZ$119,MATCH($AH$104,$AY$74:$AY$119,0)),"AUTRE"))</f>
        <v/>
      </c>
      <c r="AJ104" s="482" t="str">
        <f>IF($AC$104="","",IFERROR(INDEX($BA$74:$BA$119,MATCH($AH$104,$AY$74:$AY$119,0)),1))</f>
        <v/>
      </c>
      <c r="AK104" s="482" t="str">
        <f t="shared" si="6"/>
        <v/>
      </c>
      <c r="AL104" s="477" t="str">
        <f>IF($AC$104="","",IFERROR(INDEX($BB$74:$BB$119,MATCH($AH$104,$AY$74:$AY$119,0)),$AH$104))</f>
        <v/>
      </c>
      <c r="AM104" s="483" t="str">
        <f t="shared" si="7"/>
        <v/>
      </c>
      <c r="AN104" s="484" t="str">
        <f t="shared" si="15"/>
        <v/>
      </c>
      <c r="AO104" s="473" t="str">
        <f t="shared" si="8"/>
        <v/>
      </c>
      <c r="AP104" s="473" t="str">
        <f t="shared" si="9"/>
        <v/>
      </c>
      <c r="AQ104" s="473" t="str">
        <f t="shared" si="10"/>
        <v/>
      </c>
      <c r="AR104" s="473" t="str">
        <f t="shared" si="11"/>
        <v/>
      </c>
      <c r="AS104" s="473" t="str">
        <f t="shared" si="12"/>
        <v/>
      </c>
      <c r="AT104" s="473" t="str">
        <f t="shared" si="13"/>
        <v/>
      </c>
      <c r="AU104" s="473" t="str">
        <f t="shared" si="14"/>
        <v/>
      </c>
      <c r="AY104" s="32" t="s">
        <v>305</v>
      </c>
      <c r="AZ104" s="488" t="s">
        <v>38</v>
      </c>
      <c r="BA104" s="489">
        <v>1</v>
      </c>
      <c r="BB104" s="419" t="s">
        <v>306</v>
      </c>
      <c r="BC104" s="271"/>
      <c r="BD104" s="279">
        <v>1</v>
      </c>
      <c r="BG104" s="271"/>
      <c r="BH104" s="271"/>
      <c r="BI104" s="271"/>
      <c r="BJ104" s="271"/>
      <c r="BK104" s="271"/>
      <c r="BL104" s="271"/>
    </row>
    <row r="105" spans="18:64" ht="21" customHeight="1" x14ac:dyDescent="0.25">
      <c r="R105" s="34" t="s">
        <v>473</v>
      </c>
      <c r="S105" s="451"/>
      <c r="T105" s="32" t="s">
        <v>316</v>
      </c>
      <c r="V105" s="475">
        <v>1</v>
      </c>
      <c r="W105" s="475" t="str">
        <f>IF($AC$105="","",$W$72)</f>
        <v/>
      </c>
      <c r="X105" s="476" t="str">
        <f>IF($AC$105="","",$X$72)</f>
        <v/>
      </c>
      <c r="Y105" s="477" t="str">
        <f>IF($X$105="","",$Y$72)</f>
        <v/>
      </c>
      <c r="Z105" s="477" t="str">
        <f>IF($X$105="","",$Z$72)</f>
        <v/>
      </c>
      <c r="AA105" s="477" t="str">
        <f>IF($AC$105="","",ROW($A$105)-ROW($A$72))</f>
        <v/>
      </c>
      <c r="AB105" s="478"/>
      <c r="AC105" s="34"/>
      <c r="AD105" s="356"/>
      <c r="AE105" s="18"/>
      <c r="AF105" s="19"/>
      <c r="AG105" s="480" t="str">
        <f t="shared" si="4"/>
        <v/>
      </c>
      <c r="AH105" s="481" t="str">
        <f t="shared" si="5"/>
        <v/>
      </c>
      <c r="AI105" s="477" t="str">
        <f>IF($AC$105="","",IFERROR(INDEX($AZ$74:$AZ$119,MATCH($AH$105,$AY$74:$AY$119,0)),"AUTRE"))</f>
        <v/>
      </c>
      <c r="AJ105" s="482" t="str">
        <f>IF($AC$105="","",IFERROR(INDEX($BA$74:$BA$119,MATCH($AH$105,$AY$74:$AY$119,0)),1))</f>
        <v/>
      </c>
      <c r="AK105" s="482" t="str">
        <f t="shared" si="6"/>
        <v/>
      </c>
      <c r="AL105" s="477" t="str">
        <f>IF($AC$105="","",IFERROR(INDEX($BB$74:$BB$119,MATCH($AH$105,$AY$74:$AY$119,0)),$AH$105))</f>
        <v/>
      </c>
      <c r="AM105" s="483" t="str">
        <f t="shared" si="7"/>
        <v/>
      </c>
      <c r="AN105" s="484" t="str">
        <f t="shared" si="15"/>
        <v/>
      </c>
      <c r="AO105" s="473" t="str">
        <f t="shared" si="8"/>
        <v/>
      </c>
      <c r="AP105" s="473" t="str">
        <f t="shared" si="9"/>
        <v/>
      </c>
      <c r="AQ105" s="473" t="str">
        <f t="shared" si="10"/>
        <v/>
      </c>
      <c r="AR105" s="473" t="str">
        <f t="shared" si="11"/>
        <v/>
      </c>
      <c r="AS105" s="473" t="str">
        <f t="shared" si="12"/>
        <v/>
      </c>
      <c r="AT105" s="473" t="str">
        <f t="shared" si="13"/>
        <v/>
      </c>
      <c r="AU105" s="473" t="str">
        <f t="shared" si="14"/>
        <v/>
      </c>
      <c r="AY105" s="32" t="s">
        <v>8129</v>
      </c>
      <c r="AZ105" s="488" t="s">
        <v>38</v>
      </c>
      <c r="BA105" s="489">
        <v>1</v>
      </c>
      <c r="BB105" s="419" t="s">
        <v>8130</v>
      </c>
      <c r="BC105" s="271"/>
      <c r="BD105" s="279">
        <v>1</v>
      </c>
      <c r="BG105" s="271"/>
      <c r="BH105" s="271"/>
      <c r="BI105" s="271"/>
      <c r="BJ105" s="271"/>
      <c r="BK105" s="271"/>
      <c r="BL105" s="271"/>
    </row>
    <row r="106" spans="18:64" ht="21" customHeight="1" x14ac:dyDescent="0.25">
      <c r="R106" s="34" t="s">
        <v>497</v>
      </c>
      <c r="S106" s="451"/>
      <c r="T106" s="32" t="s">
        <v>313</v>
      </c>
      <c r="V106" s="475">
        <v>1</v>
      </c>
      <c r="W106" s="475" t="str">
        <f>IF($AC$106="","",$W$72)</f>
        <v/>
      </c>
      <c r="X106" s="476" t="str">
        <f>IF($AC$106="","",$X$72)</f>
        <v/>
      </c>
      <c r="Y106" s="477" t="str">
        <f>IF($X$106="","",$Y$72)</f>
        <v/>
      </c>
      <c r="Z106" s="477" t="str">
        <f>IF($X$106="","",$Z$72)</f>
        <v/>
      </c>
      <c r="AA106" s="477" t="str">
        <f>IF($AC$106="","",ROW($A$106)-ROW($A$72))</f>
        <v/>
      </c>
      <c r="AB106" s="478"/>
      <c r="AC106" s="34"/>
      <c r="AD106" s="356"/>
      <c r="AE106" s="18"/>
      <c r="AF106" s="24"/>
      <c r="AG106" s="491" t="str">
        <f t="shared" si="4"/>
        <v/>
      </c>
      <c r="AH106" s="481" t="str">
        <f t="shared" si="5"/>
        <v/>
      </c>
      <c r="AI106" s="477" t="str">
        <f>IF($AC$106="","",IFERROR(INDEX($AZ$74:$AZ$119,MATCH($AH$106,$AY$74:$AY$119,0)),"AUTRE"))</f>
        <v/>
      </c>
      <c r="AJ106" s="482" t="str">
        <f>IF($AC$106="","",IFERROR(INDEX($BA$74:$BA$119,MATCH($AH$106,$AY$74:$AY$119,0)),1))</f>
        <v/>
      </c>
      <c r="AK106" s="482" t="str">
        <f t="shared" si="6"/>
        <v/>
      </c>
      <c r="AL106" s="477" t="str">
        <f>IF($AC$106="","",IFERROR(INDEX($BB$74:$BB$119,MATCH($AH$106,$AY$74:$AY$119,0)),$AH$106))</f>
        <v/>
      </c>
      <c r="AM106" s="483" t="str">
        <f t="shared" si="7"/>
        <v/>
      </c>
      <c r="AN106" s="484" t="str">
        <f t="shared" si="15"/>
        <v/>
      </c>
      <c r="AO106" s="473" t="str">
        <f t="shared" si="8"/>
        <v/>
      </c>
      <c r="AP106" s="473" t="str">
        <f t="shared" si="9"/>
        <v/>
      </c>
      <c r="AQ106" s="473" t="str">
        <f t="shared" si="10"/>
        <v/>
      </c>
      <c r="AR106" s="473" t="str">
        <f t="shared" si="11"/>
        <v/>
      </c>
      <c r="AS106" s="473" t="str">
        <f t="shared" si="12"/>
        <v/>
      </c>
      <c r="AT106" s="473" t="str">
        <f t="shared" si="13"/>
        <v/>
      </c>
      <c r="AU106" s="473" t="str">
        <f t="shared" si="14"/>
        <v/>
      </c>
      <c r="AY106" s="32" t="s">
        <v>8131</v>
      </c>
      <c r="AZ106" s="488" t="s">
        <v>38</v>
      </c>
      <c r="BA106" s="489">
        <v>1</v>
      </c>
      <c r="BB106" s="419" t="s">
        <v>8132</v>
      </c>
      <c r="BC106" s="271"/>
      <c r="BD106" s="279">
        <v>1</v>
      </c>
      <c r="BE106" s="271"/>
      <c r="BF106" s="271"/>
      <c r="BG106" s="271"/>
      <c r="BH106" s="271"/>
      <c r="BI106" s="271"/>
      <c r="BJ106" s="271"/>
      <c r="BK106" s="271"/>
      <c r="BL106" s="271"/>
    </row>
    <row r="107" spans="18:64" ht="30" customHeight="1" x14ac:dyDescent="0.25">
      <c r="R107" s="34" t="s">
        <v>470</v>
      </c>
      <c r="S107" s="451"/>
      <c r="T107" s="32" t="s">
        <v>307</v>
      </c>
      <c r="V107" s="453" t="s">
        <v>324</v>
      </c>
      <c r="W107" s="453" t="s">
        <v>7912</v>
      </c>
      <c r="X107" s="453" t="s">
        <v>326</v>
      </c>
      <c r="Y107" s="453" t="s">
        <v>327</v>
      </c>
      <c r="Z107" s="454" t="s">
        <v>7930</v>
      </c>
      <c r="AA107" s="453" t="s">
        <v>7937</v>
      </c>
      <c r="AB107" s="455" t="s">
        <v>39</v>
      </c>
      <c r="AC107" s="455" t="s">
        <v>338</v>
      </c>
      <c r="AD107" s="455" t="s">
        <v>8114</v>
      </c>
      <c r="AE107" s="455" t="s">
        <v>339</v>
      </c>
      <c r="AF107" s="455" t="s">
        <v>7997</v>
      </c>
      <c r="AG107" s="453" t="s">
        <v>8018</v>
      </c>
      <c r="AH107" s="453" t="s">
        <v>8023</v>
      </c>
      <c r="AI107" s="453" t="s">
        <v>330</v>
      </c>
      <c r="AJ107" s="453" t="s">
        <v>8031</v>
      </c>
      <c r="AK107" s="453" t="s">
        <v>8037</v>
      </c>
      <c r="AL107" s="453" t="s">
        <v>8041</v>
      </c>
      <c r="AM107" s="453" t="s">
        <v>343</v>
      </c>
      <c r="AN107" s="457" t="s">
        <v>8115</v>
      </c>
      <c r="AO107" s="457" t="s">
        <v>8116</v>
      </c>
      <c r="AP107" s="656" t="s">
        <v>8117</v>
      </c>
      <c r="AQ107" s="656"/>
      <c r="AR107" s="656"/>
      <c r="AS107" s="656"/>
      <c r="AT107" s="656"/>
      <c r="AU107" s="657"/>
      <c r="AY107" s="32" t="s">
        <v>309</v>
      </c>
      <c r="AZ107" s="488" t="s">
        <v>38</v>
      </c>
      <c r="BA107" s="489">
        <v>1</v>
      </c>
      <c r="BB107" s="419" t="s">
        <v>310</v>
      </c>
      <c r="BC107" s="271"/>
      <c r="BD107" s="279">
        <v>1</v>
      </c>
      <c r="BE107" s="271"/>
      <c r="BF107" s="271"/>
      <c r="BG107" s="271"/>
      <c r="BH107" s="271"/>
      <c r="BI107" s="271"/>
      <c r="BJ107" s="271"/>
      <c r="BK107" s="271"/>
      <c r="BL107" s="271"/>
    </row>
    <row r="108" spans="18:64" ht="30" customHeight="1" x14ac:dyDescent="0.25">
      <c r="R108" s="34" t="s">
        <v>477</v>
      </c>
      <c r="S108" s="451"/>
      <c r="T108" s="32" t="s">
        <v>322</v>
      </c>
      <c r="V108" s="459">
        <v>2</v>
      </c>
      <c r="W108" s="12" t="s">
        <v>227</v>
      </c>
      <c r="X108" s="492" t="s">
        <v>228</v>
      </c>
      <c r="Y108" s="15">
        <v>52</v>
      </c>
      <c r="Z108" s="463">
        <v>100</v>
      </c>
      <c r="AA108" s="464">
        <v>0</v>
      </c>
      <c r="AB108" s="493"/>
      <c r="AC108" s="494" t="s">
        <v>408</v>
      </c>
      <c r="AD108" s="495"/>
      <c r="AE108" s="13">
        <v>4</v>
      </c>
      <c r="AF108" s="11" t="s">
        <v>7</v>
      </c>
      <c r="AG108" s="467">
        <f t="shared" ref="AG108:AG142" si="16">IF($AC108="","",IF(LEN($AN108&amp;"")=0,"",$AN108))</f>
        <v>4</v>
      </c>
      <c r="AH108" s="468" t="str">
        <f t="shared" ref="AH108:AH142" si="17">IF($AC108="","",IF($AF108&lt;&gt;"",UPPER(TRIM(SUBSTITUTE(SUBSTITUTE($AF108&amp;"",CHAR(160)," ")," "," "))),$AP108))</f>
        <v>KG</v>
      </c>
      <c r="AI108" s="469" t="str">
        <f>IF($AC$108="","",IFERROR(INDEX($AZ$74:$AZ$119,MATCH($AH$108,$AY$74:$AY$119,0)),"AUTRE"))</f>
        <v>MASSE</v>
      </c>
      <c r="AJ108" s="470">
        <f>IF($AC$108="","",IFERROR(INDEX($BA$74:$BA$119,MATCH($AH$108,$AY$74:$AY$119,0)),1))</f>
        <v>1</v>
      </c>
      <c r="AK108" s="470">
        <f t="shared" ref="AK108:AK142" si="18">IF(OR(AG108="",AJ108=""),"",AG108*AJ108)</f>
        <v>4</v>
      </c>
      <c r="AL108" s="469" t="str">
        <f>IF($AC$108="","",IFERROR(INDEX($BB$74:$BB$119,MATCH($AH$108,$AY$74:$AY$119,0)),$AH$108))</f>
        <v>kg</v>
      </c>
      <c r="AM108" s="471" t="str">
        <f t="shared" ref="AM108:AM142" si="19">IF($AC108="","",IF($AH108="QT. SUFFISANTE","OK",IF($AG108="","TEXTE",IF(NOT(ISNUMBER($AG108)),"QUANTITÉ À CONTRÔLER",IF(COUNTIF($AY$74:$AY$119,$AH108)=0,"UNITÉ À CONTRÔLER","OK")))))</f>
        <v>OK</v>
      </c>
      <c r="AN108" s="474">
        <f t="shared" ref="AN108:AN142" si="20">IF($AE108&lt;&gt;"",$AE108,IF($AD108="","",IF(ISNUMBER($AD108),$AD108,IF($AO108="QT",0,IF($AO108="","",IFERROR(IF(ISNUMBER(SEARCH("/",$AO108)),VALUE(TRIM(LEFT($AO108,SEARCH("/",$AO108)-1)))/VALUE(TRIM(MID($AO108,SEARCH("/",$AO108)+1,99))),VALUE(SUBSTITUTE($AO108,".",","))),""))))))</f>
        <v>4</v>
      </c>
      <c r="AO108" s="473" t="str">
        <f t="shared" ref="AO108:AO142" si="21">IF($AD108="","",IF(ISNUMBER($AD108),$AD108,IF(OR(LEFT($AQ108,3)="QT.",LEFT($AQ108,4)="QUAN"),"QT",IF($AR108=999,$AQ108,TRIM(LEFT($AQ108,$AR108-1))))))</f>
        <v/>
      </c>
      <c r="AP108" s="473" t="str">
        <f t="shared" ref="AP108:AP142" si="22">IF($AD108="","",IF(ISNUMBER($AD108),"",IF(OR(LEFT($AQ108,3)="QT.",LEFT($AQ108,4)="QUAN"),"QT. SUFFISANTE",IF($AO108="","",TRIM(MID($AQ108,LEN($AO108&amp;"")+1,999))))))</f>
        <v/>
      </c>
      <c r="AQ108" s="473" t="str">
        <f t="shared" ref="AQ108:AQ142" si="23">IF($AD108="","",UPPER(TRIM(SUBSTITUTE(SUBSTITUTE($AD108&amp;"",CHAR(160)," ")," "," "))))</f>
        <v/>
      </c>
      <c r="AR108" s="473" t="str">
        <f t="shared" ref="AR108:AR142" si="24">IF($AQ108="","",MIN($AS108,$AT108,$AU108))</f>
        <v/>
      </c>
      <c r="AS108" s="473" t="str">
        <f t="shared" ref="AS108:AS142" si="25">IF($AQ108="","",MIN(IFERROR(SEARCH("A",$AQ108),999),IFERROR(SEARCH("B",$AQ108),999),IFERROR(SEARCH("C",$AQ108),999),IFERROR(SEARCH("D",$AQ108),999),IFERROR(SEARCH("E",$AQ108),999),IFERROR(SEARCH("F",$AQ108),999),IFERROR(SEARCH("G",$AQ108),999),IFERROR(SEARCH("H",$AQ108),999),IFERROR(SEARCH("I",$AQ108),999)))</f>
        <v/>
      </c>
      <c r="AT108" s="473" t="str">
        <f t="shared" ref="AT108:AT142" si="26">IF($AQ108="","",MIN(IFERROR(SEARCH("J",$AQ108),999),IFERROR(SEARCH("K",$AQ108),999),IFERROR(SEARCH("L",$AQ108),999),IFERROR(SEARCH("M",$AQ108),999),IFERROR(SEARCH("N",$AQ108),999),IFERROR(SEARCH("O",$AQ108),999),IFERROR(SEARCH("P",$AQ108),999),IFERROR(SEARCH("Q",$AQ108),999),IFERROR(SEARCH("R",$AQ108),999)))</f>
        <v/>
      </c>
      <c r="AU108" s="473" t="str">
        <f t="shared" ref="AU108:AU142" si="27">IF($AQ108="","",MIN(IFERROR(SEARCH("S",$AQ108),999),IFERROR(SEARCH("T",$AQ108),999),IFERROR(SEARCH("U",$AQ108),999),IFERROR(SEARCH("V",$AQ108),999),IFERROR(SEARCH("W",$AQ108),999),IFERROR(SEARCH("X",$AQ108),999),IFERROR(SEARCH("Y",$AQ108),999),IFERROR(SEARCH("Z",$AQ108),999)))</f>
        <v/>
      </c>
      <c r="AY108" s="32" t="s">
        <v>311</v>
      </c>
      <c r="AZ108" s="488" t="s">
        <v>38</v>
      </c>
      <c r="BA108" s="489">
        <v>1</v>
      </c>
      <c r="BB108" s="419" t="s">
        <v>312</v>
      </c>
      <c r="BC108" s="271"/>
      <c r="BD108" s="279">
        <v>1</v>
      </c>
      <c r="BE108" s="271"/>
      <c r="BF108" s="271"/>
      <c r="BG108" s="271"/>
      <c r="BH108" s="271"/>
      <c r="BI108" s="271"/>
      <c r="BJ108" s="271"/>
      <c r="BK108" s="271"/>
      <c r="BL108" s="271"/>
    </row>
    <row r="109" spans="18:64" ht="21" customHeight="1" x14ac:dyDescent="0.25">
      <c r="S109" s="451"/>
      <c r="T109" s="32" t="s">
        <v>305</v>
      </c>
      <c r="V109" s="475">
        <f>$V$108</f>
        <v>2</v>
      </c>
      <c r="W109" s="475" t="str">
        <f>IF($AC$109="","",$W$108)</f>
        <v>N° 35</v>
      </c>
      <c r="X109" s="476" t="str">
        <f>IF($AC$109="","",$X$108)</f>
        <v>TOASTS A L'ANCHOÏADE</v>
      </c>
      <c r="Y109" s="477">
        <f>IF($X$109="","",$Y$108)</f>
        <v>52</v>
      </c>
      <c r="Z109" s="477">
        <f>IF($X$109="","",$Z$108)</f>
        <v>100</v>
      </c>
      <c r="AA109" s="477">
        <f>IF($AC$109="","",ROW($A$109)-ROW($A$108))</f>
        <v>1</v>
      </c>
      <c r="AB109" s="478"/>
      <c r="AC109" s="34" t="s">
        <v>435</v>
      </c>
      <c r="AD109" s="356"/>
      <c r="AE109" s="18">
        <v>2.5</v>
      </c>
      <c r="AF109" s="11" t="s">
        <v>7</v>
      </c>
      <c r="AG109" s="480">
        <f t="shared" si="16"/>
        <v>2.5</v>
      </c>
      <c r="AH109" s="481" t="str">
        <f t="shared" si="17"/>
        <v>KG</v>
      </c>
      <c r="AI109" s="477" t="str">
        <f>IF($AC$109="","",IFERROR(INDEX($AZ$74:$AZ$119,MATCH($AH$109,$AY$74:$AY$119,0)),"AUTRE"))</f>
        <v>MASSE</v>
      </c>
      <c r="AJ109" s="482">
        <f>IF($AC$109="","",IFERROR(INDEX($BA$74:$BA$119,MATCH($AH$109,$AY$74:$AY$119,0)),1))</f>
        <v>1</v>
      </c>
      <c r="AK109" s="482">
        <f t="shared" si="18"/>
        <v>2.5</v>
      </c>
      <c r="AL109" s="477" t="str">
        <f>IF($AC$109="","",IFERROR(INDEX($BB$74:$BB$119,MATCH($AH$109,$AY$74:$AY$119,0)),$AH$109))</f>
        <v>kg</v>
      </c>
      <c r="AM109" s="483" t="str">
        <f t="shared" si="19"/>
        <v>OK</v>
      </c>
      <c r="AN109" s="484">
        <f t="shared" si="20"/>
        <v>2.5</v>
      </c>
      <c r="AO109" s="473" t="str">
        <f t="shared" si="21"/>
        <v/>
      </c>
      <c r="AP109" s="473" t="str">
        <f t="shared" si="22"/>
        <v/>
      </c>
      <c r="AQ109" s="473" t="str">
        <f t="shared" si="23"/>
        <v/>
      </c>
      <c r="AR109" s="473" t="str">
        <f t="shared" si="24"/>
        <v/>
      </c>
      <c r="AS109" s="473" t="str">
        <f t="shared" si="25"/>
        <v/>
      </c>
      <c r="AT109" s="473" t="str">
        <f t="shared" si="26"/>
        <v/>
      </c>
      <c r="AU109" s="473" t="str">
        <f t="shared" si="27"/>
        <v/>
      </c>
      <c r="AY109" s="32" t="s">
        <v>8135</v>
      </c>
      <c r="AZ109" s="488" t="s">
        <v>38</v>
      </c>
      <c r="BA109" s="489">
        <v>1</v>
      </c>
      <c r="BB109" s="419" t="s">
        <v>8136</v>
      </c>
      <c r="BC109" s="271"/>
      <c r="BD109" s="279">
        <v>1</v>
      </c>
      <c r="BE109" s="271"/>
      <c r="BF109" s="271"/>
      <c r="BG109" s="271"/>
      <c r="BH109" s="271"/>
      <c r="BI109" s="271"/>
      <c r="BJ109" s="271"/>
      <c r="BK109" s="271"/>
      <c r="BL109" s="271"/>
    </row>
    <row r="110" spans="18:64" ht="21" customHeight="1" x14ac:dyDescent="0.25">
      <c r="R110" s="25" t="s">
        <v>6134</v>
      </c>
      <c r="S110" s="451"/>
      <c r="T110" s="32" t="s">
        <v>309</v>
      </c>
      <c r="V110" s="475">
        <v>2</v>
      </c>
      <c r="W110" s="475" t="str">
        <f>IF($AC$110="","",$W$108)</f>
        <v>N° 35</v>
      </c>
      <c r="X110" s="476" t="str">
        <f>IF($AC$110="","",$X$108)</f>
        <v>TOASTS A L'ANCHOÏADE</v>
      </c>
      <c r="Y110" s="477">
        <f>IF($X$110="","",$Y$108)</f>
        <v>52</v>
      </c>
      <c r="Z110" s="477">
        <f>IF($X$110="","",$Z$108)</f>
        <v>100</v>
      </c>
      <c r="AA110" s="477">
        <f>IF($AC$110="","",ROW($A$110)-ROW($A$108))</f>
        <v>2</v>
      </c>
      <c r="AB110" s="478"/>
      <c r="AC110" s="34" t="s">
        <v>41</v>
      </c>
      <c r="AD110" s="356"/>
      <c r="AE110" s="18">
        <v>75</v>
      </c>
      <c r="AF110" s="16" t="s">
        <v>8</v>
      </c>
      <c r="AG110" s="480">
        <f t="shared" si="16"/>
        <v>75</v>
      </c>
      <c r="AH110" s="481" t="str">
        <f t="shared" si="17"/>
        <v>G</v>
      </c>
      <c r="AI110" s="477" t="str">
        <f>IF($AC$110="","",IFERROR(INDEX($AZ$74:$AZ$119,MATCH($AH$110,$AY$74:$AY$119,0)),"AUTRE"))</f>
        <v>MASSE</v>
      </c>
      <c r="AJ110" s="482">
        <f>IF($AC$110="","",IFERROR(INDEX($BA$74:$BA$119,MATCH($AH$110,$AY$74:$AY$119,0)),1))</f>
        <v>1E-3</v>
      </c>
      <c r="AK110" s="482">
        <f t="shared" si="18"/>
        <v>7.4999999999999997E-2</v>
      </c>
      <c r="AL110" s="477" t="str">
        <f>IF($AC$110="","",IFERROR(INDEX($BB$74:$BB$119,MATCH($AH$110,$AY$74:$AY$119,0)),$AH$110))</f>
        <v>kg</v>
      </c>
      <c r="AM110" s="483" t="str">
        <f t="shared" si="19"/>
        <v>OK</v>
      </c>
      <c r="AN110" s="484">
        <f t="shared" si="20"/>
        <v>75</v>
      </c>
      <c r="AO110" s="473" t="str">
        <f t="shared" si="21"/>
        <v/>
      </c>
      <c r="AP110" s="473" t="str">
        <f t="shared" si="22"/>
        <v/>
      </c>
      <c r="AQ110" s="473" t="str">
        <f t="shared" si="23"/>
        <v/>
      </c>
      <c r="AR110" s="473" t="str">
        <f t="shared" si="24"/>
        <v/>
      </c>
      <c r="AS110" s="473" t="str">
        <f t="shared" si="25"/>
        <v/>
      </c>
      <c r="AT110" s="473" t="str">
        <f t="shared" si="26"/>
        <v/>
      </c>
      <c r="AU110" s="473" t="str">
        <f t="shared" si="27"/>
        <v/>
      </c>
      <c r="AY110" s="32" t="s">
        <v>8137</v>
      </c>
      <c r="AZ110" s="488" t="s">
        <v>38</v>
      </c>
      <c r="BA110" s="489">
        <v>1</v>
      </c>
      <c r="BB110" s="419" t="s">
        <v>8138</v>
      </c>
      <c r="BC110" s="271"/>
      <c r="BD110" s="279">
        <v>1</v>
      </c>
      <c r="BE110" s="271"/>
      <c r="BF110" s="271"/>
      <c r="BG110" s="271"/>
      <c r="BH110" s="271"/>
      <c r="BI110" s="271"/>
      <c r="BJ110" s="271"/>
      <c r="BK110" s="271"/>
      <c r="BL110" s="271"/>
    </row>
    <row r="111" spans="18:64" ht="21" customHeight="1" x14ac:dyDescent="0.25">
      <c r="R111" s="34" t="s">
        <v>481</v>
      </c>
      <c r="S111" s="451"/>
      <c r="T111" s="32" t="s">
        <v>311</v>
      </c>
      <c r="V111" s="475">
        <v>2</v>
      </c>
      <c r="W111" s="475" t="str">
        <f>IF($AC$111="","",$W$108)</f>
        <v>N° 35</v>
      </c>
      <c r="X111" s="476" t="str">
        <f>IF($AC$111="","",$X$108)</f>
        <v>TOASTS A L'ANCHOÏADE</v>
      </c>
      <c r="Y111" s="477">
        <f>IF($X$111="","",$Y$108)</f>
        <v>52</v>
      </c>
      <c r="Z111" s="477">
        <f>IF($X$111="","",$Z$108)</f>
        <v>100</v>
      </c>
      <c r="AA111" s="477">
        <f>IF($AC$111="","",ROW($A$111)-ROW($A$108))</f>
        <v>3</v>
      </c>
      <c r="AB111" s="478"/>
      <c r="AC111" s="34" t="s">
        <v>42</v>
      </c>
      <c r="AD111" s="356"/>
      <c r="AE111" s="23" t="s">
        <v>33</v>
      </c>
      <c r="AF111" s="19"/>
      <c r="AG111" s="480" t="str">
        <f t="shared" si="16"/>
        <v>QT. SUFFISANTE</v>
      </c>
      <c r="AH111" s="481" t="str">
        <f t="shared" si="17"/>
        <v/>
      </c>
      <c r="AI111" s="477" t="str">
        <f>IF($AC$111="","",IFERROR(INDEX($AZ$74:$AZ$119,MATCH($AH$111,$AY$74:$AY$119,0)),"AUTRE"))</f>
        <v>AUTRE</v>
      </c>
      <c r="AJ111" s="482">
        <f>IF($AC$111="","",IFERROR(INDEX($BA$74:$BA$119,MATCH($AH$111,$AY$74:$AY$119,0)),1))</f>
        <v>1</v>
      </c>
      <c r="AK111" s="482" t="e">
        <f t="shared" si="18"/>
        <v>#VALUE!</v>
      </c>
      <c r="AL111" s="477" t="str">
        <f>IF($AC$111="","",IFERROR(INDEX($BB$74:$BB$119,MATCH($AH$111,$AY$74:$AY$119,0)),$AH$111))</f>
        <v/>
      </c>
      <c r="AM111" s="483" t="str">
        <f t="shared" si="19"/>
        <v>QUANTITÉ À CONTRÔLER</v>
      </c>
      <c r="AN111" s="484" t="str">
        <f t="shared" si="20"/>
        <v>QT. SUFFISANTE</v>
      </c>
      <c r="AO111" s="473" t="str">
        <f t="shared" si="21"/>
        <v/>
      </c>
      <c r="AP111" s="473" t="str">
        <f t="shared" si="22"/>
        <v/>
      </c>
      <c r="AQ111" s="473" t="str">
        <f t="shared" si="23"/>
        <v/>
      </c>
      <c r="AR111" s="473" t="str">
        <f t="shared" si="24"/>
        <v/>
      </c>
      <c r="AS111" s="473" t="str">
        <f t="shared" si="25"/>
        <v/>
      </c>
      <c r="AT111" s="473" t="str">
        <f t="shared" si="26"/>
        <v/>
      </c>
      <c r="AU111" s="473" t="str">
        <f t="shared" si="27"/>
        <v/>
      </c>
      <c r="AY111" s="32" t="s">
        <v>8139</v>
      </c>
      <c r="AZ111" s="488" t="s">
        <v>38</v>
      </c>
      <c r="BA111" s="489">
        <v>1</v>
      </c>
      <c r="BB111" s="419" t="s">
        <v>8140</v>
      </c>
      <c r="BC111" s="271"/>
      <c r="BD111" s="279">
        <v>1</v>
      </c>
      <c r="BE111" s="271"/>
      <c r="BF111" s="271"/>
      <c r="BG111" s="271"/>
      <c r="BH111" s="271"/>
      <c r="BI111" s="271"/>
      <c r="BJ111" s="271"/>
      <c r="BK111" s="271"/>
      <c r="BL111" s="271"/>
    </row>
    <row r="112" spans="18:64" ht="21" customHeight="1" x14ac:dyDescent="0.25">
      <c r="R112" s="34" t="s">
        <v>475</v>
      </c>
      <c r="S112" s="451"/>
      <c r="T112" s="32" t="s">
        <v>8135</v>
      </c>
      <c r="V112" s="475">
        <v>2</v>
      </c>
      <c r="W112" s="475" t="str">
        <f>IF($AC$112="","",$W$108)</f>
        <v>N° 35</v>
      </c>
      <c r="X112" s="476" t="str">
        <f>IF($AC$112="","",$X$108)</f>
        <v>TOASTS A L'ANCHOÏADE</v>
      </c>
      <c r="Y112" s="477">
        <f>IF($X$112="","",$Y$108)</f>
        <v>52</v>
      </c>
      <c r="Z112" s="477">
        <f>IF($X$112="","",$Z$108)</f>
        <v>100</v>
      </c>
      <c r="AA112" s="477">
        <f>IF($AC$112="","",ROW($A$112)-ROW($A$108))</f>
        <v>4</v>
      </c>
      <c r="AB112" s="478"/>
      <c r="AC112" s="34" t="s">
        <v>118</v>
      </c>
      <c r="AD112" s="356"/>
      <c r="AE112" s="18">
        <v>75</v>
      </c>
      <c r="AF112" s="21" t="s">
        <v>11</v>
      </c>
      <c r="AG112" s="480">
        <f t="shared" si="16"/>
        <v>75</v>
      </c>
      <c r="AH112" s="481" t="str">
        <f t="shared" si="17"/>
        <v>CL</v>
      </c>
      <c r="AI112" s="477" t="str">
        <f>IF($AC$112="","",IFERROR(INDEX($AZ$74:$AZ$119,MATCH($AH$112,$AY$74:$AY$119,0)),"AUTRE"))</f>
        <v>VOLUME</v>
      </c>
      <c r="AJ112" s="482">
        <f>IF($AC$112="","",IFERROR(INDEX($BA$74:$BA$119,MATCH($AH$112,$AY$74:$AY$119,0)),1))</f>
        <v>0.01</v>
      </c>
      <c r="AK112" s="482">
        <f t="shared" si="18"/>
        <v>0.75</v>
      </c>
      <c r="AL112" s="477" t="str">
        <f>IF($AC$112="","",IFERROR(INDEX($BB$74:$BB$119,MATCH($AH$112,$AY$74:$AY$119,0)),$AH$112))</f>
        <v>L</v>
      </c>
      <c r="AM112" s="483" t="str">
        <f t="shared" si="19"/>
        <v>OK</v>
      </c>
      <c r="AN112" s="484">
        <f t="shared" si="20"/>
        <v>75</v>
      </c>
      <c r="AO112" s="473" t="str">
        <f t="shared" si="21"/>
        <v/>
      </c>
      <c r="AP112" s="473" t="str">
        <f t="shared" si="22"/>
        <v/>
      </c>
      <c r="AQ112" s="473" t="str">
        <f t="shared" si="23"/>
        <v/>
      </c>
      <c r="AR112" s="473" t="str">
        <f t="shared" si="24"/>
        <v/>
      </c>
      <c r="AS112" s="473" t="str">
        <f t="shared" si="25"/>
        <v/>
      </c>
      <c r="AT112" s="473" t="str">
        <f t="shared" si="26"/>
        <v/>
      </c>
      <c r="AU112" s="473" t="str">
        <f t="shared" si="27"/>
        <v/>
      </c>
      <c r="AY112" s="32" t="s">
        <v>8141</v>
      </c>
      <c r="AZ112" s="488" t="s">
        <v>38</v>
      </c>
      <c r="BA112" s="489">
        <v>1</v>
      </c>
      <c r="BB112" s="419" t="s">
        <v>8142</v>
      </c>
      <c r="BC112" s="271"/>
      <c r="BD112" s="279">
        <v>1</v>
      </c>
      <c r="BE112" s="271"/>
      <c r="BF112" s="271"/>
      <c r="BG112" s="271"/>
      <c r="BH112" s="271"/>
      <c r="BI112" s="271"/>
      <c r="BJ112" s="271"/>
      <c r="BK112" s="271"/>
      <c r="BL112" s="271"/>
    </row>
    <row r="113" spans="18:64" ht="21" customHeight="1" x14ac:dyDescent="0.25">
      <c r="R113" s="34" t="s">
        <v>457</v>
      </c>
      <c r="S113" s="451"/>
      <c r="T113" s="497" t="s">
        <v>462</v>
      </c>
      <c r="V113" s="475">
        <v>2</v>
      </c>
      <c r="W113" s="475" t="str">
        <f>IF($AC$113="","",$W$108)</f>
        <v/>
      </c>
      <c r="X113" s="476" t="str">
        <f>IF($AC$113="","",$X$108)</f>
        <v/>
      </c>
      <c r="Y113" s="477" t="str">
        <f>IF($X$113="","",$Y$108)</f>
        <v/>
      </c>
      <c r="Z113" s="477" t="str">
        <f>IF($X$113="","",$Z$108)</f>
        <v/>
      </c>
      <c r="AA113" s="477" t="str">
        <f>IF($AC$113="","",ROW($A$113)-ROW($A$108))</f>
        <v/>
      </c>
      <c r="AB113" s="478"/>
      <c r="AC113" s="34"/>
      <c r="AD113" s="356"/>
      <c r="AE113" s="18"/>
      <c r="AF113" s="19"/>
      <c r="AG113" s="480" t="str">
        <f t="shared" si="16"/>
        <v/>
      </c>
      <c r="AH113" s="481" t="str">
        <f t="shared" si="17"/>
        <v/>
      </c>
      <c r="AI113" s="477" t="str">
        <f>IF($AC$113="","",IFERROR(INDEX($AZ$74:$AZ$119,MATCH($AH$113,$AY$74:$AY$119,0)),"AUTRE"))</f>
        <v/>
      </c>
      <c r="AJ113" s="482" t="str">
        <f>IF($AC$113="","",IFERROR(INDEX($BA$74:$BA$119,MATCH($AH$113,$AY$74:$AY$119,0)),1))</f>
        <v/>
      </c>
      <c r="AK113" s="482" t="str">
        <f t="shared" si="18"/>
        <v/>
      </c>
      <c r="AL113" s="477" t="str">
        <f>IF($AC$113="","",IFERROR(INDEX($BB$74:$BB$119,MATCH($AH$113,$AY$74:$AY$119,0)),$AH$113))</f>
        <v/>
      </c>
      <c r="AM113" s="483" t="str">
        <f t="shared" si="19"/>
        <v/>
      </c>
      <c r="AN113" s="484" t="str">
        <f t="shared" si="20"/>
        <v/>
      </c>
      <c r="AO113" s="473" t="str">
        <f t="shared" si="21"/>
        <v/>
      </c>
      <c r="AP113" s="473" t="str">
        <f t="shared" si="22"/>
        <v/>
      </c>
      <c r="AQ113" s="473" t="str">
        <f t="shared" si="23"/>
        <v/>
      </c>
      <c r="AR113" s="473" t="str">
        <f t="shared" si="24"/>
        <v/>
      </c>
      <c r="AS113" s="473" t="str">
        <f t="shared" si="25"/>
        <v/>
      </c>
      <c r="AT113" s="473" t="str">
        <f t="shared" si="26"/>
        <v/>
      </c>
      <c r="AU113" s="473" t="str">
        <f t="shared" si="27"/>
        <v/>
      </c>
      <c r="AY113" s="32" t="s">
        <v>8143</v>
      </c>
      <c r="AZ113" s="488" t="s">
        <v>38</v>
      </c>
      <c r="BA113" s="489">
        <v>1</v>
      </c>
      <c r="BB113" s="419" t="s">
        <v>8144</v>
      </c>
      <c r="BC113" s="271"/>
      <c r="BD113" s="279">
        <v>1</v>
      </c>
      <c r="BE113" s="271"/>
      <c r="BF113" s="271"/>
      <c r="BG113" s="271"/>
      <c r="BH113" s="271"/>
      <c r="BI113" s="271"/>
      <c r="BJ113" s="271"/>
      <c r="BK113" s="271"/>
      <c r="BL113" s="271"/>
    </row>
    <row r="114" spans="18:64" ht="21" customHeight="1" x14ac:dyDescent="0.25">
      <c r="R114" s="34" t="s">
        <v>482</v>
      </c>
      <c r="S114" s="451"/>
      <c r="T114" s="497" t="s">
        <v>463</v>
      </c>
      <c r="V114" s="475">
        <v>2</v>
      </c>
      <c r="W114" s="475" t="str">
        <f>IF($AC$114="","",$W$108)</f>
        <v/>
      </c>
      <c r="X114" s="476" t="str">
        <f>IF($AC$114="","",$X$108)</f>
        <v/>
      </c>
      <c r="Y114" s="477" t="str">
        <f>IF($X$114="","",$Y$108)</f>
        <v/>
      </c>
      <c r="Z114" s="477" t="str">
        <f>IF($X$114="","",$Z$108)</f>
        <v/>
      </c>
      <c r="AA114" s="477" t="str">
        <f>IF($AC$114="","",ROW($A$114)-ROW($A$108))</f>
        <v/>
      </c>
      <c r="AB114" s="478"/>
      <c r="AC114" s="34"/>
      <c r="AD114" s="356"/>
      <c r="AE114" s="18"/>
      <c r="AF114" s="19"/>
      <c r="AG114" s="480" t="str">
        <f t="shared" si="16"/>
        <v/>
      </c>
      <c r="AH114" s="481" t="str">
        <f t="shared" si="17"/>
        <v/>
      </c>
      <c r="AI114" s="477" t="str">
        <f>IF($AC$114="","",IFERROR(INDEX($AZ$74:$AZ$119,MATCH($AH$114,$AY$74:$AY$119,0)),"AUTRE"))</f>
        <v/>
      </c>
      <c r="AJ114" s="482" t="str">
        <f>IF($AC$114="","",IFERROR(INDEX($BA$74:$BA$119,MATCH($AH$114,$AY$74:$AY$119,0)),1))</f>
        <v/>
      </c>
      <c r="AK114" s="482" t="str">
        <f t="shared" si="18"/>
        <v/>
      </c>
      <c r="AL114" s="477" t="str">
        <f>IF($AC$114="","",IFERROR(INDEX($BB$74:$BB$119,MATCH($AH$114,$AY$74:$AY$119,0)),$AH$114))</f>
        <v/>
      </c>
      <c r="AM114" s="483" t="str">
        <f t="shared" si="19"/>
        <v/>
      </c>
      <c r="AN114" s="484" t="str">
        <f t="shared" si="20"/>
        <v/>
      </c>
      <c r="AO114" s="473" t="str">
        <f t="shared" si="21"/>
        <v/>
      </c>
      <c r="AP114" s="473" t="str">
        <f t="shared" si="22"/>
        <v/>
      </c>
      <c r="AQ114" s="473" t="str">
        <f t="shared" si="23"/>
        <v/>
      </c>
      <c r="AR114" s="473" t="str">
        <f t="shared" si="24"/>
        <v/>
      </c>
      <c r="AS114" s="473" t="str">
        <f t="shared" si="25"/>
        <v/>
      </c>
      <c r="AT114" s="473" t="str">
        <f t="shared" si="26"/>
        <v/>
      </c>
      <c r="AU114" s="473" t="str">
        <f t="shared" si="27"/>
        <v/>
      </c>
      <c r="AY114" s="497" t="s">
        <v>8145</v>
      </c>
      <c r="AZ114" s="488" t="s">
        <v>38</v>
      </c>
      <c r="BA114" s="489">
        <v>1</v>
      </c>
      <c r="BB114" s="419" t="s">
        <v>8146</v>
      </c>
      <c r="BC114" s="271"/>
      <c r="BD114" s="279">
        <v>1</v>
      </c>
      <c r="BE114" s="271"/>
      <c r="BF114" s="271"/>
      <c r="BG114" s="271"/>
      <c r="BH114" s="271"/>
      <c r="BI114" s="271"/>
      <c r="BJ114" s="271"/>
      <c r="BK114" s="271"/>
      <c r="BL114" s="271"/>
    </row>
    <row r="115" spans="18:64" ht="21" customHeight="1" x14ac:dyDescent="0.25">
      <c r="R115" s="34" t="s">
        <v>496</v>
      </c>
      <c r="S115" s="451"/>
      <c r="T115" s="497" t="s">
        <v>8147</v>
      </c>
      <c r="V115" s="475">
        <v>2</v>
      </c>
      <c r="W115" s="475" t="str">
        <f>IF($AC$115="","",$W$108)</f>
        <v/>
      </c>
      <c r="X115" s="476" t="str">
        <f>IF($AC$115="","",$X$108)</f>
        <v/>
      </c>
      <c r="Y115" s="477" t="str">
        <f>IF($X$115="","",$Y$108)</f>
        <v/>
      </c>
      <c r="Z115" s="477" t="str">
        <f>IF($X$115="","",$Z$108)</f>
        <v/>
      </c>
      <c r="AA115" s="477" t="str">
        <f>IF($AC$115="","",ROW($A$115)-ROW($A$108))</f>
        <v/>
      </c>
      <c r="AB115" s="478"/>
      <c r="AC115" s="34"/>
      <c r="AD115" s="356"/>
      <c r="AE115" s="18"/>
      <c r="AF115" s="19"/>
      <c r="AG115" s="480" t="str">
        <f t="shared" si="16"/>
        <v/>
      </c>
      <c r="AH115" s="481" t="str">
        <f t="shared" si="17"/>
        <v/>
      </c>
      <c r="AI115" s="477" t="str">
        <f>IF($AC$115="","",IFERROR(INDEX($AZ$74:$AZ$119,MATCH($AH$115,$AY$74:$AY$119,0)),"AUTRE"))</f>
        <v/>
      </c>
      <c r="AJ115" s="482" t="str">
        <f>IF($AC$115="","",IFERROR(INDEX($BA$74:$BA$119,MATCH($AH$115,$AY$74:$AY$119,0)),1))</f>
        <v/>
      </c>
      <c r="AK115" s="482" t="str">
        <f t="shared" si="18"/>
        <v/>
      </c>
      <c r="AL115" s="477" t="str">
        <f>IF($AC$115="","",IFERROR(INDEX($BB$74:$BB$119,MATCH($AH$115,$AY$74:$AY$119,0)),$AH$115))</f>
        <v/>
      </c>
      <c r="AM115" s="483" t="str">
        <f t="shared" si="19"/>
        <v/>
      </c>
      <c r="AN115" s="484" t="str">
        <f t="shared" si="20"/>
        <v/>
      </c>
      <c r="AO115" s="473" t="str">
        <f t="shared" si="21"/>
        <v/>
      </c>
      <c r="AP115" s="473" t="str">
        <f t="shared" si="22"/>
        <v/>
      </c>
      <c r="AQ115" s="473" t="str">
        <f t="shared" si="23"/>
        <v/>
      </c>
      <c r="AR115" s="473" t="str">
        <f t="shared" si="24"/>
        <v/>
      </c>
      <c r="AS115" s="473" t="str">
        <f t="shared" si="25"/>
        <v/>
      </c>
      <c r="AT115" s="473" t="str">
        <f t="shared" si="26"/>
        <v/>
      </c>
      <c r="AU115" s="473" t="str">
        <f t="shared" si="27"/>
        <v/>
      </c>
      <c r="AY115" s="497" t="s">
        <v>462</v>
      </c>
      <c r="AZ115" s="488" t="s">
        <v>38</v>
      </c>
      <c r="BA115" s="489">
        <v>1</v>
      </c>
      <c r="BB115" s="419" t="s">
        <v>461</v>
      </c>
      <c r="BC115" s="271"/>
      <c r="BD115" s="279">
        <v>1</v>
      </c>
      <c r="BE115" s="271"/>
      <c r="BF115" s="271"/>
      <c r="BG115" s="271"/>
      <c r="BH115" s="271"/>
      <c r="BI115" s="271"/>
      <c r="BJ115" s="271"/>
      <c r="BK115" s="271"/>
      <c r="BL115" s="271"/>
    </row>
    <row r="116" spans="18:64" ht="21" customHeight="1" x14ac:dyDescent="0.25">
      <c r="R116" s="34" t="s">
        <v>483</v>
      </c>
      <c r="S116" s="451"/>
      <c r="T116" s="497" t="s">
        <v>465</v>
      </c>
      <c r="V116" s="475">
        <v>2</v>
      </c>
      <c r="W116" s="475" t="str">
        <f>IF($AC$116="","",$W$108)</f>
        <v/>
      </c>
      <c r="X116" s="476" t="str">
        <f>IF($AC$116="","",$X$108)</f>
        <v/>
      </c>
      <c r="Y116" s="477" t="str">
        <f>IF($X$116="","",$Y$108)</f>
        <v/>
      </c>
      <c r="Z116" s="477" t="str">
        <f>IF($X$116="","",$Z$108)</f>
        <v/>
      </c>
      <c r="AA116" s="477" t="str">
        <f>IF($AC$116="","",ROW($A$116)-ROW($A$108))</f>
        <v/>
      </c>
      <c r="AB116" s="478"/>
      <c r="AC116" s="34"/>
      <c r="AD116" s="356"/>
      <c r="AE116" s="18"/>
      <c r="AF116" s="19"/>
      <c r="AG116" s="480" t="str">
        <f t="shared" si="16"/>
        <v/>
      </c>
      <c r="AH116" s="481" t="str">
        <f t="shared" si="17"/>
        <v/>
      </c>
      <c r="AI116" s="477" t="str">
        <f>IF($AC$116="","",IFERROR(INDEX($AZ$74:$AZ$119,MATCH($AH$116,$AY$74:$AY$119,0)),"AUTRE"))</f>
        <v/>
      </c>
      <c r="AJ116" s="482" t="str">
        <f>IF($AC$116="","",IFERROR(INDEX($BA$74:$BA$119,MATCH($AH$116,$AY$74:$AY$119,0)),1))</f>
        <v/>
      </c>
      <c r="AK116" s="482" t="str">
        <f t="shared" si="18"/>
        <v/>
      </c>
      <c r="AL116" s="477" t="str">
        <f>IF($AC$116="","",IFERROR(INDEX($BB$74:$BB$119,MATCH($AH$116,$AY$74:$AY$119,0)),$AH$116))</f>
        <v/>
      </c>
      <c r="AM116" s="483" t="str">
        <f t="shared" si="19"/>
        <v/>
      </c>
      <c r="AN116" s="484" t="str">
        <f t="shared" si="20"/>
        <v/>
      </c>
      <c r="AO116" s="473" t="str">
        <f t="shared" si="21"/>
        <v/>
      </c>
      <c r="AP116" s="473" t="str">
        <f t="shared" si="22"/>
        <v/>
      </c>
      <c r="AQ116" s="473" t="str">
        <f t="shared" si="23"/>
        <v/>
      </c>
      <c r="AR116" s="473" t="str">
        <f t="shared" si="24"/>
        <v/>
      </c>
      <c r="AS116" s="473" t="str">
        <f t="shared" si="25"/>
        <v/>
      </c>
      <c r="AT116" s="473" t="str">
        <f t="shared" si="26"/>
        <v/>
      </c>
      <c r="AU116" s="473" t="str">
        <f t="shared" si="27"/>
        <v/>
      </c>
      <c r="AY116" s="497" t="s">
        <v>463</v>
      </c>
      <c r="AZ116" s="488" t="s">
        <v>38</v>
      </c>
      <c r="BA116" s="489">
        <v>1</v>
      </c>
      <c r="BB116" s="419" t="s">
        <v>464</v>
      </c>
      <c r="BC116" s="271"/>
      <c r="BD116" s="279">
        <v>1</v>
      </c>
      <c r="BE116" s="271"/>
      <c r="BF116" s="271"/>
      <c r="BG116" s="271"/>
      <c r="BH116" s="271"/>
      <c r="BI116" s="271"/>
      <c r="BJ116" s="271"/>
      <c r="BK116" s="271"/>
      <c r="BL116" s="271"/>
    </row>
    <row r="117" spans="18:64" ht="21" customHeight="1" x14ac:dyDescent="0.25">
      <c r="R117" s="34" t="s">
        <v>493</v>
      </c>
      <c r="S117" s="451"/>
      <c r="T117" s="497" t="s">
        <v>466</v>
      </c>
      <c r="V117" s="475">
        <v>2</v>
      </c>
      <c r="W117" s="475" t="str">
        <f>IF($AC$117="","",$W$108)</f>
        <v/>
      </c>
      <c r="X117" s="476" t="str">
        <f>IF($AC$117="","",$X$108)</f>
        <v/>
      </c>
      <c r="Y117" s="477" t="str">
        <f>IF($X$117="","",$Y$108)</f>
        <v/>
      </c>
      <c r="Z117" s="477" t="str">
        <f>IF($X$117="","",$Z$108)</f>
        <v/>
      </c>
      <c r="AA117" s="477" t="str">
        <f>IF($AC$117="","",ROW($A$117)-ROW($A$108))</f>
        <v/>
      </c>
      <c r="AB117" s="478"/>
      <c r="AC117" s="34"/>
      <c r="AD117" s="356"/>
      <c r="AE117" s="18"/>
      <c r="AF117" s="19"/>
      <c r="AG117" s="480" t="str">
        <f t="shared" si="16"/>
        <v/>
      </c>
      <c r="AH117" s="481" t="str">
        <f t="shared" si="17"/>
        <v/>
      </c>
      <c r="AI117" s="477" t="str">
        <f>IF($AC$117="","",IFERROR(INDEX($AZ$74:$AZ$119,MATCH($AH$117,$AY$74:$AY$119,0)),"AUTRE"))</f>
        <v/>
      </c>
      <c r="AJ117" s="482" t="str">
        <f>IF($AC$117="","",IFERROR(INDEX($BA$74:$BA$119,MATCH($AH$117,$AY$74:$AY$119,0)),1))</f>
        <v/>
      </c>
      <c r="AK117" s="482" t="str">
        <f t="shared" si="18"/>
        <v/>
      </c>
      <c r="AL117" s="477" t="str">
        <f>IF($AC$117="","",IFERROR(INDEX($BB$74:$BB$119,MATCH($AH$117,$AY$74:$AY$119,0)),$AH$117))</f>
        <v/>
      </c>
      <c r="AM117" s="483" t="str">
        <f t="shared" si="19"/>
        <v/>
      </c>
      <c r="AN117" s="484" t="str">
        <f t="shared" si="20"/>
        <v/>
      </c>
      <c r="AO117" s="473" t="str">
        <f t="shared" si="21"/>
        <v/>
      </c>
      <c r="AP117" s="473" t="str">
        <f t="shared" si="22"/>
        <v/>
      </c>
      <c r="AQ117" s="473" t="str">
        <f t="shared" si="23"/>
        <v/>
      </c>
      <c r="AR117" s="473" t="str">
        <f t="shared" si="24"/>
        <v/>
      </c>
      <c r="AS117" s="473" t="str">
        <f t="shared" si="25"/>
        <v/>
      </c>
      <c r="AT117" s="473" t="str">
        <f t="shared" si="26"/>
        <v/>
      </c>
      <c r="AU117" s="473" t="str">
        <f t="shared" si="27"/>
        <v/>
      </c>
      <c r="AY117" s="497" t="s">
        <v>8147</v>
      </c>
      <c r="AZ117" s="488" t="s">
        <v>38</v>
      </c>
      <c r="BA117" s="489">
        <v>1</v>
      </c>
      <c r="BB117" s="419" t="s">
        <v>8148</v>
      </c>
      <c r="BC117" s="271"/>
      <c r="BD117" s="279">
        <v>1</v>
      </c>
      <c r="BE117" s="271"/>
      <c r="BF117" s="271"/>
      <c r="BG117" s="271"/>
      <c r="BH117" s="271"/>
      <c r="BI117" s="271"/>
      <c r="BJ117" s="271"/>
      <c r="BK117" s="271"/>
      <c r="BL117" s="271"/>
    </row>
    <row r="118" spans="18:64" ht="21" customHeight="1" x14ac:dyDescent="0.25">
      <c r="R118" s="34" t="s">
        <v>494</v>
      </c>
      <c r="S118" s="451"/>
      <c r="T118" s="440" t="s">
        <v>8110</v>
      </c>
      <c r="V118" s="475">
        <v>2</v>
      </c>
      <c r="W118" s="475" t="str">
        <f>IF($AC$118="","",$W$108)</f>
        <v/>
      </c>
      <c r="X118" s="476" t="str">
        <f>IF($AC$118="","",$X$108)</f>
        <v/>
      </c>
      <c r="Y118" s="477" t="str">
        <f>IF($X$118="","",$Y$108)</f>
        <v/>
      </c>
      <c r="Z118" s="477" t="str">
        <f>IF($X$118="","",$Z$108)</f>
        <v/>
      </c>
      <c r="AA118" s="477" t="str">
        <f>IF($AC$118="","",ROW($A$118)-ROW($A$108))</f>
        <v/>
      </c>
      <c r="AB118" s="478"/>
      <c r="AC118" s="34"/>
      <c r="AD118" s="356"/>
      <c r="AE118" s="18"/>
      <c r="AF118" s="19"/>
      <c r="AG118" s="480" t="str">
        <f t="shared" si="16"/>
        <v/>
      </c>
      <c r="AH118" s="481" t="str">
        <f t="shared" si="17"/>
        <v/>
      </c>
      <c r="AI118" s="477" t="str">
        <f>IF($AC$118="","",IFERROR(INDEX($AZ$74:$AZ$119,MATCH($AH$118,$AY$74:$AY$119,0)),"AUTRE"))</f>
        <v/>
      </c>
      <c r="AJ118" s="482" t="str">
        <f>IF($AC$118="","",IFERROR(INDEX($BA$74:$BA$119,MATCH($AH$118,$AY$74:$AY$119,0)),1))</f>
        <v/>
      </c>
      <c r="AK118" s="482" t="str">
        <f t="shared" si="18"/>
        <v/>
      </c>
      <c r="AL118" s="477" t="str">
        <f>IF($AC$118="","",IFERROR(INDEX($BB$74:$BB$119,MATCH($AH$118,$AY$74:$AY$119,0)),$AH$118))</f>
        <v/>
      </c>
      <c r="AM118" s="483" t="str">
        <f t="shared" si="19"/>
        <v/>
      </c>
      <c r="AN118" s="484" t="str">
        <f t="shared" si="20"/>
        <v/>
      </c>
      <c r="AO118" s="473" t="str">
        <f t="shared" si="21"/>
        <v/>
      </c>
      <c r="AP118" s="473" t="str">
        <f t="shared" si="22"/>
        <v/>
      </c>
      <c r="AQ118" s="473" t="str">
        <f t="shared" si="23"/>
        <v/>
      </c>
      <c r="AR118" s="473" t="str">
        <f t="shared" si="24"/>
        <v/>
      </c>
      <c r="AS118" s="473" t="str">
        <f t="shared" si="25"/>
        <v/>
      </c>
      <c r="AT118" s="473" t="str">
        <f t="shared" si="26"/>
        <v/>
      </c>
      <c r="AU118" s="473" t="str">
        <f t="shared" si="27"/>
        <v/>
      </c>
      <c r="AY118" s="497" t="s">
        <v>465</v>
      </c>
      <c r="AZ118" s="488" t="s">
        <v>38</v>
      </c>
      <c r="BA118" s="489">
        <v>1</v>
      </c>
      <c r="BB118" s="419" t="s">
        <v>460</v>
      </c>
      <c r="BC118" s="271"/>
      <c r="BD118" s="279">
        <v>1</v>
      </c>
      <c r="BE118" s="271"/>
      <c r="BF118" s="271"/>
      <c r="BG118" s="271"/>
      <c r="BH118" s="271"/>
      <c r="BI118" s="271"/>
      <c r="BJ118" s="271"/>
      <c r="BK118" s="271"/>
      <c r="BL118" s="271"/>
    </row>
    <row r="119" spans="18:64" ht="21" customHeight="1" x14ac:dyDescent="0.25">
      <c r="S119" s="451"/>
      <c r="T119" s="452" t="s">
        <v>8113</v>
      </c>
      <c r="V119" s="475">
        <v>2</v>
      </c>
      <c r="W119" s="475" t="str">
        <f>IF($AC$119="","",$W$108)</f>
        <v/>
      </c>
      <c r="X119" s="476" t="str">
        <f>IF($AC$119="","",$X$108)</f>
        <v/>
      </c>
      <c r="Y119" s="477" t="str">
        <f>IF($X$119="","",$Y$108)</f>
        <v/>
      </c>
      <c r="Z119" s="477" t="str">
        <f>IF($X$119="","",$Z$108)</f>
        <v/>
      </c>
      <c r="AA119" s="477" t="str">
        <f>IF($AC$119="","",ROW($A$119)-ROW($A$108))</f>
        <v/>
      </c>
      <c r="AB119" s="478"/>
      <c r="AC119" s="34"/>
      <c r="AD119" s="356"/>
      <c r="AE119" s="18"/>
      <c r="AF119" s="19"/>
      <c r="AG119" s="480" t="str">
        <f t="shared" si="16"/>
        <v/>
      </c>
      <c r="AH119" s="481" t="str">
        <f t="shared" si="17"/>
        <v/>
      </c>
      <c r="AI119" s="477" t="str">
        <f>IF($AC$119="","",IFERROR(INDEX($AZ$74:$AZ$119,MATCH($AH$119,$AY$74:$AY$119,0)),"AUTRE"))</f>
        <v/>
      </c>
      <c r="AJ119" s="482" t="str">
        <f>IF($AC$119="","",IFERROR(INDEX($BA$74:$BA$119,MATCH($AH$119,$AY$74:$AY$119,0)),1))</f>
        <v/>
      </c>
      <c r="AK119" s="482" t="str">
        <f t="shared" si="18"/>
        <v/>
      </c>
      <c r="AL119" s="477" t="str">
        <f>IF($AC$119="","",IFERROR(INDEX($BB$74:$BB$119,MATCH($AH$119,$AY$74:$AY$119,0)),$AH$119))</f>
        <v/>
      </c>
      <c r="AM119" s="483" t="str">
        <f t="shared" si="19"/>
        <v/>
      </c>
      <c r="AN119" s="484" t="str">
        <f t="shared" si="20"/>
        <v/>
      </c>
      <c r="AO119" s="473" t="str">
        <f t="shared" si="21"/>
        <v/>
      </c>
      <c r="AP119" s="473" t="str">
        <f t="shared" si="22"/>
        <v/>
      </c>
      <c r="AQ119" s="473" t="str">
        <f t="shared" si="23"/>
        <v/>
      </c>
      <c r="AR119" s="473" t="str">
        <f t="shared" si="24"/>
        <v/>
      </c>
      <c r="AS119" s="473" t="str">
        <f t="shared" si="25"/>
        <v/>
      </c>
      <c r="AT119" s="473" t="str">
        <f t="shared" si="26"/>
        <v/>
      </c>
      <c r="AU119" s="473" t="str">
        <f t="shared" si="27"/>
        <v/>
      </c>
      <c r="AY119" s="497" t="s">
        <v>466</v>
      </c>
      <c r="AZ119" s="488" t="s">
        <v>38</v>
      </c>
      <c r="BA119" s="489">
        <v>1</v>
      </c>
      <c r="BB119" s="419" t="s">
        <v>467</v>
      </c>
      <c r="BC119" s="271"/>
      <c r="BD119" s="279">
        <v>1</v>
      </c>
      <c r="BE119" s="271"/>
      <c r="BF119" s="271"/>
      <c r="BG119" s="271"/>
      <c r="BH119" s="271"/>
      <c r="BI119" s="271"/>
      <c r="BJ119" s="271"/>
      <c r="BK119" s="271"/>
      <c r="BL119" s="271"/>
    </row>
    <row r="120" spans="18:64" ht="21" customHeight="1" x14ac:dyDescent="0.25">
      <c r="R120" s="25" t="s">
        <v>6115</v>
      </c>
      <c r="S120" s="451"/>
      <c r="T120" s="14" t="s">
        <v>7</v>
      </c>
      <c r="V120" s="475">
        <v>2</v>
      </c>
      <c r="W120" s="475" t="str">
        <f>IF($AC$120="","",$W$108)</f>
        <v/>
      </c>
      <c r="X120" s="476" t="str">
        <f>IF($AC$120="","",$X$108)</f>
        <v/>
      </c>
      <c r="Y120" s="477" t="str">
        <f>IF($X$120="","",$Y$108)</f>
        <v/>
      </c>
      <c r="Z120" s="477" t="str">
        <f>IF($X$120="","",$Z$108)</f>
        <v/>
      </c>
      <c r="AA120" s="477" t="str">
        <f>IF($AC$120="","",ROW($A$120)-ROW($A$108))</f>
        <v/>
      </c>
      <c r="AB120" s="478"/>
      <c r="AC120" s="34"/>
      <c r="AD120" s="356"/>
      <c r="AE120" s="18"/>
      <c r="AF120" s="19"/>
      <c r="AG120" s="480" t="str">
        <f t="shared" si="16"/>
        <v/>
      </c>
      <c r="AH120" s="481" t="str">
        <f t="shared" si="17"/>
        <v/>
      </c>
      <c r="AI120" s="477" t="str">
        <f>IF($AC$120="","",IFERROR(INDEX($AZ$74:$AZ$119,MATCH($AH$120,$AY$74:$AY$119,0)),"AUTRE"))</f>
        <v/>
      </c>
      <c r="AJ120" s="482" t="str">
        <f>IF($AC$120="","",IFERROR(INDEX($BA$74:$BA$119,MATCH($AH$120,$AY$74:$AY$119,0)),1))</f>
        <v/>
      </c>
      <c r="AK120" s="482" t="str">
        <f t="shared" si="18"/>
        <v/>
      </c>
      <c r="AL120" s="477" t="str">
        <f>IF($AC$120="","",IFERROR(INDEX($BB$74:$BB$119,MATCH($AH$120,$AY$74:$AY$119,0)),$AH$120))</f>
        <v/>
      </c>
      <c r="AM120" s="483" t="str">
        <f t="shared" si="19"/>
        <v/>
      </c>
      <c r="AN120" s="484" t="str">
        <f t="shared" si="20"/>
        <v/>
      </c>
      <c r="AO120" s="473" t="str">
        <f t="shared" si="21"/>
        <v/>
      </c>
      <c r="AP120" s="473" t="str">
        <f t="shared" si="22"/>
        <v/>
      </c>
      <c r="AQ120" s="473" t="str">
        <f t="shared" si="23"/>
        <v/>
      </c>
      <c r="AR120" s="473" t="str">
        <f t="shared" si="24"/>
        <v/>
      </c>
      <c r="AS120" s="473" t="str">
        <f t="shared" si="25"/>
        <v/>
      </c>
      <c r="AT120" s="473" t="str">
        <f t="shared" si="26"/>
        <v/>
      </c>
      <c r="AU120" s="473" t="str">
        <f t="shared" si="27"/>
        <v/>
      </c>
      <c r="AY120" s="498"/>
      <c r="AZ120" s="498"/>
      <c r="BA120" s="498"/>
      <c r="BB120" s="448" t="str">
        <f>ADDRESS(ROW(),COLUMN(),4)</f>
        <v>BB120</v>
      </c>
      <c r="BC120" s="271"/>
      <c r="BD120" s="279">
        <v>1</v>
      </c>
      <c r="BE120" s="271"/>
      <c r="BF120" s="271"/>
      <c r="BG120" s="271"/>
      <c r="BH120" s="271"/>
      <c r="BI120" s="271"/>
      <c r="BJ120" s="271"/>
      <c r="BK120" s="271"/>
      <c r="BL120" s="271"/>
    </row>
    <row r="121" spans="18:64" ht="21" customHeight="1" x14ac:dyDescent="0.25">
      <c r="R121" s="34" t="s">
        <v>471</v>
      </c>
      <c r="S121" s="451"/>
      <c r="T121" s="27" t="s">
        <v>8</v>
      </c>
      <c r="V121" s="475">
        <v>2</v>
      </c>
      <c r="W121" s="475" t="str">
        <f>IF($AC$121="","",$W$108)</f>
        <v/>
      </c>
      <c r="X121" s="476" t="str">
        <f>IF($AC$121="","",$X$108)</f>
        <v/>
      </c>
      <c r="Y121" s="477" t="str">
        <f>IF($X$121="","",$Y$108)</f>
        <v/>
      </c>
      <c r="Z121" s="477" t="str">
        <f>IF($X$121="","",$Z$108)</f>
        <v/>
      </c>
      <c r="AA121" s="477" t="str">
        <f>IF($AC$121="","",ROW($A$121)-ROW($A$108))</f>
        <v/>
      </c>
      <c r="AB121" s="478"/>
      <c r="AC121" s="34"/>
      <c r="AD121" s="356"/>
      <c r="AE121" s="18"/>
      <c r="AF121" s="19"/>
      <c r="AG121" s="480" t="str">
        <f t="shared" si="16"/>
        <v/>
      </c>
      <c r="AH121" s="481" t="str">
        <f t="shared" si="17"/>
        <v/>
      </c>
      <c r="AI121" s="477" t="str">
        <f>IF($AC$121="","",IFERROR(INDEX($AZ$74:$AZ$119,MATCH($AH$121,$AY$74:$AY$119,0)),"AUTRE"))</f>
        <v/>
      </c>
      <c r="AJ121" s="482" t="str">
        <f>IF($AC$121="","",IFERROR(INDEX($BA$74:$BA$119,MATCH($AH$121,$AY$74:$AY$119,0)),1))</f>
        <v/>
      </c>
      <c r="AK121" s="482" t="str">
        <f t="shared" si="18"/>
        <v/>
      </c>
      <c r="AL121" s="477" t="str">
        <f>IF($AC$121="","",IFERROR(INDEX($BB$74:$BB$119,MATCH($AH$121,$AY$74:$AY$119,0)),$AH$121))</f>
        <v/>
      </c>
      <c r="AM121" s="483" t="str">
        <f t="shared" si="19"/>
        <v/>
      </c>
      <c r="AN121" s="484" t="str">
        <f t="shared" si="20"/>
        <v/>
      </c>
      <c r="AO121" s="473" t="str">
        <f t="shared" si="21"/>
        <v/>
      </c>
      <c r="AP121" s="473" t="str">
        <f t="shared" si="22"/>
        <v/>
      </c>
      <c r="AQ121" s="473" t="str">
        <f t="shared" si="23"/>
        <v/>
      </c>
      <c r="AR121" s="473" t="str">
        <f t="shared" si="24"/>
        <v/>
      </c>
      <c r="AS121" s="473" t="str">
        <f t="shared" si="25"/>
        <v/>
      </c>
      <c r="AT121" s="473" t="str">
        <f t="shared" si="26"/>
        <v/>
      </c>
      <c r="AU121" s="473" t="str">
        <f t="shared" si="27"/>
        <v/>
      </c>
      <c r="AY121" s="271"/>
      <c r="AZ121" s="14" t="s">
        <v>7</v>
      </c>
      <c r="BA121" s="25" t="s">
        <v>6115</v>
      </c>
      <c r="BB121" s="499"/>
      <c r="BC121" s="271"/>
      <c r="BD121" s="279">
        <v>1</v>
      </c>
      <c r="BE121" s="271"/>
      <c r="BF121" s="271"/>
      <c r="BG121" s="271"/>
      <c r="BH121" s="271"/>
      <c r="BI121" s="271"/>
      <c r="BJ121" s="271"/>
      <c r="BK121" s="271"/>
      <c r="BL121" s="271"/>
    </row>
    <row r="122" spans="18:64" ht="21" customHeight="1" x14ac:dyDescent="0.25">
      <c r="R122" s="34" t="s">
        <v>472</v>
      </c>
      <c r="S122" s="451"/>
      <c r="T122" s="28" t="s">
        <v>13</v>
      </c>
      <c r="V122" s="475">
        <v>2</v>
      </c>
      <c r="W122" s="475" t="str">
        <f>IF($AC$122="","",$W$108)</f>
        <v/>
      </c>
      <c r="X122" s="476" t="str">
        <f>IF($AC$122="","",$X$108)</f>
        <v/>
      </c>
      <c r="Y122" s="477" t="str">
        <f>IF($X$122="","",$Y$108)</f>
        <v/>
      </c>
      <c r="Z122" s="477" t="str">
        <f>IF($X$122="","",$Z$108)</f>
        <v/>
      </c>
      <c r="AA122" s="477" t="str">
        <f>IF($AC$122="","",ROW($A$122)-ROW($A$108))</f>
        <v/>
      </c>
      <c r="AB122" s="478"/>
      <c r="AC122" s="34"/>
      <c r="AD122" s="356"/>
      <c r="AE122" s="18"/>
      <c r="AF122" s="19"/>
      <c r="AG122" s="480" t="str">
        <f t="shared" si="16"/>
        <v/>
      </c>
      <c r="AH122" s="481" t="str">
        <f t="shared" si="17"/>
        <v/>
      </c>
      <c r="AI122" s="477" t="str">
        <f>IF($AC$122="","",IFERROR(INDEX($AZ$74:$AZ$119,MATCH($AH$122,$AY$74:$AY$119,0)),"AUTRE"))</f>
        <v/>
      </c>
      <c r="AJ122" s="482" t="str">
        <f>IF($AC$122="","",IFERROR(INDEX($BA$74:$BA$119,MATCH($AH$122,$AY$74:$AY$119,0)),1))</f>
        <v/>
      </c>
      <c r="AK122" s="482" t="str">
        <f t="shared" si="18"/>
        <v/>
      </c>
      <c r="AL122" s="477" t="str">
        <f>IF($AC$122="","",IFERROR(INDEX($BB$74:$BB$119,MATCH($AH$122,$AY$74:$AY$119,0)),$AH$122))</f>
        <v/>
      </c>
      <c r="AM122" s="483" t="str">
        <f t="shared" si="19"/>
        <v/>
      </c>
      <c r="AN122" s="484" t="str">
        <f t="shared" si="20"/>
        <v/>
      </c>
      <c r="AO122" s="473" t="str">
        <f t="shared" si="21"/>
        <v/>
      </c>
      <c r="AP122" s="473" t="str">
        <f t="shared" si="22"/>
        <v/>
      </c>
      <c r="AQ122" s="473" t="str">
        <f t="shared" si="23"/>
        <v/>
      </c>
      <c r="AR122" s="473" t="str">
        <f t="shared" si="24"/>
        <v/>
      </c>
      <c r="AS122" s="473" t="str">
        <f t="shared" si="25"/>
        <v/>
      </c>
      <c r="AT122" s="473" t="str">
        <f t="shared" si="26"/>
        <v/>
      </c>
      <c r="AU122" s="473" t="str">
        <f t="shared" si="27"/>
        <v/>
      </c>
      <c r="AZ122" s="27" t="s">
        <v>8</v>
      </c>
      <c r="BA122" s="34" t="s">
        <v>471</v>
      </c>
      <c r="BB122" s="500"/>
      <c r="BC122" s="271"/>
      <c r="BD122" s="279">
        <v>1</v>
      </c>
      <c r="BE122" s="271"/>
      <c r="BF122" s="271"/>
      <c r="BG122" s="271"/>
      <c r="BH122" s="271"/>
      <c r="BI122" s="271"/>
      <c r="BJ122" s="271"/>
      <c r="BK122" s="271"/>
      <c r="BL122" s="271"/>
    </row>
    <row r="123" spans="18:64" ht="21" customHeight="1" x14ac:dyDescent="0.25">
      <c r="R123" s="34" t="s">
        <v>6112</v>
      </c>
      <c r="S123" s="451"/>
      <c r="T123" s="28" t="s">
        <v>14</v>
      </c>
      <c r="V123" s="475">
        <v>2</v>
      </c>
      <c r="W123" s="475" t="str">
        <f>IF($AC$123="","",$W$108)</f>
        <v/>
      </c>
      <c r="X123" s="476" t="str">
        <f>IF($AC$123="","",$X$108)</f>
        <v/>
      </c>
      <c r="Y123" s="477" t="str">
        <f>IF($X$123="","",$Y$108)</f>
        <v/>
      </c>
      <c r="Z123" s="477" t="str">
        <f>IF($X$123="","",$Z$108)</f>
        <v/>
      </c>
      <c r="AA123" s="477" t="str">
        <f>IF($AC$123="","",ROW($A$123)-ROW($A$108))</f>
        <v/>
      </c>
      <c r="AB123" s="478"/>
      <c r="AC123" s="34"/>
      <c r="AD123" s="356"/>
      <c r="AE123" s="18"/>
      <c r="AF123" s="19"/>
      <c r="AG123" s="480" t="str">
        <f t="shared" si="16"/>
        <v/>
      </c>
      <c r="AH123" s="481" t="str">
        <f t="shared" si="17"/>
        <v/>
      </c>
      <c r="AI123" s="477" t="str">
        <f>IF($AC$123="","",IFERROR(INDEX($AZ$74:$AZ$119,MATCH($AH$123,$AY$74:$AY$119,0)),"AUTRE"))</f>
        <v/>
      </c>
      <c r="AJ123" s="482" t="str">
        <f>IF($AC$123="","",IFERROR(INDEX($BA$74:$BA$119,MATCH($AH$123,$AY$74:$AY$119,0)),1))</f>
        <v/>
      </c>
      <c r="AK123" s="482" t="str">
        <f t="shared" si="18"/>
        <v/>
      </c>
      <c r="AL123" s="477" t="str">
        <f>IF($AC$123="","",IFERROR(INDEX($BB$74:$BB$119,MATCH($AH$123,$AY$74:$AY$119,0)),$AH$123))</f>
        <v/>
      </c>
      <c r="AM123" s="483" t="str">
        <f t="shared" si="19"/>
        <v/>
      </c>
      <c r="AN123" s="484" t="str">
        <f t="shared" si="20"/>
        <v/>
      </c>
      <c r="AO123" s="473" t="str">
        <f t="shared" si="21"/>
        <v/>
      </c>
      <c r="AP123" s="473" t="str">
        <f t="shared" si="22"/>
        <v/>
      </c>
      <c r="AQ123" s="473" t="str">
        <f t="shared" si="23"/>
        <v/>
      </c>
      <c r="AR123" s="473" t="str">
        <f t="shared" si="24"/>
        <v/>
      </c>
      <c r="AS123" s="473" t="str">
        <f t="shared" si="25"/>
        <v/>
      </c>
      <c r="AT123" s="473" t="str">
        <f t="shared" si="26"/>
        <v/>
      </c>
      <c r="AU123" s="473" t="str">
        <f t="shared" si="27"/>
        <v/>
      </c>
      <c r="AZ123" s="28" t="s">
        <v>13</v>
      </c>
      <c r="BA123" s="34" t="s">
        <v>472</v>
      </c>
      <c r="BB123" s="500"/>
      <c r="BC123" s="271"/>
      <c r="BD123" s="279">
        <v>1</v>
      </c>
      <c r="BE123" s="271"/>
      <c r="BF123" s="271"/>
      <c r="BG123" s="271"/>
      <c r="BH123" s="271"/>
      <c r="BI123" s="271"/>
      <c r="BJ123" s="271"/>
      <c r="BK123" s="271"/>
      <c r="BL123" s="271"/>
    </row>
    <row r="124" spans="18:64" ht="21" customHeight="1" x14ac:dyDescent="0.25">
      <c r="R124" s="25" t="s">
        <v>6116</v>
      </c>
      <c r="S124" s="451"/>
      <c r="T124" s="28" t="s">
        <v>15</v>
      </c>
      <c r="V124" s="475">
        <v>2</v>
      </c>
      <c r="W124" s="475" t="str">
        <f>IF($AC$124="","",$W$108)</f>
        <v/>
      </c>
      <c r="X124" s="476" t="str">
        <f>IF($AC$124="","",$X$108)</f>
        <v/>
      </c>
      <c r="Y124" s="477" t="str">
        <f>IF($X$124="","",$Y$108)</f>
        <v/>
      </c>
      <c r="Z124" s="477" t="str">
        <f>IF($X$124="","",$Z$108)</f>
        <v/>
      </c>
      <c r="AA124" s="477" t="str">
        <f>IF($AC$124="","",ROW($A$124)-ROW($A$108))</f>
        <v/>
      </c>
      <c r="AB124" s="478"/>
      <c r="AC124" s="34"/>
      <c r="AD124" s="356"/>
      <c r="AE124" s="18"/>
      <c r="AF124" s="19"/>
      <c r="AG124" s="480" t="str">
        <f t="shared" si="16"/>
        <v/>
      </c>
      <c r="AH124" s="481" t="str">
        <f t="shared" si="17"/>
        <v/>
      </c>
      <c r="AI124" s="477" t="str">
        <f>IF($AC$124="","",IFERROR(INDEX($AZ$74:$AZ$119,MATCH($AH$124,$AY$74:$AY$119,0)),"AUTRE"))</f>
        <v/>
      </c>
      <c r="AJ124" s="482" t="str">
        <f>IF($AC$124="","",IFERROR(INDEX($BA$74:$BA$119,MATCH($AH$124,$AY$74:$AY$119,0)),1))</f>
        <v/>
      </c>
      <c r="AK124" s="482" t="str">
        <f t="shared" si="18"/>
        <v/>
      </c>
      <c r="AL124" s="477" t="str">
        <f>IF($AC$124="","",IFERROR(INDEX($BB$74:$BB$119,MATCH($AH$124,$AY$74:$AY$119,0)),$AH$124))</f>
        <v/>
      </c>
      <c r="AM124" s="483" t="str">
        <f t="shared" si="19"/>
        <v/>
      </c>
      <c r="AN124" s="484" t="str">
        <f t="shared" si="20"/>
        <v/>
      </c>
      <c r="AO124" s="473" t="str">
        <f t="shared" si="21"/>
        <v/>
      </c>
      <c r="AP124" s="473" t="str">
        <f t="shared" si="22"/>
        <v/>
      </c>
      <c r="AQ124" s="473" t="str">
        <f t="shared" si="23"/>
        <v/>
      </c>
      <c r="AR124" s="473" t="str">
        <f t="shared" si="24"/>
        <v/>
      </c>
      <c r="AS124" s="473" t="str">
        <f t="shared" si="25"/>
        <v/>
      </c>
      <c r="AT124" s="473" t="str">
        <f t="shared" si="26"/>
        <v/>
      </c>
      <c r="AU124" s="473" t="str">
        <f t="shared" si="27"/>
        <v/>
      </c>
      <c r="AZ124" s="28" t="s">
        <v>14</v>
      </c>
      <c r="BA124" s="34" t="s">
        <v>6112</v>
      </c>
      <c r="BB124" s="500"/>
      <c r="BC124" s="271"/>
      <c r="BD124" s="279">
        <v>1</v>
      </c>
      <c r="BE124" s="271"/>
      <c r="BF124" s="271"/>
      <c r="BG124" s="271"/>
      <c r="BH124" s="271"/>
      <c r="BI124" s="271"/>
      <c r="BJ124" s="271"/>
      <c r="BK124" s="271"/>
      <c r="BL124" s="271"/>
    </row>
    <row r="125" spans="18:64" ht="21" customHeight="1" x14ac:dyDescent="0.25">
      <c r="R125" s="34" t="s">
        <v>6117</v>
      </c>
      <c r="S125" s="451"/>
      <c r="T125" s="28" t="s">
        <v>21</v>
      </c>
      <c r="V125" s="475">
        <v>2</v>
      </c>
      <c r="W125" s="475" t="str">
        <f>IF($AC$125="","",$W$108)</f>
        <v/>
      </c>
      <c r="X125" s="476" t="str">
        <f>IF($AC$125="","",$X$108)</f>
        <v/>
      </c>
      <c r="Y125" s="477" t="str">
        <f>IF($X$125="","",$Y$108)</f>
        <v/>
      </c>
      <c r="Z125" s="477" t="str">
        <f>IF($X$125="","",$Z$108)</f>
        <v/>
      </c>
      <c r="AA125" s="477" t="str">
        <f>IF($AC$125="","",ROW($A$125)-ROW($A$108))</f>
        <v/>
      </c>
      <c r="AB125" s="478"/>
      <c r="AC125" s="34"/>
      <c r="AD125" s="356"/>
      <c r="AE125" s="18"/>
      <c r="AF125" s="19"/>
      <c r="AG125" s="480" t="str">
        <f t="shared" si="16"/>
        <v/>
      </c>
      <c r="AH125" s="481" t="str">
        <f t="shared" si="17"/>
        <v/>
      </c>
      <c r="AI125" s="477" t="str">
        <f>IF($AC$125="","",IFERROR(INDEX($AZ$74:$AZ$119,MATCH($AH$125,$AY$74:$AY$119,0)),"AUTRE"))</f>
        <v/>
      </c>
      <c r="AJ125" s="482" t="str">
        <f>IF($AC$125="","",IFERROR(INDEX($BA$74:$BA$119,MATCH($AH$125,$AY$74:$AY$119,0)),1))</f>
        <v/>
      </c>
      <c r="AK125" s="482" t="str">
        <f t="shared" si="18"/>
        <v/>
      </c>
      <c r="AL125" s="477" t="str">
        <f>IF($AC$125="","",IFERROR(INDEX($BB$74:$BB$119,MATCH($AH$125,$AY$74:$AY$119,0)),$AH$125))</f>
        <v/>
      </c>
      <c r="AM125" s="483" t="str">
        <f t="shared" si="19"/>
        <v/>
      </c>
      <c r="AN125" s="484" t="str">
        <f t="shared" si="20"/>
        <v/>
      </c>
      <c r="AO125" s="473" t="str">
        <f t="shared" si="21"/>
        <v/>
      </c>
      <c r="AP125" s="473" t="str">
        <f t="shared" si="22"/>
        <v/>
      </c>
      <c r="AQ125" s="473" t="str">
        <f t="shared" si="23"/>
        <v/>
      </c>
      <c r="AR125" s="473" t="str">
        <f t="shared" si="24"/>
        <v/>
      </c>
      <c r="AS125" s="473" t="str">
        <f t="shared" si="25"/>
        <v/>
      </c>
      <c r="AT125" s="473" t="str">
        <f t="shared" si="26"/>
        <v/>
      </c>
      <c r="AU125" s="473" t="str">
        <f t="shared" si="27"/>
        <v/>
      </c>
      <c r="AZ125" s="28" t="s">
        <v>15</v>
      </c>
      <c r="BA125" s="25" t="s">
        <v>6116</v>
      </c>
      <c r="BB125" s="500"/>
      <c r="BC125" s="271"/>
      <c r="BD125" s="279">
        <v>1</v>
      </c>
      <c r="BE125" s="271"/>
      <c r="BF125" s="271"/>
      <c r="BG125" s="271"/>
      <c r="BH125" s="271"/>
      <c r="BI125" s="271"/>
      <c r="BJ125" s="271"/>
      <c r="BK125" s="271"/>
      <c r="BL125" s="271"/>
    </row>
    <row r="126" spans="18:64" ht="21" customHeight="1" x14ac:dyDescent="0.25">
      <c r="R126" s="34" t="s">
        <v>469</v>
      </c>
      <c r="S126" s="451"/>
      <c r="T126" s="28" t="s">
        <v>22</v>
      </c>
      <c r="V126" s="475">
        <v>2</v>
      </c>
      <c r="W126" s="475" t="str">
        <f>IF($AC$126="","",$W$108)</f>
        <v/>
      </c>
      <c r="X126" s="476" t="str">
        <f>IF($AC$126="","",$X$108)</f>
        <v/>
      </c>
      <c r="Y126" s="477" t="str">
        <f>IF($X$126="","",$Y$108)</f>
        <v/>
      </c>
      <c r="Z126" s="477" t="str">
        <f>IF($X$126="","",$Z$108)</f>
        <v/>
      </c>
      <c r="AA126" s="477" t="str">
        <f>IF($AC$126="","",ROW($A$126)-ROW($A$108))</f>
        <v/>
      </c>
      <c r="AB126" s="478"/>
      <c r="AC126" s="34"/>
      <c r="AD126" s="356"/>
      <c r="AE126" s="18"/>
      <c r="AF126" s="19"/>
      <c r="AG126" s="480" t="str">
        <f t="shared" si="16"/>
        <v/>
      </c>
      <c r="AH126" s="481" t="str">
        <f t="shared" si="17"/>
        <v/>
      </c>
      <c r="AI126" s="477" t="str">
        <f>IF($AC$126="","",IFERROR(INDEX($AZ$74:$AZ$119,MATCH($AH$126,$AY$74:$AY$119,0)),"AUTRE"))</f>
        <v/>
      </c>
      <c r="AJ126" s="482" t="str">
        <f>IF($AC$126="","",IFERROR(INDEX($BA$74:$BA$119,MATCH($AH$126,$AY$74:$AY$119,0)),1))</f>
        <v/>
      </c>
      <c r="AK126" s="482" t="str">
        <f t="shared" si="18"/>
        <v/>
      </c>
      <c r="AL126" s="477" t="str">
        <f>IF($AC$126="","",IFERROR(INDEX($BB$74:$BB$119,MATCH($AH$126,$AY$74:$AY$119,0)),$AH$126))</f>
        <v/>
      </c>
      <c r="AM126" s="483" t="str">
        <f t="shared" si="19"/>
        <v/>
      </c>
      <c r="AN126" s="484" t="str">
        <f t="shared" si="20"/>
        <v/>
      </c>
      <c r="AO126" s="473" t="str">
        <f t="shared" si="21"/>
        <v/>
      </c>
      <c r="AP126" s="473" t="str">
        <f t="shared" si="22"/>
        <v/>
      </c>
      <c r="AQ126" s="473" t="str">
        <f t="shared" si="23"/>
        <v/>
      </c>
      <c r="AR126" s="473" t="str">
        <f t="shared" si="24"/>
        <v/>
      </c>
      <c r="AS126" s="473" t="str">
        <f t="shared" si="25"/>
        <v/>
      </c>
      <c r="AT126" s="473" t="str">
        <f t="shared" si="26"/>
        <v/>
      </c>
      <c r="AU126" s="473" t="str">
        <f t="shared" si="27"/>
        <v/>
      </c>
      <c r="AZ126" s="29" t="s">
        <v>9</v>
      </c>
      <c r="BA126" s="34" t="s">
        <v>6117</v>
      </c>
      <c r="BB126" s="500"/>
      <c r="BC126" s="271"/>
      <c r="BD126" s="279">
        <v>1</v>
      </c>
      <c r="BE126" s="271"/>
      <c r="BF126" s="271"/>
      <c r="BG126" s="271"/>
      <c r="BH126" s="271"/>
      <c r="BI126" s="271"/>
      <c r="BJ126" s="271"/>
      <c r="BK126" s="271"/>
      <c r="BL126" s="271"/>
    </row>
    <row r="127" spans="18:64" ht="21" customHeight="1" x14ac:dyDescent="0.25">
      <c r="R127" s="34" t="s">
        <v>6118</v>
      </c>
      <c r="S127" s="451"/>
      <c r="T127" s="28" t="s">
        <v>23</v>
      </c>
      <c r="V127" s="475">
        <v>2</v>
      </c>
      <c r="W127" s="475" t="str">
        <f>IF($AC$127="","",$W$108)</f>
        <v/>
      </c>
      <c r="X127" s="476" t="str">
        <f>IF($AC$127="","",$X$108)</f>
        <v/>
      </c>
      <c r="Y127" s="477" t="str">
        <f>IF($X$127="","",$Y$108)</f>
        <v/>
      </c>
      <c r="Z127" s="477" t="str">
        <f>IF($X$127="","",$Z$108)</f>
        <v/>
      </c>
      <c r="AA127" s="477" t="str">
        <f>IF($AC$127="","",ROW($A$127)-ROW($A$108))</f>
        <v/>
      </c>
      <c r="AB127" s="478"/>
      <c r="AC127" s="34"/>
      <c r="AD127" s="356"/>
      <c r="AE127" s="18"/>
      <c r="AF127" s="19"/>
      <c r="AG127" s="480" t="str">
        <f t="shared" si="16"/>
        <v/>
      </c>
      <c r="AH127" s="481" t="str">
        <f t="shared" si="17"/>
        <v/>
      </c>
      <c r="AI127" s="477" t="str">
        <f>IF($AC$127="","",IFERROR(INDEX($AZ$74:$AZ$119,MATCH($AH$127,$AY$74:$AY$119,0)),"AUTRE"))</f>
        <v/>
      </c>
      <c r="AJ127" s="482" t="str">
        <f>IF($AC$127="","",IFERROR(INDEX($BA$74:$BA$119,MATCH($AH$127,$AY$74:$AY$119,0)),1))</f>
        <v/>
      </c>
      <c r="AK127" s="482" t="str">
        <f t="shared" si="18"/>
        <v/>
      </c>
      <c r="AL127" s="477" t="str">
        <f>IF($AC$127="","",IFERROR(INDEX($BB$74:$BB$119,MATCH($AH$127,$AY$74:$AY$119,0)),$AH$127))</f>
        <v/>
      </c>
      <c r="AM127" s="483" t="str">
        <f t="shared" si="19"/>
        <v/>
      </c>
      <c r="AN127" s="484" t="str">
        <f t="shared" si="20"/>
        <v/>
      </c>
      <c r="AO127" s="473" t="str">
        <f t="shared" si="21"/>
        <v/>
      </c>
      <c r="AP127" s="473" t="str">
        <f t="shared" si="22"/>
        <v/>
      </c>
      <c r="AQ127" s="473" t="str">
        <f t="shared" si="23"/>
        <v/>
      </c>
      <c r="AR127" s="473" t="str">
        <f t="shared" si="24"/>
        <v/>
      </c>
      <c r="AS127" s="473" t="str">
        <f t="shared" si="25"/>
        <v/>
      </c>
      <c r="AT127" s="473" t="str">
        <f t="shared" si="26"/>
        <v/>
      </c>
      <c r="AU127" s="473" t="str">
        <f t="shared" si="27"/>
        <v/>
      </c>
      <c r="AZ127" s="30" t="s">
        <v>10</v>
      </c>
      <c r="BA127" s="34" t="s">
        <v>469</v>
      </c>
      <c r="BB127" s="500"/>
      <c r="BC127" s="271"/>
      <c r="BD127" s="279">
        <v>1</v>
      </c>
      <c r="BE127" s="271"/>
      <c r="BF127" s="271"/>
      <c r="BG127" s="271"/>
      <c r="BH127" s="271"/>
      <c r="BI127" s="271"/>
      <c r="BJ127" s="271"/>
      <c r="BK127" s="271"/>
      <c r="BL127" s="271"/>
    </row>
    <row r="128" spans="18:64" ht="21" customHeight="1" x14ac:dyDescent="0.25">
      <c r="R128" s="34" t="s">
        <v>492</v>
      </c>
      <c r="S128" s="451"/>
      <c r="T128" s="28" t="s">
        <v>24</v>
      </c>
      <c r="V128" s="475">
        <v>2</v>
      </c>
      <c r="W128" s="475" t="str">
        <f>IF($AC$128="","",$W$108)</f>
        <v/>
      </c>
      <c r="X128" s="476" t="str">
        <f>IF($AC$128="","",$X$108)</f>
        <v/>
      </c>
      <c r="Y128" s="477" t="str">
        <f>IF($X$128="","",$Y$108)</f>
        <v/>
      </c>
      <c r="Z128" s="477" t="str">
        <f>IF($X$128="","",$Z$108)</f>
        <v/>
      </c>
      <c r="AA128" s="477" t="str">
        <f>IF($AC$128="","",ROW($A$128)-ROW($A$108))</f>
        <v/>
      </c>
      <c r="AB128" s="478"/>
      <c r="AC128" s="34"/>
      <c r="AD128" s="356"/>
      <c r="AE128" s="18"/>
      <c r="AF128" s="19"/>
      <c r="AG128" s="480" t="str">
        <f t="shared" si="16"/>
        <v/>
      </c>
      <c r="AH128" s="481" t="str">
        <f t="shared" si="17"/>
        <v/>
      </c>
      <c r="AI128" s="477" t="str">
        <f>IF($AC$128="","",IFERROR(INDEX($AZ$74:$AZ$119,MATCH($AH$128,$AY$74:$AY$119,0)),"AUTRE"))</f>
        <v/>
      </c>
      <c r="AJ128" s="482" t="str">
        <f>IF($AC$128="","",IFERROR(INDEX($BA$74:$BA$119,MATCH($AH$128,$AY$74:$AY$119,0)),1))</f>
        <v/>
      </c>
      <c r="AK128" s="482" t="str">
        <f t="shared" si="18"/>
        <v/>
      </c>
      <c r="AL128" s="477" t="str">
        <f>IF($AC$128="","",IFERROR(INDEX($BB$74:$BB$119,MATCH($AH$128,$AY$74:$AY$119,0)),$AH$128))</f>
        <v/>
      </c>
      <c r="AM128" s="483" t="str">
        <f t="shared" si="19"/>
        <v/>
      </c>
      <c r="AN128" s="484" t="str">
        <f t="shared" si="20"/>
        <v/>
      </c>
      <c r="AO128" s="473" t="str">
        <f t="shared" si="21"/>
        <v/>
      </c>
      <c r="AP128" s="473" t="str">
        <f t="shared" si="22"/>
        <v/>
      </c>
      <c r="AQ128" s="473" t="str">
        <f t="shared" si="23"/>
        <v/>
      </c>
      <c r="AR128" s="473" t="str">
        <f t="shared" si="24"/>
        <v/>
      </c>
      <c r="AS128" s="473" t="str">
        <f t="shared" si="25"/>
        <v/>
      </c>
      <c r="AT128" s="473" t="str">
        <f t="shared" si="26"/>
        <v/>
      </c>
      <c r="AU128" s="473" t="str">
        <f t="shared" si="27"/>
        <v/>
      </c>
      <c r="AZ128" s="30" t="s">
        <v>11</v>
      </c>
      <c r="BA128" s="34" t="s">
        <v>6118</v>
      </c>
      <c r="BB128" s="500"/>
      <c r="BC128" s="271"/>
      <c r="BD128" s="279">
        <v>1</v>
      </c>
      <c r="BE128" s="271"/>
      <c r="BF128" s="271"/>
      <c r="BG128" s="271"/>
      <c r="BH128" s="271"/>
      <c r="BI128" s="271"/>
      <c r="BJ128" s="271"/>
      <c r="BK128" s="271"/>
      <c r="BL128" s="271"/>
    </row>
    <row r="129" spans="18:64" ht="21" customHeight="1" x14ac:dyDescent="0.25">
      <c r="R129" s="34" t="s">
        <v>458</v>
      </c>
      <c r="S129" s="451"/>
      <c r="T129" s="29" t="s">
        <v>9</v>
      </c>
      <c r="V129" s="475">
        <v>2</v>
      </c>
      <c r="W129" s="475" t="str">
        <f>IF($AC$129="","",$W$108)</f>
        <v/>
      </c>
      <c r="X129" s="476" t="str">
        <f>IF($AC$129="","",$X$108)</f>
        <v/>
      </c>
      <c r="Y129" s="477" t="str">
        <f>IF($X$129="","",$Y$108)</f>
        <v/>
      </c>
      <c r="Z129" s="477" t="str">
        <f>IF($X$129="","",$Z$108)</f>
        <v/>
      </c>
      <c r="AA129" s="477" t="str">
        <f>IF($AC$129="","",ROW($A$129)-ROW($A$108))</f>
        <v/>
      </c>
      <c r="AB129" s="478"/>
      <c r="AC129" s="34"/>
      <c r="AD129" s="356"/>
      <c r="AE129" s="18"/>
      <c r="AF129" s="19"/>
      <c r="AG129" s="480" t="str">
        <f t="shared" si="16"/>
        <v/>
      </c>
      <c r="AH129" s="481" t="str">
        <f t="shared" si="17"/>
        <v/>
      </c>
      <c r="AI129" s="477" t="str">
        <f>IF($AC$129="","",IFERROR(INDEX($AZ$74:$AZ$119,MATCH($AH$129,$AY$74:$AY$119,0)),"AUTRE"))</f>
        <v/>
      </c>
      <c r="AJ129" s="482" t="str">
        <f>IF($AC$129="","",IFERROR(INDEX($BA$74:$BA$119,MATCH($AH$129,$AY$74:$AY$119,0)),1))</f>
        <v/>
      </c>
      <c r="AK129" s="482" t="str">
        <f t="shared" si="18"/>
        <v/>
      </c>
      <c r="AL129" s="477" t="str">
        <f>IF($AC$129="","",IFERROR(INDEX($BB$74:$BB$119,MATCH($AH$129,$AY$74:$AY$119,0)),$AH$129))</f>
        <v/>
      </c>
      <c r="AM129" s="483" t="str">
        <f t="shared" si="19"/>
        <v/>
      </c>
      <c r="AN129" s="484" t="str">
        <f t="shared" si="20"/>
        <v/>
      </c>
      <c r="AO129" s="473" t="str">
        <f t="shared" si="21"/>
        <v/>
      </c>
      <c r="AP129" s="473" t="str">
        <f t="shared" si="22"/>
        <v/>
      </c>
      <c r="AQ129" s="473" t="str">
        <f t="shared" si="23"/>
        <v/>
      </c>
      <c r="AR129" s="473" t="str">
        <f t="shared" si="24"/>
        <v/>
      </c>
      <c r="AS129" s="473" t="str">
        <f t="shared" si="25"/>
        <v/>
      </c>
      <c r="AT129" s="473" t="str">
        <f t="shared" si="26"/>
        <v/>
      </c>
      <c r="AU129" s="473" t="str">
        <f t="shared" si="27"/>
        <v/>
      </c>
      <c r="AZ129" s="30" t="s">
        <v>12</v>
      </c>
      <c r="BA129" s="34" t="s">
        <v>492</v>
      </c>
      <c r="BB129" s="500"/>
      <c r="BC129" s="271"/>
      <c r="BD129" s="279">
        <v>1</v>
      </c>
      <c r="BE129" s="271"/>
      <c r="BF129" s="271"/>
      <c r="BG129" s="271"/>
      <c r="BH129" s="271"/>
      <c r="BI129" s="271"/>
      <c r="BJ129" s="271"/>
      <c r="BK129" s="271"/>
      <c r="BL129" s="271"/>
    </row>
    <row r="130" spans="18:64" ht="21" customHeight="1" x14ac:dyDescent="0.25">
      <c r="R130" s="490"/>
      <c r="S130" s="451"/>
      <c r="T130" s="30" t="s">
        <v>10</v>
      </c>
      <c r="V130" s="475">
        <v>2</v>
      </c>
      <c r="W130" s="475" t="str">
        <f>IF($AC$130="","",$W$108)</f>
        <v/>
      </c>
      <c r="X130" s="476" t="str">
        <f>IF($AC$130="","",$X$108)</f>
        <v/>
      </c>
      <c r="Y130" s="477" t="str">
        <f>IF($X$130="","",$Y$108)</f>
        <v/>
      </c>
      <c r="Z130" s="477" t="str">
        <f>IF($X$130="","",$Z$108)</f>
        <v/>
      </c>
      <c r="AA130" s="477" t="str">
        <f>IF($AC$130="","",ROW($A$130)-ROW($A$108))</f>
        <v/>
      </c>
      <c r="AB130" s="478"/>
      <c r="AC130" s="34"/>
      <c r="AD130" s="356"/>
      <c r="AE130" s="18"/>
      <c r="AF130" s="19"/>
      <c r="AG130" s="480" t="str">
        <f t="shared" si="16"/>
        <v/>
      </c>
      <c r="AH130" s="481" t="str">
        <f t="shared" si="17"/>
        <v/>
      </c>
      <c r="AI130" s="477" t="str">
        <f>IF($AC$130="","",IFERROR(INDEX($AZ$74:$AZ$119,MATCH($AH$130,$AY$74:$AY$119,0)),"AUTRE"))</f>
        <v/>
      </c>
      <c r="AJ130" s="482" t="str">
        <f>IF($AC$130="","",IFERROR(INDEX($BA$74:$BA$119,MATCH($AH$130,$AY$74:$AY$119,0)),1))</f>
        <v/>
      </c>
      <c r="AK130" s="482" t="str">
        <f t="shared" si="18"/>
        <v/>
      </c>
      <c r="AL130" s="477" t="str">
        <f>IF($AC$130="","",IFERROR(INDEX($BB$74:$BB$119,MATCH($AH$130,$AY$74:$AY$119,0)),$AH$130))</f>
        <v/>
      </c>
      <c r="AM130" s="483" t="str">
        <f t="shared" si="19"/>
        <v/>
      </c>
      <c r="AN130" s="484" t="str">
        <f t="shared" si="20"/>
        <v/>
      </c>
      <c r="AO130" s="473" t="str">
        <f t="shared" si="21"/>
        <v/>
      </c>
      <c r="AP130" s="473" t="str">
        <f t="shared" si="22"/>
        <v/>
      </c>
      <c r="AQ130" s="473" t="str">
        <f t="shared" si="23"/>
        <v/>
      </c>
      <c r="AR130" s="473" t="str">
        <f t="shared" si="24"/>
        <v/>
      </c>
      <c r="AS130" s="473" t="str">
        <f t="shared" si="25"/>
        <v/>
      </c>
      <c r="AT130" s="473" t="str">
        <f t="shared" si="26"/>
        <v/>
      </c>
      <c r="AU130" s="473" t="str">
        <f t="shared" si="27"/>
        <v/>
      </c>
      <c r="AZ130" s="31" t="s">
        <v>16</v>
      </c>
      <c r="BA130" s="34" t="s">
        <v>458</v>
      </c>
      <c r="BB130" s="500"/>
      <c r="BC130" s="271"/>
      <c r="BD130" s="279">
        <v>1</v>
      </c>
      <c r="BE130" s="271"/>
      <c r="BF130" s="271"/>
      <c r="BG130" s="271"/>
      <c r="BH130" s="271"/>
      <c r="BI130" s="271"/>
      <c r="BJ130" s="271"/>
      <c r="BK130" s="271"/>
      <c r="BL130" s="271"/>
    </row>
    <row r="131" spans="18:64" ht="21" customHeight="1" x14ac:dyDescent="0.25">
      <c r="R131" s="25" t="s">
        <v>6119</v>
      </c>
      <c r="S131" s="451"/>
      <c r="T131" s="30" t="s">
        <v>11</v>
      </c>
      <c r="V131" s="475">
        <v>2</v>
      </c>
      <c r="W131" s="475" t="str">
        <f>IF($AC$131="","",$W$108)</f>
        <v/>
      </c>
      <c r="X131" s="476" t="str">
        <f>IF($AC$131="","",$X$108)</f>
        <v/>
      </c>
      <c r="Y131" s="477" t="str">
        <f>IF($X$131="","",$Y$108)</f>
        <v/>
      </c>
      <c r="Z131" s="477" t="str">
        <f>IF($X$131="","",$Z$108)</f>
        <v/>
      </c>
      <c r="AA131" s="477" t="str">
        <f>IF($AC$131="","",ROW($A$131)-ROW($A$108))</f>
        <v/>
      </c>
      <c r="AB131" s="478"/>
      <c r="AC131" s="34"/>
      <c r="AD131" s="356"/>
      <c r="AE131" s="18"/>
      <c r="AF131" s="19"/>
      <c r="AG131" s="480" t="str">
        <f t="shared" si="16"/>
        <v/>
      </c>
      <c r="AH131" s="481" t="str">
        <f t="shared" si="17"/>
        <v/>
      </c>
      <c r="AI131" s="477" t="str">
        <f>IF($AC$131="","",IFERROR(INDEX($AZ$74:$AZ$119,MATCH($AH$131,$AY$74:$AY$119,0)),"AUTRE"))</f>
        <v/>
      </c>
      <c r="AJ131" s="482" t="str">
        <f>IF($AC$131="","",IFERROR(INDEX($BA$74:$BA$119,MATCH($AH$131,$AY$74:$AY$119,0)),1))</f>
        <v/>
      </c>
      <c r="AK131" s="482" t="str">
        <f t="shared" si="18"/>
        <v/>
      </c>
      <c r="AL131" s="477" t="str">
        <f>IF($AC$131="","",IFERROR(INDEX($BB$74:$BB$119,MATCH($AH$131,$AY$74:$AY$119,0)),$AH$131))</f>
        <v/>
      </c>
      <c r="AM131" s="483" t="str">
        <f t="shared" si="19"/>
        <v/>
      </c>
      <c r="AN131" s="484" t="str">
        <f t="shared" si="20"/>
        <v/>
      </c>
      <c r="AO131" s="473" t="str">
        <f t="shared" si="21"/>
        <v/>
      </c>
      <c r="AP131" s="473" t="str">
        <f t="shared" si="22"/>
        <v/>
      </c>
      <c r="AQ131" s="473" t="str">
        <f t="shared" si="23"/>
        <v/>
      </c>
      <c r="AR131" s="473" t="str">
        <f t="shared" si="24"/>
        <v/>
      </c>
      <c r="AS131" s="473" t="str">
        <f t="shared" si="25"/>
        <v/>
      </c>
      <c r="AT131" s="473" t="str">
        <f t="shared" si="26"/>
        <v/>
      </c>
      <c r="AU131" s="473" t="str">
        <f t="shared" si="27"/>
        <v/>
      </c>
      <c r="AZ131" s="31" t="s">
        <v>17</v>
      </c>
      <c r="BA131" s="490"/>
      <c r="BB131" s="500"/>
      <c r="BC131" s="271"/>
      <c r="BD131" s="279">
        <v>1</v>
      </c>
      <c r="BE131" s="271"/>
      <c r="BF131" s="271"/>
      <c r="BG131" s="271"/>
      <c r="BH131" s="271"/>
      <c r="BI131" s="271"/>
      <c r="BJ131" s="271"/>
      <c r="BK131" s="271"/>
      <c r="BL131" s="271"/>
    </row>
    <row r="132" spans="18:64" ht="21" customHeight="1" x14ac:dyDescent="0.25">
      <c r="R132" s="34" t="s">
        <v>6120</v>
      </c>
      <c r="S132" s="451"/>
      <c r="T132" s="30" t="s">
        <v>12</v>
      </c>
      <c r="V132" s="475">
        <v>2</v>
      </c>
      <c r="W132" s="475" t="str">
        <f>IF($AC$132="","",$W$108)</f>
        <v/>
      </c>
      <c r="X132" s="476" t="str">
        <f>IF($AC$132="","",$X$108)</f>
        <v/>
      </c>
      <c r="Y132" s="477" t="str">
        <f>IF($X$132="","",$Y$108)</f>
        <v/>
      </c>
      <c r="Z132" s="477" t="str">
        <f>IF($X$132="","",$Z$108)</f>
        <v/>
      </c>
      <c r="AA132" s="477" t="str">
        <f>IF($AC$132="","",ROW($A$132)-ROW($A$108))</f>
        <v/>
      </c>
      <c r="AB132" s="478"/>
      <c r="AC132" s="34"/>
      <c r="AD132" s="356"/>
      <c r="AE132" s="18"/>
      <c r="AF132" s="19"/>
      <c r="AG132" s="480" t="str">
        <f t="shared" si="16"/>
        <v/>
      </c>
      <c r="AH132" s="481" t="str">
        <f t="shared" si="17"/>
        <v/>
      </c>
      <c r="AI132" s="477" t="str">
        <f>IF($AC$132="","",IFERROR(INDEX($AZ$74:$AZ$119,MATCH($AH$132,$AY$74:$AY$119,0)),"AUTRE"))</f>
        <v/>
      </c>
      <c r="AJ132" s="482" t="str">
        <f>IF($AC$132="","",IFERROR(INDEX($BA$74:$BA$119,MATCH($AH$132,$AY$74:$AY$119,0)),1))</f>
        <v/>
      </c>
      <c r="AK132" s="482" t="str">
        <f t="shared" si="18"/>
        <v/>
      </c>
      <c r="AL132" s="477" t="str">
        <f>IF($AC$132="","",IFERROR(INDEX($BB$74:$BB$119,MATCH($AH$132,$AY$74:$AY$119,0)),$AH$132))</f>
        <v/>
      </c>
      <c r="AM132" s="483" t="str">
        <f t="shared" si="19"/>
        <v/>
      </c>
      <c r="AN132" s="484" t="str">
        <f t="shared" si="20"/>
        <v/>
      </c>
      <c r="AO132" s="473" t="str">
        <f t="shared" si="21"/>
        <v/>
      </c>
      <c r="AP132" s="473" t="str">
        <f t="shared" si="22"/>
        <v/>
      </c>
      <c r="AQ132" s="473" t="str">
        <f t="shared" si="23"/>
        <v/>
      </c>
      <c r="AR132" s="473" t="str">
        <f t="shared" si="24"/>
        <v/>
      </c>
      <c r="AS132" s="473" t="str">
        <f t="shared" si="25"/>
        <v/>
      </c>
      <c r="AT132" s="473" t="str">
        <f t="shared" si="26"/>
        <v/>
      </c>
      <c r="AU132" s="473" t="str">
        <f t="shared" si="27"/>
        <v/>
      </c>
      <c r="AZ132" s="31" t="s">
        <v>18</v>
      </c>
      <c r="BA132" s="25" t="s">
        <v>6119</v>
      </c>
      <c r="BB132" s="500"/>
      <c r="BC132" s="271"/>
      <c r="BD132" s="279">
        <v>1</v>
      </c>
      <c r="BE132" s="271"/>
      <c r="BF132" s="271"/>
      <c r="BG132" s="271"/>
      <c r="BH132" s="271"/>
      <c r="BI132" s="271"/>
      <c r="BJ132" s="271"/>
      <c r="BK132" s="271"/>
      <c r="BL132" s="271"/>
    </row>
    <row r="133" spans="18:64" ht="21" customHeight="1" x14ac:dyDescent="0.25">
      <c r="R133" s="34" t="s">
        <v>6121</v>
      </c>
      <c r="S133" s="451"/>
      <c r="T133" s="31" t="s">
        <v>16</v>
      </c>
      <c r="V133" s="475">
        <v>2</v>
      </c>
      <c r="W133" s="475" t="str">
        <f>IF($AC$133="","",$W$108)</f>
        <v/>
      </c>
      <c r="X133" s="476" t="str">
        <f>IF($AC$133="","",$X$108)</f>
        <v/>
      </c>
      <c r="Y133" s="477" t="str">
        <f>IF($X$133="","",$Y$108)</f>
        <v/>
      </c>
      <c r="Z133" s="477" t="str">
        <f>IF($X$133="","",$Z$108)</f>
        <v/>
      </c>
      <c r="AA133" s="477" t="str">
        <f>IF($AC$133="","",ROW($A$133)-ROW($A$108))</f>
        <v/>
      </c>
      <c r="AB133" s="478"/>
      <c r="AC133" s="34"/>
      <c r="AD133" s="356"/>
      <c r="AE133" s="18"/>
      <c r="AF133" s="19"/>
      <c r="AG133" s="480" t="str">
        <f t="shared" si="16"/>
        <v/>
      </c>
      <c r="AH133" s="481" t="str">
        <f t="shared" si="17"/>
        <v/>
      </c>
      <c r="AI133" s="477" t="str">
        <f>IF($AC$133="","",IFERROR(INDEX($AZ$74:$AZ$119,MATCH($AH$133,$AY$74:$AY$119,0)),"AUTRE"))</f>
        <v/>
      </c>
      <c r="AJ133" s="482" t="str">
        <f>IF($AC$133="","",IFERROR(INDEX($BA$74:$BA$119,MATCH($AH$133,$AY$74:$AY$119,0)),1))</f>
        <v/>
      </c>
      <c r="AK133" s="482" t="str">
        <f t="shared" si="18"/>
        <v/>
      </c>
      <c r="AL133" s="477" t="str">
        <f>IF($AC$133="","",IFERROR(INDEX($BB$74:$BB$119,MATCH($AH$133,$AY$74:$AY$119,0)),$AH$133))</f>
        <v/>
      </c>
      <c r="AM133" s="483" t="str">
        <f t="shared" si="19"/>
        <v/>
      </c>
      <c r="AN133" s="484" t="str">
        <f t="shared" si="20"/>
        <v/>
      </c>
      <c r="AO133" s="473" t="str">
        <f t="shared" si="21"/>
        <v/>
      </c>
      <c r="AP133" s="473" t="str">
        <f t="shared" si="22"/>
        <v/>
      </c>
      <c r="AQ133" s="473" t="str">
        <f t="shared" si="23"/>
        <v/>
      </c>
      <c r="AR133" s="473" t="str">
        <f t="shared" si="24"/>
        <v/>
      </c>
      <c r="AS133" s="473" t="str">
        <f t="shared" si="25"/>
        <v/>
      </c>
      <c r="AT133" s="473" t="str">
        <f t="shared" si="26"/>
        <v/>
      </c>
      <c r="AU133" s="473" t="str">
        <f t="shared" si="27"/>
        <v/>
      </c>
      <c r="AZ133" s="31" t="s">
        <v>19</v>
      </c>
      <c r="BA133" s="34" t="s">
        <v>6120</v>
      </c>
      <c r="BB133" s="500"/>
      <c r="BC133" s="271"/>
      <c r="BD133" s="279">
        <v>1</v>
      </c>
      <c r="BE133" s="271"/>
      <c r="BF133" s="271"/>
      <c r="BG133" s="271"/>
      <c r="BH133" s="271"/>
      <c r="BI133" s="271"/>
      <c r="BJ133" s="271"/>
      <c r="BK133" s="271"/>
      <c r="BL133" s="271"/>
    </row>
    <row r="134" spans="18:64" ht="21" customHeight="1" x14ac:dyDescent="0.25">
      <c r="R134" s="34" t="s">
        <v>6122</v>
      </c>
      <c r="S134" s="451"/>
      <c r="T134" s="31" t="s">
        <v>17</v>
      </c>
      <c r="V134" s="475">
        <v>2</v>
      </c>
      <c r="W134" s="475" t="str">
        <f>IF($AC$134="","",$W$108)</f>
        <v/>
      </c>
      <c r="X134" s="476" t="str">
        <f>IF($AC$134="","",$X$108)</f>
        <v/>
      </c>
      <c r="Y134" s="477" t="str">
        <f>IF($X$134="","",$Y$108)</f>
        <v/>
      </c>
      <c r="Z134" s="477" t="str">
        <f>IF($X$134="","",$Z$108)</f>
        <v/>
      </c>
      <c r="AA134" s="477" t="str">
        <f>IF($AC$134="","",ROW($A$134)-ROW($A$108))</f>
        <v/>
      </c>
      <c r="AB134" s="478"/>
      <c r="AC134" s="34"/>
      <c r="AD134" s="356"/>
      <c r="AE134" s="18"/>
      <c r="AF134" s="19"/>
      <c r="AG134" s="480" t="str">
        <f t="shared" si="16"/>
        <v/>
      </c>
      <c r="AH134" s="481" t="str">
        <f t="shared" si="17"/>
        <v/>
      </c>
      <c r="AI134" s="477" t="str">
        <f>IF($AC$134="","",IFERROR(INDEX($AZ$74:$AZ$119,MATCH($AH$134,$AY$74:$AY$119,0)),"AUTRE"))</f>
        <v/>
      </c>
      <c r="AJ134" s="482" t="str">
        <f>IF($AC$134="","",IFERROR(INDEX($BA$74:$BA$119,MATCH($AH$134,$AY$74:$AY$119,0)),1))</f>
        <v/>
      </c>
      <c r="AK134" s="482" t="str">
        <f t="shared" si="18"/>
        <v/>
      </c>
      <c r="AL134" s="477" t="str">
        <f>IF($AC$134="","",IFERROR(INDEX($BB$74:$BB$119,MATCH($AH$134,$AY$74:$AY$119,0)),$AH$134))</f>
        <v/>
      </c>
      <c r="AM134" s="483" t="str">
        <f t="shared" si="19"/>
        <v/>
      </c>
      <c r="AN134" s="484" t="str">
        <f t="shared" si="20"/>
        <v/>
      </c>
      <c r="AO134" s="473" t="str">
        <f t="shared" si="21"/>
        <v/>
      </c>
      <c r="AP134" s="473" t="str">
        <f t="shared" si="22"/>
        <v/>
      </c>
      <c r="AQ134" s="473" t="str">
        <f t="shared" si="23"/>
        <v/>
      </c>
      <c r="AR134" s="473" t="str">
        <f t="shared" si="24"/>
        <v/>
      </c>
      <c r="AS134" s="473" t="str">
        <f t="shared" si="25"/>
        <v/>
      </c>
      <c r="AT134" s="473" t="str">
        <f t="shared" si="26"/>
        <v/>
      </c>
      <c r="AU134" s="473" t="str">
        <f t="shared" si="27"/>
        <v/>
      </c>
      <c r="AZ134" s="31" t="s">
        <v>211</v>
      </c>
      <c r="BA134" s="34" t="s">
        <v>6121</v>
      </c>
      <c r="BB134" s="500"/>
      <c r="BC134" s="271"/>
      <c r="BD134" s="279">
        <v>1</v>
      </c>
      <c r="BE134" s="271"/>
      <c r="BF134" s="271"/>
      <c r="BG134" s="271"/>
      <c r="BH134" s="271"/>
      <c r="BI134" s="271"/>
      <c r="BJ134" s="271"/>
      <c r="BK134" s="271"/>
      <c r="BL134" s="271"/>
    </row>
    <row r="135" spans="18:64" ht="21" customHeight="1" x14ac:dyDescent="0.25">
      <c r="R135" s="34" t="s">
        <v>6123</v>
      </c>
      <c r="S135" s="451"/>
      <c r="T135" s="31" t="s">
        <v>18</v>
      </c>
      <c r="V135" s="475">
        <v>2</v>
      </c>
      <c r="W135" s="475" t="str">
        <f>IF($AC$135="","",$W$108)</f>
        <v/>
      </c>
      <c r="X135" s="476" t="str">
        <f>IF($AC$135="","",$X$108)</f>
        <v/>
      </c>
      <c r="Y135" s="477" t="str">
        <f>IF($X$135="","",$Y$108)</f>
        <v/>
      </c>
      <c r="Z135" s="477" t="str">
        <f>IF($X$135="","",$Z$108)</f>
        <v/>
      </c>
      <c r="AA135" s="477" t="str">
        <f>IF($AC$135="","",ROW($A$135)-ROW($A$108))</f>
        <v/>
      </c>
      <c r="AB135" s="478"/>
      <c r="AC135" s="34"/>
      <c r="AD135" s="356"/>
      <c r="AE135" s="18"/>
      <c r="AF135" s="19"/>
      <c r="AG135" s="480" t="str">
        <f t="shared" si="16"/>
        <v/>
      </c>
      <c r="AH135" s="481" t="str">
        <f t="shared" si="17"/>
        <v/>
      </c>
      <c r="AI135" s="477" t="str">
        <f>IF($AC$135="","",IFERROR(INDEX($AZ$74:$AZ$119,MATCH($AH$135,$AY$74:$AY$119,0)),"AUTRE"))</f>
        <v/>
      </c>
      <c r="AJ135" s="482" t="str">
        <f>IF($AC$135="","",IFERROR(INDEX($BA$74:$BA$119,MATCH($AH$135,$AY$74:$AY$119,0)),1))</f>
        <v/>
      </c>
      <c r="AK135" s="482" t="str">
        <f t="shared" si="18"/>
        <v/>
      </c>
      <c r="AL135" s="477" t="str">
        <f>IF($AC$135="","",IFERROR(INDEX($BB$74:$BB$119,MATCH($AH$135,$AY$74:$AY$119,0)),$AH$135))</f>
        <v/>
      </c>
      <c r="AM135" s="483" t="str">
        <f t="shared" si="19"/>
        <v/>
      </c>
      <c r="AN135" s="484" t="str">
        <f t="shared" si="20"/>
        <v/>
      </c>
      <c r="AO135" s="473" t="str">
        <f t="shared" si="21"/>
        <v/>
      </c>
      <c r="AP135" s="473" t="str">
        <f t="shared" si="22"/>
        <v/>
      </c>
      <c r="AQ135" s="473" t="str">
        <f t="shared" si="23"/>
        <v/>
      </c>
      <c r="AR135" s="473" t="str">
        <f t="shared" si="24"/>
        <v/>
      </c>
      <c r="AS135" s="473" t="str">
        <f t="shared" si="25"/>
        <v/>
      </c>
      <c r="AT135" s="473" t="str">
        <f t="shared" si="26"/>
        <v/>
      </c>
      <c r="AU135" s="473" t="str">
        <f t="shared" si="27"/>
        <v/>
      </c>
      <c r="AZ135" s="31" t="s">
        <v>20</v>
      </c>
      <c r="BA135" s="34" t="s">
        <v>6122</v>
      </c>
      <c r="BB135" s="500"/>
      <c r="BC135" s="271"/>
      <c r="BD135" s="279">
        <v>1</v>
      </c>
      <c r="BE135" s="271"/>
      <c r="BF135" s="271"/>
      <c r="BG135" s="271"/>
      <c r="BH135" s="271"/>
      <c r="BI135" s="271"/>
      <c r="BJ135" s="271"/>
      <c r="BK135" s="271"/>
      <c r="BL135" s="271"/>
    </row>
    <row r="136" spans="18:64" ht="21" customHeight="1" x14ac:dyDescent="0.25">
      <c r="R136" s="34" t="s">
        <v>6124</v>
      </c>
      <c r="S136" s="451"/>
      <c r="T136" s="31" t="s">
        <v>19</v>
      </c>
      <c r="V136" s="475">
        <v>2</v>
      </c>
      <c r="W136" s="475" t="str">
        <f>IF($AC$136="","",$W$108)</f>
        <v/>
      </c>
      <c r="X136" s="476" t="str">
        <f>IF($AC$136="","",$X$108)</f>
        <v/>
      </c>
      <c r="Y136" s="477" t="str">
        <f>IF($X$136="","",$Y$108)</f>
        <v/>
      </c>
      <c r="Z136" s="477" t="str">
        <f>IF($X$136="","",$Z$108)</f>
        <v/>
      </c>
      <c r="AA136" s="477" t="str">
        <f>IF($AC$136="","",ROW($A$136)-ROW($A$108))</f>
        <v/>
      </c>
      <c r="AB136" s="478"/>
      <c r="AC136" s="34"/>
      <c r="AD136" s="356"/>
      <c r="AE136" s="18"/>
      <c r="AF136" s="19"/>
      <c r="AG136" s="480" t="str">
        <f t="shared" si="16"/>
        <v/>
      </c>
      <c r="AH136" s="481" t="str">
        <f t="shared" si="17"/>
        <v/>
      </c>
      <c r="AI136" s="477" t="str">
        <f>IF($AC$136="","",IFERROR(INDEX($AZ$74:$AZ$119,MATCH($AH$136,$AY$74:$AY$119,0)),"AUTRE"))</f>
        <v/>
      </c>
      <c r="AJ136" s="482" t="str">
        <f>IF($AC$136="","",IFERROR(INDEX($BA$74:$BA$119,MATCH($AH$136,$AY$74:$AY$119,0)),1))</f>
        <v/>
      </c>
      <c r="AK136" s="482" t="str">
        <f t="shared" si="18"/>
        <v/>
      </c>
      <c r="AL136" s="477" t="str">
        <f>IF($AC$136="","",IFERROR(INDEX($BB$74:$BB$119,MATCH($AH$136,$AY$74:$AY$119,0)),$AH$136))</f>
        <v/>
      </c>
      <c r="AM136" s="483" t="str">
        <f t="shared" si="19"/>
        <v/>
      </c>
      <c r="AN136" s="484" t="str">
        <f t="shared" si="20"/>
        <v/>
      </c>
      <c r="AO136" s="473" t="str">
        <f t="shared" si="21"/>
        <v/>
      </c>
      <c r="AP136" s="473" t="str">
        <f t="shared" si="22"/>
        <v/>
      </c>
      <c r="AQ136" s="473" t="str">
        <f t="shared" si="23"/>
        <v/>
      </c>
      <c r="AR136" s="473" t="str">
        <f t="shared" si="24"/>
        <v/>
      </c>
      <c r="AS136" s="473" t="str">
        <f t="shared" si="25"/>
        <v/>
      </c>
      <c r="AT136" s="473" t="str">
        <f t="shared" si="26"/>
        <v/>
      </c>
      <c r="AU136" s="473" t="str">
        <f t="shared" si="27"/>
        <v/>
      </c>
      <c r="AZ136" s="31" t="s">
        <v>304</v>
      </c>
      <c r="BA136" s="34" t="s">
        <v>6123</v>
      </c>
      <c r="BB136" s="500"/>
      <c r="BC136" s="271"/>
      <c r="BD136" s="279">
        <v>1</v>
      </c>
      <c r="BE136" s="271"/>
      <c r="BF136" s="271"/>
      <c r="BG136" s="271"/>
      <c r="BH136" s="271"/>
      <c r="BI136" s="271"/>
      <c r="BJ136" s="271"/>
      <c r="BK136" s="271"/>
      <c r="BL136" s="271"/>
    </row>
    <row r="137" spans="18:64" ht="21" customHeight="1" x14ac:dyDescent="0.25">
      <c r="R137" s="34" t="s">
        <v>6125</v>
      </c>
      <c r="S137" s="451"/>
      <c r="T137" s="31" t="s">
        <v>211</v>
      </c>
      <c r="V137" s="475">
        <v>2</v>
      </c>
      <c r="W137" s="475" t="str">
        <f>IF($AC$137="","",$W$108)</f>
        <v/>
      </c>
      <c r="X137" s="476" t="str">
        <f>IF($AC$137="","",$X$108)</f>
        <v/>
      </c>
      <c r="Y137" s="477" t="str">
        <f>IF($X$137="","",$Y$108)</f>
        <v/>
      </c>
      <c r="Z137" s="477" t="str">
        <f>IF($X$137="","",$Z$108)</f>
        <v/>
      </c>
      <c r="AA137" s="477" t="str">
        <f>IF($AC$137="","",ROW($A$137)-ROW($A$108))</f>
        <v/>
      </c>
      <c r="AB137" s="478"/>
      <c r="AC137" s="34"/>
      <c r="AD137" s="356"/>
      <c r="AE137" s="18"/>
      <c r="AF137" s="19"/>
      <c r="AG137" s="480" t="str">
        <f t="shared" si="16"/>
        <v/>
      </c>
      <c r="AH137" s="481" t="str">
        <f t="shared" si="17"/>
        <v/>
      </c>
      <c r="AI137" s="477" t="str">
        <f>IF($AC$137="","",IFERROR(INDEX($AZ$74:$AZ$119,MATCH($AH$137,$AY$74:$AY$119,0)),"AUTRE"))</f>
        <v/>
      </c>
      <c r="AJ137" s="482" t="str">
        <f>IF($AC$137="","",IFERROR(INDEX($BA$74:$BA$119,MATCH($AH$137,$AY$74:$AY$119,0)),1))</f>
        <v/>
      </c>
      <c r="AK137" s="482" t="str">
        <f t="shared" si="18"/>
        <v/>
      </c>
      <c r="AL137" s="477" t="str">
        <f>IF($AC$137="","",IFERROR(INDEX($BB$74:$BB$119,MATCH($AH$137,$AY$74:$AY$119,0)),$AH$137))</f>
        <v/>
      </c>
      <c r="AM137" s="483" t="str">
        <f t="shared" si="19"/>
        <v/>
      </c>
      <c r="AN137" s="484" t="str">
        <f t="shared" si="20"/>
        <v/>
      </c>
      <c r="AO137" s="473" t="str">
        <f t="shared" si="21"/>
        <v/>
      </c>
      <c r="AP137" s="473" t="str">
        <f t="shared" si="22"/>
        <v/>
      </c>
      <c r="AQ137" s="473" t="str">
        <f t="shared" si="23"/>
        <v/>
      </c>
      <c r="AR137" s="473" t="str">
        <f t="shared" si="24"/>
        <v/>
      </c>
      <c r="AS137" s="473" t="str">
        <f t="shared" si="25"/>
        <v/>
      </c>
      <c r="AT137" s="473" t="str">
        <f t="shared" si="26"/>
        <v/>
      </c>
      <c r="AU137" s="473" t="str">
        <f t="shared" si="27"/>
        <v/>
      </c>
      <c r="AY137" s="497" t="s">
        <v>8145</v>
      </c>
      <c r="AZ137" s="31" t="s">
        <v>352</v>
      </c>
      <c r="BA137" s="34" t="s">
        <v>6124</v>
      </c>
      <c r="BB137" s="500"/>
      <c r="BC137" s="271"/>
      <c r="BD137" s="279">
        <v>1</v>
      </c>
      <c r="BE137" s="271"/>
      <c r="BF137" s="271"/>
      <c r="BG137" s="271"/>
      <c r="BH137" s="271"/>
      <c r="BI137" s="271"/>
      <c r="BJ137" s="271"/>
      <c r="BK137" s="271"/>
      <c r="BL137" s="271"/>
    </row>
    <row r="138" spans="18:64" ht="21" customHeight="1" x14ac:dyDescent="0.25">
      <c r="R138" s="34" t="s">
        <v>6126</v>
      </c>
      <c r="S138" s="451"/>
      <c r="T138" s="31" t="s">
        <v>20</v>
      </c>
      <c r="V138" s="475">
        <v>2</v>
      </c>
      <c r="W138" s="475" t="str">
        <f>IF($AC$138="","",$W$108)</f>
        <v/>
      </c>
      <c r="X138" s="476" t="str">
        <f>IF($AC$138="","",$X$108)</f>
        <v/>
      </c>
      <c r="Y138" s="477" t="str">
        <f>IF($X$138="","",$Y$108)</f>
        <v/>
      </c>
      <c r="Z138" s="477" t="str">
        <f>IF($X$138="","",$Z$108)</f>
        <v/>
      </c>
      <c r="AA138" s="477" t="str">
        <f>IF($AC$138="","",ROW($A$138)-ROW($A$108))</f>
        <v/>
      </c>
      <c r="AB138" s="478"/>
      <c r="AC138" s="34"/>
      <c r="AD138" s="356"/>
      <c r="AE138" s="18"/>
      <c r="AF138" s="19"/>
      <c r="AG138" s="480" t="str">
        <f t="shared" si="16"/>
        <v/>
      </c>
      <c r="AH138" s="481" t="str">
        <f t="shared" si="17"/>
        <v/>
      </c>
      <c r="AI138" s="477" t="str">
        <f>IF($AC$138="","",IFERROR(INDEX($AZ$74:$AZ$119,MATCH($AH$138,$AY$74:$AY$119,0)),"AUTRE"))</f>
        <v/>
      </c>
      <c r="AJ138" s="482" t="str">
        <f>IF($AC$138="","",IFERROR(INDEX($BA$74:$BA$119,MATCH($AH$138,$AY$74:$AY$119,0)),1))</f>
        <v/>
      </c>
      <c r="AK138" s="482" t="str">
        <f t="shared" si="18"/>
        <v/>
      </c>
      <c r="AL138" s="477" t="str">
        <f>IF($AC$138="","",IFERROR(INDEX($BB$74:$BB$119,MATCH($AH$138,$AY$74:$AY$119,0)),$AH$138))</f>
        <v/>
      </c>
      <c r="AM138" s="483" t="str">
        <f t="shared" si="19"/>
        <v/>
      </c>
      <c r="AN138" s="484" t="str">
        <f t="shared" si="20"/>
        <v/>
      </c>
      <c r="AO138" s="473" t="str">
        <f t="shared" si="21"/>
        <v/>
      </c>
      <c r="AP138" s="473" t="str">
        <f t="shared" si="22"/>
        <v/>
      </c>
      <c r="AQ138" s="473" t="str">
        <f t="shared" si="23"/>
        <v/>
      </c>
      <c r="AR138" s="473" t="str">
        <f t="shared" si="24"/>
        <v/>
      </c>
      <c r="AS138" s="473" t="str">
        <f t="shared" si="25"/>
        <v/>
      </c>
      <c r="AT138" s="473" t="str">
        <f t="shared" si="26"/>
        <v/>
      </c>
      <c r="AU138" s="473" t="str">
        <f t="shared" si="27"/>
        <v/>
      </c>
      <c r="AY138" s="497" t="s">
        <v>462</v>
      </c>
      <c r="AZ138" s="31" t="s">
        <v>27</v>
      </c>
      <c r="BA138" s="34" t="s">
        <v>6125</v>
      </c>
      <c r="BB138" s="500"/>
      <c r="BC138" s="271"/>
      <c r="BD138" s="279">
        <v>1</v>
      </c>
      <c r="BE138" s="271"/>
      <c r="BF138" s="271"/>
      <c r="BG138" s="271"/>
      <c r="BH138" s="271"/>
      <c r="BI138" s="271"/>
      <c r="BJ138" s="271"/>
      <c r="BK138" s="271"/>
      <c r="BL138" s="271"/>
    </row>
    <row r="139" spans="18:64" ht="21" customHeight="1" x14ac:dyDescent="0.25">
      <c r="R139" s="34" t="s">
        <v>6127</v>
      </c>
      <c r="S139" s="451"/>
      <c r="T139" s="31" t="s">
        <v>304</v>
      </c>
      <c r="V139" s="475">
        <v>2</v>
      </c>
      <c r="W139" s="475" t="str">
        <f>IF($AC$139="","",$W$108)</f>
        <v/>
      </c>
      <c r="X139" s="476" t="str">
        <f>IF($AC$139="","",$X$108)</f>
        <v/>
      </c>
      <c r="Y139" s="477" t="str">
        <f>IF($X$139="","",$Y$108)</f>
        <v/>
      </c>
      <c r="Z139" s="477" t="str">
        <f>IF($X$139="","",$Z$108)</f>
        <v/>
      </c>
      <c r="AA139" s="477" t="str">
        <f>IF($AC$139="","",ROW($A$139)-ROW($A$108))</f>
        <v/>
      </c>
      <c r="AB139" s="478"/>
      <c r="AC139" s="34"/>
      <c r="AD139" s="356"/>
      <c r="AE139" s="18"/>
      <c r="AF139" s="19"/>
      <c r="AG139" s="480" t="str">
        <f t="shared" si="16"/>
        <v/>
      </c>
      <c r="AH139" s="481" t="str">
        <f t="shared" si="17"/>
        <v/>
      </c>
      <c r="AI139" s="477" t="str">
        <f>IF($AC$139="","",IFERROR(INDEX($AZ$74:$AZ$119,MATCH($AH$139,$AY$74:$AY$119,0)),"AUTRE"))</f>
        <v/>
      </c>
      <c r="AJ139" s="482" t="str">
        <f>IF($AC$139="","",IFERROR(INDEX($BA$74:$BA$119,MATCH($AH$139,$AY$74:$AY$119,0)),1))</f>
        <v/>
      </c>
      <c r="AK139" s="482" t="str">
        <f t="shared" si="18"/>
        <v/>
      </c>
      <c r="AL139" s="477" t="str">
        <f>IF($AC$139="","",IFERROR(INDEX($BB$74:$BB$119,MATCH($AH$139,$AY$74:$AY$119,0)),$AH$139))</f>
        <v/>
      </c>
      <c r="AM139" s="483" t="str">
        <f t="shared" si="19"/>
        <v/>
      </c>
      <c r="AN139" s="484" t="str">
        <f t="shared" si="20"/>
        <v/>
      </c>
      <c r="AO139" s="473" t="str">
        <f t="shared" si="21"/>
        <v/>
      </c>
      <c r="AP139" s="473" t="str">
        <f t="shared" si="22"/>
        <v/>
      </c>
      <c r="AQ139" s="473" t="str">
        <f t="shared" si="23"/>
        <v/>
      </c>
      <c r="AR139" s="473" t="str">
        <f t="shared" si="24"/>
        <v/>
      </c>
      <c r="AS139" s="473" t="str">
        <f t="shared" si="25"/>
        <v/>
      </c>
      <c r="AT139" s="473" t="str">
        <f t="shared" si="26"/>
        <v/>
      </c>
      <c r="AU139" s="473" t="str">
        <f t="shared" si="27"/>
        <v/>
      </c>
      <c r="AY139" s="497" t="s">
        <v>463</v>
      </c>
      <c r="AZ139" s="31" t="s">
        <v>28</v>
      </c>
      <c r="BA139" s="34" t="s">
        <v>6126</v>
      </c>
      <c r="BB139" s="500"/>
      <c r="BC139" s="271"/>
      <c r="BD139" s="279">
        <v>1</v>
      </c>
      <c r="BE139" s="271"/>
      <c r="BF139" s="271"/>
      <c r="BG139" s="271"/>
      <c r="BH139" s="271"/>
      <c r="BI139" s="271"/>
      <c r="BJ139" s="271"/>
      <c r="BK139" s="271"/>
      <c r="BL139" s="271"/>
    </row>
    <row r="140" spans="18:64" ht="21" customHeight="1" x14ac:dyDescent="0.25">
      <c r="R140" s="25" t="s">
        <v>6128</v>
      </c>
      <c r="S140" s="451"/>
      <c r="T140" s="31" t="s">
        <v>352</v>
      </c>
      <c r="V140" s="475">
        <v>2</v>
      </c>
      <c r="W140" s="475" t="str">
        <f>IF($AC$140="","",$W$108)</f>
        <v/>
      </c>
      <c r="X140" s="476" t="str">
        <f>IF($AC$140="","",$X$108)</f>
        <v/>
      </c>
      <c r="Y140" s="477" t="str">
        <f>IF($X$140="","",$Y$108)</f>
        <v/>
      </c>
      <c r="Z140" s="477" t="str">
        <f>IF($X$140="","",$Z$108)</f>
        <v/>
      </c>
      <c r="AA140" s="477" t="str">
        <f>IF($AC$140="","",ROW($A$140)-ROW($A$108))</f>
        <v/>
      </c>
      <c r="AB140" s="478"/>
      <c r="AC140" s="34"/>
      <c r="AD140" s="356"/>
      <c r="AE140" s="18"/>
      <c r="AF140" s="19"/>
      <c r="AG140" s="480" t="str">
        <f t="shared" si="16"/>
        <v/>
      </c>
      <c r="AH140" s="481" t="str">
        <f t="shared" si="17"/>
        <v/>
      </c>
      <c r="AI140" s="477" t="str">
        <f>IF($AC$140="","",IFERROR(INDEX($AZ$74:$AZ$119,MATCH($AH$140,$AY$74:$AY$119,0)),"AUTRE"))</f>
        <v/>
      </c>
      <c r="AJ140" s="482" t="str">
        <f>IF($AC$140="","",IFERROR(INDEX($BA$74:$BA$119,MATCH($AH$140,$AY$74:$AY$119,0)),1))</f>
        <v/>
      </c>
      <c r="AK140" s="482" t="str">
        <f t="shared" si="18"/>
        <v/>
      </c>
      <c r="AL140" s="477" t="str">
        <f>IF($AC$140="","",IFERROR(INDEX($BB$74:$BB$119,MATCH($AH$140,$AY$74:$AY$119,0)),$AH$140))</f>
        <v/>
      </c>
      <c r="AM140" s="483" t="str">
        <f t="shared" si="19"/>
        <v/>
      </c>
      <c r="AN140" s="484" t="str">
        <f t="shared" si="20"/>
        <v/>
      </c>
      <c r="AO140" s="473" t="str">
        <f t="shared" si="21"/>
        <v/>
      </c>
      <c r="AP140" s="473" t="str">
        <f t="shared" si="22"/>
        <v/>
      </c>
      <c r="AQ140" s="473" t="str">
        <f t="shared" si="23"/>
        <v/>
      </c>
      <c r="AR140" s="473" t="str">
        <f t="shared" si="24"/>
        <v/>
      </c>
      <c r="AS140" s="473" t="str">
        <f t="shared" si="25"/>
        <v/>
      </c>
      <c r="AT140" s="473" t="str">
        <f t="shared" si="26"/>
        <v/>
      </c>
      <c r="AU140" s="473" t="str">
        <f t="shared" si="27"/>
        <v/>
      </c>
      <c r="AY140" s="497" t="s">
        <v>8147</v>
      </c>
      <c r="AZ140" s="31" t="s">
        <v>29</v>
      </c>
      <c r="BA140" s="34" t="s">
        <v>6127</v>
      </c>
      <c r="BB140" s="500"/>
      <c r="BC140" s="271"/>
      <c r="BD140" s="279">
        <v>1</v>
      </c>
      <c r="BE140" s="271"/>
      <c r="BF140" s="271"/>
      <c r="BG140" s="271"/>
      <c r="BH140" s="271"/>
      <c r="BI140" s="271"/>
      <c r="BJ140" s="271"/>
      <c r="BK140" s="271"/>
      <c r="BL140" s="271"/>
    </row>
    <row r="141" spans="18:64" ht="21" customHeight="1" x14ac:dyDescent="0.25">
      <c r="R141" s="34" t="s">
        <v>474</v>
      </c>
      <c r="S141" s="451"/>
      <c r="T141" s="31" t="s">
        <v>25</v>
      </c>
      <c r="V141" s="475">
        <v>2</v>
      </c>
      <c r="W141" s="475" t="str">
        <f>IF($AC$141="","",$W$108)</f>
        <v/>
      </c>
      <c r="X141" s="476" t="str">
        <f>IF($AC$141="","",$X$108)</f>
        <v/>
      </c>
      <c r="Y141" s="477" t="str">
        <f>IF($X$141="","",$Y$108)</f>
        <v/>
      </c>
      <c r="Z141" s="477" t="str">
        <f>IF($X$141="","",$Z$108)</f>
        <v/>
      </c>
      <c r="AA141" s="477" t="str">
        <f>IF($AC$141="","",ROW($A$141)-ROW($A$108))</f>
        <v/>
      </c>
      <c r="AB141" s="478"/>
      <c r="AC141" s="34"/>
      <c r="AD141" s="356"/>
      <c r="AE141" s="18"/>
      <c r="AF141" s="19"/>
      <c r="AG141" s="480" t="str">
        <f t="shared" si="16"/>
        <v/>
      </c>
      <c r="AH141" s="481" t="str">
        <f t="shared" si="17"/>
        <v/>
      </c>
      <c r="AI141" s="477" t="str">
        <f>IF($AC$141="","",IFERROR(INDEX($AZ$74:$AZ$119,MATCH($AH$141,$AY$74:$AY$119,0)),"AUTRE"))</f>
        <v/>
      </c>
      <c r="AJ141" s="482" t="str">
        <f>IF($AC$141="","",IFERROR(INDEX($BA$74:$BA$119,MATCH($AH$141,$AY$74:$AY$119,0)),1))</f>
        <v/>
      </c>
      <c r="AK141" s="482" t="str">
        <f t="shared" si="18"/>
        <v/>
      </c>
      <c r="AL141" s="477" t="str">
        <f>IF($AC$141="","",IFERROR(INDEX($BB$74:$BB$119,MATCH($AH$141,$AY$74:$AY$119,0)),$AH$141))</f>
        <v/>
      </c>
      <c r="AM141" s="483" t="str">
        <f t="shared" si="19"/>
        <v/>
      </c>
      <c r="AN141" s="484" t="str">
        <f t="shared" si="20"/>
        <v/>
      </c>
      <c r="AO141" s="473" t="str">
        <f t="shared" si="21"/>
        <v/>
      </c>
      <c r="AP141" s="473" t="str">
        <f t="shared" si="22"/>
        <v/>
      </c>
      <c r="AQ141" s="473" t="str">
        <f t="shared" si="23"/>
        <v/>
      </c>
      <c r="AR141" s="473" t="str">
        <f t="shared" si="24"/>
        <v/>
      </c>
      <c r="AS141" s="473" t="str">
        <f t="shared" si="25"/>
        <v/>
      </c>
      <c r="AT141" s="473" t="str">
        <f t="shared" si="26"/>
        <v/>
      </c>
      <c r="AU141" s="473" t="str">
        <f t="shared" si="27"/>
        <v/>
      </c>
      <c r="AY141" s="497" t="s">
        <v>465</v>
      </c>
      <c r="AZ141" s="31" t="s">
        <v>30</v>
      </c>
      <c r="BA141" s="25" t="s">
        <v>6128</v>
      </c>
      <c r="BB141" s="500"/>
      <c r="BC141" s="271"/>
      <c r="BD141" s="279">
        <v>1</v>
      </c>
      <c r="BE141" s="271"/>
      <c r="BF141" s="271"/>
      <c r="BG141" s="271"/>
      <c r="BH141" s="271"/>
      <c r="BI141" s="271"/>
      <c r="BJ141" s="271"/>
      <c r="BK141" s="271"/>
      <c r="BL141" s="271"/>
    </row>
    <row r="142" spans="18:64" ht="21" customHeight="1" x14ac:dyDescent="0.25">
      <c r="R142" s="34" t="s">
        <v>490</v>
      </c>
      <c r="S142" s="451"/>
      <c r="T142" s="31" t="s">
        <v>26</v>
      </c>
      <c r="V142" s="475">
        <v>2</v>
      </c>
      <c r="W142" s="475" t="str">
        <f>IF($AC$142="","",$W$108)</f>
        <v>N° 35</v>
      </c>
      <c r="X142" s="476" t="str">
        <f>IF($AC$142="","",$X$108)</f>
        <v>TOASTS A L'ANCHOÏADE</v>
      </c>
      <c r="Y142" s="477">
        <f>IF($X$142="","",$Y$108)</f>
        <v>52</v>
      </c>
      <c r="Z142" s="477">
        <f>IF($X$142="","",$Z$108)</f>
        <v>100</v>
      </c>
      <c r="AA142" s="477">
        <f>IF($AC$142="","",ROW($A$142)-ROW($A$108))</f>
        <v>34</v>
      </c>
      <c r="AB142" s="478"/>
      <c r="AC142" s="34" t="s">
        <v>457</v>
      </c>
      <c r="AD142" s="356"/>
      <c r="AE142" s="18">
        <v>5</v>
      </c>
      <c r="AF142" s="33" t="s">
        <v>465</v>
      </c>
      <c r="AG142" s="491">
        <f t="shared" si="16"/>
        <v>5</v>
      </c>
      <c r="AH142" s="481" t="str">
        <f t="shared" si="17"/>
        <v>GRILLE(S)</v>
      </c>
      <c r="AI142" s="477" t="str">
        <f>IF($AC$142="","",IFERROR(INDEX($AZ$74:$AZ$119,MATCH($AH$142,$AY$74:$AY$119,0)),"AUTRE"))</f>
        <v>AUTRE</v>
      </c>
      <c r="AJ142" s="482">
        <f>IF($AC$142="","",IFERROR(INDEX($BA$74:$BA$119,MATCH($AH$142,$AY$74:$AY$119,0)),1))</f>
        <v>1</v>
      </c>
      <c r="AK142" s="482">
        <f t="shared" si="18"/>
        <v>5</v>
      </c>
      <c r="AL142" s="477" t="str">
        <f>IF($AC$142="","",IFERROR(INDEX($BB$74:$BB$119,MATCH($AH$142,$AY$74:$AY$119,0)),$AH$142))</f>
        <v>grille(s)</v>
      </c>
      <c r="AM142" s="483" t="str">
        <f t="shared" si="19"/>
        <v>OK</v>
      </c>
      <c r="AN142" s="484">
        <f t="shared" si="20"/>
        <v>5</v>
      </c>
      <c r="AO142" s="473" t="str">
        <f t="shared" si="21"/>
        <v/>
      </c>
      <c r="AP142" s="473" t="str">
        <f t="shared" si="22"/>
        <v/>
      </c>
      <c r="AQ142" s="473" t="str">
        <f t="shared" si="23"/>
        <v/>
      </c>
      <c r="AR142" s="473" t="str">
        <f t="shared" si="24"/>
        <v/>
      </c>
      <c r="AS142" s="473" t="str">
        <f t="shared" si="25"/>
        <v/>
      </c>
      <c r="AT142" s="473" t="str">
        <f t="shared" si="26"/>
        <v/>
      </c>
      <c r="AU142" s="473" t="str">
        <f t="shared" si="27"/>
        <v/>
      </c>
      <c r="AY142" s="497" t="s">
        <v>466</v>
      </c>
      <c r="AZ142" s="32" t="s">
        <v>33</v>
      </c>
      <c r="BA142" s="34" t="s">
        <v>474</v>
      </c>
      <c r="BB142" s="500"/>
      <c r="BC142" s="271"/>
      <c r="BD142" s="279">
        <v>1</v>
      </c>
      <c r="BE142" s="271"/>
      <c r="BF142" s="271"/>
      <c r="BG142" s="271"/>
      <c r="BH142" s="271"/>
      <c r="BI142" s="271"/>
      <c r="BJ142" s="271"/>
      <c r="BK142" s="271"/>
      <c r="BL142" s="271"/>
    </row>
    <row r="143" spans="18:64" ht="30" customHeight="1" x14ac:dyDescent="0.25">
      <c r="R143" s="34" t="s">
        <v>6129</v>
      </c>
      <c r="S143" s="451"/>
      <c r="T143" s="31" t="s">
        <v>27</v>
      </c>
      <c r="V143" s="453" t="s">
        <v>324</v>
      </c>
      <c r="W143" s="453" t="s">
        <v>7912</v>
      </c>
      <c r="X143" s="453" t="s">
        <v>326</v>
      </c>
      <c r="Y143" s="453" t="s">
        <v>327</v>
      </c>
      <c r="Z143" s="453" t="s">
        <v>7930</v>
      </c>
      <c r="AA143" s="453" t="s">
        <v>7937</v>
      </c>
      <c r="AB143" s="455" t="s">
        <v>39</v>
      </c>
      <c r="AC143" s="455" t="s">
        <v>338</v>
      </c>
      <c r="AD143" s="455" t="s">
        <v>8114</v>
      </c>
      <c r="AE143" s="455" t="s">
        <v>339</v>
      </c>
      <c r="AF143" s="455" t="s">
        <v>7997</v>
      </c>
      <c r="AG143" s="453" t="s">
        <v>8018</v>
      </c>
      <c r="AH143" s="453" t="s">
        <v>8023</v>
      </c>
      <c r="AI143" s="453" t="s">
        <v>330</v>
      </c>
      <c r="AJ143" s="453" t="s">
        <v>8031</v>
      </c>
      <c r="AK143" s="453" t="s">
        <v>8037</v>
      </c>
      <c r="AL143" s="453" t="s">
        <v>8041</v>
      </c>
      <c r="AM143" s="453" t="s">
        <v>343</v>
      </c>
      <c r="AN143" s="457" t="s">
        <v>8115</v>
      </c>
      <c r="AO143" s="457" t="s">
        <v>8116</v>
      </c>
      <c r="AP143" s="656" t="s">
        <v>8117</v>
      </c>
      <c r="AQ143" s="656"/>
      <c r="AR143" s="656"/>
      <c r="AS143" s="656"/>
      <c r="AT143" s="656"/>
      <c r="AU143" s="657"/>
      <c r="AZ143" s="32" t="s">
        <v>8125</v>
      </c>
      <c r="BA143" s="34" t="s">
        <v>490</v>
      </c>
      <c r="BB143" s="500"/>
      <c r="BC143" s="271"/>
      <c r="BD143" s="279">
        <v>1</v>
      </c>
      <c r="BE143" s="271"/>
      <c r="BF143" s="271"/>
      <c r="BG143" s="271"/>
      <c r="BH143" s="271"/>
      <c r="BI143" s="271"/>
      <c r="BJ143" s="271"/>
      <c r="BK143" s="271"/>
      <c r="BL143" s="271"/>
    </row>
    <row r="144" spans="18:64" ht="30" customHeight="1" x14ac:dyDescent="0.25">
      <c r="R144" s="34" t="s">
        <v>478</v>
      </c>
      <c r="S144" s="451"/>
      <c r="T144" s="31" t="s">
        <v>28</v>
      </c>
      <c r="V144" s="459">
        <v>3</v>
      </c>
      <c r="W144" s="460" t="s">
        <v>229</v>
      </c>
      <c r="X144" s="461" t="s">
        <v>230</v>
      </c>
      <c r="Y144" s="462">
        <v>53</v>
      </c>
      <c r="Z144" s="463">
        <v>100</v>
      </c>
      <c r="AA144" s="464">
        <f>IF($AC$396="","",ROW($A$396)-ROW($A$396))</f>
        <v>0</v>
      </c>
      <c r="AB144" s="461"/>
      <c r="AC144" s="465" t="s">
        <v>408</v>
      </c>
      <c r="AD144" s="390"/>
      <c r="AE144" s="13">
        <v>4</v>
      </c>
      <c r="AF144" s="11" t="s">
        <v>7</v>
      </c>
      <c r="AG144" s="467">
        <f t="shared" ref="AG144:AG178" si="28">IF($AC144="","",IF(LEN($AN144&amp;"")=0,"",$AN144))</f>
        <v>4</v>
      </c>
      <c r="AH144" s="468" t="str">
        <f t="shared" ref="AH144:AH178" si="29">IF($AC144="","",IF($AF144&lt;&gt;"",UPPER(TRIM(SUBSTITUTE(SUBSTITUTE($AF144&amp;"",CHAR(160)," ")," "," "))),$AP144))</f>
        <v>KG</v>
      </c>
      <c r="AI144" s="469" t="str">
        <f>IF($AC$144="","",IFERROR(INDEX($AZ$74:$AZ$119,MATCH($AH$144,$AY$74:$AY$119,0)),"AUTRE"))</f>
        <v>MASSE</v>
      </c>
      <c r="AJ144" s="470">
        <f>IF($AC$144="","",IFERROR(INDEX($BA$74:$BA$119,MATCH($AH$144,$AY$74:$AY$119,0)),1))</f>
        <v>1</v>
      </c>
      <c r="AK144" s="470">
        <f t="shared" ref="AK144:AK178" si="30">IF(OR(AG144="",AJ144=""),"",AG144*AJ144)</f>
        <v>4</v>
      </c>
      <c r="AL144" s="469" t="str">
        <f>IF($AC$144="","",IFERROR(INDEX($BB$74:$BB$119,MATCH($AH$144,$AY$74:$AY$119,0)),$AH$144))</f>
        <v>kg</v>
      </c>
      <c r="AM144" s="471" t="str">
        <f t="shared" ref="AM144:AM178" si="31">IF($AC144="","",IF($AH144="QT. SUFFISANTE","OK",IF($AG144="","TEXTE",IF(NOT(ISNUMBER($AG144)),"QUANTITÉ À CONTRÔLER",IF(COUNTIF($AY$74:$AY$119,$AH144)=0,"UNITÉ À CONTRÔLER","OK")))))</f>
        <v>OK</v>
      </c>
      <c r="AN144" s="474">
        <f t="shared" ref="AN144:AN178" si="32">IF($AE144&lt;&gt;"",$AE144,IF($AD144="","",IF(ISNUMBER($AD144),$AD144,IF($AO144="QT",0,IF($AO144="","",IFERROR(IF(ISNUMBER(SEARCH("/",$AO144)),VALUE(TRIM(LEFT($AO144,SEARCH("/",$AO144)-1)))/VALUE(TRIM(MID($AO144,SEARCH("/",$AO144)+1,99))),VALUE(SUBSTITUTE($AO144,".",","))),""))))))</f>
        <v>4</v>
      </c>
      <c r="AO144" s="473" t="str">
        <f t="shared" ref="AO144:AO178" si="33">IF($AD144="","",IF(ISNUMBER($AD144),$AD144,IF(OR(LEFT($AQ144,3)="QT.",LEFT($AQ144,4)="QUAN"),"QT",IF($AR144=999,$AQ144,TRIM(LEFT($AQ144,$AR144-1))))))</f>
        <v/>
      </c>
      <c r="AP144" s="473" t="str">
        <f t="shared" ref="AP144:AP178" si="34">IF($AD144="","",IF(ISNUMBER($AD144),"",IF(OR(LEFT($AQ144,3)="QT.",LEFT($AQ144,4)="QUAN"),"QT. SUFFISANTE",IF($AO144="","",TRIM(MID($AQ144,LEN($AO144&amp;"")+1,999))))))</f>
        <v/>
      </c>
      <c r="AQ144" s="473" t="str">
        <f t="shared" ref="AQ144:AQ178" si="35">IF($AD144="","",UPPER(TRIM(SUBSTITUTE(SUBSTITUTE($AD144&amp;"",CHAR(160)," ")," "," "))))</f>
        <v/>
      </c>
      <c r="AR144" s="473" t="str">
        <f t="shared" ref="AR144:AR178" si="36">IF($AQ144="","",MIN($AS144,$AT144,$AU144))</f>
        <v/>
      </c>
      <c r="AS144" s="473" t="str">
        <f t="shared" ref="AS144:AS178" si="37">IF($AQ144="","",MIN(IFERROR(SEARCH("A",$AQ144),999),IFERROR(SEARCH("B",$AQ144),999),IFERROR(SEARCH("C",$AQ144),999),IFERROR(SEARCH("D",$AQ144),999),IFERROR(SEARCH("E",$AQ144),999),IFERROR(SEARCH("F",$AQ144),999),IFERROR(SEARCH("G",$AQ144),999),IFERROR(SEARCH("H",$AQ144),999),IFERROR(SEARCH("I",$AQ144),999)))</f>
        <v/>
      </c>
      <c r="AT144" s="473" t="str">
        <f t="shared" ref="AT144:AT178" si="38">IF($AQ144="","",MIN(IFERROR(SEARCH("J",$AQ144),999),IFERROR(SEARCH("K",$AQ144),999),IFERROR(SEARCH("L",$AQ144),999),IFERROR(SEARCH("M",$AQ144),999),IFERROR(SEARCH("N",$AQ144),999),IFERROR(SEARCH("O",$AQ144),999),IFERROR(SEARCH("P",$AQ144),999),IFERROR(SEARCH("Q",$AQ144),999),IFERROR(SEARCH("R",$AQ144),999)))</f>
        <v/>
      </c>
      <c r="AU144" s="473" t="str">
        <f t="shared" ref="AU144:AU178" si="39">IF($AQ144="","",MIN(IFERROR(SEARCH("S",$AQ144),999),IFERROR(SEARCH("T",$AQ144),999),IFERROR(SEARCH("U",$AQ144),999),IFERROR(SEARCH("V",$AQ144),999),IFERROR(SEARCH("W",$AQ144),999),IFERROR(SEARCH("X",$AQ144),999),IFERROR(SEARCH("Y",$AQ144),999),IFERROR(SEARCH("Z",$AQ144),999)))</f>
        <v/>
      </c>
      <c r="AZ144" s="32" t="s">
        <v>8127</v>
      </c>
      <c r="BA144" s="34" t="s">
        <v>6129</v>
      </c>
      <c r="BB144" s="500"/>
      <c r="BC144" s="271"/>
      <c r="BD144" s="279">
        <v>1</v>
      </c>
      <c r="BE144" s="271"/>
      <c r="BF144" s="271"/>
      <c r="BG144" s="271"/>
      <c r="BH144" s="271"/>
      <c r="BI144" s="271"/>
      <c r="BJ144" s="271"/>
      <c r="BK144" s="271"/>
      <c r="BL144" s="271"/>
    </row>
    <row r="145" spans="18:64" ht="21" customHeight="1" x14ac:dyDescent="0.25">
      <c r="R145" s="34" t="s">
        <v>6130</v>
      </c>
      <c r="S145" s="451"/>
      <c r="T145" s="31" t="s">
        <v>29</v>
      </c>
      <c r="V145" s="475">
        <f>$V$144</f>
        <v>3</v>
      </c>
      <c r="W145" s="475" t="str">
        <f>IF($AC$145="","",$W$144)</f>
        <v>N° 36</v>
      </c>
      <c r="X145" s="476" t="str">
        <f>IF($AC$145="","",$X$144)</f>
        <v>BRUSCHETTA</v>
      </c>
      <c r="Y145" s="477">
        <f>IF($X$145="","",$Y$144)</f>
        <v>53</v>
      </c>
      <c r="Z145" s="477">
        <f>IF($X$145="","",$Z$144)</f>
        <v>100</v>
      </c>
      <c r="AA145" s="477">
        <f>IF($AC$145="","",ROW($A$145)-ROW($A$144))</f>
        <v>1</v>
      </c>
      <c r="AB145" s="478"/>
      <c r="AC145" s="34" t="s">
        <v>435</v>
      </c>
      <c r="AD145" s="356"/>
      <c r="AE145" s="18">
        <v>2.5</v>
      </c>
      <c r="AF145" s="11" t="s">
        <v>7</v>
      </c>
      <c r="AG145" s="480">
        <f t="shared" si="28"/>
        <v>2.5</v>
      </c>
      <c r="AH145" s="481" t="str">
        <f t="shared" si="29"/>
        <v>KG</v>
      </c>
      <c r="AI145" s="477" t="str">
        <f>IF($AC$145="","",IFERROR(INDEX($AZ$74:$AZ$119,MATCH($AH$145,$AY$74:$AY$119,0)),"AUTRE"))</f>
        <v>MASSE</v>
      </c>
      <c r="AJ145" s="482">
        <f>IF($AC$145="","",IFERROR(INDEX($BA$74:$BA$119,MATCH($AH$145,$AY$74:$AY$119,0)),1))</f>
        <v>1</v>
      </c>
      <c r="AK145" s="482">
        <f t="shared" si="30"/>
        <v>2.5</v>
      </c>
      <c r="AL145" s="477" t="str">
        <f>IF($AC$145="","",IFERROR(INDEX($BB$74:$BB$119,MATCH($AH$145,$AY$74:$AY$119,0)),$AH$145))</f>
        <v>kg</v>
      </c>
      <c r="AM145" s="483" t="str">
        <f t="shared" si="31"/>
        <v>OK</v>
      </c>
      <c r="AN145" s="484">
        <f t="shared" si="32"/>
        <v>2.5</v>
      </c>
      <c r="AO145" s="473" t="str">
        <f t="shared" si="33"/>
        <v/>
      </c>
      <c r="AP145" s="473" t="str">
        <f t="shared" si="34"/>
        <v/>
      </c>
      <c r="AQ145" s="473" t="str">
        <f t="shared" si="35"/>
        <v/>
      </c>
      <c r="AR145" s="473" t="str">
        <f t="shared" si="36"/>
        <v/>
      </c>
      <c r="AS145" s="473" t="str">
        <f t="shared" si="37"/>
        <v/>
      </c>
      <c r="AT145" s="473" t="str">
        <f t="shared" si="38"/>
        <v/>
      </c>
      <c r="AU145" s="473" t="str">
        <f t="shared" si="39"/>
        <v/>
      </c>
      <c r="AZ145" s="32" t="s">
        <v>320</v>
      </c>
      <c r="BA145" s="34" t="s">
        <v>478</v>
      </c>
      <c r="BB145" s="500"/>
      <c r="BC145" s="271"/>
      <c r="BD145" s="279">
        <v>1</v>
      </c>
      <c r="BE145" s="271"/>
      <c r="BF145" s="271"/>
      <c r="BG145" s="271"/>
      <c r="BH145" s="271"/>
      <c r="BI145" s="271"/>
      <c r="BJ145" s="271"/>
      <c r="BK145" s="271"/>
      <c r="BL145" s="271"/>
    </row>
    <row r="146" spans="18:64" ht="21" customHeight="1" x14ac:dyDescent="0.25">
      <c r="R146" s="34" t="s">
        <v>486</v>
      </c>
      <c r="S146" s="451"/>
      <c r="T146" s="31" t="s">
        <v>30</v>
      </c>
      <c r="V146" s="475">
        <v>3</v>
      </c>
      <c r="W146" s="475" t="str">
        <f>IF($AC$146="","",$W$144)</f>
        <v>N° 36</v>
      </c>
      <c r="X146" s="476" t="str">
        <f>IF($AC$146="","",$X$144)</f>
        <v>BRUSCHETTA</v>
      </c>
      <c r="Y146" s="477">
        <f>IF($X$146="","",$Y$144)</f>
        <v>53</v>
      </c>
      <c r="Z146" s="477">
        <f>IF($X$146="","",$Z$144)</f>
        <v>100</v>
      </c>
      <c r="AA146" s="477">
        <f>IF($AC$146="","",ROW($A$146)-ROW($A$144))</f>
        <v>2</v>
      </c>
      <c r="AB146" s="478"/>
      <c r="AC146" s="34" t="s">
        <v>41</v>
      </c>
      <c r="AD146" s="356"/>
      <c r="AE146" s="18">
        <v>75</v>
      </c>
      <c r="AF146" s="16" t="s">
        <v>8</v>
      </c>
      <c r="AG146" s="480">
        <f t="shared" si="28"/>
        <v>75</v>
      </c>
      <c r="AH146" s="481" t="str">
        <f t="shared" si="29"/>
        <v>G</v>
      </c>
      <c r="AI146" s="477" t="str">
        <f>IF($AC$146="","",IFERROR(INDEX($AZ$74:$AZ$119,MATCH($AH$146,$AY$74:$AY$119,0)),"AUTRE"))</f>
        <v>MASSE</v>
      </c>
      <c r="AJ146" s="482">
        <f>IF($AC$146="","",IFERROR(INDEX($BA$74:$BA$119,MATCH($AH$146,$AY$74:$AY$119,0)),1))</f>
        <v>1E-3</v>
      </c>
      <c r="AK146" s="482">
        <f t="shared" si="30"/>
        <v>7.4999999999999997E-2</v>
      </c>
      <c r="AL146" s="477" t="str">
        <f>IF($AC$146="","",IFERROR(INDEX($BB$74:$BB$119,MATCH($AH$146,$AY$74:$AY$119,0)),$AH$146))</f>
        <v>kg</v>
      </c>
      <c r="AM146" s="483" t="str">
        <f t="shared" si="31"/>
        <v>OK</v>
      </c>
      <c r="AN146" s="484">
        <f t="shared" si="32"/>
        <v>75</v>
      </c>
      <c r="AO146" s="473" t="str">
        <f t="shared" si="33"/>
        <v/>
      </c>
      <c r="AP146" s="473" t="str">
        <f t="shared" si="34"/>
        <v/>
      </c>
      <c r="AQ146" s="473" t="str">
        <f t="shared" si="35"/>
        <v/>
      </c>
      <c r="AR146" s="473" t="str">
        <f t="shared" si="36"/>
        <v/>
      </c>
      <c r="AS146" s="473" t="str">
        <f t="shared" si="37"/>
        <v/>
      </c>
      <c r="AT146" s="473" t="str">
        <f t="shared" si="38"/>
        <v/>
      </c>
      <c r="AU146" s="473" t="str">
        <f t="shared" si="39"/>
        <v/>
      </c>
      <c r="AZ146" s="32" t="s">
        <v>318</v>
      </c>
      <c r="BA146" s="34" t="s">
        <v>6130</v>
      </c>
      <c r="BB146" s="500"/>
      <c r="BC146" s="271"/>
      <c r="BD146" s="279">
        <v>1</v>
      </c>
      <c r="BE146" s="271"/>
      <c r="BF146" s="271"/>
      <c r="BG146" s="271"/>
      <c r="BH146" s="271"/>
      <c r="BI146" s="271"/>
      <c r="BJ146" s="271"/>
      <c r="BK146" s="271"/>
      <c r="BL146" s="271"/>
    </row>
    <row r="147" spans="18:64" ht="21" customHeight="1" x14ac:dyDescent="0.25">
      <c r="R147" s="34" t="s">
        <v>479</v>
      </c>
      <c r="S147" s="451"/>
      <c r="T147" s="31" t="s">
        <v>31</v>
      </c>
      <c r="V147" s="475">
        <v>3</v>
      </c>
      <c r="W147" s="475" t="str">
        <f>IF($AC$147="","",$W$144)</f>
        <v>N° 36</v>
      </c>
      <c r="X147" s="476" t="str">
        <f>IF($AC$147="","",$X$144)</f>
        <v>BRUSCHETTA</v>
      </c>
      <c r="Y147" s="477">
        <f>IF($X$147="","",$Y$144)</f>
        <v>53</v>
      </c>
      <c r="Z147" s="477">
        <f>IF($X$147="","",$Z$144)</f>
        <v>100</v>
      </c>
      <c r="AA147" s="477">
        <f>IF($AC$147="","",ROW($A$147)-ROW($A$144))</f>
        <v>3</v>
      </c>
      <c r="AB147" s="478"/>
      <c r="AC147" s="34" t="s">
        <v>42</v>
      </c>
      <c r="AD147" s="356"/>
      <c r="AE147" s="23" t="s">
        <v>33</v>
      </c>
      <c r="AF147" s="19"/>
      <c r="AG147" s="480" t="str">
        <f t="shared" si="28"/>
        <v>QT. SUFFISANTE</v>
      </c>
      <c r="AH147" s="481" t="str">
        <f t="shared" si="29"/>
        <v/>
      </c>
      <c r="AI147" s="477" t="str">
        <f>IF($AC$147="","",IFERROR(INDEX($AZ$74:$AZ$119,MATCH($AH$147,$AY$74:$AY$119,0)),"AUTRE"))</f>
        <v>AUTRE</v>
      </c>
      <c r="AJ147" s="482">
        <f>IF($AC$147="","",IFERROR(INDEX($BA$74:$BA$119,MATCH($AH$147,$AY$74:$AY$119,0)),1))</f>
        <v>1</v>
      </c>
      <c r="AK147" s="482" t="e">
        <f t="shared" si="30"/>
        <v>#VALUE!</v>
      </c>
      <c r="AL147" s="477" t="str">
        <f>IF($AC$147="","",IFERROR(INDEX($BB$74:$BB$119,MATCH($AH$147,$AY$74:$AY$119,0)),$AH$147))</f>
        <v/>
      </c>
      <c r="AM147" s="483" t="str">
        <f t="shared" si="31"/>
        <v>QUANTITÉ À CONTRÔLER</v>
      </c>
      <c r="AN147" s="484" t="str">
        <f t="shared" si="32"/>
        <v>QT. SUFFISANTE</v>
      </c>
      <c r="AO147" s="473" t="str">
        <f t="shared" si="33"/>
        <v/>
      </c>
      <c r="AP147" s="473" t="str">
        <f t="shared" si="34"/>
        <v/>
      </c>
      <c r="AQ147" s="473" t="str">
        <f t="shared" si="35"/>
        <v/>
      </c>
      <c r="AR147" s="473" t="str">
        <f t="shared" si="36"/>
        <v/>
      </c>
      <c r="AS147" s="473" t="str">
        <f t="shared" si="37"/>
        <v/>
      </c>
      <c r="AT147" s="473" t="str">
        <f t="shared" si="38"/>
        <v/>
      </c>
      <c r="AU147" s="473" t="str">
        <f t="shared" si="39"/>
        <v/>
      </c>
      <c r="AZ147" s="32" t="s">
        <v>316</v>
      </c>
      <c r="BA147" s="34" t="s">
        <v>486</v>
      </c>
      <c r="BB147" s="500"/>
      <c r="BC147" s="271"/>
      <c r="BD147" s="279">
        <v>1</v>
      </c>
      <c r="BE147" s="271"/>
      <c r="BF147" s="271"/>
      <c r="BG147" s="271"/>
      <c r="BH147" s="271"/>
      <c r="BI147" s="271"/>
      <c r="BJ147" s="271"/>
      <c r="BK147" s="271"/>
      <c r="BL147" s="271"/>
    </row>
    <row r="148" spans="18:64" ht="21" customHeight="1" x14ac:dyDescent="0.25">
      <c r="R148" s="34" t="s">
        <v>6131</v>
      </c>
      <c r="S148" s="451"/>
      <c r="T148" s="32" t="s">
        <v>33</v>
      </c>
      <c r="V148" s="475">
        <v>3</v>
      </c>
      <c r="W148" s="475" t="str">
        <f>IF($AC$148="","",$W$144)</f>
        <v>N° 36</v>
      </c>
      <c r="X148" s="476" t="str">
        <f>IF($AC$148="","",$X$144)</f>
        <v>BRUSCHETTA</v>
      </c>
      <c r="Y148" s="477">
        <f>IF($X$148="","",$Y$144)</f>
        <v>53</v>
      </c>
      <c r="Z148" s="477">
        <f>IF($X$148="","",$Z$144)</f>
        <v>100</v>
      </c>
      <c r="AA148" s="477">
        <f>IF($AC$148="","",ROW($A$148)-ROW($A$144))</f>
        <v>4</v>
      </c>
      <c r="AB148" s="478"/>
      <c r="AC148" s="34" t="s">
        <v>118</v>
      </c>
      <c r="AD148" s="356"/>
      <c r="AE148" s="18">
        <v>75</v>
      </c>
      <c r="AF148" s="21" t="s">
        <v>11</v>
      </c>
      <c r="AG148" s="480">
        <f t="shared" si="28"/>
        <v>75</v>
      </c>
      <c r="AH148" s="481" t="str">
        <f t="shared" si="29"/>
        <v>CL</v>
      </c>
      <c r="AI148" s="477" t="str">
        <f>IF($AC$148="","",IFERROR(INDEX($AZ$74:$AZ$119,MATCH($AH$148,$AY$74:$AY$119,0)),"AUTRE"))</f>
        <v>VOLUME</v>
      </c>
      <c r="AJ148" s="482">
        <f>IF($AC$148="","",IFERROR(INDEX($BA$74:$BA$119,MATCH($AH$148,$AY$74:$AY$119,0)),1))</f>
        <v>0.01</v>
      </c>
      <c r="AK148" s="482">
        <f t="shared" si="30"/>
        <v>0.75</v>
      </c>
      <c r="AL148" s="477" t="str">
        <f>IF($AC$148="","",IFERROR(INDEX($BB$74:$BB$119,MATCH($AH$148,$AY$74:$AY$119,0)),$AH$148))</f>
        <v>L</v>
      </c>
      <c r="AM148" s="483" t="str">
        <f t="shared" si="31"/>
        <v>OK</v>
      </c>
      <c r="AN148" s="484">
        <f t="shared" si="32"/>
        <v>75</v>
      </c>
      <c r="AO148" s="473" t="str">
        <f t="shared" si="33"/>
        <v/>
      </c>
      <c r="AP148" s="473" t="str">
        <f t="shared" si="34"/>
        <v/>
      </c>
      <c r="AQ148" s="473" t="str">
        <f t="shared" si="35"/>
        <v/>
      </c>
      <c r="AR148" s="473" t="str">
        <f t="shared" si="36"/>
        <v/>
      </c>
      <c r="AS148" s="473" t="str">
        <f t="shared" si="37"/>
        <v/>
      </c>
      <c r="AT148" s="473" t="str">
        <f t="shared" si="38"/>
        <v/>
      </c>
      <c r="AU148" s="473" t="str">
        <f t="shared" si="39"/>
        <v/>
      </c>
      <c r="AZ148" s="32" t="s">
        <v>313</v>
      </c>
      <c r="BA148" s="34" t="s">
        <v>479</v>
      </c>
      <c r="BB148" s="500"/>
      <c r="BC148" s="271"/>
      <c r="BD148" s="279">
        <v>1</v>
      </c>
      <c r="BE148" s="271"/>
      <c r="BF148" s="271"/>
      <c r="BG148" s="271"/>
      <c r="BH148" s="271"/>
      <c r="BI148" s="271"/>
      <c r="BJ148" s="271"/>
      <c r="BK148" s="271"/>
      <c r="BL148" s="271"/>
    </row>
    <row r="149" spans="18:64" ht="21" customHeight="1" x14ac:dyDescent="0.25">
      <c r="R149" s="34" t="s">
        <v>485</v>
      </c>
      <c r="S149" s="451"/>
      <c r="T149" s="32" t="s">
        <v>8125</v>
      </c>
      <c r="V149" s="475">
        <v>3</v>
      </c>
      <c r="W149" s="475" t="str">
        <f>IF($AC$149="","",$W$144)</f>
        <v>N° 36</v>
      </c>
      <c r="X149" s="476" t="str">
        <f>IF($AC$149="","",$X$144)</f>
        <v>BRUSCHETTA</v>
      </c>
      <c r="Y149" s="477">
        <f>IF($X$149="","",$Y$144)</f>
        <v>53</v>
      </c>
      <c r="Z149" s="477">
        <f>IF($X$149="","",$Z$144)</f>
        <v>100</v>
      </c>
      <c r="AA149" s="477">
        <f>IF($AC$149="","",ROW($A$149)-ROW($A$144))</f>
        <v>5</v>
      </c>
      <c r="AB149" s="478"/>
      <c r="AC149" s="34" t="s">
        <v>408</v>
      </c>
      <c r="AD149" s="356"/>
      <c r="AE149" s="18">
        <v>5</v>
      </c>
      <c r="AF149" s="11" t="s">
        <v>7</v>
      </c>
      <c r="AG149" s="480">
        <f t="shared" si="28"/>
        <v>5</v>
      </c>
      <c r="AH149" s="481" t="str">
        <f t="shared" si="29"/>
        <v>KG</v>
      </c>
      <c r="AI149" s="477" t="str">
        <f>IF($AC$149="","",IFERROR(INDEX($AZ$74:$AZ$119,MATCH($AH$149,$AY$74:$AY$119,0)),"AUTRE"))</f>
        <v>MASSE</v>
      </c>
      <c r="AJ149" s="482">
        <f>IF($AC$149="","",IFERROR(INDEX($BA$74:$BA$119,MATCH($AH$149,$AY$74:$AY$119,0)),1))</f>
        <v>1</v>
      </c>
      <c r="AK149" s="482">
        <f t="shared" si="30"/>
        <v>5</v>
      </c>
      <c r="AL149" s="477" t="str">
        <f>IF($AC$149="","",IFERROR(INDEX($BB$74:$BB$119,MATCH($AH$149,$AY$74:$AY$119,0)),$AH$149))</f>
        <v>kg</v>
      </c>
      <c r="AM149" s="483" t="str">
        <f t="shared" si="31"/>
        <v>OK</v>
      </c>
      <c r="AN149" s="484">
        <f t="shared" si="32"/>
        <v>5</v>
      </c>
      <c r="AO149" s="473" t="str">
        <f t="shared" si="33"/>
        <v/>
      </c>
      <c r="AP149" s="473" t="str">
        <f t="shared" si="34"/>
        <v/>
      </c>
      <c r="AQ149" s="473" t="str">
        <f t="shared" si="35"/>
        <v/>
      </c>
      <c r="AR149" s="473" t="str">
        <f t="shared" si="36"/>
        <v/>
      </c>
      <c r="AS149" s="473" t="str">
        <f t="shared" si="37"/>
        <v/>
      </c>
      <c r="AT149" s="473" t="str">
        <f t="shared" si="38"/>
        <v/>
      </c>
      <c r="AU149" s="473" t="str">
        <f t="shared" si="39"/>
        <v/>
      </c>
      <c r="AZ149" s="32" t="s">
        <v>307</v>
      </c>
      <c r="BA149" s="34" t="s">
        <v>6131</v>
      </c>
      <c r="BB149" s="500"/>
      <c r="BC149" s="271"/>
      <c r="BD149" s="279">
        <v>1</v>
      </c>
      <c r="BE149" s="271"/>
      <c r="BF149" s="271"/>
      <c r="BG149" s="271"/>
      <c r="BH149" s="271"/>
      <c r="BI149" s="271"/>
      <c r="BJ149" s="271"/>
      <c r="BK149" s="271"/>
      <c r="BL149" s="271"/>
    </row>
    <row r="150" spans="18:64" ht="21" customHeight="1" x14ac:dyDescent="0.25">
      <c r="R150" s="34" t="s">
        <v>6132</v>
      </c>
      <c r="S150" s="451"/>
      <c r="T150" s="32" t="s">
        <v>8127</v>
      </c>
      <c r="V150" s="475">
        <v>3</v>
      </c>
      <c r="W150" s="475" t="str">
        <f>IF($AC$150="","",$W$144)</f>
        <v>N° 36</v>
      </c>
      <c r="X150" s="476" t="str">
        <f>IF($AC$150="","",$X$144)</f>
        <v>BRUSCHETTA</v>
      </c>
      <c r="Y150" s="477">
        <f>IF($X$150="","",$Y$144)</f>
        <v>53</v>
      </c>
      <c r="Z150" s="477">
        <f>IF($X$150="","",$Z$144)</f>
        <v>100</v>
      </c>
      <c r="AA150" s="477">
        <f>IF($AC$150="","",ROW($A$150)-ROW($A$144))</f>
        <v>6</v>
      </c>
      <c r="AB150" s="478"/>
      <c r="AC150" s="34" t="s">
        <v>231</v>
      </c>
      <c r="AD150" s="356"/>
      <c r="AE150" s="18">
        <v>5</v>
      </c>
      <c r="AF150" s="11" t="s">
        <v>7</v>
      </c>
      <c r="AG150" s="480">
        <f t="shared" si="28"/>
        <v>5</v>
      </c>
      <c r="AH150" s="481" t="str">
        <f t="shared" si="29"/>
        <v>KG</v>
      </c>
      <c r="AI150" s="477" t="str">
        <f>IF($AC$150="","",IFERROR(INDEX($AZ$74:$AZ$119,MATCH($AH$150,$AY$74:$AY$119,0)),"AUTRE"))</f>
        <v>MASSE</v>
      </c>
      <c r="AJ150" s="482">
        <f>IF($AC$150="","",IFERROR(INDEX($BA$74:$BA$119,MATCH($AH$150,$AY$74:$AY$119,0)),1))</f>
        <v>1</v>
      </c>
      <c r="AK150" s="482">
        <f t="shared" si="30"/>
        <v>5</v>
      </c>
      <c r="AL150" s="477" t="str">
        <f>IF($AC$150="","",IFERROR(INDEX($BB$74:$BB$119,MATCH($AH$150,$AY$74:$AY$119,0)),$AH$150))</f>
        <v>kg</v>
      </c>
      <c r="AM150" s="483" t="str">
        <f t="shared" si="31"/>
        <v>OK</v>
      </c>
      <c r="AN150" s="484">
        <f t="shared" si="32"/>
        <v>5</v>
      </c>
      <c r="AO150" s="473" t="str">
        <f t="shared" si="33"/>
        <v/>
      </c>
      <c r="AP150" s="473" t="str">
        <f t="shared" si="34"/>
        <v/>
      </c>
      <c r="AQ150" s="473" t="str">
        <f t="shared" si="35"/>
        <v/>
      </c>
      <c r="AR150" s="473" t="str">
        <f t="shared" si="36"/>
        <v/>
      </c>
      <c r="AS150" s="473" t="str">
        <f t="shared" si="37"/>
        <v/>
      </c>
      <c r="AT150" s="473" t="str">
        <f t="shared" si="38"/>
        <v/>
      </c>
      <c r="AU150" s="473" t="str">
        <f t="shared" si="39"/>
        <v/>
      </c>
      <c r="AZ150" s="32" t="s">
        <v>322</v>
      </c>
      <c r="BA150" s="34" t="s">
        <v>485</v>
      </c>
      <c r="BB150" s="500"/>
      <c r="BC150" s="271"/>
      <c r="BD150" s="279">
        <v>1</v>
      </c>
      <c r="BE150" s="271"/>
      <c r="BF150" s="271"/>
      <c r="BG150" s="271"/>
      <c r="BH150" s="271"/>
      <c r="BI150" s="271"/>
      <c r="BJ150" s="271"/>
      <c r="BK150" s="271"/>
      <c r="BL150" s="271"/>
    </row>
    <row r="151" spans="18:64" ht="21" customHeight="1" x14ac:dyDescent="0.25">
      <c r="R151" s="25" t="s">
        <v>6133</v>
      </c>
      <c r="S151" s="451"/>
      <c r="T151" s="32" t="s">
        <v>320</v>
      </c>
      <c r="V151" s="475">
        <v>3</v>
      </c>
      <c r="W151" s="475" t="str">
        <f>IF($AC$151="","",$W$144)</f>
        <v>N° 36</v>
      </c>
      <c r="X151" s="476" t="str">
        <f>IF($AC$151="","",$X$144)</f>
        <v>BRUSCHETTA</v>
      </c>
      <c r="Y151" s="477">
        <f>IF($X$151="","",$Y$144)</f>
        <v>53</v>
      </c>
      <c r="Z151" s="477">
        <f>IF($X$151="","",$Z$144)</f>
        <v>100</v>
      </c>
      <c r="AA151" s="477">
        <f>IF($AC$151="","",ROW($A$151)-ROW($A$144))</f>
        <v>7</v>
      </c>
      <c r="AB151" s="478"/>
      <c r="AC151" s="34" t="s">
        <v>41</v>
      </c>
      <c r="AD151" s="356"/>
      <c r="AE151" s="18">
        <v>75</v>
      </c>
      <c r="AF151" s="16" t="s">
        <v>8</v>
      </c>
      <c r="AG151" s="480">
        <f t="shared" si="28"/>
        <v>75</v>
      </c>
      <c r="AH151" s="481" t="str">
        <f t="shared" si="29"/>
        <v>G</v>
      </c>
      <c r="AI151" s="477" t="str">
        <f>IF($AC$151="","",IFERROR(INDEX($AZ$74:$AZ$119,MATCH($AH$151,$AY$74:$AY$119,0)),"AUTRE"))</f>
        <v>MASSE</v>
      </c>
      <c r="AJ151" s="482">
        <f>IF($AC$151="","",IFERROR(INDEX($BA$74:$BA$119,MATCH($AH$151,$AY$74:$AY$119,0)),1))</f>
        <v>1E-3</v>
      </c>
      <c r="AK151" s="482">
        <f t="shared" si="30"/>
        <v>7.4999999999999997E-2</v>
      </c>
      <c r="AL151" s="477" t="str">
        <f>IF($AC$151="","",IFERROR(INDEX($BB$74:$BB$119,MATCH($AH$151,$AY$74:$AY$119,0)),$AH$151))</f>
        <v>kg</v>
      </c>
      <c r="AM151" s="483" t="str">
        <f t="shared" si="31"/>
        <v>OK</v>
      </c>
      <c r="AN151" s="484">
        <f t="shared" si="32"/>
        <v>75</v>
      </c>
      <c r="AO151" s="473" t="str">
        <f t="shared" si="33"/>
        <v/>
      </c>
      <c r="AP151" s="473" t="str">
        <f t="shared" si="34"/>
        <v/>
      </c>
      <c r="AQ151" s="473" t="str">
        <f t="shared" si="35"/>
        <v/>
      </c>
      <c r="AR151" s="473" t="str">
        <f t="shared" si="36"/>
        <v/>
      </c>
      <c r="AS151" s="473" t="str">
        <f t="shared" si="37"/>
        <v/>
      </c>
      <c r="AT151" s="473" t="str">
        <f t="shared" si="38"/>
        <v/>
      </c>
      <c r="AU151" s="473" t="str">
        <f t="shared" si="39"/>
        <v/>
      </c>
      <c r="AZ151" s="32" t="s">
        <v>305</v>
      </c>
      <c r="BA151" s="34" t="s">
        <v>6132</v>
      </c>
      <c r="BB151" s="500"/>
      <c r="BC151" s="271"/>
      <c r="BD151" s="279">
        <v>1</v>
      </c>
      <c r="BE151" s="271"/>
      <c r="BF151" s="271"/>
      <c r="BG151" s="271"/>
      <c r="BH151" s="271"/>
      <c r="BI151" s="271"/>
      <c r="BJ151" s="271"/>
      <c r="BK151" s="271"/>
      <c r="BL151" s="271"/>
    </row>
    <row r="152" spans="18:64" ht="21" customHeight="1" x14ac:dyDescent="0.25">
      <c r="R152" s="34" t="s">
        <v>476</v>
      </c>
      <c r="S152" s="451"/>
      <c r="T152" s="32" t="s">
        <v>318</v>
      </c>
      <c r="V152" s="475">
        <v>3</v>
      </c>
      <c r="W152" s="475" t="str">
        <f>IF($AC$152="","",$W$144)</f>
        <v>N° 36</v>
      </c>
      <c r="X152" s="476" t="str">
        <f>IF($AC$152="","",$X$144)</f>
        <v>BRUSCHETTA</v>
      </c>
      <c r="Y152" s="477">
        <f>IF($X$152="","",$Y$144)</f>
        <v>53</v>
      </c>
      <c r="Z152" s="477">
        <f>IF($X$152="","",$Z$144)</f>
        <v>100</v>
      </c>
      <c r="AA152" s="477">
        <f>IF($AC$152="","",ROW($A$152)-ROW($A$144))</f>
        <v>8</v>
      </c>
      <c r="AB152" s="478"/>
      <c r="AC152" s="34" t="s">
        <v>151</v>
      </c>
      <c r="AD152" s="356"/>
      <c r="AE152" s="23" t="s">
        <v>33</v>
      </c>
      <c r="AF152" s="19"/>
      <c r="AG152" s="480" t="str">
        <f t="shared" si="28"/>
        <v>QT. SUFFISANTE</v>
      </c>
      <c r="AH152" s="481" t="str">
        <f t="shared" si="29"/>
        <v/>
      </c>
      <c r="AI152" s="477" t="str">
        <f>IF($AC$152="","",IFERROR(INDEX($AZ$74:$AZ$119,MATCH($AH$152,$AY$74:$AY$119,0)),"AUTRE"))</f>
        <v>AUTRE</v>
      </c>
      <c r="AJ152" s="482">
        <f>IF($AC$152="","",IFERROR(INDEX($BA$74:$BA$119,MATCH($AH$152,$AY$74:$AY$119,0)),1))</f>
        <v>1</v>
      </c>
      <c r="AK152" s="482" t="e">
        <f t="shared" si="30"/>
        <v>#VALUE!</v>
      </c>
      <c r="AL152" s="477" t="str">
        <f>IF($AC$152="","",IFERROR(INDEX($BB$74:$BB$119,MATCH($AH$152,$AY$74:$AY$119,0)),$AH$152))</f>
        <v/>
      </c>
      <c r="AM152" s="483" t="str">
        <f t="shared" si="31"/>
        <v>QUANTITÉ À CONTRÔLER</v>
      </c>
      <c r="AN152" s="484" t="str">
        <f t="shared" si="32"/>
        <v>QT. SUFFISANTE</v>
      </c>
      <c r="AO152" s="473" t="str">
        <f t="shared" si="33"/>
        <v/>
      </c>
      <c r="AP152" s="473" t="str">
        <f t="shared" si="34"/>
        <v/>
      </c>
      <c r="AQ152" s="473" t="str">
        <f t="shared" si="35"/>
        <v/>
      </c>
      <c r="AR152" s="473" t="str">
        <f t="shared" si="36"/>
        <v/>
      </c>
      <c r="AS152" s="473" t="str">
        <f t="shared" si="37"/>
        <v/>
      </c>
      <c r="AT152" s="473" t="str">
        <f t="shared" si="38"/>
        <v/>
      </c>
      <c r="AU152" s="473" t="str">
        <f t="shared" si="39"/>
        <v/>
      </c>
      <c r="AZ152" s="32" t="s">
        <v>8129</v>
      </c>
      <c r="BA152" s="25" t="s">
        <v>6133</v>
      </c>
      <c r="BB152" s="500"/>
      <c r="BC152" s="271"/>
      <c r="BD152" s="279">
        <v>1</v>
      </c>
      <c r="BE152" s="271"/>
      <c r="BF152" s="271"/>
      <c r="BG152" s="271"/>
      <c r="BH152" s="271"/>
      <c r="BI152" s="271"/>
      <c r="BJ152" s="271"/>
      <c r="BK152" s="271"/>
      <c r="BL152" s="271"/>
    </row>
    <row r="153" spans="18:64" ht="21" customHeight="1" x14ac:dyDescent="0.25">
      <c r="R153" s="34" t="s">
        <v>468</v>
      </c>
      <c r="S153" s="451"/>
      <c r="T153" s="32" t="s">
        <v>316</v>
      </c>
      <c r="V153" s="475">
        <v>3</v>
      </c>
      <c r="W153" s="475" t="str">
        <f>IF($AC$153="","",$W$144)</f>
        <v>N° 36</v>
      </c>
      <c r="X153" s="476" t="str">
        <f>IF($AC$153="","",$X$144)</f>
        <v>BRUSCHETTA</v>
      </c>
      <c r="Y153" s="477">
        <f>IF($X$153="","",$Y$144)</f>
        <v>53</v>
      </c>
      <c r="Z153" s="477">
        <f>IF($X$153="","",$Z$144)</f>
        <v>100</v>
      </c>
      <c r="AA153" s="477">
        <f>IF($AC$153="","",ROW($A$153)-ROW($A$144))</f>
        <v>9</v>
      </c>
      <c r="AB153" s="478"/>
      <c r="AC153" s="34" t="s">
        <v>202</v>
      </c>
      <c r="AD153" s="356"/>
      <c r="AE153" s="23" t="s">
        <v>33</v>
      </c>
      <c r="AF153" s="19"/>
      <c r="AG153" s="480" t="str">
        <f t="shared" si="28"/>
        <v>QT. SUFFISANTE</v>
      </c>
      <c r="AH153" s="481" t="str">
        <f t="shared" si="29"/>
        <v/>
      </c>
      <c r="AI153" s="477" t="str">
        <f>IF($AC$153="","",IFERROR(INDEX($AZ$74:$AZ$119,MATCH($AH$153,$AY$74:$AY$119,0)),"AUTRE"))</f>
        <v>AUTRE</v>
      </c>
      <c r="AJ153" s="482">
        <f>IF($AC$153="","",IFERROR(INDEX($BA$74:$BA$119,MATCH($AH$153,$AY$74:$AY$119,0)),1))</f>
        <v>1</v>
      </c>
      <c r="AK153" s="482" t="e">
        <f t="shared" si="30"/>
        <v>#VALUE!</v>
      </c>
      <c r="AL153" s="477" t="str">
        <f>IF($AC$153="","",IFERROR(INDEX($BB$74:$BB$119,MATCH($AH$153,$AY$74:$AY$119,0)),$AH$153))</f>
        <v/>
      </c>
      <c r="AM153" s="483" t="str">
        <f t="shared" si="31"/>
        <v>QUANTITÉ À CONTRÔLER</v>
      </c>
      <c r="AN153" s="484" t="str">
        <f t="shared" si="32"/>
        <v>QT. SUFFISANTE</v>
      </c>
      <c r="AO153" s="473" t="str">
        <f t="shared" si="33"/>
        <v/>
      </c>
      <c r="AP153" s="473" t="str">
        <f t="shared" si="34"/>
        <v/>
      </c>
      <c r="AQ153" s="473" t="str">
        <f t="shared" si="35"/>
        <v/>
      </c>
      <c r="AR153" s="473" t="str">
        <f t="shared" si="36"/>
        <v/>
      </c>
      <c r="AS153" s="473" t="str">
        <f t="shared" si="37"/>
        <v/>
      </c>
      <c r="AT153" s="473" t="str">
        <f t="shared" si="38"/>
        <v/>
      </c>
      <c r="AU153" s="473" t="str">
        <f t="shared" si="39"/>
        <v/>
      </c>
      <c r="AZ153" s="32" t="s">
        <v>8131</v>
      </c>
      <c r="BA153" s="34" t="s">
        <v>476</v>
      </c>
      <c r="BB153" s="500"/>
      <c r="BC153" s="271"/>
      <c r="BD153" s="279">
        <v>1</v>
      </c>
      <c r="BE153" s="271"/>
      <c r="BF153" s="271"/>
      <c r="BG153" s="271"/>
      <c r="BH153" s="271"/>
      <c r="BI153" s="271"/>
      <c r="BJ153" s="271"/>
      <c r="BK153" s="271"/>
      <c r="BL153" s="271"/>
    </row>
    <row r="154" spans="18:64" ht="21" customHeight="1" x14ac:dyDescent="0.25">
      <c r="R154" s="34" t="s">
        <v>473</v>
      </c>
      <c r="S154" s="451"/>
      <c r="T154" s="32" t="s">
        <v>313</v>
      </c>
      <c r="V154" s="475">
        <v>3</v>
      </c>
      <c r="W154" s="475" t="str">
        <f>IF($AC$154="","",$W$144)</f>
        <v>N° 36</v>
      </c>
      <c r="X154" s="476" t="str">
        <f>IF($AC$154="","",$X$144)</f>
        <v>BRUSCHETTA</v>
      </c>
      <c r="Y154" s="477">
        <f>IF($X$154="","",$Y$144)</f>
        <v>53</v>
      </c>
      <c r="Z154" s="477">
        <f>IF($X$154="","",$Z$144)</f>
        <v>100</v>
      </c>
      <c r="AA154" s="477">
        <f>IF($AC$154="","",ROW($A$154)-ROW($A$144))</f>
        <v>10</v>
      </c>
      <c r="AB154" s="478"/>
      <c r="AC154" s="34" t="s">
        <v>42</v>
      </c>
      <c r="AD154" s="356"/>
      <c r="AE154" s="18">
        <v>1</v>
      </c>
      <c r="AF154" s="22" t="s">
        <v>16</v>
      </c>
      <c r="AG154" s="480">
        <f t="shared" si="28"/>
        <v>1</v>
      </c>
      <c r="AH154" s="481" t="str">
        <f t="shared" si="29"/>
        <v>DEMI/L</v>
      </c>
      <c r="AI154" s="477" t="str">
        <f>IF($AC$154="","",IFERROR(INDEX($AZ$74:$AZ$119,MATCH($AH$154,$AY$74:$AY$119,0)),"AUTRE"))</f>
        <v>VOLUME</v>
      </c>
      <c r="AJ154" s="482">
        <f>IF($AC$154="","",IFERROR(INDEX($BA$74:$BA$119,MATCH($AH$154,$AY$74:$AY$119,0)),1))</f>
        <v>0.5</v>
      </c>
      <c r="AK154" s="482">
        <f t="shared" si="30"/>
        <v>0.5</v>
      </c>
      <c r="AL154" s="477" t="str">
        <f>IF($AC$154="","",IFERROR(INDEX($BB$74:$BB$119,MATCH($AH$154,$AY$74:$AY$119,0)),$AH$154))</f>
        <v>L</v>
      </c>
      <c r="AM154" s="483" t="str">
        <f t="shared" si="31"/>
        <v>OK</v>
      </c>
      <c r="AN154" s="484">
        <f t="shared" si="32"/>
        <v>1</v>
      </c>
      <c r="AO154" s="473" t="str">
        <f t="shared" si="33"/>
        <v/>
      </c>
      <c r="AP154" s="473" t="str">
        <f t="shared" si="34"/>
        <v/>
      </c>
      <c r="AQ154" s="473" t="str">
        <f t="shared" si="35"/>
        <v/>
      </c>
      <c r="AR154" s="473" t="str">
        <f t="shared" si="36"/>
        <v/>
      </c>
      <c r="AS154" s="473" t="str">
        <f t="shared" si="37"/>
        <v/>
      </c>
      <c r="AT154" s="473" t="str">
        <f t="shared" si="38"/>
        <v/>
      </c>
      <c r="AU154" s="473" t="str">
        <f t="shared" si="39"/>
        <v/>
      </c>
      <c r="AZ154" s="32" t="s">
        <v>309</v>
      </c>
      <c r="BA154" s="34" t="s">
        <v>468</v>
      </c>
      <c r="BB154" s="500"/>
      <c r="BC154" s="271"/>
      <c r="BD154" s="279">
        <v>1</v>
      </c>
      <c r="BE154" s="271"/>
      <c r="BF154" s="271"/>
      <c r="BG154" s="271"/>
      <c r="BH154" s="271"/>
      <c r="BI154" s="271"/>
      <c r="BJ154" s="271"/>
      <c r="BK154" s="271"/>
      <c r="BL154" s="271"/>
    </row>
    <row r="155" spans="18:64" ht="21" customHeight="1" x14ac:dyDescent="0.25">
      <c r="R155" s="34" t="s">
        <v>497</v>
      </c>
      <c r="S155" s="451"/>
      <c r="T155" s="32" t="s">
        <v>307</v>
      </c>
      <c r="V155" s="475">
        <v>3</v>
      </c>
      <c r="W155" s="475" t="str">
        <f>IF($AC$155="","",$W$144)</f>
        <v>N° 36</v>
      </c>
      <c r="X155" s="476" t="str">
        <f>IF($AC$155="","",$X$144)</f>
        <v>BRUSCHETTA</v>
      </c>
      <c r="Y155" s="477">
        <f>IF($X$155="","",$Y$144)</f>
        <v>53</v>
      </c>
      <c r="Z155" s="477">
        <f>IF($X$155="","",$Z$144)</f>
        <v>100</v>
      </c>
      <c r="AA155" s="477">
        <f>IF($AC$155="","",ROW($A$155)-ROW($A$144))</f>
        <v>11</v>
      </c>
      <c r="AB155" s="478"/>
      <c r="AC155" s="34" t="s">
        <v>232</v>
      </c>
      <c r="AD155" s="356"/>
      <c r="AE155" s="23" t="s">
        <v>33</v>
      </c>
      <c r="AF155" s="19"/>
      <c r="AG155" s="480" t="str">
        <f t="shared" si="28"/>
        <v>QT. SUFFISANTE</v>
      </c>
      <c r="AH155" s="481" t="str">
        <f t="shared" si="29"/>
        <v/>
      </c>
      <c r="AI155" s="477" t="str">
        <f>IF($AC$155="","",IFERROR(INDEX($AZ$74:$AZ$119,MATCH($AH$155,$AY$74:$AY$119,0)),"AUTRE"))</f>
        <v>AUTRE</v>
      </c>
      <c r="AJ155" s="482">
        <f>IF($AC$155="","",IFERROR(INDEX($BA$74:$BA$119,MATCH($AH$155,$AY$74:$AY$119,0)),1))</f>
        <v>1</v>
      </c>
      <c r="AK155" s="482" t="e">
        <f t="shared" si="30"/>
        <v>#VALUE!</v>
      </c>
      <c r="AL155" s="477" t="str">
        <f>IF($AC$155="","",IFERROR(INDEX($BB$74:$BB$119,MATCH($AH$155,$AY$74:$AY$119,0)),$AH$155))</f>
        <v/>
      </c>
      <c r="AM155" s="483" t="str">
        <f t="shared" si="31"/>
        <v>QUANTITÉ À CONTRÔLER</v>
      </c>
      <c r="AN155" s="484" t="str">
        <f t="shared" si="32"/>
        <v>QT. SUFFISANTE</v>
      </c>
      <c r="AO155" s="473" t="str">
        <f t="shared" si="33"/>
        <v/>
      </c>
      <c r="AP155" s="473" t="str">
        <f t="shared" si="34"/>
        <v/>
      </c>
      <c r="AQ155" s="473" t="str">
        <f t="shared" si="35"/>
        <v/>
      </c>
      <c r="AR155" s="473" t="str">
        <f t="shared" si="36"/>
        <v/>
      </c>
      <c r="AS155" s="473" t="str">
        <f t="shared" si="37"/>
        <v/>
      </c>
      <c r="AT155" s="473" t="str">
        <f t="shared" si="38"/>
        <v/>
      </c>
      <c r="AU155" s="473" t="str">
        <f t="shared" si="39"/>
        <v/>
      </c>
      <c r="AZ155" s="32" t="s">
        <v>311</v>
      </c>
      <c r="BA155" s="34" t="s">
        <v>473</v>
      </c>
      <c r="BB155" s="500"/>
      <c r="BC155" s="271"/>
      <c r="BD155" s="279">
        <v>1</v>
      </c>
      <c r="BE155" s="271"/>
      <c r="BF155" s="271"/>
      <c r="BG155" s="271"/>
      <c r="BH155" s="271"/>
      <c r="BI155" s="271"/>
      <c r="BJ155" s="271"/>
      <c r="BK155" s="271"/>
      <c r="BL155" s="271"/>
    </row>
    <row r="156" spans="18:64" ht="21" customHeight="1" x14ac:dyDescent="0.25">
      <c r="R156" s="34" t="s">
        <v>470</v>
      </c>
      <c r="S156" s="451"/>
      <c r="T156" s="32" t="s">
        <v>322</v>
      </c>
      <c r="V156" s="475">
        <v>3</v>
      </c>
      <c r="W156" s="475" t="str">
        <f>IF($AC$156="","",$W$144)</f>
        <v/>
      </c>
      <c r="X156" s="476" t="str">
        <f>IF($AC$156="","",$X$144)</f>
        <v/>
      </c>
      <c r="Y156" s="477" t="str">
        <f>IF($X$156="","",$Y$144)</f>
        <v/>
      </c>
      <c r="Z156" s="477" t="str">
        <f>IF($X$156="","",$Z$144)</f>
        <v/>
      </c>
      <c r="AA156" s="477" t="str">
        <f>IF($AC$156="","",ROW($A$156)-ROW($A$144))</f>
        <v/>
      </c>
      <c r="AB156" s="478"/>
      <c r="AC156" s="34" t="s">
        <v>345</v>
      </c>
      <c r="AD156" s="356"/>
      <c r="AE156" s="18"/>
      <c r="AF156" s="19"/>
      <c r="AG156" s="480" t="str">
        <f t="shared" si="28"/>
        <v/>
      </c>
      <c r="AH156" s="481" t="str">
        <f t="shared" si="29"/>
        <v/>
      </c>
      <c r="AI156" s="477" t="str">
        <f>IF($AC$156="","",IFERROR(INDEX($AZ$74:$AZ$119,MATCH($AH$156,$AY$74:$AY$119,0)),"AUTRE"))</f>
        <v/>
      </c>
      <c r="AJ156" s="482" t="str">
        <f>IF($AC$156="","",IFERROR(INDEX($BA$74:$BA$119,MATCH($AH$156,$AY$74:$AY$119,0)),1))</f>
        <v/>
      </c>
      <c r="AK156" s="482" t="str">
        <f t="shared" si="30"/>
        <v/>
      </c>
      <c r="AL156" s="477" t="str">
        <f>IF($AC$156="","",IFERROR(INDEX($BB$74:$BB$119,MATCH($AH$156,$AY$74:$AY$119,0)),$AH$156))</f>
        <v/>
      </c>
      <c r="AM156" s="483" t="str">
        <f t="shared" si="31"/>
        <v/>
      </c>
      <c r="AN156" s="484" t="str">
        <f t="shared" si="32"/>
        <v/>
      </c>
      <c r="AO156" s="473" t="str">
        <f t="shared" si="33"/>
        <v/>
      </c>
      <c r="AP156" s="473" t="str">
        <f t="shared" si="34"/>
        <v/>
      </c>
      <c r="AQ156" s="473" t="str">
        <f t="shared" si="35"/>
        <v/>
      </c>
      <c r="AR156" s="473" t="str">
        <f t="shared" si="36"/>
        <v/>
      </c>
      <c r="AS156" s="473" t="str">
        <f t="shared" si="37"/>
        <v/>
      </c>
      <c r="AT156" s="473" t="str">
        <f t="shared" si="38"/>
        <v/>
      </c>
      <c r="AU156" s="473" t="str">
        <f t="shared" si="39"/>
        <v/>
      </c>
      <c r="AZ156" s="32" t="s">
        <v>8135</v>
      </c>
      <c r="BA156" s="34" t="s">
        <v>497</v>
      </c>
      <c r="BB156" s="500"/>
      <c r="BC156" s="271"/>
      <c r="BD156" s="279">
        <v>1</v>
      </c>
      <c r="BE156" s="271"/>
      <c r="BF156" s="271"/>
      <c r="BG156" s="271"/>
      <c r="BH156" s="271"/>
      <c r="BI156" s="271"/>
      <c r="BJ156" s="271"/>
      <c r="BK156" s="271"/>
      <c r="BL156" s="271"/>
    </row>
    <row r="157" spans="18:64" ht="21" customHeight="1" x14ac:dyDescent="0.25">
      <c r="R157" s="34" t="s">
        <v>477</v>
      </c>
      <c r="S157" s="451"/>
      <c r="T157" s="32" t="s">
        <v>305</v>
      </c>
      <c r="V157" s="475">
        <v>3</v>
      </c>
      <c r="W157" s="475" t="str">
        <f>IF($AC$157="","",$W$144)</f>
        <v>N° 36</v>
      </c>
      <c r="X157" s="476" t="str">
        <f>IF($AC$157="","",$X$144)</f>
        <v>BRUSCHETTA</v>
      </c>
      <c r="Y157" s="477">
        <f>IF($X$157="","",$Y$144)</f>
        <v>53</v>
      </c>
      <c r="Z157" s="477">
        <f>IF($X$157="","",$Z$144)</f>
        <v>100</v>
      </c>
      <c r="AA157" s="477">
        <f>IF($AC$157="","",ROW($A$157)-ROW($A$144))</f>
        <v>13</v>
      </c>
      <c r="AB157" s="478"/>
      <c r="AC157" s="34" t="s">
        <v>233</v>
      </c>
      <c r="AD157" s="356"/>
      <c r="AE157" s="18">
        <v>6</v>
      </c>
      <c r="AF157" s="23" t="s">
        <v>309</v>
      </c>
      <c r="AG157" s="480">
        <f t="shared" si="28"/>
        <v>6</v>
      </c>
      <c r="AH157" s="481" t="str">
        <f t="shared" si="29"/>
        <v>PIÈCE(S)</v>
      </c>
      <c r="AI157" s="477" t="str">
        <f>IF($AC$157="","",IFERROR(INDEX($AZ$74:$AZ$119,MATCH($AH$157,$AY$74:$AY$119,0)),"AUTRE"))</f>
        <v>AUTRE</v>
      </c>
      <c r="AJ157" s="482">
        <f>IF($AC$157="","",IFERROR(INDEX($BA$74:$BA$119,MATCH($AH$157,$AY$74:$AY$119,0)),1))</f>
        <v>1</v>
      </c>
      <c r="AK157" s="482">
        <f t="shared" si="30"/>
        <v>6</v>
      </c>
      <c r="AL157" s="477" t="str">
        <f>IF($AC$157="","",IFERROR(INDEX($BB$74:$BB$119,MATCH($AH$157,$AY$74:$AY$119,0)),$AH$157))</f>
        <v>pièce(s)</v>
      </c>
      <c r="AM157" s="483" t="str">
        <f t="shared" si="31"/>
        <v>OK</v>
      </c>
      <c r="AN157" s="484">
        <f t="shared" si="32"/>
        <v>6</v>
      </c>
      <c r="AO157" s="473" t="str">
        <f t="shared" si="33"/>
        <v/>
      </c>
      <c r="AP157" s="473" t="str">
        <f t="shared" si="34"/>
        <v/>
      </c>
      <c r="AQ157" s="473" t="str">
        <f t="shared" si="35"/>
        <v/>
      </c>
      <c r="AR157" s="473" t="str">
        <f t="shared" si="36"/>
        <v/>
      </c>
      <c r="AS157" s="473" t="str">
        <f t="shared" si="37"/>
        <v/>
      </c>
      <c r="AT157" s="473" t="str">
        <f t="shared" si="38"/>
        <v/>
      </c>
      <c r="AU157" s="473" t="str">
        <f t="shared" si="39"/>
        <v/>
      </c>
      <c r="AZ157" s="32" t="s">
        <v>8137</v>
      </c>
      <c r="BA157" s="34" t="s">
        <v>470</v>
      </c>
      <c r="BB157" s="500"/>
      <c r="BC157" s="271"/>
      <c r="BD157" s="279">
        <v>1</v>
      </c>
      <c r="BE157" s="271"/>
      <c r="BF157" s="271"/>
      <c r="BG157" s="271"/>
      <c r="BH157" s="271"/>
      <c r="BI157" s="271"/>
      <c r="BJ157" s="271"/>
      <c r="BK157" s="271"/>
      <c r="BL157" s="271"/>
    </row>
    <row r="158" spans="18:64" ht="21" customHeight="1" x14ac:dyDescent="0.25">
      <c r="S158" s="451"/>
      <c r="T158" s="32" t="s">
        <v>309</v>
      </c>
      <c r="V158" s="475">
        <v>3</v>
      </c>
      <c r="W158" s="475" t="str">
        <f>IF($AC$158="","",$W$144)</f>
        <v>N° 36</v>
      </c>
      <c r="X158" s="476" t="str">
        <f>IF($AC$158="","",$X$144)</f>
        <v>BRUSCHETTA</v>
      </c>
      <c r="Y158" s="477">
        <f>IF($X$158="","",$Y$144)</f>
        <v>53</v>
      </c>
      <c r="Z158" s="477">
        <f>IF($X$158="","",$Z$144)</f>
        <v>100</v>
      </c>
      <c r="AA158" s="477">
        <f>IF($AC$158="","",ROW($A$158)-ROW($A$144))</f>
        <v>14</v>
      </c>
      <c r="AB158" s="478"/>
      <c r="AC158" s="34" t="s">
        <v>234</v>
      </c>
      <c r="AD158" s="356"/>
      <c r="AE158" s="18">
        <v>5</v>
      </c>
      <c r="AF158" s="23" t="s">
        <v>309</v>
      </c>
      <c r="AG158" s="480">
        <f t="shared" si="28"/>
        <v>5</v>
      </c>
      <c r="AH158" s="481" t="str">
        <f t="shared" si="29"/>
        <v>PIÈCE(S)</v>
      </c>
      <c r="AI158" s="477" t="str">
        <f>IF($AC$158="","",IFERROR(INDEX($AZ$74:$AZ$119,MATCH($AH$158,$AY$74:$AY$119,0)),"AUTRE"))</f>
        <v>AUTRE</v>
      </c>
      <c r="AJ158" s="482">
        <f>IF($AC$158="","",IFERROR(INDEX($BA$74:$BA$119,MATCH($AH$158,$AY$74:$AY$119,0)),1))</f>
        <v>1</v>
      </c>
      <c r="AK158" s="482">
        <f t="shared" si="30"/>
        <v>5</v>
      </c>
      <c r="AL158" s="477" t="str">
        <f>IF($AC$158="","",IFERROR(INDEX($BB$74:$BB$119,MATCH($AH$158,$AY$74:$AY$119,0)),$AH$158))</f>
        <v>pièce(s)</v>
      </c>
      <c r="AM158" s="483" t="str">
        <f t="shared" si="31"/>
        <v>OK</v>
      </c>
      <c r="AN158" s="484">
        <f t="shared" si="32"/>
        <v>5</v>
      </c>
      <c r="AO158" s="473" t="str">
        <f t="shared" si="33"/>
        <v/>
      </c>
      <c r="AP158" s="473" t="str">
        <f t="shared" si="34"/>
        <v/>
      </c>
      <c r="AQ158" s="473" t="str">
        <f t="shared" si="35"/>
        <v/>
      </c>
      <c r="AR158" s="473" t="str">
        <f t="shared" si="36"/>
        <v/>
      </c>
      <c r="AS158" s="473" t="str">
        <f t="shared" si="37"/>
        <v/>
      </c>
      <c r="AT158" s="473" t="str">
        <f t="shared" si="38"/>
        <v/>
      </c>
      <c r="AU158" s="473" t="str">
        <f t="shared" si="39"/>
        <v/>
      </c>
      <c r="AZ158" s="32" t="s">
        <v>8139</v>
      </c>
      <c r="BA158" s="34" t="s">
        <v>477</v>
      </c>
      <c r="BB158" s="500"/>
      <c r="BC158" s="271"/>
      <c r="BD158" s="279">
        <v>1</v>
      </c>
      <c r="BE158" s="271"/>
      <c r="BF158" s="271"/>
      <c r="BG158" s="271"/>
      <c r="BH158" s="271"/>
      <c r="BI158" s="271"/>
      <c r="BJ158" s="271"/>
      <c r="BK158" s="271"/>
      <c r="BL158" s="271"/>
    </row>
    <row r="159" spans="18:64" ht="21" customHeight="1" x14ac:dyDescent="0.25">
      <c r="R159" s="25" t="s">
        <v>6134</v>
      </c>
      <c r="S159" s="451"/>
      <c r="T159" s="32" t="s">
        <v>311</v>
      </c>
      <c r="V159" s="475">
        <v>3</v>
      </c>
      <c r="W159" s="475" t="str">
        <f>IF($AC$159="","",$W$144)</f>
        <v>N° 36</v>
      </c>
      <c r="X159" s="476" t="str">
        <f>IF($AC$159="","",$X$144)</f>
        <v>BRUSCHETTA</v>
      </c>
      <c r="Y159" s="477">
        <f>IF($X$159="","",$Y$144)</f>
        <v>53</v>
      </c>
      <c r="Z159" s="477">
        <f>IF($X$159="","",$Z$144)</f>
        <v>100</v>
      </c>
      <c r="AA159" s="477">
        <f>IF($AC$159="","",ROW($A$159)-ROW($A$144))</f>
        <v>15</v>
      </c>
      <c r="AB159" s="478"/>
      <c r="AC159" s="34" t="s">
        <v>506</v>
      </c>
      <c r="AD159" s="356"/>
      <c r="AE159" s="18">
        <v>25</v>
      </c>
      <c r="AF159" s="21" t="s">
        <v>11</v>
      </c>
      <c r="AG159" s="480">
        <f t="shared" si="28"/>
        <v>25</v>
      </c>
      <c r="AH159" s="481" t="str">
        <f t="shared" si="29"/>
        <v>CL</v>
      </c>
      <c r="AI159" s="477" t="str">
        <f>IF($AC$159="","",IFERROR(INDEX($AZ$74:$AZ$119,MATCH($AH$159,$AY$74:$AY$119,0)),"AUTRE"))</f>
        <v>VOLUME</v>
      </c>
      <c r="AJ159" s="482">
        <f>IF($AC$159="","",IFERROR(INDEX($BA$74:$BA$119,MATCH($AH$159,$AY$74:$AY$119,0)),1))</f>
        <v>0.01</v>
      </c>
      <c r="AK159" s="482">
        <f t="shared" si="30"/>
        <v>0.25</v>
      </c>
      <c r="AL159" s="477" t="str">
        <f>IF($AC$159="","",IFERROR(INDEX($BB$74:$BB$119,MATCH($AH$159,$AY$74:$AY$119,0)),$AH$159))</f>
        <v>L</v>
      </c>
      <c r="AM159" s="483" t="str">
        <f t="shared" si="31"/>
        <v>OK</v>
      </c>
      <c r="AN159" s="484">
        <f t="shared" si="32"/>
        <v>25</v>
      </c>
      <c r="AO159" s="473" t="str">
        <f t="shared" si="33"/>
        <v/>
      </c>
      <c r="AP159" s="473" t="str">
        <f t="shared" si="34"/>
        <v/>
      </c>
      <c r="AQ159" s="473" t="str">
        <f t="shared" si="35"/>
        <v/>
      </c>
      <c r="AR159" s="473" t="str">
        <f t="shared" si="36"/>
        <v/>
      </c>
      <c r="AS159" s="473" t="str">
        <f t="shared" si="37"/>
        <v/>
      </c>
      <c r="AT159" s="473" t="str">
        <f t="shared" si="38"/>
        <v/>
      </c>
      <c r="AU159" s="473" t="str">
        <f t="shared" si="39"/>
        <v/>
      </c>
      <c r="AZ159" s="32" t="s">
        <v>8141</v>
      </c>
      <c r="BB159" s="500"/>
      <c r="BC159" s="271"/>
      <c r="BD159" s="279">
        <v>1</v>
      </c>
      <c r="BE159" s="271"/>
      <c r="BF159" s="271"/>
      <c r="BG159" s="271"/>
      <c r="BH159" s="271"/>
      <c r="BI159" s="271"/>
      <c r="BJ159" s="271"/>
      <c r="BK159" s="271"/>
      <c r="BL159" s="271"/>
    </row>
    <row r="160" spans="18:64" ht="21" customHeight="1" x14ac:dyDescent="0.25">
      <c r="R160" s="34" t="s">
        <v>481</v>
      </c>
      <c r="S160" s="451"/>
      <c r="T160" s="32" t="s">
        <v>8135</v>
      </c>
      <c r="V160" s="475">
        <v>3</v>
      </c>
      <c r="W160" s="475" t="str">
        <f>IF($AC$160="","",$W$144)</f>
        <v>N° 36</v>
      </c>
      <c r="X160" s="476" t="str">
        <f>IF($AC$160="","",$X$144)</f>
        <v>BRUSCHETTA</v>
      </c>
      <c r="Y160" s="477">
        <f>IF($X$160="","",$Y$144)</f>
        <v>53</v>
      </c>
      <c r="Z160" s="477">
        <f>IF($X$160="","",$Z$144)</f>
        <v>100</v>
      </c>
      <c r="AA160" s="477">
        <f>IF($AC$160="","",ROW($A$160)-ROW($A$144))</f>
        <v>16</v>
      </c>
      <c r="AB160" s="478"/>
      <c r="AC160" s="34" t="s">
        <v>42</v>
      </c>
      <c r="AD160" s="356"/>
      <c r="AE160" s="18">
        <v>1</v>
      </c>
      <c r="AF160" s="20" t="s">
        <v>9</v>
      </c>
      <c r="AG160" s="480">
        <f t="shared" si="28"/>
        <v>1</v>
      </c>
      <c r="AH160" s="481" t="str">
        <f t="shared" si="29"/>
        <v>L</v>
      </c>
      <c r="AI160" s="477" t="str">
        <f>IF($AC$160="","",IFERROR(INDEX($AZ$74:$AZ$119,MATCH($AH$160,$AY$74:$AY$119,0)),"AUTRE"))</f>
        <v>VOLUME</v>
      </c>
      <c r="AJ160" s="482">
        <f>IF($AC$160="","",IFERROR(INDEX($BA$74:$BA$119,MATCH($AH$160,$AY$74:$AY$119,0)),1))</f>
        <v>1</v>
      </c>
      <c r="AK160" s="482">
        <f t="shared" si="30"/>
        <v>1</v>
      </c>
      <c r="AL160" s="477" t="str">
        <f>IF($AC$160="","",IFERROR(INDEX($BB$74:$BB$119,MATCH($AH$160,$AY$74:$AY$119,0)),$AH$160))</f>
        <v>L</v>
      </c>
      <c r="AM160" s="483" t="str">
        <f t="shared" si="31"/>
        <v>OK</v>
      </c>
      <c r="AN160" s="484">
        <f t="shared" si="32"/>
        <v>1</v>
      </c>
      <c r="AO160" s="473" t="str">
        <f t="shared" si="33"/>
        <v/>
      </c>
      <c r="AP160" s="473" t="str">
        <f t="shared" si="34"/>
        <v/>
      </c>
      <c r="AQ160" s="473" t="str">
        <f t="shared" si="35"/>
        <v/>
      </c>
      <c r="AR160" s="473" t="str">
        <f t="shared" si="36"/>
        <v/>
      </c>
      <c r="AS160" s="473" t="str">
        <f t="shared" si="37"/>
        <v/>
      </c>
      <c r="AT160" s="473" t="str">
        <f t="shared" si="38"/>
        <v/>
      </c>
      <c r="AU160" s="473" t="str">
        <f t="shared" si="39"/>
        <v/>
      </c>
      <c r="AZ160" s="32" t="s">
        <v>8143</v>
      </c>
      <c r="BA160" s="25" t="s">
        <v>6134</v>
      </c>
      <c r="BB160" s="500"/>
      <c r="BC160" s="271"/>
      <c r="BD160" s="279">
        <v>1</v>
      </c>
      <c r="BE160" s="271"/>
      <c r="BF160" s="271"/>
      <c r="BG160" s="271"/>
      <c r="BH160" s="271"/>
      <c r="BI160" s="271"/>
      <c r="BJ160" s="271"/>
      <c r="BK160" s="271"/>
      <c r="BL160" s="271"/>
    </row>
    <row r="161" spans="18:64" ht="21" customHeight="1" x14ac:dyDescent="0.25">
      <c r="R161" s="34" t="s">
        <v>475</v>
      </c>
      <c r="S161" s="451"/>
      <c r="T161" s="497" t="s">
        <v>462</v>
      </c>
      <c r="V161" s="475">
        <v>3</v>
      </c>
      <c r="W161" s="475" t="str">
        <f>IF($AC$161="","",$W$144)</f>
        <v>N° 36</v>
      </c>
      <c r="X161" s="476" t="str">
        <f>IF($AC$161="","",$X$144)</f>
        <v>BRUSCHETTA</v>
      </c>
      <c r="Y161" s="477">
        <f>IF($X$161="","",$Y$144)</f>
        <v>53</v>
      </c>
      <c r="Z161" s="477">
        <f>IF($X$161="","",$Z$144)</f>
        <v>100</v>
      </c>
      <c r="AA161" s="477">
        <f>IF($AC$161="","",ROW($A$161)-ROW($A$144))</f>
        <v>17</v>
      </c>
      <c r="AB161" s="478"/>
      <c r="AC161" s="34" t="s">
        <v>67</v>
      </c>
      <c r="AD161" s="356"/>
      <c r="AE161" s="18">
        <v>15</v>
      </c>
      <c r="AF161" s="16" t="s">
        <v>8</v>
      </c>
      <c r="AG161" s="480">
        <f t="shared" si="28"/>
        <v>15</v>
      </c>
      <c r="AH161" s="481" t="str">
        <f t="shared" si="29"/>
        <v>G</v>
      </c>
      <c r="AI161" s="477" t="str">
        <f>IF($AC$161="","",IFERROR(INDEX($AZ$74:$AZ$119,MATCH($AH$161,$AY$74:$AY$119,0)),"AUTRE"))</f>
        <v>MASSE</v>
      </c>
      <c r="AJ161" s="482">
        <f>IF($AC$161="","",IFERROR(INDEX($BA$74:$BA$119,MATCH($AH$161,$AY$74:$AY$119,0)),1))</f>
        <v>1E-3</v>
      </c>
      <c r="AK161" s="482">
        <f t="shared" si="30"/>
        <v>1.4999999999999999E-2</v>
      </c>
      <c r="AL161" s="477" t="str">
        <f>IF($AC$161="","",IFERROR(INDEX($BB$74:$BB$119,MATCH($AH$161,$AY$74:$AY$119,0)),$AH$161))</f>
        <v>kg</v>
      </c>
      <c r="AM161" s="483" t="str">
        <f t="shared" si="31"/>
        <v>OK</v>
      </c>
      <c r="AN161" s="484">
        <f t="shared" si="32"/>
        <v>15</v>
      </c>
      <c r="AO161" s="473" t="str">
        <f t="shared" si="33"/>
        <v/>
      </c>
      <c r="AP161" s="473" t="str">
        <f t="shared" si="34"/>
        <v/>
      </c>
      <c r="AQ161" s="473" t="str">
        <f t="shared" si="35"/>
        <v/>
      </c>
      <c r="AR161" s="473" t="str">
        <f t="shared" si="36"/>
        <v/>
      </c>
      <c r="AS161" s="473" t="str">
        <f t="shared" si="37"/>
        <v/>
      </c>
      <c r="AT161" s="473" t="str">
        <f t="shared" si="38"/>
        <v/>
      </c>
      <c r="AU161" s="473" t="str">
        <f t="shared" si="39"/>
        <v/>
      </c>
      <c r="AZ161" s="497" t="s">
        <v>8145</v>
      </c>
      <c r="BA161" s="34" t="s">
        <v>481</v>
      </c>
      <c r="BB161" s="500"/>
      <c r="BC161" s="271"/>
      <c r="BD161" s="279">
        <v>1</v>
      </c>
      <c r="BE161" s="271"/>
      <c r="BF161" s="271"/>
      <c r="BG161" s="271"/>
      <c r="BH161" s="271"/>
      <c r="BI161" s="271"/>
      <c r="BJ161" s="271"/>
      <c r="BK161" s="271"/>
      <c r="BL161" s="271"/>
    </row>
    <row r="162" spans="18:64" ht="21" customHeight="1" x14ac:dyDescent="0.25">
      <c r="R162" s="34" t="s">
        <v>457</v>
      </c>
      <c r="S162" s="451"/>
      <c r="T162" s="497" t="s">
        <v>463</v>
      </c>
      <c r="V162" s="475">
        <v>3</v>
      </c>
      <c r="W162" s="475" t="str">
        <f>IF($AC$162="","",$W$144)</f>
        <v>N° 36</v>
      </c>
      <c r="X162" s="476" t="str">
        <f>IF($AC$162="","",$X$144)</f>
        <v>BRUSCHETTA</v>
      </c>
      <c r="Y162" s="477">
        <f>IF($X$162="","",$Y$144)</f>
        <v>53</v>
      </c>
      <c r="Z162" s="477">
        <f>IF($X$162="","",$Z$144)</f>
        <v>100</v>
      </c>
      <c r="AA162" s="477">
        <f>IF($AC$162="","",ROW($A$162)-ROW($A$144))</f>
        <v>18</v>
      </c>
      <c r="AB162" s="478"/>
      <c r="AC162" s="34" t="s">
        <v>44</v>
      </c>
      <c r="AD162" s="356"/>
      <c r="AE162" s="18">
        <v>8</v>
      </c>
      <c r="AF162" s="16" t="s">
        <v>8</v>
      </c>
      <c r="AG162" s="480">
        <f t="shared" si="28"/>
        <v>8</v>
      </c>
      <c r="AH162" s="481" t="str">
        <f t="shared" si="29"/>
        <v>G</v>
      </c>
      <c r="AI162" s="477" t="str">
        <f>IF($AC$162="","",IFERROR(INDEX($AZ$74:$AZ$119,MATCH($AH$162,$AY$74:$AY$119,0)),"AUTRE"))</f>
        <v>MASSE</v>
      </c>
      <c r="AJ162" s="482">
        <f>IF($AC$162="","",IFERROR(INDEX($BA$74:$BA$119,MATCH($AH$162,$AY$74:$AY$119,0)),1))</f>
        <v>1E-3</v>
      </c>
      <c r="AK162" s="482">
        <f t="shared" si="30"/>
        <v>8.0000000000000002E-3</v>
      </c>
      <c r="AL162" s="477" t="str">
        <f>IF($AC$162="","",IFERROR(INDEX($BB$74:$BB$119,MATCH($AH$162,$AY$74:$AY$119,0)),$AH$162))</f>
        <v>kg</v>
      </c>
      <c r="AM162" s="483" t="str">
        <f t="shared" si="31"/>
        <v>OK</v>
      </c>
      <c r="AN162" s="484">
        <f t="shared" si="32"/>
        <v>8</v>
      </c>
      <c r="AO162" s="473" t="str">
        <f t="shared" si="33"/>
        <v/>
      </c>
      <c r="AP162" s="473" t="str">
        <f t="shared" si="34"/>
        <v/>
      </c>
      <c r="AQ162" s="473" t="str">
        <f t="shared" si="35"/>
        <v/>
      </c>
      <c r="AR162" s="473" t="str">
        <f t="shared" si="36"/>
        <v/>
      </c>
      <c r="AS162" s="473" t="str">
        <f t="shared" si="37"/>
        <v/>
      </c>
      <c r="AT162" s="473" t="str">
        <f t="shared" si="38"/>
        <v/>
      </c>
      <c r="AU162" s="473" t="str">
        <f t="shared" si="39"/>
        <v/>
      </c>
      <c r="AZ162" s="497" t="s">
        <v>462</v>
      </c>
      <c r="BA162" s="34" t="s">
        <v>475</v>
      </c>
      <c r="BB162" s="500"/>
      <c r="BC162" s="271"/>
      <c r="BD162" s="279">
        <v>1</v>
      </c>
      <c r="BE162" s="271"/>
      <c r="BF162" s="271"/>
      <c r="BG162" s="271"/>
      <c r="BH162" s="271"/>
      <c r="BI162" s="271"/>
      <c r="BJ162" s="271"/>
      <c r="BK162" s="271"/>
      <c r="BL162" s="271"/>
    </row>
    <row r="163" spans="18:64" ht="21" customHeight="1" x14ac:dyDescent="0.25">
      <c r="R163" s="34" t="s">
        <v>482</v>
      </c>
      <c r="S163" s="451"/>
      <c r="T163" s="497" t="s">
        <v>8147</v>
      </c>
      <c r="V163" s="475">
        <v>3</v>
      </c>
      <c r="W163" s="475" t="str">
        <f>IF($AC$163="","",$W$144)</f>
        <v/>
      </c>
      <c r="X163" s="476" t="str">
        <f>IF($AC$163="","",$X$144)</f>
        <v/>
      </c>
      <c r="Y163" s="477" t="str">
        <f>IF($X$163="","",$Y$144)</f>
        <v/>
      </c>
      <c r="Z163" s="477" t="str">
        <f>IF($X$163="","",$Z$144)</f>
        <v/>
      </c>
      <c r="AA163" s="477" t="str">
        <f>IF($AC$163="","",ROW($A$163)-ROW($A$144))</f>
        <v/>
      </c>
      <c r="AB163" s="478"/>
      <c r="AC163" s="34"/>
      <c r="AD163" s="356"/>
      <c r="AE163" s="18"/>
      <c r="AF163" s="19"/>
      <c r="AG163" s="480" t="str">
        <f t="shared" si="28"/>
        <v/>
      </c>
      <c r="AH163" s="481" t="str">
        <f t="shared" si="29"/>
        <v/>
      </c>
      <c r="AI163" s="477" t="str">
        <f>IF($AC$163="","",IFERROR(INDEX($AZ$74:$AZ$119,MATCH($AH$163,$AY$74:$AY$119,0)),"AUTRE"))</f>
        <v/>
      </c>
      <c r="AJ163" s="482" t="str">
        <f>IF($AC$163="","",IFERROR(INDEX($BA$74:$BA$119,MATCH($AH$163,$AY$74:$AY$119,0)),1))</f>
        <v/>
      </c>
      <c r="AK163" s="482" t="str">
        <f t="shared" si="30"/>
        <v/>
      </c>
      <c r="AL163" s="477" t="str">
        <f>IF($AC$163="","",IFERROR(INDEX($BB$74:$BB$119,MATCH($AH$163,$AY$74:$AY$119,0)),$AH$163))</f>
        <v/>
      </c>
      <c r="AM163" s="483" t="str">
        <f t="shared" si="31"/>
        <v/>
      </c>
      <c r="AN163" s="484" t="str">
        <f t="shared" si="32"/>
        <v/>
      </c>
      <c r="AO163" s="473" t="str">
        <f t="shared" si="33"/>
        <v/>
      </c>
      <c r="AP163" s="473" t="str">
        <f t="shared" si="34"/>
        <v/>
      </c>
      <c r="AQ163" s="473" t="str">
        <f t="shared" si="35"/>
        <v/>
      </c>
      <c r="AR163" s="473" t="str">
        <f t="shared" si="36"/>
        <v/>
      </c>
      <c r="AS163" s="473" t="str">
        <f t="shared" si="37"/>
        <v/>
      </c>
      <c r="AT163" s="473" t="str">
        <f t="shared" si="38"/>
        <v/>
      </c>
      <c r="AU163" s="473" t="str">
        <f t="shared" si="39"/>
        <v/>
      </c>
      <c r="AZ163" s="497" t="s">
        <v>463</v>
      </c>
      <c r="BA163" s="34" t="s">
        <v>457</v>
      </c>
      <c r="BB163" s="500"/>
      <c r="BC163" s="271"/>
      <c r="BD163" s="279">
        <v>1</v>
      </c>
      <c r="BE163" s="271"/>
      <c r="BF163" s="271"/>
      <c r="BG163" s="271"/>
      <c r="BH163" s="271"/>
      <c r="BI163" s="271"/>
      <c r="BJ163" s="271"/>
      <c r="BK163" s="271"/>
      <c r="BL163" s="271"/>
    </row>
    <row r="164" spans="18:64" ht="21" customHeight="1" x14ac:dyDescent="0.25">
      <c r="R164" s="34" t="s">
        <v>496</v>
      </c>
      <c r="S164" s="451"/>
      <c r="T164" s="497" t="s">
        <v>465</v>
      </c>
      <c r="V164" s="475">
        <v>3</v>
      </c>
      <c r="W164" s="475" t="str">
        <f>IF($AC$164="","",$W$144)</f>
        <v/>
      </c>
      <c r="X164" s="476" t="str">
        <f>IF($AC$164="","",$X$144)</f>
        <v/>
      </c>
      <c r="Y164" s="477" t="str">
        <f>IF($X$164="","",$Y$144)</f>
        <v/>
      </c>
      <c r="Z164" s="477" t="str">
        <f>IF($X$164="","",$Z$144)</f>
        <v/>
      </c>
      <c r="AA164" s="477" t="str">
        <f>IF($AC$164="","",ROW($A$164)-ROW($A$144))</f>
        <v/>
      </c>
      <c r="AB164" s="478"/>
      <c r="AC164" s="34"/>
      <c r="AD164" s="356"/>
      <c r="AE164" s="18"/>
      <c r="AF164" s="19"/>
      <c r="AG164" s="480" t="str">
        <f t="shared" si="28"/>
        <v/>
      </c>
      <c r="AH164" s="481" t="str">
        <f t="shared" si="29"/>
        <v/>
      </c>
      <c r="AI164" s="477" t="str">
        <f>IF($AC$164="","",IFERROR(INDEX($AZ$74:$AZ$119,MATCH($AH$164,$AY$74:$AY$119,0)),"AUTRE"))</f>
        <v/>
      </c>
      <c r="AJ164" s="482" t="str">
        <f>IF($AC$164="","",IFERROR(INDEX($BA$74:$BA$119,MATCH($AH$164,$AY$74:$AY$119,0)),1))</f>
        <v/>
      </c>
      <c r="AK164" s="482" t="str">
        <f t="shared" si="30"/>
        <v/>
      </c>
      <c r="AL164" s="477" t="str">
        <f>IF($AC$164="","",IFERROR(INDEX($BB$74:$BB$119,MATCH($AH$164,$AY$74:$AY$119,0)),$AH$164))</f>
        <v/>
      </c>
      <c r="AM164" s="483" t="str">
        <f t="shared" si="31"/>
        <v/>
      </c>
      <c r="AN164" s="484" t="str">
        <f t="shared" si="32"/>
        <v/>
      </c>
      <c r="AO164" s="473" t="str">
        <f t="shared" si="33"/>
        <v/>
      </c>
      <c r="AP164" s="473" t="str">
        <f t="shared" si="34"/>
        <v/>
      </c>
      <c r="AQ164" s="473" t="str">
        <f t="shared" si="35"/>
        <v/>
      </c>
      <c r="AR164" s="473" t="str">
        <f t="shared" si="36"/>
        <v/>
      </c>
      <c r="AS164" s="473" t="str">
        <f t="shared" si="37"/>
        <v/>
      </c>
      <c r="AT164" s="473" t="str">
        <f t="shared" si="38"/>
        <v/>
      </c>
      <c r="AU164" s="473" t="str">
        <f t="shared" si="39"/>
        <v/>
      </c>
      <c r="AZ164" s="497" t="s">
        <v>8147</v>
      </c>
      <c r="BA164" s="34" t="s">
        <v>482</v>
      </c>
      <c r="BB164" s="500"/>
      <c r="BC164" s="271"/>
      <c r="BD164" s="279">
        <v>1</v>
      </c>
      <c r="BE164" s="271"/>
      <c r="BF164" s="271"/>
      <c r="BG164" s="271"/>
      <c r="BH164" s="271"/>
      <c r="BI164" s="271"/>
      <c r="BJ164" s="271"/>
      <c r="BK164" s="271"/>
      <c r="BL164" s="271"/>
    </row>
    <row r="165" spans="18:64" ht="21" customHeight="1" x14ac:dyDescent="0.25">
      <c r="R165" s="34" t="s">
        <v>483</v>
      </c>
      <c r="S165" s="451"/>
      <c r="T165" s="497" t="s">
        <v>466</v>
      </c>
      <c r="V165" s="475">
        <v>3</v>
      </c>
      <c r="W165" s="475" t="str">
        <f>IF($AC$165="","",$W$144)</f>
        <v/>
      </c>
      <c r="X165" s="476" t="str">
        <f>IF($AC$165="","",$X$144)</f>
        <v/>
      </c>
      <c r="Y165" s="477" t="str">
        <f>IF($X$165="","",$Y$144)</f>
        <v/>
      </c>
      <c r="Z165" s="477" t="str">
        <f>IF($X$165="","",$Z$144)</f>
        <v/>
      </c>
      <c r="AA165" s="477" t="str">
        <f>IF($AC$165="","",ROW($A$165)-ROW($A$144))</f>
        <v/>
      </c>
      <c r="AB165" s="478"/>
      <c r="AC165" s="34"/>
      <c r="AD165" s="356"/>
      <c r="AE165" s="18"/>
      <c r="AF165" s="19"/>
      <c r="AG165" s="480" t="str">
        <f t="shared" si="28"/>
        <v/>
      </c>
      <c r="AH165" s="481" t="str">
        <f t="shared" si="29"/>
        <v/>
      </c>
      <c r="AI165" s="477" t="str">
        <f>IF($AC$165="","",IFERROR(INDEX($AZ$74:$AZ$119,MATCH($AH$165,$AY$74:$AY$119,0)),"AUTRE"))</f>
        <v/>
      </c>
      <c r="AJ165" s="482" t="str">
        <f>IF($AC$165="","",IFERROR(INDEX($BA$74:$BA$119,MATCH($AH$165,$AY$74:$AY$119,0)),1))</f>
        <v/>
      </c>
      <c r="AK165" s="482" t="str">
        <f t="shared" si="30"/>
        <v/>
      </c>
      <c r="AL165" s="477" t="str">
        <f>IF($AC$165="","",IFERROR(INDEX($BB$74:$BB$119,MATCH($AH$165,$AY$74:$AY$119,0)),$AH$165))</f>
        <v/>
      </c>
      <c r="AM165" s="483" t="str">
        <f t="shared" si="31"/>
        <v/>
      </c>
      <c r="AN165" s="484" t="str">
        <f t="shared" si="32"/>
        <v/>
      </c>
      <c r="AO165" s="473" t="str">
        <f t="shared" si="33"/>
        <v/>
      </c>
      <c r="AP165" s="473" t="str">
        <f t="shared" si="34"/>
        <v/>
      </c>
      <c r="AQ165" s="473" t="str">
        <f t="shared" si="35"/>
        <v/>
      </c>
      <c r="AR165" s="473" t="str">
        <f t="shared" si="36"/>
        <v/>
      </c>
      <c r="AS165" s="473" t="str">
        <f t="shared" si="37"/>
        <v/>
      </c>
      <c r="AT165" s="473" t="str">
        <f t="shared" si="38"/>
        <v/>
      </c>
      <c r="AU165" s="473" t="str">
        <f t="shared" si="39"/>
        <v/>
      </c>
      <c r="AZ165" s="497" t="s">
        <v>465</v>
      </c>
      <c r="BA165" s="34" t="s">
        <v>496</v>
      </c>
      <c r="BB165" s="500"/>
      <c r="BC165" s="271"/>
      <c r="BD165" s="279">
        <v>1</v>
      </c>
      <c r="BE165" s="271"/>
      <c r="BF165" s="271"/>
      <c r="BG165" s="271"/>
      <c r="BH165" s="271"/>
      <c r="BI165" s="271"/>
      <c r="BJ165" s="271"/>
      <c r="BK165" s="271"/>
      <c r="BL165" s="271"/>
    </row>
    <row r="166" spans="18:64" ht="21" customHeight="1" x14ac:dyDescent="0.25">
      <c r="R166" s="34" t="s">
        <v>493</v>
      </c>
      <c r="S166" s="451"/>
      <c r="T166" s="440" t="s">
        <v>8110</v>
      </c>
      <c r="V166" s="475">
        <v>3</v>
      </c>
      <c r="W166" s="475" t="str">
        <f>IF($AC$166="","",$W$144)</f>
        <v/>
      </c>
      <c r="X166" s="476" t="str">
        <f>IF($AC$166="","",$X$144)</f>
        <v/>
      </c>
      <c r="Y166" s="477" t="str">
        <f>IF($X$166="","",$Y$144)</f>
        <v/>
      </c>
      <c r="Z166" s="477" t="str">
        <f>IF($X$166="","",$Z$144)</f>
        <v/>
      </c>
      <c r="AA166" s="477" t="str">
        <f>IF($AC$166="","",ROW($A$166)-ROW($A$144))</f>
        <v/>
      </c>
      <c r="AB166" s="478"/>
      <c r="AC166" s="34"/>
      <c r="AD166" s="356"/>
      <c r="AE166" s="18"/>
      <c r="AF166" s="19"/>
      <c r="AG166" s="480" t="str">
        <f t="shared" si="28"/>
        <v/>
      </c>
      <c r="AH166" s="481" t="str">
        <f t="shared" si="29"/>
        <v/>
      </c>
      <c r="AI166" s="477" t="str">
        <f>IF($AC$166="","",IFERROR(INDEX($AZ$74:$AZ$119,MATCH($AH$166,$AY$74:$AY$119,0)),"AUTRE"))</f>
        <v/>
      </c>
      <c r="AJ166" s="482" t="str">
        <f>IF($AC$166="","",IFERROR(INDEX($BA$74:$BA$119,MATCH($AH$166,$AY$74:$AY$119,0)),1))</f>
        <v/>
      </c>
      <c r="AK166" s="482" t="str">
        <f t="shared" si="30"/>
        <v/>
      </c>
      <c r="AL166" s="477" t="str">
        <f>IF($AC$166="","",IFERROR(INDEX($BB$74:$BB$119,MATCH($AH$166,$AY$74:$AY$119,0)),$AH$166))</f>
        <v/>
      </c>
      <c r="AM166" s="483" t="str">
        <f t="shared" si="31"/>
        <v/>
      </c>
      <c r="AN166" s="484" t="str">
        <f t="shared" si="32"/>
        <v/>
      </c>
      <c r="AO166" s="473" t="str">
        <f t="shared" si="33"/>
        <v/>
      </c>
      <c r="AP166" s="473" t="str">
        <f t="shared" si="34"/>
        <v/>
      </c>
      <c r="AQ166" s="473" t="str">
        <f t="shared" si="35"/>
        <v/>
      </c>
      <c r="AR166" s="473" t="str">
        <f t="shared" si="36"/>
        <v/>
      </c>
      <c r="AS166" s="473" t="str">
        <f t="shared" si="37"/>
        <v/>
      </c>
      <c r="AT166" s="473" t="str">
        <f t="shared" si="38"/>
        <v/>
      </c>
      <c r="AU166" s="473" t="str">
        <f t="shared" si="39"/>
        <v/>
      </c>
      <c r="AZ166" s="497" t="s">
        <v>466</v>
      </c>
      <c r="BA166" s="34" t="s">
        <v>483</v>
      </c>
      <c r="BB166" s="500"/>
      <c r="BC166" s="271"/>
      <c r="BD166" s="279">
        <v>1</v>
      </c>
      <c r="BE166" s="271"/>
      <c r="BF166" s="271"/>
      <c r="BG166" s="271"/>
      <c r="BH166" s="271"/>
      <c r="BI166" s="271"/>
      <c r="BJ166" s="271"/>
      <c r="BK166" s="271"/>
      <c r="BL166" s="271"/>
    </row>
    <row r="167" spans="18:64" ht="21" customHeight="1" x14ac:dyDescent="0.25">
      <c r="R167" s="34" t="s">
        <v>494</v>
      </c>
      <c r="S167" s="451"/>
      <c r="T167" s="452" t="s">
        <v>8113</v>
      </c>
      <c r="V167" s="475">
        <v>3</v>
      </c>
      <c r="W167" s="475" t="str">
        <f>IF($AC$167="","",$W$144)</f>
        <v/>
      </c>
      <c r="X167" s="476" t="str">
        <f>IF($AC$167="","",$X$144)</f>
        <v/>
      </c>
      <c r="Y167" s="477" t="str">
        <f>IF($X$167="","",$Y$144)</f>
        <v/>
      </c>
      <c r="Z167" s="477" t="str">
        <f>IF($X$167="","",$Z$144)</f>
        <v/>
      </c>
      <c r="AA167" s="477" t="str">
        <f>IF($AC$167="","",ROW($A$167)-ROW($A$144))</f>
        <v/>
      </c>
      <c r="AB167" s="478"/>
      <c r="AC167" s="34"/>
      <c r="AD167" s="356"/>
      <c r="AE167" s="18"/>
      <c r="AF167" s="19"/>
      <c r="AG167" s="480" t="str">
        <f t="shared" si="28"/>
        <v/>
      </c>
      <c r="AH167" s="481" t="str">
        <f t="shared" si="29"/>
        <v/>
      </c>
      <c r="AI167" s="477" t="str">
        <f>IF($AC$167="","",IFERROR(INDEX($AZ$74:$AZ$119,MATCH($AH$167,$AY$74:$AY$119,0)),"AUTRE"))</f>
        <v/>
      </c>
      <c r="AJ167" s="482" t="str">
        <f>IF($AC$167="","",IFERROR(INDEX($BA$74:$BA$119,MATCH($AH$167,$AY$74:$AY$119,0)),1))</f>
        <v/>
      </c>
      <c r="AK167" s="482" t="str">
        <f t="shared" si="30"/>
        <v/>
      </c>
      <c r="AL167" s="477" t="str">
        <f>IF($AC$167="","",IFERROR(INDEX($BB$74:$BB$119,MATCH($AH$167,$AY$74:$AY$119,0)),$AH$167))</f>
        <v/>
      </c>
      <c r="AM167" s="483" t="str">
        <f t="shared" si="31"/>
        <v/>
      </c>
      <c r="AN167" s="484" t="str">
        <f t="shared" si="32"/>
        <v/>
      </c>
      <c r="AO167" s="473" t="str">
        <f t="shared" si="33"/>
        <v/>
      </c>
      <c r="AP167" s="473" t="str">
        <f t="shared" si="34"/>
        <v/>
      </c>
      <c r="AQ167" s="473" t="str">
        <f t="shared" si="35"/>
        <v/>
      </c>
      <c r="AR167" s="473" t="str">
        <f t="shared" si="36"/>
        <v/>
      </c>
      <c r="AS167" s="473" t="str">
        <f t="shared" si="37"/>
        <v/>
      </c>
      <c r="AT167" s="473" t="str">
        <f t="shared" si="38"/>
        <v/>
      </c>
      <c r="AU167" s="473" t="str">
        <f t="shared" si="39"/>
        <v/>
      </c>
      <c r="AZ167" s="14" t="s">
        <v>7</v>
      </c>
      <c r="BA167" s="34" t="s">
        <v>493</v>
      </c>
      <c r="BB167" s="500"/>
      <c r="BC167" s="271"/>
      <c r="BD167" s="279">
        <v>1</v>
      </c>
      <c r="BE167" s="271"/>
      <c r="BF167" s="271"/>
      <c r="BG167" s="271"/>
      <c r="BH167" s="271"/>
      <c r="BI167" s="271"/>
      <c r="BJ167" s="271"/>
      <c r="BK167" s="271"/>
      <c r="BL167" s="271"/>
    </row>
    <row r="168" spans="18:64" ht="21" customHeight="1" x14ac:dyDescent="0.25">
      <c r="S168" s="451"/>
      <c r="T168" s="14" t="s">
        <v>7</v>
      </c>
      <c r="V168" s="475">
        <v>3</v>
      </c>
      <c r="W168" s="475" t="str">
        <f>IF($AC$168="","",$W$144)</f>
        <v/>
      </c>
      <c r="X168" s="476" t="str">
        <f>IF($AC$168="","",$X$144)</f>
        <v/>
      </c>
      <c r="Y168" s="477" t="str">
        <f>IF($X$168="","",$Y$144)</f>
        <v/>
      </c>
      <c r="Z168" s="477" t="str">
        <f>IF($X$168="","",$Z$144)</f>
        <v/>
      </c>
      <c r="AA168" s="477" t="str">
        <f>IF($AC$168="","",ROW($A$168)-ROW($A$144))</f>
        <v/>
      </c>
      <c r="AB168" s="478"/>
      <c r="AC168" s="34"/>
      <c r="AD168" s="356"/>
      <c r="AE168" s="18"/>
      <c r="AF168" s="19"/>
      <c r="AG168" s="480" t="str">
        <f t="shared" si="28"/>
        <v/>
      </c>
      <c r="AH168" s="481" t="str">
        <f t="shared" si="29"/>
        <v/>
      </c>
      <c r="AI168" s="477" t="str">
        <f>IF($AC$168="","",IFERROR(INDEX($AZ$74:$AZ$119,MATCH($AH$168,$AY$74:$AY$119,0)),"AUTRE"))</f>
        <v/>
      </c>
      <c r="AJ168" s="482" t="str">
        <f>IF($AC$168="","",IFERROR(INDEX($BA$74:$BA$119,MATCH($AH$168,$AY$74:$AY$119,0)),1))</f>
        <v/>
      </c>
      <c r="AK168" s="482" t="str">
        <f t="shared" si="30"/>
        <v/>
      </c>
      <c r="AL168" s="477" t="str">
        <f>IF($AC$168="","",IFERROR(INDEX($BB$74:$BB$119,MATCH($AH$168,$AY$74:$AY$119,0)),$AH$168))</f>
        <v/>
      </c>
      <c r="AM168" s="483" t="str">
        <f t="shared" si="31"/>
        <v/>
      </c>
      <c r="AN168" s="484" t="str">
        <f t="shared" si="32"/>
        <v/>
      </c>
      <c r="AO168" s="473" t="str">
        <f t="shared" si="33"/>
        <v/>
      </c>
      <c r="AP168" s="473" t="str">
        <f t="shared" si="34"/>
        <v/>
      </c>
      <c r="AQ168" s="473" t="str">
        <f t="shared" si="35"/>
        <v/>
      </c>
      <c r="AR168" s="473" t="str">
        <f t="shared" si="36"/>
        <v/>
      </c>
      <c r="AS168" s="473" t="str">
        <f t="shared" si="37"/>
        <v/>
      </c>
      <c r="AT168" s="473" t="str">
        <f t="shared" si="38"/>
        <v/>
      </c>
      <c r="AU168" s="473" t="str">
        <f t="shared" si="39"/>
        <v/>
      </c>
      <c r="AZ168" s="27" t="s">
        <v>8</v>
      </c>
      <c r="BA168" s="34" t="s">
        <v>494</v>
      </c>
      <c r="BB168" s="500"/>
      <c r="BC168" s="271"/>
      <c r="BD168" s="279">
        <v>1</v>
      </c>
      <c r="BE168" s="271"/>
      <c r="BF168" s="271"/>
      <c r="BG168" s="271"/>
      <c r="BH168" s="271"/>
      <c r="BI168" s="271"/>
      <c r="BJ168" s="271"/>
      <c r="BK168" s="271"/>
      <c r="BL168" s="271"/>
    </row>
    <row r="169" spans="18:64" ht="21" customHeight="1" x14ac:dyDescent="0.25">
      <c r="R169" s="25" t="s">
        <v>6115</v>
      </c>
      <c r="S169" s="451"/>
      <c r="T169" s="27" t="s">
        <v>8</v>
      </c>
      <c r="V169" s="475">
        <v>3</v>
      </c>
      <c r="W169" s="475" t="str">
        <f>IF($AC$169="","",$W$144)</f>
        <v/>
      </c>
      <c r="X169" s="476" t="str">
        <f>IF($AC$169="","",$X$144)</f>
        <v/>
      </c>
      <c r="Y169" s="477" t="str">
        <f>IF($X$169="","",$Y$144)</f>
        <v/>
      </c>
      <c r="Z169" s="477" t="str">
        <f>IF($X$169="","",$Z$144)</f>
        <v/>
      </c>
      <c r="AA169" s="477" t="str">
        <f>IF($AC$169="","",ROW($A$169)-ROW($A$144))</f>
        <v/>
      </c>
      <c r="AB169" s="478"/>
      <c r="AC169" s="34"/>
      <c r="AD169" s="356"/>
      <c r="AE169" s="18"/>
      <c r="AF169" s="19"/>
      <c r="AG169" s="480" t="str">
        <f t="shared" si="28"/>
        <v/>
      </c>
      <c r="AH169" s="481" t="str">
        <f t="shared" si="29"/>
        <v/>
      </c>
      <c r="AI169" s="477" t="str">
        <f>IF($AC$169="","",IFERROR(INDEX($AZ$74:$AZ$119,MATCH($AH$169,$AY$74:$AY$119,0)),"AUTRE"))</f>
        <v/>
      </c>
      <c r="AJ169" s="482" t="str">
        <f>IF($AC$169="","",IFERROR(INDEX($BA$74:$BA$119,MATCH($AH$169,$AY$74:$AY$119,0)),1))</f>
        <v/>
      </c>
      <c r="AK169" s="482" t="str">
        <f t="shared" si="30"/>
        <v/>
      </c>
      <c r="AL169" s="477" t="str">
        <f>IF($AC$169="","",IFERROR(INDEX($BB$74:$BB$119,MATCH($AH$169,$AY$74:$AY$119,0)),$AH$169))</f>
        <v/>
      </c>
      <c r="AM169" s="483" t="str">
        <f t="shared" si="31"/>
        <v/>
      </c>
      <c r="AN169" s="484" t="str">
        <f t="shared" si="32"/>
        <v/>
      </c>
      <c r="AO169" s="473" t="str">
        <f t="shared" si="33"/>
        <v/>
      </c>
      <c r="AP169" s="473" t="str">
        <f t="shared" si="34"/>
        <v/>
      </c>
      <c r="AQ169" s="473" t="str">
        <f t="shared" si="35"/>
        <v/>
      </c>
      <c r="AR169" s="473" t="str">
        <f t="shared" si="36"/>
        <v/>
      </c>
      <c r="AS169" s="473" t="str">
        <f t="shared" si="37"/>
        <v/>
      </c>
      <c r="AT169" s="473" t="str">
        <f t="shared" si="38"/>
        <v/>
      </c>
      <c r="AU169" s="473" t="str">
        <f t="shared" si="39"/>
        <v/>
      </c>
      <c r="AZ169" s="28" t="s">
        <v>13</v>
      </c>
      <c r="BB169" s="500"/>
      <c r="BC169" s="271"/>
      <c r="BD169" s="279">
        <v>1</v>
      </c>
      <c r="BE169" s="271"/>
      <c r="BF169" s="271"/>
      <c r="BG169" s="271"/>
      <c r="BH169" s="271"/>
      <c r="BI169" s="271"/>
      <c r="BJ169" s="271"/>
      <c r="BK169" s="271"/>
      <c r="BL169" s="271"/>
    </row>
    <row r="170" spans="18:64" ht="21" customHeight="1" x14ac:dyDescent="0.25">
      <c r="R170" s="34" t="s">
        <v>471</v>
      </c>
      <c r="S170" s="451"/>
      <c r="T170" s="28" t="s">
        <v>13</v>
      </c>
      <c r="V170" s="475">
        <v>3</v>
      </c>
      <c r="W170" s="475" t="str">
        <f>IF($AC$170="","",$W$144)</f>
        <v/>
      </c>
      <c r="X170" s="476" t="str">
        <f>IF($AC$170="","",$X$144)</f>
        <v/>
      </c>
      <c r="Y170" s="477" t="str">
        <f>IF($X$170="","",$Y$144)</f>
        <v/>
      </c>
      <c r="Z170" s="477" t="str">
        <f>IF($X$170="","",$Z$144)</f>
        <v/>
      </c>
      <c r="AA170" s="477" t="str">
        <f>IF($AC$170="","",ROW($A$170)-ROW($A$144))</f>
        <v/>
      </c>
      <c r="AB170" s="478"/>
      <c r="AC170" s="34"/>
      <c r="AD170" s="356"/>
      <c r="AE170" s="18"/>
      <c r="AF170" s="19"/>
      <c r="AG170" s="480" t="str">
        <f t="shared" si="28"/>
        <v/>
      </c>
      <c r="AH170" s="481" t="str">
        <f t="shared" si="29"/>
        <v/>
      </c>
      <c r="AI170" s="477" t="str">
        <f>IF($AC$170="","",IFERROR(INDEX($AZ$74:$AZ$119,MATCH($AH$170,$AY$74:$AY$119,0)),"AUTRE"))</f>
        <v/>
      </c>
      <c r="AJ170" s="482" t="str">
        <f>IF($AC$170="","",IFERROR(INDEX($BA$74:$BA$119,MATCH($AH$170,$AY$74:$AY$119,0)),1))</f>
        <v/>
      </c>
      <c r="AK170" s="482" t="str">
        <f t="shared" si="30"/>
        <v/>
      </c>
      <c r="AL170" s="477" t="str">
        <f>IF($AC$170="","",IFERROR(INDEX($BB$74:$BB$119,MATCH($AH$170,$AY$74:$AY$119,0)),$AH$170))</f>
        <v/>
      </c>
      <c r="AM170" s="483" t="str">
        <f t="shared" si="31"/>
        <v/>
      </c>
      <c r="AN170" s="484" t="str">
        <f t="shared" si="32"/>
        <v/>
      </c>
      <c r="AO170" s="473" t="str">
        <f t="shared" si="33"/>
        <v/>
      </c>
      <c r="AP170" s="473" t="str">
        <f t="shared" si="34"/>
        <v/>
      </c>
      <c r="AQ170" s="473" t="str">
        <f t="shared" si="35"/>
        <v/>
      </c>
      <c r="AR170" s="473" t="str">
        <f t="shared" si="36"/>
        <v/>
      </c>
      <c r="AS170" s="473" t="str">
        <f t="shared" si="37"/>
        <v/>
      </c>
      <c r="AT170" s="473" t="str">
        <f t="shared" si="38"/>
        <v/>
      </c>
      <c r="AU170" s="473" t="str">
        <f t="shared" si="39"/>
        <v/>
      </c>
      <c r="AZ170" s="28" t="s">
        <v>14</v>
      </c>
      <c r="BA170" s="25" t="s">
        <v>6115</v>
      </c>
      <c r="BB170" s="500"/>
      <c r="BC170" s="271"/>
      <c r="BD170" s="279">
        <v>1</v>
      </c>
      <c r="BE170" s="271"/>
      <c r="BF170" s="271"/>
      <c r="BG170" s="271"/>
      <c r="BH170" s="271"/>
      <c r="BI170" s="271"/>
      <c r="BJ170" s="271"/>
      <c r="BK170" s="271"/>
      <c r="BL170" s="271"/>
    </row>
    <row r="171" spans="18:64" ht="21" customHeight="1" x14ac:dyDescent="0.25">
      <c r="R171" s="34" t="s">
        <v>472</v>
      </c>
      <c r="S171" s="451"/>
      <c r="T171" s="28" t="s">
        <v>14</v>
      </c>
      <c r="V171" s="475">
        <v>3</v>
      </c>
      <c r="W171" s="475" t="str">
        <f>IF($AC$171="","",$W$144)</f>
        <v/>
      </c>
      <c r="X171" s="476" t="str">
        <f>IF($AC$171="","",$X$144)</f>
        <v/>
      </c>
      <c r="Y171" s="477" t="str">
        <f>IF($X$171="","",$Y$144)</f>
        <v/>
      </c>
      <c r="Z171" s="477" t="str">
        <f>IF($X$171="","",$Z$144)</f>
        <v/>
      </c>
      <c r="AA171" s="477" t="str">
        <f>IF($AC$171="","",ROW($A$171)-ROW($A$144))</f>
        <v/>
      </c>
      <c r="AB171" s="478"/>
      <c r="AC171" s="34"/>
      <c r="AD171" s="356"/>
      <c r="AE171" s="18"/>
      <c r="AF171" s="19"/>
      <c r="AG171" s="480" t="str">
        <f t="shared" si="28"/>
        <v/>
      </c>
      <c r="AH171" s="481" t="str">
        <f t="shared" si="29"/>
        <v/>
      </c>
      <c r="AI171" s="477" t="str">
        <f>IF($AC$171="","",IFERROR(INDEX($AZ$74:$AZ$119,MATCH($AH$171,$AY$74:$AY$119,0)),"AUTRE"))</f>
        <v/>
      </c>
      <c r="AJ171" s="482" t="str">
        <f>IF($AC$171="","",IFERROR(INDEX($BA$74:$BA$119,MATCH($AH$171,$AY$74:$AY$119,0)),1))</f>
        <v/>
      </c>
      <c r="AK171" s="482" t="str">
        <f t="shared" si="30"/>
        <v/>
      </c>
      <c r="AL171" s="477" t="str">
        <f>IF($AC$171="","",IFERROR(INDEX($BB$74:$BB$119,MATCH($AH$171,$AY$74:$AY$119,0)),$AH$171))</f>
        <v/>
      </c>
      <c r="AM171" s="483" t="str">
        <f t="shared" si="31"/>
        <v/>
      </c>
      <c r="AN171" s="484" t="str">
        <f t="shared" si="32"/>
        <v/>
      </c>
      <c r="AO171" s="473" t="str">
        <f t="shared" si="33"/>
        <v/>
      </c>
      <c r="AP171" s="473" t="str">
        <f t="shared" si="34"/>
        <v/>
      </c>
      <c r="AQ171" s="473" t="str">
        <f t="shared" si="35"/>
        <v/>
      </c>
      <c r="AR171" s="473" t="str">
        <f t="shared" si="36"/>
        <v/>
      </c>
      <c r="AS171" s="473" t="str">
        <f t="shared" si="37"/>
        <v/>
      </c>
      <c r="AT171" s="473" t="str">
        <f t="shared" si="38"/>
        <v/>
      </c>
      <c r="AU171" s="473" t="str">
        <f t="shared" si="39"/>
        <v/>
      </c>
      <c r="AZ171" s="28" t="s">
        <v>15</v>
      </c>
      <c r="BA171" s="34" t="s">
        <v>471</v>
      </c>
      <c r="BB171" s="500"/>
      <c r="BC171" s="271"/>
      <c r="BD171" s="279">
        <v>1</v>
      </c>
      <c r="BE171" s="271"/>
      <c r="BF171" s="271"/>
      <c r="BG171" s="271"/>
      <c r="BH171" s="271"/>
      <c r="BI171" s="271"/>
      <c r="BJ171" s="271"/>
      <c r="BK171" s="271"/>
      <c r="BL171" s="271"/>
    </row>
    <row r="172" spans="18:64" ht="21" customHeight="1" x14ac:dyDescent="0.25">
      <c r="R172" s="34" t="s">
        <v>6112</v>
      </c>
      <c r="S172" s="451"/>
      <c r="T172" s="28" t="s">
        <v>15</v>
      </c>
      <c r="V172" s="475">
        <v>3</v>
      </c>
      <c r="W172" s="475" t="str">
        <f>IF($AC$172="","",$W$144)</f>
        <v/>
      </c>
      <c r="X172" s="476" t="str">
        <f>IF($AC$172="","",$X$144)</f>
        <v/>
      </c>
      <c r="Y172" s="477" t="str">
        <f>IF($X$172="","",$Y$144)</f>
        <v/>
      </c>
      <c r="Z172" s="477" t="str">
        <f>IF($X$172="","",$Z$144)</f>
        <v/>
      </c>
      <c r="AA172" s="477" t="str">
        <f>IF($AC$172="","",ROW($A$172)-ROW($A$144))</f>
        <v/>
      </c>
      <c r="AB172" s="478"/>
      <c r="AC172" s="34"/>
      <c r="AD172" s="356"/>
      <c r="AE172" s="18"/>
      <c r="AF172" s="19"/>
      <c r="AG172" s="480" t="str">
        <f t="shared" si="28"/>
        <v/>
      </c>
      <c r="AH172" s="481" t="str">
        <f t="shared" si="29"/>
        <v/>
      </c>
      <c r="AI172" s="477" t="str">
        <f>IF($AC$172="","",IFERROR(INDEX($AZ$74:$AZ$119,MATCH($AH$172,$AY$74:$AY$119,0)),"AUTRE"))</f>
        <v/>
      </c>
      <c r="AJ172" s="482" t="str">
        <f>IF($AC$172="","",IFERROR(INDEX($BA$74:$BA$119,MATCH($AH$172,$AY$74:$AY$119,0)),1))</f>
        <v/>
      </c>
      <c r="AK172" s="482" t="str">
        <f t="shared" si="30"/>
        <v/>
      </c>
      <c r="AL172" s="477" t="str">
        <f>IF($AC$172="","",IFERROR(INDEX($BB$74:$BB$119,MATCH($AH$172,$AY$74:$AY$119,0)),$AH$172))</f>
        <v/>
      </c>
      <c r="AM172" s="483" t="str">
        <f t="shared" si="31"/>
        <v/>
      </c>
      <c r="AN172" s="484" t="str">
        <f t="shared" si="32"/>
        <v/>
      </c>
      <c r="AO172" s="473" t="str">
        <f t="shared" si="33"/>
        <v/>
      </c>
      <c r="AP172" s="473" t="str">
        <f t="shared" si="34"/>
        <v/>
      </c>
      <c r="AQ172" s="473" t="str">
        <f t="shared" si="35"/>
        <v/>
      </c>
      <c r="AR172" s="473" t="str">
        <f t="shared" si="36"/>
        <v/>
      </c>
      <c r="AS172" s="473" t="str">
        <f t="shared" si="37"/>
        <v/>
      </c>
      <c r="AT172" s="473" t="str">
        <f t="shared" si="38"/>
        <v/>
      </c>
      <c r="AU172" s="473" t="str">
        <f t="shared" si="39"/>
        <v/>
      </c>
      <c r="AY172" s="271"/>
      <c r="AZ172" s="29" t="s">
        <v>9</v>
      </c>
      <c r="BA172" s="34" t="s">
        <v>472</v>
      </c>
      <c r="BB172" s="499"/>
      <c r="BC172" s="271"/>
      <c r="BD172" s="279">
        <v>1</v>
      </c>
      <c r="BE172" s="271"/>
      <c r="BF172" s="271"/>
      <c r="BG172" s="271"/>
      <c r="BH172" s="271"/>
      <c r="BI172" s="271"/>
      <c r="BJ172" s="271"/>
      <c r="BK172" s="271"/>
      <c r="BL172" s="271"/>
    </row>
    <row r="173" spans="18:64" ht="21" customHeight="1" x14ac:dyDescent="0.25">
      <c r="R173" s="25" t="s">
        <v>6116</v>
      </c>
      <c r="S173" s="451"/>
      <c r="T173" s="28" t="s">
        <v>21</v>
      </c>
      <c r="V173" s="475">
        <v>3</v>
      </c>
      <c r="W173" s="475" t="str">
        <f>IF($AC$173="","",$W$144)</f>
        <v/>
      </c>
      <c r="X173" s="476" t="str">
        <f>IF($AC$173="","",$X$144)</f>
        <v/>
      </c>
      <c r="Y173" s="477" t="str">
        <f>IF($X$173="","",$Y$144)</f>
        <v/>
      </c>
      <c r="Z173" s="477" t="str">
        <f>IF($X$173="","",$Z$144)</f>
        <v/>
      </c>
      <c r="AA173" s="477" t="str">
        <f>IF($AC$173="","",ROW($A$173)-ROW($A$144))</f>
        <v/>
      </c>
      <c r="AB173" s="478"/>
      <c r="AC173" s="34"/>
      <c r="AD173" s="356"/>
      <c r="AE173" s="18"/>
      <c r="AF173" s="19"/>
      <c r="AG173" s="480" t="str">
        <f t="shared" si="28"/>
        <v/>
      </c>
      <c r="AH173" s="481" t="str">
        <f t="shared" si="29"/>
        <v/>
      </c>
      <c r="AI173" s="477" t="str">
        <f>IF($AC$173="","",IFERROR(INDEX($AZ$74:$AZ$119,MATCH($AH$173,$AY$74:$AY$119,0)),"AUTRE"))</f>
        <v/>
      </c>
      <c r="AJ173" s="482" t="str">
        <f>IF($AC$173="","",IFERROR(INDEX($BA$74:$BA$119,MATCH($AH$173,$AY$74:$AY$119,0)),1))</f>
        <v/>
      </c>
      <c r="AK173" s="482" t="str">
        <f t="shared" si="30"/>
        <v/>
      </c>
      <c r="AL173" s="477" t="str">
        <f>IF($AC$173="","",IFERROR(INDEX($BB$74:$BB$119,MATCH($AH$173,$AY$74:$AY$119,0)),$AH$173))</f>
        <v/>
      </c>
      <c r="AM173" s="483" t="str">
        <f t="shared" si="31"/>
        <v/>
      </c>
      <c r="AN173" s="484" t="str">
        <f t="shared" si="32"/>
        <v/>
      </c>
      <c r="AO173" s="473" t="str">
        <f t="shared" si="33"/>
        <v/>
      </c>
      <c r="AP173" s="473" t="str">
        <f t="shared" si="34"/>
        <v/>
      </c>
      <c r="AQ173" s="473" t="str">
        <f t="shared" si="35"/>
        <v/>
      </c>
      <c r="AR173" s="473" t="str">
        <f t="shared" si="36"/>
        <v/>
      </c>
      <c r="AS173" s="473" t="str">
        <f t="shared" si="37"/>
        <v/>
      </c>
      <c r="AT173" s="473" t="str">
        <f t="shared" si="38"/>
        <v/>
      </c>
      <c r="AU173" s="473" t="str">
        <f t="shared" si="39"/>
        <v/>
      </c>
      <c r="AY173" s="497" t="s">
        <v>8145</v>
      </c>
      <c r="AZ173" s="30" t="s">
        <v>10</v>
      </c>
      <c r="BA173" s="34" t="s">
        <v>6112</v>
      </c>
      <c r="BB173" s="499"/>
      <c r="BC173" s="271"/>
      <c r="BD173" s="279">
        <v>1</v>
      </c>
      <c r="BE173" s="271"/>
      <c r="BF173" s="271"/>
      <c r="BG173" s="271"/>
      <c r="BH173" s="271"/>
      <c r="BI173" s="271"/>
      <c r="BJ173" s="271"/>
      <c r="BK173" s="271"/>
      <c r="BL173" s="271"/>
    </row>
    <row r="174" spans="18:64" ht="21" customHeight="1" x14ac:dyDescent="0.25">
      <c r="R174" s="34" t="s">
        <v>6117</v>
      </c>
      <c r="S174" s="451"/>
      <c r="T174" s="28" t="s">
        <v>22</v>
      </c>
      <c r="V174" s="475">
        <v>3</v>
      </c>
      <c r="W174" s="475" t="str">
        <f>IF($AC$174="","",$W$144)</f>
        <v/>
      </c>
      <c r="X174" s="476" t="str">
        <f>IF($AC$174="","",$X$144)</f>
        <v/>
      </c>
      <c r="Y174" s="477" t="str">
        <f>IF($X$174="","",$Y$144)</f>
        <v/>
      </c>
      <c r="Z174" s="477" t="str">
        <f>IF($X$174="","",$Z$144)</f>
        <v/>
      </c>
      <c r="AA174" s="477" t="str">
        <f>IF($AC$174="","",ROW($A$174)-ROW($A$144))</f>
        <v/>
      </c>
      <c r="AB174" s="478"/>
      <c r="AC174" s="34"/>
      <c r="AD174" s="356"/>
      <c r="AE174" s="18"/>
      <c r="AF174" s="19"/>
      <c r="AG174" s="480" t="str">
        <f t="shared" si="28"/>
        <v/>
      </c>
      <c r="AH174" s="481" t="str">
        <f t="shared" si="29"/>
        <v/>
      </c>
      <c r="AI174" s="477" t="str">
        <f>IF($AC$174="","",IFERROR(INDEX($AZ$74:$AZ$119,MATCH($AH$174,$AY$74:$AY$119,0)),"AUTRE"))</f>
        <v/>
      </c>
      <c r="AJ174" s="482" t="str">
        <f>IF($AC$174="","",IFERROR(INDEX($BA$74:$BA$119,MATCH($AH$174,$AY$74:$AY$119,0)),1))</f>
        <v/>
      </c>
      <c r="AK174" s="482" t="str">
        <f t="shared" si="30"/>
        <v/>
      </c>
      <c r="AL174" s="477" t="str">
        <f>IF($AC$174="","",IFERROR(INDEX($BB$74:$BB$119,MATCH($AH$174,$AY$74:$AY$119,0)),$AH$174))</f>
        <v/>
      </c>
      <c r="AM174" s="483" t="str">
        <f t="shared" si="31"/>
        <v/>
      </c>
      <c r="AN174" s="484" t="str">
        <f t="shared" si="32"/>
        <v/>
      </c>
      <c r="AO174" s="473" t="str">
        <f t="shared" si="33"/>
        <v/>
      </c>
      <c r="AP174" s="473" t="str">
        <f t="shared" si="34"/>
        <v/>
      </c>
      <c r="AQ174" s="473" t="str">
        <f t="shared" si="35"/>
        <v/>
      </c>
      <c r="AR174" s="473" t="str">
        <f t="shared" si="36"/>
        <v/>
      </c>
      <c r="AS174" s="473" t="str">
        <f t="shared" si="37"/>
        <v/>
      </c>
      <c r="AT174" s="473" t="str">
        <f t="shared" si="38"/>
        <v/>
      </c>
      <c r="AU174" s="473" t="str">
        <f t="shared" si="39"/>
        <v/>
      </c>
      <c r="AY174" s="497" t="s">
        <v>462</v>
      </c>
      <c r="AZ174" s="30" t="s">
        <v>11</v>
      </c>
      <c r="BA174" s="25" t="s">
        <v>6116</v>
      </c>
      <c r="BB174" s="499"/>
      <c r="BC174" s="271"/>
      <c r="BD174" s="279">
        <v>1</v>
      </c>
      <c r="BE174" s="271"/>
      <c r="BF174" s="271"/>
      <c r="BG174" s="271"/>
      <c r="BH174" s="271"/>
      <c r="BI174" s="271"/>
      <c r="BJ174" s="271"/>
      <c r="BK174" s="271"/>
      <c r="BL174" s="271"/>
    </row>
    <row r="175" spans="18:64" ht="21" customHeight="1" x14ac:dyDescent="0.25">
      <c r="R175" s="34" t="s">
        <v>469</v>
      </c>
      <c r="S175" s="451"/>
      <c r="T175" s="28" t="s">
        <v>23</v>
      </c>
      <c r="V175" s="475">
        <v>3</v>
      </c>
      <c r="W175" s="475" t="str">
        <f>IF($AC$175="","",$W$144)</f>
        <v/>
      </c>
      <c r="X175" s="476" t="str">
        <f>IF($AC$175="","",$X$144)</f>
        <v/>
      </c>
      <c r="Y175" s="477" t="str">
        <f>IF($X$175="","",$Y$144)</f>
        <v/>
      </c>
      <c r="Z175" s="477" t="str">
        <f>IF($X$175="","",$Z$144)</f>
        <v/>
      </c>
      <c r="AA175" s="477" t="str">
        <f>IF($AC$175="","",ROW($A$175)-ROW($A$144))</f>
        <v/>
      </c>
      <c r="AB175" s="478"/>
      <c r="AC175" s="34"/>
      <c r="AD175" s="356"/>
      <c r="AE175" s="18"/>
      <c r="AF175" s="19"/>
      <c r="AG175" s="480" t="str">
        <f t="shared" si="28"/>
        <v/>
      </c>
      <c r="AH175" s="481" t="str">
        <f t="shared" si="29"/>
        <v/>
      </c>
      <c r="AI175" s="477" t="str">
        <f>IF($AC$175="","",IFERROR(INDEX($AZ$74:$AZ$119,MATCH($AH$175,$AY$74:$AY$119,0)),"AUTRE"))</f>
        <v/>
      </c>
      <c r="AJ175" s="482" t="str">
        <f>IF($AC$175="","",IFERROR(INDEX($BA$74:$BA$119,MATCH($AH$175,$AY$74:$AY$119,0)),1))</f>
        <v/>
      </c>
      <c r="AK175" s="482" t="str">
        <f t="shared" si="30"/>
        <v/>
      </c>
      <c r="AL175" s="477" t="str">
        <f>IF($AC$175="","",IFERROR(INDEX($BB$74:$BB$119,MATCH($AH$175,$AY$74:$AY$119,0)),$AH$175))</f>
        <v/>
      </c>
      <c r="AM175" s="483" t="str">
        <f t="shared" si="31"/>
        <v/>
      </c>
      <c r="AN175" s="484" t="str">
        <f t="shared" si="32"/>
        <v/>
      </c>
      <c r="AO175" s="473" t="str">
        <f t="shared" si="33"/>
        <v/>
      </c>
      <c r="AP175" s="473" t="str">
        <f t="shared" si="34"/>
        <v/>
      </c>
      <c r="AQ175" s="473" t="str">
        <f t="shared" si="35"/>
        <v/>
      </c>
      <c r="AR175" s="473" t="str">
        <f t="shared" si="36"/>
        <v/>
      </c>
      <c r="AS175" s="473" t="str">
        <f t="shared" si="37"/>
        <v/>
      </c>
      <c r="AT175" s="473" t="str">
        <f t="shared" si="38"/>
        <v/>
      </c>
      <c r="AU175" s="473" t="str">
        <f t="shared" si="39"/>
        <v/>
      </c>
      <c r="AY175" s="497" t="s">
        <v>463</v>
      </c>
      <c r="AZ175" s="30" t="s">
        <v>12</v>
      </c>
      <c r="BA175" s="34" t="s">
        <v>6117</v>
      </c>
      <c r="BB175" s="499"/>
      <c r="BC175" s="271"/>
      <c r="BD175" s="279">
        <v>1</v>
      </c>
      <c r="BE175" s="271"/>
      <c r="BF175" s="271"/>
      <c r="BG175" s="271"/>
      <c r="BH175" s="271"/>
      <c r="BI175" s="271"/>
      <c r="BJ175" s="271"/>
      <c r="BK175" s="271"/>
      <c r="BL175" s="271"/>
    </row>
    <row r="176" spans="18:64" ht="21" customHeight="1" x14ac:dyDescent="0.25">
      <c r="R176" s="34" t="s">
        <v>6118</v>
      </c>
      <c r="S176" s="451"/>
      <c r="T176" s="28" t="s">
        <v>24</v>
      </c>
      <c r="V176" s="475">
        <v>3</v>
      </c>
      <c r="W176" s="475" t="str">
        <f>IF($AC$176="","",$W$144)</f>
        <v/>
      </c>
      <c r="X176" s="476" t="str">
        <f>IF($AC$176="","",$X$144)</f>
        <v/>
      </c>
      <c r="Y176" s="477" t="str">
        <f>IF($X$176="","",$Y$144)</f>
        <v/>
      </c>
      <c r="Z176" s="477" t="str">
        <f>IF($X$176="","",$Z$144)</f>
        <v/>
      </c>
      <c r="AA176" s="477" t="str">
        <f>IF($AC$176="","",ROW($A$176)-ROW($A$144))</f>
        <v/>
      </c>
      <c r="AB176" s="478"/>
      <c r="AC176" s="34"/>
      <c r="AD176" s="356"/>
      <c r="AE176" s="18"/>
      <c r="AF176" s="19"/>
      <c r="AG176" s="480" t="str">
        <f t="shared" si="28"/>
        <v/>
      </c>
      <c r="AH176" s="481" t="str">
        <f t="shared" si="29"/>
        <v/>
      </c>
      <c r="AI176" s="477" t="str">
        <f>IF($AC$176="","",IFERROR(INDEX($AZ$74:$AZ$119,MATCH($AH$176,$AY$74:$AY$119,0)),"AUTRE"))</f>
        <v/>
      </c>
      <c r="AJ176" s="482" t="str">
        <f>IF($AC$176="","",IFERROR(INDEX($BA$74:$BA$119,MATCH($AH$176,$AY$74:$AY$119,0)),1))</f>
        <v/>
      </c>
      <c r="AK176" s="482" t="str">
        <f t="shared" si="30"/>
        <v/>
      </c>
      <c r="AL176" s="477" t="str">
        <f>IF($AC$176="","",IFERROR(INDEX($BB$74:$BB$119,MATCH($AH$176,$AY$74:$AY$119,0)),$AH$176))</f>
        <v/>
      </c>
      <c r="AM176" s="483" t="str">
        <f t="shared" si="31"/>
        <v/>
      </c>
      <c r="AN176" s="484" t="str">
        <f t="shared" si="32"/>
        <v/>
      </c>
      <c r="AO176" s="473" t="str">
        <f t="shared" si="33"/>
        <v/>
      </c>
      <c r="AP176" s="473" t="str">
        <f t="shared" si="34"/>
        <v/>
      </c>
      <c r="AQ176" s="473" t="str">
        <f t="shared" si="35"/>
        <v/>
      </c>
      <c r="AR176" s="473" t="str">
        <f t="shared" si="36"/>
        <v/>
      </c>
      <c r="AS176" s="473" t="str">
        <f t="shared" si="37"/>
        <v/>
      </c>
      <c r="AT176" s="473" t="str">
        <f t="shared" si="38"/>
        <v/>
      </c>
      <c r="AU176" s="473" t="str">
        <f t="shared" si="39"/>
        <v/>
      </c>
      <c r="AY176" s="497" t="s">
        <v>8147</v>
      </c>
      <c r="AZ176" s="31" t="s">
        <v>16</v>
      </c>
      <c r="BA176" s="34" t="s">
        <v>469</v>
      </c>
      <c r="BB176" s="499"/>
      <c r="BC176" s="271"/>
      <c r="BD176" s="279">
        <v>1</v>
      </c>
      <c r="BE176" s="271"/>
      <c r="BF176" s="271"/>
      <c r="BG176" s="271"/>
      <c r="BH176" s="271"/>
      <c r="BI176" s="271"/>
      <c r="BJ176" s="271"/>
      <c r="BK176" s="271"/>
      <c r="BL176" s="271"/>
    </row>
    <row r="177" spans="18:64" ht="21" customHeight="1" x14ac:dyDescent="0.25">
      <c r="R177" s="34" t="s">
        <v>492</v>
      </c>
      <c r="S177" s="451"/>
      <c r="T177" s="29" t="s">
        <v>9</v>
      </c>
      <c r="V177" s="475">
        <v>3</v>
      </c>
      <c r="W177" s="475" t="str">
        <f>IF($AC$177="","",$W$144)</f>
        <v>N° 36</v>
      </c>
      <c r="X177" s="476" t="str">
        <f>IF($AC$177="","",$X$144)</f>
        <v>BRUSCHETTA</v>
      </c>
      <c r="Y177" s="477">
        <f>IF($X$177="","",$Y$144)</f>
        <v>53</v>
      </c>
      <c r="Z177" s="477">
        <f>IF($X$177="","",$Z$144)</f>
        <v>100</v>
      </c>
      <c r="AA177" s="477">
        <f>IF($AC$177="","",ROW($A$177)-ROW($A$144))</f>
        <v>33</v>
      </c>
      <c r="AB177" s="478"/>
      <c r="AC177" s="34" t="s">
        <v>486</v>
      </c>
      <c r="AD177" s="356"/>
      <c r="AE177" s="18">
        <v>1</v>
      </c>
      <c r="AF177" s="33" t="s">
        <v>462</v>
      </c>
      <c r="AG177" s="480">
        <f t="shared" si="28"/>
        <v>1</v>
      </c>
      <c r="AH177" s="481" t="str">
        <f t="shared" si="29"/>
        <v>BAC(S)</v>
      </c>
      <c r="AI177" s="477" t="str">
        <f>IF($AC$177="","",IFERROR(INDEX($AZ$74:$AZ$119,MATCH($AH$177,$AY$74:$AY$119,0)),"AUTRE"))</f>
        <v>AUTRE</v>
      </c>
      <c r="AJ177" s="482">
        <f>IF($AC$177="","",IFERROR(INDEX($BA$74:$BA$119,MATCH($AH$177,$AY$74:$AY$119,0)),1))</f>
        <v>1</v>
      </c>
      <c r="AK177" s="482">
        <f t="shared" si="30"/>
        <v>1</v>
      </c>
      <c r="AL177" s="477" t="str">
        <f>IF($AC$177="","",IFERROR(INDEX($BB$74:$BB$119,MATCH($AH$177,$AY$74:$AY$119,0)),$AH$177))</f>
        <v>bac(s)</v>
      </c>
      <c r="AM177" s="483" t="str">
        <f t="shared" si="31"/>
        <v>OK</v>
      </c>
      <c r="AN177" s="484">
        <f t="shared" si="32"/>
        <v>1</v>
      </c>
      <c r="AO177" s="473" t="str">
        <f t="shared" si="33"/>
        <v/>
      </c>
      <c r="AP177" s="473" t="str">
        <f t="shared" si="34"/>
        <v/>
      </c>
      <c r="AQ177" s="473" t="str">
        <f t="shared" si="35"/>
        <v/>
      </c>
      <c r="AR177" s="473" t="str">
        <f t="shared" si="36"/>
        <v/>
      </c>
      <c r="AS177" s="473" t="str">
        <f t="shared" si="37"/>
        <v/>
      </c>
      <c r="AT177" s="473" t="str">
        <f t="shared" si="38"/>
        <v/>
      </c>
      <c r="AU177" s="473" t="str">
        <f t="shared" si="39"/>
        <v/>
      </c>
      <c r="AY177" s="497" t="s">
        <v>465</v>
      </c>
      <c r="AZ177" s="31" t="s">
        <v>17</v>
      </c>
      <c r="BA177" s="34" t="s">
        <v>6118</v>
      </c>
      <c r="BB177" s="499"/>
      <c r="BC177" s="271"/>
      <c r="BD177" s="279">
        <v>1</v>
      </c>
      <c r="BE177" s="271"/>
      <c r="BF177" s="271"/>
      <c r="BG177" s="271"/>
      <c r="BH177" s="271"/>
      <c r="BI177" s="271"/>
      <c r="BJ177" s="271"/>
      <c r="BK177" s="271"/>
      <c r="BL177" s="271"/>
    </row>
    <row r="178" spans="18:64" ht="21" customHeight="1" x14ac:dyDescent="0.25">
      <c r="R178" s="34" t="s">
        <v>458</v>
      </c>
      <c r="S178" s="451"/>
      <c r="T178" s="30" t="s">
        <v>10</v>
      </c>
      <c r="V178" s="475">
        <v>3</v>
      </c>
      <c r="W178" s="475" t="str">
        <f>IF($AC$178="","",$W$144)</f>
        <v>N° 36</v>
      </c>
      <c r="X178" s="476" t="str">
        <f>IF($AC$178="","",$X$144)</f>
        <v>BRUSCHETTA</v>
      </c>
      <c r="Y178" s="477">
        <f>IF($X$178="","",$Y$144)</f>
        <v>53</v>
      </c>
      <c r="Z178" s="477">
        <f>IF($X$178="","",$Z$144)</f>
        <v>100</v>
      </c>
      <c r="AA178" s="477">
        <f>IF($AC$178="","",ROW($A$178)-ROW($A$144))</f>
        <v>34</v>
      </c>
      <c r="AB178" s="478"/>
      <c r="AC178" s="34" t="s">
        <v>457</v>
      </c>
      <c r="AD178" s="356"/>
      <c r="AE178" s="18">
        <v>4</v>
      </c>
      <c r="AF178" s="33" t="s">
        <v>465</v>
      </c>
      <c r="AG178" s="491">
        <f t="shared" si="28"/>
        <v>4</v>
      </c>
      <c r="AH178" s="481" t="str">
        <f t="shared" si="29"/>
        <v>GRILLE(S)</v>
      </c>
      <c r="AI178" s="477" t="str">
        <f>IF($AC$178="","",IFERROR(INDEX($AZ$74:$AZ$119,MATCH($AH$178,$AY$74:$AY$119,0)),"AUTRE"))</f>
        <v>AUTRE</v>
      </c>
      <c r="AJ178" s="482">
        <f>IF($AC$178="","",IFERROR(INDEX($BA$74:$BA$119,MATCH($AH$178,$AY$74:$AY$119,0)),1))</f>
        <v>1</v>
      </c>
      <c r="AK178" s="482">
        <f t="shared" si="30"/>
        <v>4</v>
      </c>
      <c r="AL178" s="477" t="str">
        <f>IF($AC$178="","",IFERROR(INDEX($BB$74:$BB$119,MATCH($AH$178,$AY$74:$AY$119,0)),$AH$178))</f>
        <v>grille(s)</v>
      </c>
      <c r="AM178" s="483" t="str">
        <f t="shared" si="31"/>
        <v>OK</v>
      </c>
      <c r="AN178" s="484">
        <f t="shared" si="32"/>
        <v>4</v>
      </c>
      <c r="AO178" s="473" t="str">
        <f t="shared" si="33"/>
        <v/>
      </c>
      <c r="AP178" s="473" t="str">
        <f t="shared" si="34"/>
        <v/>
      </c>
      <c r="AQ178" s="473" t="str">
        <f t="shared" si="35"/>
        <v/>
      </c>
      <c r="AR178" s="473" t="str">
        <f t="shared" si="36"/>
        <v/>
      </c>
      <c r="AS178" s="473" t="str">
        <f t="shared" si="37"/>
        <v/>
      </c>
      <c r="AT178" s="473" t="str">
        <f t="shared" si="38"/>
        <v/>
      </c>
      <c r="AU178" s="473" t="str">
        <f t="shared" si="39"/>
        <v/>
      </c>
      <c r="AY178" s="497" t="s">
        <v>466</v>
      </c>
      <c r="AZ178" s="31" t="s">
        <v>18</v>
      </c>
      <c r="BA178" s="34" t="s">
        <v>492</v>
      </c>
      <c r="BB178" s="499"/>
      <c r="BC178" s="271"/>
      <c r="BD178" s="279">
        <v>1</v>
      </c>
      <c r="BE178" s="271"/>
      <c r="BF178" s="271"/>
      <c r="BG178" s="271"/>
      <c r="BH178" s="271"/>
      <c r="BI178" s="271"/>
      <c r="BJ178" s="271"/>
      <c r="BK178" s="271"/>
      <c r="BL178" s="271"/>
    </row>
    <row r="179" spans="18:64" ht="30" customHeight="1" x14ac:dyDescent="0.25">
      <c r="R179" s="490"/>
      <c r="S179" s="451"/>
      <c r="T179" s="30" t="s">
        <v>11</v>
      </c>
      <c r="V179" s="453" t="s">
        <v>324</v>
      </c>
      <c r="W179" s="453" t="s">
        <v>7912</v>
      </c>
      <c r="X179" s="453" t="s">
        <v>326</v>
      </c>
      <c r="Y179" s="453" t="s">
        <v>327</v>
      </c>
      <c r="Z179" s="454" t="s">
        <v>7930</v>
      </c>
      <c r="AA179" s="453" t="s">
        <v>7937</v>
      </c>
      <c r="AB179" s="455" t="s">
        <v>39</v>
      </c>
      <c r="AC179" s="455" t="s">
        <v>338</v>
      </c>
      <c r="AD179" s="455" t="s">
        <v>8114</v>
      </c>
      <c r="AE179" s="455" t="s">
        <v>339</v>
      </c>
      <c r="AF179" s="455" t="s">
        <v>7997</v>
      </c>
      <c r="AG179" s="453" t="s">
        <v>8018</v>
      </c>
      <c r="AH179" s="453" t="s">
        <v>8023</v>
      </c>
      <c r="AI179" s="453" t="s">
        <v>330</v>
      </c>
      <c r="AJ179" s="453" t="s">
        <v>8031</v>
      </c>
      <c r="AK179" s="453" t="s">
        <v>8037</v>
      </c>
      <c r="AL179" s="453" t="s">
        <v>8041</v>
      </c>
      <c r="AM179" s="453" t="s">
        <v>343</v>
      </c>
      <c r="AN179" s="457" t="s">
        <v>8115</v>
      </c>
      <c r="AO179" s="457" t="s">
        <v>8116</v>
      </c>
      <c r="AP179" s="656" t="s">
        <v>8117</v>
      </c>
      <c r="AQ179" s="656"/>
      <c r="AR179" s="656"/>
      <c r="AS179" s="656"/>
      <c r="AT179" s="656"/>
      <c r="AU179" s="657"/>
      <c r="AZ179" s="31" t="s">
        <v>19</v>
      </c>
      <c r="BA179" s="34" t="s">
        <v>458</v>
      </c>
      <c r="BB179" s="499"/>
      <c r="BC179" s="271"/>
      <c r="BD179" s="279">
        <v>1</v>
      </c>
      <c r="BE179" s="271"/>
      <c r="BF179" s="271"/>
      <c r="BG179" s="271"/>
      <c r="BH179" s="271"/>
      <c r="BI179" s="271"/>
      <c r="BJ179" s="271"/>
      <c r="BK179" s="271"/>
      <c r="BL179" s="271"/>
    </row>
    <row r="180" spans="18:64" ht="30" customHeight="1" x14ac:dyDescent="0.25">
      <c r="R180" s="25" t="s">
        <v>6119</v>
      </c>
      <c r="S180" s="451"/>
      <c r="T180" s="30" t="s">
        <v>12</v>
      </c>
      <c r="V180" s="459">
        <v>4</v>
      </c>
      <c r="W180" s="460" t="s">
        <v>235</v>
      </c>
      <c r="X180" s="461" t="s">
        <v>236</v>
      </c>
      <c r="Y180" s="462">
        <v>54</v>
      </c>
      <c r="Z180" s="463">
        <v>100</v>
      </c>
      <c r="AA180" s="464">
        <f>IF($AC$396="","",ROW($A$396)-ROW($A$396))</f>
        <v>0</v>
      </c>
      <c r="AB180" s="461"/>
      <c r="AC180" s="465" t="s">
        <v>408</v>
      </c>
      <c r="AD180" s="390"/>
      <c r="AE180" s="13">
        <v>4</v>
      </c>
      <c r="AF180" s="11" t="s">
        <v>7</v>
      </c>
      <c r="AG180" s="467">
        <f t="shared" ref="AG180:AG214" si="40">IF($AC180="","",IF(LEN($AN180&amp;"")=0,"",$AN180))</f>
        <v>4</v>
      </c>
      <c r="AH180" s="468" t="str">
        <f t="shared" ref="AH180:AH214" si="41">IF($AC180="","",IF($AF180&lt;&gt;"",UPPER(TRIM(SUBSTITUTE(SUBSTITUTE($AF180&amp;"",CHAR(160)," ")," "," "))),$AP180))</f>
        <v>KG</v>
      </c>
      <c r="AI180" s="469" t="str">
        <f>IF($AC$180="","",IFERROR(INDEX($AZ$74:$AZ$119,MATCH($AH$180,$AY$74:$AY$119,0)),"AUTRE"))</f>
        <v>MASSE</v>
      </c>
      <c r="AJ180" s="470">
        <f>IF($AC$180="","",IFERROR(INDEX($BA$74:$BA$119,MATCH($AH$180,$AY$74:$AY$119,0)),1))</f>
        <v>1</v>
      </c>
      <c r="AK180" s="470">
        <f t="shared" ref="AK180:AK214" si="42">IF(OR(AG180="",AJ180=""),"",AG180*AJ180)</f>
        <v>4</v>
      </c>
      <c r="AL180" s="469" t="str">
        <f>IF($AC$180="","",IFERROR(INDEX($BB$74:$BB$119,MATCH($AH$180,$AY$74:$AY$119,0)),$AH$180))</f>
        <v>kg</v>
      </c>
      <c r="AM180" s="471" t="str">
        <f t="shared" ref="AM180:AM214" si="43">IF($AC180="","",IF($AH180="QT. SUFFISANTE","OK",IF($AG180="","TEXTE",IF(NOT(ISNUMBER($AG180)),"QUANTITÉ À CONTRÔLER",IF(COUNTIF($AY$74:$AY$119,$AH180)=0,"UNITÉ À CONTRÔLER","OK")))))</f>
        <v>OK</v>
      </c>
      <c r="AN180" s="474">
        <f t="shared" ref="AN180:AN214" si="44">IF($AE180&lt;&gt;"",$AE180,IF($AD180="","",IF(ISNUMBER($AD180),$AD180,IF($AO180="QT",0,IF($AO180="","",IFERROR(IF(ISNUMBER(SEARCH("/",$AO180)),VALUE(TRIM(LEFT($AO180,SEARCH("/",$AO180)-1)))/VALUE(TRIM(MID($AO180,SEARCH("/",$AO180)+1,99))),VALUE(SUBSTITUTE($AO180,".",","))),""))))))</f>
        <v>4</v>
      </c>
      <c r="AO180" s="473" t="str">
        <f t="shared" ref="AO180:AO214" si="45">IF($AD180="","",IF(ISNUMBER($AD180),$AD180,IF(OR(LEFT($AQ180,3)="QT.",LEFT($AQ180,4)="QUAN"),"QT",IF($AR180=999,$AQ180,TRIM(LEFT($AQ180,$AR180-1))))))</f>
        <v/>
      </c>
      <c r="AP180" s="473" t="str">
        <f t="shared" ref="AP180:AP214" si="46">IF($AD180="","",IF(ISNUMBER($AD180),"",IF(OR(LEFT($AQ180,3)="QT.",LEFT($AQ180,4)="QUAN"),"QT. SUFFISANTE",IF($AO180="","",TRIM(MID($AQ180,LEN($AO180&amp;"")+1,999))))))</f>
        <v/>
      </c>
      <c r="AQ180" s="473" t="str">
        <f t="shared" ref="AQ180:AQ214" si="47">IF($AD180="","",UPPER(TRIM(SUBSTITUTE(SUBSTITUTE($AD180&amp;"",CHAR(160)," ")," "," "))))</f>
        <v/>
      </c>
      <c r="AR180" s="473" t="str">
        <f t="shared" ref="AR180:AR214" si="48">IF($AQ180="","",MIN($AS180,$AT180,$AU180))</f>
        <v/>
      </c>
      <c r="AS180" s="473" t="str">
        <f t="shared" ref="AS180:AS214" si="49">IF($AQ180="","",MIN(IFERROR(SEARCH("A",$AQ180),999),IFERROR(SEARCH("B",$AQ180),999),IFERROR(SEARCH("C",$AQ180),999),IFERROR(SEARCH("D",$AQ180),999),IFERROR(SEARCH("E",$AQ180),999),IFERROR(SEARCH("F",$AQ180),999),IFERROR(SEARCH("G",$AQ180),999),IFERROR(SEARCH("H",$AQ180),999),IFERROR(SEARCH("I",$AQ180),999)))</f>
        <v/>
      </c>
      <c r="AT180" s="473" t="str">
        <f t="shared" ref="AT180:AT214" si="50">IF($AQ180="","",MIN(IFERROR(SEARCH("J",$AQ180),999),IFERROR(SEARCH("K",$AQ180),999),IFERROR(SEARCH("L",$AQ180),999),IFERROR(SEARCH("M",$AQ180),999),IFERROR(SEARCH("N",$AQ180),999),IFERROR(SEARCH("O",$AQ180),999),IFERROR(SEARCH("P",$AQ180),999),IFERROR(SEARCH("Q",$AQ180),999),IFERROR(SEARCH("R",$AQ180),999)))</f>
        <v/>
      </c>
      <c r="AU180" s="473" t="str">
        <f t="shared" ref="AU180:AU214" si="51">IF($AQ180="","",MIN(IFERROR(SEARCH("S",$AQ180),999),IFERROR(SEARCH("T",$AQ180),999),IFERROR(SEARCH("U",$AQ180),999),IFERROR(SEARCH("V",$AQ180),999),IFERROR(SEARCH("W",$AQ180),999),IFERROR(SEARCH("X",$AQ180),999),IFERROR(SEARCH("Y",$AQ180),999),IFERROR(SEARCH("Z",$AQ180),999)))</f>
        <v/>
      </c>
      <c r="AZ180" s="31" t="s">
        <v>211</v>
      </c>
      <c r="BA180" s="490"/>
      <c r="BB180" s="499"/>
      <c r="BC180" s="271"/>
      <c r="BD180" s="279">
        <v>1</v>
      </c>
      <c r="BE180" s="271"/>
      <c r="BF180" s="271"/>
      <c r="BG180" s="271"/>
      <c r="BH180" s="271"/>
      <c r="BI180" s="271"/>
      <c r="BJ180" s="271"/>
      <c r="BK180" s="271"/>
      <c r="BL180" s="271"/>
    </row>
    <row r="181" spans="18:64" ht="21" customHeight="1" x14ac:dyDescent="0.25">
      <c r="R181" s="34" t="s">
        <v>6120</v>
      </c>
      <c r="S181" s="451"/>
      <c r="T181" s="31" t="s">
        <v>16</v>
      </c>
      <c r="V181" s="475">
        <f>$V$180</f>
        <v>4</v>
      </c>
      <c r="W181" s="475" t="str">
        <f>IF($AC$181="","",$W$180)</f>
        <v>N° 37</v>
      </c>
      <c r="X181" s="476" t="str">
        <f>IF($AC$181="","",$X$180)</f>
        <v>PANINI ALLA GRIGLIA</v>
      </c>
      <c r="Y181" s="477">
        <f>IF($X$181="","",$Y$180)</f>
        <v>54</v>
      </c>
      <c r="Z181" s="477">
        <f>IF($X$181="","",$Z$180)</f>
        <v>100</v>
      </c>
      <c r="AA181" s="477">
        <f>IF($AC$181="","",ROW($A$181)-ROW($A$180))</f>
        <v>1</v>
      </c>
      <c r="AB181" s="478"/>
      <c r="AC181" s="34" t="s">
        <v>231</v>
      </c>
      <c r="AD181" s="356"/>
      <c r="AE181" s="18">
        <v>10</v>
      </c>
      <c r="AF181" s="11" t="s">
        <v>7</v>
      </c>
      <c r="AG181" s="480">
        <f t="shared" si="40"/>
        <v>10</v>
      </c>
      <c r="AH181" s="481" t="str">
        <f t="shared" si="41"/>
        <v>KG</v>
      </c>
      <c r="AI181" s="477" t="str">
        <f>IF($AC$181="","",IFERROR(INDEX($AZ$74:$AZ$119,MATCH($AH$181,$AY$74:$AY$119,0)),"AUTRE"))</f>
        <v>MASSE</v>
      </c>
      <c r="AJ181" s="482">
        <f>IF($AC$181="","",IFERROR(INDEX($BA$74:$BA$119,MATCH($AH$181,$AY$74:$AY$119,0)),1))</f>
        <v>1</v>
      </c>
      <c r="AK181" s="482">
        <f t="shared" si="42"/>
        <v>10</v>
      </c>
      <c r="AL181" s="477" t="str">
        <f>IF($AC$181="","",IFERROR(INDEX($BB$74:$BB$119,MATCH($AH$181,$AY$74:$AY$119,0)),$AH$181))</f>
        <v>kg</v>
      </c>
      <c r="AM181" s="483" t="str">
        <f t="shared" si="43"/>
        <v>OK</v>
      </c>
      <c r="AN181" s="484">
        <f t="shared" si="44"/>
        <v>10</v>
      </c>
      <c r="AO181" s="473" t="str">
        <f t="shared" si="45"/>
        <v/>
      </c>
      <c r="AP181" s="473" t="str">
        <f t="shared" si="46"/>
        <v/>
      </c>
      <c r="AQ181" s="473" t="str">
        <f t="shared" si="47"/>
        <v/>
      </c>
      <c r="AR181" s="473" t="str">
        <f t="shared" si="48"/>
        <v/>
      </c>
      <c r="AS181" s="473" t="str">
        <f t="shared" si="49"/>
        <v/>
      </c>
      <c r="AT181" s="473" t="str">
        <f t="shared" si="50"/>
        <v/>
      </c>
      <c r="AU181" s="473" t="str">
        <f t="shared" si="51"/>
        <v/>
      </c>
      <c r="AZ181" s="31" t="s">
        <v>20</v>
      </c>
      <c r="BA181" s="25" t="s">
        <v>6119</v>
      </c>
      <c r="BB181" s="499"/>
      <c r="BC181" s="271"/>
      <c r="BD181" s="279">
        <v>1</v>
      </c>
      <c r="BE181" s="271"/>
      <c r="BF181" s="271"/>
      <c r="BG181" s="271"/>
      <c r="BH181" s="271"/>
      <c r="BI181" s="271"/>
      <c r="BJ181" s="271"/>
      <c r="BK181" s="271"/>
      <c r="BL181" s="271"/>
    </row>
    <row r="182" spans="18:64" ht="21" customHeight="1" x14ac:dyDescent="0.25">
      <c r="R182" s="34" t="s">
        <v>6121</v>
      </c>
      <c r="S182" s="451"/>
      <c r="T182" s="31" t="s">
        <v>17</v>
      </c>
      <c r="V182" s="475">
        <v>4</v>
      </c>
      <c r="W182" s="475" t="str">
        <f>IF($AC$182="","",$W$180)</f>
        <v>N° 37</v>
      </c>
      <c r="X182" s="476" t="str">
        <f>IF($AC$182="","",$X$180)</f>
        <v>PANINI ALLA GRIGLIA</v>
      </c>
      <c r="Y182" s="477">
        <f>IF($X$182="","",$Y$180)</f>
        <v>54</v>
      </c>
      <c r="Z182" s="477">
        <f>IF($X$182="","",$Z$180)</f>
        <v>100</v>
      </c>
      <c r="AA182" s="477">
        <f>IF($AC$182="","",ROW($A$182)-ROW($A$180))</f>
        <v>2</v>
      </c>
      <c r="AB182" s="478"/>
      <c r="AC182" s="34" t="s">
        <v>364</v>
      </c>
      <c r="AD182" s="356"/>
      <c r="AE182" s="18">
        <v>3</v>
      </c>
      <c r="AF182" s="11" t="s">
        <v>7</v>
      </c>
      <c r="AG182" s="480">
        <f t="shared" si="40"/>
        <v>3</v>
      </c>
      <c r="AH182" s="481" t="str">
        <f t="shared" si="41"/>
        <v>KG</v>
      </c>
      <c r="AI182" s="477" t="str">
        <f>IF($AC$182="","",IFERROR(INDEX($AZ$74:$AZ$119,MATCH($AH$182,$AY$74:$AY$119,0)),"AUTRE"))</f>
        <v>MASSE</v>
      </c>
      <c r="AJ182" s="482">
        <f>IF($AC$182="","",IFERROR(INDEX($BA$74:$BA$119,MATCH($AH$182,$AY$74:$AY$119,0)),1))</f>
        <v>1</v>
      </c>
      <c r="AK182" s="482">
        <f t="shared" si="42"/>
        <v>3</v>
      </c>
      <c r="AL182" s="477" t="str">
        <f>IF($AC$182="","",IFERROR(INDEX($BB$74:$BB$119,MATCH($AH$182,$AY$74:$AY$119,0)),$AH$182))</f>
        <v>kg</v>
      </c>
      <c r="AM182" s="483" t="str">
        <f t="shared" si="43"/>
        <v>OK</v>
      </c>
      <c r="AN182" s="484">
        <f t="shared" si="44"/>
        <v>3</v>
      </c>
      <c r="AO182" s="473" t="str">
        <f t="shared" si="45"/>
        <v/>
      </c>
      <c r="AP182" s="473" t="str">
        <f t="shared" si="46"/>
        <v/>
      </c>
      <c r="AQ182" s="473" t="str">
        <f t="shared" si="47"/>
        <v/>
      </c>
      <c r="AR182" s="473" t="str">
        <f t="shared" si="48"/>
        <v/>
      </c>
      <c r="AS182" s="473" t="str">
        <f t="shared" si="49"/>
        <v/>
      </c>
      <c r="AT182" s="473" t="str">
        <f t="shared" si="50"/>
        <v/>
      </c>
      <c r="AU182" s="473" t="str">
        <f t="shared" si="51"/>
        <v/>
      </c>
      <c r="AZ182" s="31" t="s">
        <v>304</v>
      </c>
      <c r="BA182" s="34" t="s">
        <v>6120</v>
      </c>
      <c r="BB182" s="499"/>
      <c r="BC182" s="271"/>
      <c r="BD182" s="279">
        <v>1</v>
      </c>
      <c r="BE182" s="271"/>
      <c r="BF182" s="271"/>
      <c r="BG182" s="271"/>
      <c r="BH182" s="271"/>
      <c r="BI182" s="271"/>
      <c r="BJ182" s="271"/>
      <c r="BK182" s="271"/>
      <c r="BL182" s="271"/>
    </row>
    <row r="183" spans="18:64" ht="21" customHeight="1" x14ac:dyDescent="0.25">
      <c r="R183" s="34" t="s">
        <v>6122</v>
      </c>
      <c r="S183" s="451"/>
      <c r="T183" s="31" t="s">
        <v>18</v>
      </c>
      <c r="V183" s="475">
        <v>4</v>
      </c>
      <c r="W183" s="475" t="str">
        <f>IF($AC$183="","",$W$180)</f>
        <v>N° 37</v>
      </c>
      <c r="X183" s="476" t="str">
        <f>IF($AC$183="","",$X$180)</f>
        <v>PANINI ALLA GRIGLIA</v>
      </c>
      <c r="Y183" s="477">
        <f>IF($X$183="","",$Y$180)</f>
        <v>54</v>
      </c>
      <c r="Z183" s="477">
        <f>IF($X$183="","",$Z$180)</f>
        <v>100</v>
      </c>
      <c r="AA183" s="477">
        <f>IF($AC$183="","",ROW($A$183)-ROW($A$180))</f>
        <v>3</v>
      </c>
      <c r="AB183" s="478"/>
      <c r="AC183" s="34" t="s">
        <v>42</v>
      </c>
      <c r="AD183" s="356"/>
      <c r="AE183" s="18">
        <v>1</v>
      </c>
      <c r="AF183" s="22" t="s">
        <v>16</v>
      </c>
      <c r="AG183" s="480">
        <f t="shared" si="40"/>
        <v>1</v>
      </c>
      <c r="AH183" s="481" t="str">
        <f t="shared" si="41"/>
        <v>DEMI/L</v>
      </c>
      <c r="AI183" s="477" t="str">
        <f>IF($AC$183="","",IFERROR(INDEX($AZ$74:$AZ$119,MATCH($AH$183,$AY$74:$AY$119,0)),"AUTRE"))</f>
        <v>VOLUME</v>
      </c>
      <c r="AJ183" s="482">
        <f>IF($AC$183="","",IFERROR(INDEX($BA$74:$BA$119,MATCH($AH$183,$AY$74:$AY$119,0)),1))</f>
        <v>0.5</v>
      </c>
      <c r="AK183" s="482">
        <f t="shared" si="42"/>
        <v>0.5</v>
      </c>
      <c r="AL183" s="477" t="str">
        <f>IF($AC$183="","",IFERROR(INDEX($BB$74:$BB$119,MATCH($AH$183,$AY$74:$AY$119,0)),$AH$183))</f>
        <v>L</v>
      </c>
      <c r="AM183" s="483" t="str">
        <f t="shared" si="43"/>
        <v>OK</v>
      </c>
      <c r="AN183" s="484">
        <f t="shared" si="44"/>
        <v>1</v>
      </c>
      <c r="AO183" s="473" t="str">
        <f t="shared" si="45"/>
        <v/>
      </c>
      <c r="AP183" s="473" t="str">
        <f t="shared" si="46"/>
        <v/>
      </c>
      <c r="AQ183" s="473" t="str">
        <f t="shared" si="47"/>
        <v/>
      </c>
      <c r="AR183" s="473" t="str">
        <f t="shared" si="48"/>
        <v/>
      </c>
      <c r="AS183" s="473" t="str">
        <f t="shared" si="49"/>
        <v/>
      </c>
      <c r="AT183" s="473" t="str">
        <f t="shared" si="50"/>
        <v/>
      </c>
      <c r="AU183" s="473" t="str">
        <f t="shared" si="51"/>
        <v/>
      </c>
      <c r="AZ183" s="31" t="s">
        <v>352</v>
      </c>
      <c r="BA183" s="34" t="s">
        <v>6121</v>
      </c>
      <c r="BB183" s="499"/>
      <c r="BC183" s="271"/>
      <c r="BD183" s="279">
        <v>1</v>
      </c>
      <c r="BE183" s="271"/>
      <c r="BF183" s="271"/>
      <c r="BG183" s="271"/>
      <c r="BH183" s="271"/>
      <c r="BI183" s="271"/>
      <c r="BJ183" s="271"/>
      <c r="BK183" s="271"/>
      <c r="BL183" s="271"/>
    </row>
    <row r="184" spans="18:64" ht="21" customHeight="1" x14ac:dyDescent="0.25">
      <c r="R184" s="34" t="s">
        <v>6123</v>
      </c>
      <c r="S184" s="451"/>
      <c r="T184" s="31" t="s">
        <v>19</v>
      </c>
      <c r="V184" s="475">
        <v>4</v>
      </c>
      <c r="W184" s="475" t="str">
        <f>IF($AC$184="","",$W$180)</f>
        <v>N° 37</v>
      </c>
      <c r="X184" s="476" t="str">
        <f>IF($AC$184="","",$X$180)</f>
        <v>PANINI ALLA GRIGLIA</v>
      </c>
      <c r="Y184" s="477">
        <f>IF($X$184="","",$Y$180)</f>
        <v>54</v>
      </c>
      <c r="Z184" s="477">
        <f>IF($X$184="","",$Z$180)</f>
        <v>100</v>
      </c>
      <c r="AA184" s="477">
        <f>IF($AC$184="","",ROW($A$184)-ROW($A$180))</f>
        <v>4</v>
      </c>
      <c r="AB184" s="478"/>
      <c r="AC184" s="34" t="s">
        <v>151</v>
      </c>
      <c r="AD184" s="356"/>
      <c r="AE184" s="23" t="s">
        <v>33</v>
      </c>
      <c r="AF184" s="19"/>
      <c r="AG184" s="480" t="str">
        <f t="shared" si="40"/>
        <v>QT. SUFFISANTE</v>
      </c>
      <c r="AH184" s="481" t="str">
        <f t="shared" si="41"/>
        <v/>
      </c>
      <c r="AI184" s="477" t="str">
        <f>IF($AC$184="","",IFERROR(INDEX($AZ$74:$AZ$119,MATCH($AH$184,$AY$74:$AY$119,0)),"AUTRE"))</f>
        <v>AUTRE</v>
      </c>
      <c r="AJ184" s="482">
        <f>IF($AC$184="","",IFERROR(INDEX($BA$74:$BA$119,MATCH($AH$184,$AY$74:$AY$119,0)),1))</f>
        <v>1</v>
      </c>
      <c r="AK184" s="482" t="e">
        <f t="shared" si="42"/>
        <v>#VALUE!</v>
      </c>
      <c r="AL184" s="477" t="str">
        <f>IF($AC$184="","",IFERROR(INDEX($BB$74:$BB$119,MATCH($AH$184,$AY$74:$AY$119,0)),$AH$184))</f>
        <v/>
      </c>
      <c r="AM184" s="483" t="str">
        <f t="shared" si="43"/>
        <v>QUANTITÉ À CONTRÔLER</v>
      </c>
      <c r="AN184" s="484" t="str">
        <f t="shared" si="44"/>
        <v>QT. SUFFISANTE</v>
      </c>
      <c r="AO184" s="473" t="str">
        <f t="shared" si="45"/>
        <v/>
      </c>
      <c r="AP184" s="473" t="str">
        <f t="shared" si="46"/>
        <v/>
      </c>
      <c r="AQ184" s="473" t="str">
        <f t="shared" si="47"/>
        <v/>
      </c>
      <c r="AR184" s="473" t="str">
        <f t="shared" si="48"/>
        <v/>
      </c>
      <c r="AS184" s="473" t="str">
        <f t="shared" si="49"/>
        <v/>
      </c>
      <c r="AT184" s="473" t="str">
        <f t="shared" si="50"/>
        <v/>
      </c>
      <c r="AU184" s="473" t="str">
        <f t="shared" si="51"/>
        <v/>
      </c>
      <c r="AZ184" s="31" t="s">
        <v>27</v>
      </c>
      <c r="BA184" s="34" t="s">
        <v>6122</v>
      </c>
      <c r="BB184" s="499"/>
      <c r="BC184" s="271"/>
      <c r="BD184" s="279">
        <v>1</v>
      </c>
      <c r="BE184" s="271"/>
      <c r="BF184" s="271"/>
      <c r="BG184" s="271"/>
      <c r="BH184" s="271"/>
      <c r="BI184" s="271"/>
      <c r="BJ184" s="271"/>
      <c r="BK184" s="271"/>
      <c r="BL184" s="271"/>
    </row>
    <row r="185" spans="18:64" ht="21" customHeight="1" x14ac:dyDescent="0.25">
      <c r="R185" s="34" t="s">
        <v>6124</v>
      </c>
      <c r="S185" s="451"/>
      <c r="T185" s="31" t="s">
        <v>211</v>
      </c>
      <c r="V185" s="475">
        <v>4</v>
      </c>
      <c r="W185" s="475" t="str">
        <f>IF($AC$185="","",$W$180)</f>
        <v>N° 37</v>
      </c>
      <c r="X185" s="476" t="str">
        <f>IF($AC$185="","",$X$180)</f>
        <v>PANINI ALLA GRIGLIA</v>
      </c>
      <c r="Y185" s="477">
        <f>IF($X$185="","",$Y$180)</f>
        <v>54</v>
      </c>
      <c r="Z185" s="477">
        <f>IF($X$185="","",$Z$180)</f>
        <v>100</v>
      </c>
      <c r="AA185" s="477">
        <f>IF($AC$185="","",ROW($A$185)-ROW($A$180))</f>
        <v>5</v>
      </c>
      <c r="AB185" s="478"/>
      <c r="AC185" s="34" t="s">
        <v>48</v>
      </c>
      <c r="AD185" s="356"/>
      <c r="AE185" s="18">
        <v>75</v>
      </c>
      <c r="AF185" s="16" t="s">
        <v>8</v>
      </c>
      <c r="AG185" s="480">
        <f t="shared" si="40"/>
        <v>75</v>
      </c>
      <c r="AH185" s="481" t="str">
        <f t="shared" si="41"/>
        <v>G</v>
      </c>
      <c r="AI185" s="477" t="str">
        <f>IF($AC$185="","",IFERROR(INDEX($AZ$74:$AZ$119,MATCH($AH$185,$AY$74:$AY$119,0)),"AUTRE"))</f>
        <v>MASSE</v>
      </c>
      <c r="AJ185" s="482">
        <f>IF($AC$185="","",IFERROR(INDEX($BA$74:$BA$119,MATCH($AH$185,$AY$74:$AY$119,0)),1))</f>
        <v>1E-3</v>
      </c>
      <c r="AK185" s="482">
        <f t="shared" si="42"/>
        <v>7.4999999999999997E-2</v>
      </c>
      <c r="AL185" s="477" t="str">
        <f>IF($AC$185="","",IFERROR(INDEX($BB$74:$BB$119,MATCH($AH$185,$AY$74:$AY$119,0)),$AH$185))</f>
        <v>kg</v>
      </c>
      <c r="AM185" s="483" t="str">
        <f t="shared" si="43"/>
        <v>OK</v>
      </c>
      <c r="AN185" s="484">
        <f t="shared" si="44"/>
        <v>75</v>
      </c>
      <c r="AO185" s="473" t="str">
        <f t="shared" si="45"/>
        <v/>
      </c>
      <c r="AP185" s="473" t="str">
        <f t="shared" si="46"/>
        <v/>
      </c>
      <c r="AQ185" s="473" t="str">
        <f t="shared" si="47"/>
        <v/>
      </c>
      <c r="AR185" s="473" t="str">
        <f t="shared" si="48"/>
        <v/>
      </c>
      <c r="AS185" s="473" t="str">
        <f t="shared" si="49"/>
        <v/>
      </c>
      <c r="AT185" s="473" t="str">
        <f t="shared" si="50"/>
        <v/>
      </c>
      <c r="AU185" s="473" t="str">
        <f t="shared" si="51"/>
        <v/>
      </c>
      <c r="AZ185" s="31" t="s">
        <v>28</v>
      </c>
      <c r="BA185" s="34" t="s">
        <v>6123</v>
      </c>
      <c r="BB185" s="499"/>
      <c r="BC185" s="271"/>
      <c r="BD185" s="279">
        <v>1</v>
      </c>
      <c r="BE185" s="271"/>
      <c r="BF185" s="271"/>
      <c r="BG185" s="271"/>
      <c r="BH185" s="271"/>
      <c r="BI185" s="271"/>
      <c r="BJ185" s="271"/>
      <c r="BK185" s="271"/>
      <c r="BL185" s="271"/>
    </row>
    <row r="186" spans="18:64" ht="21" customHeight="1" x14ac:dyDescent="0.25">
      <c r="R186" s="34" t="s">
        <v>6125</v>
      </c>
      <c r="S186" s="451"/>
      <c r="T186" s="31" t="s">
        <v>20</v>
      </c>
      <c r="V186" s="475">
        <v>4</v>
      </c>
      <c r="W186" s="475" t="str">
        <f>IF($AC$186="","",$W$180)</f>
        <v>N° 37</v>
      </c>
      <c r="X186" s="476" t="str">
        <f>IF($AC$186="","",$X$180)</f>
        <v>PANINI ALLA GRIGLIA</v>
      </c>
      <c r="Y186" s="477">
        <f>IF($X$186="","",$Y$180)</f>
        <v>54</v>
      </c>
      <c r="Z186" s="477">
        <f>IF($X$186="","",$Z$180)</f>
        <v>100</v>
      </c>
      <c r="AA186" s="477">
        <f>IF($AC$186="","",ROW($A$186)-ROW($A$180))</f>
        <v>6</v>
      </c>
      <c r="AB186" s="478"/>
      <c r="AC186" s="34" t="s">
        <v>60</v>
      </c>
      <c r="AD186" s="356"/>
      <c r="AE186" s="23" t="s">
        <v>33</v>
      </c>
      <c r="AF186" s="19"/>
      <c r="AG186" s="480" t="str">
        <f t="shared" si="40"/>
        <v>QT. SUFFISANTE</v>
      </c>
      <c r="AH186" s="481" t="str">
        <f t="shared" si="41"/>
        <v/>
      </c>
      <c r="AI186" s="477" t="str">
        <f>IF($AC$186="","",IFERROR(INDEX($AZ$74:$AZ$119,MATCH($AH$186,$AY$74:$AY$119,0)),"AUTRE"))</f>
        <v>AUTRE</v>
      </c>
      <c r="AJ186" s="482">
        <f>IF($AC$186="","",IFERROR(INDEX($BA$74:$BA$119,MATCH($AH$186,$AY$74:$AY$119,0)),1))</f>
        <v>1</v>
      </c>
      <c r="AK186" s="482" t="e">
        <f t="shared" si="42"/>
        <v>#VALUE!</v>
      </c>
      <c r="AL186" s="477" t="str">
        <f>IF($AC$186="","",IFERROR(INDEX($BB$74:$BB$119,MATCH($AH$186,$AY$74:$AY$119,0)),$AH$186))</f>
        <v/>
      </c>
      <c r="AM186" s="483" t="str">
        <f t="shared" si="43"/>
        <v>QUANTITÉ À CONTRÔLER</v>
      </c>
      <c r="AN186" s="484" t="str">
        <f t="shared" si="44"/>
        <v>QT. SUFFISANTE</v>
      </c>
      <c r="AO186" s="473" t="str">
        <f t="shared" si="45"/>
        <v/>
      </c>
      <c r="AP186" s="473" t="str">
        <f t="shared" si="46"/>
        <v/>
      </c>
      <c r="AQ186" s="473" t="str">
        <f t="shared" si="47"/>
        <v/>
      </c>
      <c r="AR186" s="473" t="str">
        <f t="shared" si="48"/>
        <v/>
      </c>
      <c r="AS186" s="473" t="str">
        <f t="shared" si="49"/>
        <v/>
      </c>
      <c r="AT186" s="473" t="str">
        <f t="shared" si="50"/>
        <v/>
      </c>
      <c r="AU186" s="473" t="str">
        <f t="shared" si="51"/>
        <v/>
      </c>
      <c r="AZ186" s="31" t="s">
        <v>29</v>
      </c>
      <c r="BA186" s="34" t="s">
        <v>6124</v>
      </c>
      <c r="BB186" s="499"/>
      <c r="BC186" s="271"/>
      <c r="BD186" s="279">
        <v>1</v>
      </c>
      <c r="BE186" s="271"/>
      <c r="BF186" s="271"/>
      <c r="BG186" s="271"/>
      <c r="BH186" s="271"/>
      <c r="BI186" s="271"/>
      <c r="BJ186" s="271"/>
      <c r="BK186" s="271"/>
      <c r="BL186" s="271"/>
    </row>
    <row r="187" spans="18:64" ht="21" customHeight="1" x14ac:dyDescent="0.25">
      <c r="R187" s="34" t="s">
        <v>6126</v>
      </c>
      <c r="S187" s="451"/>
      <c r="T187" s="31" t="s">
        <v>304</v>
      </c>
      <c r="V187" s="475">
        <v>4</v>
      </c>
      <c r="W187" s="475" t="str">
        <f>IF($AC$187="","",$W$180)</f>
        <v/>
      </c>
      <c r="X187" s="476" t="str">
        <f>IF($AC$187="","",$X$180)</f>
        <v/>
      </c>
      <c r="Y187" s="477" t="str">
        <f>IF($X$187="","",$Y$180)</f>
        <v/>
      </c>
      <c r="Z187" s="477" t="str">
        <f>IF($X$187="","",$Z$180)</f>
        <v/>
      </c>
      <c r="AA187" s="477" t="str">
        <f>IF($AC$187="","",ROW($A$187)-ROW($A$180))</f>
        <v/>
      </c>
      <c r="AB187" s="478"/>
      <c r="AC187" s="34"/>
      <c r="AD187" s="356"/>
      <c r="AE187" s="18"/>
      <c r="AF187" s="19"/>
      <c r="AG187" s="480" t="str">
        <f t="shared" si="40"/>
        <v/>
      </c>
      <c r="AH187" s="481" t="str">
        <f t="shared" si="41"/>
        <v/>
      </c>
      <c r="AI187" s="477" t="str">
        <f>IF($AC$187="","",IFERROR(INDEX($AZ$74:$AZ$119,MATCH($AH$187,$AY$74:$AY$119,0)),"AUTRE"))</f>
        <v/>
      </c>
      <c r="AJ187" s="482" t="str">
        <f>IF($AC$187="","",IFERROR(INDEX($BA$74:$BA$119,MATCH($AH$187,$AY$74:$AY$119,0)),1))</f>
        <v/>
      </c>
      <c r="AK187" s="482" t="str">
        <f t="shared" si="42"/>
        <v/>
      </c>
      <c r="AL187" s="477" t="str">
        <f>IF($AC$187="","",IFERROR(INDEX($BB$74:$BB$119,MATCH($AH$187,$AY$74:$AY$119,0)),$AH$187))</f>
        <v/>
      </c>
      <c r="AM187" s="483" t="str">
        <f t="shared" si="43"/>
        <v/>
      </c>
      <c r="AN187" s="484" t="str">
        <f t="shared" si="44"/>
        <v/>
      </c>
      <c r="AO187" s="473" t="str">
        <f t="shared" si="45"/>
        <v/>
      </c>
      <c r="AP187" s="473" t="str">
        <f t="shared" si="46"/>
        <v/>
      </c>
      <c r="AQ187" s="473" t="str">
        <f t="shared" si="47"/>
        <v/>
      </c>
      <c r="AR187" s="473" t="str">
        <f t="shared" si="48"/>
        <v/>
      </c>
      <c r="AS187" s="473" t="str">
        <f t="shared" si="49"/>
        <v/>
      </c>
      <c r="AT187" s="473" t="str">
        <f t="shared" si="50"/>
        <v/>
      </c>
      <c r="AU187" s="473" t="str">
        <f t="shared" si="51"/>
        <v/>
      </c>
      <c r="AZ187" s="31" t="s">
        <v>30</v>
      </c>
      <c r="BA187" s="34" t="s">
        <v>6125</v>
      </c>
      <c r="BB187" s="499"/>
      <c r="BC187" s="271"/>
      <c r="BD187" s="279">
        <v>1</v>
      </c>
      <c r="BE187" s="271"/>
      <c r="BF187" s="271"/>
      <c r="BG187" s="271"/>
      <c r="BH187" s="271"/>
      <c r="BI187" s="271"/>
      <c r="BJ187" s="271"/>
      <c r="BK187" s="271"/>
      <c r="BL187" s="271"/>
    </row>
    <row r="188" spans="18:64" ht="21" customHeight="1" x14ac:dyDescent="0.25">
      <c r="R188" s="34" t="s">
        <v>6127</v>
      </c>
      <c r="S188" s="451"/>
      <c r="T188" s="31" t="s">
        <v>352</v>
      </c>
      <c r="V188" s="475">
        <v>4</v>
      </c>
      <c r="W188" s="475" t="str">
        <f>IF($AC$188="","",$W$180)</f>
        <v/>
      </c>
      <c r="X188" s="476" t="str">
        <f>IF($AC$188="","",$X$180)</f>
        <v/>
      </c>
      <c r="Y188" s="477" t="str">
        <f>IF($X$188="","",$Y$180)</f>
        <v/>
      </c>
      <c r="Z188" s="477" t="str">
        <f>IF($X$188="","",$Z$180)</f>
        <v/>
      </c>
      <c r="AA188" s="477" t="str">
        <f>IF($AC$188="","",ROW($A$188)-ROW($A$180))</f>
        <v/>
      </c>
      <c r="AB188" s="478"/>
      <c r="AC188" s="34"/>
      <c r="AD188" s="356"/>
      <c r="AE188" s="18"/>
      <c r="AF188" s="19"/>
      <c r="AG188" s="480" t="str">
        <f t="shared" si="40"/>
        <v/>
      </c>
      <c r="AH188" s="481" t="str">
        <f t="shared" si="41"/>
        <v/>
      </c>
      <c r="AI188" s="477" t="str">
        <f>IF($AC$188="","",IFERROR(INDEX($AZ$74:$AZ$119,MATCH($AH$188,$AY$74:$AY$119,0)),"AUTRE"))</f>
        <v/>
      </c>
      <c r="AJ188" s="482" t="str">
        <f>IF($AC$188="","",IFERROR(INDEX($BA$74:$BA$119,MATCH($AH$188,$AY$74:$AY$119,0)),1))</f>
        <v/>
      </c>
      <c r="AK188" s="482" t="str">
        <f t="shared" si="42"/>
        <v/>
      </c>
      <c r="AL188" s="477" t="str">
        <f>IF($AC$188="","",IFERROR(INDEX($BB$74:$BB$119,MATCH($AH$188,$AY$74:$AY$119,0)),$AH$188))</f>
        <v/>
      </c>
      <c r="AM188" s="483" t="str">
        <f t="shared" si="43"/>
        <v/>
      </c>
      <c r="AN188" s="484" t="str">
        <f t="shared" si="44"/>
        <v/>
      </c>
      <c r="AO188" s="473" t="str">
        <f t="shared" si="45"/>
        <v/>
      </c>
      <c r="AP188" s="473" t="str">
        <f t="shared" si="46"/>
        <v/>
      </c>
      <c r="AQ188" s="473" t="str">
        <f t="shared" si="47"/>
        <v/>
      </c>
      <c r="AR188" s="473" t="str">
        <f t="shared" si="48"/>
        <v/>
      </c>
      <c r="AS188" s="473" t="str">
        <f t="shared" si="49"/>
        <v/>
      </c>
      <c r="AT188" s="473" t="str">
        <f t="shared" si="50"/>
        <v/>
      </c>
      <c r="AU188" s="473" t="str">
        <f t="shared" si="51"/>
        <v/>
      </c>
      <c r="AZ188" s="32" t="s">
        <v>33</v>
      </c>
      <c r="BA188" s="34" t="s">
        <v>6126</v>
      </c>
      <c r="BB188" s="499"/>
      <c r="BC188" s="271"/>
      <c r="BD188" s="279">
        <v>1</v>
      </c>
      <c r="BE188" s="271"/>
      <c r="BF188" s="271"/>
      <c r="BG188" s="271"/>
      <c r="BH188" s="271"/>
      <c r="BI188" s="271"/>
      <c r="BJ188" s="271"/>
      <c r="BK188" s="271"/>
      <c r="BL188" s="271"/>
    </row>
    <row r="189" spans="18:64" ht="21" customHeight="1" x14ac:dyDescent="0.25">
      <c r="R189" s="25" t="s">
        <v>6128</v>
      </c>
      <c r="S189" s="451"/>
      <c r="T189" s="31" t="s">
        <v>25</v>
      </c>
      <c r="V189" s="475">
        <v>4</v>
      </c>
      <c r="W189" s="475" t="str">
        <f>IF($AC$189="","",$W$180)</f>
        <v/>
      </c>
      <c r="X189" s="476" t="str">
        <f>IF($AC$189="","",$X$180)</f>
        <v/>
      </c>
      <c r="Y189" s="477" t="str">
        <f>IF($X$189="","",$Y$180)</f>
        <v/>
      </c>
      <c r="Z189" s="477" t="str">
        <f>IF($X$189="","",$Z$180)</f>
        <v/>
      </c>
      <c r="AA189" s="477" t="str">
        <f>IF($AC$189="","",ROW($A$189)-ROW($A$180))</f>
        <v/>
      </c>
      <c r="AB189" s="478"/>
      <c r="AC189" s="34"/>
      <c r="AD189" s="356"/>
      <c r="AE189" s="18"/>
      <c r="AF189" s="19"/>
      <c r="AG189" s="480" t="str">
        <f t="shared" si="40"/>
        <v/>
      </c>
      <c r="AH189" s="481" t="str">
        <f t="shared" si="41"/>
        <v/>
      </c>
      <c r="AI189" s="477" t="str">
        <f>IF($AC$189="","",IFERROR(INDEX($AZ$74:$AZ$119,MATCH($AH$189,$AY$74:$AY$119,0)),"AUTRE"))</f>
        <v/>
      </c>
      <c r="AJ189" s="482" t="str">
        <f>IF($AC$189="","",IFERROR(INDEX($BA$74:$BA$119,MATCH($AH$189,$AY$74:$AY$119,0)),1))</f>
        <v/>
      </c>
      <c r="AK189" s="482" t="str">
        <f t="shared" si="42"/>
        <v/>
      </c>
      <c r="AL189" s="477" t="str">
        <f>IF($AC$189="","",IFERROR(INDEX($BB$74:$BB$119,MATCH($AH$189,$AY$74:$AY$119,0)),$AH$189))</f>
        <v/>
      </c>
      <c r="AM189" s="483" t="str">
        <f t="shared" si="43"/>
        <v/>
      </c>
      <c r="AN189" s="484" t="str">
        <f t="shared" si="44"/>
        <v/>
      </c>
      <c r="AO189" s="473" t="str">
        <f t="shared" si="45"/>
        <v/>
      </c>
      <c r="AP189" s="473" t="str">
        <f t="shared" si="46"/>
        <v/>
      </c>
      <c r="AQ189" s="473" t="str">
        <f t="shared" si="47"/>
        <v/>
      </c>
      <c r="AR189" s="473" t="str">
        <f t="shared" si="48"/>
        <v/>
      </c>
      <c r="AS189" s="473" t="str">
        <f t="shared" si="49"/>
        <v/>
      </c>
      <c r="AT189" s="473" t="str">
        <f t="shared" si="50"/>
        <v/>
      </c>
      <c r="AU189" s="473" t="str">
        <f t="shared" si="51"/>
        <v/>
      </c>
      <c r="AZ189" s="32" t="s">
        <v>8125</v>
      </c>
      <c r="BA189" s="34" t="s">
        <v>6127</v>
      </c>
      <c r="BB189" s="499"/>
      <c r="BC189" s="271"/>
      <c r="BD189" s="279">
        <v>1</v>
      </c>
      <c r="BE189" s="271"/>
      <c r="BF189" s="271"/>
      <c r="BG189" s="271"/>
      <c r="BH189" s="271"/>
      <c r="BI189" s="271"/>
      <c r="BJ189" s="271"/>
      <c r="BK189" s="271"/>
      <c r="BL189" s="271"/>
    </row>
    <row r="190" spans="18:64" ht="21" customHeight="1" x14ac:dyDescent="0.25">
      <c r="R190" s="34" t="s">
        <v>474</v>
      </c>
      <c r="S190" s="451"/>
      <c r="T190" s="31" t="s">
        <v>26</v>
      </c>
      <c r="V190" s="475">
        <v>4</v>
      </c>
      <c r="W190" s="475" t="str">
        <f>IF($AC$190="","",$W$180)</f>
        <v/>
      </c>
      <c r="X190" s="476" t="str">
        <f>IF($AC$190="","",$X$180)</f>
        <v/>
      </c>
      <c r="Y190" s="477" t="str">
        <f>IF($X$190="","",$Y$180)</f>
        <v/>
      </c>
      <c r="Z190" s="477" t="str">
        <f>IF($X$190="","",$Z$180)</f>
        <v/>
      </c>
      <c r="AA190" s="477" t="str">
        <f>IF($AC$190="","",ROW($A$190)-ROW($A$180))</f>
        <v/>
      </c>
      <c r="AB190" s="478"/>
      <c r="AC190" s="34"/>
      <c r="AD190" s="356"/>
      <c r="AE190" s="18"/>
      <c r="AF190" s="19"/>
      <c r="AG190" s="480" t="str">
        <f t="shared" si="40"/>
        <v/>
      </c>
      <c r="AH190" s="481" t="str">
        <f t="shared" si="41"/>
        <v/>
      </c>
      <c r="AI190" s="477" t="str">
        <f>IF($AC$190="","",IFERROR(INDEX($AZ$74:$AZ$119,MATCH($AH$190,$AY$74:$AY$119,0)),"AUTRE"))</f>
        <v/>
      </c>
      <c r="AJ190" s="482" t="str">
        <f>IF($AC$190="","",IFERROR(INDEX($BA$74:$BA$119,MATCH($AH$190,$AY$74:$AY$119,0)),1))</f>
        <v/>
      </c>
      <c r="AK190" s="482" t="str">
        <f t="shared" si="42"/>
        <v/>
      </c>
      <c r="AL190" s="477" t="str">
        <f>IF($AC$190="","",IFERROR(INDEX($BB$74:$BB$119,MATCH($AH$190,$AY$74:$AY$119,0)),$AH$190))</f>
        <v/>
      </c>
      <c r="AM190" s="483" t="str">
        <f t="shared" si="43"/>
        <v/>
      </c>
      <c r="AN190" s="484" t="str">
        <f t="shared" si="44"/>
        <v/>
      </c>
      <c r="AO190" s="473" t="str">
        <f t="shared" si="45"/>
        <v/>
      </c>
      <c r="AP190" s="473" t="str">
        <f t="shared" si="46"/>
        <v/>
      </c>
      <c r="AQ190" s="473" t="str">
        <f t="shared" si="47"/>
        <v/>
      </c>
      <c r="AR190" s="473" t="str">
        <f t="shared" si="48"/>
        <v/>
      </c>
      <c r="AS190" s="473" t="str">
        <f t="shared" si="49"/>
        <v/>
      </c>
      <c r="AT190" s="473" t="str">
        <f t="shared" si="50"/>
        <v/>
      </c>
      <c r="AU190" s="473" t="str">
        <f t="shared" si="51"/>
        <v/>
      </c>
      <c r="AZ190" s="32" t="s">
        <v>8127</v>
      </c>
      <c r="BA190" s="25" t="s">
        <v>6128</v>
      </c>
      <c r="BB190" s="499"/>
      <c r="BC190" s="271"/>
      <c r="BD190" s="279">
        <v>1</v>
      </c>
      <c r="BE190" s="271"/>
      <c r="BF190" s="271"/>
      <c r="BG190" s="271"/>
      <c r="BH190" s="271"/>
      <c r="BI190" s="271"/>
      <c r="BJ190" s="271"/>
      <c r="BK190" s="271"/>
      <c r="BL190" s="271"/>
    </row>
    <row r="191" spans="18:64" ht="21" customHeight="1" x14ac:dyDescent="0.25">
      <c r="R191" s="34" t="s">
        <v>490</v>
      </c>
      <c r="S191" s="451"/>
      <c r="T191" s="31" t="s">
        <v>27</v>
      </c>
      <c r="V191" s="475">
        <v>4</v>
      </c>
      <c r="W191" s="475" t="str">
        <f>IF($AC$191="","",$W$180)</f>
        <v/>
      </c>
      <c r="X191" s="476" t="str">
        <f>IF($AC$191="","",$X$180)</f>
        <v/>
      </c>
      <c r="Y191" s="477" t="str">
        <f>IF($X$191="","",$Y$180)</f>
        <v/>
      </c>
      <c r="Z191" s="477" t="str">
        <f>IF($X$191="","",$Z$180)</f>
        <v/>
      </c>
      <c r="AA191" s="477" t="str">
        <f>IF($AC$191="","",ROW($A$191)-ROW($A$180))</f>
        <v/>
      </c>
      <c r="AB191" s="478"/>
      <c r="AC191" s="34"/>
      <c r="AD191" s="356"/>
      <c r="AE191" s="18"/>
      <c r="AF191" s="19"/>
      <c r="AG191" s="480" t="str">
        <f t="shared" si="40"/>
        <v/>
      </c>
      <c r="AH191" s="481" t="str">
        <f t="shared" si="41"/>
        <v/>
      </c>
      <c r="AI191" s="477" t="str">
        <f>IF($AC$191="","",IFERROR(INDEX($AZ$74:$AZ$119,MATCH($AH$191,$AY$74:$AY$119,0)),"AUTRE"))</f>
        <v/>
      </c>
      <c r="AJ191" s="482" t="str">
        <f>IF($AC$191="","",IFERROR(INDEX($BA$74:$BA$119,MATCH($AH$191,$AY$74:$AY$119,0)),1))</f>
        <v/>
      </c>
      <c r="AK191" s="482" t="str">
        <f t="shared" si="42"/>
        <v/>
      </c>
      <c r="AL191" s="477" t="str">
        <f>IF($AC$191="","",IFERROR(INDEX($BB$74:$BB$119,MATCH($AH$191,$AY$74:$AY$119,0)),$AH$191))</f>
        <v/>
      </c>
      <c r="AM191" s="483" t="str">
        <f t="shared" si="43"/>
        <v/>
      </c>
      <c r="AN191" s="484" t="str">
        <f t="shared" si="44"/>
        <v/>
      </c>
      <c r="AO191" s="473" t="str">
        <f t="shared" si="45"/>
        <v/>
      </c>
      <c r="AP191" s="473" t="str">
        <f t="shared" si="46"/>
        <v/>
      </c>
      <c r="AQ191" s="473" t="str">
        <f t="shared" si="47"/>
        <v/>
      </c>
      <c r="AR191" s="473" t="str">
        <f t="shared" si="48"/>
        <v/>
      </c>
      <c r="AS191" s="473" t="str">
        <f t="shared" si="49"/>
        <v/>
      </c>
      <c r="AT191" s="473" t="str">
        <f t="shared" si="50"/>
        <v/>
      </c>
      <c r="AU191" s="473" t="str">
        <f t="shared" si="51"/>
        <v/>
      </c>
      <c r="AZ191" s="32" t="s">
        <v>320</v>
      </c>
      <c r="BA191" s="34" t="s">
        <v>474</v>
      </c>
      <c r="BB191" s="499"/>
      <c r="BC191" s="271"/>
      <c r="BD191" s="279">
        <v>1</v>
      </c>
      <c r="BE191" s="271"/>
      <c r="BF191" s="271"/>
      <c r="BG191" s="271"/>
      <c r="BH191" s="271"/>
      <c r="BI191" s="271"/>
      <c r="BJ191" s="271"/>
      <c r="BK191" s="271"/>
      <c r="BL191" s="271"/>
    </row>
    <row r="192" spans="18:64" ht="21" customHeight="1" x14ac:dyDescent="0.25">
      <c r="R192" s="34" t="s">
        <v>6129</v>
      </c>
      <c r="S192" s="451"/>
      <c r="T192" s="31" t="s">
        <v>28</v>
      </c>
      <c r="V192" s="475">
        <v>4</v>
      </c>
      <c r="W192" s="475" t="str">
        <f>IF($AC$192="","",$W$180)</f>
        <v/>
      </c>
      <c r="X192" s="476" t="str">
        <f>IF($AC$192="","",$X$180)</f>
        <v/>
      </c>
      <c r="Y192" s="477" t="str">
        <f>IF($X$192="","",$Y$180)</f>
        <v/>
      </c>
      <c r="Z192" s="477" t="str">
        <f>IF($X$192="","",$Z$180)</f>
        <v/>
      </c>
      <c r="AA192" s="477" t="str">
        <f>IF($AC$192="","",ROW($A$192)-ROW($A$180))</f>
        <v/>
      </c>
      <c r="AB192" s="478"/>
      <c r="AC192" s="34"/>
      <c r="AD192" s="356"/>
      <c r="AE192" s="18"/>
      <c r="AF192" s="19"/>
      <c r="AG192" s="480" t="str">
        <f t="shared" si="40"/>
        <v/>
      </c>
      <c r="AH192" s="481" t="str">
        <f t="shared" si="41"/>
        <v/>
      </c>
      <c r="AI192" s="477" t="str">
        <f>IF($AC$192="","",IFERROR(INDEX($AZ$74:$AZ$119,MATCH($AH$192,$AY$74:$AY$119,0)),"AUTRE"))</f>
        <v/>
      </c>
      <c r="AJ192" s="482" t="str">
        <f>IF($AC$192="","",IFERROR(INDEX($BA$74:$BA$119,MATCH($AH$192,$AY$74:$AY$119,0)),1))</f>
        <v/>
      </c>
      <c r="AK192" s="482" t="str">
        <f t="shared" si="42"/>
        <v/>
      </c>
      <c r="AL192" s="477" t="str">
        <f>IF($AC$192="","",IFERROR(INDEX($BB$74:$BB$119,MATCH($AH$192,$AY$74:$AY$119,0)),$AH$192))</f>
        <v/>
      </c>
      <c r="AM192" s="483" t="str">
        <f t="shared" si="43"/>
        <v/>
      </c>
      <c r="AN192" s="484" t="str">
        <f t="shared" si="44"/>
        <v/>
      </c>
      <c r="AO192" s="473" t="str">
        <f t="shared" si="45"/>
        <v/>
      </c>
      <c r="AP192" s="473" t="str">
        <f t="shared" si="46"/>
        <v/>
      </c>
      <c r="AQ192" s="473" t="str">
        <f t="shared" si="47"/>
        <v/>
      </c>
      <c r="AR192" s="473" t="str">
        <f t="shared" si="48"/>
        <v/>
      </c>
      <c r="AS192" s="473" t="str">
        <f t="shared" si="49"/>
        <v/>
      </c>
      <c r="AT192" s="473" t="str">
        <f t="shared" si="50"/>
        <v/>
      </c>
      <c r="AU192" s="473" t="str">
        <f t="shared" si="51"/>
        <v/>
      </c>
      <c r="AZ192" s="32" t="s">
        <v>318</v>
      </c>
      <c r="BA192" s="34" t="s">
        <v>490</v>
      </c>
      <c r="BB192" s="499"/>
      <c r="BC192" s="271"/>
      <c r="BD192" s="279">
        <v>1</v>
      </c>
      <c r="BE192" s="271"/>
      <c r="BF192" s="271"/>
      <c r="BG192" s="271"/>
      <c r="BH192" s="271"/>
      <c r="BI192" s="271"/>
      <c r="BJ192" s="271"/>
      <c r="BK192" s="271"/>
      <c r="BL192" s="271"/>
    </row>
    <row r="193" spans="18:64" ht="21" customHeight="1" x14ac:dyDescent="0.25">
      <c r="R193" s="34" t="s">
        <v>478</v>
      </c>
      <c r="S193" s="451"/>
      <c r="T193" s="31" t="s">
        <v>29</v>
      </c>
      <c r="V193" s="475">
        <v>4</v>
      </c>
      <c r="W193" s="475" t="str">
        <f>IF($AC$193="","",$W$180)</f>
        <v/>
      </c>
      <c r="X193" s="476" t="str">
        <f>IF($AC$193="","",$X$180)</f>
        <v/>
      </c>
      <c r="Y193" s="477" t="str">
        <f>IF($X$193="","",$Y$180)</f>
        <v/>
      </c>
      <c r="Z193" s="477" t="str">
        <f>IF($X$193="","",$Z$180)</f>
        <v/>
      </c>
      <c r="AA193" s="477" t="str">
        <f>IF($AC$193="","",ROW($A$193)-ROW($A$180))</f>
        <v/>
      </c>
      <c r="AB193" s="478"/>
      <c r="AC193" s="34"/>
      <c r="AD193" s="356"/>
      <c r="AE193" s="18"/>
      <c r="AF193" s="19"/>
      <c r="AG193" s="480" t="str">
        <f t="shared" si="40"/>
        <v/>
      </c>
      <c r="AH193" s="481" t="str">
        <f t="shared" si="41"/>
        <v/>
      </c>
      <c r="AI193" s="477" t="str">
        <f>IF($AC$193="","",IFERROR(INDEX($AZ$74:$AZ$119,MATCH($AH$193,$AY$74:$AY$119,0)),"AUTRE"))</f>
        <v/>
      </c>
      <c r="AJ193" s="482" t="str">
        <f>IF($AC$193="","",IFERROR(INDEX($BA$74:$BA$119,MATCH($AH$193,$AY$74:$AY$119,0)),1))</f>
        <v/>
      </c>
      <c r="AK193" s="482" t="str">
        <f t="shared" si="42"/>
        <v/>
      </c>
      <c r="AL193" s="477" t="str">
        <f>IF($AC$193="","",IFERROR(INDEX($BB$74:$BB$119,MATCH($AH$193,$AY$74:$AY$119,0)),$AH$193))</f>
        <v/>
      </c>
      <c r="AM193" s="483" t="str">
        <f t="shared" si="43"/>
        <v/>
      </c>
      <c r="AN193" s="484" t="str">
        <f t="shared" si="44"/>
        <v/>
      </c>
      <c r="AO193" s="473" t="str">
        <f t="shared" si="45"/>
        <v/>
      </c>
      <c r="AP193" s="473" t="str">
        <f t="shared" si="46"/>
        <v/>
      </c>
      <c r="AQ193" s="473" t="str">
        <f t="shared" si="47"/>
        <v/>
      </c>
      <c r="AR193" s="473" t="str">
        <f t="shared" si="48"/>
        <v/>
      </c>
      <c r="AS193" s="473" t="str">
        <f t="shared" si="49"/>
        <v/>
      </c>
      <c r="AT193" s="473" t="str">
        <f t="shared" si="50"/>
        <v/>
      </c>
      <c r="AU193" s="473" t="str">
        <f t="shared" si="51"/>
        <v/>
      </c>
      <c r="AZ193" s="32" t="s">
        <v>316</v>
      </c>
      <c r="BA193" s="34" t="s">
        <v>6129</v>
      </c>
      <c r="BB193" s="499"/>
      <c r="BC193" s="271"/>
      <c r="BD193" s="279">
        <v>1</v>
      </c>
      <c r="BE193" s="271"/>
      <c r="BF193" s="271"/>
      <c r="BG193" s="271"/>
      <c r="BH193" s="271"/>
      <c r="BI193" s="271"/>
      <c r="BJ193" s="271"/>
      <c r="BK193" s="271"/>
      <c r="BL193" s="271"/>
    </row>
    <row r="194" spans="18:64" ht="21" customHeight="1" x14ac:dyDescent="0.25">
      <c r="R194" s="34" t="s">
        <v>6130</v>
      </c>
      <c r="S194" s="451"/>
      <c r="T194" s="31" t="s">
        <v>30</v>
      </c>
      <c r="V194" s="475">
        <v>4</v>
      </c>
      <c r="W194" s="475" t="str">
        <f>IF($AC$194="","",$W$180)</f>
        <v/>
      </c>
      <c r="X194" s="476" t="str">
        <f>IF($AC$194="","",$X$180)</f>
        <v/>
      </c>
      <c r="Y194" s="477" t="str">
        <f>IF($X$194="","",$Y$180)</f>
        <v/>
      </c>
      <c r="Z194" s="477" t="str">
        <f>IF($X$194="","",$Z$180)</f>
        <v/>
      </c>
      <c r="AA194" s="477" t="str">
        <f>IF($AC$194="","",ROW($A$194)-ROW($A$180))</f>
        <v/>
      </c>
      <c r="AB194" s="478"/>
      <c r="AC194" s="34"/>
      <c r="AD194" s="356"/>
      <c r="AE194" s="18"/>
      <c r="AF194" s="19"/>
      <c r="AG194" s="480" t="str">
        <f t="shared" si="40"/>
        <v/>
      </c>
      <c r="AH194" s="481" t="str">
        <f t="shared" si="41"/>
        <v/>
      </c>
      <c r="AI194" s="477" t="str">
        <f>IF($AC$194="","",IFERROR(INDEX($AZ$74:$AZ$119,MATCH($AH$194,$AY$74:$AY$119,0)),"AUTRE"))</f>
        <v/>
      </c>
      <c r="AJ194" s="482" t="str">
        <f>IF($AC$194="","",IFERROR(INDEX($BA$74:$BA$119,MATCH($AH$194,$AY$74:$AY$119,0)),1))</f>
        <v/>
      </c>
      <c r="AK194" s="482" t="str">
        <f t="shared" si="42"/>
        <v/>
      </c>
      <c r="AL194" s="477" t="str">
        <f>IF($AC$194="","",IFERROR(INDEX($BB$74:$BB$119,MATCH($AH$194,$AY$74:$AY$119,0)),$AH$194))</f>
        <v/>
      </c>
      <c r="AM194" s="483" t="str">
        <f t="shared" si="43"/>
        <v/>
      </c>
      <c r="AN194" s="484" t="str">
        <f t="shared" si="44"/>
        <v/>
      </c>
      <c r="AO194" s="473" t="str">
        <f t="shared" si="45"/>
        <v/>
      </c>
      <c r="AP194" s="473" t="str">
        <f t="shared" si="46"/>
        <v/>
      </c>
      <c r="AQ194" s="473" t="str">
        <f t="shared" si="47"/>
        <v/>
      </c>
      <c r="AR194" s="473" t="str">
        <f t="shared" si="48"/>
        <v/>
      </c>
      <c r="AS194" s="473" t="str">
        <f t="shared" si="49"/>
        <v/>
      </c>
      <c r="AT194" s="473" t="str">
        <f t="shared" si="50"/>
        <v/>
      </c>
      <c r="AU194" s="473" t="str">
        <f t="shared" si="51"/>
        <v/>
      </c>
      <c r="AZ194" s="32" t="s">
        <v>313</v>
      </c>
      <c r="BA194" s="34" t="s">
        <v>478</v>
      </c>
      <c r="BB194" s="499"/>
      <c r="BC194" s="271"/>
      <c r="BD194" s="279">
        <v>1</v>
      </c>
      <c r="BE194" s="271"/>
      <c r="BF194" s="271"/>
      <c r="BG194" s="271"/>
      <c r="BH194" s="271"/>
      <c r="BI194" s="271"/>
      <c r="BJ194" s="271"/>
      <c r="BK194" s="271"/>
      <c r="BL194" s="271"/>
    </row>
    <row r="195" spans="18:64" ht="21" customHeight="1" x14ac:dyDescent="0.25">
      <c r="R195" s="34" t="s">
        <v>486</v>
      </c>
      <c r="S195" s="451"/>
      <c r="T195" s="31" t="s">
        <v>31</v>
      </c>
      <c r="V195" s="475">
        <v>4</v>
      </c>
      <c r="W195" s="475" t="str">
        <f>IF($AC$195="","",$W$180)</f>
        <v/>
      </c>
      <c r="X195" s="476" t="str">
        <f>IF($AC$195="","",$X$180)</f>
        <v/>
      </c>
      <c r="Y195" s="477" t="str">
        <f>IF($X$195="","",$Y$180)</f>
        <v/>
      </c>
      <c r="Z195" s="477" t="str">
        <f>IF($X$195="","",$Z$180)</f>
        <v/>
      </c>
      <c r="AA195" s="477" t="str">
        <f>IF($AC$195="","",ROW($A$195)-ROW($A$180))</f>
        <v/>
      </c>
      <c r="AB195" s="478"/>
      <c r="AC195" s="34"/>
      <c r="AD195" s="356"/>
      <c r="AE195" s="18"/>
      <c r="AF195" s="19"/>
      <c r="AG195" s="480" t="str">
        <f t="shared" si="40"/>
        <v/>
      </c>
      <c r="AH195" s="481" t="str">
        <f t="shared" si="41"/>
        <v/>
      </c>
      <c r="AI195" s="477" t="str">
        <f>IF($AC$195="","",IFERROR(INDEX($AZ$74:$AZ$119,MATCH($AH$195,$AY$74:$AY$119,0)),"AUTRE"))</f>
        <v/>
      </c>
      <c r="AJ195" s="482" t="str">
        <f>IF($AC$195="","",IFERROR(INDEX($BA$74:$BA$119,MATCH($AH$195,$AY$74:$AY$119,0)),1))</f>
        <v/>
      </c>
      <c r="AK195" s="482" t="str">
        <f t="shared" si="42"/>
        <v/>
      </c>
      <c r="AL195" s="477" t="str">
        <f>IF($AC$195="","",IFERROR(INDEX($BB$74:$BB$119,MATCH($AH$195,$AY$74:$AY$119,0)),$AH$195))</f>
        <v/>
      </c>
      <c r="AM195" s="483" t="str">
        <f t="shared" si="43"/>
        <v/>
      </c>
      <c r="AN195" s="484" t="str">
        <f t="shared" si="44"/>
        <v/>
      </c>
      <c r="AO195" s="473" t="str">
        <f t="shared" si="45"/>
        <v/>
      </c>
      <c r="AP195" s="473" t="str">
        <f t="shared" si="46"/>
        <v/>
      </c>
      <c r="AQ195" s="473" t="str">
        <f t="shared" si="47"/>
        <v/>
      </c>
      <c r="AR195" s="473" t="str">
        <f t="shared" si="48"/>
        <v/>
      </c>
      <c r="AS195" s="473" t="str">
        <f t="shared" si="49"/>
        <v/>
      </c>
      <c r="AT195" s="473" t="str">
        <f t="shared" si="50"/>
        <v/>
      </c>
      <c r="AU195" s="473" t="str">
        <f t="shared" si="51"/>
        <v/>
      </c>
      <c r="AZ195" s="32" t="s">
        <v>307</v>
      </c>
      <c r="BA195" s="34" t="s">
        <v>6130</v>
      </c>
      <c r="BB195" s="499"/>
      <c r="BC195" s="271"/>
      <c r="BD195" s="279">
        <v>1</v>
      </c>
      <c r="BE195" s="271"/>
      <c r="BF195" s="271"/>
      <c r="BG195" s="271"/>
      <c r="BH195" s="271"/>
      <c r="BI195" s="271"/>
      <c r="BJ195" s="271"/>
      <c r="BK195" s="271"/>
      <c r="BL195" s="271"/>
    </row>
    <row r="196" spans="18:64" ht="21" customHeight="1" x14ac:dyDescent="0.25">
      <c r="R196" s="34" t="s">
        <v>479</v>
      </c>
      <c r="S196" s="451"/>
      <c r="T196" s="32" t="s">
        <v>33</v>
      </c>
      <c r="V196" s="475">
        <v>4</v>
      </c>
      <c r="W196" s="475" t="str">
        <f>IF($AC$196="","",$W$180)</f>
        <v/>
      </c>
      <c r="X196" s="476" t="str">
        <f>IF($AC$196="","",$X$180)</f>
        <v/>
      </c>
      <c r="Y196" s="477" t="str">
        <f>IF($X$196="","",$Y$180)</f>
        <v/>
      </c>
      <c r="Z196" s="477" t="str">
        <f>IF($X$196="","",$Z$180)</f>
        <v/>
      </c>
      <c r="AA196" s="477" t="str">
        <f>IF($AC$196="","",ROW($A$196)-ROW($A$180))</f>
        <v/>
      </c>
      <c r="AB196" s="478"/>
      <c r="AC196" s="34"/>
      <c r="AD196" s="356"/>
      <c r="AE196" s="18"/>
      <c r="AF196" s="19"/>
      <c r="AG196" s="480" t="str">
        <f t="shared" si="40"/>
        <v/>
      </c>
      <c r="AH196" s="481" t="str">
        <f t="shared" si="41"/>
        <v/>
      </c>
      <c r="AI196" s="477" t="str">
        <f>IF($AC$196="","",IFERROR(INDEX($AZ$74:$AZ$119,MATCH($AH$196,$AY$74:$AY$119,0)),"AUTRE"))</f>
        <v/>
      </c>
      <c r="AJ196" s="482" t="str">
        <f>IF($AC$196="","",IFERROR(INDEX($BA$74:$BA$119,MATCH($AH$196,$AY$74:$AY$119,0)),1))</f>
        <v/>
      </c>
      <c r="AK196" s="482" t="str">
        <f t="shared" si="42"/>
        <v/>
      </c>
      <c r="AL196" s="477" t="str">
        <f>IF($AC$196="","",IFERROR(INDEX($BB$74:$BB$119,MATCH($AH$196,$AY$74:$AY$119,0)),$AH$196))</f>
        <v/>
      </c>
      <c r="AM196" s="483" t="str">
        <f t="shared" si="43"/>
        <v/>
      </c>
      <c r="AN196" s="484" t="str">
        <f t="shared" si="44"/>
        <v/>
      </c>
      <c r="AO196" s="473" t="str">
        <f t="shared" si="45"/>
        <v/>
      </c>
      <c r="AP196" s="473" t="str">
        <f t="shared" si="46"/>
        <v/>
      </c>
      <c r="AQ196" s="473" t="str">
        <f t="shared" si="47"/>
        <v/>
      </c>
      <c r="AR196" s="473" t="str">
        <f t="shared" si="48"/>
        <v/>
      </c>
      <c r="AS196" s="473" t="str">
        <f t="shared" si="49"/>
        <v/>
      </c>
      <c r="AT196" s="473" t="str">
        <f t="shared" si="50"/>
        <v/>
      </c>
      <c r="AU196" s="473" t="str">
        <f t="shared" si="51"/>
        <v/>
      </c>
      <c r="AZ196" s="32" t="s">
        <v>322</v>
      </c>
      <c r="BA196" s="34" t="s">
        <v>486</v>
      </c>
      <c r="BB196" s="499"/>
      <c r="BC196" s="271"/>
      <c r="BD196" s="279">
        <v>1</v>
      </c>
      <c r="BE196" s="271"/>
      <c r="BF196" s="271"/>
      <c r="BG196" s="271"/>
      <c r="BH196" s="271"/>
      <c r="BI196" s="271"/>
      <c r="BJ196" s="271"/>
      <c r="BK196" s="271"/>
      <c r="BL196" s="271"/>
    </row>
    <row r="197" spans="18:64" ht="21" customHeight="1" x14ac:dyDescent="0.25">
      <c r="R197" s="34" t="s">
        <v>6131</v>
      </c>
      <c r="S197" s="451"/>
      <c r="T197" s="32" t="s">
        <v>8125</v>
      </c>
      <c r="V197" s="475">
        <v>4</v>
      </c>
      <c r="W197" s="475" t="str">
        <f>IF($AC$197="","",$W$180)</f>
        <v/>
      </c>
      <c r="X197" s="476" t="str">
        <f>IF($AC$197="","",$X$180)</f>
        <v/>
      </c>
      <c r="Y197" s="477" t="str">
        <f>IF($X$197="","",$Y$180)</f>
        <v/>
      </c>
      <c r="Z197" s="477" t="str">
        <f>IF($X$197="","",$Z$180)</f>
        <v/>
      </c>
      <c r="AA197" s="477" t="str">
        <f>IF($AC$197="","",ROW($A$197)-ROW($A$180))</f>
        <v/>
      </c>
      <c r="AB197" s="478"/>
      <c r="AC197" s="34"/>
      <c r="AD197" s="356"/>
      <c r="AE197" s="18"/>
      <c r="AF197" s="19"/>
      <c r="AG197" s="480" t="str">
        <f t="shared" si="40"/>
        <v/>
      </c>
      <c r="AH197" s="481" t="str">
        <f t="shared" si="41"/>
        <v/>
      </c>
      <c r="AI197" s="477" t="str">
        <f>IF($AC$197="","",IFERROR(INDEX($AZ$74:$AZ$119,MATCH($AH$197,$AY$74:$AY$119,0)),"AUTRE"))</f>
        <v/>
      </c>
      <c r="AJ197" s="482" t="str">
        <f>IF($AC$197="","",IFERROR(INDEX($BA$74:$BA$119,MATCH($AH$197,$AY$74:$AY$119,0)),1))</f>
        <v/>
      </c>
      <c r="AK197" s="482" t="str">
        <f t="shared" si="42"/>
        <v/>
      </c>
      <c r="AL197" s="477" t="str">
        <f>IF($AC$197="","",IFERROR(INDEX($BB$74:$BB$119,MATCH($AH$197,$AY$74:$AY$119,0)),$AH$197))</f>
        <v/>
      </c>
      <c r="AM197" s="483" t="str">
        <f t="shared" si="43"/>
        <v/>
      </c>
      <c r="AN197" s="484" t="str">
        <f t="shared" si="44"/>
        <v/>
      </c>
      <c r="AO197" s="473" t="str">
        <f t="shared" si="45"/>
        <v/>
      </c>
      <c r="AP197" s="473" t="str">
        <f t="shared" si="46"/>
        <v/>
      </c>
      <c r="AQ197" s="473" t="str">
        <f t="shared" si="47"/>
        <v/>
      </c>
      <c r="AR197" s="473" t="str">
        <f t="shared" si="48"/>
        <v/>
      </c>
      <c r="AS197" s="473" t="str">
        <f t="shared" si="49"/>
        <v/>
      </c>
      <c r="AT197" s="473" t="str">
        <f t="shared" si="50"/>
        <v/>
      </c>
      <c r="AU197" s="473" t="str">
        <f t="shared" si="51"/>
        <v/>
      </c>
      <c r="AZ197" s="32" t="s">
        <v>305</v>
      </c>
      <c r="BA197" s="34" t="s">
        <v>479</v>
      </c>
      <c r="BB197" s="499"/>
      <c r="BC197" s="271"/>
      <c r="BD197" s="279">
        <v>1</v>
      </c>
      <c r="BE197" s="271"/>
      <c r="BF197" s="271"/>
      <c r="BG197" s="271"/>
      <c r="BH197" s="271"/>
      <c r="BI197" s="271"/>
      <c r="BJ197" s="271"/>
      <c r="BK197" s="271"/>
      <c r="BL197" s="271"/>
    </row>
    <row r="198" spans="18:64" ht="21" customHeight="1" x14ac:dyDescent="0.25">
      <c r="R198" s="34" t="s">
        <v>485</v>
      </c>
      <c r="S198" s="451"/>
      <c r="T198" s="32" t="s">
        <v>8127</v>
      </c>
      <c r="V198" s="475">
        <v>4</v>
      </c>
      <c r="W198" s="475" t="str">
        <f>IF($AC$198="","",$W$180)</f>
        <v/>
      </c>
      <c r="X198" s="476" t="str">
        <f>IF($AC$198="","",$X$180)</f>
        <v/>
      </c>
      <c r="Y198" s="477" t="str">
        <f>IF($X$198="","",$Y$180)</f>
        <v/>
      </c>
      <c r="Z198" s="477" t="str">
        <f>IF($X$198="","",$Z$180)</f>
        <v/>
      </c>
      <c r="AA198" s="477" t="str">
        <f>IF($AC$198="","",ROW($A$198)-ROW($A$180))</f>
        <v/>
      </c>
      <c r="AB198" s="478"/>
      <c r="AC198" s="34"/>
      <c r="AD198" s="356"/>
      <c r="AE198" s="18"/>
      <c r="AF198" s="19"/>
      <c r="AG198" s="480" t="str">
        <f t="shared" si="40"/>
        <v/>
      </c>
      <c r="AH198" s="481" t="str">
        <f t="shared" si="41"/>
        <v/>
      </c>
      <c r="AI198" s="477" t="str">
        <f>IF($AC$198="","",IFERROR(INDEX($AZ$74:$AZ$119,MATCH($AH$198,$AY$74:$AY$119,0)),"AUTRE"))</f>
        <v/>
      </c>
      <c r="AJ198" s="482" t="str">
        <f>IF($AC$198="","",IFERROR(INDEX($BA$74:$BA$119,MATCH($AH$198,$AY$74:$AY$119,0)),1))</f>
        <v/>
      </c>
      <c r="AK198" s="482" t="str">
        <f t="shared" si="42"/>
        <v/>
      </c>
      <c r="AL198" s="477" t="str">
        <f>IF($AC$198="","",IFERROR(INDEX($BB$74:$BB$119,MATCH($AH$198,$AY$74:$AY$119,0)),$AH$198))</f>
        <v/>
      </c>
      <c r="AM198" s="483" t="str">
        <f t="shared" si="43"/>
        <v/>
      </c>
      <c r="AN198" s="484" t="str">
        <f t="shared" si="44"/>
        <v/>
      </c>
      <c r="AO198" s="473" t="str">
        <f t="shared" si="45"/>
        <v/>
      </c>
      <c r="AP198" s="473" t="str">
        <f t="shared" si="46"/>
        <v/>
      </c>
      <c r="AQ198" s="473" t="str">
        <f t="shared" si="47"/>
        <v/>
      </c>
      <c r="AR198" s="473" t="str">
        <f t="shared" si="48"/>
        <v/>
      </c>
      <c r="AS198" s="473" t="str">
        <f t="shared" si="49"/>
        <v/>
      </c>
      <c r="AT198" s="473" t="str">
        <f t="shared" si="50"/>
        <v/>
      </c>
      <c r="AU198" s="473" t="str">
        <f t="shared" si="51"/>
        <v/>
      </c>
      <c r="AZ198" s="32" t="s">
        <v>8129</v>
      </c>
      <c r="BA198" s="34" t="s">
        <v>6131</v>
      </c>
      <c r="BB198" s="499"/>
      <c r="BC198" s="271"/>
      <c r="BD198" s="279">
        <v>1</v>
      </c>
      <c r="BE198" s="271"/>
      <c r="BF198" s="271"/>
      <c r="BG198" s="271"/>
      <c r="BH198" s="271"/>
      <c r="BI198" s="271"/>
      <c r="BJ198" s="271"/>
      <c r="BK198" s="271"/>
      <c r="BL198" s="271"/>
    </row>
    <row r="199" spans="18:64" ht="21" customHeight="1" x14ac:dyDescent="0.25">
      <c r="R199" s="34" t="s">
        <v>6132</v>
      </c>
      <c r="S199" s="451"/>
      <c r="T199" s="32" t="s">
        <v>320</v>
      </c>
      <c r="V199" s="475">
        <v>4</v>
      </c>
      <c r="W199" s="475" t="str">
        <f>IF($AC$199="","",$W$180)</f>
        <v/>
      </c>
      <c r="X199" s="476" t="str">
        <f>IF($AC$199="","",$X$180)</f>
        <v/>
      </c>
      <c r="Y199" s="477" t="str">
        <f>IF($X$199="","",$Y$180)</f>
        <v/>
      </c>
      <c r="Z199" s="477" t="str">
        <f>IF($X$199="","",$Z$180)</f>
        <v/>
      </c>
      <c r="AA199" s="477" t="str">
        <f>IF($AC$199="","",ROW($A$199)-ROW($A$180))</f>
        <v/>
      </c>
      <c r="AB199" s="478"/>
      <c r="AC199" s="34"/>
      <c r="AD199" s="356"/>
      <c r="AE199" s="18"/>
      <c r="AF199" s="19"/>
      <c r="AG199" s="480" t="str">
        <f t="shared" si="40"/>
        <v/>
      </c>
      <c r="AH199" s="481" t="str">
        <f t="shared" si="41"/>
        <v/>
      </c>
      <c r="AI199" s="477" t="str">
        <f>IF($AC$199="","",IFERROR(INDEX($AZ$74:$AZ$119,MATCH($AH$199,$AY$74:$AY$119,0)),"AUTRE"))</f>
        <v/>
      </c>
      <c r="AJ199" s="482" t="str">
        <f>IF($AC$199="","",IFERROR(INDEX($BA$74:$BA$119,MATCH($AH$199,$AY$74:$AY$119,0)),1))</f>
        <v/>
      </c>
      <c r="AK199" s="482" t="str">
        <f t="shared" si="42"/>
        <v/>
      </c>
      <c r="AL199" s="477" t="str">
        <f>IF($AC$199="","",IFERROR(INDEX($BB$74:$BB$119,MATCH($AH$199,$AY$74:$AY$119,0)),$AH$199))</f>
        <v/>
      </c>
      <c r="AM199" s="483" t="str">
        <f t="shared" si="43"/>
        <v/>
      </c>
      <c r="AN199" s="484" t="str">
        <f t="shared" si="44"/>
        <v/>
      </c>
      <c r="AO199" s="473" t="str">
        <f t="shared" si="45"/>
        <v/>
      </c>
      <c r="AP199" s="473" t="str">
        <f t="shared" si="46"/>
        <v/>
      </c>
      <c r="AQ199" s="473" t="str">
        <f t="shared" si="47"/>
        <v/>
      </c>
      <c r="AR199" s="473" t="str">
        <f t="shared" si="48"/>
        <v/>
      </c>
      <c r="AS199" s="473" t="str">
        <f t="shared" si="49"/>
        <v/>
      </c>
      <c r="AT199" s="473" t="str">
        <f t="shared" si="50"/>
        <v/>
      </c>
      <c r="AU199" s="473" t="str">
        <f t="shared" si="51"/>
        <v/>
      </c>
      <c r="AZ199" s="32" t="s">
        <v>8131</v>
      </c>
      <c r="BA199" s="34" t="s">
        <v>485</v>
      </c>
      <c r="BB199" s="499"/>
      <c r="BC199" s="271"/>
      <c r="BD199" s="279">
        <v>1</v>
      </c>
      <c r="BE199" s="271"/>
      <c r="BF199" s="271"/>
      <c r="BG199" s="271"/>
      <c r="BH199" s="271"/>
      <c r="BI199" s="271"/>
      <c r="BJ199" s="271"/>
      <c r="BK199" s="271"/>
      <c r="BL199" s="271"/>
    </row>
    <row r="200" spans="18:64" ht="21" customHeight="1" x14ac:dyDescent="0.25">
      <c r="R200" s="25" t="s">
        <v>6133</v>
      </c>
      <c r="S200" s="451"/>
      <c r="T200" s="32" t="s">
        <v>318</v>
      </c>
      <c r="V200" s="475">
        <v>4</v>
      </c>
      <c r="W200" s="475" t="str">
        <f>IF($AC$200="","",$W$180)</f>
        <v/>
      </c>
      <c r="X200" s="476" t="str">
        <f>IF($AC$200="","",$X$180)</f>
        <v/>
      </c>
      <c r="Y200" s="477" t="str">
        <f>IF($X$200="","",$Y$180)</f>
        <v/>
      </c>
      <c r="Z200" s="477" t="str">
        <f>IF($X$200="","",$Z$180)</f>
        <v/>
      </c>
      <c r="AA200" s="477" t="str">
        <f>IF($AC$200="","",ROW($A$200)-ROW($A$180))</f>
        <v/>
      </c>
      <c r="AB200" s="478"/>
      <c r="AC200" s="34"/>
      <c r="AD200" s="356"/>
      <c r="AE200" s="18"/>
      <c r="AF200" s="19"/>
      <c r="AG200" s="480" t="str">
        <f t="shared" si="40"/>
        <v/>
      </c>
      <c r="AH200" s="481" t="str">
        <f t="shared" si="41"/>
        <v/>
      </c>
      <c r="AI200" s="477" t="str">
        <f>IF($AC$200="","",IFERROR(INDEX($AZ$74:$AZ$119,MATCH($AH$200,$AY$74:$AY$119,0)),"AUTRE"))</f>
        <v/>
      </c>
      <c r="AJ200" s="482" t="str">
        <f>IF($AC$200="","",IFERROR(INDEX($BA$74:$BA$119,MATCH($AH$200,$AY$74:$AY$119,0)),1))</f>
        <v/>
      </c>
      <c r="AK200" s="482" t="str">
        <f t="shared" si="42"/>
        <v/>
      </c>
      <c r="AL200" s="477" t="str">
        <f>IF($AC$200="","",IFERROR(INDEX($BB$74:$BB$119,MATCH($AH$200,$AY$74:$AY$119,0)),$AH$200))</f>
        <v/>
      </c>
      <c r="AM200" s="483" t="str">
        <f t="shared" si="43"/>
        <v/>
      </c>
      <c r="AN200" s="484" t="str">
        <f t="shared" si="44"/>
        <v/>
      </c>
      <c r="AO200" s="473" t="str">
        <f t="shared" si="45"/>
        <v/>
      </c>
      <c r="AP200" s="473" t="str">
        <f t="shared" si="46"/>
        <v/>
      </c>
      <c r="AQ200" s="473" t="str">
        <f t="shared" si="47"/>
        <v/>
      </c>
      <c r="AR200" s="473" t="str">
        <f t="shared" si="48"/>
        <v/>
      </c>
      <c r="AS200" s="473" t="str">
        <f t="shared" si="49"/>
        <v/>
      </c>
      <c r="AT200" s="473" t="str">
        <f t="shared" si="50"/>
        <v/>
      </c>
      <c r="AU200" s="473" t="str">
        <f t="shared" si="51"/>
        <v/>
      </c>
      <c r="AZ200" s="32" t="s">
        <v>309</v>
      </c>
      <c r="BA200" s="34" t="s">
        <v>6132</v>
      </c>
      <c r="BB200" s="499"/>
      <c r="BC200" s="271"/>
      <c r="BD200" s="279">
        <v>1</v>
      </c>
      <c r="BE200" s="271"/>
      <c r="BF200" s="271"/>
      <c r="BG200" s="271"/>
      <c r="BH200" s="271"/>
      <c r="BI200" s="271"/>
      <c r="BJ200" s="271"/>
      <c r="BK200" s="271"/>
      <c r="BL200" s="271"/>
    </row>
    <row r="201" spans="18:64" ht="21" customHeight="1" x14ac:dyDescent="0.25">
      <c r="R201" s="34" t="s">
        <v>476</v>
      </c>
      <c r="S201" s="451"/>
      <c r="T201" s="32" t="s">
        <v>316</v>
      </c>
      <c r="V201" s="475">
        <v>4</v>
      </c>
      <c r="W201" s="475" t="str">
        <f>IF($AC$201="","",$W$180)</f>
        <v/>
      </c>
      <c r="X201" s="476" t="str">
        <f>IF($AC$201="","",$X$180)</f>
        <v/>
      </c>
      <c r="Y201" s="477" t="str">
        <f>IF($X$201="","",$Y$180)</f>
        <v/>
      </c>
      <c r="Z201" s="477" t="str">
        <f>IF($X$201="","",$Z$180)</f>
        <v/>
      </c>
      <c r="AA201" s="477" t="str">
        <f>IF($AC$201="","",ROW($A$201)-ROW($A$180))</f>
        <v/>
      </c>
      <c r="AB201" s="478"/>
      <c r="AC201" s="34"/>
      <c r="AD201" s="356"/>
      <c r="AE201" s="18"/>
      <c r="AF201" s="19"/>
      <c r="AG201" s="480" t="str">
        <f t="shared" si="40"/>
        <v/>
      </c>
      <c r="AH201" s="481" t="str">
        <f t="shared" si="41"/>
        <v/>
      </c>
      <c r="AI201" s="477" t="str">
        <f>IF($AC$201="","",IFERROR(INDEX($AZ$74:$AZ$119,MATCH($AH$201,$AY$74:$AY$119,0)),"AUTRE"))</f>
        <v/>
      </c>
      <c r="AJ201" s="482" t="str">
        <f>IF($AC$201="","",IFERROR(INDEX($BA$74:$BA$119,MATCH($AH$201,$AY$74:$AY$119,0)),1))</f>
        <v/>
      </c>
      <c r="AK201" s="482" t="str">
        <f t="shared" si="42"/>
        <v/>
      </c>
      <c r="AL201" s="477" t="str">
        <f>IF($AC$201="","",IFERROR(INDEX($BB$74:$BB$119,MATCH($AH$201,$AY$74:$AY$119,0)),$AH$201))</f>
        <v/>
      </c>
      <c r="AM201" s="483" t="str">
        <f t="shared" si="43"/>
        <v/>
      </c>
      <c r="AN201" s="484" t="str">
        <f t="shared" si="44"/>
        <v/>
      </c>
      <c r="AO201" s="473" t="str">
        <f t="shared" si="45"/>
        <v/>
      </c>
      <c r="AP201" s="473" t="str">
        <f t="shared" si="46"/>
        <v/>
      </c>
      <c r="AQ201" s="473" t="str">
        <f t="shared" si="47"/>
        <v/>
      </c>
      <c r="AR201" s="473" t="str">
        <f t="shared" si="48"/>
        <v/>
      </c>
      <c r="AS201" s="473" t="str">
        <f t="shared" si="49"/>
        <v/>
      </c>
      <c r="AT201" s="473" t="str">
        <f t="shared" si="50"/>
        <v/>
      </c>
      <c r="AU201" s="473" t="str">
        <f t="shared" si="51"/>
        <v/>
      </c>
      <c r="AZ201" s="32" t="s">
        <v>311</v>
      </c>
      <c r="BA201" s="25" t="s">
        <v>6133</v>
      </c>
      <c r="BB201" s="499"/>
      <c r="BC201" s="271"/>
      <c r="BD201" s="279">
        <v>1</v>
      </c>
      <c r="BE201" s="271"/>
      <c r="BF201" s="271"/>
      <c r="BG201" s="271"/>
      <c r="BH201" s="271"/>
      <c r="BI201" s="271"/>
      <c r="BJ201" s="271"/>
      <c r="BK201" s="271"/>
      <c r="BL201" s="271"/>
    </row>
    <row r="202" spans="18:64" ht="21" customHeight="1" x14ac:dyDescent="0.25">
      <c r="R202" s="34" t="s">
        <v>468</v>
      </c>
      <c r="S202" s="451"/>
      <c r="T202" s="32" t="s">
        <v>313</v>
      </c>
      <c r="V202" s="475">
        <v>4</v>
      </c>
      <c r="W202" s="475" t="str">
        <f>IF($AC$202="","",$W$180)</f>
        <v/>
      </c>
      <c r="X202" s="476" t="str">
        <f>IF($AC$202="","",$X$180)</f>
        <v/>
      </c>
      <c r="Y202" s="477" t="str">
        <f>IF($X$202="","",$Y$180)</f>
        <v/>
      </c>
      <c r="Z202" s="477" t="str">
        <f>IF($X$202="","",$Z$180)</f>
        <v/>
      </c>
      <c r="AA202" s="477" t="str">
        <f>IF($AC$202="","",ROW($A$202)-ROW($A$180))</f>
        <v/>
      </c>
      <c r="AB202" s="478"/>
      <c r="AC202" s="34"/>
      <c r="AD202" s="356"/>
      <c r="AE202" s="18"/>
      <c r="AF202" s="19"/>
      <c r="AG202" s="480" t="str">
        <f t="shared" si="40"/>
        <v/>
      </c>
      <c r="AH202" s="481" t="str">
        <f t="shared" si="41"/>
        <v/>
      </c>
      <c r="AI202" s="477" t="str">
        <f>IF($AC$202="","",IFERROR(INDEX($AZ$74:$AZ$119,MATCH($AH$202,$AY$74:$AY$119,0)),"AUTRE"))</f>
        <v/>
      </c>
      <c r="AJ202" s="482" t="str">
        <f>IF($AC$202="","",IFERROR(INDEX($BA$74:$BA$119,MATCH($AH$202,$AY$74:$AY$119,0)),1))</f>
        <v/>
      </c>
      <c r="AK202" s="482" t="str">
        <f t="shared" si="42"/>
        <v/>
      </c>
      <c r="AL202" s="477" t="str">
        <f>IF($AC$202="","",IFERROR(INDEX($BB$74:$BB$119,MATCH($AH$202,$AY$74:$AY$119,0)),$AH$202))</f>
        <v/>
      </c>
      <c r="AM202" s="483" t="str">
        <f t="shared" si="43"/>
        <v/>
      </c>
      <c r="AN202" s="484" t="str">
        <f t="shared" si="44"/>
        <v/>
      </c>
      <c r="AO202" s="473" t="str">
        <f t="shared" si="45"/>
        <v/>
      </c>
      <c r="AP202" s="473" t="str">
        <f t="shared" si="46"/>
        <v/>
      </c>
      <c r="AQ202" s="473" t="str">
        <f t="shared" si="47"/>
        <v/>
      </c>
      <c r="AR202" s="473" t="str">
        <f t="shared" si="48"/>
        <v/>
      </c>
      <c r="AS202" s="473" t="str">
        <f t="shared" si="49"/>
        <v/>
      </c>
      <c r="AT202" s="473" t="str">
        <f t="shared" si="50"/>
        <v/>
      </c>
      <c r="AU202" s="473" t="str">
        <f t="shared" si="51"/>
        <v/>
      </c>
      <c r="AZ202" s="32" t="s">
        <v>8135</v>
      </c>
      <c r="BA202" s="34" t="s">
        <v>476</v>
      </c>
      <c r="BB202" s="499"/>
      <c r="BC202" s="271"/>
      <c r="BD202" s="279">
        <v>1</v>
      </c>
      <c r="BE202" s="271"/>
      <c r="BF202" s="271"/>
      <c r="BG202" s="271"/>
      <c r="BH202" s="271"/>
      <c r="BI202" s="271"/>
      <c r="BJ202" s="271"/>
      <c r="BK202" s="271"/>
      <c r="BL202" s="271"/>
    </row>
    <row r="203" spans="18:64" ht="21" customHeight="1" x14ac:dyDescent="0.25">
      <c r="R203" s="34" t="s">
        <v>473</v>
      </c>
      <c r="S203" s="451"/>
      <c r="T203" s="32" t="s">
        <v>307</v>
      </c>
      <c r="V203" s="475">
        <v>4</v>
      </c>
      <c r="W203" s="475" t="str">
        <f>IF($AC$203="","",$W$180)</f>
        <v/>
      </c>
      <c r="X203" s="476" t="str">
        <f>IF($AC$203="","",$X$180)</f>
        <v/>
      </c>
      <c r="Y203" s="477" t="str">
        <f>IF($X$203="","",$Y$180)</f>
        <v/>
      </c>
      <c r="Z203" s="477" t="str">
        <f>IF($X$203="","",$Z$180)</f>
        <v/>
      </c>
      <c r="AA203" s="477" t="str">
        <f>IF($AC$203="","",ROW($A$203)-ROW($A$180))</f>
        <v/>
      </c>
      <c r="AB203" s="478"/>
      <c r="AC203" s="34"/>
      <c r="AD203" s="356"/>
      <c r="AE203" s="18"/>
      <c r="AF203" s="19"/>
      <c r="AG203" s="480" t="str">
        <f t="shared" si="40"/>
        <v/>
      </c>
      <c r="AH203" s="481" t="str">
        <f t="shared" si="41"/>
        <v/>
      </c>
      <c r="AI203" s="477" t="str">
        <f>IF($AC$203="","",IFERROR(INDEX($AZ$74:$AZ$119,MATCH($AH$203,$AY$74:$AY$119,0)),"AUTRE"))</f>
        <v/>
      </c>
      <c r="AJ203" s="482" t="str">
        <f>IF($AC$203="","",IFERROR(INDEX($BA$74:$BA$119,MATCH($AH$203,$AY$74:$AY$119,0)),1))</f>
        <v/>
      </c>
      <c r="AK203" s="482" t="str">
        <f t="shared" si="42"/>
        <v/>
      </c>
      <c r="AL203" s="477" t="str">
        <f>IF($AC$203="","",IFERROR(INDEX($BB$74:$BB$119,MATCH($AH$203,$AY$74:$AY$119,0)),$AH$203))</f>
        <v/>
      </c>
      <c r="AM203" s="483" t="str">
        <f t="shared" si="43"/>
        <v/>
      </c>
      <c r="AN203" s="484" t="str">
        <f t="shared" si="44"/>
        <v/>
      </c>
      <c r="AO203" s="473" t="str">
        <f t="shared" si="45"/>
        <v/>
      </c>
      <c r="AP203" s="473" t="str">
        <f t="shared" si="46"/>
        <v/>
      </c>
      <c r="AQ203" s="473" t="str">
        <f t="shared" si="47"/>
        <v/>
      </c>
      <c r="AR203" s="473" t="str">
        <f t="shared" si="48"/>
        <v/>
      </c>
      <c r="AS203" s="473" t="str">
        <f t="shared" si="49"/>
        <v/>
      </c>
      <c r="AT203" s="473" t="str">
        <f t="shared" si="50"/>
        <v/>
      </c>
      <c r="AU203" s="473" t="str">
        <f t="shared" si="51"/>
        <v/>
      </c>
      <c r="AZ203" s="32" t="s">
        <v>8137</v>
      </c>
      <c r="BA203" s="34" t="s">
        <v>468</v>
      </c>
      <c r="BB203" s="499"/>
      <c r="BC203" s="271"/>
      <c r="BD203" s="279">
        <v>1</v>
      </c>
      <c r="BE203" s="271"/>
      <c r="BF203" s="271"/>
      <c r="BG203" s="271"/>
      <c r="BH203" s="271"/>
      <c r="BI203" s="271"/>
      <c r="BJ203" s="271"/>
      <c r="BK203" s="271"/>
      <c r="BL203" s="271"/>
    </row>
    <row r="204" spans="18:64" ht="21" customHeight="1" x14ac:dyDescent="0.25">
      <c r="R204" s="34" t="s">
        <v>497</v>
      </c>
      <c r="S204" s="451"/>
      <c r="T204" s="32" t="s">
        <v>322</v>
      </c>
      <c r="V204" s="475">
        <v>4</v>
      </c>
      <c r="W204" s="475" t="str">
        <f>IF($AC$204="","",$W$180)</f>
        <v/>
      </c>
      <c r="X204" s="476" t="str">
        <f>IF($AC$204="","",$X$180)</f>
        <v/>
      </c>
      <c r="Y204" s="477" t="str">
        <f>IF($X$204="","",$Y$180)</f>
        <v/>
      </c>
      <c r="Z204" s="477" t="str">
        <f>IF($X$204="","",$Z$180)</f>
        <v/>
      </c>
      <c r="AA204" s="477" t="str">
        <f>IF($AC$204="","",ROW($A$204)-ROW($A$180))</f>
        <v/>
      </c>
      <c r="AB204" s="478"/>
      <c r="AC204" s="34"/>
      <c r="AD204" s="356"/>
      <c r="AE204" s="18"/>
      <c r="AF204" s="19"/>
      <c r="AG204" s="480" t="str">
        <f t="shared" si="40"/>
        <v/>
      </c>
      <c r="AH204" s="481" t="str">
        <f t="shared" si="41"/>
        <v/>
      </c>
      <c r="AI204" s="477" t="str">
        <f>IF($AC$204="","",IFERROR(INDEX($AZ$74:$AZ$119,MATCH($AH$204,$AY$74:$AY$119,0)),"AUTRE"))</f>
        <v/>
      </c>
      <c r="AJ204" s="482" t="str">
        <f>IF($AC$204="","",IFERROR(INDEX($BA$74:$BA$119,MATCH($AH$204,$AY$74:$AY$119,0)),1))</f>
        <v/>
      </c>
      <c r="AK204" s="482" t="str">
        <f t="shared" si="42"/>
        <v/>
      </c>
      <c r="AL204" s="477" t="str">
        <f>IF($AC$204="","",IFERROR(INDEX($BB$74:$BB$119,MATCH($AH$204,$AY$74:$AY$119,0)),$AH$204))</f>
        <v/>
      </c>
      <c r="AM204" s="483" t="str">
        <f t="shared" si="43"/>
        <v/>
      </c>
      <c r="AN204" s="484" t="str">
        <f t="shared" si="44"/>
        <v/>
      </c>
      <c r="AO204" s="473" t="str">
        <f t="shared" si="45"/>
        <v/>
      </c>
      <c r="AP204" s="473" t="str">
        <f t="shared" si="46"/>
        <v/>
      </c>
      <c r="AQ204" s="473" t="str">
        <f t="shared" si="47"/>
        <v/>
      </c>
      <c r="AR204" s="473" t="str">
        <f t="shared" si="48"/>
        <v/>
      </c>
      <c r="AS204" s="473" t="str">
        <f t="shared" si="49"/>
        <v/>
      </c>
      <c r="AT204" s="473" t="str">
        <f t="shared" si="50"/>
        <v/>
      </c>
      <c r="AU204" s="473" t="str">
        <f t="shared" si="51"/>
        <v/>
      </c>
      <c r="AZ204" s="32" t="s">
        <v>8139</v>
      </c>
      <c r="BA204" s="34" t="s">
        <v>473</v>
      </c>
      <c r="BB204" s="499"/>
      <c r="BC204" s="271"/>
      <c r="BD204" s="279">
        <v>1</v>
      </c>
      <c r="BE204" s="271"/>
      <c r="BF204" s="271"/>
      <c r="BG204" s="271"/>
      <c r="BH204" s="271"/>
      <c r="BI204" s="271"/>
      <c r="BJ204" s="271"/>
      <c r="BK204" s="271"/>
      <c r="BL204" s="271"/>
    </row>
    <row r="205" spans="18:64" ht="21" customHeight="1" x14ac:dyDescent="0.25">
      <c r="R205" s="34" t="s">
        <v>470</v>
      </c>
      <c r="S205" s="451"/>
      <c r="T205" s="32" t="s">
        <v>305</v>
      </c>
      <c r="V205" s="475">
        <v>4</v>
      </c>
      <c r="W205" s="475" t="str">
        <f>IF($AC$205="","",$W$180)</f>
        <v/>
      </c>
      <c r="X205" s="476" t="str">
        <f>IF($AC$205="","",$X$180)</f>
        <v/>
      </c>
      <c r="Y205" s="477" t="str">
        <f>IF($X$205="","",$Y$180)</f>
        <v/>
      </c>
      <c r="Z205" s="477" t="str">
        <f>IF($X$205="","",$Z$180)</f>
        <v/>
      </c>
      <c r="AA205" s="477" t="str">
        <f>IF($AC$205="","",ROW($A$205)-ROW($A$180))</f>
        <v/>
      </c>
      <c r="AB205" s="478"/>
      <c r="AC205" s="34"/>
      <c r="AD205" s="356"/>
      <c r="AE205" s="18"/>
      <c r="AF205" s="19"/>
      <c r="AG205" s="480" t="str">
        <f t="shared" si="40"/>
        <v/>
      </c>
      <c r="AH205" s="481" t="str">
        <f t="shared" si="41"/>
        <v/>
      </c>
      <c r="AI205" s="477" t="str">
        <f>IF($AC$205="","",IFERROR(INDEX($AZ$74:$AZ$119,MATCH($AH$205,$AY$74:$AY$119,0)),"AUTRE"))</f>
        <v/>
      </c>
      <c r="AJ205" s="482" t="str">
        <f>IF($AC$205="","",IFERROR(INDEX($BA$74:$BA$119,MATCH($AH$205,$AY$74:$AY$119,0)),1))</f>
        <v/>
      </c>
      <c r="AK205" s="482" t="str">
        <f t="shared" si="42"/>
        <v/>
      </c>
      <c r="AL205" s="477" t="str">
        <f>IF($AC$205="","",IFERROR(INDEX($BB$74:$BB$119,MATCH($AH$205,$AY$74:$AY$119,0)),$AH$205))</f>
        <v/>
      </c>
      <c r="AM205" s="483" t="str">
        <f t="shared" si="43"/>
        <v/>
      </c>
      <c r="AN205" s="484" t="str">
        <f t="shared" si="44"/>
        <v/>
      </c>
      <c r="AO205" s="473" t="str">
        <f t="shared" si="45"/>
        <v/>
      </c>
      <c r="AP205" s="473" t="str">
        <f t="shared" si="46"/>
        <v/>
      </c>
      <c r="AQ205" s="473" t="str">
        <f t="shared" si="47"/>
        <v/>
      </c>
      <c r="AR205" s="473" t="str">
        <f t="shared" si="48"/>
        <v/>
      </c>
      <c r="AS205" s="473" t="str">
        <f t="shared" si="49"/>
        <v/>
      </c>
      <c r="AT205" s="473" t="str">
        <f t="shared" si="50"/>
        <v/>
      </c>
      <c r="AU205" s="473" t="str">
        <f t="shared" si="51"/>
        <v/>
      </c>
      <c r="AZ205" s="32" t="s">
        <v>8141</v>
      </c>
      <c r="BA205" s="34" t="s">
        <v>497</v>
      </c>
      <c r="BB205" s="499"/>
      <c r="BC205" s="271"/>
      <c r="BD205" s="279">
        <v>1</v>
      </c>
      <c r="BE205" s="271"/>
      <c r="BF205" s="271"/>
      <c r="BG205" s="271"/>
      <c r="BH205" s="271"/>
      <c r="BI205" s="271"/>
      <c r="BJ205" s="271"/>
      <c r="BK205" s="271"/>
      <c r="BL205" s="271"/>
    </row>
    <row r="206" spans="18:64" ht="21" customHeight="1" x14ac:dyDescent="0.25">
      <c r="R206" s="34" t="s">
        <v>477</v>
      </c>
      <c r="S206" s="451"/>
      <c r="T206" s="32" t="s">
        <v>309</v>
      </c>
      <c r="V206" s="475">
        <v>4</v>
      </c>
      <c r="W206" s="475" t="str">
        <f>IF($AC$206="","",$W$180)</f>
        <v/>
      </c>
      <c r="X206" s="476" t="str">
        <f>IF($AC$206="","",$X$180)</f>
        <v/>
      </c>
      <c r="Y206" s="477" t="str">
        <f>IF($X$206="","",$Y$180)</f>
        <v/>
      </c>
      <c r="Z206" s="477" t="str">
        <f>IF($X$206="","",$Z$180)</f>
        <v/>
      </c>
      <c r="AA206" s="477" t="str">
        <f>IF($AC$206="","",ROW($A$206)-ROW($A$180))</f>
        <v/>
      </c>
      <c r="AB206" s="478"/>
      <c r="AC206" s="34"/>
      <c r="AD206" s="356"/>
      <c r="AE206" s="18"/>
      <c r="AF206" s="19"/>
      <c r="AG206" s="480" t="str">
        <f t="shared" si="40"/>
        <v/>
      </c>
      <c r="AH206" s="481" t="str">
        <f t="shared" si="41"/>
        <v/>
      </c>
      <c r="AI206" s="477" t="str">
        <f>IF($AC$206="","",IFERROR(INDEX($AZ$74:$AZ$119,MATCH($AH$206,$AY$74:$AY$119,0)),"AUTRE"))</f>
        <v/>
      </c>
      <c r="AJ206" s="482" t="str">
        <f>IF($AC$206="","",IFERROR(INDEX($BA$74:$BA$119,MATCH($AH$206,$AY$74:$AY$119,0)),1))</f>
        <v/>
      </c>
      <c r="AK206" s="482" t="str">
        <f t="shared" si="42"/>
        <v/>
      </c>
      <c r="AL206" s="477" t="str">
        <f>IF($AC$206="","",IFERROR(INDEX($BB$74:$BB$119,MATCH($AH$206,$AY$74:$AY$119,0)),$AH$206))</f>
        <v/>
      </c>
      <c r="AM206" s="483" t="str">
        <f t="shared" si="43"/>
        <v/>
      </c>
      <c r="AN206" s="484" t="str">
        <f t="shared" si="44"/>
        <v/>
      </c>
      <c r="AO206" s="473" t="str">
        <f t="shared" si="45"/>
        <v/>
      </c>
      <c r="AP206" s="473" t="str">
        <f t="shared" si="46"/>
        <v/>
      </c>
      <c r="AQ206" s="473" t="str">
        <f t="shared" si="47"/>
        <v/>
      </c>
      <c r="AR206" s="473" t="str">
        <f t="shared" si="48"/>
        <v/>
      </c>
      <c r="AS206" s="473" t="str">
        <f t="shared" si="49"/>
        <v/>
      </c>
      <c r="AT206" s="473" t="str">
        <f t="shared" si="50"/>
        <v/>
      </c>
      <c r="AU206" s="473" t="str">
        <f t="shared" si="51"/>
        <v/>
      </c>
      <c r="AZ206" s="32" t="s">
        <v>8143</v>
      </c>
      <c r="BA206" s="34" t="s">
        <v>470</v>
      </c>
      <c r="BB206" s="499"/>
      <c r="BC206" s="271"/>
      <c r="BD206" s="279">
        <v>1</v>
      </c>
      <c r="BE206" s="271"/>
      <c r="BF206" s="271"/>
      <c r="BG206" s="271"/>
      <c r="BH206" s="271"/>
      <c r="BI206" s="271"/>
      <c r="BJ206" s="271"/>
      <c r="BK206" s="271"/>
      <c r="BL206" s="271"/>
    </row>
    <row r="207" spans="18:64" ht="21" customHeight="1" x14ac:dyDescent="0.25">
      <c r="S207" s="451"/>
      <c r="T207" s="32" t="s">
        <v>311</v>
      </c>
      <c r="V207" s="475">
        <v>4</v>
      </c>
      <c r="W207" s="475" t="str">
        <f>IF($AC$207="","",$W$180)</f>
        <v/>
      </c>
      <c r="X207" s="476" t="str">
        <f>IF($AC$207="","",$X$180)</f>
        <v/>
      </c>
      <c r="Y207" s="477" t="str">
        <f>IF($X$207="","",$Y$180)</f>
        <v/>
      </c>
      <c r="Z207" s="477" t="str">
        <f>IF($X$207="","",$Z$180)</f>
        <v/>
      </c>
      <c r="AA207" s="477" t="str">
        <f>IF($AC$207="","",ROW($A$207)-ROW($A$180))</f>
        <v/>
      </c>
      <c r="AB207" s="478"/>
      <c r="AC207" s="34"/>
      <c r="AD207" s="356"/>
      <c r="AE207" s="18"/>
      <c r="AF207" s="19"/>
      <c r="AG207" s="480" t="str">
        <f t="shared" si="40"/>
        <v/>
      </c>
      <c r="AH207" s="481" t="str">
        <f t="shared" si="41"/>
        <v/>
      </c>
      <c r="AI207" s="477" t="str">
        <f>IF($AC$207="","",IFERROR(INDEX($AZ$74:$AZ$119,MATCH($AH$207,$AY$74:$AY$119,0)),"AUTRE"))</f>
        <v/>
      </c>
      <c r="AJ207" s="482" t="str">
        <f>IF($AC$207="","",IFERROR(INDEX($BA$74:$BA$119,MATCH($AH$207,$AY$74:$AY$119,0)),1))</f>
        <v/>
      </c>
      <c r="AK207" s="482" t="str">
        <f t="shared" si="42"/>
        <v/>
      </c>
      <c r="AL207" s="477" t="str">
        <f>IF($AC$207="","",IFERROR(INDEX($BB$74:$BB$119,MATCH($AH$207,$AY$74:$AY$119,0)),$AH$207))</f>
        <v/>
      </c>
      <c r="AM207" s="483" t="str">
        <f t="shared" si="43"/>
        <v/>
      </c>
      <c r="AN207" s="484" t="str">
        <f t="shared" si="44"/>
        <v/>
      </c>
      <c r="AO207" s="473" t="str">
        <f t="shared" si="45"/>
        <v/>
      </c>
      <c r="AP207" s="473" t="str">
        <f t="shared" si="46"/>
        <v/>
      </c>
      <c r="AQ207" s="473" t="str">
        <f t="shared" si="47"/>
        <v/>
      </c>
      <c r="AR207" s="473" t="str">
        <f t="shared" si="48"/>
        <v/>
      </c>
      <c r="AS207" s="473" t="str">
        <f t="shared" si="49"/>
        <v/>
      </c>
      <c r="AT207" s="473" t="str">
        <f t="shared" si="50"/>
        <v/>
      </c>
      <c r="AU207" s="473" t="str">
        <f t="shared" si="51"/>
        <v/>
      </c>
      <c r="AZ207" s="497" t="s">
        <v>8145</v>
      </c>
      <c r="BA207" s="34" t="s">
        <v>477</v>
      </c>
      <c r="BB207" s="499"/>
      <c r="BC207" s="271"/>
      <c r="BD207" s="279">
        <v>1</v>
      </c>
      <c r="BE207" s="271"/>
      <c r="BF207" s="271"/>
      <c r="BG207" s="271"/>
      <c r="BH207" s="271"/>
      <c r="BI207" s="271"/>
      <c r="BJ207" s="271"/>
      <c r="BK207" s="271"/>
      <c r="BL207" s="271"/>
    </row>
    <row r="208" spans="18:64" ht="21" customHeight="1" x14ac:dyDescent="0.25">
      <c r="R208" s="25" t="s">
        <v>6134</v>
      </c>
      <c r="S208" s="451"/>
      <c r="T208" s="32" t="s">
        <v>8135</v>
      </c>
      <c r="V208" s="475">
        <v>4</v>
      </c>
      <c r="W208" s="475" t="str">
        <f>IF($AC$208="","",$W$180)</f>
        <v/>
      </c>
      <c r="X208" s="476" t="str">
        <f>IF($AC$208="","",$X$180)</f>
        <v/>
      </c>
      <c r="Y208" s="477" t="str">
        <f>IF($X$208="","",$Y$180)</f>
        <v/>
      </c>
      <c r="Z208" s="477" t="str">
        <f>IF($X$208="","",$Z$180)</f>
        <v/>
      </c>
      <c r="AA208" s="477" t="str">
        <f>IF($AC$208="","",ROW($A$208)-ROW($A$180))</f>
        <v/>
      </c>
      <c r="AB208" s="478"/>
      <c r="AC208" s="34"/>
      <c r="AD208" s="356"/>
      <c r="AE208" s="18"/>
      <c r="AF208" s="19"/>
      <c r="AG208" s="480" t="str">
        <f t="shared" si="40"/>
        <v/>
      </c>
      <c r="AH208" s="481" t="str">
        <f t="shared" si="41"/>
        <v/>
      </c>
      <c r="AI208" s="477" t="str">
        <f>IF($AC$208="","",IFERROR(INDEX($AZ$74:$AZ$119,MATCH($AH$208,$AY$74:$AY$119,0)),"AUTRE"))</f>
        <v/>
      </c>
      <c r="AJ208" s="482" t="str">
        <f>IF($AC$208="","",IFERROR(INDEX($BA$74:$BA$119,MATCH($AH$208,$AY$74:$AY$119,0)),1))</f>
        <v/>
      </c>
      <c r="AK208" s="482" t="str">
        <f t="shared" si="42"/>
        <v/>
      </c>
      <c r="AL208" s="477" t="str">
        <f>IF($AC$208="","",IFERROR(INDEX($BB$74:$BB$119,MATCH($AH$208,$AY$74:$AY$119,0)),$AH$208))</f>
        <v/>
      </c>
      <c r="AM208" s="483" t="str">
        <f t="shared" si="43"/>
        <v/>
      </c>
      <c r="AN208" s="484" t="str">
        <f t="shared" si="44"/>
        <v/>
      </c>
      <c r="AO208" s="473" t="str">
        <f t="shared" si="45"/>
        <v/>
      </c>
      <c r="AP208" s="473" t="str">
        <f t="shared" si="46"/>
        <v/>
      </c>
      <c r="AQ208" s="473" t="str">
        <f t="shared" si="47"/>
        <v/>
      </c>
      <c r="AR208" s="473" t="str">
        <f t="shared" si="48"/>
        <v/>
      </c>
      <c r="AS208" s="473" t="str">
        <f t="shared" si="49"/>
        <v/>
      </c>
      <c r="AT208" s="473" t="str">
        <f t="shared" si="50"/>
        <v/>
      </c>
      <c r="AU208" s="473" t="str">
        <f t="shared" si="51"/>
        <v/>
      </c>
      <c r="AY208" s="271"/>
      <c r="AZ208" s="497" t="s">
        <v>462</v>
      </c>
      <c r="BB208" s="499"/>
      <c r="BC208" s="271"/>
      <c r="BD208" s="279">
        <v>1</v>
      </c>
      <c r="BE208" s="271"/>
      <c r="BF208" s="271"/>
      <c r="BG208" s="271"/>
      <c r="BH208" s="271"/>
      <c r="BI208" s="271"/>
      <c r="BJ208" s="271"/>
      <c r="BK208" s="271"/>
      <c r="BL208" s="271"/>
    </row>
    <row r="209" spans="18:64" ht="21" customHeight="1" x14ac:dyDescent="0.25">
      <c r="R209" s="34" t="s">
        <v>481</v>
      </c>
      <c r="S209" s="451"/>
      <c r="T209" s="497" t="s">
        <v>462</v>
      </c>
      <c r="V209" s="475">
        <v>4</v>
      </c>
      <c r="W209" s="475" t="str">
        <f>IF($AC$209="","",$W$180)</f>
        <v/>
      </c>
      <c r="X209" s="476" t="str">
        <f>IF($AC$209="","",$X$180)</f>
        <v/>
      </c>
      <c r="Y209" s="477" t="str">
        <f>IF($X$209="","",$Y$180)</f>
        <v/>
      </c>
      <c r="Z209" s="477" t="str">
        <f>IF($X$209="","",$Z$180)</f>
        <v/>
      </c>
      <c r="AA209" s="477" t="str">
        <f>IF($AC$209="","",ROW($A$209)-ROW($A$180))</f>
        <v/>
      </c>
      <c r="AB209" s="478"/>
      <c r="AC209" s="34"/>
      <c r="AD209" s="356"/>
      <c r="AE209" s="18"/>
      <c r="AF209" s="19"/>
      <c r="AG209" s="480" t="str">
        <f t="shared" si="40"/>
        <v/>
      </c>
      <c r="AH209" s="481" t="str">
        <f t="shared" si="41"/>
        <v/>
      </c>
      <c r="AI209" s="477" t="str">
        <f>IF($AC$209="","",IFERROR(INDEX($AZ$74:$AZ$119,MATCH($AH$209,$AY$74:$AY$119,0)),"AUTRE"))</f>
        <v/>
      </c>
      <c r="AJ209" s="482" t="str">
        <f>IF($AC$209="","",IFERROR(INDEX($BA$74:$BA$119,MATCH($AH$209,$AY$74:$AY$119,0)),1))</f>
        <v/>
      </c>
      <c r="AK209" s="482" t="str">
        <f t="shared" si="42"/>
        <v/>
      </c>
      <c r="AL209" s="477" t="str">
        <f>IF($AC$209="","",IFERROR(INDEX($BB$74:$BB$119,MATCH($AH$209,$AY$74:$AY$119,0)),$AH$209))</f>
        <v/>
      </c>
      <c r="AM209" s="483" t="str">
        <f t="shared" si="43"/>
        <v/>
      </c>
      <c r="AN209" s="484" t="str">
        <f t="shared" si="44"/>
        <v/>
      </c>
      <c r="AO209" s="473" t="str">
        <f t="shared" si="45"/>
        <v/>
      </c>
      <c r="AP209" s="473" t="str">
        <f t="shared" si="46"/>
        <v/>
      </c>
      <c r="AQ209" s="473" t="str">
        <f t="shared" si="47"/>
        <v/>
      </c>
      <c r="AR209" s="473" t="str">
        <f t="shared" si="48"/>
        <v/>
      </c>
      <c r="AS209" s="473" t="str">
        <f t="shared" si="49"/>
        <v/>
      </c>
      <c r="AT209" s="473" t="str">
        <f t="shared" si="50"/>
        <v/>
      </c>
      <c r="AU209" s="473" t="str">
        <f t="shared" si="51"/>
        <v/>
      </c>
      <c r="AY209" s="497" t="s">
        <v>8145</v>
      </c>
      <c r="AZ209" s="497" t="s">
        <v>463</v>
      </c>
      <c r="BA209" s="25" t="s">
        <v>6134</v>
      </c>
      <c r="BB209" s="499"/>
      <c r="BC209" s="271"/>
      <c r="BD209" s="279">
        <v>1</v>
      </c>
      <c r="BE209" s="271"/>
      <c r="BF209" s="271"/>
      <c r="BG209" s="271"/>
      <c r="BH209" s="271"/>
      <c r="BI209" s="271"/>
      <c r="BJ209" s="271"/>
      <c r="BK209" s="271"/>
      <c r="BL209" s="271"/>
    </row>
    <row r="210" spans="18:64" ht="21" customHeight="1" x14ac:dyDescent="0.25">
      <c r="R210" s="34" t="s">
        <v>475</v>
      </c>
      <c r="S210" s="451"/>
      <c r="T210" s="497" t="s">
        <v>463</v>
      </c>
      <c r="V210" s="475">
        <v>4</v>
      </c>
      <c r="W210" s="475" t="str">
        <f>IF($AC$210="","",$W$180)</f>
        <v/>
      </c>
      <c r="X210" s="476" t="str">
        <f>IF($AC$210="","",$X$180)</f>
        <v/>
      </c>
      <c r="Y210" s="477" t="str">
        <f>IF($X$210="","",$Y$180)</f>
        <v/>
      </c>
      <c r="Z210" s="477" t="str">
        <f>IF($X$210="","",$Z$180)</f>
        <v/>
      </c>
      <c r="AA210" s="477" t="str">
        <f>IF($AC$210="","",ROW($A$210)-ROW($A$180))</f>
        <v/>
      </c>
      <c r="AB210" s="478"/>
      <c r="AC210" s="34"/>
      <c r="AD210" s="356"/>
      <c r="AE210" s="18"/>
      <c r="AF210" s="19"/>
      <c r="AG210" s="480" t="str">
        <f t="shared" si="40"/>
        <v/>
      </c>
      <c r="AH210" s="481" t="str">
        <f t="shared" si="41"/>
        <v/>
      </c>
      <c r="AI210" s="477" t="str">
        <f>IF($AC$210="","",IFERROR(INDEX($AZ$74:$AZ$119,MATCH($AH$210,$AY$74:$AY$119,0)),"AUTRE"))</f>
        <v/>
      </c>
      <c r="AJ210" s="482" t="str">
        <f>IF($AC$210="","",IFERROR(INDEX($BA$74:$BA$119,MATCH($AH$210,$AY$74:$AY$119,0)),1))</f>
        <v/>
      </c>
      <c r="AK210" s="482" t="str">
        <f t="shared" si="42"/>
        <v/>
      </c>
      <c r="AL210" s="477" t="str">
        <f>IF($AC$210="","",IFERROR(INDEX($BB$74:$BB$119,MATCH($AH$210,$AY$74:$AY$119,0)),$AH$210))</f>
        <v/>
      </c>
      <c r="AM210" s="483" t="str">
        <f t="shared" si="43"/>
        <v/>
      </c>
      <c r="AN210" s="484" t="str">
        <f t="shared" si="44"/>
        <v/>
      </c>
      <c r="AO210" s="473" t="str">
        <f t="shared" si="45"/>
        <v/>
      </c>
      <c r="AP210" s="473" t="str">
        <f t="shared" si="46"/>
        <v/>
      </c>
      <c r="AQ210" s="473" t="str">
        <f t="shared" si="47"/>
        <v/>
      </c>
      <c r="AR210" s="473" t="str">
        <f t="shared" si="48"/>
        <v/>
      </c>
      <c r="AS210" s="473" t="str">
        <f t="shared" si="49"/>
        <v/>
      </c>
      <c r="AT210" s="473" t="str">
        <f t="shared" si="50"/>
        <v/>
      </c>
      <c r="AU210" s="473" t="str">
        <f t="shared" si="51"/>
        <v/>
      </c>
      <c r="AY210" s="497" t="s">
        <v>462</v>
      </c>
      <c r="AZ210" s="497" t="s">
        <v>8147</v>
      </c>
      <c r="BA210" s="34" t="s">
        <v>481</v>
      </c>
      <c r="BB210" s="499"/>
      <c r="BC210" s="271"/>
      <c r="BD210" s="279">
        <v>1</v>
      </c>
      <c r="BE210" s="271"/>
      <c r="BF210" s="271"/>
      <c r="BG210" s="271"/>
      <c r="BH210" s="271"/>
      <c r="BI210" s="271"/>
      <c r="BJ210" s="271"/>
      <c r="BK210" s="271"/>
      <c r="BL210" s="271"/>
    </row>
    <row r="211" spans="18:64" ht="21" customHeight="1" x14ac:dyDescent="0.25">
      <c r="R211" s="34" t="s">
        <v>457</v>
      </c>
      <c r="S211" s="451"/>
      <c r="T211" s="497" t="s">
        <v>8147</v>
      </c>
      <c r="V211" s="475">
        <v>4</v>
      </c>
      <c r="W211" s="475" t="str">
        <f>IF($AC$211="","",$W$180)</f>
        <v/>
      </c>
      <c r="X211" s="476" t="str">
        <f>IF($AC$211="","",$X$180)</f>
        <v/>
      </c>
      <c r="Y211" s="477" t="str">
        <f>IF($X$211="","",$Y$180)</f>
        <v/>
      </c>
      <c r="Z211" s="477" t="str">
        <f>IF($X$211="","",$Z$180)</f>
        <v/>
      </c>
      <c r="AA211" s="477" t="str">
        <f>IF($AC$211="","",ROW($A$211)-ROW($A$180))</f>
        <v/>
      </c>
      <c r="AB211" s="478"/>
      <c r="AC211" s="34"/>
      <c r="AD211" s="356"/>
      <c r="AE211" s="18"/>
      <c r="AF211" s="19"/>
      <c r="AG211" s="480" t="str">
        <f t="shared" si="40"/>
        <v/>
      </c>
      <c r="AH211" s="481" t="str">
        <f t="shared" si="41"/>
        <v/>
      </c>
      <c r="AI211" s="477" t="str">
        <f>IF($AC$211="","",IFERROR(INDEX($AZ$74:$AZ$119,MATCH($AH$211,$AY$74:$AY$119,0)),"AUTRE"))</f>
        <v/>
      </c>
      <c r="AJ211" s="482" t="str">
        <f>IF($AC$211="","",IFERROR(INDEX($BA$74:$BA$119,MATCH($AH$211,$AY$74:$AY$119,0)),1))</f>
        <v/>
      </c>
      <c r="AK211" s="482" t="str">
        <f t="shared" si="42"/>
        <v/>
      </c>
      <c r="AL211" s="477" t="str">
        <f>IF($AC$211="","",IFERROR(INDEX($BB$74:$BB$119,MATCH($AH$211,$AY$74:$AY$119,0)),$AH$211))</f>
        <v/>
      </c>
      <c r="AM211" s="483" t="str">
        <f t="shared" si="43"/>
        <v/>
      </c>
      <c r="AN211" s="484" t="str">
        <f t="shared" si="44"/>
        <v/>
      </c>
      <c r="AO211" s="473" t="str">
        <f t="shared" si="45"/>
        <v/>
      </c>
      <c r="AP211" s="473" t="str">
        <f t="shared" si="46"/>
        <v/>
      </c>
      <c r="AQ211" s="473" t="str">
        <f t="shared" si="47"/>
        <v/>
      </c>
      <c r="AR211" s="473" t="str">
        <f t="shared" si="48"/>
        <v/>
      </c>
      <c r="AS211" s="473" t="str">
        <f t="shared" si="49"/>
        <v/>
      </c>
      <c r="AT211" s="473" t="str">
        <f t="shared" si="50"/>
        <v/>
      </c>
      <c r="AU211" s="473" t="str">
        <f t="shared" si="51"/>
        <v/>
      </c>
      <c r="AY211" s="497" t="s">
        <v>463</v>
      </c>
      <c r="AZ211" s="497" t="s">
        <v>465</v>
      </c>
      <c r="BA211" s="34" t="s">
        <v>475</v>
      </c>
      <c r="BB211" s="499"/>
      <c r="BC211" s="271"/>
      <c r="BD211" s="279">
        <v>1</v>
      </c>
      <c r="BE211" s="271"/>
      <c r="BF211" s="271"/>
      <c r="BG211" s="271"/>
      <c r="BH211" s="271"/>
      <c r="BI211" s="271"/>
      <c r="BJ211" s="271"/>
      <c r="BK211" s="271"/>
      <c r="BL211" s="271"/>
    </row>
    <row r="212" spans="18:64" ht="21" customHeight="1" x14ac:dyDescent="0.25">
      <c r="R212" s="34" t="s">
        <v>482</v>
      </c>
      <c r="S212" s="451"/>
      <c r="T212" s="497" t="s">
        <v>465</v>
      </c>
      <c r="V212" s="475">
        <v>4</v>
      </c>
      <c r="W212" s="475" t="str">
        <f>IF($AC$212="","",$W$180)</f>
        <v/>
      </c>
      <c r="X212" s="476" t="str">
        <f>IF($AC$212="","",$X$180)</f>
        <v/>
      </c>
      <c r="Y212" s="477" t="str">
        <f>IF($X$212="","",$Y$180)</f>
        <v/>
      </c>
      <c r="Z212" s="477" t="str">
        <f>IF($X$212="","",$Z$180)</f>
        <v/>
      </c>
      <c r="AA212" s="477" t="str">
        <f>IF($AC$212="","",ROW($A$212)-ROW($A$180))</f>
        <v/>
      </c>
      <c r="AB212" s="478"/>
      <c r="AC212" s="34"/>
      <c r="AD212" s="356"/>
      <c r="AE212" s="18"/>
      <c r="AF212" s="19"/>
      <c r="AG212" s="480" t="str">
        <f t="shared" si="40"/>
        <v/>
      </c>
      <c r="AH212" s="481" t="str">
        <f t="shared" si="41"/>
        <v/>
      </c>
      <c r="AI212" s="477" t="str">
        <f>IF($AC$212="","",IFERROR(INDEX($AZ$74:$AZ$119,MATCH($AH$212,$AY$74:$AY$119,0)),"AUTRE"))</f>
        <v/>
      </c>
      <c r="AJ212" s="482" t="str">
        <f>IF($AC$212="","",IFERROR(INDEX($BA$74:$BA$119,MATCH($AH$212,$AY$74:$AY$119,0)),1))</f>
        <v/>
      </c>
      <c r="AK212" s="482" t="str">
        <f t="shared" si="42"/>
        <v/>
      </c>
      <c r="AL212" s="477" t="str">
        <f>IF($AC$212="","",IFERROR(INDEX($BB$74:$BB$119,MATCH($AH$212,$AY$74:$AY$119,0)),$AH$212))</f>
        <v/>
      </c>
      <c r="AM212" s="483" t="str">
        <f t="shared" si="43"/>
        <v/>
      </c>
      <c r="AN212" s="484" t="str">
        <f t="shared" si="44"/>
        <v/>
      </c>
      <c r="AO212" s="473" t="str">
        <f t="shared" si="45"/>
        <v/>
      </c>
      <c r="AP212" s="473" t="str">
        <f t="shared" si="46"/>
        <v/>
      </c>
      <c r="AQ212" s="473" t="str">
        <f t="shared" si="47"/>
        <v/>
      </c>
      <c r="AR212" s="473" t="str">
        <f t="shared" si="48"/>
        <v/>
      </c>
      <c r="AS212" s="473" t="str">
        <f t="shared" si="49"/>
        <v/>
      </c>
      <c r="AT212" s="473" t="str">
        <f t="shared" si="50"/>
        <v/>
      </c>
      <c r="AU212" s="473" t="str">
        <f t="shared" si="51"/>
        <v/>
      </c>
      <c r="AY212" s="497" t="s">
        <v>8147</v>
      </c>
      <c r="AZ212" s="497" t="s">
        <v>466</v>
      </c>
      <c r="BA212" s="34" t="s">
        <v>457</v>
      </c>
      <c r="BB212" s="499"/>
      <c r="BC212" s="271"/>
      <c r="BD212" s="279">
        <v>1</v>
      </c>
      <c r="BE212" s="271"/>
      <c r="BF212" s="271"/>
      <c r="BG212" s="271"/>
      <c r="BH212" s="271"/>
      <c r="BI212" s="271"/>
      <c r="BJ212" s="271"/>
      <c r="BK212" s="271"/>
      <c r="BL212" s="271"/>
    </row>
    <row r="213" spans="18:64" ht="21" customHeight="1" x14ac:dyDescent="0.25">
      <c r="R213" s="34" t="s">
        <v>496</v>
      </c>
      <c r="S213" s="451"/>
      <c r="T213" s="497" t="s">
        <v>466</v>
      </c>
      <c r="V213" s="475">
        <v>4</v>
      </c>
      <c r="W213" s="475" t="str">
        <f>IF($AC$213="","",$W$180)</f>
        <v/>
      </c>
      <c r="X213" s="476" t="str">
        <f>IF($AC$213="","",$X$180)</f>
        <v/>
      </c>
      <c r="Y213" s="477" t="str">
        <f>IF($X$213="","",$Y$180)</f>
        <v/>
      </c>
      <c r="Z213" s="477" t="str">
        <f>IF($X$213="","",$Z$180)</f>
        <v/>
      </c>
      <c r="AA213" s="477" t="str">
        <f>IF($AC$213="","",ROW($A$213)-ROW($A$180))</f>
        <v/>
      </c>
      <c r="AB213" s="478"/>
      <c r="AC213" s="34"/>
      <c r="AD213" s="356"/>
      <c r="AE213" s="18"/>
      <c r="AF213" s="19"/>
      <c r="AG213" s="480" t="str">
        <f t="shared" si="40"/>
        <v/>
      </c>
      <c r="AH213" s="481" t="str">
        <f t="shared" si="41"/>
        <v/>
      </c>
      <c r="AI213" s="477" t="str">
        <f>IF($AC$213="","",IFERROR(INDEX($AZ$74:$AZ$119,MATCH($AH$213,$AY$74:$AY$119,0)),"AUTRE"))</f>
        <v/>
      </c>
      <c r="AJ213" s="482" t="str">
        <f>IF($AC$213="","",IFERROR(INDEX($BA$74:$BA$119,MATCH($AH$213,$AY$74:$AY$119,0)),1))</f>
        <v/>
      </c>
      <c r="AK213" s="482" t="str">
        <f t="shared" si="42"/>
        <v/>
      </c>
      <c r="AL213" s="477" t="str">
        <f>IF($AC$213="","",IFERROR(INDEX($BB$74:$BB$119,MATCH($AH$213,$AY$74:$AY$119,0)),$AH$213))</f>
        <v/>
      </c>
      <c r="AM213" s="483" t="str">
        <f t="shared" si="43"/>
        <v/>
      </c>
      <c r="AN213" s="484" t="str">
        <f t="shared" si="44"/>
        <v/>
      </c>
      <c r="AO213" s="473" t="str">
        <f t="shared" si="45"/>
        <v/>
      </c>
      <c r="AP213" s="473" t="str">
        <f t="shared" si="46"/>
        <v/>
      </c>
      <c r="AQ213" s="473" t="str">
        <f t="shared" si="47"/>
        <v/>
      </c>
      <c r="AR213" s="473" t="str">
        <f t="shared" si="48"/>
        <v/>
      </c>
      <c r="AS213" s="473" t="str">
        <f t="shared" si="49"/>
        <v/>
      </c>
      <c r="AT213" s="473" t="str">
        <f t="shared" si="50"/>
        <v/>
      </c>
      <c r="AU213" s="473" t="str">
        <f t="shared" si="51"/>
        <v/>
      </c>
      <c r="AY213" s="497" t="s">
        <v>465</v>
      </c>
      <c r="AZ213" s="14" t="s">
        <v>7</v>
      </c>
      <c r="BA213" s="34" t="s">
        <v>482</v>
      </c>
      <c r="BB213" s="499"/>
      <c r="BC213" s="271"/>
      <c r="BD213" s="279">
        <v>1</v>
      </c>
      <c r="BE213" s="271"/>
      <c r="BF213" s="271"/>
      <c r="BG213" s="271"/>
      <c r="BH213" s="271"/>
      <c r="BI213" s="271"/>
      <c r="BJ213" s="271"/>
      <c r="BK213" s="271"/>
      <c r="BL213" s="271"/>
    </row>
    <row r="214" spans="18:64" ht="21" customHeight="1" x14ac:dyDescent="0.25">
      <c r="R214" s="34" t="s">
        <v>483</v>
      </c>
      <c r="S214" s="451"/>
      <c r="T214" s="440" t="s">
        <v>8110</v>
      </c>
      <c r="V214" s="475">
        <v>4</v>
      </c>
      <c r="W214" s="475" t="str">
        <f>IF($AC$214="","",$W$180)</f>
        <v>N° 37</v>
      </c>
      <c r="X214" s="476" t="str">
        <f>IF($AC$214="","",$X$180)</f>
        <v>PANINI ALLA GRIGLIA</v>
      </c>
      <c r="Y214" s="477">
        <f>IF($X$214="","",$Y$180)</f>
        <v>54</v>
      </c>
      <c r="Z214" s="477">
        <f>IF($X$214="","",$Z$180)</f>
        <v>100</v>
      </c>
      <c r="AA214" s="477">
        <f>IF($AC$214="","",ROW($A$214)-ROW($A$180))</f>
        <v>34</v>
      </c>
      <c r="AB214" s="478"/>
      <c r="AC214" s="34" t="s">
        <v>457</v>
      </c>
      <c r="AD214" s="356"/>
      <c r="AE214" s="18">
        <v>6</v>
      </c>
      <c r="AF214" s="33" t="s">
        <v>465</v>
      </c>
      <c r="AG214" s="491">
        <f t="shared" si="40"/>
        <v>6</v>
      </c>
      <c r="AH214" s="481" t="str">
        <f t="shared" si="41"/>
        <v>GRILLE(S)</v>
      </c>
      <c r="AI214" s="477" t="str">
        <f>IF($AC$214="","",IFERROR(INDEX($AZ$74:$AZ$119,MATCH($AH$214,$AY$74:$AY$119,0)),"AUTRE"))</f>
        <v>AUTRE</v>
      </c>
      <c r="AJ214" s="482">
        <f>IF($AC$214="","",IFERROR(INDEX($BA$74:$BA$119,MATCH($AH$214,$AY$74:$AY$119,0)),1))</f>
        <v>1</v>
      </c>
      <c r="AK214" s="482">
        <f t="shared" si="42"/>
        <v>6</v>
      </c>
      <c r="AL214" s="477" t="str">
        <f>IF($AC$214="","",IFERROR(INDEX($BB$74:$BB$119,MATCH($AH$214,$AY$74:$AY$119,0)),$AH$214))</f>
        <v>grille(s)</v>
      </c>
      <c r="AM214" s="483" t="str">
        <f t="shared" si="43"/>
        <v>OK</v>
      </c>
      <c r="AN214" s="484">
        <f t="shared" si="44"/>
        <v>6</v>
      </c>
      <c r="AO214" s="473" t="str">
        <f t="shared" si="45"/>
        <v/>
      </c>
      <c r="AP214" s="473" t="str">
        <f t="shared" si="46"/>
        <v/>
      </c>
      <c r="AQ214" s="473" t="str">
        <f t="shared" si="47"/>
        <v/>
      </c>
      <c r="AR214" s="473" t="str">
        <f t="shared" si="48"/>
        <v/>
      </c>
      <c r="AS214" s="473" t="str">
        <f t="shared" si="49"/>
        <v/>
      </c>
      <c r="AT214" s="473" t="str">
        <f t="shared" si="50"/>
        <v/>
      </c>
      <c r="AU214" s="473" t="str">
        <f t="shared" si="51"/>
        <v/>
      </c>
      <c r="AY214" s="497" t="s">
        <v>466</v>
      </c>
      <c r="AZ214" s="27" t="s">
        <v>8</v>
      </c>
      <c r="BA214" s="34" t="s">
        <v>496</v>
      </c>
      <c r="BB214" s="499"/>
      <c r="BC214" s="271"/>
      <c r="BD214" s="279">
        <v>1</v>
      </c>
      <c r="BE214" s="271"/>
      <c r="BF214" s="271"/>
      <c r="BG214" s="271"/>
      <c r="BH214" s="271"/>
      <c r="BI214" s="271"/>
      <c r="BJ214" s="271"/>
      <c r="BK214" s="271"/>
      <c r="BL214" s="271"/>
    </row>
    <row r="215" spans="18:64" ht="30" customHeight="1" x14ac:dyDescent="0.25">
      <c r="R215" s="34" t="s">
        <v>493</v>
      </c>
      <c r="S215" s="451"/>
      <c r="T215" s="452" t="s">
        <v>8113</v>
      </c>
      <c r="V215" s="453" t="s">
        <v>324</v>
      </c>
      <c r="W215" s="453" t="s">
        <v>7912</v>
      </c>
      <c r="X215" s="453" t="s">
        <v>326</v>
      </c>
      <c r="Y215" s="453" t="s">
        <v>327</v>
      </c>
      <c r="Z215" s="454" t="s">
        <v>7930</v>
      </c>
      <c r="AA215" s="453" t="s">
        <v>7937</v>
      </c>
      <c r="AB215" s="455" t="s">
        <v>39</v>
      </c>
      <c r="AC215" s="455" t="s">
        <v>338</v>
      </c>
      <c r="AD215" s="455" t="s">
        <v>8114</v>
      </c>
      <c r="AE215" s="455" t="s">
        <v>339</v>
      </c>
      <c r="AF215" s="455" t="s">
        <v>7997</v>
      </c>
      <c r="AG215" s="453" t="s">
        <v>8018</v>
      </c>
      <c r="AH215" s="453" t="s">
        <v>8023</v>
      </c>
      <c r="AI215" s="453" t="s">
        <v>330</v>
      </c>
      <c r="AJ215" s="453" t="s">
        <v>8031</v>
      </c>
      <c r="AK215" s="453" t="s">
        <v>8037</v>
      </c>
      <c r="AL215" s="453" t="s">
        <v>8041</v>
      </c>
      <c r="AM215" s="453" t="s">
        <v>343</v>
      </c>
      <c r="AN215" s="457" t="s">
        <v>8115</v>
      </c>
      <c r="AO215" s="457" t="s">
        <v>8116</v>
      </c>
      <c r="AP215" s="656" t="s">
        <v>8117</v>
      </c>
      <c r="AQ215" s="656"/>
      <c r="AR215" s="656"/>
      <c r="AS215" s="656"/>
      <c r="AT215" s="656"/>
      <c r="AU215" s="657"/>
      <c r="AZ215" s="28" t="s">
        <v>13</v>
      </c>
      <c r="BA215" s="34" t="s">
        <v>483</v>
      </c>
      <c r="BB215" s="499"/>
      <c r="BC215" s="271"/>
      <c r="BD215" s="279">
        <v>1</v>
      </c>
      <c r="BE215" s="271"/>
      <c r="BF215" s="271"/>
      <c r="BG215" s="271"/>
      <c r="BH215" s="271"/>
      <c r="BI215" s="271"/>
      <c r="BJ215" s="271"/>
      <c r="BK215" s="271"/>
      <c r="BL215" s="271"/>
    </row>
    <row r="216" spans="18:64" ht="30" customHeight="1" x14ac:dyDescent="0.25">
      <c r="R216" s="34" t="s">
        <v>494</v>
      </c>
      <c r="S216" s="451"/>
      <c r="T216" s="14" t="s">
        <v>7</v>
      </c>
      <c r="V216" s="459">
        <v>5</v>
      </c>
      <c r="W216" s="460" t="s">
        <v>237</v>
      </c>
      <c r="X216" s="461" t="s">
        <v>238</v>
      </c>
      <c r="Y216" s="462">
        <v>55</v>
      </c>
      <c r="Z216" s="463">
        <v>100</v>
      </c>
      <c r="AA216" s="464">
        <f>IF($AC$396="","",ROW($A$396)-ROW($A$396))</f>
        <v>0</v>
      </c>
      <c r="AB216" s="461"/>
      <c r="AC216" s="465" t="s">
        <v>507</v>
      </c>
      <c r="AD216" s="390"/>
      <c r="AE216" s="13">
        <v>6.6</v>
      </c>
      <c r="AF216" s="11" t="s">
        <v>7</v>
      </c>
      <c r="AG216" s="467">
        <f t="shared" ref="AG216:AG250" si="52">IF($AC216="","",IF(LEN($AN216&amp;"")=0,"",$AN216))</f>
        <v>6.6</v>
      </c>
      <c r="AH216" s="468" t="str">
        <f t="shared" ref="AH216:AH250" si="53">IF($AC216="","",IF($AF216&lt;&gt;"",UPPER(TRIM(SUBSTITUTE(SUBSTITUTE($AF216&amp;"",CHAR(160)," ")," "," "))),$AP216))</f>
        <v>KG</v>
      </c>
      <c r="AI216" s="469" t="str">
        <f>IF($AC$216="","",IFERROR(INDEX($AZ$74:$AZ$119,MATCH($AH$216,$AY$74:$AY$119,0)),"AUTRE"))</f>
        <v>MASSE</v>
      </c>
      <c r="AJ216" s="470">
        <f>IF($AC$216="","",IFERROR(INDEX($BA$74:$BA$119,MATCH($AH$216,$AY$74:$AY$119,0)),1))</f>
        <v>1</v>
      </c>
      <c r="AK216" s="470">
        <f t="shared" ref="AK216:AK250" si="54">IF(OR(AG216="",AJ216=""),"",AG216*AJ216)</f>
        <v>6.6</v>
      </c>
      <c r="AL216" s="469" t="str">
        <f>IF($AC$216="","",IFERROR(INDEX($BB$74:$BB$119,MATCH($AH$216,$AY$74:$AY$119,0)),$AH$216))</f>
        <v>kg</v>
      </c>
      <c r="AM216" s="471" t="str">
        <f t="shared" ref="AM216:AM250" si="55">IF($AC216="","",IF($AH216="QT. SUFFISANTE","OK",IF($AG216="","TEXTE",IF(NOT(ISNUMBER($AG216)),"QUANTITÉ À CONTRÔLER",IF(COUNTIF($AY$74:$AY$119,$AH216)=0,"UNITÉ À CONTRÔLER","OK")))))</f>
        <v>OK</v>
      </c>
      <c r="AN216" s="474">
        <f t="shared" ref="AN216:AN250" si="56">IF($AE216&lt;&gt;"",$AE216,IF($AD216="","",IF(ISNUMBER($AD216),$AD216,IF($AO216="QT",0,IF($AO216="","",IFERROR(IF(ISNUMBER(SEARCH("/",$AO216)),VALUE(TRIM(LEFT($AO216,SEARCH("/",$AO216)-1)))/VALUE(TRIM(MID($AO216,SEARCH("/",$AO216)+1,99))),VALUE(SUBSTITUTE($AO216,".",","))),""))))))</f>
        <v>6.6</v>
      </c>
      <c r="AO216" s="473" t="str">
        <f t="shared" ref="AO216:AO250" si="57">IF($AD216="","",IF(ISNUMBER($AD216),$AD216,IF(OR(LEFT($AQ216,3)="QT.",LEFT($AQ216,4)="QUAN"),"QT",IF($AR216=999,$AQ216,TRIM(LEFT($AQ216,$AR216-1))))))</f>
        <v/>
      </c>
      <c r="AP216" s="473" t="str">
        <f t="shared" ref="AP216:AP250" si="58">IF($AD216="","",IF(ISNUMBER($AD216),"",IF(OR(LEFT($AQ216,3)="QT.",LEFT($AQ216,4)="QUAN"),"QT. SUFFISANTE",IF($AO216="","",TRIM(MID($AQ216,LEN($AO216&amp;"")+1,999))))))</f>
        <v/>
      </c>
      <c r="AQ216" s="473" t="str">
        <f t="shared" ref="AQ216:AQ250" si="59">IF($AD216="","",UPPER(TRIM(SUBSTITUTE(SUBSTITUTE($AD216&amp;"",CHAR(160)," ")," "," "))))</f>
        <v/>
      </c>
      <c r="AR216" s="473" t="str">
        <f t="shared" ref="AR216:AR250" si="60">IF($AQ216="","",MIN($AS216,$AT216,$AU216))</f>
        <v/>
      </c>
      <c r="AS216" s="473" t="str">
        <f t="shared" ref="AS216:AS250" si="61">IF($AQ216="","",MIN(IFERROR(SEARCH("A",$AQ216),999),IFERROR(SEARCH("B",$AQ216),999),IFERROR(SEARCH("C",$AQ216),999),IFERROR(SEARCH("D",$AQ216),999),IFERROR(SEARCH("E",$AQ216),999),IFERROR(SEARCH("F",$AQ216),999),IFERROR(SEARCH("G",$AQ216),999),IFERROR(SEARCH("H",$AQ216),999),IFERROR(SEARCH("I",$AQ216),999)))</f>
        <v/>
      </c>
      <c r="AT216" s="473" t="str">
        <f t="shared" ref="AT216:AT250" si="62">IF($AQ216="","",MIN(IFERROR(SEARCH("J",$AQ216),999),IFERROR(SEARCH("K",$AQ216),999),IFERROR(SEARCH("L",$AQ216),999),IFERROR(SEARCH("M",$AQ216),999),IFERROR(SEARCH("N",$AQ216),999),IFERROR(SEARCH("O",$AQ216),999),IFERROR(SEARCH("P",$AQ216),999),IFERROR(SEARCH("Q",$AQ216),999),IFERROR(SEARCH("R",$AQ216),999)))</f>
        <v/>
      </c>
      <c r="AU216" s="473" t="str">
        <f t="shared" ref="AU216:AU250" si="63">IF($AQ216="","",MIN(IFERROR(SEARCH("S",$AQ216),999),IFERROR(SEARCH("T",$AQ216),999),IFERROR(SEARCH("U",$AQ216),999),IFERROR(SEARCH("V",$AQ216),999),IFERROR(SEARCH("W",$AQ216),999),IFERROR(SEARCH("X",$AQ216),999),IFERROR(SEARCH("Y",$AQ216),999),IFERROR(SEARCH("Z",$AQ216),999)))</f>
        <v/>
      </c>
      <c r="AZ216" s="28" t="s">
        <v>14</v>
      </c>
      <c r="BA216" s="34" t="s">
        <v>493</v>
      </c>
      <c r="BB216" s="499"/>
      <c r="BC216" s="271"/>
      <c r="BD216" s="279">
        <v>1</v>
      </c>
      <c r="BE216" s="271"/>
      <c r="BF216" s="271"/>
      <c r="BG216" s="271"/>
      <c r="BH216" s="271"/>
      <c r="BI216" s="271"/>
      <c r="BJ216" s="271"/>
      <c r="BK216" s="271"/>
      <c r="BL216" s="271"/>
    </row>
    <row r="217" spans="18:64" ht="21" customHeight="1" x14ac:dyDescent="0.25">
      <c r="S217" s="451"/>
      <c r="T217" s="27" t="s">
        <v>8</v>
      </c>
      <c r="V217" s="475">
        <f>$V$216</f>
        <v>5</v>
      </c>
      <c r="W217" s="475" t="str">
        <f>IF($AC$217="","",$W$216)</f>
        <v>N° 38</v>
      </c>
      <c r="X217" s="476" t="str">
        <f>IF($AC$217="","",$X$216)</f>
        <v>WELSH RAREBIT</v>
      </c>
      <c r="Y217" s="477">
        <f>IF($X$217="","",$Y$216)</f>
        <v>55</v>
      </c>
      <c r="Z217" s="477">
        <f>IF($X$217="","",$Z$216)</f>
        <v>100</v>
      </c>
      <c r="AA217" s="477">
        <f>IF($AC$217="","",ROW($A$217)-ROW($A$216))</f>
        <v>1</v>
      </c>
      <c r="AB217" s="478"/>
      <c r="AC217" s="34" t="s">
        <v>508</v>
      </c>
      <c r="AD217" s="356"/>
      <c r="AE217" s="18">
        <v>5.5</v>
      </c>
      <c r="AF217" s="20" t="s">
        <v>9</v>
      </c>
      <c r="AG217" s="480">
        <f t="shared" si="52"/>
        <v>5.5</v>
      </c>
      <c r="AH217" s="481" t="str">
        <f t="shared" si="53"/>
        <v>L</v>
      </c>
      <c r="AI217" s="477" t="str">
        <f>IF($AC$217="","",IFERROR(INDEX($AZ$74:$AZ$119,MATCH($AH$217,$AY$74:$AY$119,0)),"AUTRE"))</f>
        <v>VOLUME</v>
      </c>
      <c r="AJ217" s="482">
        <f>IF($AC$217="","",IFERROR(INDEX($BA$74:$BA$119,MATCH($AH$217,$AY$74:$AY$119,0)),1))</f>
        <v>1</v>
      </c>
      <c r="AK217" s="482">
        <f t="shared" si="54"/>
        <v>5.5</v>
      </c>
      <c r="AL217" s="477" t="str">
        <f>IF($AC$217="","",IFERROR(INDEX($BB$74:$BB$119,MATCH($AH$217,$AY$74:$AY$119,0)),$AH$217))</f>
        <v>L</v>
      </c>
      <c r="AM217" s="483" t="str">
        <f t="shared" si="55"/>
        <v>OK</v>
      </c>
      <c r="AN217" s="484">
        <f t="shared" si="56"/>
        <v>5.5</v>
      </c>
      <c r="AO217" s="473" t="str">
        <f t="shared" si="57"/>
        <v/>
      </c>
      <c r="AP217" s="473" t="str">
        <f t="shared" si="58"/>
        <v/>
      </c>
      <c r="AQ217" s="473" t="str">
        <f t="shared" si="59"/>
        <v/>
      </c>
      <c r="AR217" s="473" t="str">
        <f t="shared" si="60"/>
        <v/>
      </c>
      <c r="AS217" s="473" t="str">
        <f t="shared" si="61"/>
        <v/>
      </c>
      <c r="AT217" s="473" t="str">
        <f t="shared" si="62"/>
        <v/>
      </c>
      <c r="AU217" s="473" t="str">
        <f t="shared" si="63"/>
        <v/>
      </c>
      <c r="AZ217" s="28" t="s">
        <v>15</v>
      </c>
      <c r="BA217" s="34" t="s">
        <v>494</v>
      </c>
      <c r="BB217" s="499"/>
      <c r="BC217" s="271"/>
      <c r="BD217" s="279">
        <v>1</v>
      </c>
      <c r="BE217" s="271"/>
      <c r="BF217" s="271"/>
      <c r="BG217" s="271"/>
      <c r="BH217" s="271"/>
      <c r="BI217" s="271"/>
      <c r="BJ217" s="271"/>
      <c r="BK217" s="271"/>
      <c r="BL217" s="271"/>
    </row>
    <row r="218" spans="18:64" ht="21" customHeight="1" x14ac:dyDescent="0.25">
      <c r="R218" s="25" t="s">
        <v>6115</v>
      </c>
      <c r="S218" s="451"/>
      <c r="T218" s="28" t="s">
        <v>13</v>
      </c>
      <c r="V218" s="475">
        <v>5</v>
      </c>
      <c r="W218" s="475" t="str">
        <f>IF($AC$218="","",$W$216)</f>
        <v>N° 38</v>
      </c>
      <c r="X218" s="476" t="str">
        <f>IF($AC$218="","",$X$216)</f>
        <v>WELSH RAREBIT</v>
      </c>
      <c r="Y218" s="477">
        <f>IF($X$218="","",$Y$216)</f>
        <v>55</v>
      </c>
      <c r="Z218" s="477">
        <f>IF($X$218="","",$Z$216)</f>
        <v>100</v>
      </c>
      <c r="AA218" s="477">
        <f>IF($AC$218="","",ROW($A$218)-ROW($A$216))</f>
        <v>2</v>
      </c>
      <c r="AB218" s="478"/>
      <c r="AC218" s="34" t="s">
        <v>67</v>
      </c>
      <c r="AD218" s="356"/>
      <c r="AE218" s="18">
        <v>25</v>
      </c>
      <c r="AF218" s="16" t="s">
        <v>8</v>
      </c>
      <c r="AG218" s="480">
        <f t="shared" si="52"/>
        <v>25</v>
      </c>
      <c r="AH218" s="481" t="str">
        <f t="shared" si="53"/>
        <v>G</v>
      </c>
      <c r="AI218" s="477" t="str">
        <f>IF($AC$218="","",IFERROR(INDEX($AZ$74:$AZ$119,MATCH($AH$218,$AY$74:$AY$119,0)),"AUTRE"))</f>
        <v>MASSE</v>
      </c>
      <c r="AJ218" s="482">
        <f>IF($AC$218="","",IFERROR(INDEX($BA$74:$BA$119,MATCH($AH$218,$AY$74:$AY$119,0)),1))</f>
        <v>1E-3</v>
      </c>
      <c r="AK218" s="482">
        <f t="shared" si="54"/>
        <v>2.5000000000000001E-2</v>
      </c>
      <c r="AL218" s="477" t="str">
        <f>IF($AC$218="","",IFERROR(INDEX($BB$74:$BB$119,MATCH($AH$218,$AY$74:$AY$119,0)),$AH$218))</f>
        <v>kg</v>
      </c>
      <c r="AM218" s="483" t="str">
        <f t="shared" si="55"/>
        <v>OK</v>
      </c>
      <c r="AN218" s="484">
        <f t="shared" si="56"/>
        <v>25</v>
      </c>
      <c r="AO218" s="473" t="str">
        <f t="shared" si="57"/>
        <v/>
      </c>
      <c r="AP218" s="473" t="str">
        <f t="shared" si="58"/>
        <v/>
      </c>
      <c r="AQ218" s="473" t="str">
        <f t="shared" si="59"/>
        <v/>
      </c>
      <c r="AR218" s="473" t="str">
        <f t="shared" si="60"/>
        <v/>
      </c>
      <c r="AS218" s="473" t="str">
        <f t="shared" si="61"/>
        <v/>
      </c>
      <c r="AT218" s="473" t="str">
        <f t="shared" si="62"/>
        <v/>
      </c>
      <c r="AU218" s="473" t="str">
        <f t="shared" si="63"/>
        <v/>
      </c>
      <c r="AZ218" s="29" t="s">
        <v>9</v>
      </c>
      <c r="BB218" s="499"/>
      <c r="BC218" s="271"/>
      <c r="BD218" s="279">
        <v>1</v>
      </c>
      <c r="BE218" s="271"/>
      <c r="BF218" s="271"/>
      <c r="BG218" s="271"/>
      <c r="BH218" s="271"/>
      <c r="BI218" s="271"/>
      <c r="BJ218" s="271"/>
      <c r="BK218" s="271"/>
      <c r="BL218" s="271"/>
    </row>
    <row r="219" spans="18:64" ht="21" customHeight="1" x14ac:dyDescent="0.25">
      <c r="R219" s="34" t="s">
        <v>471</v>
      </c>
      <c r="S219" s="451"/>
      <c r="T219" s="28" t="s">
        <v>14</v>
      </c>
      <c r="V219" s="475">
        <v>5</v>
      </c>
      <c r="W219" s="475" t="str">
        <f>IF($AC$219="","",$W$216)</f>
        <v>N° 38</v>
      </c>
      <c r="X219" s="476" t="str">
        <f>IF($AC$219="","",$X$216)</f>
        <v>WELSH RAREBIT</v>
      </c>
      <c r="Y219" s="477">
        <f>IF($X$219="","",$Y$216)</f>
        <v>55</v>
      </c>
      <c r="Z219" s="477">
        <f>IF($X$219="","",$Z$216)</f>
        <v>100</v>
      </c>
      <c r="AA219" s="477">
        <f>IF($AC$219="","",ROW($A$219)-ROW($A$216))</f>
        <v>3</v>
      </c>
      <c r="AB219" s="478"/>
      <c r="AC219" s="34" t="s">
        <v>61</v>
      </c>
      <c r="AD219" s="356"/>
      <c r="AE219" s="18">
        <v>3</v>
      </c>
      <c r="AF219" s="16" t="s">
        <v>8</v>
      </c>
      <c r="AG219" s="480">
        <f t="shared" si="52"/>
        <v>3</v>
      </c>
      <c r="AH219" s="481" t="str">
        <f t="shared" si="53"/>
        <v>G</v>
      </c>
      <c r="AI219" s="477" t="str">
        <f>IF($AC$219="","",IFERROR(INDEX($AZ$74:$AZ$119,MATCH($AH$219,$AY$74:$AY$119,0)),"AUTRE"))</f>
        <v>MASSE</v>
      </c>
      <c r="AJ219" s="482">
        <f>IF($AC$219="","",IFERROR(INDEX($BA$74:$BA$119,MATCH($AH$219,$AY$74:$AY$119,0)),1))</f>
        <v>1E-3</v>
      </c>
      <c r="AK219" s="482">
        <f t="shared" si="54"/>
        <v>3.0000000000000001E-3</v>
      </c>
      <c r="AL219" s="477" t="str">
        <f>IF($AC$219="","",IFERROR(INDEX($BB$74:$BB$119,MATCH($AH$219,$AY$74:$AY$119,0)),$AH$219))</f>
        <v>kg</v>
      </c>
      <c r="AM219" s="483" t="str">
        <f t="shared" si="55"/>
        <v>OK</v>
      </c>
      <c r="AN219" s="484">
        <f t="shared" si="56"/>
        <v>3</v>
      </c>
      <c r="AO219" s="473" t="str">
        <f t="shared" si="57"/>
        <v/>
      </c>
      <c r="AP219" s="473" t="str">
        <f t="shared" si="58"/>
        <v/>
      </c>
      <c r="AQ219" s="473" t="str">
        <f t="shared" si="59"/>
        <v/>
      </c>
      <c r="AR219" s="473" t="str">
        <f t="shared" si="60"/>
        <v/>
      </c>
      <c r="AS219" s="473" t="str">
        <f t="shared" si="61"/>
        <v/>
      </c>
      <c r="AT219" s="473" t="str">
        <f t="shared" si="62"/>
        <v/>
      </c>
      <c r="AU219" s="473" t="str">
        <f t="shared" si="63"/>
        <v/>
      </c>
      <c r="AZ219" s="30" t="s">
        <v>10</v>
      </c>
      <c r="BA219" s="25" t="s">
        <v>6115</v>
      </c>
      <c r="BB219" s="499"/>
      <c r="BC219" s="271"/>
      <c r="BD219" s="279">
        <v>1</v>
      </c>
      <c r="BE219" s="271"/>
      <c r="BF219" s="271"/>
      <c r="BG219" s="271"/>
      <c r="BH219" s="271"/>
      <c r="BI219" s="271"/>
      <c r="BJ219" s="271"/>
      <c r="BK219" s="271"/>
      <c r="BL219" s="271"/>
    </row>
    <row r="220" spans="18:64" ht="21" customHeight="1" x14ac:dyDescent="0.25">
      <c r="R220" s="34" t="s">
        <v>472</v>
      </c>
      <c r="S220" s="451"/>
      <c r="T220" s="28" t="s">
        <v>15</v>
      </c>
      <c r="V220" s="475">
        <v>5</v>
      </c>
      <c r="W220" s="475" t="str">
        <f>IF($AC$220="","",$W$216)</f>
        <v>N° 38</v>
      </c>
      <c r="X220" s="476" t="str">
        <f>IF($AC$220="","",$X$216)</f>
        <v>WELSH RAREBIT</v>
      </c>
      <c r="Y220" s="477">
        <f>IF($X$220="","",$Y$216)</f>
        <v>55</v>
      </c>
      <c r="Z220" s="477">
        <f>IF($X$220="","",$Z$216)</f>
        <v>100</v>
      </c>
      <c r="AA220" s="477">
        <f>IF($AC$220="","",ROW($A$220)-ROW($A$216))</f>
        <v>4</v>
      </c>
      <c r="AB220" s="478"/>
      <c r="AC220" s="34" t="s">
        <v>408</v>
      </c>
      <c r="AD220" s="356"/>
      <c r="AE220" s="18">
        <v>5</v>
      </c>
      <c r="AF220" s="11" t="s">
        <v>7</v>
      </c>
      <c r="AG220" s="480">
        <f t="shared" si="52"/>
        <v>5</v>
      </c>
      <c r="AH220" s="481" t="str">
        <f t="shared" si="53"/>
        <v>KG</v>
      </c>
      <c r="AI220" s="477" t="str">
        <f>IF($AC$220="","",IFERROR(INDEX($AZ$74:$AZ$119,MATCH($AH$220,$AY$74:$AY$119,0)),"AUTRE"))</f>
        <v>MASSE</v>
      </c>
      <c r="AJ220" s="482">
        <f>IF($AC$220="","",IFERROR(INDEX($BA$74:$BA$119,MATCH($AH$220,$AY$74:$AY$119,0)),1))</f>
        <v>1</v>
      </c>
      <c r="AK220" s="482">
        <f t="shared" si="54"/>
        <v>5</v>
      </c>
      <c r="AL220" s="477" t="str">
        <f>IF($AC$220="","",IFERROR(INDEX($BB$74:$BB$119,MATCH($AH$220,$AY$74:$AY$119,0)),$AH$220))</f>
        <v>kg</v>
      </c>
      <c r="AM220" s="483" t="str">
        <f t="shared" si="55"/>
        <v>OK</v>
      </c>
      <c r="AN220" s="484">
        <f t="shared" si="56"/>
        <v>5</v>
      </c>
      <c r="AO220" s="473" t="str">
        <f t="shared" si="57"/>
        <v/>
      </c>
      <c r="AP220" s="473" t="str">
        <f t="shared" si="58"/>
        <v/>
      </c>
      <c r="AQ220" s="473" t="str">
        <f t="shared" si="59"/>
        <v/>
      </c>
      <c r="AR220" s="473" t="str">
        <f t="shared" si="60"/>
        <v/>
      </c>
      <c r="AS220" s="473" t="str">
        <f t="shared" si="61"/>
        <v/>
      </c>
      <c r="AT220" s="473" t="str">
        <f t="shared" si="62"/>
        <v/>
      </c>
      <c r="AU220" s="473" t="str">
        <f t="shared" si="63"/>
        <v/>
      </c>
      <c r="AZ220" s="30" t="s">
        <v>11</v>
      </c>
      <c r="BA220" s="34" t="s">
        <v>471</v>
      </c>
      <c r="BB220" s="499"/>
      <c r="BC220" s="271"/>
      <c r="BD220" s="279">
        <v>1</v>
      </c>
      <c r="BE220" s="271"/>
      <c r="BF220" s="271"/>
      <c r="BG220" s="271"/>
      <c r="BH220" s="271"/>
      <c r="BI220" s="271"/>
      <c r="BJ220" s="271"/>
      <c r="BK220" s="271"/>
      <c r="BL220" s="271"/>
    </row>
    <row r="221" spans="18:64" ht="21" customHeight="1" x14ac:dyDescent="0.25">
      <c r="R221" s="34" t="s">
        <v>6112</v>
      </c>
      <c r="S221" s="451"/>
      <c r="T221" s="28" t="s">
        <v>21</v>
      </c>
      <c r="V221" s="475">
        <v>5</v>
      </c>
      <c r="W221" s="475" t="str">
        <f>IF($AC$221="","",$W$216)</f>
        <v>N° 38</v>
      </c>
      <c r="X221" s="476" t="str">
        <f>IF($AC$221="","",$X$216)</f>
        <v>WELSH RAREBIT</v>
      </c>
      <c r="Y221" s="477">
        <f>IF($X$221="","",$Y$216)</f>
        <v>55</v>
      </c>
      <c r="Z221" s="477">
        <f>IF($X$221="","",$Z$216)</f>
        <v>100</v>
      </c>
      <c r="AA221" s="477">
        <f>IF($AC$221="","",ROW($A$221)-ROW($A$216))</f>
        <v>5</v>
      </c>
      <c r="AB221" s="478"/>
      <c r="AC221" s="34" t="s">
        <v>509</v>
      </c>
      <c r="AD221" s="356"/>
      <c r="AE221" s="18" t="s">
        <v>239</v>
      </c>
      <c r="AF221" s="23" t="s">
        <v>311</v>
      </c>
      <c r="AG221" s="480" t="str">
        <f t="shared" si="52"/>
        <v>100</v>
      </c>
      <c r="AH221" s="481" t="str">
        <f t="shared" si="53"/>
        <v>UNITÉ(S)</v>
      </c>
      <c r="AI221" s="477" t="str">
        <f>IF($AC$221="","",IFERROR(INDEX($AZ$74:$AZ$119,MATCH($AH$221,$AY$74:$AY$119,0)),"AUTRE"))</f>
        <v>AUTRE</v>
      </c>
      <c r="AJ221" s="482">
        <f>IF($AC$221="","",IFERROR(INDEX($BA$74:$BA$119,MATCH($AH$221,$AY$74:$AY$119,0)),1))</f>
        <v>1</v>
      </c>
      <c r="AK221" s="482">
        <f t="shared" si="54"/>
        <v>100</v>
      </c>
      <c r="AL221" s="477" t="str">
        <f>IF($AC$221="","",IFERROR(INDEX($BB$74:$BB$119,MATCH($AH$221,$AY$74:$AY$119,0)),$AH$221))</f>
        <v>unité(s)</v>
      </c>
      <c r="AM221" s="483" t="str">
        <f t="shared" si="55"/>
        <v>QUANTITÉ À CONTRÔLER</v>
      </c>
      <c r="AN221" s="484" t="str">
        <f t="shared" si="56"/>
        <v>100</v>
      </c>
      <c r="AO221" s="473" t="str">
        <f t="shared" si="57"/>
        <v/>
      </c>
      <c r="AP221" s="473" t="str">
        <f t="shared" si="58"/>
        <v/>
      </c>
      <c r="AQ221" s="473" t="str">
        <f t="shared" si="59"/>
        <v/>
      </c>
      <c r="AR221" s="473" t="str">
        <f t="shared" si="60"/>
        <v/>
      </c>
      <c r="AS221" s="473" t="str">
        <f t="shared" si="61"/>
        <v/>
      </c>
      <c r="AT221" s="473" t="str">
        <f t="shared" si="62"/>
        <v/>
      </c>
      <c r="AU221" s="473" t="str">
        <f t="shared" si="63"/>
        <v/>
      </c>
      <c r="AZ221" s="30" t="s">
        <v>12</v>
      </c>
      <c r="BA221" s="34" t="s">
        <v>472</v>
      </c>
      <c r="BB221" s="499"/>
      <c r="BC221" s="271"/>
      <c r="BD221" s="279">
        <v>1</v>
      </c>
      <c r="BE221" s="271"/>
      <c r="BF221" s="271"/>
      <c r="BG221" s="271"/>
      <c r="BH221" s="271"/>
      <c r="BI221" s="271"/>
      <c r="BJ221" s="271"/>
      <c r="BK221" s="271"/>
      <c r="BL221" s="271"/>
    </row>
    <row r="222" spans="18:64" ht="21" customHeight="1" x14ac:dyDescent="0.25">
      <c r="R222" s="25" t="s">
        <v>6116</v>
      </c>
      <c r="S222" s="451"/>
      <c r="T222" s="28" t="s">
        <v>22</v>
      </c>
      <c r="V222" s="475">
        <v>5</v>
      </c>
      <c r="W222" s="475" t="str">
        <f>IF($AC$222="","",$W$216)</f>
        <v>N° 38</v>
      </c>
      <c r="X222" s="476" t="str">
        <f>IF($AC$222="","",$X$216)</f>
        <v>WELSH RAREBIT</v>
      </c>
      <c r="Y222" s="477">
        <f>IF($X$222="","",$Y$216)</f>
        <v>55</v>
      </c>
      <c r="Z222" s="477">
        <f>IF($X$222="","",$Z$216)</f>
        <v>100</v>
      </c>
      <c r="AA222" s="477">
        <f>IF($AC$222="","",ROW($A$222)-ROW($A$216))</f>
        <v>6</v>
      </c>
      <c r="AB222" s="478"/>
      <c r="AC222" s="34" t="s">
        <v>372</v>
      </c>
      <c r="AD222" s="356"/>
      <c r="AE222" s="18">
        <v>300</v>
      </c>
      <c r="AF222" s="16" t="s">
        <v>8</v>
      </c>
      <c r="AG222" s="480">
        <f t="shared" si="52"/>
        <v>300</v>
      </c>
      <c r="AH222" s="481" t="str">
        <f t="shared" si="53"/>
        <v>G</v>
      </c>
      <c r="AI222" s="477" t="str">
        <f>IF($AC$222="","",IFERROR(INDEX($AZ$74:$AZ$119,MATCH($AH$222,$AY$74:$AY$119,0)),"AUTRE"))</f>
        <v>MASSE</v>
      </c>
      <c r="AJ222" s="482">
        <f>IF($AC$222="","",IFERROR(INDEX($BA$74:$BA$119,MATCH($AH$222,$AY$74:$AY$119,0)),1))</f>
        <v>1E-3</v>
      </c>
      <c r="AK222" s="482">
        <f t="shared" si="54"/>
        <v>0.3</v>
      </c>
      <c r="AL222" s="477" t="str">
        <f>IF($AC$222="","",IFERROR(INDEX($BB$74:$BB$119,MATCH($AH$222,$AY$74:$AY$119,0)),$AH$222))</f>
        <v>kg</v>
      </c>
      <c r="AM222" s="483" t="str">
        <f t="shared" si="55"/>
        <v>OK</v>
      </c>
      <c r="AN222" s="484">
        <f t="shared" si="56"/>
        <v>300</v>
      </c>
      <c r="AO222" s="473" t="str">
        <f t="shared" si="57"/>
        <v/>
      </c>
      <c r="AP222" s="473" t="str">
        <f t="shared" si="58"/>
        <v/>
      </c>
      <c r="AQ222" s="473" t="str">
        <f t="shared" si="59"/>
        <v/>
      </c>
      <c r="AR222" s="473" t="str">
        <f t="shared" si="60"/>
        <v/>
      </c>
      <c r="AS222" s="473" t="str">
        <f t="shared" si="61"/>
        <v/>
      </c>
      <c r="AT222" s="473" t="str">
        <f t="shared" si="62"/>
        <v/>
      </c>
      <c r="AU222" s="473" t="str">
        <f t="shared" si="63"/>
        <v/>
      </c>
      <c r="AZ222" s="31" t="s">
        <v>16</v>
      </c>
      <c r="BA222" s="34" t="s">
        <v>6112</v>
      </c>
      <c r="BB222" s="499"/>
      <c r="BC222" s="271"/>
      <c r="BD222" s="279">
        <v>1</v>
      </c>
      <c r="BE222" s="271"/>
      <c r="BF222" s="271"/>
      <c r="BG222" s="271"/>
      <c r="BH222" s="271"/>
      <c r="BI222" s="271"/>
      <c r="BJ222" s="271"/>
      <c r="BK222" s="271"/>
      <c r="BL222" s="271"/>
    </row>
    <row r="223" spans="18:64" ht="21" customHeight="1" x14ac:dyDescent="0.25">
      <c r="R223" s="34" t="s">
        <v>6117</v>
      </c>
      <c r="S223" s="451"/>
      <c r="T223" s="28" t="s">
        <v>23</v>
      </c>
      <c r="V223" s="475">
        <v>5</v>
      </c>
      <c r="W223" s="475" t="str">
        <f>IF($AC$223="","",$W$216)</f>
        <v/>
      </c>
      <c r="X223" s="476" t="str">
        <f>IF($AC$223="","",$X$216)</f>
        <v/>
      </c>
      <c r="Y223" s="477" t="str">
        <f>IF($X$223="","",$Y$216)</f>
        <v/>
      </c>
      <c r="Z223" s="477" t="str">
        <f>IF($X$223="","",$Z$216)</f>
        <v/>
      </c>
      <c r="AA223" s="477" t="str">
        <f>IF($AC$223="","",ROW($A$223)-ROW($A$216))</f>
        <v/>
      </c>
      <c r="AB223" s="478"/>
      <c r="AC223" s="34"/>
      <c r="AD223" s="356"/>
      <c r="AE223" s="18"/>
      <c r="AF223" s="19"/>
      <c r="AG223" s="480" t="str">
        <f t="shared" si="52"/>
        <v/>
      </c>
      <c r="AH223" s="481" t="str">
        <f t="shared" si="53"/>
        <v/>
      </c>
      <c r="AI223" s="477" t="str">
        <f>IF($AC$223="","",IFERROR(INDEX($AZ$74:$AZ$119,MATCH($AH$223,$AY$74:$AY$119,0)),"AUTRE"))</f>
        <v/>
      </c>
      <c r="AJ223" s="482" t="str">
        <f>IF($AC$223="","",IFERROR(INDEX($BA$74:$BA$119,MATCH($AH$223,$AY$74:$AY$119,0)),1))</f>
        <v/>
      </c>
      <c r="AK223" s="482" t="str">
        <f t="shared" si="54"/>
        <v/>
      </c>
      <c r="AL223" s="477" t="str">
        <f>IF($AC$223="","",IFERROR(INDEX($BB$74:$BB$119,MATCH($AH$223,$AY$74:$AY$119,0)),$AH$223))</f>
        <v/>
      </c>
      <c r="AM223" s="483" t="str">
        <f t="shared" si="55"/>
        <v/>
      </c>
      <c r="AN223" s="484" t="str">
        <f t="shared" si="56"/>
        <v/>
      </c>
      <c r="AO223" s="473" t="str">
        <f t="shared" si="57"/>
        <v/>
      </c>
      <c r="AP223" s="473" t="str">
        <f t="shared" si="58"/>
        <v/>
      </c>
      <c r="AQ223" s="473" t="str">
        <f t="shared" si="59"/>
        <v/>
      </c>
      <c r="AR223" s="473" t="str">
        <f t="shared" si="60"/>
        <v/>
      </c>
      <c r="AS223" s="473" t="str">
        <f t="shared" si="61"/>
        <v/>
      </c>
      <c r="AT223" s="473" t="str">
        <f t="shared" si="62"/>
        <v/>
      </c>
      <c r="AU223" s="473" t="str">
        <f t="shared" si="63"/>
        <v/>
      </c>
      <c r="AZ223" s="31" t="s">
        <v>17</v>
      </c>
      <c r="BA223" s="25" t="s">
        <v>6116</v>
      </c>
      <c r="BB223" s="499"/>
      <c r="BC223" s="271"/>
      <c r="BD223" s="279">
        <v>1</v>
      </c>
      <c r="BE223" s="271"/>
      <c r="BF223" s="271"/>
      <c r="BG223" s="271"/>
      <c r="BH223" s="271"/>
      <c r="BI223" s="271"/>
      <c r="BJ223" s="271"/>
      <c r="BK223" s="271"/>
      <c r="BL223" s="271"/>
    </row>
    <row r="224" spans="18:64" ht="21" customHeight="1" x14ac:dyDescent="0.25">
      <c r="R224" s="34" t="s">
        <v>469</v>
      </c>
      <c r="S224" s="451"/>
      <c r="T224" s="28" t="s">
        <v>24</v>
      </c>
      <c r="V224" s="475">
        <v>5</v>
      </c>
      <c r="W224" s="475" t="str">
        <f>IF($AC$224="","",$W$216)</f>
        <v/>
      </c>
      <c r="X224" s="476" t="str">
        <f>IF($AC$224="","",$X$216)</f>
        <v/>
      </c>
      <c r="Y224" s="477" t="str">
        <f>IF($X$224="","",$Y$216)</f>
        <v/>
      </c>
      <c r="Z224" s="477" t="str">
        <f>IF($X$224="","",$Z$216)</f>
        <v/>
      </c>
      <c r="AA224" s="477" t="str">
        <f>IF($AC$224="","",ROW($A$224)-ROW($A$216))</f>
        <v/>
      </c>
      <c r="AB224" s="478"/>
      <c r="AC224" s="34"/>
      <c r="AD224" s="356"/>
      <c r="AE224" s="18"/>
      <c r="AF224" s="19"/>
      <c r="AG224" s="480" t="str">
        <f t="shared" si="52"/>
        <v/>
      </c>
      <c r="AH224" s="481" t="str">
        <f t="shared" si="53"/>
        <v/>
      </c>
      <c r="AI224" s="477" t="str">
        <f>IF($AC$224="","",IFERROR(INDEX($AZ$74:$AZ$119,MATCH($AH$224,$AY$74:$AY$119,0)),"AUTRE"))</f>
        <v/>
      </c>
      <c r="AJ224" s="482" t="str">
        <f>IF($AC$224="","",IFERROR(INDEX($BA$74:$BA$119,MATCH($AH$224,$AY$74:$AY$119,0)),1))</f>
        <v/>
      </c>
      <c r="AK224" s="482" t="str">
        <f t="shared" si="54"/>
        <v/>
      </c>
      <c r="AL224" s="477" t="str">
        <f>IF($AC$224="","",IFERROR(INDEX($BB$74:$BB$119,MATCH($AH$224,$AY$74:$AY$119,0)),$AH$224))</f>
        <v/>
      </c>
      <c r="AM224" s="483" t="str">
        <f t="shared" si="55"/>
        <v/>
      </c>
      <c r="AN224" s="484" t="str">
        <f t="shared" si="56"/>
        <v/>
      </c>
      <c r="AO224" s="473" t="str">
        <f t="shared" si="57"/>
        <v/>
      </c>
      <c r="AP224" s="473" t="str">
        <f t="shared" si="58"/>
        <v/>
      </c>
      <c r="AQ224" s="473" t="str">
        <f t="shared" si="59"/>
        <v/>
      </c>
      <c r="AR224" s="473" t="str">
        <f t="shared" si="60"/>
        <v/>
      </c>
      <c r="AS224" s="473" t="str">
        <f t="shared" si="61"/>
        <v/>
      </c>
      <c r="AT224" s="473" t="str">
        <f t="shared" si="62"/>
        <v/>
      </c>
      <c r="AU224" s="473" t="str">
        <f t="shared" si="63"/>
        <v/>
      </c>
      <c r="AZ224" s="31" t="s">
        <v>18</v>
      </c>
      <c r="BA224" s="34" t="s">
        <v>6117</v>
      </c>
      <c r="BB224" s="499"/>
      <c r="BC224" s="271"/>
      <c r="BD224" s="279">
        <v>1</v>
      </c>
      <c r="BE224" s="271"/>
      <c r="BF224" s="271"/>
      <c r="BG224" s="271"/>
      <c r="BH224" s="271"/>
      <c r="BI224" s="271"/>
      <c r="BJ224" s="271"/>
      <c r="BK224" s="271"/>
      <c r="BL224" s="271"/>
    </row>
    <row r="225" spans="18:64" ht="21" customHeight="1" x14ac:dyDescent="0.25">
      <c r="R225" s="34" t="s">
        <v>6118</v>
      </c>
      <c r="S225" s="451"/>
      <c r="T225" s="29" t="s">
        <v>9</v>
      </c>
      <c r="V225" s="475">
        <v>5</v>
      </c>
      <c r="W225" s="475" t="str">
        <f>IF($AC$225="","",$W$216)</f>
        <v/>
      </c>
      <c r="X225" s="476" t="str">
        <f>IF($AC$225="","",$X$216)</f>
        <v/>
      </c>
      <c r="Y225" s="477" t="str">
        <f>IF($X$225="","",$Y$216)</f>
        <v/>
      </c>
      <c r="Z225" s="477" t="str">
        <f>IF($X$225="","",$Z$216)</f>
        <v/>
      </c>
      <c r="AA225" s="477" t="str">
        <f>IF($AC$225="","",ROW($A$225)-ROW($A$216))</f>
        <v/>
      </c>
      <c r="AB225" s="478"/>
      <c r="AC225" s="34"/>
      <c r="AD225" s="356"/>
      <c r="AE225" s="18"/>
      <c r="AF225" s="19"/>
      <c r="AG225" s="480" t="str">
        <f t="shared" si="52"/>
        <v/>
      </c>
      <c r="AH225" s="481" t="str">
        <f t="shared" si="53"/>
        <v/>
      </c>
      <c r="AI225" s="477" t="str">
        <f>IF($AC$225="","",IFERROR(INDEX($AZ$74:$AZ$119,MATCH($AH$225,$AY$74:$AY$119,0)),"AUTRE"))</f>
        <v/>
      </c>
      <c r="AJ225" s="482" t="str">
        <f>IF($AC$225="","",IFERROR(INDEX($BA$74:$BA$119,MATCH($AH$225,$AY$74:$AY$119,0)),1))</f>
        <v/>
      </c>
      <c r="AK225" s="482" t="str">
        <f t="shared" si="54"/>
        <v/>
      </c>
      <c r="AL225" s="477" t="str">
        <f>IF($AC$225="","",IFERROR(INDEX($BB$74:$BB$119,MATCH($AH$225,$AY$74:$AY$119,0)),$AH$225))</f>
        <v/>
      </c>
      <c r="AM225" s="483" t="str">
        <f t="shared" si="55"/>
        <v/>
      </c>
      <c r="AN225" s="484" t="str">
        <f t="shared" si="56"/>
        <v/>
      </c>
      <c r="AO225" s="473" t="str">
        <f t="shared" si="57"/>
        <v/>
      </c>
      <c r="AP225" s="473" t="str">
        <f t="shared" si="58"/>
        <v/>
      </c>
      <c r="AQ225" s="473" t="str">
        <f t="shared" si="59"/>
        <v/>
      </c>
      <c r="AR225" s="473" t="str">
        <f t="shared" si="60"/>
        <v/>
      </c>
      <c r="AS225" s="473" t="str">
        <f t="shared" si="61"/>
        <v/>
      </c>
      <c r="AT225" s="473" t="str">
        <f t="shared" si="62"/>
        <v/>
      </c>
      <c r="AU225" s="473" t="str">
        <f t="shared" si="63"/>
        <v/>
      </c>
      <c r="AZ225" s="31" t="s">
        <v>19</v>
      </c>
      <c r="BA225" s="34" t="s">
        <v>469</v>
      </c>
      <c r="BB225" s="499"/>
      <c r="BC225" s="271"/>
      <c r="BD225" s="279">
        <v>1</v>
      </c>
      <c r="BE225" s="271"/>
      <c r="BF225" s="271"/>
      <c r="BG225" s="271"/>
      <c r="BH225" s="271"/>
      <c r="BI225" s="271"/>
      <c r="BJ225" s="271"/>
      <c r="BK225" s="271"/>
      <c r="BL225" s="271"/>
    </row>
    <row r="226" spans="18:64" ht="21" customHeight="1" x14ac:dyDescent="0.25">
      <c r="R226" s="34" t="s">
        <v>492</v>
      </c>
      <c r="S226" s="451"/>
      <c r="T226" s="30" t="s">
        <v>10</v>
      </c>
      <c r="V226" s="475">
        <v>5</v>
      </c>
      <c r="W226" s="475" t="str">
        <f>IF($AC$226="","",$W$216)</f>
        <v/>
      </c>
      <c r="X226" s="476" t="str">
        <f>IF($AC$226="","",$X$216)</f>
        <v/>
      </c>
      <c r="Y226" s="477" t="str">
        <f>IF($X$226="","",$Y$216)</f>
        <v/>
      </c>
      <c r="Z226" s="477" t="str">
        <f>IF($X$226="","",$Z$216)</f>
        <v/>
      </c>
      <c r="AA226" s="477" t="str">
        <f>IF($AC$226="","",ROW($A$226)-ROW($A$216))</f>
        <v/>
      </c>
      <c r="AB226" s="478"/>
      <c r="AC226" s="34"/>
      <c r="AD226" s="356"/>
      <c r="AE226" s="18"/>
      <c r="AF226" s="19"/>
      <c r="AG226" s="480" t="str">
        <f t="shared" si="52"/>
        <v/>
      </c>
      <c r="AH226" s="481" t="str">
        <f t="shared" si="53"/>
        <v/>
      </c>
      <c r="AI226" s="477" t="str">
        <f>IF($AC$226="","",IFERROR(INDEX($AZ$74:$AZ$119,MATCH($AH$226,$AY$74:$AY$119,0)),"AUTRE"))</f>
        <v/>
      </c>
      <c r="AJ226" s="482" t="str">
        <f>IF($AC$226="","",IFERROR(INDEX($BA$74:$BA$119,MATCH($AH$226,$AY$74:$AY$119,0)),1))</f>
        <v/>
      </c>
      <c r="AK226" s="482" t="str">
        <f t="shared" si="54"/>
        <v/>
      </c>
      <c r="AL226" s="477" t="str">
        <f>IF($AC$226="","",IFERROR(INDEX($BB$74:$BB$119,MATCH($AH$226,$AY$74:$AY$119,0)),$AH$226))</f>
        <v/>
      </c>
      <c r="AM226" s="483" t="str">
        <f t="shared" si="55"/>
        <v/>
      </c>
      <c r="AN226" s="484" t="str">
        <f t="shared" si="56"/>
        <v/>
      </c>
      <c r="AO226" s="473" t="str">
        <f t="shared" si="57"/>
        <v/>
      </c>
      <c r="AP226" s="473" t="str">
        <f t="shared" si="58"/>
        <v/>
      </c>
      <c r="AQ226" s="473" t="str">
        <f t="shared" si="59"/>
        <v/>
      </c>
      <c r="AR226" s="473" t="str">
        <f t="shared" si="60"/>
        <v/>
      </c>
      <c r="AS226" s="473" t="str">
        <f t="shared" si="61"/>
        <v/>
      </c>
      <c r="AT226" s="473" t="str">
        <f t="shared" si="62"/>
        <v/>
      </c>
      <c r="AU226" s="473" t="str">
        <f t="shared" si="63"/>
        <v/>
      </c>
      <c r="AZ226" s="31" t="s">
        <v>211</v>
      </c>
      <c r="BA226" s="34" t="s">
        <v>6118</v>
      </c>
      <c r="BB226" s="499"/>
      <c r="BC226" s="271"/>
      <c r="BD226" s="279">
        <v>1</v>
      </c>
      <c r="BE226" s="271"/>
      <c r="BF226" s="271"/>
      <c r="BG226" s="271"/>
      <c r="BH226" s="271"/>
      <c r="BI226" s="271"/>
      <c r="BJ226" s="271"/>
      <c r="BK226" s="271"/>
      <c r="BL226" s="271"/>
    </row>
    <row r="227" spans="18:64" ht="21" customHeight="1" x14ac:dyDescent="0.25">
      <c r="R227" s="34" t="s">
        <v>458</v>
      </c>
      <c r="S227" s="451"/>
      <c r="T227" s="30" t="s">
        <v>11</v>
      </c>
      <c r="V227" s="475">
        <v>5</v>
      </c>
      <c r="W227" s="475" t="str">
        <f>IF($AC$227="","",$W$216)</f>
        <v/>
      </c>
      <c r="X227" s="476" t="str">
        <f>IF($AC$227="","",$X$216)</f>
        <v/>
      </c>
      <c r="Y227" s="477" t="str">
        <f>IF($X$227="","",$Y$216)</f>
        <v/>
      </c>
      <c r="Z227" s="477" t="str">
        <f>IF($X$227="","",$Z$216)</f>
        <v/>
      </c>
      <c r="AA227" s="477" t="str">
        <f>IF($AC$227="","",ROW($A$227)-ROW($A$216))</f>
        <v/>
      </c>
      <c r="AB227" s="478"/>
      <c r="AC227" s="34"/>
      <c r="AD227" s="356"/>
      <c r="AE227" s="18"/>
      <c r="AF227" s="19"/>
      <c r="AG227" s="480" t="str">
        <f t="shared" si="52"/>
        <v/>
      </c>
      <c r="AH227" s="481" t="str">
        <f t="shared" si="53"/>
        <v/>
      </c>
      <c r="AI227" s="477" t="str">
        <f>IF($AC$227="","",IFERROR(INDEX($AZ$74:$AZ$119,MATCH($AH$227,$AY$74:$AY$119,0)),"AUTRE"))</f>
        <v/>
      </c>
      <c r="AJ227" s="482" t="str">
        <f>IF($AC$227="","",IFERROR(INDEX($BA$74:$BA$119,MATCH($AH$227,$AY$74:$AY$119,0)),1))</f>
        <v/>
      </c>
      <c r="AK227" s="482" t="str">
        <f t="shared" si="54"/>
        <v/>
      </c>
      <c r="AL227" s="477" t="str">
        <f>IF($AC$227="","",IFERROR(INDEX($BB$74:$BB$119,MATCH($AH$227,$AY$74:$AY$119,0)),$AH$227))</f>
        <v/>
      </c>
      <c r="AM227" s="483" t="str">
        <f t="shared" si="55"/>
        <v/>
      </c>
      <c r="AN227" s="484" t="str">
        <f t="shared" si="56"/>
        <v/>
      </c>
      <c r="AO227" s="473" t="str">
        <f t="shared" si="57"/>
        <v/>
      </c>
      <c r="AP227" s="473" t="str">
        <f t="shared" si="58"/>
        <v/>
      </c>
      <c r="AQ227" s="473" t="str">
        <f t="shared" si="59"/>
        <v/>
      </c>
      <c r="AR227" s="473" t="str">
        <f t="shared" si="60"/>
        <v/>
      </c>
      <c r="AS227" s="473" t="str">
        <f t="shared" si="61"/>
        <v/>
      </c>
      <c r="AT227" s="473" t="str">
        <f t="shared" si="62"/>
        <v/>
      </c>
      <c r="AU227" s="473" t="str">
        <f t="shared" si="63"/>
        <v/>
      </c>
      <c r="AZ227" s="31" t="s">
        <v>20</v>
      </c>
      <c r="BA227" s="34" t="s">
        <v>492</v>
      </c>
      <c r="BB227" s="499"/>
      <c r="BC227" s="271"/>
      <c r="BD227" s="279">
        <v>1</v>
      </c>
      <c r="BE227" s="271"/>
      <c r="BF227" s="271"/>
      <c r="BG227" s="271"/>
      <c r="BH227" s="271"/>
      <c r="BI227" s="271"/>
      <c r="BJ227" s="271"/>
      <c r="BK227" s="271"/>
      <c r="BL227" s="271"/>
    </row>
    <row r="228" spans="18:64" ht="21" customHeight="1" x14ac:dyDescent="0.25">
      <c r="R228" s="490"/>
      <c r="S228" s="451"/>
      <c r="T228" s="30" t="s">
        <v>12</v>
      </c>
      <c r="V228" s="475">
        <v>5</v>
      </c>
      <c r="W228" s="475" t="str">
        <f>IF($AC$228="","",$W$216)</f>
        <v/>
      </c>
      <c r="X228" s="476" t="str">
        <f>IF($AC$228="","",$X$216)</f>
        <v/>
      </c>
      <c r="Y228" s="477" t="str">
        <f>IF($X$228="","",$Y$216)</f>
        <v/>
      </c>
      <c r="Z228" s="477" t="str">
        <f>IF($X$228="","",$Z$216)</f>
        <v/>
      </c>
      <c r="AA228" s="477" t="str">
        <f>IF($AC$228="","",ROW($A$228)-ROW($A$216))</f>
        <v/>
      </c>
      <c r="AB228" s="478"/>
      <c r="AC228" s="34"/>
      <c r="AD228" s="356"/>
      <c r="AE228" s="18"/>
      <c r="AF228" s="19"/>
      <c r="AG228" s="480" t="str">
        <f t="shared" si="52"/>
        <v/>
      </c>
      <c r="AH228" s="481" t="str">
        <f t="shared" si="53"/>
        <v/>
      </c>
      <c r="AI228" s="477" t="str">
        <f>IF($AC$228="","",IFERROR(INDEX($AZ$74:$AZ$119,MATCH($AH$228,$AY$74:$AY$119,0)),"AUTRE"))</f>
        <v/>
      </c>
      <c r="AJ228" s="482" t="str">
        <f>IF($AC$228="","",IFERROR(INDEX($BA$74:$BA$119,MATCH($AH$228,$AY$74:$AY$119,0)),1))</f>
        <v/>
      </c>
      <c r="AK228" s="482" t="str">
        <f t="shared" si="54"/>
        <v/>
      </c>
      <c r="AL228" s="477" t="str">
        <f>IF($AC$228="","",IFERROR(INDEX($BB$74:$BB$119,MATCH($AH$228,$AY$74:$AY$119,0)),$AH$228))</f>
        <v/>
      </c>
      <c r="AM228" s="483" t="str">
        <f t="shared" si="55"/>
        <v/>
      </c>
      <c r="AN228" s="484" t="str">
        <f t="shared" si="56"/>
        <v/>
      </c>
      <c r="AO228" s="473" t="str">
        <f t="shared" si="57"/>
        <v/>
      </c>
      <c r="AP228" s="473" t="str">
        <f t="shared" si="58"/>
        <v/>
      </c>
      <c r="AQ228" s="473" t="str">
        <f t="shared" si="59"/>
        <v/>
      </c>
      <c r="AR228" s="473" t="str">
        <f t="shared" si="60"/>
        <v/>
      </c>
      <c r="AS228" s="473" t="str">
        <f t="shared" si="61"/>
        <v/>
      </c>
      <c r="AT228" s="473" t="str">
        <f t="shared" si="62"/>
        <v/>
      </c>
      <c r="AU228" s="473" t="str">
        <f t="shared" si="63"/>
        <v/>
      </c>
      <c r="AZ228" s="31" t="s">
        <v>304</v>
      </c>
      <c r="BA228" s="34" t="s">
        <v>458</v>
      </c>
      <c r="BB228" s="499"/>
      <c r="BC228" s="271"/>
      <c r="BD228" s="279">
        <v>1</v>
      </c>
      <c r="BE228" s="271"/>
      <c r="BF228" s="271"/>
      <c r="BG228" s="271"/>
      <c r="BH228" s="271"/>
      <c r="BI228" s="271"/>
      <c r="BJ228" s="271"/>
      <c r="BK228" s="271"/>
      <c r="BL228" s="271"/>
    </row>
    <row r="229" spans="18:64" ht="21" customHeight="1" x14ac:dyDescent="0.25">
      <c r="R229" s="25" t="s">
        <v>6119</v>
      </c>
      <c r="S229" s="451"/>
      <c r="T229" s="31" t="s">
        <v>16</v>
      </c>
      <c r="V229" s="475">
        <v>5</v>
      </c>
      <c r="W229" s="475" t="str">
        <f>IF($AC$229="","",$W$216)</f>
        <v/>
      </c>
      <c r="X229" s="476" t="str">
        <f>IF($AC$229="","",$X$216)</f>
        <v/>
      </c>
      <c r="Y229" s="477" t="str">
        <f>IF($X$229="","",$Y$216)</f>
        <v/>
      </c>
      <c r="Z229" s="477" t="str">
        <f>IF($X$229="","",$Z$216)</f>
        <v/>
      </c>
      <c r="AA229" s="477" t="str">
        <f>IF($AC$229="","",ROW($A$229)-ROW($A$216))</f>
        <v/>
      </c>
      <c r="AB229" s="478"/>
      <c r="AC229" s="34"/>
      <c r="AD229" s="356"/>
      <c r="AE229" s="18"/>
      <c r="AF229" s="19"/>
      <c r="AG229" s="480" t="str">
        <f t="shared" si="52"/>
        <v/>
      </c>
      <c r="AH229" s="481" t="str">
        <f t="shared" si="53"/>
        <v/>
      </c>
      <c r="AI229" s="477" t="str">
        <f>IF($AC$229="","",IFERROR(INDEX($AZ$74:$AZ$119,MATCH($AH$229,$AY$74:$AY$119,0)),"AUTRE"))</f>
        <v/>
      </c>
      <c r="AJ229" s="482" t="str">
        <f>IF($AC$229="","",IFERROR(INDEX($BA$74:$BA$119,MATCH($AH$229,$AY$74:$AY$119,0)),1))</f>
        <v/>
      </c>
      <c r="AK229" s="482" t="str">
        <f t="shared" si="54"/>
        <v/>
      </c>
      <c r="AL229" s="477" t="str">
        <f>IF($AC$229="","",IFERROR(INDEX($BB$74:$BB$119,MATCH($AH$229,$AY$74:$AY$119,0)),$AH$229))</f>
        <v/>
      </c>
      <c r="AM229" s="483" t="str">
        <f t="shared" si="55"/>
        <v/>
      </c>
      <c r="AN229" s="484" t="str">
        <f t="shared" si="56"/>
        <v/>
      </c>
      <c r="AO229" s="473" t="str">
        <f t="shared" si="57"/>
        <v/>
      </c>
      <c r="AP229" s="473" t="str">
        <f t="shared" si="58"/>
        <v/>
      </c>
      <c r="AQ229" s="473" t="str">
        <f t="shared" si="59"/>
        <v/>
      </c>
      <c r="AR229" s="473" t="str">
        <f t="shared" si="60"/>
        <v/>
      </c>
      <c r="AS229" s="473" t="str">
        <f t="shared" si="61"/>
        <v/>
      </c>
      <c r="AT229" s="473" t="str">
        <f t="shared" si="62"/>
        <v/>
      </c>
      <c r="AU229" s="473" t="str">
        <f t="shared" si="63"/>
        <v/>
      </c>
      <c r="AZ229" s="31" t="s">
        <v>352</v>
      </c>
      <c r="BA229" s="490"/>
      <c r="BB229" s="499"/>
      <c r="BC229" s="271"/>
      <c r="BD229" s="279">
        <v>1</v>
      </c>
      <c r="BE229" s="271"/>
      <c r="BF229" s="271"/>
      <c r="BG229" s="271"/>
      <c r="BH229" s="271"/>
      <c r="BI229" s="271"/>
      <c r="BJ229" s="271"/>
      <c r="BK229" s="271"/>
      <c r="BL229" s="271"/>
    </row>
    <row r="230" spans="18:64" ht="21" customHeight="1" x14ac:dyDescent="0.25">
      <c r="R230" s="34" t="s">
        <v>6120</v>
      </c>
      <c r="S230" s="451"/>
      <c r="T230" s="31" t="s">
        <v>17</v>
      </c>
      <c r="V230" s="475">
        <v>5</v>
      </c>
      <c r="W230" s="475" t="str">
        <f>IF($AC$230="","",$W$216)</f>
        <v/>
      </c>
      <c r="X230" s="476" t="str">
        <f>IF($AC$230="","",$X$216)</f>
        <v/>
      </c>
      <c r="Y230" s="477" t="str">
        <f>IF($X$230="","",$Y$216)</f>
        <v/>
      </c>
      <c r="Z230" s="477" t="str">
        <f>IF($X$230="","",$Z$216)</f>
        <v/>
      </c>
      <c r="AA230" s="477" t="str">
        <f>IF($AC$230="","",ROW($A$230)-ROW($A$216))</f>
        <v/>
      </c>
      <c r="AB230" s="478"/>
      <c r="AC230" s="34"/>
      <c r="AD230" s="356"/>
      <c r="AE230" s="18"/>
      <c r="AF230" s="19"/>
      <c r="AG230" s="480" t="str">
        <f t="shared" si="52"/>
        <v/>
      </c>
      <c r="AH230" s="481" t="str">
        <f t="shared" si="53"/>
        <v/>
      </c>
      <c r="AI230" s="477" t="str">
        <f>IF($AC$230="","",IFERROR(INDEX($AZ$74:$AZ$119,MATCH($AH$230,$AY$74:$AY$119,0)),"AUTRE"))</f>
        <v/>
      </c>
      <c r="AJ230" s="482" t="str">
        <f>IF($AC$230="","",IFERROR(INDEX($BA$74:$BA$119,MATCH($AH$230,$AY$74:$AY$119,0)),1))</f>
        <v/>
      </c>
      <c r="AK230" s="482" t="str">
        <f t="shared" si="54"/>
        <v/>
      </c>
      <c r="AL230" s="477" t="str">
        <f>IF($AC$230="","",IFERROR(INDEX($BB$74:$BB$119,MATCH($AH$230,$AY$74:$AY$119,0)),$AH$230))</f>
        <v/>
      </c>
      <c r="AM230" s="483" t="str">
        <f t="shared" si="55"/>
        <v/>
      </c>
      <c r="AN230" s="484" t="str">
        <f t="shared" si="56"/>
        <v/>
      </c>
      <c r="AO230" s="473" t="str">
        <f t="shared" si="57"/>
        <v/>
      </c>
      <c r="AP230" s="473" t="str">
        <f t="shared" si="58"/>
        <v/>
      </c>
      <c r="AQ230" s="473" t="str">
        <f t="shared" si="59"/>
        <v/>
      </c>
      <c r="AR230" s="473" t="str">
        <f t="shared" si="60"/>
        <v/>
      </c>
      <c r="AS230" s="473" t="str">
        <f t="shared" si="61"/>
        <v/>
      </c>
      <c r="AT230" s="473" t="str">
        <f t="shared" si="62"/>
        <v/>
      </c>
      <c r="AU230" s="473" t="str">
        <f t="shared" si="63"/>
        <v/>
      </c>
      <c r="AZ230" s="31" t="s">
        <v>27</v>
      </c>
      <c r="BA230" s="25" t="s">
        <v>6119</v>
      </c>
      <c r="BB230" s="499"/>
      <c r="BC230" s="271"/>
      <c r="BD230" s="279">
        <v>1</v>
      </c>
      <c r="BE230" s="271"/>
      <c r="BF230" s="271"/>
      <c r="BG230" s="271"/>
      <c r="BH230" s="271"/>
      <c r="BI230" s="271"/>
      <c r="BJ230" s="271"/>
      <c r="BK230" s="271"/>
      <c r="BL230" s="271"/>
    </row>
    <row r="231" spans="18:64" ht="21" customHeight="1" x14ac:dyDescent="0.25">
      <c r="R231" s="34" t="s">
        <v>6121</v>
      </c>
      <c r="S231" s="451"/>
      <c r="T231" s="31" t="s">
        <v>18</v>
      </c>
      <c r="V231" s="475">
        <v>5</v>
      </c>
      <c r="W231" s="475" t="str">
        <f>IF($AC$231="","",$W$216)</f>
        <v/>
      </c>
      <c r="X231" s="476" t="str">
        <f>IF($AC$231="","",$X$216)</f>
        <v/>
      </c>
      <c r="Y231" s="477" t="str">
        <f>IF($X$231="","",$Y$216)</f>
        <v/>
      </c>
      <c r="Z231" s="477" t="str">
        <f>IF($X$231="","",$Z$216)</f>
        <v/>
      </c>
      <c r="AA231" s="477" t="str">
        <f>IF($AC$231="","",ROW($A$231)-ROW($A$216))</f>
        <v/>
      </c>
      <c r="AB231" s="478"/>
      <c r="AC231" s="34"/>
      <c r="AD231" s="356"/>
      <c r="AE231" s="18"/>
      <c r="AF231" s="19"/>
      <c r="AG231" s="480" t="str">
        <f t="shared" si="52"/>
        <v/>
      </c>
      <c r="AH231" s="481" t="str">
        <f t="shared" si="53"/>
        <v/>
      </c>
      <c r="AI231" s="477" t="str">
        <f>IF($AC$231="","",IFERROR(INDEX($AZ$74:$AZ$119,MATCH($AH$231,$AY$74:$AY$119,0)),"AUTRE"))</f>
        <v/>
      </c>
      <c r="AJ231" s="482" t="str">
        <f>IF($AC$231="","",IFERROR(INDEX($BA$74:$BA$119,MATCH($AH$231,$AY$74:$AY$119,0)),1))</f>
        <v/>
      </c>
      <c r="AK231" s="482" t="str">
        <f t="shared" si="54"/>
        <v/>
      </c>
      <c r="AL231" s="477" t="str">
        <f>IF($AC$231="","",IFERROR(INDEX($BB$74:$BB$119,MATCH($AH$231,$AY$74:$AY$119,0)),$AH$231))</f>
        <v/>
      </c>
      <c r="AM231" s="483" t="str">
        <f t="shared" si="55"/>
        <v/>
      </c>
      <c r="AN231" s="484" t="str">
        <f t="shared" si="56"/>
        <v/>
      </c>
      <c r="AO231" s="473" t="str">
        <f t="shared" si="57"/>
        <v/>
      </c>
      <c r="AP231" s="473" t="str">
        <f t="shared" si="58"/>
        <v/>
      </c>
      <c r="AQ231" s="473" t="str">
        <f t="shared" si="59"/>
        <v/>
      </c>
      <c r="AR231" s="473" t="str">
        <f t="shared" si="60"/>
        <v/>
      </c>
      <c r="AS231" s="473" t="str">
        <f t="shared" si="61"/>
        <v/>
      </c>
      <c r="AT231" s="473" t="str">
        <f t="shared" si="62"/>
        <v/>
      </c>
      <c r="AU231" s="473" t="str">
        <f t="shared" si="63"/>
        <v/>
      </c>
      <c r="AZ231" s="31" t="s">
        <v>28</v>
      </c>
      <c r="BA231" s="34" t="s">
        <v>6120</v>
      </c>
      <c r="BB231" s="499"/>
      <c r="BC231" s="271"/>
      <c r="BD231" s="279">
        <v>1</v>
      </c>
      <c r="BE231" s="271"/>
      <c r="BF231" s="271"/>
      <c r="BG231" s="271"/>
      <c r="BH231" s="271"/>
      <c r="BI231" s="271"/>
      <c r="BJ231" s="271"/>
      <c r="BK231" s="271"/>
      <c r="BL231" s="271"/>
    </row>
    <row r="232" spans="18:64" ht="21" customHeight="1" x14ac:dyDescent="0.25">
      <c r="R232" s="34" t="s">
        <v>6122</v>
      </c>
      <c r="S232" s="451"/>
      <c r="T232" s="31" t="s">
        <v>19</v>
      </c>
      <c r="V232" s="475">
        <v>5</v>
      </c>
      <c r="W232" s="475" t="str">
        <f>IF($AC$232="","",$W$216)</f>
        <v/>
      </c>
      <c r="X232" s="476" t="str">
        <f>IF($AC$232="","",$X$216)</f>
        <v/>
      </c>
      <c r="Y232" s="477" t="str">
        <f>IF($X$232="","",$Y$216)</f>
        <v/>
      </c>
      <c r="Z232" s="477" t="str">
        <f>IF($X$232="","",$Z$216)</f>
        <v/>
      </c>
      <c r="AA232" s="477" t="str">
        <f>IF($AC$232="","",ROW($A$232)-ROW($A$216))</f>
        <v/>
      </c>
      <c r="AB232" s="478"/>
      <c r="AC232" s="34"/>
      <c r="AD232" s="356"/>
      <c r="AE232" s="18"/>
      <c r="AF232" s="19"/>
      <c r="AG232" s="480" t="str">
        <f t="shared" si="52"/>
        <v/>
      </c>
      <c r="AH232" s="481" t="str">
        <f t="shared" si="53"/>
        <v/>
      </c>
      <c r="AI232" s="477" t="str">
        <f>IF($AC$232="","",IFERROR(INDEX($AZ$74:$AZ$119,MATCH($AH$232,$AY$74:$AY$119,0)),"AUTRE"))</f>
        <v/>
      </c>
      <c r="AJ232" s="482" t="str">
        <f>IF($AC$232="","",IFERROR(INDEX($BA$74:$BA$119,MATCH($AH$232,$AY$74:$AY$119,0)),1))</f>
        <v/>
      </c>
      <c r="AK232" s="482" t="str">
        <f t="shared" si="54"/>
        <v/>
      </c>
      <c r="AL232" s="477" t="str">
        <f>IF($AC$232="","",IFERROR(INDEX($BB$74:$BB$119,MATCH($AH$232,$AY$74:$AY$119,0)),$AH$232))</f>
        <v/>
      </c>
      <c r="AM232" s="483" t="str">
        <f t="shared" si="55"/>
        <v/>
      </c>
      <c r="AN232" s="484" t="str">
        <f t="shared" si="56"/>
        <v/>
      </c>
      <c r="AO232" s="473" t="str">
        <f t="shared" si="57"/>
        <v/>
      </c>
      <c r="AP232" s="473" t="str">
        <f t="shared" si="58"/>
        <v/>
      </c>
      <c r="AQ232" s="473" t="str">
        <f t="shared" si="59"/>
        <v/>
      </c>
      <c r="AR232" s="473" t="str">
        <f t="shared" si="60"/>
        <v/>
      </c>
      <c r="AS232" s="473" t="str">
        <f t="shared" si="61"/>
        <v/>
      </c>
      <c r="AT232" s="473" t="str">
        <f t="shared" si="62"/>
        <v/>
      </c>
      <c r="AU232" s="473" t="str">
        <f t="shared" si="63"/>
        <v/>
      </c>
      <c r="AZ232" s="31" t="s">
        <v>29</v>
      </c>
      <c r="BA232" s="34" t="s">
        <v>6121</v>
      </c>
      <c r="BB232" s="499"/>
      <c r="BC232" s="271"/>
      <c r="BD232" s="279">
        <v>1</v>
      </c>
      <c r="BE232" s="271"/>
      <c r="BF232" s="271"/>
      <c r="BG232" s="271"/>
      <c r="BH232" s="271"/>
      <c r="BI232" s="271"/>
      <c r="BJ232" s="271"/>
      <c r="BK232" s="271"/>
      <c r="BL232" s="271"/>
    </row>
    <row r="233" spans="18:64" ht="21" customHeight="1" x14ac:dyDescent="0.25">
      <c r="R233" s="34" t="s">
        <v>6123</v>
      </c>
      <c r="S233" s="451"/>
      <c r="T233" s="31" t="s">
        <v>211</v>
      </c>
      <c r="V233" s="475">
        <v>5</v>
      </c>
      <c r="W233" s="475" t="str">
        <f>IF($AC$233="","",$W$216)</f>
        <v/>
      </c>
      <c r="X233" s="476" t="str">
        <f>IF($AC$233="","",$X$216)</f>
        <v/>
      </c>
      <c r="Y233" s="477" t="str">
        <f>IF($X$233="","",$Y$216)</f>
        <v/>
      </c>
      <c r="Z233" s="477" t="str">
        <f>IF($X$233="","",$Z$216)</f>
        <v/>
      </c>
      <c r="AA233" s="477" t="str">
        <f>IF($AC$233="","",ROW($A$233)-ROW($A$216))</f>
        <v/>
      </c>
      <c r="AB233" s="478"/>
      <c r="AC233" s="34"/>
      <c r="AD233" s="356"/>
      <c r="AE233" s="18"/>
      <c r="AF233" s="19"/>
      <c r="AG233" s="480" t="str">
        <f t="shared" si="52"/>
        <v/>
      </c>
      <c r="AH233" s="481" t="str">
        <f t="shared" si="53"/>
        <v/>
      </c>
      <c r="AI233" s="477" t="str">
        <f>IF($AC$233="","",IFERROR(INDEX($AZ$74:$AZ$119,MATCH($AH$233,$AY$74:$AY$119,0)),"AUTRE"))</f>
        <v/>
      </c>
      <c r="AJ233" s="482" t="str">
        <f>IF($AC$233="","",IFERROR(INDEX($BA$74:$BA$119,MATCH($AH$233,$AY$74:$AY$119,0)),1))</f>
        <v/>
      </c>
      <c r="AK233" s="482" t="str">
        <f t="shared" si="54"/>
        <v/>
      </c>
      <c r="AL233" s="477" t="str">
        <f>IF($AC$233="","",IFERROR(INDEX($BB$74:$BB$119,MATCH($AH$233,$AY$74:$AY$119,0)),$AH$233))</f>
        <v/>
      </c>
      <c r="AM233" s="483" t="str">
        <f t="shared" si="55"/>
        <v/>
      </c>
      <c r="AN233" s="484" t="str">
        <f t="shared" si="56"/>
        <v/>
      </c>
      <c r="AO233" s="473" t="str">
        <f t="shared" si="57"/>
        <v/>
      </c>
      <c r="AP233" s="473" t="str">
        <f t="shared" si="58"/>
        <v/>
      </c>
      <c r="AQ233" s="473" t="str">
        <f t="shared" si="59"/>
        <v/>
      </c>
      <c r="AR233" s="473" t="str">
        <f t="shared" si="60"/>
        <v/>
      </c>
      <c r="AS233" s="473" t="str">
        <f t="shared" si="61"/>
        <v/>
      </c>
      <c r="AT233" s="473" t="str">
        <f t="shared" si="62"/>
        <v/>
      </c>
      <c r="AU233" s="473" t="str">
        <f t="shared" si="63"/>
        <v/>
      </c>
      <c r="AZ233" s="31" t="s">
        <v>30</v>
      </c>
      <c r="BA233" s="34" t="s">
        <v>6122</v>
      </c>
      <c r="BB233" s="499"/>
      <c r="BC233" s="271"/>
      <c r="BD233" s="279">
        <v>1</v>
      </c>
      <c r="BE233" s="271"/>
      <c r="BF233" s="271"/>
      <c r="BG233" s="271"/>
      <c r="BH233" s="271"/>
      <c r="BI233" s="271"/>
      <c r="BJ233" s="271"/>
      <c r="BK233" s="271"/>
      <c r="BL233" s="271"/>
    </row>
    <row r="234" spans="18:64" ht="21" customHeight="1" x14ac:dyDescent="0.25">
      <c r="R234" s="34" t="s">
        <v>6124</v>
      </c>
      <c r="S234" s="451"/>
      <c r="T234" s="31" t="s">
        <v>20</v>
      </c>
      <c r="V234" s="475">
        <v>5</v>
      </c>
      <c r="W234" s="475" t="str">
        <f>IF($AC$234="","",$W$216)</f>
        <v/>
      </c>
      <c r="X234" s="476" t="str">
        <f>IF($AC$234="","",$X$216)</f>
        <v/>
      </c>
      <c r="Y234" s="477" t="str">
        <f>IF($X$234="","",$Y$216)</f>
        <v/>
      </c>
      <c r="Z234" s="477" t="str">
        <f>IF($X$234="","",$Z$216)</f>
        <v/>
      </c>
      <c r="AA234" s="477" t="str">
        <f>IF($AC$234="","",ROW($A$234)-ROW($A$216))</f>
        <v/>
      </c>
      <c r="AB234" s="478"/>
      <c r="AC234" s="34"/>
      <c r="AD234" s="356"/>
      <c r="AE234" s="18"/>
      <c r="AF234" s="19"/>
      <c r="AG234" s="480" t="str">
        <f t="shared" si="52"/>
        <v/>
      </c>
      <c r="AH234" s="481" t="str">
        <f t="shared" si="53"/>
        <v/>
      </c>
      <c r="AI234" s="477" t="str">
        <f>IF($AC$234="","",IFERROR(INDEX($AZ$74:$AZ$119,MATCH($AH$234,$AY$74:$AY$119,0)),"AUTRE"))</f>
        <v/>
      </c>
      <c r="AJ234" s="482" t="str">
        <f>IF($AC$234="","",IFERROR(INDEX($BA$74:$BA$119,MATCH($AH$234,$AY$74:$AY$119,0)),1))</f>
        <v/>
      </c>
      <c r="AK234" s="482" t="str">
        <f t="shared" si="54"/>
        <v/>
      </c>
      <c r="AL234" s="477" t="str">
        <f>IF($AC$234="","",IFERROR(INDEX($BB$74:$BB$119,MATCH($AH$234,$AY$74:$AY$119,0)),$AH$234))</f>
        <v/>
      </c>
      <c r="AM234" s="483" t="str">
        <f t="shared" si="55"/>
        <v/>
      </c>
      <c r="AN234" s="484" t="str">
        <f t="shared" si="56"/>
        <v/>
      </c>
      <c r="AO234" s="473" t="str">
        <f t="shared" si="57"/>
        <v/>
      </c>
      <c r="AP234" s="473" t="str">
        <f t="shared" si="58"/>
        <v/>
      </c>
      <c r="AQ234" s="473" t="str">
        <f t="shared" si="59"/>
        <v/>
      </c>
      <c r="AR234" s="473" t="str">
        <f t="shared" si="60"/>
        <v/>
      </c>
      <c r="AS234" s="473" t="str">
        <f t="shared" si="61"/>
        <v/>
      </c>
      <c r="AT234" s="473" t="str">
        <f t="shared" si="62"/>
        <v/>
      </c>
      <c r="AU234" s="473" t="str">
        <f t="shared" si="63"/>
        <v/>
      </c>
      <c r="AZ234" s="32" t="s">
        <v>33</v>
      </c>
      <c r="BA234" s="34" t="s">
        <v>6123</v>
      </c>
      <c r="BB234" s="499"/>
      <c r="BC234" s="271"/>
      <c r="BD234" s="279">
        <v>1</v>
      </c>
      <c r="BE234" s="271"/>
      <c r="BF234" s="271"/>
      <c r="BG234" s="271"/>
      <c r="BH234" s="271"/>
      <c r="BI234" s="271"/>
      <c r="BJ234" s="271"/>
      <c r="BK234" s="271"/>
      <c r="BL234" s="271"/>
    </row>
    <row r="235" spans="18:64" ht="21" customHeight="1" x14ac:dyDescent="0.25">
      <c r="R235" s="34" t="s">
        <v>6125</v>
      </c>
      <c r="S235" s="451"/>
      <c r="T235" s="31" t="s">
        <v>304</v>
      </c>
      <c r="V235" s="475">
        <v>5</v>
      </c>
      <c r="W235" s="475" t="str">
        <f>IF($AC$235="","",$W$216)</f>
        <v/>
      </c>
      <c r="X235" s="476" t="str">
        <f>IF($AC$235="","",$X$216)</f>
        <v/>
      </c>
      <c r="Y235" s="477" t="str">
        <f>IF($X$235="","",$Y$216)</f>
        <v/>
      </c>
      <c r="Z235" s="477" t="str">
        <f>IF($X$235="","",$Z$216)</f>
        <v/>
      </c>
      <c r="AA235" s="477" t="str">
        <f>IF($AC$235="","",ROW($A$235)-ROW($A$216))</f>
        <v/>
      </c>
      <c r="AB235" s="478"/>
      <c r="AC235" s="34"/>
      <c r="AD235" s="356"/>
      <c r="AE235" s="18"/>
      <c r="AF235" s="19"/>
      <c r="AG235" s="480" t="str">
        <f t="shared" si="52"/>
        <v/>
      </c>
      <c r="AH235" s="481" t="str">
        <f t="shared" si="53"/>
        <v/>
      </c>
      <c r="AI235" s="477" t="str">
        <f>IF($AC$235="","",IFERROR(INDEX($AZ$74:$AZ$119,MATCH($AH$235,$AY$74:$AY$119,0)),"AUTRE"))</f>
        <v/>
      </c>
      <c r="AJ235" s="482" t="str">
        <f>IF($AC$235="","",IFERROR(INDEX($BA$74:$BA$119,MATCH($AH$235,$AY$74:$AY$119,0)),1))</f>
        <v/>
      </c>
      <c r="AK235" s="482" t="str">
        <f t="shared" si="54"/>
        <v/>
      </c>
      <c r="AL235" s="477" t="str">
        <f>IF($AC$235="","",IFERROR(INDEX($BB$74:$BB$119,MATCH($AH$235,$AY$74:$AY$119,0)),$AH$235))</f>
        <v/>
      </c>
      <c r="AM235" s="483" t="str">
        <f t="shared" si="55"/>
        <v/>
      </c>
      <c r="AN235" s="484" t="str">
        <f t="shared" si="56"/>
        <v/>
      </c>
      <c r="AO235" s="473" t="str">
        <f t="shared" si="57"/>
        <v/>
      </c>
      <c r="AP235" s="473" t="str">
        <f t="shared" si="58"/>
        <v/>
      </c>
      <c r="AQ235" s="473" t="str">
        <f t="shared" si="59"/>
        <v/>
      </c>
      <c r="AR235" s="473" t="str">
        <f t="shared" si="60"/>
        <v/>
      </c>
      <c r="AS235" s="473" t="str">
        <f t="shared" si="61"/>
        <v/>
      </c>
      <c r="AT235" s="473" t="str">
        <f t="shared" si="62"/>
        <v/>
      </c>
      <c r="AU235" s="473" t="str">
        <f t="shared" si="63"/>
        <v/>
      </c>
      <c r="AZ235" s="32" t="s">
        <v>8125</v>
      </c>
      <c r="BA235" s="34" t="s">
        <v>6124</v>
      </c>
      <c r="BB235" s="499"/>
      <c r="BC235" s="271"/>
      <c r="BD235" s="279">
        <v>1</v>
      </c>
      <c r="BE235" s="271"/>
      <c r="BF235" s="271"/>
      <c r="BG235" s="271"/>
      <c r="BH235" s="271"/>
      <c r="BI235" s="271"/>
      <c r="BJ235" s="271"/>
      <c r="BK235" s="271"/>
      <c r="BL235" s="271"/>
    </row>
    <row r="236" spans="18:64" ht="21" customHeight="1" x14ac:dyDescent="0.25">
      <c r="R236" s="34" t="s">
        <v>6126</v>
      </c>
      <c r="S236" s="451"/>
      <c r="T236" s="31" t="s">
        <v>352</v>
      </c>
      <c r="V236" s="475">
        <v>5</v>
      </c>
      <c r="W236" s="475" t="str">
        <f>IF($AC$236="","",$W$216)</f>
        <v/>
      </c>
      <c r="X236" s="476" t="str">
        <f>IF($AC$236="","",$X$216)</f>
        <v/>
      </c>
      <c r="Y236" s="477" t="str">
        <f>IF($X$236="","",$Y$216)</f>
        <v/>
      </c>
      <c r="Z236" s="477" t="str">
        <f>IF($X$236="","",$Z$216)</f>
        <v/>
      </c>
      <c r="AA236" s="477" t="str">
        <f>IF($AC$236="","",ROW($A$236)-ROW($A$216))</f>
        <v/>
      </c>
      <c r="AB236" s="478"/>
      <c r="AC236" s="34"/>
      <c r="AD236" s="356"/>
      <c r="AE236" s="18"/>
      <c r="AF236" s="19"/>
      <c r="AG236" s="480" t="str">
        <f t="shared" si="52"/>
        <v/>
      </c>
      <c r="AH236" s="481" t="str">
        <f t="shared" si="53"/>
        <v/>
      </c>
      <c r="AI236" s="477" t="str">
        <f>IF($AC$236="","",IFERROR(INDEX($AZ$74:$AZ$119,MATCH($AH$236,$AY$74:$AY$119,0)),"AUTRE"))</f>
        <v/>
      </c>
      <c r="AJ236" s="482" t="str">
        <f>IF($AC$236="","",IFERROR(INDEX($BA$74:$BA$119,MATCH($AH$236,$AY$74:$AY$119,0)),1))</f>
        <v/>
      </c>
      <c r="AK236" s="482" t="str">
        <f t="shared" si="54"/>
        <v/>
      </c>
      <c r="AL236" s="477" t="str">
        <f>IF($AC$236="","",IFERROR(INDEX($BB$74:$BB$119,MATCH($AH$236,$AY$74:$AY$119,0)),$AH$236))</f>
        <v/>
      </c>
      <c r="AM236" s="483" t="str">
        <f t="shared" si="55"/>
        <v/>
      </c>
      <c r="AN236" s="484" t="str">
        <f t="shared" si="56"/>
        <v/>
      </c>
      <c r="AO236" s="473" t="str">
        <f t="shared" si="57"/>
        <v/>
      </c>
      <c r="AP236" s="473" t="str">
        <f t="shared" si="58"/>
        <v/>
      </c>
      <c r="AQ236" s="473" t="str">
        <f t="shared" si="59"/>
        <v/>
      </c>
      <c r="AR236" s="473" t="str">
        <f t="shared" si="60"/>
        <v/>
      </c>
      <c r="AS236" s="473" t="str">
        <f t="shared" si="61"/>
        <v/>
      </c>
      <c r="AT236" s="473" t="str">
        <f t="shared" si="62"/>
        <v/>
      </c>
      <c r="AU236" s="473" t="str">
        <f t="shared" si="63"/>
        <v/>
      </c>
      <c r="AZ236" s="32" t="s">
        <v>8127</v>
      </c>
      <c r="BA236" s="34" t="s">
        <v>6125</v>
      </c>
      <c r="BB236" s="499"/>
      <c r="BC236" s="271"/>
      <c r="BD236" s="279">
        <v>1</v>
      </c>
      <c r="BE236" s="271"/>
      <c r="BF236" s="271"/>
      <c r="BG236" s="271"/>
      <c r="BH236" s="271"/>
      <c r="BI236" s="271"/>
      <c r="BJ236" s="271"/>
      <c r="BK236" s="271"/>
      <c r="BL236" s="271"/>
    </row>
    <row r="237" spans="18:64" ht="21" customHeight="1" x14ac:dyDescent="0.25">
      <c r="R237" s="34" t="s">
        <v>6127</v>
      </c>
      <c r="S237" s="451"/>
      <c r="T237" s="31" t="s">
        <v>25</v>
      </c>
      <c r="V237" s="475">
        <v>5</v>
      </c>
      <c r="W237" s="475" t="str">
        <f>IF($AC$237="","",$W$216)</f>
        <v/>
      </c>
      <c r="X237" s="476" t="str">
        <f>IF($AC$237="","",$X$216)</f>
        <v/>
      </c>
      <c r="Y237" s="477" t="str">
        <f>IF($X$237="","",$Y$216)</f>
        <v/>
      </c>
      <c r="Z237" s="477" t="str">
        <f>IF($X$237="","",$Z$216)</f>
        <v/>
      </c>
      <c r="AA237" s="477" t="str">
        <f>IF($AC$237="","",ROW($A$237)-ROW($A$216))</f>
        <v/>
      </c>
      <c r="AB237" s="478"/>
      <c r="AC237" s="34"/>
      <c r="AD237" s="356"/>
      <c r="AE237" s="18"/>
      <c r="AF237" s="19"/>
      <c r="AG237" s="480" t="str">
        <f t="shared" si="52"/>
        <v/>
      </c>
      <c r="AH237" s="481" t="str">
        <f t="shared" si="53"/>
        <v/>
      </c>
      <c r="AI237" s="477" t="str">
        <f>IF($AC$237="","",IFERROR(INDEX($AZ$74:$AZ$119,MATCH($AH$237,$AY$74:$AY$119,0)),"AUTRE"))</f>
        <v/>
      </c>
      <c r="AJ237" s="482" t="str">
        <f>IF($AC$237="","",IFERROR(INDEX($BA$74:$BA$119,MATCH($AH$237,$AY$74:$AY$119,0)),1))</f>
        <v/>
      </c>
      <c r="AK237" s="482" t="str">
        <f t="shared" si="54"/>
        <v/>
      </c>
      <c r="AL237" s="477" t="str">
        <f>IF($AC$237="","",IFERROR(INDEX($BB$74:$BB$119,MATCH($AH$237,$AY$74:$AY$119,0)),$AH$237))</f>
        <v/>
      </c>
      <c r="AM237" s="483" t="str">
        <f t="shared" si="55"/>
        <v/>
      </c>
      <c r="AN237" s="484" t="str">
        <f t="shared" si="56"/>
        <v/>
      </c>
      <c r="AO237" s="473" t="str">
        <f t="shared" si="57"/>
        <v/>
      </c>
      <c r="AP237" s="473" t="str">
        <f t="shared" si="58"/>
        <v/>
      </c>
      <c r="AQ237" s="473" t="str">
        <f t="shared" si="59"/>
        <v/>
      </c>
      <c r="AR237" s="473" t="str">
        <f t="shared" si="60"/>
        <v/>
      </c>
      <c r="AS237" s="473" t="str">
        <f t="shared" si="61"/>
        <v/>
      </c>
      <c r="AT237" s="473" t="str">
        <f t="shared" si="62"/>
        <v/>
      </c>
      <c r="AU237" s="473" t="str">
        <f t="shared" si="63"/>
        <v/>
      </c>
      <c r="AZ237" s="32" t="s">
        <v>320</v>
      </c>
      <c r="BA237" s="34" t="s">
        <v>6126</v>
      </c>
      <c r="BB237" s="499"/>
      <c r="BC237" s="271"/>
      <c r="BD237" s="279">
        <v>1</v>
      </c>
      <c r="BE237" s="271"/>
      <c r="BF237" s="271"/>
      <c r="BG237" s="271"/>
      <c r="BH237" s="271"/>
      <c r="BI237" s="271"/>
      <c r="BJ237" s="271"/>
      <c r="BK237" s="271"/>
      <c r="BL237" s="271"/>
    </row>
    <row r="238" spans="18:64" ht="21" customHeight="1" x14ac:dyDescent="0.25">
      <c r="R238" s="25" t="s">
        <v>6128</v>
      </c>
      <c r="S238" s="451"/>
      <c r="T238" s="31" t="s">
        <v>26</v>
      </c>
      <c r="V238" s="475">
        <v>5</v>
      </c>
      <c r="W238" s="475" t="str">
        <f>IF($AC$238="","",$W$216)</f>
        <v/>
      </c>
      <c r="X238" s="476" t="str">
        <f>IF($AC$238="","",$X$216)</f>
        <v/>
      </c>
      <c r="Y238" s="477" t="str">
        <f>IF($X$238="","",$Y$216)</f>
        <v/>
      </c>
      <c r="Z238" s="477" t="str">
        <f>IF($X$238="","",$Z$216)</f>
        <v/>
      </c>
      <c r="AA238" s="477" t="str">
        <f>IF($AC$238="","",ROW($A$238)-ROW($A$216))</f>
        <v/>
      </c>
      <c r="AB238" s="478"/>
      <c r="AC238" s="34"/>
      <c r="AD238" s="356"/>
      <c r="AE238" s="18"/>
      <c r="AF238" s="19"/>
      <c r="AG238" s="480" t="str">
        <f t="shared" si="52"/>
        <v/>
      </c>
      <c r="AH238" s="481" t="str">
        <f t="shared" si="53"/>
        <v/>
      </c>
      <c r="AI238" s="477" t="str">
        <f>IF($AC$238="","",IFERROR(INDEX($AZ$74:$AZ$119,MATCH($AH$238,$AY$74:$AY$119,0)),"AUTRE"))</f>
        <v/>
      </c>
      <c r="AJ238" s="482" t="str">
        <f>IF($AC$238="","",IFERROR(INDEX($BA$74:$BA$119,MATCH($AH$238,$AY$74:$AY$119,0)),1))</f>
        <v/>
      </c>
      <c r="AK238" s="482" t="str">
        <f t="shared" si="54"/>
        <v/>
      </c>
      <c r="AL238" s="477" t="str">
        <f>IF($AC$238="","",IFERROR(INDEX($BB$74:$BB$119,MATCH($AH$238,$AY$74:$AY$119,0)),$AH$238))</f>
        <v/>
      </c>
      <c r="AM238" s="483" t="str">
        <f t="shared" si="55"/>
        <v/>
      </c>
      <c r="AN238" s="484" t="str">
        <f t="shared" si="56"/>
        <v/>
      </c>
      <c r="AO238" s="473" t="str">
        <f t="shared" si="57"/>
        <v/>
      </c>
      <c r="AP238" s="473" t="str">
        <f t="shared" si="58"/>
        <v/>
      </c>
      <c r="AQ238" s="473" t="str">
        <f t="shared" si="59"/>
        <v/>
      </c>
      <c r="AR238" s="473" t="str">
        <f t="shared" si="60"/>
        <v/>
      </c>
      <c r="AS238" s="473" t="str">
        <f t="shared" si="61"/>
        <v/>
      </c>
      <c r="AT238" s="473" t="str">
        <f t="shared" si="62"/>
        <v/>
      </c>
      <c r="AU238" s="473" t="str">
        <f t="shared" si="63"/>
        <v/>
      </c>
      <c r="AZ238" s="32" t="s">
        <v>318</v>
      </c>
      <c r="BA238" s="34" t="s">
        <v>6127</v>
      </c>
      <c r="BB238" s="499"/>
      <c r="BC238" s="271"/>
      <c r="BD238" s="279">
        <v>1</v>
      </c>
      <c r="BE238" s="271"/>
      <c r="BF238" s="271"/>
      <c r="BG238" s="271"/>
      <c r="BH238" s="271"/>
      <c r="BI238" s="271"/>
      <c r="BJ238" s="271"/>
      <c r="BK238" s="271"/>
      <c r="BL238" s="271"/>
    </row>
    <row r="239" spans="18:64" ht="21" customHeight="1" x14ac:dyDescent="0.25">
      <c r="R239" s="34" t="s">
        <v>474</v>
      </c>
      <c r="S239" s="451"/>
      <c r="T239" s="31" t="s">
        <v>27</v>
      </c>
      <c r="V239" s="475">
        <v>5</v>
      </c>
      <c r="W239" s="475" t="str">
        <f>IF($AC$239="","",$W$216)</f>
        <v/>
      </c>
      <c r="X239" s="476" t="str">
        <f>IF($AC$239="","",$X$216)</f>
        <v/>
      </c>
      <c r="Y239" s="477" t="str">
        <f>IF($X$239="","",$Y$216)</f>
        <v/>
      </c>
      <c r="Z239" s="477" t="str">
        <f>IF($X$239="","",$Z$216)</f>
        <v/>
      </c>
      <c r="AA239" s="477" t="str">
        <f>IF($AC$239="","",ROW($A$239)-ROW($A$216))</f>
        <v/>
      </c>
      <c r="AB239" s="478"/>
      <c r="AC239" s="34"/>
      <c r="AD239" s="356"/>
      <c r="AE239" s="18"/>
      <c r="AF239" s="19"/>
      <c r="AG239" s="480" t="str">
        <f t="shared" si="52"/>
        <v/>
      </c>
      <c r="AH239" s="481" t="str">
        <f t="shared" si="53"/>
        <v/>
      </c>
      <c r="AI239" s="477" t="str">
        <f>IF($AC$239="","",IFERROR(INDEX($AZ$74:$AZ$119,MATCH($AH$239,$AY$74:$AY$119,0)),"AUTRE"))</f>
        <v/>
      </c>
      <c r="AJ239" s="482" t="str">
        <f>IF($AC$239="","",IFERROR(INDEX($BA$74:$BA$119,MATCH($AH$239,$AY$74:$AY$119,0)),1))</f>
        <v/>
      </c>
      <c r="AK239" s="482" t="str">
        <f t="shared" si="54"/>
        <v/>
      </c>
      <c r="AL239" s="477" t="str">
        <f>IF($AC$239="","",IFERROR(INDEX($BB$74:$BB$119,MATCH($AH$239,$AY$74:$AY$119,0)),$AH$239))</f>
        <v/>
      </c>
      <c r="AM239" s="483" t="str">
        <f t="shared" si="55"/>
        <v/>
      </c>
      <c r="AN239" s="484" t="str">
        <f t="shared" si="56"/>
        <v/>
      </c>
      <c r="AO239" s="473" t="str">
        <f t="shared" si="57"/>
        <v/>
      </c>
      <c r="AP239" s="473" t="str">
        <f t="shared" si="58"/>
        <v/>
      </c>
      <c r="AQ239" s="473" t="str">
        <f t="shared" si="59"/>
        <v/>
      </c>
      <c r="AR239" s="473" t="str">
        <f t="shared" si="60"/>
        <v/>
      </c>
      <c r="AS239" s="473" t="str">
        <f t="shared" si="61"/>
        <v/>
      </c>
      <c r="AT239" s="473" t="str">
        <f t="shared" si="62"/>
        <v/>
      </c>
      <c r="AU239" s="473" t="str">
        <f t="shared" si="63"/>
        <v/>
      </c>
      <c r="AZ239" s="32" t="s">
        <v>316</v>
      </c>
      <c r="BA239" s="25" t="s">
        <v>6128</v>
      </c>
      <c r="BB239" s="499"/>
      <c r="BC239" s="271"/>
      <c r="BD239" s="279">
        <v>1</v>
      </c>
      <c r="BE239" s="271"/>
      <c r="BF239" s="271"/>
      <c r="BG239" s="271"/>
      <c r="BH239" s="271"/>
      <c r="BI239" s="271"/>
      <c r="BJ239" s="271"/>
      <c r="BK239" s="271"/>
      <c r="BL239" s="271"/>
    </row>
    <row r="240" spans="18:64" ht="21" customHeight="1" x14ac:dyDescent="0.25">
      <c r="R240" s="34" t="s">
        <v>490</v>
      </c>
      <c r="S240" s="451"/>
      <c r="T240" s="31" t="s">
        <v>28</v>
      </c>
      <c r="V240" s="475">
        <v>5</v>
      </c>
      <c r="W240" s="475" t="str">
        <f>IF($AC$240="","",$W$216)</f>
        <v/>
      </c>
      <c r="X240" s="476" t="str">
        <f>IF($AC$240="","",$X$216)</f>
        <v/>
      </c>
      <c r="Y240" s="477" t="str">
        <f>IF($X$240="","",$Y$216)</f>
        <v/>
      </c>
      <c r="Z240" s="477" t="str">
        <f>IF($X$240="","",$Z$216)</f>
        <v/>
      </c>
      <c r="AA240" s="477" t="str">
        <f>IF($AC$240="","",ROW($A$240)-ROW($A$216))</f>
        <v/>
      </c>
      <c r="AB240" s="478"/>
      <c r="AC240" s="34"/>
      <c r="AD240" s="356"/>
      <c r="AE240" s="18"/>
      <c r="AF240" s="19"/>
      <c r="AG240" s="480" t="str">
        <f t="shared" si="52"/>
        <v/>
      </c>
      <c r="AH240" s="481" t="str">
        <f t="shared" si="53"/>
        <v/>
      </c>
      <c r="AI240" s="477" t="str">
        <f>IF($AC$240="","",IFERROR(INDEX($AZ$74:$AZ$119,MATCH($AH$240,$AY$74:$AY$119,0)),"AUTRE"))</f>
        <v/>
      </c>
      <c r="AJ240" s="482" t="str">
        <f>IF($AC$240="","",IFERROR(INDEX($BA$74:$BA$119,MATCH($AH$240,$AY$74:$AY$119,0)),1))</f>
        <v/>
      </c>
      <c r="AK240" s="482" t="str">
        <f t="shared" si="54"/>
        <v/>
      </c>
      <c r="AL240" s="477" t="str">
        <f>IF($AC$240="","",IFERROR(INDEX($BB$74:$BB$119,MATCH($AH$240,$AY$74:$AY$119,0)),$AH$240))</f>
        <v/>
      </c>
      <c r="AM240" s="483" t="str">
        <f t="shared" si="55"/>
        <v/>
      </c>
      <c r="AN240" s="484" t="str">
        <f t="shared" si="56"/>
        <v/>
      </c>
      <c r="AO240" s="473" t="str">
        <f t="shared" si="57"/>
        <v/>
      </c>
      <c r="AP240" s="473" t="str">
        <f t="shared" si="58"/>
        <v/>
      </c>
      <c r="AQ240" s="473" t="str">
        <f t="shared" si="59"/>
        <v/>
      </c>
      <c r="AR240" s="473" t="str">
        <f t="shared" si="60"/>
        <v/>
      </c>
      <c r="AS240" s="473" t="str">
        <f t="shared" si="61"/>
        <v/>
      </c>
      <c r="AT240" s="473" t="str">
        <f t="shared" si="62"/>
        <v/>
      </c>
      <c r="AU240" s="473" t="str">
        <f t="shared" si="63"/>
        <v/>
      </c>
      <c r="AZ240" s="32" t="s">
        <v>313</v>
      </c>
      <c r="BA240" s="34" t="s">
        <v>474</v>
      </c>
      <c r="BB240" s="499"/>
      <c r="BC240" s="271"/>
      <c r="BD240" s="279">
        <v>1</v>
      </c>
      <c r="BE240" s="271"/>
      <c r="BF240" s="271"/>
      <c r="BG240" s="271"/>
      <c r="BH240" s="271"/>
      <c r="BI240" s="271"/>
      <c r="BJ240" s="271"/>
      <c r="BK240" s="271"/>
      <c r="BL240" s="271"/>
    </row>
    <row r="241" spans="18:64" ht="21" customHeight="1" x14ac:dyDescent="0.25">
      <c r="R241" s="34" t="s">
        <v>6129</v>
      </c>
      <c r="S241" s="451"/>
      <c r="T241" s="31" t="s">
        <v>29</v>
      </c>
      <c r="V241" s="475">
        <v>5</v>
      </c>
      <c r="W241" s="475" t="str">
        <f>IF($AC$241="","",$W$216)</f>
        <v/>
      </c>
      <c r="X241" s="476" t="str">
        <f>IF($AC$241="","",$X$216)</f>
        <v/>
      </c>
      <c r="Y241" s="477" t="str">
        <f>IF($X$241="","",$Y$216)</f>
        <v/>
      </c>
      <c r="Z241" s="477" t="str">
        <f>IF($X$241="","",$Z$216)</f>
        <v/>
      </c>
      <c r="AA241" s="477" t="str">
        <f>IF($AC$241="","",ROW($A$241)-ROW($A$216))</f>
        <v/>
      </c>
      <c r="AB241" s="478"/>
      <c r="AC241" s="34"/>
      <c r="AD241" s="356"/>
      <c r="AE241" s="18"/>
      <c r="AF241" s="19"/>
      <c r="AG241" s="480" t="str">
        <f t="shared" si="52"/>
        <v/>
      </c>
      <c r="AH241" s="481" t="str">
        <f t="shared" si="53"/>
        <v/>
      </c>
      <c r="AI241" s="477" t="str">
        <f>IF($AC$241="","",IFERROR(INDEX($AZ$74:$AZ$119,MATCH($AH$241,$AY$74:$AY$119,0)),"AUTRE"))</f>
        <v/>
      </c>
      <c r="AJ241" s="482" t="str">
        <f>IF($AC$241="","",IFERROR(INDEX($BA$74:$BA$119,MATCH($AH$241,$AY$74:$AY$119,0)),1))</f>
        <v/>
      </c>
      <c r="AK241" s="482" t="str">
        <f t="shared" si="54"/>
        <v/>
      </c>
      <c r="AL241" s="477" t="str">
        <f>IF($AC$241="","",IFERROR(INDEX($BB$74:$BB$119,MATCH($AH$241,$AY$74:$AY$119,0)),$AH$241))</f>
        <v/>
      </c>
      <c r="AM241" s="483" t="str">
        <f t="shared" si="55"/>
        <v/>
      </c>
      <c r="AN241" s="484" t="str">
        <f t="shared" si="56"/>
        <v/>
      </c>
      <c r="AO241" s="473" t="str">
        <f t="shared" si="57"/>
        <v/>
      </c>
      <c r="AP241" s="473" t="str">
        <f t="shared" si="58"/>
        <v/>
      </c>
      <c r="AQ241" s="473" t="str">
        <f t="shared" si="59"/>
        <v/>
      </c>
      <c r="AR241" s="473" t="str">
        <f t="shared" si="60"/>
        <v/>
      </c>
      <c r="AS241" s="473" t="str">
        <f t="shared" si="61"/>
        <v/>
      </c>
      <c r="AT241" s="473" t="str">
        <f t="shared" si="62"/>
        <v/>
      </c>
      <c r="AU241" s="473" t="str">
        <f t="shared" si="63"/>
        <v/>
      </c>
      <c r="AZ241" s="32" t="s">
        <v>307</v>
      </c>
      <c r="BA241" s="34" t="s">
        <v>490</v>
      </c>
      <c r="BB241" s="499"/>
      <c r="BC241" s="271"/>
      <c r="BD241" s="279">
        <v>1</v>
      </c>
      <c r="BE241" s="271"/>
      <c r="BF241" s="271"/>
      <c r="BG241" s="271"/>
      <c r="BH241" s="271"/>
      <c r="BI241" s="271"/>
      <c r="BJ241" s="271"/>
      <c r="BK241" s="271"/>
      <c r="BL241" s="271"/>
    </row>
    <row r="242" spans="18:64" ht="21" customHeight="1" x14ac:dyDescent="0.25">
      <c r="R242" s="34" t="s">
        <v>478</v>
      </c>
      <c r="S242" s="451"/>
      <c r="T242" s="31" t="s">
        <v>30</v>
      </c>
      <c r="V242" s="475">
        <v>5</v>
      </c>
      <c r="W242" s="475" t="str">
        <f>IF($AC$242="","",$W$216)</f>
        <v/>
      </c>
      <c r="X242" s="476" t="str">
        <f>IF($AC$242="","",$X$216)</f>
        <v/>
      </c>
      <c r="Y242" s="477" t="str">
        <f>IF($X$242="","",$Y$216)</f>
        <v/>
      </c>
      <c r="Z242" s="477" t="str">
        <f>IF($X$242="","",$Z$216)</f>
        <v/>
      </c>
      <c r="AA242" s="477" t="str">
        <f>IF($AC$242="","",ROW($A$242)-ROW($A$216))</f>
        <v/>
      </c>
      <c r="AB242" s="478"/>
      <c r="AC242" s="34"/>
      <c r="AD242" s="356"/>
      <c r="AE242" s="18"/>
      <c r="AF242" s="19"/>
      <c r="AG242" s="480" t="str">
        <f t="shared" si="52"/>
        <v/>
      </c>
      <c r="AH242" s="481" t="str">
        <f t="shared" si="53"/>
        <v/>
      </c>
      <c r="AI242" s="477" t="str">
        <f>IF($AC$242="","",IFERROR(INDEX($AZ$74:$AZ$119,MATCH($AH$242,$AY$74:$AY$119,0)),"AUTRE"))</f>
        <v/>
      </c>
      <c r="AJ242" s="482" t="str">
        <f>IF($AC$242="","",IFERROR(INDEX($BA$74:$BA$119,MATCH($AH$242,$AY$74:$AY$119,0)),1))</f>
        <v/>
      </c>
      <c r="AK242" s="482" t="str">
        <f t="shared" si="54"/>
        <v/>
      </c>
      <c r="AL242" s="477" t="str">
        <f>IF($AC$242="","",IFERROR(INDEX($BB$74:$BB$119,MATCH($AH$242,$AY$74:$AY$119,0)),$AH$242))</f>
        <v/>
      </c>
      <c r="AM242" s="483" t="str">
        <f t="shared" si="55"/>
        <v/>
      </c>
      <c r="AN242" s="484" t="str">
        <f t="shared" si="56"/>
        <v/>
      </c>
      <c r="AO242" s="473" t="str">
        <f t="shared" si="57"/>
        <v/>
      </c>
      <c r="AP242" s="473" t="str">
        <f t="shared" si="58"/>
        <v/>
      </c>
      <c r="AQ242" s="473" t="str">
        <f t="shared" si="59"/>
        <v/>
      </c>
      <c r="AR242" s="473" t="str">
        <f t="shared" si="60"/>
        <v/>
      </c>
      <c r="AS242" s="473" t="str">
        <f t="shared" si="61"/>
        <v/>
      </c>
      <c r="AT242" s="473" t="str">
        <f t="shared" si="62"/>
        <v/>
      </c>
      <c r="AU242" s="473" t="str">
        <f t="shared" si="63"/>
        <v/>
      </c>
      <c r="AZ242" s="32" t="s">
        <v>322</v>
      </c>
      <c r="BA242" s="34" t="s">
        <v>6129</v>
      </c>
      <c r="BB242" s="499"/>
      <c r="BC242" s="271"/>
      <c r="BD242" s="279">
        <v>1</v>
      </c>
      <c r="BE242" s="271"/>
      <c r="BF242" s="271"/>
      <c r="BG242" s="271"/>
      <c r="BH242" s="271"/>
      <c r="BI242" s="271"/>
      <c r="BJ242" s="271"/>
      <c r="BK242" s="271"/>
      <c r="BL242" s="271"/>
    </row>
    <row r="243" spans="18:64" ht="21" customHeight="1" x14ac:dyDescent="0.25">
      <c r="R243" s="34" t="s">
        <v>6130</v>
      </c>
      <c r="S243" s="451"/>
      <c r="T243" s="31" t="s">
        <v>31</v>
      </c>
      <c r="V243" s="475">
        <v>5</v>
      </c>
      <c r="W243" s="475" t="str">
        <f>IF($AC$243="","",$W$216)</f>
        <v/>
      </c>
      <c r="X243" s="476" t="str">
        <f>IF($AC$243="","",$X$216)</f>
        <v/>
      </c>
      <c r="Y243" s="477" t="str">
        <f>IF($X$243="","",$Y$216)</f>
        <v/>
      </c>
      <c r="Z243" s="477" t="str">
        <f>IF($X$243="","",$Z$216)</f>
        <v/>
      </c>
      <c r="AA243" s="477" t="str">
        <f>IF($AC$243="","",ROW($A$243)-ROW($A$216))</f>
        <v/>
      </c>
      <c r="AB243" s="478"/>
      <c r="AC243" s="34"/>
      <c r="AD243" s="356"/>
      <c r="AE243" s="18"/>
      <c r="AF243" s="19"/>
      <c r="AG243" s="480" t="str">
        <f t="shared" si="52"/>
        <v/>
      </c>
      <c r="AH243" s="481" t="str">
        <f t="shared" si="53"/>
        <v/>
      </c>
      <c r="AI243" s="477" t="str">
        <f>IF($AC$243="","",IFERROR(INDEX($AZ$74:$AZ$119,MATCH($AH$243,$AY$74:$AY$119,0)),"AUTRE"))</f>
        <v/>
      </c>
      <c r="AJ243" s="482" t="str">
        <f>IF($AC$243="","",IFERROR(INDEX($BA$74:$BA$119,MATCH($AH$243,$AY$74:$AY$119,0)),1))</f>
        <v/>
      </c>
      <c r="AK243" s="482" t="str">
        <f t="shared" si="54"/>
        <v/>
      </c>
      <c r="AL243" s="477" t="str">
        <f>IF($AC$243="","",IFERROR(INDEX($BB$74:$BB$119,MATCH($AH$243,$AY$74:$AY$119,0)),$AH$243))</f>
        <v/>
      </c>
      <c r="AM243" s="483" t="str">
        <f t="shared" si="55"/>
        <v/>
      </c>
      <c r="AN243" s="484" t="str">
        <f t="shared" si="56"/>
        <v/>
      </c>
      <c r="AO243" s="473" t="str">
        <f t="shared" si="57"/>
        <v/>
      </c>
      <c r="AP243" s="473" t="str">
        <f t="shared" si="58"/>
        <v/>
      </c>
      <c r="AQ243" s="473" t="str">
        <f t="shared" si="59"/>
        <v/>
      </c>
      <c r="AR243" s="473" t="str">
        <f t="shared" si="60"/>
        <v/>
      </c>
      <c r="AS243" s="473" t="str">
        <f t="shared" si="61"/>
        <v/>
      </c>
      <c r="AT243" s="473" t="str">
        <f t="shared" si="62"/>
        <v/>
      </c>
      <c r="AU243" s="473" t="str">
        <f t="shared" si="63"/>
        <v/>
      </c>
      <c r="AZ243" s="32" t="s">
        <v>305</v>
      </c>
      <c r="BA243" s="34" t="s">
        <v>478</v>
      </c>
      <c r="BB243" s="499"/>
      <c r="BC243" s="271"/>
      <c r="BD243" s="279">
        <v>1</v>
      </c>
      <c r="BE243" s="271"/>
      <c r="BF243" s="271"/>
      <c r="BG243" s="271"/>
      <c r="BH243" s="271"/>
      <c r="BI243" s="271"/>
      <c r="BJ243" s="271"/>
      <c r="BK243" s="271"/>
      <c r="BL243" s="271"/>
    </row>
    <row r="244" spans="18:64" ht="21" customHeight="1" x14ac:dyDescent="0.25">
      <c r="R244" s="34" t="s">
        <v>486</v>
      </c>
      <c r="S244" s="451"/>
      <c r="T244" s="32" t="s">
        <v>33</v>
      </c>
      <c r="V244" s="475">
        <v>5</v>
      </c>
      <c r="W244" s="475" t="str">
        <f>IF($AC$244="","",$W$216)</f>
        <v/>
      </c>
      <c r="X244" s="476" t="str">
        <f>IF($AC$244="","",$X$216)</f>
        <v/>
      </c>
      <c r="Y244" s="477" t="str">
        <f>IF($X$244="","",$Y$216)</f>
        <v/>
      </c>
      <c r="Z244" s="477" t="str">
        <f>IF($X$244="","",$Z$216)</f>
        <v/>
      </c>
      <c r="AA244" s="477" t="str">
        <f>IF($AC$244="","",ROW($A$244)-ROW($A$216))</f>
        <v/>
      </c>
      <c r="AB244" s="478"/>
      <c r="AC244" s="34"/>
      <c r="AD244" s="356"/>
      <c r="AE244" s="18"/>
      <c r="AF244" s="19"/>
      <c r="AG244" s="480" t="str">
        <f t="shared" si="52"/>
        <v/>
      </c>
      <c r="AH244" s="481" t="str">
        <f t="shared" si="53"/>
        <v/>
      </c>
      <c r="AI244" s="477" t="str">
        <f>IF($AC$244="","",IFERROR(INDEX($AZ$74:$AZ$119,MATCH($AH$244,$AY$74:$AY$119,0)),"AUTRE"))</f>
        <v/>
      </c>
      <c r="AJ244" s="482" t="str">
        <f>IF($AC$244="","",IFERROR(INDEX($BA$74:$BA$119,MATCH($AH$244,$AY$74:$AY$119,0)),1))</f>
        <v/>
      </c>
      <c r="AK244" s="482" t="str">
        <f t="shared" si="54"/>
        <v/>
      </c>
      <c r="AL244" s="477" t="str">
        <f>IF($AC$244="","",IFERROR(INDEX($BB$74:$BB$119,MATCH($AH$244,$AY$74:$AY$119,0)),$AH$244))</f>
        <v/>
      </c>
      <c r="AM244" s="483" t="str">
        <f t="shared" si="55"/>
        <v/>
      </c>
      <c r="AN244" s="484" t="str">
        <f t="shared" si="56"/>
        <v/>
      </c>
      <c r="AO244" s="473" t="str">
        <f t="shared" si="57"/>
        <v/>
      </c>
      <c r="AP244" s="473" t="str">
        <f t="shared" si="58"/>
        <v/>
      </c>
      <c r="AQ244" s="473" t="str">
        <f t="shared" si="59"/>
        <v/>
      </c>
      <c r="AR244" s="473" t="str">
        <f t="shared" si="60"/>
        <v/>
      </c>
      <c r="AS244" s="473" t="str">
        <f t="shared" si="61"/>
        <v/>
      </c>
      <c r="AT244" s="473" t="str">
        <f t="shared" si="62"/>
        <v/>
      </c>
      <c r="AU244" s="473" t="str">
        <f t="shared" si="63"/>
        <v/>
      </c>
      <c r="AY244" s="271"/>
      <c r="AZ244" s="32" t="s">
        <v>8129</v>
      </c>
      <c r="BA244" s="34" t="s">
        <v>6130</v>
      </c>
      <c r="BB244" s="499"/>
      <c r="BC244" s="271"/>
      <c r="BD244" s="279">
        <v>1</v>
      </c>
      <c r="BE244" s="271"/>
      <c r="BF244" s="271"/>
      <c r="BG244" s="271"/>
      <c r="BH244" s="271"/>
      <c r="BI244" s="271"/>
      <c r="BJ244" s="271"/>
      <c r="BK244" s="271"/>
      <c r="BL244" s="271"/>
    </row>
    <row r="245" spans="18:64" ht="21" customHeight="1" x14ac:dyDescent="0.25">
      <c r="R245" s="34" t="s">
        <v>479</v>
      </c>
      <c r="S245" s="451"/>
      <c r="T245" s="32" t="s">
        <v>8125</v>
      </c>
      <c r="V245" s="475">
        <v>5</v>
      </c>
      <c r="W245" s="475" t="str">
        <f>IF($AC$245="","",$W$216)</f>
        <v/>
      </c>
      <c r="X245" s="476" t="str">
        <f>IF($AC$245="","",$X$216)</f>
        <v/>
      </c>
      <c r="Y245" s="477" t="str">
        <f>IF($X$245="","",$Y$216)</f>
        <v/>
      </c>
      <c r="Z245" s="477" t="str">
        <f>IF($X$245="","",$Z$216)</f>
        <v/>
      </c>
      <c r="AA245" s="477" t="str">
        <f>IF($AC$245="","",ROW($A$245)-ROW($A$216))</f>
        <v/>
      </c>
      <c r="AB245" s="478"/>
      <c r="AC245" s="34"/>
      <c r="AD245" s="356"/>
      <c r="AE245" s="18"/>
      <c r="AF245" s="19"/>
      <c r="AG245" s="480" t="str">
        <f t="shared" si="52"/>
        <v/>
      </c>
      <c r="AH245" s="481" t="str">
        <f t="shared" si="53"/>
        <v/>
      </c>
      <c r="AI245" s="477" t="str">
        <f>IF($AC$245="","",IFERROR(INDEX($AZ$74:$AZ$119,MATCH($AH$245,$AY$74:$AY$119,0)),"AUTRE"))</f>
        <v/>
      </c>
      <c r="AJ245" s="482" t="str">
        <f>IF($AC$245="","",IFERROR(INDEX($BA$74:$BA$119,MATCH($AH$245,$AY$74:$AY$119,0)),1))</f>
        <v/>
      </c>
      <c r="AK245" s="482" t="str">
        <f t="shared" si="54"/>
        <v/>
      </c>
      <c r="AL245" s="477" t="str">
        <f>IF($AC$245="","",IFERROR(INDEX($BB$74:$BB$119,MATCH($AH$245,$AY$74:$AY$119,0)),$AH$245))</f>
        <v/>
      </c>
      <c r="AM245" s="483" t="str">
        <f t="shared" si="55"/>
        <v/>
      </c>
      <c r="AN245" s="484" t="str">
        <f t="shared" si="56"/>
        <v/>
      </c>
      <c r="AO245" s="473" t="str">
        <f t="shared" si="57"/>
        <v/>
      </c>
      <c r="AP245" s="473" t="str">
        <f t="shared" si="58"/>
        <v/>
      </c>
      <c r="AQ245" s="473" t="str">
        <f t="shared" si="59"/>
        <v/>
      </c>
      <c r="AR245" s="473" t="str">
        <f t="shared" si="60"/>
        <v/>
      </c>
      <c r="AS245" s="473" t="str">
        <f t="shared" si="61"/>
        <v/>
      </c>
      <c r="AT245" s="473" t="str">
        <f t="shared" si="62"/>
        <v/>
      </c>
      <c r="AU245" s="473" t="str">
        <f t="shared" si="63"/>
        <v/>
      </c>
      <c r="AY245" s="497" t="s">
        <v>8145</v>
      </c>
      <c r="AZ245" s="32" t="s">
        <v>8131</v>
      </c>
      <c r="BA245" s="34" t="s">
        <v>486</v>
      </c>
      <c r="BB245" s="499"/>
      <c r="BC245" s="271"/>
      <c r="BD245" s="279">
        <v>1</v>
      </c>
      <c r="BE245" s="271"/>
      <c r="BF245" s="271"/>
      <c r="BG245" s="271"/>
      <c r="BH245" s="271"/>
      <c r="BI245" s="271"/>
      <c r="BJ245" s="271"/>
      <c r="BK245" s="271"/>
      <c r="BL245" s="271"/>
    </row>
    <row r="246" spans="18:64" ht="21" customHeight="1" x14ac:dyDescent="0.25">
      <c r="R246" s="34" t="s">
        <v>6131</v>
      </c>
      <c r="S246" s="451"/>
      <c r="T246" s="32" t="s">
        <v>8127</v>
      </c>
      <c r="V246" s="475">
        <v>5</v>
      </c>
      <c r="W246" s="475" t="str">
        <f>IF($AC$246="","",$W$216)</f>
        <v/>
      </c>
      <c r="X246" s="476" t="str">
        <f>IF($AC$246="","",$X$216)</f>
        <v/>
      </c>
      <c r="Y246" s="477" t="str">
        <f>IF($X$246="","",$Y$216)</f>
        <v/>
      </c>
      <c r="Z246" s="477" t="str">
        <f>IF($X$246="","",$Z$216)</f>
        <v/>
      </c>
      <c r="AA246" s="477" t="str">
        <f>IF($AC$246="","",ROW($A$246)-ROW($A$216))</f>
        <v/>
      </c>
      <c r="AB246" s="478"/>
      <c r="AC246" s="34"/>
      <c r="AD246" s="356"/>
      <c r="AE246" s="18"/>
      <c r="AF246" s="19"/>
      <c r="AG246" s="480" t="str">
        <f t="shared" si="52"/>
        <v/>
      </c>
      <c r="AH246" s="481" t="str">
        <f t="shared" si="53"/>
        <v/>
      </c>
      <c r="AI246" s="477" t="str">
        <f>IF($AC$246="","",IFERROR(INDEX($AZ$74:$AZ$119,MATCH($AH$246,$AY$74:$AY$119,0)),"AUTRE"))</f>
        <v/>
      </c>
      <c r="AJ246" s="482" t="str">
        <f>IF($AC$246="","",IFERROR(INDEX($BA$74:$BA$119,MATCH($AH$246,$AY$74:$AY$119,0)),1))</f>
        <v/>
      </c>
      <c r="AK246" s="482" t="str">
        <f t="shared" si="54"/>
        <v/>
      </c>
      <c r="AL246" s="477" t="str">
        <f>IF($AC$246="","",IFERROR(INDEX($BB$74:$BB$119,MATCH($AH$246,$AY$74:$AY$119,0)),$AH$246))</f>
        <v/>
      </c>
      <c r="AM246" s="483" t="str">
        <f t="shared" si="55"/>
        <v/>
      </c>
      <c r="AN246" s="484" t="str">
        <f t="shared" si="56"/>
        <v/>
      </c>
      <c r="AO246" s="473" t="str">
        <f t="shared" si="57"/>
        <v/>
      </c>
      <c r="AP246" s="473" t="str">
        <f t="shared" si="58"/>
        <v/>
      </c>
      <c r="AQ246" s="473" t="str">
        <f t="shared" si="59"/>
        <v/>
      </c>
      <c r="AR246" s="473" t="str">
        <f t="shared" si="60"/>
        <v/>
      </c>
      <c r="AS246" s="473" t="str">
        <f t="shared" si="61"/>
        <v/>
      </c>
      <c r="AT246" s="473" t="str">
        <f t="shared" si="62"/>
        <v/>
      </c>
      <c r="AU246" s="473" t="str">
        <f t="shared" si="63"/>
        <v/>
      </c>
      <c r="AY246" s="497" t="s">
        <v>462</v>
      </c>
      <c r="AZ246" s="32" t="s">
        <v>309</v>
      </c>
      <c r="BA246" s="34" t="s">
        <v>479</v>
      </c>
      <c r="BB246" s="499"/>
      <c r="BC246" s="271"/>
      <c r="BD246" s="279">
        <v>1</v>
      </c>
      <c r="BE246" s="271"/>
      <c r="BF246" s="271"/>
      <c r="BG246" s="271"/>
      <c r="BH246" s="271"/>
      <c r="BI246" s="271"/>
      <c r="BJ246" s="271"/>
      <c r="BK246" s="271"/>
      <c r="BL246" s="271"/>
    </row>
    <row r="247" spans="18:64" ht="21" customHeight="1" x14ac:dyDescent="0.25">
      <c r="R247" s="34" t="s">
        <v>485</v>
      </c>
      <c r="S247" s="451"/>
      <c r="T247" s="32" t="s">
        <v>320</v>
      </c>
      <c r="V247" s="475">
        <v>5</v>
      </c>
      <c r="W247" s="475" t="str">
        <f>IF($AC$247="","",$W$216)</f>
        <v/>
      </c>
      <c r="X247" s="476" t="str">
        <f>IF($AC$247="","",$X$216)</f>
        <v/>
      </c>
      <c r="Y247" s="477" t="str">
        <f>IF($X$247="","",$Y$216)</f>
        <v/>
      </c>
      <c r="Z247" s="477" t="str">
        <f>IF($X$247="","",$Z$216)</f>
        <v/>
      </c>
      <c r="AA247" s="477" t="str">
        <f>IF($AC$247="","",ROW($A$247)-ROW($A$216))</f>
        <v/>
      </c>
      <c r="AB247" s="478"/>
      <c r="AC247" s="34"/>
      <c r="AD247" s="356"/>
      <c r="AE247" s="18"/>
      <c r="AF247" s="19"/>
      <c r="AG247" s="480" t="str">
        <f t="shared" si="52"/>
        <v/>
      </c>
      <c r="AH247" s="481" t="str">
        <f t="shared" si="53"/>
        <v/>
      </c>
      <c r="AI247" s="477" t="str">
        <f>IF($AC$247="","",IFERROR(INDEX($AZ$74:$AZ$119,MATCH($AH$247,$AY$74:$AY$119,0)),"AUTRE"))</f>
        <v/>
      </c>
      <c r="AJ247" s="482" t="str">
        <f>IF($AC$247="","",IFERROR(INDEX($BA$74:$BA$119,MATCH($AH$247,$AY$74:$AY$119,0)),1))</f>
        <v/>
      </c>
      <c r="AK247" s="482" t="str">
        <f t="shared" si="54"/>
        <v/>
      </c>
      <c r="AL247" s="477" t="str">
        <f>IF($AC$247="","",IFERROR(INDEX($BB$74:$BB$119,MATCH($AH$247,$AY$74:$AY$119,0)),$AH$247))</f>
        <v/>
      </c>
      <c r="AM247" s="483" t="str">
        <f t="shared" si="55"/>
        <v/>
      </c>
      <c r="AN247" s="484" t="str">
        <f t="shared" si="56"/>
        <v/>
      </c>
      <c r="AO247" s="473" t="str">
        <f t="shared" si="57"/>
        <v/>
      </c>
      <c r="AP247" s="473" t="str">
        <f t="shared" si="58"/>
        <v/>
      </c>
      <c r="AQ247" s="473" t="str">
        <f t="shared" si="59"/>
        <v/>
      </c>
      <c r="AR247" s="473" t="str">
        <f t="shared" si="60"/>
        <v/>
      </c>
      <c r="AS247" s="473" t="str">
        <f t="shared" si="61"/>
        <v/>
      </c>
      <c r="AT247" s="473" t="str">
        <f t="shared" si="62"/>
        <v/>
      </c>
      <c r="AU247" s="473" t="str">
        <f t="shared" si="63"/>
        <v/>
      </c>
      <c r="AY247" s="497" t="s">
        <v>463</v>
      </c>
      <c r="AZ247" s="32" t="s">
        <v>311</v>
      </c>
      <c r="BA247" s="34" t="s">
        <v>6131</v>
      </c>
      <c r="BB247" s="499"/>
      <c r="BC247" s="271"/>
      <c r="BD247" s="279">
        <v>1</v>
      </c>
      <c r="BE247" s="271"/>
      <c r="BF247" s="271"/>
      <c r="BG247" s="271"/>
      <c r="BH247" s="271"/>
      <c r="BI247" s="271"/>
      <c r="BJ247" s="271"/>
      <c r="BK247" s="271"/>
      <c r="BL247" s="271"/>
    </row>
    <row r="248" spans="18:64" ht="21" customHeight="1" x14ac:dyDescent="0.25">
      <c r="R248" s="34" t="s">
        <v>6132</v>
      </c>
      <c r="S248" s="451"/>
      <c r="T248" s="32" t="s">
        <v>318</v>
      </c>
      <c r="V248" s="475">
        <v>5</v>
      </c>
      <c r="W248" s="475" t="str">
        <f>IF($AC$248="","",$W$216)</f>
        <v/>
      </c>
      <c r="X248" s="476" t="str">
        <f>IF($AC$248="","",$X$216)</f>
        <v/>
      </c>
      <c r="Y248" s="477" t="str">
        <f>IF($X$248="","",$Y$216)</f>
        <v/>
      </c>
      <c r="Z248" s="477" t="str">
        <f>IF($X$248="","",$Z$216)</f>
        <v/>
      </c>
      <c r="AA248" s="477" t="str">
        <f>IF($AC$248="","",ROW($A$248)-ROW($A$216))</f>
        <v/>
      </c>
      <c r="AB248" s="478"/>
      <c r="AC248" s="34"/>
      <c r="AD248" s="356"/>
      <c r="AE248" s="18"/>
      <c r="AF248" s="19"/>
      <c r="AG248" s="480" t="str">
        <f t="shared" si="52"/>
        <v/>
      </c>
      <c r="AH248" s="481" t="str">
        <f t="shared" si="53"/>
        <v/>
      </c>
      <c r="AI248" s="477" t="str">
        <f>IF($AC$248="","",IFERROR(INDEX($AZ$74:$AZ$119,MATCH($AH$248,$AY$74:$AY$119,0)),"AUTRE"))</f>
        <v/>
      </c>
      <c r="AJ248" s="482" t="str">
        <f>IF($AC$248="","",IFERROR(INDEX($BA$74:$BA$119,MATCH($AH$248,$AY$74:$AY$119,0)),1))</f>
        <v/>
      </c>
      <c r="AK248" s="482" t="str">
        <f t="shared" si="54"/>
        <v/>
      </c>
      <c r="AL248" s="477" t="str">
        <f>IF($AC$248="","",IFERROR(INDEX($BB$74:$BB$119,MATCH($AH$248,$AY$74:$AY$119,0)),$AH$248))</f>
        <v/>
      </c>
      <c r="AM248" s="483" t="str">
        <f t="shared" si="55"/>
        <v/>
      </c>
      <c r="AN248" s="484" t="str">
        <f t="shared" si="56"/>
        <v/>
      </c>
      <c r="AO248" s="473" t="str">
        <f t="shared" si="57"/>
        <v/>
      </c>
      <c r="AP248" s="473" t="str">
        <f t="shared" si="58"/>
        <v/>
      </c>
      <c r="AQ248" s="473" t="str">
        <f t="shared" si="59"/>
        <v/>
      </c>
      <c r="AR248" s="473" t="str">
        <f t="shared" si="60"/>
        <v/>
      </c>
      <c r="AS248" s="473" t="str">
        <f t="shared" si="61"/>
        <v/>
      </c>
      <c r="AT248" s="473" t="str">
        <f t="shared" si="62"/>
        <v/>
      </c>
      <c r="AU248" s="473" t="str">
        <f t="shared" si="63"/>
        <v/>
      </c>
      <c r="AY248" s="497" t="s">
        <v>8147</v>
      </c>
      <c r="AZ248" s="32" t="s">
        <v>8135</v>
      </c>
      <c r="BA248" s="34" t="s">
        <v>485</v>
      </c>
      <c r="BB248" s="499"/>
      <c r="BC248" s="271"/>
      <c r="BD248" s="279">
        <v>1</v>
      </c>
      <c r="BE248" s="271"/>
      <c r="BF248" s="271"/>
      <c r="BG248" s="271"/>
      <c r="BH248" s="271"/>
      <c r="BI248" s="271"/>
      <c r="BJ248" s="271"/>
      <c r="BK248" s="271"/>
      <c r="BL248" s="271"/>
    </row>
    <row r="249" spans="18:64" ht="21" customHeight="1" x14ac:dyDescent="0.25">
      <c r="R249" s="25" t="s">
        <v>6133</v>
      </c>
      <c r="S249" s="451"/>
      <c r="T249" s="32" t="s">
        <v>316</v>
      </c>
      <c r="V249" s="475">
        <v>5</v>
      </c>
      <c r="W249" s="475" t="str">
        <f>IF($AC$249="","",$W$216)</f>
        <v/>
      </c>
      <c r="X249" s="476" t="str">
        <f>IF($AC$249="","",$X$216)</f>
        <v/>
      </c>
      <c r="Y249" s="477" t="str">
        <f>IF($X$249="","",$Y$216)</f>
        <v/>
      </c>
      <c r="Z249" s="477" t="str">
        <f>IF($X$249="","",$Z$216)</f>
        <v/>
      </c>
      <c r="AA249" s="477" t="str">
        <f>IF($AC$249="","",ROW($A$249)-ROW($A$216))</f>
        <v/>
      </c>
      <c r="AB249" s="478"/>
      <c r="AC249" s="34"/>
      <c r="AD249" s="356"/>
      <c r="AE249" s="18"/>
      <c r="AF249" s="19"/>
      <c r="AG249" s="480" t="str">
        <f t="shared" si="52"/>
        <v/>
      </c>
      <c r="AH249" s="481" t="str">
        <f t="shared" si="53"/>
        <v/>
      </c>
      <c r="AI249" s="477" t="str">
        <f>IF($AC$249="","",IFERROR(INDEX($AZ$74:$AZ$119,MATCH($AH$249,$AY$74:$AY$119,0)),"AUTRE"))</f>
        <v/>
      </c>
      <c r="AJ249" s="482" t="str">
        <f>IF($AC$249="","",IFERROR(INDEX($BA$74:$BA$119,MATCH($AH$249,$AY$74:$AY$119,0)),1))</f>
        <v/>
      </c>
      <c r="AK249" s="482" t="str">
        <f t="shared" si="54"/>
        <v/>
      </c>
      <c r="AL249" s="477" t="str">
        <f>IF($AC$249="","",IFERROR(INDEX($BB$74:$BB$119,MATCH($AH$249,$AY$74:$AY$119,0)),$AH$249))</f>
        <v/>
      </c>
      <c r="AM249" s="483" t="str">
        <f t="shared" si="55"/>
        <v/>
      </c>
      <c r="AN249" s="484" t="str">
        <f t="shared" si="56"/>
        <v/>
      </c>
      <c r="AO249" s="473" t="str">
        <f t="shared" si="57"/>
        <v/>
      </c>
      <c r="AP249" s="473" t="str">
        <f t="shared" si="58"/>
        <v/>
      </c>
      <c r="AQ249" s="473" t="str">
        <f t="shared" si="59"/>
        <v/>
      </c>
      <c r="AR249" s="473" t="str">
        <f t="shared" si="60"/>
        <v/>
      </c>
      <c r="AS249" s="473" t="str">
        <f t="shared" si="61"/>
        <v/>
      </c>
      <c r="AT249" s="473" t="str">
        <f t="shared" si="62"/>
        <v/>
      </c>
      <c r="AU249" s="473" t="str">
        <f t="shared" si="63"/>
        <v/>
      </c>
      <c r="AY249" s="497" t="s">
        <v>465</v>
      </c>
      <c r="AZ249" s="32" t="s">
        <v>8137</v>
      </c>
      <c r="BA249" s="34" t="s">
        <v>6132</v>
      </c>
      <c r="BB249" s="499"/>
      <c r="BC249" s="271"/>
      <c r="BD249" s="279">
        <v>1</v>
      </c>
      <c r="BE249" s="271"/>
      <c r="BF249" s="271"/>
      <c r="BG249" s="271"/>
      <c r="BH249" s="271"/>
      <c r="BI249" s="271"/>
      <c r="BJ249" s="271"/>
      <c r="BK249" s="271"/>
      <c r="BL249" s="271"/>
    </row>
    <row r="250" spans="18:64" ht="21" customHeight="1" x14ac:dyDescent="0.25">
      <c r="R250" s="34" t="s">
        <v>476</v>
      </c>
      <c r="S250" s="451"/>
      <c r="T250" s="32" t="s">
        <v>313</v>
      </c>
      <c r="V250" s="475">
        <v>5</v>
      </c>
      <c r="W250" s="475" t="str">
        <f>IF($AC$250="","",$W$216)</f>
        <v>N° 38</v>
      </c>
      <c r="X250" s="476" t="str">
        <f>IF($AC$250="","",$X$216)</f>
        <v>WELSH RAREBIT</v>
      </c>
      <c r="Y250" s="477">
        <f>IF($X$250="","",$Y$216)</f>
        <v>55</v>
      </c>
      <c r="Z250" s="477">
        <f>IF($X$250="","",$Z$216)</f>
        <v>100</v>
      </c>
      <c r="AA250" s="477">
        <f>IF($AC$250="","",ROW($A$250)-ROW($A$216))</f>
        <v>34</v>
      </c>
      <c r="AB250" s="478"/>
      <c r="AC250" s="34" t="s">
        <v>457</v>
      </c>
      <c r="AD250" s="356"/>
      <c r="AE250" s="18">
        <v>5</v>
      </c>
      <c r="AF250" s="33" t="s">
        <v>465</v>
      </c>
      <c r="AG250" s="491">
        <f t="shared" si="52"/>
        <v>5</v>
      </c>
      <c r="AH250" s="481" t="str">
        <f t="shared" si="53"/>
        <v>GRILLE(S)</v>
      </c>
      <c r="AI250" s="477" t="str">
        <f>IF($AC$250="","",IFERROR(INDEX($AZ$74:$AZ$119,MATCH($AH$250,$AY$74:$AY$119,0)),"AUTRE"))</f>
        <v>AUTRE</v>
      </c>
      <c r="AJ250" s="482">
        <f>IF($AC$250="","",IFERROR(INDEX($BA$74:$BA$119,MATCH($AH$250,$AY$74:$AY$119,0)),1))</f>
        <v>1</v>
      </c>
      <c r="AK250" s="482">
        <f t="shared" si="54"/>
        <v>5</v>
      </c>
      <c r="AL250" s="477" t="str">
        <f>IF($AC$250="","",IFERROR(INDEX($BB$74:$BB$119,MATCH($AH$250,$AY$74:$AY$119,0)),$AH$250))</f>
        <v>grille(s)</v>
      </c>
      <c r="AM250" s="483" t="str">
        <f t="shared" si="55"/>
        <v>OK</v>
      </c>
      <c r="AN250" s="484">
        <f t="shared" si="56"/>
        <v>5</v>
      </c>
      <c r="AO250" s="473" t="str">
        <f t="shared" si="57"/>
        <v/>
      </c>
      <c r="AP250" s="473" t="str">
        <f t="shared" si="58"/>
        <v/>
      </c>
      <c r="AQ250" s="473" t="str">
        <f t="shared" si="59"/>
        <v/>
      </c>
      <c r="AR250" s="473" t="str">
        <f t="shared" si="60"/>
        <v/>
      </c>
      <c r="AS250" s="473" t="str">
        <f t="shared" si="61"/>
        <v/>
      </c>
      <c r="AT250" s="473" t="str">
        <f t="shared" si="62"/>
        <v/>
      </c>
      <c r="AU250" s="473" t="str">
        <f t="shared" si="63"/>
        <v/>
      </c>
      <c r="AY250" s="497" t="s">
        <v>466</v>
      </c>
      <c r="AZ250" s="32" t="s">
        <v>8139</v>
      </c>
      <c r="BA250" s="25" t="s">
        <v>6133</v>
      </c>
      <c r="BB250" s="499"/>
      <c r="BC250" s="271"/>
      <c r="BD250" s="279">
        <v>1</v>
      </c>
      <c r="BE250" s="271"/>
      <c r="BF250" s="271"/>
      <c r="BG250" s="271"/>
      <c r="BH250" s="271"/>
      <c r="BI250" s="271"/>
      <c r="BJ250" s="271"/>
      <c r="BK250" s="271"/>
      <c r="BL250" s="271"/>
    </row>
    <row r="251" spans="18:64" ht="30" customHeight="1" x14ac:dyDescent="0.25">
      <c r="R251" s="34" t="s">
        <v>468</v>
      </c>
      <c r="S251" s="451"/>
      <c r="T251" s="32" t="s">
        <v>307</v>
      </c>
      <c r="V251" s="453" t="s">
        <v>324</v>
      </c>
      <c r="W251" s="453" t="s">
        <v>7912</v>
      </c>
      <c r="X251" s="453" t="s">
        <v>326</v>
      </c>
      <c r="Y251" s="453" t="s">
        <v>327</v>
      </c>
      <c r="Z251" s="454" t="s">
        <v>7930</v>
      </c>
      <c r="AA251" s="453" t="s">
        <v>7937</v>
      </c>
      <c r="AB251" s="455" t="s">
        <v>39</v>
      </c>
      <c r="AC251" s="455" t="s">
        <v>338</v>
      </c>
      <c r="AD251" s="455" t="s">
        <v>8114</v>
      </c>
      <c r="AE251" s="455" t="s">
        <v>339</v>
      </c>
      <c r="AF251" s="455" t="s">
        <v>7997</v>
      </c>
      <c r="AG251" s="453" t="s">
        <v>8018</v>
      </c>
      <c r="AH251" s="453" t="s">
        <v>8023</v>
      </c>
      <c r="AI251" s="453" t="s">
        <v>330</v>
      </c>
      <c r="AJ251" s="453" t="s">
        <v>8031</v>
      </c>
      <c r="AK251" s="453" t="s">
        <v>8037</v>
      </c>
      <c r="AL251" s="453" t="s">
        <v>8041</v>
      </c>
      <c r="AM251" s="453" t="s">
        <v>343</v>
      </c>
      <c r="AN251" s="457" t="s">
        <v>8115</v>
      </c>
      <c r="AO251" s="457" t="s">
        <v>8116</v>
      </c>
      <c r="AP251" s="656" t="s">
        <v>8117</v>
      </c>
      <c r="AQ251" s="656"/>
      <c r="AR251" s="656"/>
      <c r="AS251" s="656"/>
      <c r="AT251" s="656"/>
      <c r="AU251" s="657"/>
      <c r="AZ251" s="32" t="s">
        <v>8141</v>
      </c>
      <c r="BA251" s="34" t="s">
        <v>476</v>
      </c>
      <c r="BB251" s="499"/>
      <c r="BC251" s="271"/>
      <c r="BD251" s="279">
        <v>1</v>
      </c>
      <c r="BE251" s="271"/>
      <c r="BF251" s="271"/>
      <c r="BG251" s="271"/>
      <c r="BH251" s="271"/>
      <c r="BI251" s="271"/>
      <c r="BJ251" s="271"/>
      <c r="BK251" s="271"/>
      <c r="BL251" s="271"/>
    </row>
    <row r="252" spans="18:64" ht="30" customHeight="1" x14ac:dyDescent="0.25">
      <c r="R252" s="34" t="s">
        <v>473</v>
      </c>
      <c r="S252" s="451"/>
      <c r="T252" s="32" t="s">
        <v>322</v>
      </c>
      <c r="V252" s="459">
        <v>6</v>
      </c>
      <c r="W252" s="460" t="s">
        <v>8120</v>
      </c>
      <c r="X252" s="461" t="s">
        <v>8155</v>
      </c>
      <c r="Y252" s="462"/>
      <c r="Z252" s="463">
        <v>100</v>
      </c>
      <c r="AA252" s="464">
        <f>IF($AC$396="","",ROW($A$396)-ROW($A$396))</f>
        <v>0</v>
      </c>
      <c r="AB252" s="461"/>
      <c r="AC252" s="465" t="s">
        <v>8156</v>
      </c>
      <c r="AD252" s="390"/>
      <c r="AE252" s="390"/>
      <c r="AF252" s="466"/>
      <c r="AG252" s="467" t="str">
        <f t="shared" ref="AG252:AG286" si="64">IF($AC252="","",IF(LEN($AN252&amp;"")=0,"",$AN252))</f>
        <v/>
      </c>
      <c r="AH252" s="468" t="str">
        <f t="shared" ref="AH252:AH286" si="65">IF($AC252="","",IF($AF252&lt;&gt;"",UPPER(TRIM(SUBSTITUTE(SUBSTITUTE($AF252&amp;"",CHAR(160)," ")," "," "))),$AP252))</f>
        <v/>
      </c>
      <c r="AI252" s="469" t="str">
        <f>IF($AC$252="","",IFERROR(INDEX($AZ$74:$AZ$119,MATCH($AH$252,$AY$74:$AY$119,0)),"AUTRE"))</f>
        <v>AUTRE</v>
      </c>
      <c r="AJ252" s="470">
        <f>IF($AC$252="","",IFERROR(INDEX($BA$74:$BA$119,MATCH($AH$252,$AY$74:$AY$119,0)),1))</f>
        <v>1</v>
      </c>
      <c r="AK252" s="470" t="str">
        <f t="shared" ref="AK252:AK315" si="66">IF(OR(AG252="",AJ252=""),"",AG252*AJ252)</f>
        <v/>
      </c>
      <c r="AL252" s="469" t="str">
        <f>IF($AC$252="","",IFERROR(INDEX($BB$74:$BB$119,MATCH($AH$252,$AY$74:$AY$119,0)),$AH$252))</f>
        <v/>
      </c>
      <c r="AM252" s="471" t="str">
        <f t="shared" ref="AM252:AM286" si="67">IF($AC252="","",IF($AH252="QT. SUFFISANTE","OK",IF($AG252="","TEXTE",IF(NOT(ISNUMBER($AG252)),"QUANTITÉ À CONTRÔLER",IF(COUNTIF($AY$74:$AY$119,$AH252)=0,"UNITÉ À CONTRÔLER","OK")))))</f>
        <v>TEXTE</v>
      </c>
      <c r="AN252" s="474" t="str">
        <f t="shared" ref="AN252:AN286" si="68">IF($AE252&lt;&gt;"",$AE252,IF($AD252="","",IF(ISNUMBER($AD252),$AD252,IF($AO252="QT",0,IF($AO252="","",IFERROR(IF(ISNUMBER(SEARCH("/",$AO252)),VALUE(TRIM(LEFT($AO252,SEARCH("/",$AO252)-1)))/VALUE(TRIM(MID($AO252,SEARCH("/",$AO252)+1,99))),VALUE(SUBSTITUTE($AO252,".",","))),""))))))</f>
        <v/>
      </c>
      <c r="AO252" s="473" t="str">
        <f t="shared" ref="AO252:AO286" si="69">IF($AD252="","",IF(ISNUMBER($AD252),$AD252,IF(OR(LEFT($AQ252,3)="QT.",LEFT($AQ252,4)="QUAN"),"QT",IF($AR252=999,$AQ252,TRIM(LEFT($AQ252,$AR252-1))))))</f>
        <v/>
      </c>
      <c r="AP252" s="473" t="str">
        <f t="shared" ref="AP252:AP286" si="70">IF($AD252="","",IF(ISNUMBER($AD252),"",IF(OR(LEFT($AQ252,3)="QT.",LEFT($AQ252,4)="QUAN"),"QT. SUFFISANTE",IF($AO252="","",TRIM(MID($AQ252,LEN($AO252&amp;"")+1,999))))))</f>
        <v/>
      </c>
      <c r="AQ252" s="473" t="str">
        <f t="shared" ref="AQ252:AQ286" si="71">IF($AD252="","",UPPER(TRIM(SUBSTITUTE(SUBSTITUTE($AD252&amp;"",CHAR(160)," ")," "," "))))</f>
        <v/>
      </c>
      <c r="AR252" s="473" t="str">
        <f t="shared" ref="AR252:AR286" si="72">IF($AQ252="","",MIN($AS252,$AT252,$AU252))</f>
        <v/>
      </c>
      <c r="AS252" s="473" t="str">
        <f t="shared" ref="AS252:AS286" si="73">IF($AQ252="","",MIN(IFERROR(SEARCH("A",$AQ252),999),IFERROR(SEARCH("B",$AQ252),999),IFERROR(SEARCH("C",$AQ252),999),IFERROR(SEARCH("D",$AQ252),999),IFERROR(SEARCH("E",$AQ252),999),IFERROR(SEARCH("F",$AQ252),999),IFERROR(SEARCH("G",$AQ252),999),IFERROR(SEARCH("H",$AQ252),999),IFERROR(SEARCH("I",$AQ252),999)))</f>
        <v/>
      </c>
      <c r="AT252" s="473" t="str">
        <f t="shared" ref="AT252:AT286" si="74">IF($AQ252="","",MIN(IFERROR(SEARCH("J",$AQ252),999),IFERROR(SEARCH("K",$AQ252),999),IFERROR(SEARCH("L",$AQ252),999),IFERROR(SEARCH("M",$AQ252),999),IFERROR(SEARCH("N",$AQ252),999),IFERROR(SEARCH("O",$AQ252),999),IFERROR(SEARCH("P",$AQ252),999),IFERROR(SEARCH("Q",$AQ252),999),IFERROR(SEARCH("R",$AQ252),999)))</f>
        <v/>
      </c>
      <c r="AU252" s="473" t="str">
        <f t="shared" ref="AU252:AU286" si="75">IF($AQ252="","",MIN(IFERROR(SEARCH("S",$AQ252),999),IFERROR(SEARCH("T",$AQ252),999),IFERROR(SEARCH("U",$AQ252),999),IFERROR(SEARCH("V",$AQ252),999),IFERROR(SEARCH("W",$AQ252),999),IFERROR(SEARCH("X",$AQ252),999),IFERROR(SEARCH("Y",$AQ252),999),IFERROR(SEARCH("Z",$AQ252),999)))</f>
        <v/>
      </c>
      <c r="AZ252" s="32" t="s">
        <v>8143</v>
      </c>
      <c r="BA252" s="34" t="s">
        <v>468</v>
      </c>
      <c r="BB252" s="499"/>
      <c r="BC252" s="271"/>
      <c r="BD252" s="279">
        <v>1</v>
      </c>
      <c r="BE252" s="271"/>
      <c r="BF252" s="271"/>
      <c r="BG252" s="271"/>
      <c r="BH252" s="271"/>
      <c r="BI252" s="271"/>
      <c r="BJ252" s="271"/>
      <c r="BK252" s="271"/>
      <c r="BL252" s="271"/>
    </row>
    <row r="253" spans="18:64" ht="21" customHeight="1" x14ac:dyDescent="0.25">
      <c r="R253" s="34" t="s">
        <v>497</v>
      </c>
      <c r="S253" s="451"/>
      <c r="T253" s="32" t="s">
        <v>305</v>
      </c>
      <c r="V253" s="475">
        <f>$V$252</f>
        <v>6</v>
      </c>
      <c r="W253" s="475" t="str">
        <f>IF($AC$253="","",$W$252)</f>
        <v/>
      </c>
      <c r="X253" s="476" t="str">
        <f>IF($AC$253="","",$X$252)</f>
        <v/>
      </c>
      <c r="Y253" s="477" t="str">
        <f>IF($X$253="","",$Y$252)</f>
        <v/>
      </c>
      <c r="Z253" s="477" t="str">
        <f>IF($X$253="","",$Z$252)</f>
        <v/>
      </c>
      <c r="AA253" s="477" t="str">
        <f>IF($AC$253="","",ROW($A$253)-ROW($A$252))</f>
        <v/>
      </c>
      <c r="AB253" s="478"/>
      <c r="AC253" s="34"/>
      <c r="AD253" s="356"/>
      <c r="AE253" s="479"/>
      <c r="AF253" s="475"/>
      <c r="AG253" s="480" t="str">
        <f t="shared" si="64"/>
        <v/>
      </c>
      <c r="AH253" s="481" t="str">
        <f t="shared" si="65"/>
        <v/>
      </c>
      <c r="AI253" s="477" t="str">
        <f>IF($AC$253="","",IFERROR(INDEX($AZ$74:$AZ$119,MATCH($AH$253,$AY$74:$AY$119,0)),"AUTRE"))</f>
        <v/>
      </c>
      <c r="AJ253" s="482" t="str">
        <f>IF($AC$253="","",IFERROR(INDEX($BA$74:$BA$119,MATCH($AH$253,$AY$74:$AY$119,0)),1))</f>
        <v/>
      </c>
      <c r="AK253" s="482" t="str">
        <f t="shared" si="66"/>
        <v/>
      </c>
      <c r="AL253" s="477" t="str">
        <f>IF($AC$253="","",IFERROR(INDEX($BB$74:$BB$119,MATCH($AH$253,$AY$74:$AY$119,0)),$AH$253))</f>
        <v/>
      </c>
      <c r="AM253" s="483" t="str">
        <f t="shared" si="67"/>
        <v/>
      </c>
      <c r="AN253" s="484" t="str">
        <f t="shared" si="68"/>
        <v/>
      </c>
      <c r="AO253" s="473" t="str">
        <f t="shared" si="69"/>
        <v/>
      </c>
      <c r="AP253" s="473" t="str">
        <f t="shared" si="70"/>
        <v/>
      </c>
      <c r="AQ253" s="473" t="str">
        <f t="shared" si="71"/>
        <v/>
      </c>
      <c r="AR253" s="473" t="str">
        <f t="shared" si="72"/>
        <v/>
      </c>
      <c r="AS253" s="473" t="str">
        <f t="shared" si="73"/>
        <v/>
      </c>
      <c r="AT253" s="473" t="str">
        <f t="shared" si="74"/>
        <v/>
      </c>
      <c r="AU253" s="473" t="str">
        <f t="shared" si="75"/>
        <v/>
      </c>
      <c r="AZ253" s="497" t="s">
        <v>8145</v>
      </c>
      <c r="BA253" s="34" t="s">
        <v>473</v>
      </c>
      <c r="BB253" s="499"/>
      <c r="BC253" s="271"/>
      <c r="BD253" s="279">
        <v>1</v>
      </c>
      <c r="BE253" s="271"/>
      <c r="BF253" s="271"/>
      <c r="BG253" s="271"/>
      <c r="BH253" s="271"/>
      <c r="BI253" s="271"/>
      <c r="BJ253" s="271"/>
      <c r="BK253" s="271"/>
      <c r="BL253" s="271"/>
    </row>
    <row r="254" spans="18:64" ht="21" customHeight="1" x14ac:dyDescent="0.25">
      <c r="R254" s="34" t="s">
        <v>470</v>
      </c>
      <c r="S254" s="451"/>
      <c r="T254" s="32" t="s">
        <v>309</v>
      </c>
      <c r="V254" s="475">
        <v>6</v>
      </c>
      <c r="W254" s="475" t="str">
        <f>IF($AC$254="","",$W$252)</f>
        <v/>
      </c>
      <c r="X254" s="476" t="str">
        <f>IF($AC$254="","",$X$252)</f>
        <v/>
      </c>
      <c r="Y254" s="477" t="str">
        <f>IF($X$254="","",$Y$252)</f>
        <v/>
      </c>
      <c r="Z254" s="477" t="str">
        <f>IF($X$254="","",$Z$252)</f>
        <v/>
      </c>
      <c r="AA254" s="477" t="str">
        <f>IF($AC$254="","",ROW($A$254)-ROW($A$252))</f>
        <v/>
      </c>
      <c r="AB254" s="478"/>
      <c r="AC254" s="34"/>
      <c r="AD254" s="356"/>
      <c r="AE254" s="479"/>
      <c r="AF254" s="475"/>
      <c r="AG254" s="480" t="str">
        <f t="shared" si="64"/>
        <v/>
      </c>
      <c r="AH254" s="481" t="str">
        <f t="shared" si="65"/>
        <v/>
      </c>
      <c r="AI254" s="477" t="str">
        <f>IF($AC$254="","",IFERROR(INDEX($AZ$74:$AZ$119,MATCH($AH$254,$AY$74:$AY$119,0)),"AUTRE"))</f>
        <v/>
      </c>
      <c r="AJ254" s="482" t="str">
        <f>IF($AC$254="","",IFERROR(INDEX($BA$74:$BA$119,MATCH($AH$254,$AY$74:$AY$119,0)),1))</f>
        <v/>
      </c>
      <c r="AK254" s="482" t="str">
        <f t="shared" si="66"/>
        <v/>
      </c>
      <c r="AL254" s="477" t="str">
        <f>IF($AC$254="","",IFERROR(INDEX($BB$74:$BB$119,MATCH($AH$254,$AY$74:$AY$119,0)),$AH$254))</f>
        <v/>
      </c>
      <c r="AM254" s="483" t="str">
        <f t="shared" si="67"/>
        <v/>
      </c>
      <c r="AN254" s="484" t="str">
        <f t="shared" si="68"/>
        <v/>
      </c>
      <c r="AO254" s="473" t="str">
        <f t="shared" si="69"/>
        <v/>
      </c>
      <c r="AP254" s="473" t="str">
        <f t="shared" si="70"/>
        <v/>
      </c>
      <c r="AQ254" s="473" t="str">
        <f t="shared" si="71"/>
        <v/>
      </c>
      <c r="AR254" s="473" t="str">
        <f t="shared" si="72"/>
        <v/>
      </c>
      <c r="AS254" s="473" t="str">
        <f t="shared" si="73"/>
        <v/>
      </c>
      <c r="AT254" s="473" t="str">
        <f t="shared" si="74"/>
        <v/>
      </c>
      <c r="AU254" s="473" t="str">
        <f t="shared" si="75"/>
        <v/>
      </c>
      <c r="AZ254" s="497" t="s">
        <v>462</v>
      </c>
      <c r="BA254" s="34" t="s">
        <v>497</v>
      </c>
      <c r="BB254" s="499"/>
      <c r="BC254" s="271"/>
      <c r="BD254" s="279">
        <v>1</v>
      </c>
      <c r="BE254" s="271"/>
      <c r="BF254" s="271"/>
      <c r="BG254" s="271"/>
      <c r="BH254" s="271"/>
      <c r="BI254" s="271"/>
      <c r="BJ254" s="271"/>
      <c r="BK254" s="271"/>
      <c r="BL254" s="271"/>
    </row>
    <row r="255" spans="18:64" ht="21" customHeight="1" x14ac:dyDescent="0.25">
      <c r="R255" s="34" t="s">
        <v>477</v>
      </c>
      <c r="S255" s="451"/>
      <c r="T255" s="32" t="s">
        <v>311</v>
      </c>
      <c r="V255" s="475">
        <v>6</v>
      </c>
      <c r="W255" s="475" t="str">
        <f>IF($AC$255="","",$W$252)</f>
        <v/>
      </c>
      <c r="X255" s="476" t="str">
        <f>IF($AC$255="","",$X$252)</f>
        <v/>
      </c>
      <c r="Y255" s="477" t="str">
        <f>IF($X$255="","",$Y$252)</f>
        <v/>
      </c>
      <c r="Z255" s="477" t="str">
        <f>IF($X$255="","",$Z$252)</f>
        <v/>
      </c>
      <c r="AA255" s="477" t="str">
        <f>IF($AC$255="","",ROW($A$255)-ROW($A$252))</f>
        <v/>
      </c>
      <c r="AB255" s="478"/>
      <c r="AC255" s="34"/>
      <c r="AD255" s="356"/>
      <c r="AE255" s="479"/>
      <c r="AF255" s="475"/>
      <c r="AG255" s="480" t="str">
        <f t="shared" si="64"/>
        <v/>
      </c>
      <c r="AH255" s="481" t="str">
        <f t="shared" si="65"/>
        <v/>
      </c>
      <c r="AI255" s="477" t="str">
        <f>IF($AC$255="","",IFERROR(INDEX($AZ$74:$AZ$119,MATCH($AH$255,$AY$74:$AY$119,0)),"AUTRE"))</f>
        <v/>
      </c>
      <c r="AJ255" s="482" t="str">
        <f>IF($AC$255="","",IFERROR(INDEX($BA$74:$BA$119,MATCH($AH$255,$AY$74:$AY$119,0)),1))</f>
        <v/>
      </c>
      <c r="AK255" s="482" t="str">
        <f t="shared" si="66"/>
        <v/>
      </c>
      <c r="AL255" s="477" t="str">
        <f>IF($AC$255="","",IFERROR(INDEX($BB$74:$BB$119,MATCH($AH$255,$AY$74:$AY$119,0)),$AH$255))</f>
        <v/>
      </c>
      <c r="AM255" s="483" t="str">
        <f t="shared" si="67"/>
        <v/>
      </c>
      <c r="AN255" s="484" t="str">
        <f t="shared" si="68"/>
        <v/>
      </c>
      <c r="AO255" s="473" t="str">
        <f t="shared" si="69"/>
        <v/>
      </c>
      <c r="AP255" s="473" t="str">
        <f t="shared" si="70"/>
        <v/>
      </c>
      <c r="AQ255" s="473" t="str">
        <f t="shared" si="71"/>
        <v/>
      </c>
      <c r="AR255" s="473" t="str">
        <f t="shared" si="72"/>
        <v/>
      </c>
      <c r="AS255" s="473" t="str">
        <f t="shared" si="73"/>
        <v/>
      </c>
      <c r="AT255" s="473" t="str">
        <f t="shared" si="74"/>
        <v/>
      </c>
      <c r="AU255" s="473" t="str">
        <f t="shared" si="75"/>
        <v/>
      </c>
      <c r="AZ255" s="497" t="s">
        <v>463</v>
      </c>
      <c r="BA255" s="34" t="s">
        <v>470</v>
      </c>
      <c r="BB255" s="499"/>
      <c r="BC255" s="271"/>
      <c r="BD255" s="279">
        <v>1</v>
      </c>
      <c r="BE255" s="271"/>
      <c r="BF255" s="271"/>
      <c r="BG255" s="271"/>
      <c r="BH255" s="271"/>
      <c r="BI255" s="271"/>
      <c r="BJ255" s="271"/>
      <c r="BK255" s="271"/>
      <c r="BL255" s="271"/>
    </row>
    <row r="256" spans="18:64" ht="21" customHeight="1" x14ac:dyDescent="0.25">
      <c r="S256" s="451"/>
      <c r="T256" s="32" t="s">
        <v>8135</v>
      </c>
      <c r="V256" s="475">
        <v>6</v>
      </c>
      <c r="W256" s="475" t="str">
        <f>IF($AC$256="","",$W$252)</f>
        <v/>
      </c>
      <c r="X256" s="476" t="str">
        <f>IF($AC$256="","",$X$252)</f>
        <v/>
      </c>
      <c r="Y256" s="477" t="str">
        <f>IF($X$256="","",$Y$252)</f>
        <v/>
      </c>
      <c r="Z256" s="477" t="str">
        <f>IF($X$256="","",$Z$252)</f>
        <v/>
      </c>
      <c r="AA256" s="477" t="str">
        <f>IF($AC$256="","",ROW($A$256)-ROW($A$252))</f>
        <v/>
      </c>
      <c r="AB256" s="478"/>
      <c r="AC256" s="34"/>
      <c r="AD256" s="356"/>
      <c r="AE256" s="479"/>
      <c r="AF256" s="475"/>
      <c r="AG256" s="480" t="str">
        <f t="shared" si="64"/>
        <v/>
      </c>
      <c r="AH256" s="481" t="str">
        <f t="shared" si="65"/>
        <v/>
      </c>
      <c r="AI256" s="477" t="str">
        <f>IF($AC$256="","",IFERROR(INDEX($AZ$74:$AZ$119,MATCH($AH$256,$AY$74:$AY$119,0)),"AUTRE"))</f>
        <v/>
      </c>
      <c r="AJ256" s="482" t="str">
        <f>IF($AC$256="","",IFERROR(INDEX($BA$74:$BA$119,MATCH($AH$256,$AY$74:$AY$119,0)),1))</f>
        <v/>
      </c>
      <c r="AK256" s="482" t="str">
        <f t="shared" si="66"/>
        <v/>
      </c>
      <c r="AL256" s="477" t="str">
        <f>IF($AC$256="","",IFERROR(INDEX($BB$74:$BB$119,MATCH($AH$256,$AY$74:$AY$119,0)),$AH$256))</f>
        <v/>
      </c>
      <c r="AM256" s="483" t="str">
        <f t="shared" si="67"/>
        <v/>
      </c>
      <c r="AN256" s="484" t="str">
        <f t="shared" si="68"/>
        <v/>
      </c>
      <c r="AO256" s="473" t="str">
        <f t="shared" si="69"/>
        <v/>
      </c>
      <c r="AP256" s="473" t="str">
        <f t="shared" si="70"/>
        <v/>
      </c>
      <c r="AQ256" s="473" t="str">
        <f t="shared" si="71"/>
        <v/>
      </c>
      <c r="AR256" s="473" t="str">
        <f t="shared" si="72"/>
        <v/>
      </c>
      <c r="AS256" s="473" t="str">
        <f t="shared" si="73"/>
        <v/>
      </c>
      <c r="AT256" s="473" t="str">
        <f t="shared" si="74"/>
        <v/>
      </c>
      <c r="AU256" s="473" t="str">
        <f t="shared" si="75"/>
        <v/>
      </c>
      <c r="AZ256" s="497" t="s">
        <v>8147</v>
      </c>
      <c r="BA256" s="34" t="s">
        <v>477</v>
      </c>
      <c r="BB256" s="499"/>
      <c r="BC256" s="271"/>
      <c r="BD256" s="279">
        <v>1</v>
      </c>
      <c r="BE256" s="271"/>
      <c r="BF256" s="271"/>
      <c r="BG256" s="271"/>
      <c r="BH256" s="271"/>
      <c r="BI256" s="271"/>
      <c r="BJ256" s="271"/>
      <c r="BK256" s="271"/>
      <c r="BL256" s="271"/>
    </row>
    <row r="257" spans="18:64" ht="21" customHeight="1" x14ac:dyDescent="0.25">
      <c r="R257" s="25" t="s">
        <v>6134</v>
      </c>
      <c r="S257" s="451"/>
      <c r="T257" s="497" t="s">
        <v>462</v>
      </c>
      <c r="V257" s="475">
        <v>6</v>
      </c>
      <c r="W257" s="475" t="str">
        <f>IF($AC$257="","",$W$252)</f>
        <v/>
      </c>
      <c r="X257" s="476" t="str">
        <f>IF($AC$257="","",$X$252)</f>
        <v/>
      </c>
      <c r="Y257" s="477" t="str">
        <f>IF($X$257="","",$Y$252)</f>
        <v/>
      </c>
      <c r="Z257" s="477" t="str">
        <f>IF($X$257="","",$Z$252)</f>
        <v/>
      </c>
      <c r="AA257" s="477" t="str">
        <f>IF($AC$257="","",ROW($A$257)-ROW($A$252))</f>
        <v/>
      </c>
      <c r="AB257" s="478"/>
      <c r="AC257" s="34"/>
      <c r="AD257" s="356"/>
      <c r="AE257" s="479"/>
      <c r="AF257" s="475"/>
      <c r="AG257" s="480" t="str">
        <f t="shared" si="64"/>
        <v/>
      </c>
      <c r="AH257" s="481" t="str">
        <f t="shared" si="65"/>
        <v/>
      </c>
      <c r="AI257" s="477" t="str">
        <f>IF($AC$257="","",IFERROR(INDEX($AZ$74:$AZ$119,MATCH($AH$257,$AY$74:$AY$119,0)),"AUTRE"))</f>
        <v/>
      </c>
      <c r="AJ257" s="482" t="str">
        <f>IF($AC$257="","",IFERROR(INDEX($BA$74:$BA$119,MATCH($AH$257,$AY$74:$AY$119,0)),1))</f>
        <v/>
      </c>
      <c r="AK257" s="482" t="str">
        <f t="shared" si="66"/>
        <v/>
      </c>
      <c r="AL257" s="477" t="str">
        <f>IF($AC$257="","",IFERROR(INDEX($BB$74:$BB$119,MATCH($AH$257,$AY$74:$AY$119,0)),$AH$257))</f>
        <v/>
      </c>
      <c r="AM257" s="483" t="str">
        <f t="shared" si="67"/>
        <v/>
      </c>
      <c r="AN257" s="484" t="str">
        <f t="shared" si="68"/>
        <v/>
      </c>
      <c r="AO257" s="473" t="str">
        <f t="shared" si="69"/>
        <v/>
      </c>
      <c r="AP257" s="473" t="str">
        <f t="shared" si="70"/>
        <v/>
      </c>
      <c r="AQ257" s="473" t="str">
        <f t="shared" si="71"/>
        <v/>
      </c>
      <c r="AR257" s="473" t="str">
        <f t="shared" si="72"/>
        <v/>
      </c>
      <c r="AS257" s="473" t="str">
        <f t="shared" si="73"/>
        <v/>
      </c>
      <c r="AT257" s="473" t="str">
        <f t="shared" si="74"/>
        <v/>
      </c>
      <c r="AU257" s="473" t="str">
        <f t="shared" si="75"/>
        <v/>
      </c>
      <c r="AZ257" s="497" t="s">
        <v>465</v>
      </c>
      <c r="BB257" s="499"/>
      <c r="BC257" s="271"/>
      <c r="BD257" s="279">
        <v>1</v>
      </c>
      <c r="BE257" s="271"/>
      <c r="BF257" s="271"/>
      <c r="BG257" s="271"/>
      <c r="BH257" s="271"/>
      <c r="BI257" s="271"/>
      <c r="BJ257" s="271"/>
      <c r="BK257" s="271"/>
      <c r="BL257" s="271"/>
    </row>
    <row r="258" spans="18:64" ht="21" customHeight="1" x14ac:dyDescent="0.25">
      <c r="R258" s="34" t="s">
        <v>481</v>
      </c>
      <c r="S258" s="451"/>
      <c r="T258" s="497" t="s">
        <v>463</v>
      </c>
      <c r="V258" s="475">
        <v>6</v>
      </c>
      <c r="W258" s="475" t="str">
        <f>IF($AC$258="","",$W$252)</f>
        <v/>
      </c>
      <c r="X258" s="476" t="str">
        <f>IF($AC$258="","",$X$252)</f>
        <v/>
      </c>
      <c r="Y258" s="477" t="str">
        <f>IF($X$258="","",$Y$252)</f>
        <v/>
      </c>
      <c r="Z258" s="477" t="str">
        <f>IF($X$258="","",$Z$252)</f>
        <v/>
      </c>
      <c r="AA258" s="477" t="str">
        <f>IF($AC$258="","",ROW($A$258)-ROW($A$252))</f>
        <v/>
      </c>
      <c r="AB258" s="478"/>
      <c r="AC258" s="34"/>
      <c r="AD258" s="356"/>
      <c r="AE258" s="479"/>
      <c r="AF258" s="475"/>
      <c r="AG258" s="480" t="str">
        <f t="shared" si="64"/>
        <v/>
      </c>
      <c r="AH258" s="481" t="str">
        <f t="shared" si="65"/>
        <v/>
      </c>
      <c r="AI258" s="477" t="str">
        <f>IF($AC$258="","",IFERROR(INDEX($AZ$74:$AZ$119,MATCH($AH$258,$AY$74:$AY$119,0)),"AUTRE"))</f>
        <v/>
      </c>
      <c r="AJ258" s="482" t="str">
        <f>IF($AC$258="","",IFERROR(INDEX($BA$74:$BA$119,MATCH($AH$258,$AY$74:$AY$119,0)),1))</f>
        <v/>
      </c>
      <c r="AK258" s="482" t="str">
        <f t="shared" si="66"/>
        <v/>
      </c>
      <c r="AL258" s="477" t="str">
        <f>IF($AC$258="","",IFERROR(INDEX($BB$74:$BB$119,MATCH($AH$258,$AY$74:$AY$119,0)),$AH$258))</f>
        <v/>
      </c>
      <c r="AM258" s="483" t="str">
        <f t="shared" si="67"/>
        <v/>
      </c>
      <c r="AN258" s="484" t="str">
        <f t="shared" si="68"/>
        <v/>
      </c>
      <c r="AO258" s="473" t="str">
        <f t="shared" si="69"/>
        <v/>
      </c>
      <c r="AP258" s="473" t="str">
        <f t="shared" si="70"/>
        <v/>
      </c>
      <c r="AQ258" s="473" t="str">
        <f t="shared" si="71"/>
        <v/>
      </c>
      <c r="AR258" s="473" t="str">
        <f t="shared" si="72"/>
        <v/>
      </c>
      <c r="AS258" s="473" t="str">
        <f t="shared" si="73"/>
        <v/>
      </c>
      <c r="AT258" s="473" t="str">
        <f t="shared" si="74"/>
        <v/>
      </c>
      <c r="AU258" s="473" t="str">
        <f t="shared" si="75"/>
        <v/>
      </c>
      <c r="AZ258" s="497" t="s">
        <v>466</v>
      </c>
      <c r="BA258" s="25" t="s">
        <v>6134</v>
      </c>
      <c r="BB258" s="499"/>
      <c r="BC258" s="271"/>
      <c r="BD258" s="279">
        <v>1</v>
      </c>
      <c r="BE258" s="271"/>
      <c r="BF258" s="271"/>
      <c r="BG258" s="271"/>
      <c r="BH258" s="271"/>
      <c r="BI258" s="271"/>
      <c r="BJ258" s="271"/>
      <c r="BK258" s="271"/>
      <c r="BL258" s="271"/>
    </row>
    <row r="259" spans="18:64" ht="21" customHeight="1" x14ac:dyDescent="0.25">
      <c r="R259" s="34" t="s">
        <v>475</v>
      </c>
      <c r="S259" s="451"/>
      <c r="T259" s="497" t="s">
        <v>8147</v>
      </c>
      <c r="V259" s="475">
        <v>6</v>
      </c>
      <c r="W259" s="475" t="str">
        <f>IF($AC$259="","",$W$252)</f>
        <v/>
      </c>
      <c r="X259" s="476" t="str">
        <f>IF($AC$259="","",$X$252)</f>
        <v/>
      </c>
      <c r="Y259" s="477" t="str">
        <f>IF($X$259="","",$Y$252)</f>
        <v/>
      </c>
      <c r="Z259" s="477" t="str">
        <f>IF($X$259="","",$Z$252)</f>
        <v/>
      </c>
      <c r="AA259" s="477" t="str">
        <f>IF($AC$259="","",ROW($A$259)-ROW($A$252))</f>
        <v/>
      </c>
      <c r="AB259" s="478"/>
      <c r="AC259" s="34"/>
      <c r="AD259" s="356"/>
      <c r="AE259" s="479"/>
      <c r="AF259" s="475"/>
      <c r="AG259" s="480" t="str">
        <f t="shared" si="64"/>
        <v/>
      </c>
      <c r="AH259" s="481" t="str">
        <f t="shared" si="65"/>
        <v/>
      </c>
      <c r="AI259" s="477" t="str">
        <f>IF($AC$259="","",IFERROR(INDEX($AZ$74:$AZ$119,MATCH($AH$259,$AY$74:$AY$119,0)),"AUTRE"))</f>
        <v/>
      </c>
      <c r="AJ259" s="482" t="str">
        <f>IF($AC$259="","",IFERROR(INDEX($BA$74:$BA$119,MATCH($AH$259,$AY$74:$AY$119,0)),1))</f>
        <v/>
      </c>
      <c r="AK259" s="482" t="str">
        <f t="shared" si="66"/>
        <v/>
      </c>
      <c r="AL259" s="477" t="str">
        <f>IF($AC$259="","",IFERROR(INDEX($BB$74:$BB$119,MATCH($AH$259,$AY$74:$AY$119,0)),$AH$259))</f>
        <v/>
      </c>
      <c r="AM259" s="483" t="str">
        <f t="shared" si="67"/>
        <v/>
      </c>
      <c r="AN259" s="484" t="str">
        <f t="shared" si="68"/>
        <v/>
      </c>
      <c r="AO259" s="473" t="str">
        <f t="shared" si="69"/>
        <v/>
      </c>
      <c r="AP259" s="473" t="str">
        <f t="shared" si="70"/>
        <v/>
      </c>
      <c r="AQ259" s="473" t="str">
        <f t="shared" si="71"/>
        <v/>
      </c>
      <c r="AR259" s="473" t="str">
        <f t="shared" si="72"/>
        <v/>
      </c>
      <c r="AS259" s="473" t="str">
        <f t="shared" si="73"/>
        <v/>
      </c>
      <c r="AT259" s="473" t="str">
        <f t="shared" si="74"/>
        <v/>
      </c>
      <c r="AU259" s="473" t="str">
        <f t="shared" si="75"/>
        <v/>
      </c>
      <c r="AZ259" s="14" t="s">
        <v>7</v>
      </c>
      <c r="BA259" s="34" t="s">
        <v>481</v>
      </c>
      <c r="BB259" s="499"/>
      <c r="BC259" s="271"/>
      <c r="BD259" s="279">
        <v>1</v>
      </c>
      <c r="BE259" s="271"/>
      <c r="BF259" s="271"/>
      <c r="BG259" s="271"/>
      <c r="BH259" s="271"/>
      <c r="BI259" s="271"/>
      <c r="BJ259" s="271"/>
      <c r="BK259" s="271"/>
      <c r="BL259" s="271"/>
    </row>
    <row r="260" spans="18:64" ht="21" customHeight="1" x14ac:dyDescent="0.25">
      <c r="R260" s="34" t="s">
        <v>457</v>
      </c>
      <c r="S260" s="451"/>
      <c r="T260" s="497" t="s">
        <v>465</v>
      </c>
      <c r="V260" s="475">
        <v>6</v>
      </c>
      <c r="W260" s="475" t="str">
        <f>IF($AC$260="","",$W$252)</f>
        <v/>
      </c>
      <c r="X260" s="476" t="str">
        <f>IF($AC$260="","",$X$252)</f>
        <v/>
      </c>
      <c r="Y260" s="477" t="str">
        <f>IF($X$260="","",$Y$252)</f>
        <v/>
      </c>
      <c r="Z260" s="477" t="str">
        <f>IF($X$260="","",$Z$252)</f>
        <v/>
      </c>
      <c r="AA260" s="477" t="str">
        <f>IF($AC$260="","",ROW($A$260)-ROW($A$252))</f>
        <v/>
      </c>
      <c r="AB260" s="478"/>
      <c r="AC260" s="34"/>
      <c r="AD260" s="356"/>
      <c r="AE260" s="479"/>
      <c r="AF260" s="475"/>
      <c r="AG260" s="480" t="str">
        <f t="shared" si="64"/>
        <v/>
      </c>
      <c r="AH260" s="481" t="str">
        <f t="shared" si="65"/>
        <v/>
      </c>
      <c r="AI260" s="477" t="str">
        <f>IF($AC$260="","",IFERROR(INDEX($AZ$74:$AZ$119,MATCH($AH$260,$AY$74:$AY$119,0)),"AUTRE"))</f>
        <v/>
      </c>
      <c r="AJ260" s="482" t="str">
        <f>IF($AC$260="","",IFERROR(INDEX($BA$74:$BA$119,MATCH($AH$260,$AY$74:$AY$119,0)),1))</f>
        <v/>
      </c>
      <c r="AK260" s="482" t="str">
        <f t="shared" si="66"/>
        <v/>
      </c>
      <c r="AL260" s="477" t="str">
        <f>IF($AC$260="","",IFERROR(INDEX($BB$74:$BB$119,MATCH($AH$260,$AY$74:$AY$119,0)),$AH$260))</f>
        <v/>
      </c>
      <c r="AM260" s="483" t="str">
        <f t="shared" si="67"/>
        <v/>
      </c>
      <c r="AN260" s="484" t="str">
        <f t="shared" si="68"/>
        <v/>
      </c>
      <c r="AO260" s="473" t="str">
        <f t="shared" si="69"/>
        <v/>
      </c>
      <c r="AP260" s="473" t="str">
        <f t="shared" si="70"/>
        <v/>
      </c>
      <c r="AQ260" s="473" t="str">
        <f t="shared" si="71"/>
        <v/>
      </c>
      <c r="AR260" s="473" t="str">
        <f t="shared" si="72"/>
        <v/>
      </c>
      <c r="AS260" s="473" t="str">
        <f t="shared" si="73"/>
        <v/>
      </c>
      <c r="AT260" s="473" t="str">
        <f t="shared" si="74"/>
        <v/>
      </c>
      <c r="AU260" s="473" t="str">
        <f t="shared" si="75"/>
        <v/>
      </c>
      <c r="AZ260" s="27" t="s">
        <v>8</v>
      </c>
      <c r="BA260" s="34" t="s">
        <v>475</v>
      </c>
      <c r="BB260" s="499"/>
      <c r="BC260" s="271"/>
      <c r="BD260" s="279">
        <v>1</v>
      </c>
      <c r="BE260" s="271"/>
      <c r="BF260" s="271"/>
      <c r="BG260" s="271"/>
      <c r="BH260" s="271"/>
      <c r="BI260" s="271"/>
      <c r="BJ260" s="271"/>
      <c r="BK260" s="271"/>
      <c r="BL260" s="271"/>
    </row>
    <row r="261" spans="18:64" ht="21" customHeight="1" x14ac:dyDescent="0.25">
      <c r="R261" s="34" t="s">
        <v>482</v>
      </c>
      <c r="S261" s="451"/>
      <c r="T261" s="497" t="s">
        <v>466</v>
      </c>
      <c r="V261" s="475">
        <v>6</v>
      </c>
      <c r="W261" s="475" t="str">
        <f>IF($AC$261="","",$W$252)</f>
        <v/>
      </c>
      <c r="X261" s="476" t="str">
        <f>IF($AC$261="","",$X$252)</f>
        <v/>
      </c>
      <c r="Y261" s="477" t="str">
        <f>IF($X$261="","",$Y$252)</f>
        <v/>
      </c>
      <c r="Z261" s="477" t="str">
        <f>IF($X$261="","",$Z$252)</f>
        <v/>
      </c>
      <c r="AA261" s="477" t="str">
        <f>IF($AC$261="","",ROW($A$261)-ROW($A$252))</f>
        <v/>
      </c>
      <c r="AB261" s="478"/>
      <c r="AC261" s="34"/>
      <c r="AD261" s="356"/>
      <c r="AE261" s="479"/>
      <c r="AF261" s="475"/>
      <c r="AG261" s="480" t="str">
        <f t="shared" si="64"/>
        <v/>
      </c>
      <c r="AH261" s="481" t="str">
        <f t="shared" si="65"/>
        <v/>
      </c>
      <c r="AI261" s="477" t="str">
        <f>IF($AC$261="","",IFERROR(INDEX($AZ$74:$AZ$119,MATCH($AH$261,$AY$74:$AY$119,0)),"AUTRE"))</f>
        <v/>
      </c>
      <c r="AJ261" s="482" t="str">
        <f>IF($AC$261="","",IFERROR(INDEX($BA$74:$BA$119,MATCH($AH$261,$AY$74:$AY$119,0)),1))</f>
        <v/>
      </c>
      <c r="AK261" s="482" t="str">
        <f t="shared" si="66"/>
        <v/>
      </c>
      <c r="AL261" s="477" t="str">
        <f>IF($AC$261="","",IFERROR(INDEX($BB$74:$BB$119,MATCH($AH$261,$AY$74:$AY$119,0)),$AH$261))</f>
        <v/>
      </c>
      <c r="AM261" s="483" t="str">
        <f t="shared" si="67"/>
        <v/>
      </c>
      <c r="AN261" s="484" t="str">
        <f t="shared" si="68"/>
        <v/>
      </c>
      <c r="AO261" s="473" t="str">
        <f t="shared" si="69"/>
        <v/>
      </c>
      <c r="AP261" s="473" t="str">
        <f t="shared" si="70"/>
        <v/>
      </c>
      <c r="AQ261" s="473" t="str">
        <f t="shared" si="71"/>
        <v/>
      </c>
      <c r="AR261" s="473" t="str">
        <f t="shared" si="72"/>
        <v/>
      </c>
      <c r="AS261" s="473" t="str">
        <f t="shared" si="73"/>
        <v/>
      </c>
      <c r="AT261" s="473" t="str">
        <f t="shared" si="74"/>
        <v/>
      </c>
      <c r="AU261" s="473" t="str">
        <f t="shared" si="75"/>
        <v/>
      </c>
      <c r="AZ261" s="28" t="s">
        <v>13</v>
      </c>
      <c r="BA261" s="34" t="s">
        <v>457</v>
      </c>
      <c r="BB261" s="499"/>
      <c r="BC261" s="271"/>
      <c r="BD261" s="279">
        <v>1</v>
      </c>
      <c r="BE261" s="271"/>
      <c r="BF261" s="271"/>
      <c r="BG261" s="271"/>
      <c r="BH261" s="271"/>
      <c r="BI261" s="271"/>
      <c r="BJ261" s="271"/>
      <c r="BK261" s="271"/>
      <c r="BL261" s="271"/>
    </row>
    <row r="262" spans="18:64" ht="21" customHeight="1" x14ac:dyDescent="0.25">
      <c r="R262" s="34" t="s">
        <v>496</v>
      </c>
      <c r="S262" s="451"/>
      <c r="T262" s="440" t="s">
        <v>8110</v>
      </c>
      <c r="V262" s="475">
        <v>6</v>
      </c>
      <c r="W262" s="475" t="str">
        <f>IF($AC$262="","",$W$252)</f>
        <v/>
      </c>
      <c r="X262" s="476" t="str">
        <f>IF($AC$262="","",$X$252)</f>
        <v/>
      </c>
      <c r="Y262" s="477" t="str">
        <f>IF($X$262="","",$Y$252)</f>
        <v/>
      </c>
      <c r="Z262" s="477" t="str">
        <f>IF($X$262="","",$Z$252)</f>
        <v/>
      </c>
      <c r="AA262" s="477" t="str">
        <f>IF($AC$262="","",ROW($A$262)-ROW($A$252))</f>
        <v/>
      </c>
      <c r="AB262" s="478"/>
      <c r="AC262" s="34"/>
      <c r="AD262" s="356"/>
      <c r="AE262" s="479"/>
      <c r="AF262" s="475"/>
      <c r="AG262" s="480" t="str">
        <f t="shared" si="64"/>
        <v/>
      </c>
      <c r="AH262" s="481" t="str">
        <f t="shared" si="65"/>
        <v/>
      </c>
      <c r="AI262" s="477" t="str">
        <f>IF($AC$262="","",IFERROR(INDEX($AZ$74:$AZ$119,MATCH($AH$262,$AY$74:$AY$119,0)),"AUTRE"))</f>
        <v/>
      </c>
      <c r="AJ262" s="482" t="str">
        <f>IF($AC$262="","",IFERROR(INDEX($BA$74:$BA$119,MATCH($AH$262,$AY$74:$AY$119,0)),1))</f>
        <v/>
      </c>
      <c r="AK262" s="482" t="str">
        <f t="shared" si="66"/>
        <v/>
      </c>
      <c r="AL262" s="477" t="str">
        <f>IF($AC$262="","",IFERROR(INDEX($BB$74:$BB$119,MATCH($AH$262,$AY$74:$AY$119,0)),$AH$262))</f>
        <v/>
      </c>
      <c r="AM262" s="483" t="str">
        <f t="shared" si="67"/>
        <v/>
      </c>
      <c r="AN262" s="484" t="str">
        <f t="shared" si="68"/>
        <v/>
      </c>
      <c r="AO262" s="473" t="str">
        <f t="shared" si="69"/>
        <v/>
      </c>
      <c r="AP262" s="473" t="str">
        <f t="shared" si="70"/>
        <v/>
      </c>
      <c r="AQ262" s="473" t="str">
        <f t="shared" si="71"/>
        <v/>
      </c>
      <c r="AR262" s="473" t="str">
        <f t="shared" si="72"/>
        <v/>
      </c>
      <c r="AS262" s="473" t="str">
        <f t="shared" si="73"/>
        <v/>
      </c>
      <c r="AT262" s="473" t="str">
        <f t="shared" si="74"/>
        <v/>
      </c>
      <c r="AU262" s="473" t="str">
        <f t="shared" si="75"/>
        <v/>
      </c>
      <c r="AZ262" s="28" t="s">
        <v>14</v>
      </c>
      <c r="BA262" s="34" t="s">
        <v>482</v>
      </c>
      <c r="BB262" s="499"/>
      <c r="BC262" s="271"/>
      <c r="BD262" s="279">
        <v>1</v>
      </c>
      <c r="BE262" s="271"/>
      <c r="BF262" s="271"/>
      <c r="BG262" s="271"/>
      <c r="BH262" s="271"/>
      <c r="BI262" s="271"/>
      <c r="BJ262" s="271"/>
      <c r="BK262" s="271"/>
      <c r="BL262" s="271"/>
    </row>
    <row r="263" spans="18:64" ht="21" customHeight="1" x14ac:dyDescent="0.25">
      <c r="R263" s="34" t="s">
        <v>483</v>
      </c>
      <c r="S263" s="451"/>
      <c r="T263" s="452" t="s">
        <v>8113</v>
      </c>
      <c r="V263" s="475">
        <v>6</v>
      </c>
      <c r="W263" s="475" t="str">
        <f>IF($AC$263="","",$W$252)</f>
        <v/>
      </c>
      <c r="X263" s="476" t="str">
        <f>IF($AC$263="","",$X$252)</f>
        <v/>
      </c>
      <c r="Y263" s="477" t="str">
        <f>IF($X$263="","",$Y$252)</f>
        <v/>
      </c>
      <c r="Z263" s="477" t="str">
        <f>IF($X$263="","",$Z$252)</f>
        <v/>
      </c>
      <c r="AA263" s="477" t="str">
        <f>IF($AC$263="","",ROW($A$263)-ROW($A$252))</f>
        <v/>
      </c>
      <c r="AB263" s="478"/>
      <c r="AC263" s="34"/>
      <c r="AD263" s="356"/>
      <c r="AE263" s="479"/>
      <c r="AF263" s="475"/>
      <c r="AG263" s="480" t="str">
        <f t="shared" si="64"/>
        <v/>
      </c>
      <c r="AH263" s="481" t="str">
        <f t="shared" si="65"/>
        <v/>
      </c>
      <c r="AI263" s="477" t="str">
        <f>IF($AC$263="","",IFERROR(INDEX($AZ$74:$AZ$119,MATCH($AH$263,$AY$74:$AY$119,0)),"AUTRE"))</f>
        <v/>
      </c>
      <c r="AJ263" s="482" t="str">
        <f>IF($AC$263="","",IFERROR(INDEX($BA$74:$BA$119,MATCH($AH$263,$AY$74:$AY$119,0)),1))</f>
        <v/>
      </c>
      <c r="AK263" s="482" t="str">
        <f t="shared" si="66"/>
        <v/>
      </c>
      <c r="AL263" s="477" t="str">
        <f>IF($AC$263="","",IFERROR(INDEX($BB$74:$BB$119,MATCH($AH$263,$AY$74:$AY$119,0)),$AH$263))</f>
        <v/>
      </c>
      <c r="AM263" s="483" t="str">
        <f t="shared" si="67"/>
        <v/>
      </c>
      <c r="AN263" s="484" t="str">
        <f t="shared" si="68"/>
        <v/>
      </c>
      <c r="AO263" s="473" t="str">
        <f t="shared" si="69"/>
        <v/>
      </c>
      <c r="AP263" s="473" t="str">
        <f t="shared" si="70"/>
        <v/>
      </c>
      <c r="AQ263" s="473" t="str">
        <f t="shared" si="71"/>
        <v/>
      </c>
      <c r="AR263" s="473" t="str">
        <f t="shared" si="72"/>
        <v/>
      </c>
      <c r="AS263" s="473" t="str">
        <f t="shared" si="73"/>
        <v/>
      </c>
      <c r="AT263" s="473" t="str">
        <f t="shared" si="74"/>
        <v/>
      </c>
      <c r="AU263" s="473" t="str">
        <f t="shared" si="75"/>
        <v/>
      </c>
      <c r="AZ263" s="28" t="s">
        <v>15</v>
      </c>
      <c r="BA263" s="34" t="s">
        <v>496</v>
      </c>
      <c r="BB263" s="499"/>
      <c r="BC263" s="271"/>
      <c r="BD263" s="279">
        <v>1</v>
      </c>
      <c r="BE263" s="271"/>
      <c r="BF263" s="271"/>
      <c r="BG263" s="271"/>
      <c r="BH263" s="271"/>
      <c r="BI263" s="271"/>
      <c r="BJ263" s="271"/>
      <c r="BK263" s="271"/>
      <c r="BL263" s="271"/>
    </row>
    <row r="264" spans="18:64" ht="21" customHeight="1" x14ac:dyDescent="0.25">
      <c r="R264" s="34" t="s">
        <v>493</v>
      </c>
      <c r="S264" s="451"/>
      <c r="T264" s="14" t="s">
        <v>7</v>
      </c>
      <c r="V264" s="475">
        <v>6</v>
      </c>
      <c r="W264" s="475" t="str">
        <f>IF($AC$264="","",$W$252)</f>
        <v/>
      </c>
      <c r="X264" s="476" t="str">
        <f>IF($AC$264="","",$X$252)</f>
        <v/>
      </c>
      <c r="Y264" s="477" t="str">
        <f>IF($X$264="","",$Y$252)</f>
        <v/>
      </c>
      <c r="Z264" s="477" t="str">
        <f>IF($X$264="","",$Z$252)</f>
        <v/>
      </c>
      <c r="AA264" s="477" t="str">
        <f>IF($AC$264="","",ROW($A$264)-ROW($A$252))</f>
        <v/>
      </c>
      <c r="AB264" s="478"/>
      <c r="AC264" s="34"/>
      <c r="AD264" s="356"/>
      <c r="AE264" s="479"/>
      <c r="AF264" s="475"/>
      <c r="AG264" s="480" t="str">
        <f t="shared" si="64"/>
        <v/>
      </c>
      <c r="AH264" s="481" t="str">
        <f t="shared" si="65"/>
        <v/>
      </c>
      <c r="AI264" s="477" t="str">
        <f>IF($AC$264="","",IFERROR(INDEX($AZ$74:$AZ$119,MATCH($AH$264,$AY$74:$AY$119,0)),"AUTRE"))</f>
        <v/>
      </c>
      <c r="AJ264" s="482" t="str">
        <f>IF($AC$264="","",IFERROR(INDEX($BA$74:$BA$119,MATCH($AH$264,$AY$74:$AY$119,0)),1))</f>
        <v/>
      </c>
      <c r="AK264" s="482" t="str">
        <f t="shared" si="66"/>
        <v/>
      </c>
      <c r="AL264" s="477" t="str">
        <f>IF($AC$264="","",IFERROR(INDEX($BB$74:$BB$119,MATCH($AH$264,$AY$74:$AY$119,0)),$AH$264))</f>
        <v/>
      </c>
      <c r="AM264" s="483" t="str">
        <f t="shared" si="67"/>
        <v/>
      </c>
      <c r="AN264" s="484" t="str">
        <f t="shared" si="68"/>
        <v/>
      </c>
      <c r="AO264" s="473" t="str">
        <f t="shared" si="69"/>
        <v/>
      </c>
      <c r="AP264" s="473" t="str">
        <f t="shared" si="70"/>
        <v/>
      </c>
      <c r="AQ264" s="473" t="str">
        <f t="shared" si="71"/>
        <v/>
      </c>
      <c r="AR264" s="473" t="str">
        <f t="shared" si="72"/>
        <v/>
      </c>
      <c r="AS264" s="473" t="str">
        <f t="shared" si="73"/>
        <v/>
      </c>
      <c r="AT264" s="473" t="str">
        <f t="shared" si="74"/>
        <v/>
      </c>
      <c r="AU264" s="473" t="str">
        <f t="shared" si="75"/>
        <v/>
      </c>
      <c r="AZ264" s="29" t="s">
        <v>9</v>
      </c>
      <c r="BA264" s="34" t="s">
        <v>483</v>
      </c>
      <c r="BB264" s="499"/>
      <c r="BC264" s="271"/>
      <c r="BD264" s="279">
        <v>1</v>
      </c>
      <c r="BE264" s="271"/>
      <c r="BF264" s="271"/>
      <c r="BG264" s="271"/>
      <c r="BH264" s="271"/>
      <c r="BI264" s="271"/>
      <c r="BJ264" s="271"/>
      <c r="BK264" s="271"/>
      <c r="BL264" s="271"/>
    </row>
    <row r="265" spans="18:64" ht="21" customHeight="1" x14ac:dyDescent="0.25">
      <c r="R265" s="34" t="s">
        <v>494</v>
      </c>
      <c r="S265" s="451"/>
      <c r="T265" s="27" t="s">
        <v>8</v>
      </c>
      <c r="V265" s="475">
        <v>6</v>
      </c>
      <c r="W265" s="475" t="str">
        <f>IF($AC$265="","",$W$252)</f>
        <v/>
      </c>
      <c r="X265" s="476" t="str">
        <f>IF($AC$265="","",$X$252)</f>
        <v/>
      </c>
      <c r="Y265" s="477" t="str">
        <f>IF($X$265="","",$Y$252)</f>
        <v/>
      </c>
      <c r="Z265" s="477" t="str">
        <f>IF($X$265="","",$Z$252)</f>
        <v/>
      </c>
      <c r="AA265" s="477" t="str">
        <f>IF($AC$265="","",ROW($A$265)-ROW($A$252))</f>
        <v/>
      </c>
      <c r="AB265" s="478"/>
      <c r="AC265" s="34"/>
      <c r="AD265" s="356"/>
      <c r="AE265" s="479"/>
      <c r="AF265" s="475"/>
      <c r="AG265" s="480" t="str">
        <f t="shared" si="64"/>
        <v/>
      </c>
      <c r="AH265" s="481" t="str">
        <f t="shared" si="65"/>
        <v/>
      </c>
      <c r="AI265" s="477" t="str">
        <f>IF($AC$265="","",IFERROR(INDEX($AZ$74:$AZ$119,MATCH($AH$265,$AY$74:$AY$119,0)),"AUTRE"))</f>
        <v/>
      </c>
      <c r="AJ265" s="482" t="str">
        <f>IF($AC$265="","",IFERROR(INDEX($BA$74:$BA$119,MATCH($AH$265,$AY$74:$AY$119,0)),1))</f>
        <v/>
      </c>
      <c r="AK265" s="482" t="str">
        <f t="shared" si="66"/>
        <v/>
      </c>
      <c r="AL265" s="477" t="str">
        <f>IF($AC$265="","",IFERROR(INDEX($BB$74:$BB$119,MATCH($AH$265,$AY$74:$AY$119,0)),$AH$265))</f>
        <v/>
      </c>
      <c r="AM265" s="483" t="str">
        <f t="shared" si="67"/>
        <v/>
      </c>
      <c r="AN265" s="484" t="str">
        <f t="shared" si="68"/>
        <v/>
      </c>
      <c r="AO265" s="473" t="str">
        <f t="shared" si="69"/>
        <v/>
      </c>
      <c r="AP265" s="473" t="str">
        <f t="shared" si="70"/>
        <v/>
      </c>
      <c r="AQ265" s="473" t="str">
        <f t="shared" si="71"/>
        <v/>
      </c>
      <c r="AR265" s="473" t="str">
        <f t="shared" si="72"/>
        <v/>
      </c>
      <c r="AS265" s="473" t="str">
        <f t="shared" si="73"/>
        <v/>
      </c>
      <c r="AT265" s="473" t="str">
        <f t="shared" si="74"/>
        <v/>
      </c>
      <c r="AU265" s="473" t="str">
        <f t="shared" si="75"/>
        <v/>
      </c>
      <c r="AZ265" s="30" t="s">
        <v>10</v>
      </c>
      <c r="BA265" s="34" t="s">
        <v>493</v>
      </c>
      <c r="BB265" s="499"/>
      <c r="BC265" s="271"/>
      <c r="BD265" s="279">
        <v>1</v>
      </c>
      <c r="BE265" s="271"/>
      <c r="BF265" s="271"/>
      <c r="BG265" s="271"/>
      <c r="BH265" s="271"/>
      <c r="BI265" s="271"/>
      <c r="BJ265" s="271"/>
      <c r="BK265" s="271"/>
      <c r="BL265" s="271"/>
    </row>
    <row r="266" spans="18:64" ht="21" customHeight="1" x14ac:dyDescent="0.25">
      <c r="S266" s="451"/>
      <c r="T266" s="28" t="s">
        <v>13</v>
      </c>
      <c r="V266" s="475">
        <v>6</v>
      </c>
      <c r="W266" s="475" t="str">
        <f>IF($AC$266="","",$W$252)</f>
        <v/>
      </c>
      <c r="X266" s="476" t="str">
        <f>IF($AC$266="","",$X$252)</f>
        <v/>
      </c>
      <c r="Y266" s="477" t="str">
        <f>IF($X$266="","",$Y$252)</f>
        <v/>
      </c>
      <c r="Z266" s="477" t="str">
        <f>IF($X$266="","",$Z$252)</f>
        <v/>
      </c>
      <c r="AA266" s="477" t="str">
        <f>IF($AC$266="","",ROW($A$266)-ROW($A$252))</f>
        <v/>
      </c>
      <c r="AB266" s="478"/>
      <c r="AC266" s="34"/>
      <c r="AD266" s="356"/>
      <c r="AE266" s="479"/>
      <c r="AF266" s="475"/>
      <c r="AG266" s="480" t="str">
        <f t="shared" si="64"/>
        <v/>
      </c>
      <c r="AH266" s="481" t="str">
        <f t="shared" si="65"/>
        <v/>
      </c>
      <c r="AI266" s="477" t="str">
        <f>IF($AC$266="","",IFERROR(INDEX($AZ$74:$AZ$119,MATCH($AH$266,$AY$74:$AY$119,0)),"AUTRE"))</f>
        <v/>
      </c>
      <c r="AJ266" s="482" t="str">
        <f>IF($AC$266="","",IFERROR(INDEX($BA$74:$BA$119,MATCH($AH$266,$AY$74:$AY$119,0)),1))</f>
        <v/>
      </c>
      <c r="AK266" s="482" t="str">
        <f t="shared" si="66"/>
        <v/>
      </c>
      <c r="AL266" s="477" t="str">
        <f>IF($AC$266="","",IFERROR(INDEX($BB$74:$BB$119,MATCH($AH$266,$AY$74:$AY$119,0)),$AH$266))</f>
        <v/>
      </c>
      <c r="AM266" s="483" t="str">
        <f t="shared" si="67"/>
        <v/>
      </c>
      <c r="AN266" s="484" t="str">
        <f t="shared" si="68"/>
        <v/>
      </c>
      <c r="AO266" s="473" t="str">
        <f t="shared" si="69"/>
        <v/>
      </c>
      <c r="AP266" s="473" t="str">
        <f t="shared" si="70"/>
        <v/>
      </c>
      <c r="AQ266" s="473" t="str">
        <f t="shared" si="71"/>
        <v/>
      </c>
      <c r="AR266" s="473" t="str">
        <f t="shared" si="72"/>
        <v/>
      </c>
      <c r="AS266" s="473" t="str">
        <f t="shared" si="73"/>
        <v/>
      </c>
      <c r="AT266" s="473" t="str">
        <f t="shared" si="74"/>
        <v/>
      </c>
      <c r="AU266" s="473" t="str">
        <f t="shared" si="75"/>
        <v/>
      </c>
      <c r="AZ266" s="30" t="s">
        <v>11</v>
      </c>
      <c r="BA266" s="34" t="s">
        <v>494</v>
      </c>
      <c r="BB266" s="499"/>
      <c r="BC266" s="271"/>
      <c r="BD266" s="279">
        <v>1</v>
      </c>
      <c r="BE266" s="271"/>
      <c r="BF266" s="271"/>
      <c r="BG266" s="271"/>
      <c r="BH266" s="271"/>
      <c r="BI266" s="271"/>
      <c r="BJ266" s="271"/>
      <c r="BK266" s="271"/>
      <c r="BL266" s="271"/>
    </row>
    <row r="267" spans="18:64" ht="21" customHeight="1" x14ac:dyDescent="0.25">
      <c r="R267" s="25" t="s">
        <v>6115</v>
      </c>
      <c r="S267" s="451"/>
      <c r="T267" s="28" t="s">
        <v>14</v>
      </c>
      <c r="V267" s="475">
        <v>6</v>
      </c>
      <c r="W267" s="475" t="str">
        <f>IF($AC$267="","",$W$252)</f>
        <v/>
      </c>
      <c r="X267" s="476" t="str">
        <f>IF($AC$267="","",$X$252)</f>
        <v/>
      </c>
      <c r="Y267" s="477" t="str">
        <f>IF($X$267="","",$Y$252)</f>
        <v/>
      </c>
      <c r="Z267" s="477" t="str">
        <f>IF($X$267="","",$Z$252)</f>
        <v/>
      </c>
      <c r="AA267" s="477" t="str">
        <f>IF($AC$267="","",ROW($A$267)-ROW($A$252))</f>
        <v/>
      </c>
      <c r="AB267" s="478"/>
      <c r="AC267" s="34"/>
      <c r="AD267" s="356"/>
      <c r="AE267" s="479"/>
      <c r="AF267" s="475"/>
      <c r="AG267" s="480" t="str">
        <f t="shared" si="64"/>
        <v/>
      </c>
      <c r="AH267" s="481" t="str">
        <f t="shared" si="65"/>
        <v/>
      </c>
      <c r="AI267" s="477" t="str">
        <f>IF($AC$267="","",IFERROR(INDEX($AZ$74:$AZ$119,MATCH($AH$267,$AY$74:$AY$119,0)),"AUTRE"))</f>
        <v/>
      </c>
      <c r="AJ267" s="482" t="str">
        <f>IF($AC$267="","",IFERROR(INDEX($BA$74:$BA$119,MATCH($AH$267,$AY$74:$AY$119,0)),1))</f>
        <v/>
      </c>
      <c r="AK267" s="482" t="str">
        <f t="shared" si="66"/>
        <v/>
      </c>
      <c r="AL267" s="477" t="str">
        <f>IF($AC$267="","",IFERROR(INDEX($BB$74:$BB$119,MATCH($AH$267,$AY$74:$AY$119,0)),$AH$267))</f>
        <v/>
      </c>
      <c r="AM267" s="483" t="str">
        <f t="shared" si="67"/>
        <v/>
      </c>
      <c r="AN267" s="484" t="str">
        <f t="shared" si="68"/>
        <v/>
      </c>
      <c r="AO267" s="473" t="str">
        <f t="shared" si="69"/>
        <v/>
      </c>
      <c r="AP267" s="473" t="str">
        <f t="shared" si="70"/>
        <v/>
      </c>
      <c r="AQ267" s="473" t="str">
        <f t="shared" si="71"/>
        <v/>
      </c>
      <c r="AR267" s="473" t="str">
        <f t="shared" si="72"/>
        <v/>
      </c>
      <c r="AS267" s="473" t="str">
        <f t="shared" si="73"/>
        <v/>
      </c>
      <c r="AT267" s="473" t="str">
        <f t="shared" si="74"/>
        <v/>
      </c>
      <c r="AU267" s="473" t="str">
        <f t="shared" si="75"/>
        <v/>
      </c>
      <c r="AZ267" s="30" t="s">
        <v>12</v>
      </c>
      <c r="BB267" s="499"/>
      <c r="BC267" s="271"/>
      <c r="BD267" s="279">
        <v>1</v>
      </c>
      <c r="BE267" s="271"/>
      <c r="BF267" s="271"/>
      <c r="BG267" s="271"/>
      <c r="BH267" s="271"/>
      <c r="BI267" s="271"/>
      <c r="BJ267" s="271"/>
      <c r="BK267" s="271"/>
      <c r="BL267" s="271"/>
    </row>
    <row r="268" spans="18:64" ht="21" customHeight="1" x14ac:dyDescent="0.25">
      <c r="R268" s="34" t="s">
        <v>471</v>
      </c>
      <c r="S268" s="451"/>
      <c r="T268" s="28" t="s">
        <v>15</v>
      </c>
      <c r="V268" s="475">
        <v>6</v>
      </c>
      <c r="W268" s="475" t="str">
        <f>IF($AC$268="","",$W$252)</f>
        <v/>
      </c>
      <c r="X268" s="476" t="str">
        <f>IF($AC$268="","",$X$252)</f>
        <v/>
      </c>
      <c r="Y268" s="477" t="str">
        <f>IF($X$268="","",$Y$252)</f>
        <v/>
      </c>
      <c r="Z268" s="477" t="str">
        <f>IF($X$268="","",$Z$252)</f>
        <v/>
      </c>
      <c r="AA268" s="477" t="str">
        <f>IF($AC$268="","",ROW($A$268)-ROW($A$252))</f>
        <v/>
      </c>
      <c r="AB268" s="478"/>
      <c r="AC268" s="34"/>
      <c r="AD268" s="356"/>
      <c r="AE268" s="479"/>
      <c r="AF268" s="475"/>
      <c r="AG268" s="480" t="str">
        <f t="shared" si="64"/>
        <v/>
      </c>
      <c r="AH268" s="481" t="str">
        <f t="shared" si="65"/>
        <v/>
      </c>
      <c r="AI268" s="477" t="str">
        <f>IF($AC$268="","",IFERROR(INDEX($AZ$74:$AZ$119,MATCH($AH$268,$AY$74:$AY$119,0)),"AUTRE"))</f>
        <v/>
      </c>
      <c r="AJ268" s="482" t="str">
        <f>IF($AC$268="","",IFERROR(INDEX($BA$74:$BA$119,MATCH($AH$268,$AY$74:$AY$119,0)),1))</f>
        <v/>
      </c>
      <c r="AK268" s="482" t="str">
        <f t="shared" si="66"/>
        <v/>
      </c>
      <c r="AL268" s="477" t="str">
        <f>IF($AC$268="","",IFERROR(INDEX($BB$74:$BB$119,MATCH($AH$268,$AY$74:$AY$119,0)),$AH$268))</f>
        <v/>
      </c>
      <c r="AM268" s="483" t="str">
        <f t="shared" si="67"/>
        <v/>
      </c>
      <c r="AN268" s="484" t="str">
        <f t="shared" si="68"/>
        <v/>
      </c>
      <c r="AO268" s="473" t="str">
        <f t="shared" si="69"/>
        <v/>
      </c>
      <c r="AP268" s="473" t="str">
        <f t="shared" si="70"/>
        <v/>
      </c>
      <c r="AQ268" s="473" t="str">
        <f t="shared" si="71"/>
        <v/>
      </c>
      <c r="AR268" s="473" t="str">
        <f t="shared" si="72"/>
        <v/>
      </c>
      <c r="AS268" s="473" t="str">
        <f t="shared" si="73"/>
        <v/>
      </c>
      <c r="AT268" s="473" t="str">
        <f t="shared" si="74"/>
        <v/>
      </c>
      <c r="AU268" s="473" t="str">
        <f t="shared" si="75"/>
        <v/>
      </c>
      <c r="AZ268" s="31" t="s">
        <v>16</v>
      </c>
      <c r="BA268" s="25" t="s">
        <v>6115</v>
      </c>
      <c r="BB268" s="499"/>
      <c r="BC268" s="271"/>
      <c r="BD268" s="279">
        <v>1</v>
      </c>
      <c r="BE268" s="271"/>
      <c r="BF268" s="271"/>
      <c r="BG268" s="271"/>
      <c r="BH268" s="271"/>
      <c r="BI268" s="271"/>
      <c r="BJ268" s="271"/>
      <c r="BK268" s="271"/>
      <c r="BL268" s="271"/>
    </row>
    <row r="269" spans="18:64" ht="21" customHeight="1" x14ac:dyDescent="0.25">
      <c r="R269" s="34" t="s">
        <v>472</v>
      </c>
      <c r="S269" s="451"/>
      <c r="T269" s="28" t="s">
        <v>21</v>
      </c>
      <c r="V269" s="475">
        <v>6</v>
      </c>
      <c r="W269" s="475" t="str">
        <f>IF($AC$269="","",$W$252)</f>
        <v/>
      </c>
      <c r="X269" s="476" t="str">
        <f>IF($AC$269="","",$X$252)</f>
        <v/>
      </c>
      <c r="Y269" s="477" t="str">
        <f>IF($X$269="","",$Y$252)</f>
        <v/>
      </c>
      <c r="Z269" s="477" t="str">
        <f>IF($X$269="","",$Z$252)</f>
        <v/>
      </c>
      <c r="AA269" s="477" t="str">
        <f>IF($AC$269="","",ROW($A$269)-ROW($A$252))</f>
        <v/>
      </c>
      <c r="AB269" s="478"/>
      <c r="AC269" s="34"/>
      <c r="AD269" s="356"/>
      <c r="AE269" s="479"/>
      <c r="AF269" s="475"/>
      <c r="AG269" s="480" t="str">
        <f t="shared" si="64"/>
        <v/>
      </c>
      <c r="AH269" s="481" t="str">
        <f t="shared" si="65"/>
        <v/>
      </c>
      <c r="AI269" s="477" t="str">
        <f>IF($AC$269="","",IFERROR(INDEX($AZ$74:$AZ$119,MATCH($AH$269,$AY$74:$AY$119,0)),"AUTRE"))</f>
        <v/>
      </c>
      <c r="AJ269" s="482" t="str">
        <f>IF($AC$269="","",IFERROR(INDEX($BA$74:$BA$119,MATCH($AH$269,$AY$74:$AY$119,0)),1))</f>
        <v/>
      </c>
      <c r="AK269" s="482" t="str">
        <f t="shared" si="66"/>
        <v/>
      </c>
      <c r="AL269" s="477" t="str">
        <f>IF($AC$269="","",IFERROR(INDEX($BB$74:$BB$119,MATCH($AH$269,$AY$74:$AY$119,0)),$AH$269))</f>
        <v/>
      </c>
      <c r="AM269" s="483" t="str">
        <f t="shared" si="67"/>
        <v/>
      </c>
      <c r="AN269" s="484" t="str">
        <f t="shared" si="68"/>
        <v/>
      </c>
      <c r="AO269" s="473" t="str">
        <f t="shared" si="69"/>
        <v/>
      </c>
      <c r="AP269" s="473" t="str">
        <f t="shared" si="70"/>
        <v/>
      </c>
      <c r="AQ269" s="473" t="str">
        <f t="shared" si="71"/>
        <v/>
      </c>
      <c r="AR269" s="473" t="str">
        <f t="shared" si="72"/>
        <v/>
      </c>
      <c r="AS269" s="473" t="str">
        <f t="shared" si="73"/>
        <v/>
      </c>
      <c r="AT269" s="473" t="str">
        <f t="shared" si="74"/>
        <v/>
      </c>
      <c r="AU269" s="473" t="str">
        <f t="shared" si="75"/>
        <v/>
      </c>
      <c r="AZ269" s="31" t="s">
        <v>17</v>
      </c>
      <c r="BA269" s="34" t="s">
        <v>471</v>
      </c>
      <c r="BB269" s="499"/>
      <c r="BC269" s="271"/>
      <c r="BD269" s="279">
        <v>1</v>
      </c>
      <c r="BE269" s="271"/>
      <c r="BF269" s="271"/>
      <c r="BG269" s="271"/>
      <c r="BH269" s="271"/>
      <c r="BI269" s="271"/>
      <c r="BJ269" s="271"/>
      <c r="BK269" s="271"/>
      <c r="BL269" s="271"/>
    </row>
    <row r="270" spans="18:64" ht="21" customHeight="1" x14ac:dyDescent="0.25">
      <c r="R270" s="34" t="s">
        <v>6112</v>
      </c>
      <c r="S270" s="451"/>
      <c r="T270" s="28" t="s">
        <v>22</v>
      </c>
      <c r="V270" s="475">
        <v>6</v>
      </c>
      <c r="W270" s="475" t="str">
        <f>IF($AC$270="","",$W$252)</f>
        <v/>
      </c>
      <c r="X270" s="476" t="str">
        <f>IF($AC$270="","",$X$252)</f>
        <v/>
      </c>
      <c r="Y270" s="477" t="str">
        <f>IF($X$270="","",$Y$252)</f>
        <v/>
      </c>
      <c r="Z270" s="477" t="str">
        <f>IF($X$270="","",$Z$252)</f>
        <v/>
      </c>
      <c r="AA270" s="477" t="str">
        <f>IF($AC$270="","",ROW($A$270)-ROW($A$252))</f>
        <v/>
      </c>
      <c r="AB270" s="478"/>
      <c r="AC270" s="34"/>
      <c r="AD270" s="356"/>
      <c r="AE270" s="479"/>
      <c r="AF270" s="475"/>
      <c r="AG270" s="480" t="str">
        <f t="shared" si="64"/>
        <v/>
      </c>
      <c r="AH270" s="481" t="str">
        <f t="shared" si="65"/>
        <v/>
      </c>
      <c r="AI270" s="477" t="str">
        <f>IF($AC$270="","",IFERROR(INDEX($AZ$74:$AZ$119,MATCH($AH$270,$AY$74:$AY$119,0)),"AUTRE"))</f>
        <v/>
      </c>
      <c r="AJ270" s="482" t="str">
        <f>IF($AC$270="","",IFERROR(INDEX($BA$74:$BA$119,MATCH($AH$270,$AY$74:$AY$119,0)),1))</f>
        <v/>
      </c>
      <c r="AK270" s="482" t="str">
        <f t="shared" si="66"/>
        <v/>
      </c>
      <c r="AL270" s="477" t="str">
        <f>IF($AC$270="","",IFERROR(INDEX($BB$74:$BB$119,MATCH($AH$270,$AY$74:$AY$119,0)),$AH$270))</f>
        <v/>
      </c>
      <c r="AM270" s="483" t="str">
        <f t="shared" si="67"/>
        <v/>
      </c>
      <c r="AN270" s="484" t="str">
        <f t="shared" si="68"/>
        <v/>
      </c>
      <c r="AO270" s="473" t="str">
        <f t="shared" si="69"/>
        <v/>
      </c>
      <c r="AP270" s="473" t="str">
        <f t="shared" si="70"/>
        <v/>
      </c>
      <c r="AQ270" s="473" t="str">
        <f t="shared" si="71"/>
        <v/>
      </c>
      <c r="AR270" s="473" t="str">
        <f t="shared" si="72"/>
        <v/>
      </c>
      <c r="AS270" s="473" t="str">
        <f t="shared" si="73"/>
        <v/>
      </c>
      <c r="AT270" s="473" t="str">
        <f t="shared" si="74"/>
        <v/>
      </c>
      <c r="AU270" s="473" t="str">
        <f t="shared" si="75"/>
        <v/>
      </c>
      <c r="AZ270" s="31" t="s">
        <v>18</v>
      </c>
      <c r="BA270" s="34" t="s">
        <v>472</v>
      </c>
      <c r="BB270" s="499"/>
      <c r="BC270" s="271"/>
      <c r="BD270" s="279">
        <v>1</v>
      </c>
      <c r="BE270" s="271"/>
      <c r="BF270" s="271"/>
      <c r="BG270" s="271"/>
      <c r="BH270" s="271"/>
      <c r="BI270" s="271"/>
      <c r="BJ270" s="271"/>
      <c r="BK270" s="271"/>
      <c r="BL270" s="271"/>
    </row>
    <row r="271" spans="18:64" ht="21" customHeight="1" x14ac:dyDescent="0.25">
      <c r="R271" s="25" t="s">
        <v>6116</v>
      </c>
      <c r="S271" s="451"/>
      <c r="T271" s="28" t="s">
        <v>23</v>
      </c>
      <c r="V271" s="475">
        <v>6</v>
      </c>
      <c r="W271" s="475" t="str">
        <f>IF($AC$271="","",$W$252)</f>
        <v/>
      </c>
      <c r="X271" s="476" t="str">
        <f>IF($AC$271="","",$X$252)</f>
        <v/>
      </c>
      <c r="Y271" s="477" t="str">
        <f>IF($X$271="","",$Y$252)</f>
        <v/>
      </c>
      <c r="Z271" s="477" t="str">
        <f>IF($X$271="","",$Z$252)</f>
        <v/>
      </c>
      <c r="AA271" s="477" t="str">
        <f>IF($AC$271="","",ROW($A$271)-ROW($A$252))</f>
        <v/>
      </c>
      <c r="AB271" s="478"/>
      <c r="AC271" s="34"/>
      <c r="AD271" s="356"/>
      <c r="AE271" s="479"/>
      <c r="AF271" s="475"/>
      <c r="AG271" s="480" t="str">
        <f t="shared" si="64"/>
        <v/>
      </c>
      <c r="AH271" s="481" t="str">
        <f t="shared" si="65"/>
        <v/>
      </c>
      <c r="AI271" s="477" t="str">
        <f>IF($AC$271="","",IFERROR(INDEX($AZ$74:$AZ$119,MATCH($AH$271,$AY$74:$AY$119,0)),"AUTRE"))</f>
        <v/>
      </c>
      <c r="AJ271" s="482" t="str">
        <f>IF($AC$271="","",IFERROR(INDEX($BA$74:$BA$119,MATCH($AH$271,$AY$74:$AY$119,0)),1))</f>
        <v/>
      </c>
      <c r="AK271" s="482" t="str">
        <f t="shared" si="66"/>
        <v/>
      </c>
      <c r="AL271" s="477" t="str">
        <f>IF($AC$271="","",IFERROR(INDEX($BB$74:$BB$119,MATCH($AH$271,$AY$74:$AY$119,0)),$AH$271))</f>
        <v/>
      </c>
      <c r="AM271" s="483" t="str">
        <f t="shared" si="67"/>
        <v/>
      </c>
      <c r="AN271" s="484" t="str">
        <f t="shared" si="68"/>
        <v/>
      </c>
      <c r="AO271" s="473" t="str">
        <f t="shared" si="69"/>
        <v/>
      </c>
      <c r="AP271" s="473" t="str">
        <f t="shared" si="70"/>
        <v/>
      </c>
      <c r="AQ271" s="473" t="str">
        <f t="shared" si="71"/>
        <v/>
      </c>
      <c r="AR271" s="473" t="str">
        <f t="shared" si="72"/>
        <v/>
      </c>
      <c r="AS271" s="473" t="str">
        <f t="shared" si="73"/>
        <v/>
      </c>
      <c r="AT271" s="473" t="str">
        <f t="shared" si="74"/>
        <v/>
      </c>
      <c r="AU271" s="473" t="str">
        <f t="shared" si="75"/>
        <v/>
      </c>
      <c r="AZ271" s="31" t="s">
        <v>19</v>
      </c>
      <c r="BA271" s="34" t="s">
        <v>6112</v>
      </c>
      <c r="BB271" s="499"/>
      <c r="BC271" s="271"/>
      <c r="BD271" s="279">
        <v>1</v>
      </c>
      <c r="BE271" s="271"/>
      <c r="BF271" s="271"/>
      <c r="BG271" s="271"/>
      <c r="BH271" s="271"/>
      <c r="BI271" s="271"/>
      <c r="BJ271" s="271"/>
      <c r="BK271" s="271"/>
      <c r="BL271" s="271"/>
    </row>
    <row r="272" spans="18:64" ht="21" customHeight="1" x14ac:dyDescent="0.25">
      <c r="R272" s="34" t="s">
        <v>6117</v>
      </c>
      <c r="S272" s="451"/>
      <c r="T272" s="28" t="s">
        <v>24</v>
      </c>
      <c r="V272" s="475">
        <v>6</v>
      </c>
      <c r="W272" s="475" t="str">
        <f>IF($AC$272="","",$W$252)</f>
        <v/>
      </c>
      <c r="X272" s="476" t="str">
        <f>IF($AC$272="","",$X$252)</f>
        <v/>
      </c>
      <c r="Y272" s="477" t="str">
        <f>IF($X$272="","",$Y$252)</f>
        <v/>
      </c>
      <c r="Z272" s="477" t="str">
        <f>IF($X$272="","",$Z$252)</f>
        <v/>
      </c>
      <c r="AA272" s="477" t="str">
        <f>IF($AC$272="","",ROW($A$272)-ROW($A$252))</f>
        <v/>
      </c>
      <c r="AB272" s="478"/>
      <c r="AC272" s="34"/>
      <c r="AD272" s="356"/>
      <c r="AE272" s="479"/>
      <c r="AF272" s="475"/>
      <c r="AG272" s="480" t="str">
        <f t="shared" si="64"/>
        <v/>
      </c>
      <c r="AH272" s="481" t="str">
        <f t="shared" si="65"/>
        <v/>
      </c>
      <c r="AI272" s="477" t="str">
        <f>IF($AC$272="","",IFERROR(INDEX($AZ$74:$AZ$119,MATCH($AH$272,$AY$74:$AY$119,0)),"AUTRE"))</f>
        <v/>
      </c>
      <c r="AJ272" s="482" t="str">
        <f>IF($AC$272="","",IFERROR(INDEX($BA$74:$BA$119,MATCH($AH$272,$AY$74:$AY$119,0)),1))</f>
        <v/>
      </c>
      <c r="AK272" s="482" t="str">
        <f t="shared" si="66"/>
        <v/>
      </c>
      <c r="AL272" s="477" t="str">
        <f>IF($AC$272="","",IFERROR(INDEX($BB$74:$BB$119,MATCH($AH$272,$AY$74:$AY$119,0)),$AH$272))</f>
        <v/>
      </c>
      <c r="AM272" s="483" t="str">
        <f t="shared" si="67"/>
        <v/>
      </c>
      <c r="AN272" s="484" t="str">
        <f t="shared" si="68"/>
        <v/>
      </c>
      <c r="AO272" s="473" t="str">
        <f t="shared" si="69"/>
        <v/>
      </c>
      <c r="AP272" s="473" t="str">
        <f t="shared" si="70"/>
        <v/>
      </c>
      <c r="AQ272" s="473" t="str">
        <f t="shared" si="71"/>
        <v/>
      </c>
      <c r="AR272" s="473" t="str">
        <f t="shared" si="72"/>
        <v/>
      </c>
      <c r="AS272" s="473" t="str">
        <f t="shared" si="73"/>
        <v/>
      </c>
      <c r="AT272" s="473" t="str">
        <f t="shared" si="74"/>
        <v/>
      </c>
      <c r="AU272" s="473" t="str">
        <f t="shared" si="75"/>
        <v/>
      </c>
      <c r="AZ272" s="31" t="s">
        <v>211</v>
      </c>
      <c r="BA272" s="25" t="s">
        <v>6116</v>
      </c>
      <c r="BB272" s="499"/>
      <c r="BC272" s="271"/>
      <c r="BD272" s="279">
        <v>1</v>
      </c>
      <c r="BE272" s="271"/>
      <c r="BF272" s="271"/>
      <c r="BG272" s="271"/>
      <c r="BH272" s="271"/>
      <c r="BI272" s="271"/>
      <c r="BJ272" s="271"/>
      <c r="BK272" s="271"/>
      <c r="BL272" s="271"/>
    </row>
    <row r="273" spans="18:64" ht="21" customHeight="1" x14ac:dyDescent="0.25">
      <c r="R273" s="34" t="s">
        <v>469</v>
      </c>
      <c r="S273" s="451"/>
      <c r="T273" s="29" t="s">
        <v>9</v>
      </c>
      <c r="V273" s="475">
        <v>6</v>
      </c>
      <c r="W273" s="475" t="str">
        <f>IF($AC$273="","",$W$252)</f>
        <v/>
      </c>
      <c r="X273" s="476" t="str">
        <f>IF($AC$273="","",$X$252)</f>
        <v/>
      </c>
      <c r="Y273" s="477" t="str">
        <f>IF($X$273="","",$Y$252)</f>
        <v/>
      </c>
      <c r="Z273" s="477" t="str">
        <f>IF($X$273="","",$Z$252)</f>
        <v/>
      </c>
      <c r="AA273" s="477" t="str">
        <f>IF($AC$273="","",ROW($A$273)-ROW($A$252))</f>
        <v/>
      </c>
      <c r="AB273" s="478"/>
      <c r="AC273" s="34"/>
      <c r="AD273" s="356"/>
      <c r="AE273" s="479"/>
      <c r="AF273" s="475"/>
      <c r="AG273" s="480" t="str">
        <f t="shared" si="64"/>
        <v/>
      </c>
      <c r="AH273" s="481" t="str">
        <f t="shared" si="65"/>
        <v/>
      </c>
      <c r="AI273" s="477" t="str">
        <f>IF($AC$273="","",IFERROR(INDEX($AZ$74:$AZ$119,MATCH($AH$273,$AY$74:$AY$119,0)),"AUTRE"))</f>
        <v/>
      </c>
      <c r="AJ273" s="482" t="str">
        <f>IF($AC$273="","",IFERROR(INDEX($BA$74:$BA$119,MATCH($AH$273,$AY$74:$AY$119,0)),1))</f>
        <v/>
      </c>
      <c r="AK273" s="482" t="str">
        <f t="shared" si="66"/>
        <v/>
      </c>
      <c r="AL273" s="477" t="str">
        <f>IF($AC$273="","",IFERROR(INDEX($BB$74:$BB$119,MATCH($AH$273,$AY$74:$AY$119,0)),$AH$273))</f>
        <v/>
      </c>
      <c r="AM273" s="483" t="str">
        <f t="shared" si="67"/>
        <v/>
      </c>
      <c r="AN273" s="484" t="str">
        <f t="shared" si="68"/>
        <v/>
      </c>
      <c r="AO273" s="473" t="str">
        <f t="shared" si="69"/>
        <v/>
      </c>
      <c r="AP273" s="473" t="str">
        <f t="shared" si="70"/>
        <v/>
      </c>
      <c r="AQ273" s="473" t="str">
        <f t="shared" si="71"/>
        <v/>
      </c>
      <c r="AR273" s="473" t="str">
        <f t="shared" si="72"/>
        <v/>
      </c>
      <c r="AS273" s="473" t="str">
        <f t="shared" si="73"/>
        <v/>
      </c>
      <c r="AT273" s="473" t="str">
        <f t="shared" si="74"/>
        <v/>
      </c>
      <c r="AU273" s="473" t="str">
        <f t="shared" si="75"/>
        <v/>
      </c>
      <c r="AZ273" s="31" t="s">
        <v>20</v>
      </c>
      <c r="BA273" s="34" t="s">
        <v>6117</v>
      </c>
      <c r="BB273" s="499"/>
      <c r="BC273" s="271"/>
      <c r="BD273" s="279">
        <v>1</v>
      </c>
      <c r="BE273" s="271"/>
      <c r="BF273" s="271"/>
      <c r="BG273" s="271"/>
      <c r="BH273" s="271"/>
      <c r="BI273" s="271"/>
      <c r="BJ273" s="271"/>
      <c r="BK273" s="271"/>
      <c r="BL273" s="271"/>
    </row>
    <row r="274" spans="18:64" ht="21" customHeight="1" x14ac:dyDescent="0.25">
      <c r="R274" s="34" t="s">
        <v>6118</v>
      </c>
      <c r="S274" s="451"/>
      <c r="T274" s="30" t="s">
        <v>10</v>
      </c>
      <c r="V274" s="475">
        <v>6</v>
      </c>
      <c r="W274" s="475" t="str">
        <f>IF($AC$274="","",$W$252)</f>
        <v/>
      </c>
      <c r="X274" s="476" t="str">
        <f>IF($AC$274="","",$X$252)</f>
        <v/>
      </c>
      <c r="Y274" s="477" t="str">
        <f>IF($X$274="","",$Y$252)</f>
        <v/>
      </c>
      <c r="Z274" s="477" t="str">
        <f>IF($X$274="","",$Z$252)</f>
        <v/>
      </c>
      <c r="AA274" s="477" t="str">
        <f>IF($AC$274="","",ROW($A$274)-ROW($A$252))</f>
        <v/>
      </c>
      <c r="AB274" s="478"/>
      <c r="AC274" s="34"/>
      <c r="AD274" s="356"/>
      <c r="AE274" s="479"/>
      <c r="AF274" s="475"/>
      <c r="AG274" s="480" t="str">
        <f t="shared" si="64"/>
        <v/>
      </c>
      <c r="AH274" s="481" t="str">
        <f t="shared" si="65"/>
        <v/>
      </c>
      <c r="AI274" s="477" t="str">
        <f>IF($AC$274="","",IFERROR(INDEX($AZ$74:$AZ$119,MATCH($AH$274,$AY$74:$AY$119,0)),"AUTRE"))</f>
        <v/>
      </c>
      <c r="AJ274" s="482" t="str">
        <f>IF($AC$274="","",IFERROR(INDEX($BA$74:$BA$119,MATCH($AH$274,$AY$74:$AY$119,0)),1))</f>
        <v/>
      </c>
      <c r="AK274" s="482" t="str">
        <f t="shared" si="66"/>
        <v/>
      </c>
      <c r="AL274" s="477" t="str">
        <f>IF($AC$274="","",IFERROR(INDEX($BB$74:$BB$119,MATCH($AH$274,$AY$74:$AY$119,0)),$AH$274))</f>
        <v/>
      </c>
      <c r="AM274" s="483" t="str">
        <f t="shared" si="67"/>
        <v/>
      </c>
      <c r="AN274" s="484" t="str">
        <f t="shared" si="68"/>
        <v/>
      </c>
      <c r="AO274" s="473" t="str">
        <f t="shared" si="69"/>
        <v/>
      </c>
      <c r="AP274" s="473" t="str">
        <f t="shared" si="70"/>
        <v/>
      </c>
      <c r="AQ274" s="473" t="str">
        <f t="shared" si="71"/>
        <v/>
      </c>
      <c r="AR274" s="473" t="str">
        <f t="shared" si="72"/>
        <v/>
      </c>
      <c r="AS274" s="473" t="str">
        <f t="shared" si="73"/>
        <v/>
      </c>
      <c r="AT274" s="473" t="str">
        <f t="shared" si="74"/>
        <v/>
      </c>
      <c r="AU274" s="473" t="str">
        <f t="shared" si="75"/>
        <v/>
      </c>
      <c r="AZ274" s="31" t="s">
        <v>304</v>
      </c>
      <c r="BA274" s="34" t="s">
        <v>469</v>
      </c>
      <c r="BB274" s="499"/>
      <c r="BC274" s="271"/>
      <c r="BD274" s="279">
        <v>1</v>
      </c>
      <c r="BE274" s="271"/>
      <c r="BF274" s="271"/>
      <c r="BG274" s="271"/>
      <c r="BH274" s="271"/>
      <c r="BI274" s="271"/>
      <c r="BJ274" s="271"/>
      <c r="BK274" s="271"/>
      <c r="BL274" s="271"/>
    </row>
    <row r="275" spans="18:64" ht="21" customHeight="1" x14ac:dyDescent="0.25">
      <c r="R275" s="34" t="s">
        <v>492</v>
      </c>
      <c r="S275" s="451"/>
      <c r="T275" s="30" t="s">
        <v>11</v>
      </c>
      <c r="V275" s="475">
        <v>6</v>
      </c>
      <c r="W275" s="475" t="str">
        <f>IF($AC$275="","",$W$252)</f>
        <v/>
      </c>
      <c r="X275" s="476" t="str">
        <f>IF($AC$275="","",$X$252)</f>
        <v/>
      </c>
      <c r="Y275" s="477" t="str">
        <f>IF($X$275="","",$Y$252)</f>
        <v/>
      </c>
      <c r="Z275" s="477" t="str">
        <f>IF($X$275="","",$Z$252)</f>
        <v/>
      </c>
      <c r="AA275" s="477" t="str">
        <f>IF($AC$275="","",ROW($A$275)-ROW($A$252))</f>
        <v/>
      </c>
      <c r="AB275" s="478"/>
      <c r="AC275" s="34"/>
      <c r="AD275" s="356"/>
      <c r="AE275" s="479"/>
      <c r="AF275" s="475"/>
      <c r="AG275" s="480" t="str">
        <f t="shared" si="64"/>
        <v/>
      </c>
      <c r="AH275" s="481" t="str">
        <f t="shared" si="65"/>
        <v/>
      </c>
      <c r="AI275" s="477" t="str">
        <f>IF($AC$275="","",IFERROR(INDEX($AZ$74:$AZ$119,MATCH($AH$275,$AY$74:$AY$119,0)),"AUTRE"))</f>
        <v/>
      </c>
      <c r="AJ275" s="482" t="str">
        <f>IF($AC$275="","",IFERROR(INDEX($BA$74:$BA$119,MATCH($AH$275,$AY$74:$AY$119,0)),1))</f>
        <v/>
      </c>
      <c r="AK275" s="482" t="str">
        <f t="shared" si="66"/>
        <v/>
      </c>
      <c r="AL275" s="477" t="str">
        <f>IF($AC$275="","",IFERROR(INDEX($BB$74:$BB$119,MATCH($AH$275,$AY$74:$AY$119,0)),$AH$275))</f>
        <v/>
      </c>
      <c r="AM275" s="483" t="str">
        <f t="shared" si="67"/>
        <v/>
      </c>
      <c r="AN275" s="484" t="str">
        <f t="shared" si="68"/>
        <v/>
      </c>
      <c r="AO275" s="473" t="str">
        <f t="shared" si="69"/>
        <v/>
      </c>
      <c r="AP275" s="473" t="str">
        <f t="shared" si="70"/>
        <v/>
      </c>
      <c r="AQ275" s="473" t="str">
        <f t="shared" si="71"/>
        <v/>
      </c>
      <c r="AR275" s="473" t="str">
        <f t="shared" si="72"/>
        <v/>
      </c>
      <c r="AS275" s="473" t="str">
        <f t="shared" si="73"/>
        <v/>
      </c>
      <c r="AT275" s="473" t="str">
        <f t="shared" si="74"/>
        <v/>
      </c>
      <c r="AU275" s="473" t="str">
        <f t="shared" si="75"/>
        <v/>
      </c>
      <c r="AZ275" s="31" t="s">
        <v>352</v>
      </c>
      <c r="BA275" s="34" t="s">
        <v>6118</v>
      </c>
      <c r="BB275" s="499"/>
      <c r="BC275" s="271"/>
      <c r="BD275" s="279">
        <v>1</v>
      </c>
      <c r="BE275" s="271"/>
      <c r="BF275" s="271"/>
      <c r="BG275" s="271"/>
      <c r="BH275" s="271"/>
      <c r="BI275" s="271"/>
      <c r="BJ275" s="271"/>
      <c r="BK275" s="271"/>
      <c r="BL275" s="271"/>
    </row>
    <row r="276" spans="18:64" ht="21" customHeight="1" x14ac:dyDescent="0.25">
      <c r="R276" s="34" t="s">
        <v>458</v>
      </c>
      <c r="S276" s="451"/>
      <c r="T276" s="30" t="s">
        <v>12</v>
      </c>
      <c r="V276" s="475">
        <v>6</v>
      </c>
      <c r="W276" s="475" t="str">
        <f>IF($AC$276="","",$W$252)</f>
        <v/>
      </c>
      <c r="X276" s="476" t="str">
        <f>IF($AC$276="","",$X$252)</f>
        <v/>
      </c>
      <c r="Y276" s="477" t="str">
        <f>IF($X$276="","",$Y$252)</f>
        <v/>
      </c>
      <c r="Z276" s="477" t="str">
        <f>IF($X$276="","",$Z$252)</f>
        <v/>
      </c>
      <c r="AA276" s="477" t="str">
        <f>IF($AC$276="","",ROW($A$276)-ROW($A$252))</f>
        <v/>
      </c>
      <c r="AB276" s="478"/>
      <c r="AC276" s="34"/>
      <c r="AD276" s="356"/>
      <c r="AE276" s="479"/>
      <c r="AF276" s="475"/>
      <c r="AG276" s="480" t="str">
        <f t="shared" si="64"/>
        <v/>
      </c>
      <c r="AH276" s="481" t="str">
        <f t="shared" si="65"/>
        <v/>
      </c>
      <c r="AI276" s="477" t="str">
        <f>IF($AC$276="","",IFERROR(INDEX($AZ$74:$AZ$119,MATCH($AH$276,$AY$74:$AY$119,0)),"AUTRE"))</f>
        <v/>
      </c>
      <c r="AJ276" s="482" t="str">
        <f>IF($AC$276="","",IFERROR(INDEX($BA$74:$BA$119,MATCH($AH$276,$AY$74:$AY$119,0)),1))</f>
        <v/>
      </c>
      <c r="AK276" s="482" t="str">
        <f t="shared" si="66"/>
        <v/>
      </c>
      <c r="AL276" s="477" t="str">
        <f>IF($AC$276="","",IFERROR(INDEX($BB$74:$BB$119,MATCH($AH$276,$AY$74:$AY$119,0)),$AH$276))</f>
        <v/>
      </c>
      <c r="AM276" s="483" t="str">
        <f t="shared" si="67"/>
        <v/>
      </c>
      <c r="AN276" s="484" t="str">
        <f t="shared" si="68"/>
        <v/>
      </c>
      <c r="AO276" s="473" t="str">
        <f t="shared" si="69"/>
        <v/>
      </c>
      <c r="AP276" s="473" t="str">
        <f t="shared" si="70"/>
        <v/>
      </c>
      <c r="AQ276" s="473" t="str">
        <f t="shared" si="71"/>
        <v/>
      </c>
      <c r="AR276" s="473" t="str">
        <f t="shared" si="72"/>
        <v/>
      </c>
      <c r="AS276" s="473" t="str">
        <f t="shared" si="73"/>
        <v/>
      </c>
      <c r="AT276" s="473" t="str">
        <f t="shared" si="74"/>
        <v/>
      </c>
      <c r="AU276" s="473" t="str">
        <f t="shared" si="75"/>
        <v/>
      </c>
      <c r="AZ276" s="31" t="s">
        <v>27</v>
      </c>
      <c r="BA276" s="34" t="s">
        <v>492</v>
      </c>
      <c r="BB276" s="499"/>
      <c r="BC276" s="271"/>
      <c r="BD276" s="279">
        <v>1</v>
      </c>
      <c r="BE276" s="271"/>
      <c r="BF276" s="271"/>
      <c r="BG276" s="271"/>
      <c r="BH276" s="271"/>
      <c r="BI276" s="271"/>
      <c r="BJ276" s="271"/>
      <c r="BK276" s="271"/>
      <c r="BL276" s="271"/>
    </row>
    <row r="277" spans="18:64" ht="21" customHeight="1" x14ac:dyDescent="0.25">
      <c r="R277" s="490"/>
      <c r="S277" s="451"/>
      <c r="T277" s="31" t="s">
        <v>16</v>
      </c>
      <c r="V277" s="475">
        <v>6</v>
      </c>
      <c r="W277" s="475" t="str">
        <f>IF($AC$277="","",$W$252)</f>
        <v/>
      </c>
      <c r="X277" s="476" t="str">
        <f>IF($AC$277="","",$X$252)</f>
        <v/>
      </c>
      <c r="Y277" s="477" t="str">
        <f>IF($X$277="","",$Y$252)</f>
        <v/>
      </c>
      <c r="Z277" s="477" t="str">
        <f>IF($X$277="","",$Z$252)</f>
        <v/>
      </c>
      <c r="AA277" s="477" t="str">
        <f>IF($AC$277="","",ROW($A$277)-ROW($A$252))</f>
        <v/>
      </c>
      <c r="AB277" s="478"/>
      <c r="AC277" s="34"/>
      <c r="AD277" s="356"/>
      <c r="AE277" s="479"/>
      <c r="AF277" s="475"/>
      <c r="AG277" s="480" t="str">
        <f t="shared" si="64"/>
        <v/>
      </c>
      <c r="AH277" s="481" t="str">
        <f t="shared" si="65"/>
        <v/>
      </c>
      <c r="AI277" s="477" t="str">
        <f>IF($AC$277="","",IFERROR(INDEX($AZ$74:$AZ$119,MATCH($AH$277,$AY$74:$AY$119,0)),"AUTRE"))</f>
        <v/>
      </c>
      <c r="AJ277" s="482" t="str">
        <f>IF($AC$277="","",IFERROR(INDEX($BA$74:$BA$119,MATCH($AH$277,$AY$74:$AY$119,0)),1))</f>
        <v/>
      </c>
      <c r="AK277" s="482" t="str">
        <f t="shared" si="66"/>
        <v/>
      </c>
      <c r="AL277" s="477" t="str">
        <f>IF($AC$277="","",IFERROR(INDEX($BB$74:$BB$119,MATCH($AH$277,$AY$74:$AY$119,0)),$AH$277))</f>
        <v/>
      </c>
      <c r="AM277" s="483" t="str">
        <f t="shared" si="67"/>
        <v/>
      </c>
      <c r="AN277" s="484" t="str">
        <f t="shared" si="68"/>
        <v/>
      </c>
      <c r="AO277" s="473" t="str">
        <f t="shared" si="69"/>
        <v/>
      </c>
      <c r="AP277" s="473" t="str">
        <f t="shared" si="70"/>
        <v/>
      </c>
      <c r="AQ277" s="473" t="str">
        <f t="shared" si="71"/>
        <v/>
      </c>
      <c r="AR277" s="473" t="str">
        <f t="shared" si="72"/>
        <v/>
      </c>
      <c r="AS277" s="473" t="str">
        <f t="shared" si="73"/>
        <v/>
      </c>
      <c r="AT277" s="473" t="str">
        <f t="shared" si="74"/>
        <v/>
      </c>
      <c r="AU277" s="473" t="str">
        <f t="shared" si="75"/>
        <v/>
      </c>
      <c r="AZ277" s="31" t="s">
        <v>28</v>
      </c>
      <c r="BA277" s="34" t="s">
        <v>458</v>
      </c>
      <c r="BB277" s="499"/>
      <c r="BC277" s="271"/>
      <c r="BD277" s="279">
        <v>1</v>
      </c>
      <c r="BE277" s="271"/>
      <c r="BF277" s="271"/>
      <c r="BG277" s="271"/>
      <c r="BH277" s="271"/>
      <c r="BI277" s="271"/>
      <c r="BJ277" s="271"/>
      <c r="BK277" s="271"/>
      <c r="BL277" s="271"/>
    </row>
    <row r="278" spans="18:64" ht="21" customHeight="1" x14ac:dyDescent="0.25">
      <c r="R278" s="25" t="s">
        <v>6119</v>
      </c>
      <c r="S278" s="451"/>
      <c r="T278" s="31" t="s">
        <v>17</v>
      </c>
      <c r="V278" s="475">
        <v>6</v>
      </c>
      <c r="W278" s="475" t="str">
        <f>IF($AC$278="","",$W$252)</f>
        <v/>
      </c>
      <c r="X278" s="476" t="str">
        <f>IF($AC$278="","",$X$252)</f>
        <v/>
      </c>
      <c r="Y278" s="477" t="str">
        <f>IF($X$278="","",$Y$252)</f>
        <v/>
      </c>
      <c r="Z278" s="477" t="str">
        <f>IF($X$278="","",$Z$252)</f>
        <v/>
      </c>
      <c r="AA278" s="477" t="str">
        <f>IF($AC$278="","",ROW($A$278)-ROW($A$252))</f>
        <v/>
      </c>
      <c r="AB278" s="478"/>
      <c r="AC278" s="34"/>
      <c r="AD278" s="356"/>
      <c r="AE278" s="479"/>
      <c r="AF278" s="475"/>
      <c r="AG278" s="480" t="str">
        <f t="shared" si="64"/>
        <v/>
      </c>
      <c r="AH278" s="481" t="str">
        <f t="shared" si="65"/>
        <v/>
      </c>
      <c r="AI278" s="477" t="str">
        <f>IF($AC$278="","",IFERROR(INDEX($AZ$74:$AZ$119,MATCH($AH$278,$AY$74:$AY$119,0)),"AUTRE"))</f>
        <v/>
      </c>
      <c r="AJ278" s="482" t="str">
        <f>IF($AC$278="","",IFERROR(INDEX($BA$74:$BA$119,MATCH($AH$278,$AY$74:$AY$119,0)),1))</f>
        <v/>
      </c>
      <c r="AK278" s="482" t="str">
        <f t="shared" si="66"/>
        <v/>
      </c>
      <c r="AL278" s="477" t="str">
        <f>IF($AC$278="","",IFERROR(INDEX($BB$74:$BB$119,MATCH($AH$278,$AY$74:$AY$119,0)),$AH$278))</f>
        <v/>
      </c>
      <c r="AM278" s="483" t="str">
        <f t="shared" si="67"/>
        <v/>
      </c>
      <c r="AN278" s="484" t="str">
        <f t="shared" si="68"/>
        <v/>
      </c>
      <c r="AO278" s="473" t="str">
        <f t="shared" si="69"/>
        <v/>
      </c>
      <c r="AP278" s="473" t="str">
        <f t="shared" si="70"/>
        <v/>
      </c>
      <c r="AQ278" s="473" t="str">
        <f t="shared" si="71"/>
        <v/>
      </c>
      <c r="AR278" s="473" t="str">
        <f t="shared" si="72"/>
        <v/>
      </c>
      <c r="AS278" s="473" t="str">
        <f t="shared" si="73"/>
        <v/>
      </c>
      <c r="AT278" s="473" t="str">
        <f t="shared" si="74"/>
        <v/>
      </c>
      <c r="AU278" s="473" t="str">
        <f t="shared" si="75"/>
        <v/>
      </c>
      <c r="AZ278" s="31" t="s">
        <v>29</v>
      </c>
      <c r="BA278" s="490"/>
      <c r="BB278" s="499"/>
      <c r="BC278" s="271"/>
      <c r="BD278" s="279">
        <v>1</v>
      </c>
      <c r="BE278" s="271"/>
      <c r="BF278" s="271"/>
      <c r="BG278" s="271"/>
      <c r="BH278" s="271"/>
      <c r="BI278" s="271"/>
      <c r="BJ278" s="271"/>
      <c r="BK278" s="271"/>
      <c r="BL278" s="271"/>
    </row>
    <row r="279" spans="18:64" ht="21" customHeight="1" x14ac:dyDescent="0.25">
      <c r="R279" s="34" t="s">
        <v>6120</v>
      </c>
      <c r="S279" s="451"/>
      <c r="T279" s="31" t="s">
        <v>18</v>
      </c>
      <c r="V279" s="475">
        <v>6</v>
      </c>
      <c r="W279" s="475" t="str">
        <f>IF($AC$279="","",$W$252)</f>
        <v/>
      </c>
      <c r="X279" s="476" t="str">
        <f>IF($AC$279="","",$X$252)</f>
        <v/>
      </c>
      <c r="Y279" s="477" t="str">
        <f>IF($X$279="","",$Y$252)</f>
        <v/>
      </c>
      <c r="Z279" s="477" t="str">
        <f>IF($X$279="","",$Z$252)</f>
        <v/>
      </c>
      <c r="AA279" s="477" t="str">
        <f>IF($AC$279="","",ROW($A$279)-ROW($A$252))</f>
        <v/>
      </c>
      <c r="AB279" s="478"/>
      <c r="AC279" s="34"/>
      <c r="AD279" s="356"/>
      <c r="AE279" s="479"/>
      <c r="AF279" s="475"/>
      <c r="AG279" s="480" t="str">
        <f t="shared" si="64"/>
        <v/>
      </c>
      <c r="AH279" s="481" t="str">
        <f t="shared" si="65"/>
        <v/>
      </c>
      <c r="AI279" s="477" t="str">
        <f>IF($AC$279="","",IFERROR(INDEX($AZ$74:$AZ$119,MATCH($AH$279,$AY$74:$AY$119,0)),"AUTRE"))</f>
        <v/>
      </c>
      <c r="AJ279" s="482" t="str">
        <f>IF($AC$279="","",IFERROR(INDEX($BA$74:$BA$119,MATCH($AH$279,$AY$74:$AY$119,0)),1))</f>
        <v/>
      </c>
      <c r="AK279" s="482" t="str">
        <f t="shared" si="66"/>
        <v/>
      </c>
      <c r="AL279" s="477" t="str">
        <f>IF($AC$279="","",IFERROR(INDEX($BB$74:$BB$119,MATCH($AH$279,$AY$74:$AY$119,0)),$AH$279))</f>
        <v/>
      </c>
      <c r="AM279" s="483" t="str">
        <f t="shared" si="67"/>
        <v/>
      </c>
      <c r="AN279" s="484" t="str">
        <f t="shared" si="68"/>
        <v/>
      </c>
      <c r="AO279" s="473" t="str">
        <f t="shared" si="69"/>
        <v/>
      </c>
      <c r="AP279" s="473" t="str">
        <f t="shared" si="70"/>
        <v/>
      </c>
      <c r="AQ279" s="473" t="str">
        <f t="shared" si="71"/>
        <v/>
      </c>
      <c r="AR279" s="473" t="str">
        <f t="shared" si="72"/>
        <v/>
      </c>
      <c r="AS279" s="473" t="str">
        <f t="shared" si="73"/>
        <v/>
      </c>
      <c r="AT279" s="473" t="str">
        <f t="shared" si="74"/>
        <v/>
      </c>
      <c r="AU279" s="473" t="str">
        <f t="shared" si="75"/>
        <v/>
      </c>
      <c r="AZ279" s="31" t="s">
        <v>30</v>
      </c>
      <c r="BA279" s="25" t="s">
        <v>6119</v>
      </c>
      <c r="BB279" s="499"/>
      <c r="BC279" s="271"/>
      <c r="BD279" s="279">
        <v>1</v>
      </c>
      <c r="BE279" s="271"/>
      <c r="BF279" s="271"/>
      <c r="BG279" s="271"/>
      <c r="BH279" s="271"/>
      <c r="BI279" s="271"/>
      <c r="BJ279" s="271"/>
      <c r="BK279" s="271"/>
      <c r="BL279" s="271"/>
    </row>
    <row r="280" spans="18:64" ht="21" customHeight="1" x14ac:dyDescent="0.25">
      <c r="R280" s="34" t="s">
        <v>6121</v>
      </c>
      <c r="S280" s="451"/>
      <c r="T280" s="31" t="s">
        <v>19</v>
      </c>
      <c r="V280" s="475">
        <v>6</v>
      </c>
      <c r="W280" s="475" t="str">
        <f>IF($AC$280="","",$W$252)</f>
        <v/>
      </c>
      <c r="X280" s="476" t="str">
        <f>IF($AC$280="","",$X$252)</f>
        <v/>
      </c>
      <c r="Y280" s="477" t="str">
        <f>IF($X$280="","",$Y$252)</f>
        <v/>
      </c>
      <c r="Z280" s="477" t="str">
        <f>IF($X$280="","",$Z$252)</f>
        <v/>
      </c>
      <c r="AA280" s="477" t="str">
        <f>IF($AC$280="","",ROW($A$280)-ROW($A$252))</f>
        <v/>
      </c>
      <c r="AB280" s="478"/>
      <c r="AC280" s="34"/>
      <c r="AD280" s="356"/>
      <c r="AE280" s="479"/>
      <c r="AF280" s="475"/>
      <c r="AG280" s="480" t="str">
        <f t="shared" si="64"/>
        <v/>
      </c>
      <c r="AH280" s="481" t="str">
        <f t="shared" si="65"/>
        <v/>
      </c>
      <c r="AI280" s="477" t="str">
        <f>IF($AC$280="","",IFERROR(INDEX($AZ$74:$AZ$119,MATCH($AH$280,$AY$74:$AY$119,0)),"AUTRE"))</f>
        <v/>
      </c>
      <c r="AJ280" s="482" t="str">
        <f>IF($AC$280="","",IFERROR(INDEX($BA$74:$BA$119,MATCH($AH$280,$AY$74:$AY$119,0)),1))</f>
        <v/>
      </c>
      <c r="AK280" s="482" t="str">
        <f t="shared" si="66"/>
        <v/>
      </c>
      <c r="AL280" s="477" t="str">
        <f>IF($AC$280="","",IFERROR(INDEX($BB$74:$BB$119,MATCH($AH$280,$AY$74:$AY$119,0)),$AH$280))</f>
        <v/>
      </c>
      <c r="AM280" s="483" t="str">
        <f t="shared" si="67"/>
        <v/>
      </c>
      <c r="AN280" s="484" t="str">
        <f t="shared" si="68"/>
        <v/>
      </c>
      <c r="AO280" s="473" t="str">
        <f t="shared" si="69"/>
        <v/>
      </c>
      <c r="AP280" s="473" t="str">
        <f t="shared" si="70"/>
        <v/>
      </c>
      <c r="AQ280" s="473" t="str">
        <f t="shared" si="71"/>
        <v/>
      </c>
      <c r="AR280" s="473" t="str">
        <f t="shared" si="72"/>
        <v/>
      </c>
      <c r="AS280" s="473" t="str">
        <f t="shared" si="73"/>
        <v/>
      </c>
      <c r="AT280" s="473" t="str">
        <f t="shared" si="74"/>
        <v/>
      </c>
      <c r="AU280" s="473" t="str">
        <f t="shared" si="75"/>
        <v/>
      </c>
      <c r="AY280" s="271"/>
      <c r="AZ280" s="32" t="s">
        <v>33</v>
      </c>
      <c r="BA280" s="34" t="s">
        <v>6120</v>
      </c>
      <c r="BB280" s="499"/>
      <c r="BC280" s="271"/>
      <c r="BD280" s="279">
        <v>1</v>
      </c>
      <c r="BE280" s="271"/>
      <c r="BF280" s="271"/>
      <c r="BG280" s="271"/>
      <c r="BH280" s="271"/>
      <c r="BI280" s="271"/>
      <c r="BJ280" s="271"/>
      <c r="BK280" s="271"/>
      <c r="BL280" s="271"/>
    </row>
    <row r="281" spans="18:64" ht="21" customHeight="1" x14ac:dyDescent="0.25">
      <c r="R281" s="34" t="s">
        <v>6122</v>
      </c>
      <c r="S281" s="451"/>
      <c r="T281" s="31" t="s">
        <v>211</v>
      </c>
      <c r="V281" s="475">
        <v>6</v>
      </c>
      <c r="W281" s="475" t="str">
        <f>IF($AC$281="","",$W$252)</f>
        <v/>
      </c>
      <c r="X281" s="476" t="str">
        <f>IF($AC$281="","",$X$252)</f>
        <v/>
      </c>
      <c r="Y281" s="477" t="str">
        <f>IF($X$281="","",$Y$252)</f>
        <v/>
      </c>
      <c r="Z281" s="477" t="str">
        <f>IF($X$281="","",$Z$252)</f>
        <v/>
      </c>
      <c r="AA281" s="477" t="str">
        <f>IF($AC$281="","",ROW($A$281)-ROW($A$252))</f>
        <v/>
      </c>
      <c r="AB281" s="478"/>
      <c r="AC281" s="34"/>
      <c r="AD281" s="356"/>
      <c r="AE281" s="479"/>
      <c r="AF281" s="475"/>
      <c r="AG281" s="480" t="str">
        <f t="shared" si="64"/>
        <v/>
      </c>
      <c r="AH281" s="481" t="str">
        <f t="shared" si="65"/>
        <v/>
      </c>
      <c r="AI281" s="477" t="str">
        <f>IF($AC$281="","",IFERROR(INDEX($AZ$74:$AZ$119,MATCH($AH$281,$AY$74:$AY$119,0)),"AUTRE"))</f>
        <v/>
      </c>
      <c r="AJ281" s="482" t="str">
        <f>IF($AC$281="","",IFERROR(INDEX($BA$74:$BA$119,MATCH($AH$281,$AY$74:$AY$119,0)),1))</f>
        <v/>
      </c>
      <c r="AK281" s="482" t="str">
        <f t="shared" si="66"/>
        <v/>
      </c>
      <c r="AL281" s="477" t="str">
        <f>IF($AC$281="","",IFERROR(INDEX($BB$74:$BB$119,MATCH($AH$281,$AY$74:$AY$119,0)),$AH$281))</f>
        <v/>
      </c>
      <c r="AM281" s="483" t="str">
        <f t="shared" si="67"/>
        <v/>
      </c>
      <c r="AN281" s="484" t="str">
        <f t="shared" si="68"/>
        <v/>
      </c>
      <c r="AO281" s="473" t="str">
        <f t="shared" si="69"/>
        <v/>
      </c>
      <c r="AP281" s="473" t="str">
        <f t="shared" si="70"/>
        <v/>
      </c>
      <c r="AQ281" s="473" t="str">
        <f t="shared" si="71"/>
        <v/>
      </c>
      <c r="AR281" s="473" t="str">
        <f t="shared" si="72"/>
        <v/>
      </c>
      <c r="AS281" s="473" t="str">
        <f t="shared" si="73"/>
        <v/>
      </c>
      <c r="AT281" s="473" t="str">
        <f t="shared" si="74"/>
        <v/>
      </c>
      <c r="AU281" s="473" t="str">
        <f t="shared" si="75"/>
        <v/>
      </c>
      <c r="AY281" s="497" t="s">
        <v>8145</v>
      </c>
      <c r="AZ281" s="32" t="s">
        <v>8125</v>
      </c>
      <c r="BA281" s="34" t="s">
        <v>6121</v>
      </c>
      <c r="BB281" s="499"/>
      <c r="BC281" s="271"/>
      <c r="BD281" s="279">
        <v>1</v>
      </c>
      <c r="BE281" s="271"/>
      <c r="BF281" s="271"/>
      <c r="BG281" s="271"/>
      <c r="BH281" s="271"/>
      <c r="BI281" s="271"/>
      <c r="BJ281" s="271"/>
      <c r="BK281" s="271"/>
      <c r="BL281" s="271"/>
    </row>
    <row r="282" spans="18:64" ht="21" customHeight="1" x14ac:dyDescent="0.25">
      <c r="R282" s="34" t="s">
        <v>6123</v>
      </c>
      <c r="S282" s="451"/>
      <c r="T282" s="31" t="s">
        <v>20</v>
      </c>
      <c r="V282" s="475">
        <v>6</v>
      </c>
      <c r="W282" s="475" t="str">
        <f>IF($AC$282="","",$W$252)</f>
        <v/>
      </c>
      <c r="X282" s="476" t="str">
        <f>IF($AC$282="","",$X$252)</f>
        <v/>
      </c>
      <c r="Y282" s="477" t="str">
        <f>IF($X$282="","",$Y$252)</f>
        <v/>
      </c>
      <c r="Z282" s="477" t="str">
        <f>IF($X$282="","",$Z$252)</f>
        <v/>
      </c>
      <c r="AA282" s="477" t="str">
        <f>IF($AC$282="","",ROW($A$282)-ROW($A$252))</f>
        <v/>
      </c>
      <c r="AB282" s="478"/>
      <c r="AC282" s="34"/>
      <c r="AD282" s="356"/>
      <c r="AE282" s="479"/>
      <c r="AF282" s="475"/>
      <c r="AG282" s="480" t="str">
        <f t="shared" si="64"/>
        <v/>
      </c>
      <c r="AH282" s="481" t="str">
        <f t="shared" si="65"/>
        <v/>
      </c>
      <c r="AI282" s="477" t="str">
        <f>IF($AC$282="","",IFERROR(INDEX($AZ$74:$AZ$119,MATCH($AH$282,$AY$74:$AY$119,0)),"AUTRE"))</f>
        <v/>
      </c>
      <c r="AJ282" s="482" t="str">
        <f>IF($AC$282="","",IFERROR(INDEX($BA$74:$BA$119,MATCH($AH$282,$AY$74:$AY$119,0)),1))</f>
        <v/>
      </c>
      <c r="AK282" s="482" t="str">
        <f t="shared" si="66"/>
        <v/>
      </c>
      <c r="AL282" s="477" t="str">
        <f>IF($AC$282="","",IFERROR(INDEX($BB$74:$BB$119,MATCH($AH$282,$AY$74:$AY$119,0)),$AH$282))</f>
        <v/>
      </c>
      <c r="AM282" s="483" t="str">
        <f t="shared" si="67"/>
        <v/>
      </c>
      <c r="AN282" s="484" t="str">
        <f t="shared" si="68"/>
        <v/>
      </c>
      <c r="AO282" s="473" t="str">
        <f t="shared" si="69"/>
        <v/>
      </c>
      <c r="AP282" s="473" t="str">
        <f t="shared" si="70"/>
        <v/>
      </c>
      <c r="AQ282" s="473" t="str">
        <f t="shared" si="71"/>
        <v/>
      </c>
      <c r="AR282" s="473" t="str">
        <f t="shared" si="72"/>
        <v/>
      </c>
      <c r="AS282" s="473" t="str">
        <f t="shared" si="73"/>
        <v/>
      </c>
      <c r="AT282" s="473" t="str">
        <f t="shared" si="74"/>
        <v/>
      </c>
      <c r="AU282" s="473" t="str">
        <f t="shared" si="75"/>
        <v/>
      </c>
      <c r="AY282" s="497" t="s">
        <v>462</v>
      </c>
      <c r="AZ282" s="32" t="s">
        <v>8127</v>
      </c>
      <c r="BA282" s="34" t="s">
        <v>6122</v>
      </c>
      <c r="BB282" s="499"/>
      <c r="BC282" s="271"/>
      <c r="BD282" s="279">
        <v>1</v>
      </c>
      <c r="BE282" s="271"/>
      <c r="BF282" s="271"/>
      <c r="BG282" s="271"/>
      <c r="BH282" s="271"/>
      <c r="BI282" s="271"/>
      <c r="BJ282" s="271"/>
      <c r="BK282" s="271"/>
      <c r="BL282" s="271"/>
    </row>
    <row r="283" spans="18:64" ht="21" customHeight="1" x14ac:dyDescent="0.25">
      <c r="R283" s="34" t="s">
        <v>6124</v>
      </c>
      <c r="S283" s="451"/>
      <c r="T283" s="31" t="s">
        <v>304</v>
      </c>
      <c r="V283" s="475">
        <v>6</v>
      </c>
      <c r="W283" s="475" t="str">
        <f>IF($AC$283="","",$W$252)</f>
        <v/>
      </c>
      <c r="X283" s="476" t="str">
        <f>IF($AC$283="","",$X$252)</f>
        <v/>
      </c>
      <c r="Y283" s="477" t="str">
        <f>IF($X$283="","",$Y$252)</f>
        <v/>
      </c>
      <c r="Z283" s="477" t="str">
        <f>IF($X$283="","",$Z$252)</f>
        <v/>
      </c>
      <c r="AA283" s="477" t="str">
        <f>IF($AC$283="","",ROW($A$283)-ROW($A$252))</f>
        <v/>
      </c>
      <c r="AB283" s="478"/>
      <c r="AC283" s="34"/>
      <c r="AD283" s="356"/>
      <c r="AE283" s="479"/>
      <c r="AF283" s="475"/>
      <c r="AG283" s="480" t="str">
        <f t="shared" si="64"/>
        <v/>
      </c>
      <c r="AH283" s="481" t="str">
        <f t="shared" si="65"/>
        <v/>
      </c>
      <c r="AI283" s="477" t="str">
        <f>IF($AC$283="","",IFERROR(INDEX($AZ$74:$AZ$119,MATCH($AH$283,$AY$74:$AY$119,0)),"AUTRE"))</f>
        <v/>
      </c>
      <c r="AJ283" s="482" t="str">
        <f>IF($AC$283="","",IFERROR(INDEX($BA$74:$BA$119,MATCH($AH$283,$AY$74:$AY$119,0)),1))</f>
        <v/>
      </c>
      <c r="AK283" s="482" t="str">
        <f t="shared" si="66"/>
        <v/>
      </c>
      <c r="AL283" s="477" t="str">
        <f>IF($AC$283="","",IFERROR(INDEX($BB$74:$BB$119,MATCH($AH$283,$AY$74:$AY$119,0)),$AH$283))</f>
        <v/>
      </c>
      <c r="AM283" s="483" t="str">
        <f t="shared" si="67"/>
        <v/>
      </c>
      <c r="AN283" s="484" t="str">
        <f t="shared" si="68"/>
        <v/>
      </c>
      <c r="AO283" s="473" t="str">
        <f t="shared" si="69"/>
        <v/>
      </c>
      <c r="AP283" s="473" t="str">
        <f t="shared" si="70"/>
        <v/>
      </c>
      <c r="AQ283" s="473" t="str">
        <f t="shared" si="71"/>
        <v/>
      </c>
      <c r="AR283" s="473" t="str">
        <f t="shared" si="72"/>
        <v/>
      </c>
      <c r="AS283" s="473" t="str">
        <f t="shared" si="73"/>
        <v/>
      </c>
      <c r="AT283" s="473" t="str">
        <f t="shared" si="74"/>
        <v/>
      </c>
      <c r="AU283" s="473" t="str">
        <f t="shared" si="75"/>
        <v/>
      </c>
      <c r="AY283" s="497" t="s">
        <v>463</v>
      </c>
      <c r="AZ283" s="32" t="s">
        <v>320</v>
      </c>
      <c r="BA283" s="34" t="s">
        <v>6123</v>
      </c>
      <c r="BB283" s="499"/>
      <c r="BC283" s="271"/>
      <c r="BD283" s="279">
        <v>1</v>
      </c>
      <c r="BE283" s="271"/>
      <c r="BF283" s="271"/>
      <c r="BG283" s="271"/>
      <c r="BH283" s="271"/>
      <c r="BI283" s="271"/>
      <c r="BJ283" s="271"/>
      <c r="BK283" s="271"/>
      <c r="BL283" s="271"/>
    </row>
    <row r="284" spans="18:64" ht="21" customHeight="1" x14ac:dyDescent="0.25">
      <c r="R284" s="34" t="s">
        <v>6125</v>
      </c>
      <c r="S284" s="451"/>
      <c r="T284" s="31" t="s">
        <v>352</v>
      </c>
      <c r="V284" s="475">
        <v>6</v>
      </c>
      <c r="W284" s="475" t="str">
        <f>IF($AC$284="","",$W$252)</f>
        <v/>
      </c>
      <c r="X284" s="476" t="str">
        <f>IF($AC$284="","",$X$252)</f>
        <v/>
      </c>
      <c r="Y284" s="477" t="str">
        <f>IF($X$284="","",$Y$252)</f>
        <v/>
      </c>
      <c r="Z284" s="477" t="str">
        <f>IF($X$284="","",$Z$252)</f>
        <v/>
      </c>
      <c r="AA284" s="477" t="str">
        <f>IF($AC$284="","",ROW($A$284)-ROW($A$252))</f>
        <v/>
      </c>
      <c r="AB284" s="478"/>
      <c r="AC284" s="34"/>
      <c r="AD284" s="356"/>
      <c r="AE284" s="479"/>
      <c r="AF284" s="475"/>
      <c r="AG284" s="480" t="str">
        <f t="shared" si="64"/>
        <v/>
      </c>
      <c r="AH284" s="481" t="str">
        <f t="shared" si="65"/>
        <v/>
      </c>
      <c r="AI284" s="477" t="str">
        <f>IF($AC$284="","",IFERROR(INDEX($AZ$74:$AZ$119,MATCH($AH$284,$AY$74:$AY$119,0)),"AUTRE"))</f>
        <v/>
      </c>
      <c r="AJ284" s="482" t="str">
        <f>IF($AC$284="","",IFERROR(INDEX($BA$74:$BA$119,MATCH($AH$284,$AY$74:$AY$119,0)),1))</f>
        <v/>
      </c>
      <c r="AK284" s="482" t="str">
        <f t="shared" si="66"/>
        <v/>
      </c>
      <c r="AL284" s="477" t="str">
        <f>IF($AC$284="","",IFERROR(INDEX($BB$74:$BB$119,MATCH($AH$284,$AY$74:$AY$119,0)),$AH$284))</f>
        <v/>
      </c>
      <c r="AM284" s="483" t="str">
        <f t="shared" si="67"/>
        <v/>
      </c>
      <c r="AN284" s="484" t="str">
        <f t="shared" si="68"/>
        <v/>
      </c>
      <c r="AO284" s="473" t="str">
        <f t="shared" si="69"/>
        <v/>
      </c>
      <c r="AP284" s="473" t="str">
        <f t="shared" si="70"/>
        <v/>
      </c>
      <c r="AQ284" s="473" t="str">
        <f t="shared" si="71"/>
        <v/>
      </c>
      <c r="AR284" s="473" t="str">
        <f t="shared" si="72"/>
        <v/>
      </c>
      <c r="AS284" s="473" t="str">
        <f t="shared" si="73"/>
        <v/>
      </c>
      <c r="AT284" s="473" t="str">
        <f t="shared" si="74"/>
        <v/>
      </c>
      <c r="AU284" s="473" t="str">
        <f t="shared" si="75"/>
        <v/>
      </c>
      <c r="AY284" s="497" t="s">
        <v>8147</v>
      </c>
      <c r="AZ284" s="32" t="s">
        <v>318</v>
      </c>
      <c r="BA284" s="34" t="s">
        <v>6124</v>
      </c>
      <c r="BB284" s="499"/>
      <c r="BC284" s="271"/>
      <c r="BD284" s="279">
        <v>1</v>
      </c>
      <c r="BE284" s="271"/>
      <c r="BF284" s="271"/>
      <c r="BG284" s="271"/>
      <c r="BH284" s="271"/>
      <c r="BI284" s="271"/>
      <c r="BJ284" s="271"/>
      <c r="BK284" s="271"/>
      <c r="BL284" s="271"/>
    </row>
    <row r="285" spans="18:64" ht="21" customHeight="1" x14ac:dyDescent="0.25">
      <c r="R285" s="34" t="s">
        <v>6126</v>
      </c>
      <c r="S285" s="451"/>
      <c r="T285" s="31" t="s">
        <v>25</v>
      </c>
      <c r="V285" s="475">
        <v>6</v>
      </c>
      <c r="W285" s="475" t="str">
        <f>IF($AC$285="","",$W$252)</f>
        <v/>
      </c>
      <c r="X285" s="476" t="str">
        <f>IF($AC$285="","",$X$252)</f>
        <v/>
      </c>
      <c r="Y285" s="477" t="str">
        <f>IF($X$285="","",$Y$252)</f>
        <v/>
      </c>
      <c r="Z285" s="477" t="str">
        <f>IF($X$285="","",$Z$252)</f>
        <v/>
      </c>
      <c r="AA285" s="477" t="str">
        <f>IF($AC$285="","",ROW($A$285)-ROW($A$252))</f>
        <v/>
      </c>
      <c r="AB285" s="478"/>
      <c r="AC285" s="34"/>
      <c r="AD285" s="356"/>
      <c r="AE285" s="479"/>
      <c r="AF285" s="475"/>
      <c r="AG285" s="480" t="str">
        <f t="shared" si="64"/>
        <v/>
      </c>
      <c r="AH285" s="481" t="str">
        <f t="shared" si="65"/>
        <v/>
      </c>
      <c r="AI285" s="477" t="str">
        <f>IF($AC$285="","",IFERROR(INDEX($AZ$74:$AZ$119,MATCH($AH$285,$AY$74:$AY$119,0)),"AUTRE"))</f>
        <v/>
      </c>
      <c r="AJ285" s="482" t="str">
        <f>IF($AC$285="","",IFERROR(INDEX($BA$74:$BA$119,MATCH($AH$285,$AY$74:$AY$119,0)),1))</f>
        <v/>
      </c>
      <c r="AK285" s="482" t="str">
        <f t="shared" si="66"/>
        <v/>
      </c>
      <c r="AL285" s="477" t="str">
        <f>IF($AC$285="","",IFERROR(INDEX($BB$74:$BB$119,MATCH($AH$285,$AY$74:$AY$119,0)),$AH$285))</f>
        <v/>
      </c>
      <c r="AM285" s="483" t="str">
        <f t="shared" si="67"/>
        <v/>
      </c>
      <c r="AN285" s="484" t="str">
        <f t="shared" si="68"/>
        <v/>
      </c>
      <c r="AO285" s="473" t="str">
        <f t="shared" si="69"/>
        <v/>
      </c>
      <c r="AP285" s="473" t="str">
        <f t="shared" si="70"/>
        <v/>
      </c>
      <c r="AQ285" s="473" t="str">
        <f t="shared" si="71"/>
        <v/>
      </c>
      <c r="AR285" s="473" t="str">
        <f t="shared" si="72"/>
        <v/>
      </c>
      <c r="AS285" s="473" t="str">
        <f t="shared" si="73"/>
        <v/>
      </c>
      <c r="AT285" s="473" t="str">
        <f t="shared" si="74"/>
        <v/>
      </c>
      <c r="AU285" s="473" t="str">
        <f t="shared" si="75"/>
        <v/>
      </c>
      <c r="AY285" s="497" t="s">
        <v>465</v>
      </c>
      <c r="AZ285" s="32" t="s">
        <v>316</v>
      </c>
      <c r="BA285" s="34" t="s">
        <v>6125</v>
      </c>
      <c r="BB285" s="499"/>
      <c r="BC285" s="271"/>
      <c r="BD285" s="279">
        <v>1</v>
      </c>
      <c r="BE285" s="271"/>
      <c r="BF285" s="271"/>
      <c r="BG285" s="271"/>
      <c r="BH285" s="271"/>
      <c r="BI285" s="271"/>
      <c r="BJ285" s="271"/>
      <c r="BK285" s="271"/>
      <c r="BL285" s="271"/>
    </row>
    <row r="286" spans="18:64" ht="21" customHeight="1" x14ac:dyDescent="0.25">
      <c r="R286" s="34" t="s">
        <v>6127</v>
      </c>
      <c r="S286" s="451"/>
      <c r="T286" s="31" t="s">
        <v>26</v>
      </c>
      <c r="V286" s="475">
        <v>6</v>
      </c>
      <c r="W286" s="475" t="str">
        <f>IF($AC$286="","",$W$252)</f>
        <v/>
      </c>
      <c r="X286" s="476" t="str">
        <f>IF($AC$286="","",$X$252)</f>
        <v/>
      </c>
      <c r="Y286" s="477" t="str">
        <f>IF($X$286="","",$Y$252)</f>
        <v/>
      </c>
      <c r="Z286" s="477" t="str">
        <f>IF($X$286="","",$Z$252)</f>
        <v/>
      </c>
      <c r="AA286" s="477" t="str">
        <f>IF($AC$286="","",ROW($A$286)-ROW($A$252))</f>
        <v/>
      </c>
      <c r="AB286" s="478"/>
      <c r="AC286" s="34"/>
      <c r="AD286" s="356"/>
      <c r="AE286" s="479"/>
      <c r="AF286" s="475"/>
      <c r="AG286" s="491" t="str">
        <f t="shared" si="64"/>
        <v/>
      </c>
      <c r="AH286" s="481" t="str">
        <f t="shared" si="65"/>
        <v/>
      </c>
      <c r="AI286" s="477" t="str">
        <f>IF($AC$286="","",IFERROR(INDEX($AZ$74:$AZ$119,MATCH($AH$286,$AY$74:$AY$119,0)),"AUTRE"))</f>
        <v/>
      </c>
      <c r="AJ286" s="482" t="str">
        <f>IF($AC$286="","",IFERROR(INDEX($BA$74:$BA$119,MATCH($AH$286,$AY$74:$AY$119,0)),1))</f>
        <v/>
      </c>
      <c r="AK286" s="482" t="str">
        <f t="shared" si="66"/>
        <v/>
      </c>
      <c r="AL286" s="477" t="str">
        <f>IF($AC$286="","",IFERROR(INDEX($BB$74:$BB$119,MATCH($AH$286,$AY$74:$AY$119,0)),$AH$286))</f>
        <v/>
      </c>
      <c r="AM286" s="483" t="str">
        <f t="shared" si="67"/>
        <v/>
      </c>
      <c r="AN286" s="484" t="str">
        <f t="shared" si="68"/>
        <v/>
      </c>
      <c r="AO286" s="473" t="str">
        <f t="shared" si="69"/>
        <v/>
      </c>
      <c r="AP286" s="473" t="str">
        <f t="shared" si="70"/>
        <v/>
      </c>
      <c r="AQ286" s="473" t="str">
        <f t="shared" si="71"/>
        <v/>
      </c>
      <c r="AR286" s="473" t="str">
        <f t="shared" si="72"/>
        <v/>
      </c>
      <c r="AS286" s="473" t="str">
        <f t="shared" si="73"/>
        <v/>
      </c>
      <c r="AT286" s="473" t="str">
        <f t="shared" si="74"/>
        <v/>
      </c>
      <c r="AU286" s="473" t="str">
        <f t="shared" si="75"/>
        <v/>
      </c>
      <c r="AY286" s="497" t="s">
        <v>466</v>
      </c>
      <c r="AZ286" s="32" t="s">
        <v>313</v>
      </c>
      <c r="BA286" s="34" t="s">
        <v>6126</v>
      </c>
      <c r="BB286" s="499"/>
      <c r="BC286" s="271"/>
      <c r="BD286" s="279">
        <v>1</v>
      </c>
      <c r="BE286" s="271"/>
      <c r="BF286" s="271"/>
      <c r="BG286" s="271"/>
      <c r="BH286" s="271"/>
      <c r="BI286" s="271"/>
      <c r="BJ286" s="271"/>
      <c r="BK286" s="271"/>
      <c r="BL286" s="271"/>
    </row>
    <row r="287" spans="18:64" ht="30" customHeight="1" x14ac:dyDescent="0.25">
      <c r="R287" s="25" t="s">
        <v>6128</v>
      </c>
      <c r="S287" s="451"/>
      <c r="T287" s="31" t="s">
        <v>27</v>
      </c>
      <c r="V287" s="453" t="s">
        <v>324</v>
      </c>
      <c r="W287" s="453" t="s">
        <v>7912</v>
      </c>
      <c r="X287" s="453" t="s">
        <v>326</v>
      </c>
      <c r="Y287" s="453" t="s">
        <v>327</v>
      </c>
      <c r="Z287" s="454" t="s">
        <v>7930</v>
      </c>
      <c r="AA287" s="453" t="s">
        <v>7937</v>
      </c>
      <c r="AB287" s="455" t="s">
        <v>39</v>
      </c>
      <c r="AC287" s="455" t="s">
        <v>338</v>
      </c>
      <c r="AD287" s="455" t="s">
        <v>8114</v>
      </c>
      <c r="AE287" s="455" t="s">
        <v>339</v>
      </c>
      <c r="AF287" s="455" t="s">
        <v>7997</v>
      </c>
      <c r="AG287" s="453" t="s">
        <v>8018</v>
      </c>
      <c r="AH287" s="453" t="s">
        <v>8023</v>
      </c>
      <c r="AI287" s="453" t="s">
        <v>330</v>
      </c>
      <c r="AJ287" s="453" t="s">
        <v>8031</v>
      </c>
      <c r="AK287" s="453" t="s">
        <v>8037</v>
      </c>
      <c r="AL287" s="453" t="s">
        <v>8041</v>
      </c>
      <c r="AM287" s="453" t="s">
        <v>343</v>
      </c>
      <c r="AN287" s="457" t="s">
        <v>8115</v>
      </c>
      <c r="AO287" s="457" t="s">
        <v>8116</v>
      </c>
      <c r="AP287" s="656" t="s">
        <v>8117</v>
      </c>
      <c r="AQ287" s="656"/>
      <c r="AR287" s="656"/>
      <c r="AS287" s="656"/>
      <c r="AT287" s="656"/>
      <c r="AU287" s="657"/>
      <c r="AZ287" s="32" t="s">
        <v>307</v>
      </c>
      <c r="BA287" s="34" t="s">
        <v>6127</v>
      </c>
      <c r="BB287" s="499"/>
      <c r="BC287" s="271"/>
      <c r="BD287" s="279">
        <v>1</v>
      </c>
      <c r="BE287" s="271"/>
      <c r="BF287" s="271"/>
      <c r="BG287" s="271"/>
      <c r="BH287" s="271"/>
      <c r="BI287" s="271"/>
      <c r="BJ287" s="271"/>
      <c r="BK287" s="271"/>
      <c r="BL287" s="271"/>
    </row>
    <row r="288" spans="18:64" ht="30" customHeight="1" x14ac:dyDescent="0.25">
      <c r="R288" s="34" t="s">
        <v>474</v>
      </c>
      <c r="S288" s="451"/>
      <c r="T288" s="31" t="s">
        <v>28</v>
      </c>
      <c r="V288" s="459">
        <v>7</v>
      </c>
      <c r="W288" s="460" t="s">
        <v>8120</v>
      </c>
      <c r="X288" s="461" t="s">
        <v>8157</v>
      </c>
      <c r="Y288" s="462"/>
      <c r="Z288" s="463">
        <v>100</v>
      </c>
      <c r="AA288" s="464">
        <f>IF($AC$396="","",ROW($A$396)-ROW($A$396))</f>
        <v>0</v>
      </c>
      <c r="AB288" s="461"/>
      <c r="AC288" s="465" t="s">
        <v>8158</v>
      </c>
      <c r="AD288" s="390"/>
      <c r="AE288" s="390"/>
      <c r="AF288" s="466"/>
      <c r="AG288" s="467" t="str">
        <f t="shared" ref="AG288:AG322" si="76">IF($AC288="","",IF(LEN($AN288&amp;"")=0,"",$AN288))</f>
        <v/>
      </c>
      <c r="AH288" s="468" t="str">
        <f t="shared" ref="AH288:AH322" si="77">IF($AC288="","",IF($AF288&lt;&gt;"",UPPER(TRIM(SUBSTITUTE(SUBSTITUTE($AF288&amp;"",CHAR(160)," ")," "," "))),$AP288))</f>
        <v/>
      </c>
      <c r="AI288" s="469" t="str">
        <f>IF($AC$288="","",IFERROR(INDEX($AZ$74:$AZ$119,MATCH($AH$288,$AY$74:$AY$119,0)),"AUTRE"))</f>
        <v>AUTRE</v>
      </c>
      <c r="AJ288" s="470">
        <f>IF($AC$288="","",IFERROR(INDEX($BA$74:$BA$119,MATCH($AH$288,$AY$74:$AY$119,0)),1))</f>
        <v>1</v>
      </c>
      <c r="AK288" s="470" t="str">
        <f t="shared" si="66"/>
        <v/>
      </c>
      <c r="AL288" s="469" t="str">
        <f>IF($AC$288="","",IFERROR(INDEX($BB$74:$BB$119,MATCH($AH$288,$AY$74:$AY$119,0)),$AH$288))</f>
        <v/>
      </c>
      <c r="AM288" s="471" t="str">
        <f t="shared" ref="AM288:AM322" si="78">IF($AC288="","",IF($AH288="QT. SUFFISANTE","OK",IF($AG288="","TEXTE",IF(NOT(ISNUMBER($AG288)),"QUANTITÉ À CONTRÔLER",IF(COUNTIF($AY$74:$AY$119,$AH288)=0,"UNITÉ À CONTRÔLER","OK")))))</f>
        <v>TEXTE</v>
      </c>
      <c r="AN288" s="474" t="str">
        <f t="shared" ref="AN288:AN322" si="79">IF($AE288&lt;&gt;"",$AE288,IF($AD288="","",IF(ISNUMBER($AD288),$AD288,IF($AO288="QT",0,IF($AO288="","",IFERROR(IF(ISNUMBER(SEARCH("/",$AO288)),VALUE(TRIM(LEFT($AO288,SEARCH("/",$AO288)-1)))/VALUE(TRIM(MID($AO288,SEARCH("/",$AO288)+1,99))),VALUE(SUBSTITUTE($AO288,".",","))),""))))))</f>
        <v/>
      </c>
      <c r="AO288" s="473" t="str">
        <f t="shared" ref="AO288:AO322" si="80">IF($AD288="","",IF(ISNUMBER($AD288),$AD288,IF(OR(LEFT($AQ288,3)="QT.",LEFT($AQ288,4)="QUAN"),"QT",IF($AR288=999,$AQ288,TRIM(LEFT($AQ288,$AR288-1))))))</f>
        <v/>
      </c>
      <c r="AP288" s="473" t="str">
        <f t="shared" ref="AP288:AP322" si="81">IF($AD288="","",IF(ISNUMBER($AD288),"",IF(OR(LEFT($AQ288,3)="QT.",LEFT($AQ288,4)="QUAN"),"QT. SUFFISANTE",IF($AO288="","",TRIM(MID($AQ288,LEN($AO288&amp;"")+1,999))))))</f>
        <v/>
      </c>
      <c r="AQ288" s="473" t="str">
        <f t="shared" ref="AQ288:AQ322" si="82">IF($AD288="","",UPPER(TRIM(SUBSTITUTE(SUBSTITUTE($AD288&amp;"",CHAR(160)," ")," "," "))))</f>
        <v/>
      </c>
      <c r="AR288" s="473" t="str">
        <f t="shared" ref="AR288:AR322" si="83">IF($AQ288="","",MIN($AS288,$AT288,$AU288))</f>
        <v/>
      </c>
      <c r="AS288" s="473" t="str">
        <f t="shared" ref="AS288:AS322" si="84">IF($AQ288="","",MIN(IFERROR(SEARCH("A",$AQ288),999),IFERROR(SEARCH("B",$AQ288),999),IFERROR(SEARCH("C",$AQ288),999),IFERROR(SEARCH("D",$AQ288),999),IFERROR(SEARCH("E",$AQ288),999),IFERROR(SEARCH("F",$AQ288),999),IFERROR(SEARCH("G",$AQ288),999),IFERROR(SEARCH("H",$AQ288),999),IFERROR(SEARCH("I",$AQ288),999)))</f>
        <v/>
      </c>
      <c r="AT288" s="473" t="str">
        <f t="shared" ref="AT288:AT322" si="85">IF($AQ288="","",MIN(IFERROR(SEARCH("J",$AQ288),999),IFERROR(SEARCH("K",$AQ288),999),IFERROR(SEARCH("L",$AQ288),999),IFERROR(SEARCH("M",$AQ288),999),IFERROR(SEARCH("N",$AQ288),999),IFERROR(SEARCH("O",$AQ288),999),IFERROR(SEARCH("P",$AQ288),999),IFERROR(SEARCH("Q",$AQ288),999),IFERROR(SEARCH("R",$AQ288),999)))</f>
        <v/>
      </c>
      <c r="AU288" s="473" t="str">
        <f t="shared" ref="AU288:AU322" si="86">IF($AQ288="","",MIN(IFERROR(SEARCH("S",$AQ288),999),IFERROR(SEARCH("T",$AQ288),999),IFERROR(SEARCH("U",$AQ288),999),IFERROR(SEARCH("V",$AQ288),999),IFERROR(SEARCH("W",$AQ288),999),IFERROR(SEARCH("X",$AQ288),999),IFERROR(SEARCH("Y",$AQ288),999),IFERROR(SEARCH("Z",$AQ288),999)))</f>
        <v/>
      </c>
      <c r="AZ288" s="32" t="s">
        <v>322</v>
      </c>
      <c r="BA288" s="25" t="s">
        <v>6128</v>
      </c>
      <c r="BB288" s="499"/>
      <c r="BC288" s="271"/>
      <c r="BD288" s="279">
        <v>1</v>
      </c>
      <c r="BE288" s="271"/>
      <c r="BF288" s="271"/>
      <c r="BG288" s="271"/>
      <c r="BH288" s="271"/>
      <c r="BI288" s="271"/>
      <c r="BJ288" s="271"/>
      <c r="BK288" s="271"/>
      <c r="BL288" s="271"/>
    </row>
    <row r="289" spans="18:64" ht="21" customHeight="1" x14ac:dyDescent="0.25">
      <c r="R289" s="34" t="s">
        <v>490</v>
      </c>
      <c r="S289" s="451"/>
      <c r="T289" s="31" t="s">
        <v>29</v>
      </c>
      <c r="V289" s="475">
        <f>$V$288</f>
        <v>7</v>
      </c>
      <c r="W289" s="475" t="str">
        <f>IF($AC$289="","",$W$288)</f>
        <v/>
      </c>
      <c r="X289" s="476" t="str">
        <f>IF($AC$289="","",$X$288)</f>
        <v/>
      </c>
      <c r="Y289" s="477" t="str">
        <f>IF($X$289="","",$Y$288)</f>
        <v/>
      </c>
      <c r="Z289" s="477" t="str">
        <f>IF($X$289="","",$Z$288)</f>
        <v/>
      </c>
      <c r="AA289" s="477" t="str">
        <f>IF($AC$289="","",ROW($A$289)-ROW($A$288))</f>
        <v/>
      </c>
      <c r="AB289" s="478"/>
      <c r="AC289" s="34"/>
      <c r="AD289" s="356"/>
      <c r="AE289" s="479"/>
      <c r="AF289" s="475"/>
      <c r="AG289" s="480" t="str">
        <f t="shared" si="76"/>
        <v/>
      </c>
      <c r="AH289" s="481" t="str">
        <f t="shared" si="77"/>
        <v/>
      </c>
      <c r="AI289" s="477" t="str">
        <f>IF($AC$289="","",IFERROR(INDEX($AZ$74:$AZ$119,MATCH($AH$289,$AY$74:$AY$119,0)),"AUTRE"))</f>
        <v/>
      </c>
      <c r="AJ289" s="482" t="str">
        <f>IF($AC$289="","",IFERROR(INDEX($BA$74:$BA$119,MATCH($AH$289,$AY$74:$AY$119,0)),1))</f>
        <v/>
      </c>
      <c r="AK289" s="482" t="str">
        <f t="shared" si="66"/>
        <v/>
      </c>
      <c r="AL289" s="477" t="str">
        <f>IF($AC$289="","",IFERROR(INDEX($BB$74:$BB$119,MATCH($AH$289,$AY$74:$AY$119,0)),$AH$289))</f>
        <v/>
      </c>
      <c r="AM289" s="483" t="str">
        <f t="shared" si="78"/>
        <v/>
      </c>
      <c r="AN289" s="484" t="str">
        <f t="shared" si="79"/>
        <v/>
      </c>
      <c r="AO289" s="473" t="str">
        <f t="shared" si="80"/>
        <v/>
      </c>
      <c r="AP289" s="473" t="str">
        <f t="shared" si="81"/>
        <v/>
      </c>
      <c r="AQ289" s="473" t="str">
        <f t="shared" si="82"/>
        <v/>
      </c>
      <c r="AR289" s="473" t="str">
        <f t="shared" si="83"/>
        <v/>
      </c>
      <c r="AS289" s="473" t="str">
        <f t="shared" si="84"/>
        <v/>
      </c>
      <c r="AT289" s="473" t="str">
        <f t="shared" si="85"/>
        <v/>
      </c>
      <c r="AU289" s="473" t="str">
        <f t="shared" si="86"/>
        <v/>
      </c>
      <c r="AZ289" s="32" t="s">
        <v>305</v>
      </c>
      <c r="BA289" s="34" t="s">
        <v>474</v>
      </c>
      <c r="BB289" s="499"/>
      <c r="BC289" s="271"/>
      <c r="BD289" s="279">
        <v>1</v>
      </c>
      <c r="BE289" s="271"/>
      <c r="BF289" s="271"/>
      <c r="BG289" s="271"/>
      <c r="BH289" s="271"/>
      <c r="BI289" s="271"/>
      <c r="BJ289" s="271"/>
      <c r="BK289" s="271"/>
      <c r="BL289" s="271"/>
    </row>
    <row r="290" spans="18:64" ht="21" customHeight="1" x14ac:dyDescent="0.25">
      <c r="R290" s="34" t="s">
        <v>6129</v>
      </c>
      <c r="S290" s="451"/>
      <c r="T290" s="31" t="s">
        <v>30</v>
      </c>
      <c r="V290" s="475">
        <v>7</v>
      </c>
      <c r="W290" s="475" t="str">
        <f>IF($AC$290="","",$W$288)</f>
        <v/>
      </c>
      <c r="X290" s="476" t="str">
        <f>IF($AC$290="","",$X$288)</f>
        <v/>
      </c>
      <c r="Y290" s="477" t="str">
        <f>IF($X$290="","",$Y$288)</f>
        <v/>
      </c>
      <c r="Z290" s="477" t="str">
        <f>IF($X$290="","",$Z$288)</f>
        <v/>
      </c>
      <c r="AA290" s="477" t="str">
        <f>IF($AC$290="","",ROW($A$290)-ROW($A$288))</f>
        <v/>
      </c>
      <c r="AB290" s="478"/>
      <c r="AC290" s="34"/>
      <c r="AD290" s="356"/>
      <c r="AE290" s="479"/>
      <c r="AF290" s="475"/>
      <c r="AG290" s="480" t="str">
        <f t="shared" si="76"/>
        <v/>
      </c>
      <c r="AH290" s="481" t="str">
        <f t="shared" si="77"/>
        <v/>
      </c>
      <c r="AI290" s="477" t="str">
        <f>IF($AC$290="","",IFERROR(INDEX($AZ$74:$AZ$119,MATCH($AH$290,$AY$74:$AY$119,0)),"AUTRE"))</f>
        <v/>
      </c>
      <c r="AJ290" s="482" t="str">
        <f>IF($AC$290="","",IFERROR(INDEX($BA$74:$BA$119,MATCH($AH$290,$AY$74:$AY$119,0)),1))</f>
        <v/>
      </c>
      <c r="AK290" s="482" t="str">
        <f t="shared" si="66"/>
        <v/>
      </c>
      <c r="AL290" s="477" t="str">
        <f>IF($AC$290="","",IFERROR(INDEX($BB$74:$BB$119,MATCH($AH$290,$AY$74:$AY$119,0)),$AH$290))</f>
        <v/>
      </c>
      <c r="AM290" s="483" t="str">
        <f t="shared" si="78"/>
        <v/>
      </c>
      <c r="AN290" s="484" t="str">
        <f t="shared" si="79"/>
        <v/>
      </c>
      <c r="AO290" s="473" t="str">
        <f t="shared" si="80"/>
        <v/>
      </c>
      <c r="AP290" s="473" t="str">
        <f t="shared" si="81"/>
        <v/>
      </c>
      <c r="AQ290" s="473" t="str">
        <f t="shared" si="82"/>
        <v/>
      </c>
      <c r="AR290" s="473" t="str">
        <f t="shared" si="83"/>
        <v/>
      </c>
      <c r="AS290" s="473" t="str">
        <f t="shared" si="84"/>
        <v/>
      </c>
      <c r="AT290" s="473" t="str">
        <f t="shared" si="85"/>
        <v/>
      </c>
      <c r="AU290" s="473" t="str">
        <f t="shared" si="86"/>
        <v/>
      </c>
      <c r="AZ290" s="32" t="s">
        <v>8129</v>
      </c>
      <c r="BA290" s="34" t="s">
        <v>490</v>
      </c>
      <c r="BB290" s="499"/>
      <c r="BC290" s="271"/>
      <c r="BD290" s="279">
        <v>1</v>
      </c>
      <c r="BE290" s="271"/>
      <c r="BF290" s="271"/>
      <c r="BG290" s="271"/>
      <c r="BH290" s="271"/>
      <c r="BI290" s="271"/>
      <c r="BJ290" s="271"/>
      <c r="BK290" s="271"/>
      <c r="BL290" s="271"/>
    </row>
    <row r="291" spans="18:64" ht="21" customHeight="1" x14ac:dyDescent="0.25">
      <c r="R291" s="34" t="s">
        <v>478</v>
      </c>
      <c r="S291" s="451"/>
      <c r="T291" s="31" t="s">
        <v>31</v>
      </c>
      <c r="V291" s="475">
        <v>7</v>
      </c>
      <c r="W291" s="475" t="str">
        <f>IF($AC$291="","",$W$288)</f>
        <v/>
      </c>
      <c r="X291" s="476" t="str">
        <f>IF($AC$291="","",$X$288)</f>
        <v/>
      </c>
      <c r="Y291" s="477" t="str">
        <f>IF($X$291="","",$Y$288)</f>
        <v/>
      </c>
      <c r="Z291" s="477" t="str">
        <f>IF($X$291="","",$Z$288)</f>
        <v/>
      </c>
      <c r="AA291" s="477" t="str">
        <f>IF($AC$291="","",ROW($A$291)-ROW($A$288))</f>
        <v/>
      </c>
      <c r="AB291" s="478"/>
      <c r="AC291" s="34"/>
      <c r="AD291" s="356"/>
      <c r="AE291" s="479"/>
      <c r="AF291" s="475"/>
      <c r="AG291" s="480" t="str">
        <f t="shared" si="76"/>
        <v/>
      </c>
      <c r="AH291" s="481" t="str">
        <f t="shared" si="77"/>
        <v/>
      </c>
      <c r="AI291" s="477" t="str">
        <f>IF($AC$291="","",IFERROR(INDEX($AZ$74:$AZ$119,MATCH($AH$291,$AY$74:$AY$119,0)),"AUTRE"))</f>
        <v/>
      </c>
      <c r="AJ291" s="482" t="str">
        <f>IF($AC$291="","",IFERROR(INDEX($BA$74:$BA$119,MATCH($AH$291,$AY$74:$AY$119,0)),1))</f>
        <v/>
      </c>
      <c r="AK291" s="482" t="str">
        <f t="shared" si="66"/>
        <v/>
      </c>
      <c r="AL291" s="477" t="str">
        <f>IF($AC$291="","",IFERROR(INDEX($BB$74:$BB$119,MATCH($AH$291,$AY$74:$AY$119,0)),$AH$291))</f>
        <v/>
      </c>
      <c r="AM291" s="483" t="str">
        <f t="shared" si="78"/>
        <v/>
      </c>
      <c r="AN291" s="484" t="str">
        <f t="shared" si="79"/>
        <v/>
      </c>
      <c r="AO291" s="473" t="str">
        <f t="shared" si="80"/>
        <v/>
      </c>
      <c r="AP291" s="473" t="str">
        <f t="shared" si="81"/>
        <v/>
      </c>
      <c r="AQ291" s="473" t="str">
        <f t="shared" si="82"/>
        <v/>
      </c>
      <c r="AR291" s="473" t="str">
        <f t="shared" si="83"/>
        <v/>
      </c>
      <c r="AS291" s="473" t="str">
        <f t="shared" si="84"/>
        <v/>
      </c>
      <c r="AT291" s="473" t="str">
        <f t="shared" si="85"/>
        <v/>
      </c>
      <c r="AU291" s="473" t="str">
        <f t="shared" si="86"/>
        <v/>
      </c>
      <c r="AZ291" s="32" t="s">
        <v>8131</v>
      </c>
      <c r="BA291" s="34" t="s">
        <v>6129</v>
      </c>
      <c r="BB291" s="499"/>
      <c r="BC291" s="271"/>
      <c r="BD291" s="279">
        <v>1</v>
      </c>
      <c r="BE291" s="271"/>
      <c r="BF291" s="271"/>
      <c r="BG291" s="271"/>
      <c r="BH291" s="271"/>
      <c r="BI291" s="271"/>
      <c r="BJ291" s="271"/>
      <c r="BK291" s="271"/>
      <c r="BL291" s="271"/>
    </row>
    <row r="292" spans="18:64" ht="21" customHeight="1" x14ac:dyDescent="0.25">
      <c r="R292" s="34" t="s">
        <v>6130</v>
      </c>
      <c r="S292" s="451"/>
      <c r="T292" s="32" t="s">
        <v>33</v>
      </c>
      <c r="V292" s="475">
        <v>7</v>
      </c>
      <c r="W292" s="475" t="str">
        <f>IF($AC$292="","",$W$288)</f>
        <v/>
      </c>
      <c r="X292" s="476" t="str">
        <f>IF($AC$292="","",$X$288)</f>
        <v/>
      </c>
      <c r="Y292" s="477" t="str">
        <f>IF($X$292="","",$Y$288)</f>
        <v/>
      </c>
      <c r="Z292" s="477" t="str">
        <f>IF($X$292="","",$Z$288)</f>
        <v/>
      </c>
      <c r="AA292" s="477" t="str">
        <f>IF($AC$292="","",ROW($A$292)-ROW($A$288))</f>
        <v/>
      </c>
      <c r="AB292" s="478"/>
      <c r="AC292" s="34"/>
      <c r="AD292" s="356"/>
      <c r="AE292" s="479"/>
      <c r="AF292" s="475"/>
      <c r="AG292" s="480" t="str">
        <f t="shared" si="76"/>
        <v/>
      </c>
      <c r="AH292" s="481" t="str">
        <f t="shared" si="77"/>
        <v/>
      </c>
      <c r="AI292" s="477" t="str">
        <f>IF($AC$292="","",IFERROR(INDEX($AZ$74:$AZ$119,MATCH($AH$292,$AY$74:$AY$119,0)),"AUTRE"))</f>
        <v/>
      </c>
      <c r="AJ292" s="482" t="str">
        <f>IF($AC$292="","",IFERROR(INDEX($BA$74:$BA$119,MATCH($AH$292,$AY$74:$AY$119,0)),1))</f>
        <v/>
      </c>
      <c r="AK292" s="482" t="str">
        <f t="shared" si="66"/>
        <v/>
      </c>
      <c r="AL292" s="477" t="str">
        <f>IF($AC$292="","",IFERROR(INDEX($BB$74:$BB$119,MATCH($AH$292,$AY$74:$AY$119,0)),$AH$292))</f>
        <v/>
      </c>
      <c r="AM292" s="483" t="str">
        <f t="shared" si="78"/>
        <v/>
      </c>
      <c r="AN292" s="484" t="str">
        <f t="shared" si="79"/>
        <v/>
      </c>
      <c r="AO292" s="473" t="str">
        <f t="shared" si="80"/>
        <v/>
      </c>
      <c r="AP292" s="473" t="str">
        <f t="shared" si="81"/>
        <v/>
      </c>
      <c r="AQ292" s="473" t="str">
        <f t="shared" si="82"/>
        <v/>
      </c>
      <c r="AR292" s="473" t="str">
        <f t="shared" si="83"/>
        <v/>
      </c>
      <c r="AS292" s="473" t="str">
        <f t="shared" si="84"/>
        <v/>
      </c>
      <c r="AT292" s="473" t="str">
        <f t="shared" si="85"/>
        <v/>
      </c>
      <c r="AU292" s="473" t="str">
        <f t="shared" si="86"/>
        <v/>
      </c>
      <c r="AZ292" s="32" t="s">
        <v>309</v>
      </c>
      <c r="BA292" s="34" t="s">
        <v>478</v>
      </c>
      <c r="BB292" s="499"/>
      <c r="BC292" s="271"/>
      <c r="BD292" s="279">
        <v>1</v>
      </c>
      <c r="BE292" s="271"/>
      <c r="BF292" s="271"/>
      <c r="BG292" s="271"/>
      <c r="BH292" s="271"/>
      <c r="BI292" s="271"/>
      <c r="BJ292" s="271"/>
      <c r="BK292" s="271"/>
      <c r="BL292" s="271"/>
    </row>
    <row r="293" spans="18:64" ht="21" customHeight="1" x14ac:dyDescent="0.25">
      <c r="R293" s="34" t="s">
        <v>486</v>
      </c>
      <c r="S293" s="451"/>
      <c r="T293" s="32" t="s">
        <v>8125</v>
      </c>
      <c r="V293" s="475">
        <v>7</v>
      </c>
      <c r="W293" s="475" t="str">
        <f>IF($AC$293="","",$W$288)</f>
        <v/>
      </c>
      <c r="X293" s="476" t="str">
        <f>IF($AC$293="","",$X$288)</f>
        <v/>
      </c>
      <c r="Y293" s="477" t="str">
        <f>IF($X$293="","",$Y$288)</f>
        <v/>
      </c>
      <c r="Z293" s="477" t="str">
        <f>IF($X$293="","",$Z$288)</f>
        <v/>
      </c>
      <c r="AA293" s="477" t="str">
        <f>IF($AC$293="","",ROW($A$293)-ROW($A$288))</f>
        <v/>
      </c>
      <c r="AB293" s="478"/>
      <c r="AC293" s="34"/>
      <c r="AD293" s="356"/>
      <c r="AE293" s="479"/>
      <c r="AF293" s="475"/>
      <c r="AG293" s="480" t="str">
        <f t="shared" si="76"/>
        <v/>
      </c>
      <c r="AH293" s="481" t="str">
        <f t="shared" si="77"/>
        <v/>
      </c>
      <c r="AI293" s="477" t="str">
        <f>IF($AC$293="","",IFERROR(INDEX($AZ$74:$AZ$119,MATCH($AH$293,$AY$74:$AY$119,0)),"AUTRE"))</f>
        <v/>
      </c>
      <c r="AJ293" s="482" t="str">
        <f>IF($AC$293="","",IFERROR(INDEX($BA$74:$BA$119,MATCH($AH$293,$AY$74:$AY$119,0)),1))</f>
        <v/>
      </c>
      <c r="AK293" s="482" t="str">
        <f t="shared" si="66"/>
        <v/>
      </c>
      <c r="AL293" s="477" t="str">
        <f>IF($AC$293="","",IFERROR(INDEX($BB$74:$BB$119,MATCH($AH$293,$AY$74:$AY$119,0)),$AH$293))</f>
        <v/>
      </c>
      <c r="AM293" s="483" t="str">
        <f t="shared" si="78"/>
        <v/>
      </c>
      <c r="AN293" s="484" t="str">
        <f t="shared" si="79"/>
        <v/>
      </c>
      <c r="AO293" s="473" t="str">
        <f t="shared" si="80"/>
        <v/>
      </c>
      <c r="AP293" s="473" t="str">
        <f t="shared" si="81"/>
        <v/>
      </c>
      <c r="AQ293" s="473" t="str">
        <f t="shared" si="82"/>
        <v/>
      </c>
      <c r="AR293" s="473" t="str">
        <f t="shared" si="83"/>
        <v/>
      </c>
      <c r="AS293" s="473" t="str">
        <f t="shared" si="84"/>
        <v/>
      </c>
      <c r="AT293" s="473" t="str">
        <f t="shared" si="85"/>
        <v/>
      </c>
      <c r="AU293" s="473" t="str">
        <f t="shared" si="86"/>
        <v/>
      </c>
      <c r="AZ293" s="32" t="s">
        <v>311</v>
      </c>
      <c r="BA293" s="34" t="s">
        <v>6130</v>
      </c>
      <c r="BB293" s="499"/>
      <c r="BC293" s="271"/>
      <c r="BD293" s="279">
        <v>1</v>
      </c>
      <c r="BE293" s="271"/>
      <c r="BF293" s="271"/>
      <c r="BG293" s="271"/>
      <c r="BH293" s="271"/>
      <c r="BI293" s="271"/>
      <c r="BJ293" s="271"/>
      <c r="BK293" s="271"/>
      <c r="BL293" s="271"/>
    </row>
    <row r="294" spans="18:64" ht="21" customHeight="1" x14ac:dyDescent="0.25">
      <c r="R294" s="34" t="s">
        <v>479</v>
      </c>
      <c r="S294" s="451"/>
      <c r="T294" s="32" t="s">
        <v>8127</v>
      </c>
      <c r="V294" s="475">
        <v>7</v>
      </c>
      <c r="W294" s="475" t="str">
        <f>IF($AC$294="","",$W$288)</f>
        <v/>
      </c>
      <c r="X294" s="476" t="str">
        <f>IF($AC$294="","",$X$288)</f>
        <v/>
      </c>
      <c r="Y294" s="477" t="str">
        <f>IF($X$294="","",$Y$288)</f>
        <v/>
      </c>
      <c r="Z294" s="477" t="str">
        <f>IF($X$294="","",$Z$288)</f>
        <v/>
      </c>
      <c r="AA294" s="477" t="str">
        <f>IF($AC$294="","",ROW($A$294)-ROW($A$288))</f>
        <v/>
      </c>
      <c r="AB294" s="478"/>
      <c r="AC294" s="34"/>
      <c r="AD294" s="356"/>
      <c r="AE294" s="479"/>
      <c r="AF294" s="475"/>
      <c r="AG294" s="480" t="str">
        <f t="shared" si="76"/>
        <v/>
      </c>
      <c r="AH294" s="481" t="str">
        <f t="shared" si="77"/>
        <v/>
      </c>
      <c r="AI294" s="477" t="str">
        <f>IF($AC$294="","",IFERROR(INDEX($AZ$74:$AZ$119,MATCH($AH$294,$AY$74:$AY$119,0)),"AUTRE"))</f>
        <v/>
      </c>
      <c r="AJ294" s="482" t="str">
        <f>IF($AC$294="","",IFERROR(INDEX($BA$74:$BA$119,MATCH($AH$294,$AY$74:$AY$119,0)),1))</f>
        <v/>
      </c>
      <c r="AK294" s="482" t="str">
        <f t="shared" si="66"/>
        <v/>
      </c>
      <c r="AL294" s="477" t="str">
        <f>IF($AC$294="","",IFERROR(INDEX($BB$74:$BB$119,MATCH($AH$294,$AY$74:$AY$119,0)),$AH$294))</f>
        <v/>
      </c>
      <c r="AM294" s="483" t="str">
        <f t="shared" si="78"/>
        <v/>
      </c>
      <c r="AN294" s="484" t="str">
        <f t="shared" si="79"/>
        <v/>
      </c>
      <c r="AO294" s="473" t="str">
        <f t="shared" si="80"/>
        <v/>
      </c>
      <c r="AP294" s="473" t="str">
        <f t="shared" si="81"/>
        <v/>
      </c>
      <c r="AQ294" s="473" t="str">
        <f t="shared" si="82"/>
        <v/>
      </c>
      <c r="AR294" s="473" t="str">
        <f t="shared" si="83"/>
        <v/>
      </c>
      <c r="AS294" s="473" t="str">
        <f t="shared" si="84"/>
        <v/>
      </c>
      <c r="AT294" s="473" t="str">
        <f t="shared" si="85"/>
        <v/>
      </c>
      <c r="AU294" s="473" t="str">
        <f t="shared" si="86"/>
        <v/>
      </c>
      <c r="AZ294" s="32" t="s">
        <v>8135</v>
      </c>
      <c r="BA294" s="34" t="s">
        <v>486</v>
      </c>
      <c r="BB294" s="499"/>
      <c r="BC294" s="271"/>
      <c r="BD294" s="279">
        <v>1</v>
      </c>
      <c r="BE294" s="271"/>
      <c r="BF294" s="271"/>
      <c r="BG294" s="271"/>
      <c r="BH294" s="271"/>
      <c r="BI294" s="271"/>
      <c r="BJ294" s="271"/>
      <c r="BK294" s="271"/>
      <c r="BL294" s="271"/>
    </row>
    <row r="295" spans="18:64" ht="21" customHeight="1" x14ac:dyDescent="0.25">
      <c r="R295" s="34" t="s">
        <v>6131</v>
      </c>
      <c r="S295" s="451"/>
      <c r="T295" s="32" t="s">
        <v>320</v>
      </c>
      <c r="V295" s="475">
        <v>7</v>
      </c>
      <c r="W295" s="475" t="str">
        <f>IF($AC$295="","",$W$288)</f>
        <v/>
      </c>
      <c r="X295" s="476" t="str">
        <f>IF($AC$295="","",$X$288)</f>
        <v/>
      </c>
      <c r="Y295" s="477" t="str">
        <f>IF($X$295="","",$Y$288)</f>
        <v/>
      </c>
      <c r="Z295" s="477" t="str">
        <f>IF($X$295="","",$Z$288)</f>
        <v/>
      </c>
      <c r="AA295" s="477" t="str">
        <f>IF($AC$295="","",ROW($A$295)-ROW($A$288))</f>
        <v/>
      </c>
      <c r="AB295" s="478"/>
      <c r="AC295" s="34"/>
      <c r="AD295" s="356"/>
      <c r="AE295" s="479"/>
      <c r="AF295" s="475"/>
      <c r="AG295" s="480" t="str">
        <f t="shared" si="76"/>
        <v/>
      </c>
      <c r="AH295" s="481" t="str">
        <f t="shared" si="77"/>
        <v/>
      </c>
      <c r="AI295" s="477" t="str">
        <f>IF($AC$295="","",IFERROR(INDEX($AZ$74:$AZ$119,MATCH($AH$295,$AY$74:$AY$119,0)),"AUTRE"))</f>
        <v/>
      </c>
      <c r="AJ295" s="482" t="str">
        <f>IF($AC$295="","",IFERROR(INDEX($BA$74:$BA$119,MATCH($AH$295,$AY$74:$AY$119,0)),1))</f>
        <v/>
      </c>
      <c r="AK295" s="482" t="str">
        <f t="shared" si="66"/>
        <v/>
      </c>
      <c r="AL295" s="477" t="str">
        <f>IF($AC$295="","",IFERROR(INDEX($BB$74:$BB$119,MATCH($AH$295,$AY$74:$AY$119,0)),$AH$295))</f>
        <v/>
      </c>
      <c r="AM295" s="483" t="str">
        <f t="shared" si="78"/>
        <v/>
      </c>
      <c r="AN295" s="484" t="str">
        <f t="shared" si="79"/>
        <v/>
      </c>
      <c r="AO295" s="473" t="str">
        <f t="shared" si="80"/>
        <v/>
      </c>
      <c r="AP295" s="473" t="str">
        <f t="shared" si="81"/>
        <v/>
      </c>
      <c r="AQ295" s="473" t="str">
        <f t="shared" si="82"/>
        <v/>
      </c>
      <c r="AR295" s="473" t="str">
        <f t="shared" si="83"/>
        <v/>
      </c>
      <c r="AS295" s="473" t="str">
        <f t="shared" si="84"/>
        <v/>
      </c>
      <c r="AT295" s="473" t="str">
        <f t="shared" si="85"/>
        <v/>
      </c>
      <c r="AU295" s="473" t="str">
        <f t="shared" si="86"/>
        <v/>
      </c>
      <c r="AZ295" s="32" t="s">
        <v>8137</v>
      </c>
      <c r="BA295" s="34" t="s">
        <v>479</v>
      </c>
      <c r="BB295" s="499"/>
      <c r="BC295" s="271"/>
      <c r="BD295" s="279">
        <v>1</v>
      </c>
      <c r="BE295" s="271"/>
      <c r="BF295" s="271"/>
      <c r="BG295" s="271"/>
      <c r="BH295" s="271"/>
      <c r="BI295" s="271"/>
      <c r="BJ295" s="271"/>
      <c r="BK295" s="271"/>
      <c r="BL295" s="271"/>
    </row>
    <row r="296" spans="18:64" ht="21" customHeight="1" x14ac:dyDescent="0.25">
      <c r="R296" s="34" t="s">
        <v>485</v>
      </c>
      <c r="S296" s="451"/>
      <c r="T296" s="32" t="s">
        <v>318</v>
      </c>
      <c r="V296" s="475">
        <v>7</v>
      </c>
      <c r="W296" s="475" t="str">
        <f>IF($AC$296="","",$W$288)</f>
        <v/>
      </c>
      <c r="X296" s="476" t="str">
        <f>IF($AC$296="","",$X$288)</f>
        <v/>
      </c>
      <c r="Y296" s="477" t="str">
        <f>IF($X$296="","",$Y$288)</f>
        <v/>
      </c>
      <c r="Z296" s="477" t="str">
        <f>IF($X$296="","",$Z$288)</f>
        <v/>
      </c>
      <c r="AA296" s="477" t="str">
        <f>IF($AC$296="","",ROW($A$296)-ROW($A$288))</f>
        <v/>
      </c>
      <c r="AB296" s="478"/>
      <c r="AC296" s="34"/>
      <c r="AD296" s="356"/>
      <c r="AE296" s="479"/>
      <c r="AF296" s="475"/>
      <c r="AG296" s="480" t="str">
        <f t="shared" si="76"/>
        <v/>
      </c>
      <c r="AH296" s="481" t="str">
        <f t="shared" si="77"/>
        <v/>
      </c>
      <c r="AI296" s="477" t="str">
        <f>IF($AC$296="","",IFERROR(INDEX($AZ$74:$AZ$119,MATCH($AH$296,$AY$74:$AY$119,0)),"AUTRE"))</f>
        <v/>
      </c>
      <c r="AJ296" s="482" t="str">
        <f>IF($AC$296="","",IFERROR(INDEX($BA$74:$BA$119,MATCH($AH$296,$AY$74:$AY$119,0)),1))</f>
        <v/>
      </c>
      <c r="AK296" s="482" t="str">
        <f t="shared" si="66"/>
        <v/>
      </c>
      <c r="AL296" s="477" t="str">
        <f>IF($AC$296="","",IFERROR(INDEX($BB$74:$BB$119,MATCH($AH$296,$AY$74:$AY$119,0)),$AH$296))</f>
        <v/>
      </c>
      <c r="AM296" s="483" t="str">
        <f t="shared" si="78"/>
        <v/>
      </c>
      <c r="AN296" s="484" t="str">
        <f t="shared" si="79"/>
        <v/>
      </c>
      <c r="AO296" s="473" t="str">
        <f t="shared" si="80"/>
        <v/>
      </c>
      <c r="AP296" s="473" t="str">
        <f t="shared" si="81"/>
        <v/>
      </c>
      <c r="AQ296" s="473" t="str">
        <f t="shared" si="82"/>
        <v/>
      </c>
      <c r="AR296" s="473" t="str">
        <f t="shared" si="83"/>
        <v/>
      </c>
      <c r="AS296" s="473" t="str">
        <f t="shared" si="84"/>
        <v/>
      </c>
      <c r="AT296" s="473" t="str">
        <f t="shared" si="85"/>
        <v/>
      </c>
      <c r="AU296" s="473" t="str">
        <f t="shared" si="86"/>
        <v/>
      </c>
      <c r="AZ296" s="32" t="s">
        <v>8139</v>
      </c>
      <c r="BA296" s="34" t="s">
        <v>6131</v>
      </c>
      <c r="BB296" s="499"/>
      <c r="BC296" s="271"/>
      <c r="BD296" s="279">
        <v>1</v>
      </c>
      <c r="BE296" s="271"/>
      <c r="BF296" s="271"/>
      <c r="BG296" s="271"/>
      <c r="BH296" s="271"/>
      <c r="BI296" s="271"/>
      <c r="BJ296" s="271"/>
      <c r="BK296" s="271"/>
      <c r="BL296" s="271"/>
    </row>
    <row r="297" spans="18:64" ht="21" customHeight="1" x14ac:dyDescent="0.25">
      <c r="R297" s="34" t="s">
        <v>6132</v>
      </c>
      <c r="S297" s="451"/>
      <c r="T297" s="32" t="s">
        <v>316</v>
      </c>
      <c r="V297" s="475">
        <v>7</v>
      </c>
      <c r="W297" s="475" t="str">
        <f>IF($AC$297="","",$W$288)</f>
        <v/>
      </c>
      <c r="X297" s="476" t="str">
        <f>IF($AC$297="","",$X$288)</f>
        <v/>
      </c>
      <c r="Y297" s="477" t="str">
        <f>IF($X$297="","",$Y$288)</f>
        <v/>
      </c>
      <c r="Z297" s="477" t="str">
        <f>IF($X$297="","",$Z$288)</f>
        <v/>
      </c>
      <c r="AA297" s="477" t="str">
        <f>IF($AC$297="","",ROW($A$297)-ROW($A$288))</f>
        <v/>
      </c>
      <c r="AB297" s="478"/>
      <c r="AC297" s="34"/>
      <c r="AD297" s="356"/>
      <c r="AE297" s="479"/>
      <c r="AF297" s="475"/>
      <c r="AG297" s="480" t="str">
        <f t="shared" si="76"/>
        <v/>
      </c>
      <c r="AH297" s="481" t="str">
        <f t="shared" si="77"/>
        <v/>
      </c>
      <c r="AI297" s="477" t="str">
        <f>IF($AC$297="","",IFERROR(INDEX($AZ$74:$AZ$119,MATCH($AH$297,$AY$74:$AY$119,0)),"AUTRE"))</f>
        <v/>
      </c>
      <c r="AJ297" s="482" t="str">
        <f>IF($AC$297="","",IFERROR(INDEX($BA$74:$BA$119,MATCH($AH$297,$AY$74:$AY$119,0)),1))</f>
        <v/>
      </c>
      <c r="AK297" s="482" t="str">
        <f t="shared" si="66"/>
        <v/>
      </c>
      <c r="AL297" s="477" t="str">
        <f>IF($AC$297="","",IFERROR(INDEX($BB$74:$BB$119,MATCH($AH$297,$AY$74:$AY$119,0)),$AH$297))</f>
        <v/>
      </c>
      <c r="AM297" s="483" t="str">
        <f t="shared" si="78"/>
        <v/>
      </c>
      <c r="AN297" s="484" t="str">
        <f t="shared" si="79"/>
        <v/>
      </c>
      <c r="AO297" s="473" t="str">
        <f t="shared" si="80"/>
        <v/>
      </c>
      <c r="AP297" s="473" t="str">
        <f t="shared" si="81"/>
        <v/>
      </c>
      <c r="AQ297" s="473" t="str">
        <f t="shared" si="82"/>
        <v/>
      </c>
      <c r="AR297" s="473" t="str">
        <f t="shared" si="83"/>
        <v/>
      </c>
      <c r="AS297" s="473" t="str">
        <f t="shared" si="84"/>
        <v/>
      </c>
      <c r="AT297" s="473" t="str">
        <f t="shared" si="85"/>
        <v/>
      </c>
      <c r="AU297" s="473" t="str">
        <f t="shared" si="86"/>
        <v/>
      </c>
      <c r="AZ297" s="32" t="s">
        <v>8141</v>
      </c>
      <c r="BA297" s="34" t="s">
        <v>485</v>
      </c>
      <c r="BB297" s="499"/>
      <c r="BC297" s="271"/>
      <c r="BD297" s="279">
        <v>1</v>
      </c>
      <c r="BE297" s="271"/>
      <c r="BF297" s="271"/>
      <c r="BG297" s="271"/>
      <c r="BH297" s="271"/>
      <c r="BI297" s="271"/>
      <c r="BJ297" s="271"/>
      <c r="BK297" s="271"/>
      <c r="BL297" s="271"/>
    </row>
    <row r="298" spans="18:64" ht="21" customHeight="1" x14ac:dyDescent="0.25">
      <c r="R298" s="25" t="s">
        <v>6133</v>
      </c>
      <c r="S298" s="451"/>
      <c r="T298" s="32" t="s">
        <v>313</v>
      </c>
      <c r="V298" s="475">
        <v>7</v>
      </c>
      <c r="W298" s="475" t="str">
        <f>IF($AC$298="","",$W$288)</f>
        <v/>
      </c>
      <c r="X298" s="476" t="str">
        <f>IF($AC$298="","",$X$288)</f>
        <v/>
      </c>
      <c r="Y298" s="477" t="str">
        <f>IF($X$298="","",$Y$288)</f>
        <v/>
      </c>
      <c r="Z298" s="477" t="str">
        <f>IF($X$298="","",$Z$288)</f>
        <v/>
      </c>
      <c r="AA298" s="477" t="str">
        <f>IF($AC$298="","",ROW($A$298)-ROW($A$288))</f>
        <v/>
      </c>
      <c r="AB298" s="478"/>
      <c r="AC298" s="34"/>
      <c r="AD298" s="356"/>
      <c r="AE298" s="479"/>
      <c r="AF298" s="475"/>
      <c r="AG298" s="480" t="str">
        <f t="shared" si="76"/>
        <v/>
      </c>
      <c r="AH298" s="481" t="str">
        <f t="shared" si="77"/>
        <v/>
      </c>
      <c r="AI298" s="477" t="str">
        <f>IF($AC$298="","",IFERROR(INDEX($AZ$74:$AZ$119,MATCH($AH$298,$AY$74:$AY$119,0)),"AUTRE"))</f>
        <v/>
      </c>
      <c r="AJ298" s="482" t="str">
        <f>IF($AC$298="","",IFERROR(INDEX($BA$74:$BA$119,MATCH($AH$298,$AY$74:$AY$119,0)),1))</f>
        <v/>
      </c>
      <c r="AK298" s="482" t="str">
        <f t="shared" si="66"/>
        <v/>
      </c>
      <c r="AL298" s="477" t="str">
        <f>IF($AC$298="","",IFERROR(INDEX($BB$74:$BB$119,MATCH($AH$298,$AY$74:$AY$119,0)),$AH$298))</f>
        <v/>
      </c>
      <c r="AM298" s="483" t="str">
        <f t="shared" si="78"/>
        <v/>
      </c>
      <c r="AN298" s="484" t="str">
        <f t="shared" si="79"/>
        <v/>
      </c>
      <c r="AO298" s="473" t="str">
        <f t="shared" si="80"/>
        <v/>
      </c>
      <c r="AP298" s="473" t="str">
        <f t="shared" si="81"/>
        <v/>
      </c>
      <c r="AQ298" s="473" t="str">
        <f t="shared" si="82"/>
        <v/>
      </c>
      <c r="AR298" s="473" t="str">
        <f t="shared" si="83"/>
        <v/>
      </c>
      <c r="AS298" s="473" t="str">
        <f t="shared" si="84"/>
        <v/>
      </c>
      <c r="AT298" s="473" t="str">
        <f t="shared" si="85"/>
        <v/>
      </c>
      <c r="AU298" s="473" t="str">
        <f t="shared" si="86"/>
        <v/>
      </c>
      <c r="AZ298" s="32" t="s">
        <v>8143</v>
      </c>
      <c r="BA298" s="34" t="s">
        <v>6132</v>
      </c>
      <c r="BB298" s="499"/>
      <c r="BC298" s="271"/>
      <c r="BD298" s="279">
        <v>1</v>
      </c>
      <c r="BE298" s="271"/>
      <c r="BF298" s="271"/>
      <c r="BG298" s="271"/>
      <c r="BH298" s="271"/>
      <c r="BI298" s="271"/>
      <c r="BJ298" s="271"/>
      <c r="BK298" s="271"/>
      <c r="BL298" s="271"/>
    </row>
    <row r="299" spans="18:64" ht="21" customHeight="1" x14ac:dyDescent="0.25">
      <c r="R299" s="34" t="s">
        <v>476</v>
      </c>
      <c r="S299" s="451"/>
      <c r="T299" s="32" t="s">
        <v>307</v>
      </c>
      <c r="V299" s="475">
        <v>7</v>
      </c>
      <c r="W299" s="475" t="str">
        <f>IF($AC$299="","",$W$288)</f>
        <v/>
      </c>
      <c r="X299" s="476" t="str">
        <f>IF($AC$299="","",$X$288)</f>
        <v/>
      </c>
      <c r="Y299" s="477" t="str">
        <f>IF($X$299="","",$Y$288)</f>
        <v/>
      </c>
      <c r="Z299" s="477" t="str">
        <f>IF($X$299="","",$Z$288)</f>
        <v/>
      </c>
      <c r="AA299" s="477" t="str">
        <f>IF($AC$299="","",ROW($A$299)-ROW($A$288))</f>
        <v/>
      </c>
      <c r="AB299" s="478"/>
      <c r="AC299" s="34"/>
      <c r="AD299" s="356"/>
      <c r="AE299" s="479"/>
      <c r="AF299" s="475"/>
      <c r="AG299" s="480" t="str">
        <f t="shared" si="76"/>
        <v/>
      </c>
      <c r="AH299" s="481" t="str">
        <f t="shared" si="77"/>
        <v/>
      </c>
      <c r="AI299" s="477" t="str">
        <f>IF($AC$299="","",IFERROR(INDEX($AZ$74:$AZ$119,MATCH($AH$299,$AY$74:$AY$119,0)),"AUTRE"))</f>
        <v/>
      </c>
      <c r="AJ299" s="482" t="str">
        <f>IF($AC$299="","",IFERROR(INDEX($BA$74:$BA$119,MATCH($AH$299,$AY$74:$AY$119,0)),1))</f>
        <v/>
      </c>
      <c r="AK299" s="482" t="str">
        <f t="shared" si="66"/>
        <v/>
      </c>
      <c r="AL299" s="477" t="str">
        <f>IF($AC$299="","",IFERROR(INDEX($BB$74:$BB$119,MATCH($AH$299,$AY$74:$AY$119,0)),$AH$299))</f>
        <v/>
      </c>
      <c r="AM299" s="483" t="str">
        <f t="shared" si="78"/>
        <v/>
      </c>
      <c r="AN299" s="484" t="str">
        <f t="shared" si="79"/>
        <v/>
      </c>
      <c r="AO299" s="473" t="str">
        <f t="shared" si="80"/>
        <v/>
      </c>
      <c r="AP299" s="473" t="str">
        <f t="shared" si="81"/>
        <v/>
      </c>
      <c r="AQ299" s="473" t="str">
        <f t="shared" si="82"/>
        <v/>
      </c>
      <c r="AR299" s="473" t="str">
        <f t="shared" si="83"/>
        <v/>
      </c>
      <c r="AS299" s="473" t="str">
        <f t="shared" si="84"/>
        <v/>
      </c>
      <c r="AT299" s="473" t="str">
        <f t="shared" si="85"/>
        <v/>
      </c>
      <c r="AU299" s="473" t="str">
        <f t="shared" si="86"/>
        <v/>
      </c>
      <c r="AZ299" s="497" t="s">
        <v>8145</v>
      </c>
      <c r="BA299" s="25" t="s">
        <v>6133</v>
      </c>
      <c r="BB299" s="499"/>
      <c r="BC299" s="271"/>
      <c r="BD299" s="279">
        <v>1</v>
      </c>
      <c r="BE299" s="271"/>
      <c r="BF299" s="271"/>
      <c r="BG299" s="271"/>
      <c r="BH299" s="271"/>
      <c r="BI299" s="271"/>
      <c r="BJ299" s="271"/>
      <c r="BK299" s="271"/>
      <c r="BL299" s="271"/>
    </row>
    <row r="300" spans="18:64" ht="21" customHeight="1" x14ac:dyDescent="0.25">
      <c r="R300" s="34" t="s">
        <v>468</v>
      </c>
      <c r="S300" s="451"/>
      <c r="T300" s="32" t="s">
        <v>322</v>
      </c>
      <c r="V300" s="475">
        <v>7</v>
      </c>
      <c r="W300" s="475" t="str">
        <f>IF($AC$300="","",$W$288)</f>
        <v/>
      </c>
      <c r="X300" s="476" t="str">
        <f>IF($AC$300="","",$X$288)</f>
        <v/>
      </c>
      <c r="Y300" s="477" t="str">
        <f>IF($X$300="","",$Y$288)</f>
        <v/>
      </c>
      <c r="Z300" s="477" t="str">
        <f>IF($X$300="","",$Z$288)</f>
        <v/>
      </c>
      <c r="AA300" s="477" t="str">
        <f>IF($AC$300="","",ROW($A$300)-ROW($A$288))</f>
        <v/>
      </c>
      <c r="AB300" s="478"/>
      <c r="AC300" s="34"/>
      <c r="AD300" s="356"/>
      <c r="AE300" s="479"/>
      <c r="AF300" s="475"/>
      <c r="AG300" s="480" t="str">
        <f t="shared" si="76"/>
        <v/>
      </c>
      <c r="AH300" s="481" t="str">
        <f t="shared" si="77"/>
        <v/>
      </c>
      <c r="AI300" s="477" t="str">
        <f>IF($AC$300="","",IFERROR(INDEX($AZ$74:$AZ$119,MATCH($AH$300,$AY$74:$AY$119,0)),"AUTRE"))</f>
        <v/>
      </c>
      <c r="AJ300" s="482" t="str">
        <f>IF($AC$300="","",IFERROR(INDEX($BA$74:$BA$119,MATCH($AH$300,$AY$74:$AY$119,0)),1))</f>
        <v/>
      </c>
      <c r="AK300" s="482" t="str">
        <f t="shared" si="66"/>
        <v/>
      </c>
      <c r="AL300" s="477" t="str">
        <f>IF($AC$300="","",IFERROR(INDEX($BB$74:$BB$119,MATCH($AH$300,$AY$74:$AY$119,0)),$AH$300))</f>
        <v/>
      </c>
      <c r="AM300" s="483" t="str">
        <f t="shared" si="78"/>
        <v/>
      </c>
      <c r="AN300" s="484" t="str">
        <f t="shared" si="79"/>
        <v/>
      </c>
      <c r="AO300" s="473" t="str">
        <f t="shared" si="80"/>
        <v/>
      </c>
      <c r="AP300" s="473" t="str">
        <f t="shared" si="81"/>
        <v/>
      </c>
      <c r="AQ300" s="473" t="str">
        <f t="shared" si="82"/>
        <v/>
      </c>
      <c r="AR300" s="473" t="str">
        <f t="shared" si="83"/>
        <v/>
      </c>
      <c r="AS300" s="473" t="str">
        <f t="shared" si="84"/>
        <v/>
      </c>
      <c r="AT300" s="473" t="str">
        <f t="shared" si="85"/>
        <v/>
      </c>
      <c r="AU300" s="473" t="str">
        <f t="shared" si="86"/>
        <v/>
      </c>
      <c r="AZ300" s="497" t="s">
        <v>462</v>
      </c>
      <c r="BA300" s="34" t="s">
        <v>476</v>
      </c>
      <c r="BB300" s="499"/>
      <c r="BC300" s="271"/>
      <c r="BD300" s="279">
        <v>1</v>
      </c>
      <c r="BE300" s="271"/>
      <c r="BF300" s="271"/>
      <c r="BG300" s="271"/>
      <c r="BH300" s="271"/>
      <c r="BI300" s="271"/>
      <c r="BJ300" s="271"/>
      <c r="BK300" s="271"/>
      <c r="BL300" s="271"/>
    </row>
    <row r="301" spans="18:64" ht="21" customHeight="1" x14ac:dyDescent="0.25">
      <c r="R301" s="34" t="s">
        <v>473</v>
      </c>
      <c r="S301" s="451"/>
      <c r="T301" s="32" t="s">
        <v>305</v>
      </c>
      <c r="V301" s="475">
        <v>7</v>
      </c>
      <c r="W301" s="475" t="str">
        <f>IF($AC$301="","",$W$288)</f>
        <v/>
      </c>
      <c r="X301" s="476" t="str">
        <f>IF($AC$301="","",$X$288)</f>
        <v/>
      </c>
      <c r="Y301" s="477" t="str">
        <f>IF($X$301="","",$Y$288)</f>
        <v/>
      </c>
      <c r="Z301" s="477" t="str">
        <f>IF($X$301="","",$Z$288)</f>
        <v/>
      </c>
      <c r="AA301" s="477" t="str">
        <f>IF($AC$301="","",ROW($A$301)-ROW($A$288))</f>
        <v/>
      </c>
      <c r="AB301" s="478"/>
      <c r="AC301" s="34"/>
      <c r="AD301" s="356"/>
      <c r="AE301" s="479"/>
      <c r="AF301" s="475"/>
      <c r="AG301" s="480" t="str">
        <f t="shared" si="76"/>
        <v/>
      </c>
      <c r="AH301" s="481" t="str">
        <f t="shared" si="77"/>
        <v/>
      </c>
      <c r="AI301" s="477" t="str">
        <f>IF($AC$301="","",IFERROR(INDEX($AZ$74:$AZ$119,MATCH($AH$301,$AY$74:$AY$119,0)),"AUTRE"))</f>
        <v/>
      </c>
      <c r="AJ301" s="482" t="str">
        <f>IF($AC$301="","",IFERROR(INDEX($BA$74:$BA$119,MATCH($AH$301,$AY$74:$AY$119,0)),1))</f>
        <v/>
      </c>
      <c r="AK301" s="482" t="str">
        <f t="shared" si="66"/>
        <v/>
      </c>
      <c r="AL301" s="477" t="str">
        <f>IF($AC$301="","",IFERROR(INDEX($BB$74:$BB$119,MATCH($AH$301,$AY$74:$AY$119,0)),$AH$301))</f>
        <v/>
      </c>
      <c r="AM301" s="483" t="str">
        <f t="shared" si="78"/>
        <v/>
      </c>
      <c r="AN301" s="484" t="str">
        <f t="shared" si="79"/>
        <v/>
      </c>
      <c r="AO301" s="473" t="str">
        <f t="shared" si="80"/>
        <v/>
      </c>
      <c r="AP301" s="473" t="str">
        <f t="shared" si="81"/>
        <v/>
      </c>
      <c r="AQ301" s="473" t="str">
        <f t="shared" si="82"/>
        <v/>
      </c>
      <c r="AR301" s="473" t="str">
        <f t="shared" si="83"/>
        <v/>
      </c>
      <c r="AS301" s="473" t="str">
        <f t="shared" si="84"/>
        <v/>
      </c>
      <c r="AT301" s="473" t="str">
        <f t="shared" si="85"/>
        <v/>
      </c>
      <c r="AU301" s="473" t="str">
        <f t="shared" si="86"/>
        <v/>
      </c>
      <c r="AZ301" s="497" t="s">
        <v>463</v>
      </c>
      <c r="BA301" s="34" t="s">
        <v>468</v>
      </c>
      <c r="BB301" s="499"/>
      <c r="BC301" s="271"/>
      <c r="BD301" s="279">
        <v>1</v>
      </c>
      <c r="BE301" s="271"/>
      <c r="BF301" s="271"/>
      <c r="BG301" s="271"/>
      <c r="BH301" s="271"/>
      <c r="BI301" s="271"/>
      <c r="BJ301" s="271"/>
      <c r="BK301" s="271"/>
      <c r="BL301" s="271"/>
    </row>
    <row r="302" spans="18:64" ht="21" customHeight="1" x14ac:dyDescent="0.25">
      <c r="R302" s="34" t="s">
        <v>497</v>
      </c>
      <c r="S302" s="451"/>
      <c r="T302" s="32" t="s">
        <v>309</v>
      </c>
      <c r="V302" s="475">
        <v>7</v>
      </c>
      <c r="W302" s="475" t="str">
        <f>IF($AC$302="","",$W$288)</f>
        <v/>
      </c>
      <c r="X302" s="476" t="str">
        <f>IF($AC$302="","",$X$288)</f>
        <v/>
      </c>
      <c r="Y302" s="477" t="str">
        <f>IF($X$302="","",$Y$288)</f>
        <v/>
      </c>
      <c r="Z302" s="477" t="str">
        <f>IF($X$302="","",$Z$288)</f>
        <v/>
      </c>
      <c r="AA302" s="477" t="str">
        <f>IF($AC$302="","",ROW($A$302)-ROW($A$288))</f>
        <v/>
      </c>
      <c r="AB302" s="478"/>
      <c r="AC302" s="34"/>
      <c r="AD302" s="356"/>
      <c r="AE302" s="479"/>
      <c r="AF302" s="475"/>
      <c r="AG302" s="480" t="str">
        <f t="shared" si="76"/>
        <v/>
      </c>
      <c r="AH302" s="481" t="str">
        <f t="shared" si="77"/>
        <v/>
      </c>
      <c r="AI302" s="477" t="str">
        <f>IF($AC$302="","",IFERROR(INDEX($AZ$74:$AZ$119,MATCH($AH$302,$AY$74:$AY$119,0)),"AUTRE"))</f>
        <v/>
      </c>
      <c r="AJ302" s="482" t="str">
        <f>IF($AC$302="","",IFERROR(INDEX($BA$74:$BA$119,MATCH($AH$302,$AY$74:$AY$119,0)),1))</f>
        <v/>
      </c>
      <c r="AK302" s="482" t="str">
        <f t="shared" si="66"/>
        <v/>
      </c>
      <c r="AL302" s="477" t="str">
        <f>IF($AC$302="","",IFERROR(INDEX($BB$74:$BB$119,MATCH($AH$302,$AY$74:$AY$119,0)),$AH$302))</f>
        <v/>
      </c>
      <c r="AM302" s="483" t="str">
        <f t="shared" si="78"/>
        <v/>
      </c>
      <c r="AN302" s="484" t="str">
        <f t="shared" si="79"/>
        <v/>
      </c>
      <c r="AO302" s="473" t="str">
        <f t="shared" si="80"/>
        <v/>
      </c>
      <c r="AP302" s="473" t="str">
        <f t="shared" si="81"/>
        <v/>
      </c>
      <c r="AQ302" s="473" t="str">
        <f t="shared" si="82"/>
        <v/>
      </c>
      <c r="AR302" s="473" t="str">
        <f t="shared" si="83"/>
        <v/>
      </c>
      <c r="AS302" s="473" t="str">
        <f t="shared" si="84"/>
        <v/>
      </c>
      <c r="AT302" s="473" t="str">
        <f t="shared" si="85"/>
        <v/>
      </c>
      <c r="AU302" s="473" t="str">
        <f t="shared" si="86"/>
        <v/>
      </c>
      <c r="AZ302" s="497" t="s">
        <v>8147</v>
      </c>
      <c r="BA302" s="34" t="s">
        <v>473</v>
      </c>
      <c r="BB302" s="499"/>
      <c r="BC302" s="271"/>
      <c r="BD302" s="279">
        <v>1</v>
      </c>
      <c r="BE302" s="271"/>
      <c r="BF302" s="271"/>
      <c r="BG302" s="271"/>
      <c r="BH302" s="271"/>
      <c r="BI302" s="271"/>
      <c r="BJ302" s="271"/>
      <c r="BK302" s="271"/>
      <c r="BL302" s="271"/>
    </row>
    <row r="303" spans="18:64" ht="21" customHeight="1" x14ac:dyDescent="0.25">
      <c r="R303" s="34" t="s">
        <v>470</v>
      </c>
      <c r="S303" s="451"/>
      <c r="T303" s="32" t="s">
        <v>311</v>
      </c>
      <c r="V303" s="475">
        <v>7</v>
      </c>
      <c r="W303" s="475" t="str">
        <f>IF($AC$303="","",$W$288)</f>
        <v/>
      </c>
      <c r="X303" s="476" t="str">
        <f>IF($AC$303="","",$X$288)</f>
        <v/>
      </c>
      <c r="Y303" s="477" t="str">
        <f>IF($X$303="","",$Y$288)</f>
        <v/>
      </c>
      <c r="Z303" s="477" t="str">
        <f>IF($X$303="","",$Z$288)</f>
        <v/>
      </c>
      <c r="AA303" s="477" t="str">
        <f>IF($AC$303="","",ROW($A$303)-ROW($A$288))</f>
        <v/>
      </c>
      <c r="AB303" s="478"/>
      <c r="AC303" s="34"/>
      <c r="AD303" s="356"/>
      <c r="AE303" s="479"/>
      <c r="AF303" s="475"/>
      <c r="AG303" s="480" t="str">
        <f t="shared" si="76"/>
        <v/>
      </c>
      <c r="AH303" s="481" t="str">
        <f t="shared" si="77"/>
        <v/>
      </c>
      <c r="AI303" s="477" t="str">
        <f>IF($AC$303="","",IFERROR(INDEX($AZ$74:$AZ$119,MATCH($AH$303,$AY$74:$AY$119,0)),"AUTRE"))</f>
        <v/>
      </c>
      <c r="AJ303" s="482" t="str">
        <f>IF($AC$303="","",IFERROR(INDEX($BA$74:$BA$119,MATCH($AH$303,$AY$74:$AY$119,0)),1))</f>
        <v/>
      </c>
      <c r="AK303" s="482" t="str">
        <f t="shared" si="66"/>
        <v/>
      </c>
      <c r="AL303" s="477" t="str">
        <f>IF($AC$303="","",IFERROR(INDEX($BB$74:$BB$119,MATCH($AH$303,$AY$74:$AY$119,0)),$AH$303))</f>
        <v/>
      </c>
      <c r="AM303" s="483" t="str">
        <f t="shared" si="78"/>
        <v/>
      </c>
      <c r="AN303" s="484" t="str">
        <f t="shared" si="79"/>
        <v/>
      </c>
      <c r="AO303" s="473" t="str">
        <f t="shared" si="80"/>
        <v/>
      </c>
      <c r="AP303" s="473" t="str">
        <f t="shared" si="81"/>
        <v/>
      </c>
      <c r="AQ303" s="473" t="str">
        <f t="shared" si="82"/>
        <v/>
      </c>
      <c r="AR303" s="473" t="str">
        <f t="shared" si="83"/>
        <v/>
      </c>
      <c r="AS303" s="473" t="str">
        <f t="shared" si="84"/>
        <v/>
      </c>
      <c r="AT303" s="473" t="str">
        <f t="shared" si="85"/>
        <v/>
      </c>
      <c r="AU303" s="473" t="str">
        <f t="shared" si="86"/>
        <v/>
      </c>
      <c r="AZ303" s="497" t="s">
        <v>465</v>
      </c>
      <c r="BA303" s="34" t="s">
        <v>497</v>
      </c>
      <c r="BB303" s="499"/>
      <c r="BC303" s="271"/>
      <c r="BD303" s="279">
        <v>1</v>
      </c>
      <c r="BE303" s="271"/>
      <c r="BF303" s="271"/>
      <c r="BG303" s="271"/>
      <c r="BH303" s="271"/>
      <c r="BI303" s="271"/>
      <c r="BJ303" s="271"/>
      <c r="BK303" s="271"/>
      <c r="BL303" s="271"/>
    </row>
    <row r="304" spans="18:64" ht="21" customHeight="1" x14ac:dyDescent="0.25">
      <c r="R304" s="34" t="s">
        <v>477</v>
      </c>
      <c r="S304" s="451"/>
      <c r="T304" s="32" t="s">
        <v>8135</v>
      </c>
      <c r="V304" s="475">
        <v>7</v>
      </c>
      <c r="W304" s="475" t="str">
        <f>IF($AC$304="","",$W$288)</f>
        <v/>
      </c>
      <c r="X304" s="476" t="str">
        <f>IF($AC$304="","",$X$288)</f>
        <v/>
      </c>
      <c r="Y304" s="477" t="str">
        <f>IF($X$304="","",$Y$288)</f>
        <v/>
      </c>
      <c r="Z304" s="477" t="str">
        <f>IF($X$304="","",$Z$288)</f>
        <v/>
      </c>
      <c r="AA304" s="477" t="str">
        <f>IF($AC$304="","",ROW($A$304)-ROW($A$288))</f>
        <v/>
      </c>
      <c r="AB304" s="478"/>
      <c r="AC304" s="34"/>
      <c r="AD304" s="356"/>
      <c r="AE304" s="479"/>
      <c r="AF304" s="475"/>
      <c r="AG304" s="480" t="str">
        <f t="shared" si="76"/>
        <v/>
      </c>
      <c r="AH304" s="481" t="str">
        <f t="shared" si="77"/>
        <v/>
      </c>
      <c r="AI304" s="477" t="str">
        <f>IF($AC$304="","",IFERROR(INDEX($AZ$74:$AZ$119,MATCH($AH$304,$AY$74:$AY$119,0)),"AUTRE"))</f>
        <v/>
      </c>
      <c r="AJ304" s="482" t="str">
        <f>IF($AC$304="","",IFERROR(INDEX($BA$74:$BA$119,MATCH($AH$304,$AY$74:$AY$119,0)),1))</f>
        <v/>
      </c>
      <c r="AK304" s="482" t="str">
        <f t="shared" si="66"/>
        <v/>
      </c>
      <c r="AL304" s="477" t="str">
        <f>IF($AC$304="","",IFERROR(INDEX($BB$74:$BB$119,MATCH($AH$304,$AY$74:$AY$119,0)),$AH$304))</f>
        <v/>
      </c>
      <c r="AM304" s="483" t="str">
        <f t="shared" si="78"/>
        <v/>
      </c>
      <c r="AN304" s="484" t="str">
        <f t="shared" si="79"/>
        <v/>
      </c>
      <c r="AO304" s="473" t="str">
        <f t="shared" si="80"/>
        <v/>
      </c>
      <c r="AP304" s="473" t="str">
        <f t="shared" si="81"/>
        <v/>
      </c>
      <c r="AQ304" s="473" t="str">
        <f t="shared" si="82"/>
        <v/>
      </c>
      <c r="AR304" s="473" t="str">
        <f t="shared" si="83"/>
        <v/>
      </c>
      <c r="AS304" s="473" t="str">
        <f t="shared" si="84"/>
        <v/>
      </c>
      <c r="AT304" s="473" t="str">
        <f t="shared" si="85"/>
        <v/>
      </c>
      <c r="AU304" s="473" t="str">
        <f t="shared" si="86"/>
        <v/>
      </c>
      <c r="AZ304" s="497" t="s">
        <v>466</v>
      </c>
      <c r="BA304" s="34" t="s">
        <v>470</v>
      </c>
      <c r="BB304" s="499"/>
      <c r="BC304" s="271"/>
      <c r="BD304" s="279">
        <v>1</v>
      </c>
      <c r="BE304" s="271"/>
      <c r="BF304" s="271"/>
      <c r="BG304" s="271"/>
      <c r="BH304" s="271"/>
      <c r="BI304" s="271"/>
      <c r="BJ304" s="271"/>
      <c r="BK304" s="271"/>
      <c r="BL304" s="271"/>
    </row>
    <row r="305" spans="18:64" ht="21" customHeight="1" x14ac:dyDescent="0.25">
      <c r="S305" s="451"/>
      <c r="T305" s="497" t="s">
        <v>462</v>
      </c>
      <c r="V305" s="475">
        <v>7</v>
      </c>
      <c r="W305" s="475" t="str">
        <f>IF($AC$305="","",$W$288)</f>
        <v/>
      </c>
      <c r="X305" s="476" t="str">
        <f>IF($AC$305="","",$X$288)</f>
        <v/>
      </c>
      <c r="Y305" s="477" t="str">
        <f>IF($X$305="","",$Y$288)</f>
        <v/>
      </c>
      <c r="Z305" s="477" t="str">
        <f>IF($X$305="","",$Z$288)</f>
        <v/>
      </c>
      <c r="AA305" s="477" t="str">
        <f>IF($AC$305="","",ROW($A$305)-ROW($A$288))</f>
        <v/>
      </c>
      <c r="AB305" s="478"/>
      <c r="AC305" s="34"/>
      <c r="AD305" s="356"/>
      <c r="AE305" s="479"/>
      <c r="AF305" s="475"/>
      <c r="AG305" s="480" t="str">
        <f t="shared" si="76"/>
        <v/>
      </c>
      <c r="AH305" s="481" t="str">
        <f t="shared" si="77"/>
        <v/>
      </c>
      <c r="AI305" s="477" t="str">
        <f>IF($AC$305="","",IFERROR(INDEX($AZ$74:$AZ$119,MATCH($AH$305,$AY$74:$AY$119,0)),"AUTRE"))</f>
        <v/>
      </c>
      <c r="AJ305" s="482" t="str">
        <f>IF($AC$305="","",IFERROR(INDEX($BA$74:$BA$119,MATCH($AH$305,$AY$74:$AY$119,0)),1))</f>
        <v/>
      </c>
      <c r="AK305" s="482" t="str">
        <f t="shared" si="66"/>
        <v/>
      </c>
      <c r="AL305" s="477" t="str">
        <f>IF($AC$305="","",IFERROR(INDEX($BB$74:$BB$119,MATCH($AH$305,$AY$74:$AY$119,0)),$AH$305))</f>
        <v/>
      </c>
      <c r="AM305" s="483" t="str">
        <f t="shared" si="78"/>
        <v/>
      </c>
      <c r="AN305" s="484" t="str">
        <f t="shared" si="79"/>
        <v/>
      </c>
      <c r="AO305" s="473" t="str">
        <f t="shared" si="80"/>
        <v/>
      </c>
      <c r="AP305" s="473" t="str">
        <f t="shared" si="81"/>
        <v/>
      </c>
      <c r="AQ305" s="473" t="str">
        <f t="shared" si="82"/>
        <v/>
      </c>
      <c r="AR305" s="473" t="str">
        <f t="shared" si="83"/>
        <v/>
      </c>
      <c r="AS305" s="473" t="str">
        <f t="shared" si="84"/>
        <v/>
      </c>
      <c r="AT305" s="473" t="str">
        <f t="shared" si="85"/>
        <v/>
      </c>
      <c r="AU305" s="473" t="str">
        <f t="shared" si="86"/>
        <v/>
      </c>
      <c r="AZ305" s="14" t="s">
        <v>7</v>
      </c>
      <c r="BA305" s="34" t="s">
        <v>477</v>
      </c>
      <c r="BB305" s="499"/>
      <c r="BC305" s="271"/>
      <c r="BD305" s="279">
        <v>1</v>
      </c>
      <c r="BE305" s="271"/>
      <c r="BF305" s="271"/>
      <c r="BG305" s="271"/>
      <c r="BH305" s="271"/>
      <c r="BI305" s="271"/>
      <c r="BJ305" s="271"/>
      <c r="BK305" s="271"/>
      <c r="BL305" s="271"/>
    </row>
    <row r="306" spans="18:64" ht="21" customHeight="1" x14ac:dyDescent="0.25">
      <c r="R306" s="25" t="s">
        <v>6134</v>
      </c>
      <c r="S306" s="451"/>
      <c r="T306" s="497" t="s">
        <v>463</v>
      </c>
      <c r="V306" s="475">
        <v>7</v>
      </c>
      <c r="W306" s="475" t="str">
        <f>IF($AC$306="","",$W$288)</f>
        <v/>
      </c>
      <c r="X306" s="476" t="str">
        <f>IF($AC$306="","",$X$288)</f>
        <v/>
      </c>
      <c r="Y306" s="477" t="str">
        <f>IF($X$306="","",$Y$288)</f>
        <v/>
      </c>
      <c r="Z306" s="477" t="str">
        <f>IF($X$306="","",$Z$288)</f>
        <v/>
      </c>
      <c r="AA306" s="477" t="str">
        <f>IF($AC$306="","",ROW($A$306)-ROW($A$288))</f>
        <v/>
      </c>
      <c r="AB306" s="478"/>
      <c r="AC306" s="34"/>
      <c r="AD306" s="356"/>
      <c r="AE306" s="479"/>
      <c r="AF306" s="475"/>
      <c r="AG306" s="480" t="str">
        <f t="shared" si="76"/>
        <v/>
      </c>
      <c r="AH306" s="481" t="str">
        <f t="shared" si="77"/>
        <v/>
      </c>
      <c r="AI306" s="477" t="str">
        <f>IF($AC$306="","",IFERROR(INDEX($AZ$74:$AZ$119,MATCH($AH$306,$AY$74:$AY$119,0)),"AUTRE"))</f>
        <v/>
      </c>
      <c r="AJ306" s="482" t="str">
        <f>IF($AC$306="","",IFERROR(INDEX($BA$74:$BA$119,MATCH($AH$306,$AY$74:$AY$119,0)),1))</f>
        <v/>
      </c>
      <c r="AK306" s="482" t="str">
        <f t="shared" si="66"/>
        <v/>
      </c>
      <c r="AL306" s="477" t="str">
        <f>IF($AC$306="","",IFERROR(INDEX($BB$74:$BB$119,MATCH($AH$306,$AY$74:$AY$119,0)),$AH$306))</f>
        <v/>
      </c>
      <c r="AM306" s="483" t="str">
        <f t="shared" si="78"/>
        <v/>
      </c>
      <c r="AN306" s="484" t="str">
        <f t="shared" si="79"/>
        <v/>
      </c>
      <c r="AO306" s="473" t="str">
        <f t="shared" si="80"/>
        <v/>
      </c>
      <c r="AP306" s="473" t="str">
        <f t="shared" si="81"/>
        <v/>
      </c>
      <c r="AQ306" s="473" t="str">
        <f t="shared" si="82"/>
        <v/>
      </c>
      <c r="AR306" s="473" t="str">
        <f t="shared" si="83"/>
        <v/>
      </c>
      <c r="AS306" s="473" t="str">
        <f t="shared" si="84"/>
        <v/>
      </c>
      <c r="AT306" s="473" t="str">
        <f t="shared" si="85"/>
        <v/>
      </c>
      <c r="AU306" s="473" t="str">
        <f t="shared" si="86"/>
        <v/>
      </c>
      <c r="AZ306" s="27" t="s">
        <v>8</v>
      </c>
      <c r="BB306" s="499"/>
      <c r="BC306" s="271"/>
      <c r="BD306" s="279">
        <v>1</v>
      </c>
      <c r="BE306" s="271"/>
      <c r="BF306" s="271"/>
      <c r="BG306" s="271"/>
      <c r="BH306" s="271"/>
      <c r="BI306" s="271"/>
      <c r="BJ306" s="271"/>
      <c r="BK306" s="271"/>
      <c r="BL306" s="271"/>
    </row>
    <row r="307" spans="18:64" ht="21" customHeight="1" x14ac:dyDescent="0.25">
      <c r="R307" s="34" t="s">
        <v>481</v>
      </c>
      <c r="S307" s="451"/>
      <c r="T307" s="497" t="s">
        <v>8147</v>
      </c>
      <c r="V307" s="475">
        <v>7</v>
      </c>
      <c r="W307" s="475" t="str">
        <f>IF($AC$307="","",$W$288)</f>
        <v/>
      </c>
      <c r="X307" s="476" t="str">
        <f>IF($AC$307="","",$X$288)</f>
        <v/>
      </c>
      <c r="Y307" s="477" t="str">
        <f>IF($X$307="","",$Y$288)</f>
        <v/>
      </c>
      <c r="Z307" s="477" t="str">
        <f>IF($X$307="","",$Z$288)</f>
        <v/>
      </c>
      <c r="AA307" s="477" t="str">
        <f>IF($AC$307="","",ROW($A$307)-ROW($A$288))</f>
        <v/>
      </c>
      <c r="AB307" s="478"/>
      <c r="AC307" s="34"/>
      <c r="AD307" s="356"/>
      <c r="AE307" s="479"/>
      <c r="AF307" s="475"/>
      <c r="AG307" s="480" t="str">
        <f t="shared" si="76"/>
        <v/>
      </c>
      <c r="AH307" s="481" t="str">
        <f t="shared" si="77"/>
        <v/>
      </c>
      <c r="AI307" s="477" t="str">
        <f>IF($AC$307="","",IFERROR(INDEX($AZ$74:$AZ$119,MATCH($AH$307,$AY$74:$AY$119,0)),"AUTRE"))</f>
        <v/>
      </c>
      <c r="AJ307" s="482" t="str">
        <f>IF($AC$307="","",IFERROR(INDEX($BA$74:$BA$119,MATCH($AH$307,$AY$74:$AY$119,0)),1))</f>
        <v/>
      </c>
      <c r="AK307" s="482" t="str">
        <f t="shared" si="66"/>
        <v/>
      </c>
      <c r="AL307" s="477" t="str">
        <f>IF($AC$307="","",IFERROR(INDEX($BB$74:$BB$119,MATCH($AH$307,$AY$74:$AY$119,0)),$AH$307))</f>
        <v/>
      </c>
      <c r="AM307" s="483" t="str">
        <f t="shared" si="78"/>
        <v/>
      </c>
      <c r="AN307" s="484" t="str">
        <f t="shared" si="79"/>
        <v/>
      </c>
      <c r="AO307" s="473" t="str">
        <f t="shared" si="80"/>
        <v/>
      </c>
      <c r="AP307" s="473" t="str">
        <f t="shared" si="81"/>
        <v/>
      </c>
      <c r="AQ307" s="473" t="str">
        <f t="shared" si="82"/>
        <v/>
      </c>
      <c r="AR307" s="473" t="str">
        <f t="shared" si="83"/>
        <v/>
      </c>
      <c r="AS307" s="473" t="str">
        <f t="shared" si="84"/>
        <v/>
      </c>
      <c r="AT307" s="473" t="str">
        <f t="shared" si="85"/>
        <v/>
      </c>
      <c r="AU307" s="473" t="str">
        <f t="shared" si="86"/>
        <v/>
      </c>
      <c r="AZ307" s="28" t="s">
        <v>13</v>
      </c>
      <c r="BA307" s="25" t="s">
        <v>6134</v>
      </c>
      <c r="BB307" s="499"/>
      <c r="BC307" s="271"/>
      <c r="BD307" s="279">
        <v>1</v>
      </c>
      <c r="BE307" s="271"/>
      <c r="BF307" s="271"/>
      <c r="BG307" s="271"/>
      <c r="BH307" s="271"/>
      <c r="BI307" s="271"/>
      <c r="BJ307" s="271"/>
      <c r="BK307" s="271"/>
      <c r="BL307" s="271"/>
    </row>
    <row r="308" spans="18:64" ht="21" customHeight="1" x14ac:dyDescent="0.25">
      <c r="R308" s="34" t="s">
        <v>475</v>
      </c>
      <c r="S308" s="451"/>
      <c r="T308" s="497" t="s">
        <v>465</v>
      </c>
      <c r="V308" s="475">
        <v>7</v>
      </c>
      <c r="W308" s="475" t="str">
        <f>IF($AC$308="","",$W$288)</f>
        <v/>
      </c>
      <c r="X308" s="476" t="str">
        <f>IF($AC$308="","",$X$288)</f>
        <v/>
      </c>
      <c r="Y308" s="477" t="str">
        <f>IF($X$308="","",$Y$288)</f>
        <v/>
      </c>
      <c r="Z308" s="477" t="str">
        <f>IF($X$308="","",$Z$288)</f>
        <v/>
      </c>
      <c r="AA308" s="477" t="str">
        <f>IF($AC$308="","",ROW($A$308)-ROW($A$288))</f>
        <v/>
      </c>
      <c r="AB308" s="478"/>
      <c r="AC308" s="34"/>
      <c r="AD308" s="356"/>
      <c r="AE308" s="479"/>
      <c r="AF308" s="475"/>
      <c r="AG308" s="480" t="str">
        <f t="shared" si="76"/>
        <v/>
      </c>
      <c r="AH308" s="481" t="str">
        <f t="shared" si="77"/>
        <v/>
      </c>
      <c r="AI308" s="477" t="str">
        <f>IF($AC$308="","",IFERROR(INDEX($AZ$74:$AZ$119,MATCH($AH$308,$AY$74:$AY$119,0)),"AUTRE"))</f>
        <v/>
      </c>
      <c r="AJ308" s="482" t="str">
        <f>IF($AC$308="","",IFERROR(INDEX($BA$74:$BA$119,MATCH($AH$308,$AY$74:$AY$119,0)),1))</f>
        <v/>
      </c>
      <c r="AK308" s="482" t="str">
        <f t="shared" si="66"/>
        <v/>
      </c>
      <c r="AL308" s="477" t="str">
        <f>IF($AC$308="","",IFERROR(INDEX($BB$74:$BB$119,MATCH($AH$308,$AY$74:$AY$119,0)),$AH$308))</f>
        <v/>
      </c>
      <c r="AM308" s="483" t="str">
        <f t="shared" si="78"/>
        <v/>
      </c>
      <c r="AN308" s="484" t="str">
        <f t="shared" si="79"/>
        <v/>
      </c>
      <c r="AO308" s="473" t="str">
        <f t="shared" si="80"/>
        <v/>
      </c>
      <c r="AP308" s="473" t="str">
        <f t="shared" si="81"/>
        <v/>
      </c>
      <c r="AQ308" s="473" t="str">
        <f t="shared" si="82"/>
        <v/>
      </c>
      <c r="AR308" s="473" t="str">
        <f t="shared" si="83"/>
        <v/>
      </c>
      <c r="AS308" s="473" t="str">
        <f t="shared" si="84"/>
        <v/>
      </c>
      <c r="AT308" s="473" t="str">
        <f t="shared" si="85"/>
        <v/>
      </c>
      <c r="AU308" s="473" t="str">
        <f t="shared" si="86"/>
        <v/>
      </c>
      <c r="AZ308" s="28" t="s">
        <v>14</v>
      </c>
      <c r="BA308" s="34" t="s">
        <v>481</v>
      </c>
      <c r="BB308" s="499"/>
      <c r="BC308" s="271"/>
      <c r="BD308" s="279">
        <v>1</v>
      </c>
      <c r="BE308" s="271"/>
      <c r="BF308" s="271"/>
      <c r="BG308" s="271"/>
      <c r="BH308" s="271"/>
      <c r="BI308" s="271"/>
      <c r="BJ308" s="271"/>
      <c r="BK308" s="271"/>
      <c r="BL308" s="271"/>
    </row>
    <row r="309" spans="18:64" ht="21" customHeight="1" x14ac:dyDescent="0.25">
      <c r="R309" s="34" t="s">
        <v>457</v>
      </c>
      <c r="S309" s="451"/>
      <c r="T309" s="497" t="s">
        <v>466</v>
      </c>
      <c r="V309" s="475">
        <v>7</v>
      </c>
      <c r="W309" s="475" t="str">
        <f>IF($AC$309="","",$W$288)</f>
        <v/>
      </c>
      <c r="X309" s="476" t="str">
        <f>IF($AC$309="","",$X$288)</f>
        <v/>
      </c>
      <c r="Y309" s="477" t="str">
        <f>IF($X$309="","",$Y$288)</f>
        <v/>
      </c>
      <c r="Z309" s="477" t="str">
        <f>IF($X$309="","",$Z$288)</f>
        <v/>
      </c>
      <c r="AA309" s="477" t="str">
        <f>IF($AC$309="","",ROW($A$309)-ROW($A$288))</f>
        <v/>
      </c>
      <c r="AB309" s="478"/>
      <c r="AC309" s="34"/>
      <c r="AD309" s="356"/>
      <c r="AE309" s="479"/>
      <c r="AF309" s="475"/>
      <c r="AG309" s="480" t="str">
        <f t="shared" si="76"/>
        <v/>
      </c>
      <c r="AH309" s="481" t="str">
        <f t="shared" si="77"/>
        <v/>
      </c>
      <c r="AI309" s="477" t="str">
        <f>IF($AC$309="","",IFERROR(INDEX($AZ$74:$AZ$119,MATCH($AH$309,$AY$74:$AY$119,0)),"AUTRE"))</f>
        <v/>
      </c>
      <c r="AJ309" s="482" t="str">
        <f>IF($AC$309="","",IFERROR(INDEX($BA$74:$BA$119,MATCH($AH$309,$AY$74:$AY$119,0)),1))</f>
        <v/>
      </c>
      <c r="AK309" s="482" t="str">
        <f t="shared" si="66"/>
        <v/>
      </c>
      <c r="AL309" s="477" t="str">
        <f>IF($AC$309="","",IFERROR(INDEX($BB$74:$BB$119,MATCH($AH$309,$AY$74:$AY$119,0)),$AH$309))</f>
        <v/>
      </c>
      <c r="AM309" s="483" t="str">
        <f t="shared" si="78"/>
        <v/>
      </c>
      <c r="AN309" s="484" t="str">
        <f t="shared" si="79"/>
        <v/>
      </c>
      <c r="AO309" s="473" t="str">
        <f t="shared" si="80"/>
        <v/>
      </c>
      <c r="AP309" s="473" t="str">
        <f t="shared" si="81"/>
        <v/>
      </c>
      <c r="AQ309" s="473" t="str">
        <f t="shared" si="82"/>
        <v/>
      </c>
      <c r="AR309" s="473" t="str">
        <f t="shared" si="83"/>
        <v/>
      </c>
      <c r="AS309" s="473" t="str">
        <f t="shared" si="84"/>
        <v/>
      </c>
      <c r="AT309" s="473" t="str">
        <f t="shared" si="85"/>
        <v/>
      </c>
      <c r="AU309" s="473" t="str">
        <f t="shared" si="86"/>
        <v/>
      </c>
      <c r="AZ309" s="28" t="s">
        <v>15</v>
      </c>
      <c r="BA309" s="34" t="s">
        <v>475</v>
      </c>
      <c r="BB309" s="499"/>
      <c r="BC309" s="271"/>
      <c r="BD309" s="279">
        <v>1</v>
      </c>
      <c r="BE309" s="271"/>
      <c r="BF309" s="271"/>
      <c r="BG309" s="271"/>
      <c r="BH309" s="271"/>
      <c r="BI309" s="271"/>
      <c r="BJ309" s="271"/>
      <c r="BK309" s="271"/>
      <c r="BL309" s="271"/>
    </row>
    <row r="310" spans="18:64" ht="21" customHeight="1" x14ac:dyDescent="0.25">
      <c r="R310" s="34" t="s">
        <v>482</v>
      </c>
      <c r="S310" s="451"/>
      <c r="T310" s="440" t="s">
        <v>8110</v>
      </c>
      <c r="V310" s="475">
        <v>7</v>
      </c>
      <c r="W310" s="475" t="str">
        <f>IF($AC$310="","",$W$288)</f>
        <v/>
      </c>
      <c r="X310" s="476" t="str">
        <f>IF($AC$310="","",$X$288)</f>
        <v/>
      </c>
      <c r="Y310" s="477" t="str">
        <f>IF($X$310="","",$Y$288)</f>
        <v/>
      </c>
      <c r="Z310" s="477" t="str">
        <f>IF($X$310="","",$Z$288)</f>
        <v/>
      </c>
      <c r="AA310" s="477" t="str">
        <f>IF($AC$310="","",ROW($A$310)-ROW($A$288))</f>
        <v/>
      </c>
      <c r="AB310" s="478"/>
      <c r="AC310" s="34"/>
      <c r="AD310" s="356"/>
      <c r="AE310" s="479"/>
      <c r="AF310" s="475"/>
      <c r="AG310" s="480" t="str">
        <f t="shared" si="76"/>
        <v/>
      </c>
      <c r="AH310" s="481" t="str">
        <f t="shared" si="77"/>
        <v/>
      </c>
      <c r="AI310" s="477" t="str">
        <f>IF($AC$310="","",IFERROR(INDEX($AZ$74:$AZ$119,MATCH($AH$310,$AY$74:$AY$119,0)),"AUTRE"))</f>
        <v/>
      </c>
      <c r="AJ310" s="482" t="str">
        <f>IF($AC$310="","",IFERROR(INDEX($BA$74:$BA$119,MATCH($AH$310,$AY$74:$AY$119,0)),1))</f>
        <v/>
      </c>
      <c r="AK310" s="482" t="str">
        <f t="shared" si="66"/>
        <v/>
      </c>
      <c r="AL310" s="477" t="str">
        <f>IF($AC$310="","",IFERROR(INDEX($BB$74:$BB$119,MATCH($AH$310,$AY$74:$AY$119,0)),$AH$310))</f>
        <v/>
      </c>
      <c r="AM310" s="483" t="str">
        <f t="shared" si="78"/>
        <v/>
      </c>
      <c r="AN310" s="484" t="str">
        <f t="shared" si="79"/>
        <v/>
      </c>
      <c r="AO310" s="473" t="str">
        <f t="shared" si="80"/>
        <v/>
      </c>
      <c r="AP310" s="473" t="str">
        <f t="shared" si="81"/>
        <v/>
      </c>
      <c r="AQ310" s="473" t="str">
        <f t="shared" si="82"/>
        <v/>
      </c>
      <c r="AR310" s="473" t="str">
        <f t="shared" si="83"/>
        <v/>
      </c>
      <c r="AS310" s="473" t="str">
        <f t="shared" si="84"/>
        <v/>
      </c>
      <c r="AT310" s="473" t="str">
        <f t="shared" si="85"/>
        <v/>
      </c>
      <c r="AU310" s="473" t="str">
        <f t="shared" si="86"/>
        <v/>
      </c>
      <c r="AZ310" s="29" t="s">
        <v>9</v>
      </c>
      <c r="BA310" s="34" t="s">
        <v>457</v>
      </c>
      <c r="BB310" s="499"/>
      <c r="BC310" s="271"/>
      <c r="BD310" s="279">
        <v>1</v>
      </c>
      <c r="BE310" s="271"/>
      <c r="BF310" s="271"/>
      <c r="BG310" s="271"/>
      <c r="BH310" s="271"/>
      <c r="BI310" s="271"/>
      <c r="BJ310" s="271"/>
      <c r="BK310" s="271"/>
      <c r="BL310" s="271"/>
    </row>
    <row r="311" spans="18:64" ht="21" customHeight="1" x14ac:dyDescent="0.25">
      <c r="R311" s="34" t="s">
        <v>496</v>
      </c>
      <c r="S311" s="451"/>
      <c r="T311" s="452" t="s">
        <v>8113</v>
      </c>
      <c r="V311" s="475">
        <v>7</v>
      </c>
      <c r="W311" s="475" t="str">
        <f>IF($AC$311="","",$W$288)</f>
        <v/>
      </c>
      <c r="X311" s="476" t="str">
        <f>IF($AC$311="","",$X$288)</f>
        <v/>
      </c>
      <c r="Y311" s="477" t="str">
        <f>IF($X$311="","",$Y$288)</f>
        <v/>
      </c>
      <c r="Z311" s="477" t="str">
        <f>IF($X$311="","",$Z$288)</f>
        <v/>
      </c>
      <c r="AA311" s="477" t="str">
        <f>IF($AC$311="","",ROW($A$311)-ROW($A$288))</f>
        <v/>
      </c>
      <c r="AB311" s="478"/>
      <c r="AC311" s="34"/>
      <c r="AD311" s="356"/>
      <c r="AE311" s="479"/>
      <c r="AF311" s="475"/>
      <c r="AG311" s="480" t="str">
        <f t="shared" si="76"/>
        <v/>
      </c>
      <c r="AH311" s="481" t="str">
        <f t="shared" si="77"/>
        <v/>
      </c>
      <c r="AI311" s="477" t="str">
        <f>IF($AC$311="","",IFERROR(INDEX($AZ$74:$AZ$119,MATCH($AH$311,$AY$74:$AY$119,0)),"AUTRE"))</f>
        <v/>
      </c>
      <c r="AJ311" s="482" t="str">
        <f>IF($AC$311="","",IFERROR(INDEX($BA$74:$BA$119,MATCH($AH$311,$AY$74:$AY$119,0)),1))</f>
        <v/>
      </c>
      <c r="AK311" s="482" t="str">
        <f t="shared" si="66"/>
        <v/>
      </c>
      <c r="AL311" s="477" t="str">
        <f>IF($AC$311="","",IFERROR(INDEX($BB$74:$BB$119,MATCH($AH$311,$AY$74:$AY$119,0)),$AH$311))</f>
        <v/>
      </c>
      <c r="AM311" s="483" t="str">
        <f t="shared" si="78"/>
        <v/>
      </c>
      <c r="AN311" s="484" t="str">
        <f t="shared" si="79"/>
        <v/>
      </c>
      <c r="AO311" s="473" t="str">
        <f t="shared" si="80"/>
        <v/>
      </c>
      <c r="AP311" s="473" t="str">
        <f t="shared" si="81"/>
        <v/>
      </c>
      <c r="AQ311" s="473" t="str">
        <f t="shared" si="82"/>
        <v/>
      </c>
      <c r="AR311" s="473" t="str">
        <f t="shared" si="83"/>
        <v/>
      </c>
      <c r="AS311" s="473" t="str">
        <f t="shared" si="84"/>
        <v/>
      </c>
      <c r="AT311" s="473" t="str">
        <f t="shared" si="85"/>
        <v/>
      </c>
      <c r="AU311" s="473" t="str">
        <f t="shared" si="86"/>
        <v/>
      </c>
      <c r="AZ311" s="30" t="s">
        <v>10</v>
      </c>
      <c r="BA311" s="34" t="s">
        <v>482</v>
      </c>
      <c r="BB311" s="499"/>
      <c r="BC311" s="271"/>
      <c r="BD311" s="279">
        <v>1</v>
      </c>
      <c r="BE311" s="271"/>
      <c r="BF311" s="271"/>
      <c r="BG311" s="271"/>
      <c r="BH311" s="271"/>
      <c r="BI311" s="271"/>
      <c r="BJ311" s="271"/>
      <c r="BK311" s="271"/>
      <c r="BL311" s="271"/>
    </row>
    <row r="312" spans="18:64" ht="21" customHeight="1" x14ac:dyDescent="0.25">
      <c r="R312" s="34" t="s">
        <v>483</v>
      </c>
      <c r="S312" s="451"/>
      <c r="T312" s="14" t="s">
        <v>7</v>
      </c>
      <c r="V312" s="475">
        <v>7</v>
      </c>
      <c r="W312" s="475" t="str">
        <f>IF($AC$312="","",$W$288)</f>
        <v/>
      </c>
      <c r="X312" s="476" t="str">
        <f>IF($AC$312="","",$X$288)</f>
        <v/>
      </c>
      <c r="Y312" s="477" t="str">
        <f>IF($X$312="","",$Y$288)</f>
        <v/>
      </c>
      <c r="Z312" s="477" t="str">
        <f>IF($X$312="","",$Z$288)</f>
        <v/>
      </c>
      <c r="AA312" s="477" t="str">
        <f>IF($AC$312="","",ROW($A$312)-ROW($A$288))</f>
        <v/>
      </c>
      <c r="AB312" s="478"/>
      <c r="AC312" s="34"/>
      <c r="AD312" s="356"/>
      <c r="AE312" s="479"/>
      <c r="AF312" s="475"/>
      <c r="AG312" s="480" t="str">
        <f t="shared" si="76"/>
        <v/>
      </c>
      <c r="AH312" s="481" t="str">
        <f t="shared" si="77"/>
        <v/>
      </c>
      <c r="AI312" s="477" t="str">
        <f>IF($AC$312="","",IFERROR(INDEX($AZ$74:$AZ$119,MATCH($AH$312,$AY$74:$AY$119,0)),"AUTRE"))</f>
        <v/>
      </c>
      <c r="AJ312" s="482" t="str">
        <f>IF($AC$312="","",IFERROR(INDEX($BA$74:$BA$119,MATCH($AH$312,$AY$74:$AY$119,0)),1))</f>
        <v/>
      </c>
      <c r="AK312" s="482" t="str">
        <f t="shared" si="66"/>
        <v/>
      </c>
      <c r="AL312" s="477" t="str">
        <f>IF($AC$312="","",IFERROR(INDEX($BB$74:$BB$119,MATCH($AH$312,$AY$74:$AY$119,0)),$AH$312))</f>
        <v/>
      </c>
      <c r="AM312" s="483" t="str">
        <f t="shared" si="78"/>
        <v/>
      </c>
      <c r="AN312" s="484" t="str">
        <f t="shared" si="79"/>
        <v/>
      </c>
      <c r="AO312" s="473" t="str">
        <f t="shared" si="80"/>
        <v/>
      </c>
      <c r="AP312" s="473" t="str">
        <f t="shared" si="81"/>
        <v/>
      </c>
      <c r="AQ312" s="473" t="str">
        <f t="shared" si="82"/>
        <v/>
      </c>
      <c r="AR312" s="473" t="str">
        <f t="shared" si="83"/>
        <v/>
      </c>
      <c r="AS312" s="473" t="str">
        <f t="shared" si="84"/>
        <v/>
      </c>
      <c r="AT312" s="473" t="str">
        <f t="shared" si="85"/>
        <v/>
      </c>
      <c r="AU312" s="473" t="str">
        <f t="shared" si="86"/>
        <v/>
      </c>
      <c r="AZ312" s="30" t="s">
        <v>11</v>
      </c>
      <c r="BA312" s="34" t="s">
        <v>496</v>
      </c>
      <c r="BB312" s="499"/>
      <c r="BC312" s="271"/>
      <c r="BD312" s="279">
        <v>1</v>
      </c>
      <c r="BE312" s="271"/>
      <c r="BF312" s="271"/>
      <c r="BG312" s="271"/>
      <c r="BH312" s="271"/>
      <c r="BI312" s="271"/>
      <c r="BJ312" s="271"/>
      <c r="BK312" s="271"/>
      <c r="BL312" s="271"/>
    </row>
    <row r="313" spans="18:64" ht="21" customHeight="1" x14ac:dyDescent="0.25">
      <c r="R313" s="34" t="s">
        <v>493</v>
      </c>
      <c r="S313" s="451"/>
      <c r="T313" s="27" t="s">
        <v>8</v>
      </c>
      <c r="V313" s="475">
        <v>7</v>
      </c>
      <c r="W313" s="475" t="str">
        <f>IF($AC$313="","",$W$288)</f>
        <v/>
      </c>
      <c r="X313" s="476" t="str">
        <f>IF($AC$313="","",$X$288)</f>
        <v/>
      </c>
      <c r="Y313" s="477" t="str">
        <f>IF($X$313="","",$Y$288)</f>
        <v/>
      </c>
      <c r="Z313" s="477" t="str">
        <f>IF($X$313="","",$Z$288)</f>
        <v/>
      </c>
      <c r="AA313" s="477" t="str">
        <f>IF($AC$313="","",ROW($A$313)-ROW($A$288))</f>
        <v/>
      </c>
      <c r="AB313" s="478"/>
      <c r="AC313" s="34"/>
      <c r="AD313" s="356"/>
      <c r="AE313" s="479"/>
      <c r="AF313" s="475"/>
      <c r="AG313" s="480" t="str">
        <f t="shared" si="76"/>
        <v/>
      </c>
      <c r="AH313" s="481" t="str">
        <f t="shared" si="77"/>
        <v/>
      </c>
      <c r="AI313" s="477" t="str">
        <f>IF($AC$313="","",IFERROR(INDEX($AZ$74:$AZ$119,MATCH($AH$313,$AY$74:$AY$119,0)),"AUTRE"))</f>
        <v/>
      </c>
      <c r="AJ313" s="482" t="str">
        <f>IF($AC$313="","",IFERROR(INDEX($BA$74:$BA$119,MATCH($AH$313,$AY$74:$AY$119,0)),1))</f>
        <v/>
      </c>
      <c r="AK313" s="482" t="str">
        <f t="shared" si="66"/>
        <v/>
      </c>
      <c r="AL313" s="477" t="str">
        <f>IF($AC$313="","",IFERROR(INDEX($BB$74:$BB$119,MATCH($AH$313,$AY$74:$AY$119,0)),$AH$313))</f>
        <v/>
      </c>
      <c r="AM313" s="483" t="str">
        <f t="shared" si="78"/>
        <v/>
      </c>
      <c r="AN313" s="484" t="str">
        <f t="shared" si="79"/>
        <v/>
      </c>
      <c r="AO313" s="473" t="str">
        <f t="shared" si="80"/>
        <v/>
      </c>
      <c r="AP313" s="473" t="str">
        <f t="shared" si="81"/>
        <v/>
      </c>
      <c r="AQ313" s="473" t="str">
        <f t="shared" si="82"/>
        <v/>
      </c>
      <c r="AR313" s="473" t="str">
        <f t="shared" si="83"/>
        <v/>
      </c>
      <c r="AS313" s="473" t="str">
        <f t="shared" si="84"/>
        <v/>
      </c>
      <c r="AT313" s="473" t="str">
        <f t="shared" si="85"/>
        <v/>
      </c>
      <c r="AU313" s="473" t="str">
        <f t="shared" si="86"/>
        <v/>
      </c>
      <c r="AZ313" s="30" t="s">
        <v>12</v>
      </c>
      <c r="BA313" s="34" t="s">
        <v>483</v>
      </c>
      <c r="BB313" s="499"/>
      <c r="BC313" s="271"/>
      <c r="BD313" s="279">
        <v>1</v>
      </c>
      <c r="BE313" s="271"/>
      <c r="BF313" s="271"/>
      <c r="BG313" s="271"/>
      <c r="BH313" s="271"/>
      <c r="BI313" s="271"/>
      <c r="BJ313" s="271"/>
      <c r="BK313" s="271"/>
      <c r="BL313" s="271"/>
    </row>
    <row r="314" spans="18:64" ht="21" customHeight="1" x14ac:dyDescent="0.25">
      <c r="R314" s="34" t="s">
        <v>494</v>
      </c>
      <c r="S314" s="451"/>
      <c r="T314" s="28" t="s">
        <v>13</v>
      </c>
      <c r="V314" s="475">
        <v>7</v>
      </c>
      <c r="W314" s="475" t="str">
        <f>IF($AC$314="","",$W$288)</f>
        <v/>
      </c>
      <c r="X314" s="476" t="str">
        <f>IF($AC$314="","",$X$288)</f>
        <v/>
      </c>
      <c r="Y314" s="477" t="str">
        <f>IF($X$314="","",$Y$288)</f>
        <v/>
      </c>
      <c r="Z314" s="477" t="str">
        <f>IF($X$314="","",$Z$288)</f>
        <v/>
      </c>
      <c r="AA314" s="477" t="str">
        <f>IF($AC$314="","",ROW($A$314)-ROW($A$288))</f>
        <v/>
      </c>
      <c r="AB314" s="478"/>
      <c r="AC314" s="34"/>
      <c r="AD314" s="356"/>
      <c r="AE314" s="479"/>
      <c r="AF314" s="475"/>
      <c r="AG314" s="480" t="str">
        <f t="shared" si="76"/>
        <v/>
      </c>
      <c r="AH314" s="481" t="str">
        <f t="shared" si="77"/>
        <v/>
      </c>
      <c r="AI314" s="477" t="str">
        <f>IF($AC$314="","",IFERROR(INDEX($AZ$74:$AZ$119,MATCH($AH$314,$AY$74:$AY$119,0)),"AUTRE"))</f>
        <v/>
      </c>
      <c r="AJ314" s="482" t="str">
        <f>IF($AC$314="","",IFERROR(INDEX($BA$74:$BA$119,MATCH($AH$314,$AY$74:$AY$119,0)),1))</f>
        <v/>
      </c>
      <c r="AK314" s="482" t="str">
        <f t="shared" si="66"/>
        <v/>
      </c>
      <c r="AL314" s="477" t="str">
        <f>IF($AC$314="","",IFERROR(INDEX($BB$74:$BB$119,MATCH($AH$314,$AY$74:$AY$119,0)),$AH$314))</f>
        <v/>
      </c>
      <c r="AM314" s="483" t="str">
        <f t="shared" si="78"/>
        <v/>
      </c>
      <c r="AN314" s="484" t="str">
        <f t="shared" si="79"/>
        <v/>
      </c>
      <c r="AO314" s="473" t="str">
        <f t="shared" si="80"/>
        <v/>
      </c>
      <c r="AP314" s="473" t="str">
        <f t="shared" si="81"/>
        <v/>
      </c>
      <c r="AQ314" s="473" t="str">
        <f t="shared" si="82"/>
        <v/>
      </c>
      <c r="AR314" s="473" t="str">
        <f t="shared" si="83"/>
        <v/>
      </c>
      <c r="AS314" s="473" t="str">
        <f t="shared" si="84"/>
        <v/>
      </c>
      <c r="AT314" s="473" t="str">
        <f t="shared" si="85"/>
        <v/>
      </c>
      <c r="AU314" s="473" t="str">
        <f t="shared" si="86"/>
        <v/>
      </c>
      <c r="AZ314" s="31" t="s">
        <v>16</v>
      </c>
      <c r="BA314" s="34" t="s">
        <v>493</v>
      </c>
      <c r="BB314" s="499"/>
      <c r="BC314" s="271"/>
      <c r="BD314" s="279">
        <v>1</v>
      </c>
      <c r="BE314" s="271"/>
      <c r="BF314" s="271"/>
      <c r="BG314" s="271"/>
      <c r="BH314" s="271"/>
      <c r="BI314" s="271"/>
      <c r="BJ314" s="271"/>
      <c r="BK314" s="271"/>
      <c r="BL314" s="271"/>
    </row>
    <row r="315" spans="18:64" ht="21" customHeight="1" x14ac:dyDescent="0.25">
      <c r="S315" s="451"/>
      <c r="T315" s="28" t="s">
        <v>14</v>
      </c>
      <c r="V315" s="475">
        <v>7</v>
      </c>
      <c r="W315" s="475" t="str">
        <f>IF($AC$315="","",$W$288)</f>
        <v/>
      </c>
      <c r="X315" s="476" t="str">
        <f>IF($AC$315="","",$X$288)</f>
        <v/>
      </c>
      <c r="Y315" s="477" t="str">
        <f>IF($X$315="","",$Y$288)</f>
        <v/>
      </c>
      <c r="Z315" s="477" t="str">
        <f>IF($X$315="","",$Z$288)</f>
        <v/>
      </c>
      <c r="AA315" s="477" t="str">
        <f>IF($AC$315="","",ROW($A$315)-ROW($A$288))</f>
        <v/>
      </c>
      <c r="AB315" s="478"/>
      <c r="AC315" s="34"/>
      <c r="AD315" s="356"/>
      <c r="AE315" s="479"/>
      <c r="AF315" s="475"/>
      <c r="AG315" s="480" t="str">
        <f t="shared" si="76"/>
        <v/>
      </c>
      <c r="AH315" s="481" t="str">
        <f t="shared" si="77"/>
        <v/>
      </c>
      <c r="AI315" s="477" t="str">
        <f>IF($AC$315="","",IFERROR(INDEX($AZ$74:$AZ$119,MATCH($AH$315,$AY$74:$AY$119,0)),"AUTRE"))</f>
        <v/>
      </c>
      <c r="AJ315" s="482" t="str">
        <f>IF($AC$315="","",IFERROR(INDEX($BA$74:$BA$119,MATCH($AH$315,$AY$74:$AY$119,0)),1))</f>
        <v/>
      </c>
      <c r="AK315" s="482" t="str">
        <f t="shared" si="66"/>
        <v/>
      </c>
      <c r="AL315" s="477" t="str">
        <f>IF($AC$315="","",IFERROR(INDEX($BB$74:$BB$119,MATCH($AH$315,$AY$74:$AY$119,0)),$AH$315))</f>
        <v/>
      </c>
      <c r="AM315" s="483" t="str">
        <f t="shared" si="78"/>
        <v/>
      </c>
      <c r="AN315" s="484" t="str">
        <f t="shared" si="79"/>
        <v/>
      </c>
      <c r="AO315" s="473" t="str">
        <f t="shared" si="80"/>
        <v/>
      </c>
      <c r="AP315" s="473" t="str">
        <f t="shared" si="81"/>
        <v/>
      </c>
      <c r="AQ315" s="473" t="str">
        <f t="shared" si="82"/>
        <v/>
      </c>
      <c r="AR315" s="473" t="str">
        <f t="shared" si="83"/>
        <v/>
      </c>
      <c r="AS315" s="473" t="str">
        <f t="shared" si="84"/>
        <v/>
      </c>
      <c r="AT315" s="473" t="str">
        <f t="shared" si="85"/>
        <v/>
      </c>
      <c r="AU315" s="473" t="str">
        <f t="shared" si="86"/>
        <v/>
      </c>
      <c r="AZ315" s="31" t="s">
        <v>17</v>
      </c>
      <c r="BA315" s="34" t="s">
        <v>494</v>
      </c>
      <c r="BB315" s="499"/>
      <c r="BC315" s="271"/>
      <c r="BD315" s="279">
        <v>1</v>
      </c>
      <c r="BE315" s="271"/>
      <c r="BF315" s="271"/>
      <c r="BG315" s="271"/>
      <c r="BH315" s="271"/>
      <c r="BI315" s="271"/>
      <c r="BJ315" s="271"/>
      <c r="BK315" s="271"/>
      <c r="BL315" s="271"/>
    </row>
    <row r="316" spans="18:64" ht="21" customHeight="1" x14ac:dyDescent="0.25">
      <c r="R316" s="25" t="s">
        <v>6115</v>
      </c>
      <c r="S316" s="451"/>
      <c r="T316" s="28" t="s">
        <v>15</v>
      </c>
      <c r="V316" s="475">
        <v>7</v>
      </c>
      <c r="W316" s="475" t="str">
        <f>IF($AC$316="","",$W$288)</f>
        <v/>
      </c>
      <c r="X316" s="476" t="str">
        <f>IF($AC$316="","",$X$288)</f>
        <v/>
      </c>
      <c r="Y316" s="477" t="str">
        <f>IF($X$316="","",$Y$288)</f>
        <v/>
      </c>
      <c r="Z316" s="477" t="str">
        <f>IF($X$316="","",$Z$288)</f>
        <v/>
      </c>
      <c r="AA316" s="477" t="str">
        <f>IF($AC$316="","",ROW($A$316)-ROW($A$288))</f>
        <v/>
      </c>
      <c r="AB316" s="478"/>
      <c r="AC316" s="34"/>
      <c r="AD316" s="356"/>
      <c r="AE316" s="479"/>
      <c r="AF316" s="475"/>
      <c r="AG316" s="480" t="str">
        <f t="shared" si="76"/>
        <v/>
      </c>
      <c r="AH316" s="481" t="str">
        <f t="shared" si="77"/>
        <v/>
      </c>
      <c r="AI316" s="477" t="str">
        <f>IF($AC$316="","",IFERROR(INDEX($AZ$74:$AZ$119,MATCH($AH$316,$AY$74:$AY$119,0)),"AUTRE"))</f>
        <v/>
      </c>
      <c r="AJ316" s="482" t="str">
        <f>IF($AC$316="","",IFERROR(INDEX($BA$74:$BA$119,MATCH($AH$316,$AY$74:$AY$119,0)),1))</f>
        <v/>
      </c>
      <c r="AK316" s="482" t="str">
        <f t="shared" ref="AK316:AK322" si="87">IF(OR(AG316="",AJ316=""),"",AG316*AJ316)</f>
        <v/>
      </c>
      <c r="AL316" s="477" t="str">
        <f>IF($AC$316="","",IFERROR(INDEX($BB$74:$BB$119,MATCH($AH$316,$AY$74:$AY$119,0)),$AH$316))</f>
        <v/>
      </c>
      <c r="AM316" s="483" t="str">
        <f t="shared" si="78"/>
        <v/>
      </c>
      <c r="AN316" s="484" t="str">
        <f t="shared" si="79"/>
        <v/>
      </c>
      <c r="AO316" s="473" t="str">
        <f t="shared" si="80"/>
        <v/>
      </c>
      <c r="AP316" s="473" t="str">
        <f t="shared" si="81"/>
        <v/>
      </c>
      <c r="AQ316" s="473" t="str">
        <f t="shared" si="82"/>
        <v/>
      </c>
      <c r="AR316" s="473" t="str">
        <f t="shared" si="83"/>
        <v/>
      </c>
      <c r="AS316" s="473" t="str">
        <f t="shared" si="84"/>
        <v/>
      </c>
      <c r="AT316" s="473" t="str">
        <f t="shared" si="85"/>
        <v/>
      </c>
      <c r="AU316" s="473" t="str">
        <f t="shared" si="86"/>
        <v/>
      </c>
      <c r="AY316" s="271"/>
      <c r="AZ316" s="31" t="s">
        <v>18</v>
      </c>
      <c r="BB316" s="499"/>
      <c r="BC316" s="271"/>
      <c r="BD316" s="279">
        <v>1</v>
      </c>
      <c r="BE316" s="271"/>
      <c r="BF316" s="271"/>
      <c r="BG316" s="271"/>
      <c r="BH316" s="271"/>
      <c r="BI316" s="271"/>
      <c r="BJ316" s="271"/>
      <c r="BK316" s="271"/>
      <c r="BL316" s="271"/>
    </row>
    <row r="317" spans="18:64" ht="21" customHeight="1" x14ac:dyDescent="0.25">
      <c r="R317" s="34" t="s">
        <v>471</v>
      </c>
      <c r="S317" s="451"/>
      <c r="T317" s="28" t="s">
        <v>21</v>
      </c>
      <c r="V317" s="475">
        <v>7</v>
      </c>
      <c r="W317" s="475" t="str">
        <f>IF($AC$317="","",$W$288)</f>
        <v/>
      </c>
      <c r="X317" s="476" t="str">
        <f>IF($AC$317="","",$X$288)</f>
        <v/>
      </c>
      <c r="Y317" s="477" t="str">
        <f>IF($X$317="","",$Y$288)</f>
        <v/>
      </c>
      <c r="Z317" s="477" t="str">
        <f>IF($X$317="","",$Z$288)</f>
        <v/>
      </c>
      <c r="AA317" s="477" t="str">
        <f>IF($AC$317="","",ROW($A$317)-ROW($A$288))</f>
        <v/>
      </c>
      <c r="AB317" s="478"/>
      <c r="AC317" s="34"/>
      <c r="AD317" s="356"/>
      <c r="AE317" s="479"/>
      <c r="AF317" s="475"/>
      <c r="AG317" s="480" t="str">
        <f t="shared" si="76"/>
        <v/>
      </c>
      <c r="AH317" s="481" t="str">
        <f t="shared" si="77"/>
        <v/>
      </c>
      <c r="AI317" s="477" t="str">
        <f>IF($AC$317="","",IFERROR(INDEX($AZ$74:$AZ$119,MATCH($AH$317,$AY$74:$AY$119,0)),"AUTRE"))</f>
        <v/>
      </c>
      <c r="AJ317" s="482" t="str">
        <f>IF($AC$317="","",IFERROR(INDEX($BA$74:$BA$119,MATCH($AH$317,$AY$74:$AY$119,0)),1))</f>
        <v/>
      </c>
      <c r="AK317" s="482" t="str">
        <f t="shared" si="87"/>
        <v/>
      </c>
      <c r="AL317" s="477" t="str">
        <f>IF($AC$317="","",IFERROR(INDEX($BB$74:$BB$119,MATCH($AH$317,$AY$74:$AY$119,0)),$AH$317))</f>
        <v/>
      </c>
      <c r="AM317" s="483" t="str">
        <f t="shared" si="78"/>
        <v/>
      </c>
      <c r="AN317" s="484" t="str">
        <f t="shared" si="79"/>
        <v/>
      </c>
      <c r="AO317" s="473" t="str">
        <f t="shared" si="80"/>
        <v/>
      </c>
      <c r="AP317" s="473" t="str">
        <f t="shared" si="81"/>
        <v/>
      </c>
      <c r="AQ317" s="473" t="str">
        <f t="shared" si="82"/>
        <v/>
      </c>
      <c r="AR317" s="473" t="str">
        <f t="shared" si="83"/>
        <v/>
      </c>
      <c r="AS317" s="473" t="str">
        <f t="shared" si="84"/>
        <v/>
      </c>
      <c r="AT317" s="473" t="str">
        <f t="shared" si="85"/>
        <v/>
      </c>
      <c r="AU317" s="473" t="str">
        <f t="shared" si="86"/>
        <v/>
      </c>
      <c r="AY317" s="497" t="s">
        <v>8145</v>
      </c>
      <c r="AZ317" s="31" t="s">
        <v>19</v>
      </c>
      <c r="BA317" s="25" t="s">
        <v>6115</v>
      </c>
      <c r="BB317" s="499"/>
      <c r="BC317" s="271"/>
      <c r="BD317" s="279">
        <v>1</v>
      </c>
      <c r="BE317" s="271"/>
      <c r="BF317" s="271"/>
      <c r="BG317" s="271"/>
      <c r="BH317" s="271"/>
      <c r="BI317" s="271"/>
      <c r="BJ317" s="271"/>
      <c r="BK317" s="271"/>
      <c r="BL317" s="271"/>
    </row>
    <row r="318" spans="18:64" ht="21" customHeight="1" x14ac:dyDescent="0.25">
      <c r="R318" s="34" t="s">
        <v>472</v>
      </c>
      <c r="S318" s="451"/>
      <c r="T318" s="28" t="s">
        <v>22</v>
      </c>
      <c r="V318" s="475">
        <v>7</v>
      </c>
      <c r="W318" s="475" t="str">
        <f>IF($AC$318="","",$W$288)</f>
        <v/>
      </c>
      <c r="X318" s="476" t="str">
        <f>IF($AC$318="","",$X$288)</f>
        <v/>
      </c>
      <c r="Y318" s="477" t="str">
        <f>IF($X$318="","",$Y$288)</f>
        <v/>
      </c>
      <c r="Z318" s="477" t="str">
        <f>IF($X$318="","",$Z$288)</f>
        <v/>
      </c>
      <c r="AA318" s="477" t="str">
        <f>IF($AC$318="","",ROW($A$318)-ROW($A$288))</f>
        <v/>
      </c>
      <c r="AB318" s="478"/>
      <c r="AC318" s="34"/>
      <c r="AD318" s="356"/>
      <c r="AE318" s="479"/>
      <c r="AF318" s="475"/>
      <c r="AG318" s="480" t="str">
        <f t="shared" si="76"/>
        <v/>
      </c>
      <c r="AH318" s="481" t="str">
        <f t="shared" si="77"/>
        <v/>
      </c>
      <c r="AI318" s="477" t="str">
        <f>IF($AC$318="","",IFERROR(INDEX($AZ$74:$AZ$119,MATCH($AH$318,$AY$74:$AY$119,0)),"AUTRE"))</f>
        <v/>
      </c>
      <c r="AJ318" s="482" t="str">
        <f>IF($AC$318="","",IFERROR(INDEX($BA$74:$BA$119,MATCH($AH$318,$AY$74:$AY$119,0)),1))</f>
        <v/>
      </c>
      <c r="AK318" s="482" t="str">
        <f t="shared" si="87"/>
        <v/>
      </c>
      <c r="AL318" s="477" t="str">
        <f>IF($AC$318="","",IFERROR(INDEX($BB$74:$BB$119,MATCH($AH$318,$AY$74:$AY$119,0)),$AH$318))</f>
        <v/>
      </c>
      <c r="AM318" s="483" t="str">
        <f t="shared" si="78"/>
        <v/>
      </c>
      <c r="AN318" s="484" t="str">
        <f t="shared" si="79"/>
        <v/>
      </c>
      <c r="AO318" s="473" t="str">
        <f t="shared" si="80"/>
        <v/>
      </c>
      <c r="AP318" s="473" t="str">
        <f t="shared" si="81"/>
        <v/>
      </c>
      <c r="AQ318" s="473" t="str">
        <f t="shared" si="82"/>
        <v/>
      </c>
      <c r="AR318" s="473" t="str">
        <f t="shared" si="83"/>
        <v/>
      </c>
      <c r="AS318" s="473" t="str">
        <f t="shared" si="84"/>
        <v/>
      </c>
      <c r="AT318" s="473" t="str">
        <f t="shared" si="85"/>
        <v/>
      </c>
      <c r="AU318" s="473" t="str">
        <f t="shared" si="86"/>
        <v/>
      </c>
      <c r="AY318" s="497" t="s">
        <v>462</v>
      </c>
      <c r="AZ318" s="31" t="s">
        <v>211</v>
      </c>
      <c r="BA318" s="34" t="s">
        <v>471</v>
      </c>
      <c r="BB318" s="499"/>
      <c r="BC318" s="271"/>
      <c r="BD318" s="279">
        <v>1</v>
      </c>
      <c r="BE318" s="271"/>
      <c r="BF318" s="271"/>
      <c r="BG318" s="271"/>
      <c r="BH318" s="271"/>
      <c r="BI318" s="271"/>
      <c r="BJ318" s="271"/>
      <c r="BK318" s="271"/>
      <c r="BL318" s="271"/>
    </row>
    <row r="319" spans="18:64" ht="21" customHeight="1" x14ac:dyDescent="0.25">
      <c r="R319" s="34" t="s">
        <v>6112</v>
      </c>
      <c r="S319" s="451"/>
      <c r="T319" s="28" t="s">
        <v>23</v>
      </c>
      <c r="V319" s="475">
        <v>7</v>
      </c>
      <c r="W319" s="475" t="str">
        <f>IF($AC$319="","",$W$288)</f>
        <v/>
      </c>
      <c r="X319" s="476" t="str">
        <f>IF($AC$319="","",$X$288)</f>
        <v/>
      </c>
      <c r="Y319" s="477" t="str">
        <f>IF($X$319="","",$Y$288)</f>
        <v/>
      </c>
      <c r="Z319" s="477" t="str">
        <f>IF($X$319="","",$Z$288)</f>
        <v/>
      </c>
      <c r="AA319" s="477" t="str">
        <f>IF($AC$319="","",ROW($A$319)-ROW($A$288))</f>
        <v/>
      </c>
      <c r="AB319" s="478"/>
      <c r="AC319" s="34"/>
      <c r="AD319" s="356"/>
      <c r="AE319" s="479"/>
      <c r="AF319" s="475"/>
      <c r="AG319" s="480" t="str">
        <f t="shared" si="76"/>
        <v/>
      </c>
      <c r="AH319" s="481" t="str">
        <f t="shared" si="77"/>
        <v/>
      </c>
      <c r="AI319" s="477" t="str">
        <f>IF($AC$319="","",IFERROR(INDEX($AZ$74:$AZ$119,MATCH($AH$319,$AY$74:$AY$119,0)),"AUTRE"))</f>
        <v/>
      </c>
      <c r="AJ319" s="482" t="str">
        <f>IF($AC$319="","",IFERROR(INDEX($BA$74:$BA$119,MATCH($AH$319,$AY$74:$AY$119,0)),1))</f>
        <v/>
      </c>
      <c r="AK319" s="482" t="str">
        <f t="shared" si="87"/>
        <v/>
      </c>
      <c r="AL319" s="477" t="str">
        <f>IF($AC$319="","",IFERROR(INDEX($BB$74:$BB$119,MATCH($AH$319,$AY$74:$AY$119,0)),$AH$319))</f>
        <v/>
      </c>
      <c r="AM319" s="483" t="str">
        <f t="shared" si="78"/>
        <v/>
      </c>
      <c r="AN319" s="484" t="str">
        <f t="shared" si="79"/>
        <v/>
      </c>
      <c r="AO319" s="473" t="str">
        <f t="shared" si="80"/>
        <v/>
      </c>
      <c r="AP319" s="473" t="str">
        <f t="shared" si="81"/>
        <v/>
      </c>
      <c r="AQ319" s="473" t="str">
        <f t="shared" si="82"/>
        <v/>
      </c>
      <c r="AR319" s="473" t="str">
        <f t="shared" si="83"/>
        <v/>
      </c>
      <c r="AS319" s="473" t="str">
        <f t="shared" si="84"/>
        <v/>
      </c>
      <c r="AT319" s="473" t="str">
        <f t="shared" si="85"/>
        <v/>
      </c>
      <c r="AU319" s="473" t="str">
        <f t="shared" si="86"/>
        <v/>
      </c>
      <c r="AY319" s="497" t="s">
        <v>463</v>
      </c>
      <c r="AZ319" s="31" t="s">
        <v>20</v>
      </c>
      <c r="BA319" s="34" t="s">
        <v>472</v>
      </c>
      <c r="BB319" s="499"/>
      <c r="BC319" s="271"/>
      <c r="BD319" s="279">
        <v>1</v>
      </c>
      <c r="BE319" s="271"/>
      <c r="BF319" s="271"/>
      <c r="BG319" s="271"/>
      <c r="BH319" s="271"/>
      <c r="BI319" s="271"/>
      <c r="BJ319" s="271"/>
      <c r="BK319" s="271"/>
      <c r="BL319" s="271"/>
    </row>
    <row r="320" spans="18:64" ht="21" customHeight="1" x14ac:dyDescent="0.25">
      <c r="R320" s="25" t="s">
        <v>6116</v>
      </c>
      <c r="S320" s="451"/>
      <c r="T320" s="28" t="s">
        <v>24</v>
      </c>
      <c r="V320" s="475">
        <v>7</v>
      </c>
      <c r="W320" s="475" t="str">
        <f>IF($AC$320="","",$W$288)</f>
        <v/>
      </c>
      <c r="X320" s="476" t="str">
        <f>IF($AC$320="","",$X$288)</f>
        <v/>
      </c>
      <c r="Y320" s="477" t="str">
        <f>IF($X$320="","",$Y$288)</f>
        <v/>
      </c>
      <c r="Z320" s="477" t="str">
        <f>IF($X$320="","",$Z$288)</f>
        <v/>
      </c>
      <c r="AA320" s="477" t="str">
        <f>IF($AC$320="","",ROW($A$320)-ROW($A$288))</f>
        <v/>
      </c>
      <c r="AB320" s="478"/>
      <c r="AC320" s="34"/>
      <c r="AD320" s="356"/>
      <c r="AE320" s="479"/>
      <c r="AF320" s="475"/>
      <c r="AG320" s="480" t="str">
        <f t="shared" si="76"/>
        <v/>
      </c>
      <c r="AH320" s="481" t="str">
        <f t="shared" si="77"/>
        <v/>
      </c>
      <c r="AI320" s="477" t="str">
        <f>IF($AC$320="","",IFERROR(INDEX($AZ$74:$AZ$119,MATCH($AH$320,$AY$74:$AY$119,0)),"AUTRE"))</f>
        <v/>
      </c>
      <c r="AJ320" s="482" t="str">
        <f>IF($AC$320="","",IFERROR(INDEX($BA$74:$BA$119,MATCH($AH$320,$AY$74:$AY$119,0)),1))</f>
        <v/>
      </c>
      <c r="AK320" s="482" t="str">
        <f t="shared" si="87"/>
        <v/>
      </c>
      <c r="AL320" s="477" t="str">
        <f>IF($AC$320="","",IFERROR(INDEX($BB$74:$BB$119,MATCH($AH$320,$AY$74:$AY$119,0)),$AH$320))</f>
        <v/>
      </c>
      <c r="AM320" s="483" t="str">
        <f t="shared" si="78"/>
        <v/>
      </c>
      <c r="AN320" s="484" t="str">
        <f t="shared" si="79"/>
        <v/>
      </c>
      <c r="AO320" s="473" t="str">
        <f t="shared" si="80"/>
        <v/>
      </c>
      <c r="AP320" s="473" t="str">
        <f t="shared" si="81"/>
        <v/>
      </c>
      <c r="AQ320" s="473" t="str">
        <f t="shared" si="82"/>
        <v/>
      </c>
      <c r="AR320" s="473" t="str">
        <f t="shared" si="83"/>
        <v/>
      </c>
      <c r="AS320" s="473" t="str">
        <f t="shared" si="84"/>
        <v/>
      </c>
      <c r="AT320" s="473" t="str">
        <f t="shared" si="85"/>
        <v/>
      </c>
      <c r="AU320" s="473" t="str">
        <f t="shared" si="86"/>
        <v/>
      </c>
      <c r="AY320" s="497" t="s">
        <v>8147</v>
      </c>
      <c r="AZ320" s="31" t="s">
        <v>304</v>
      </c>
      <c r="BA320" s="34" t="s">
        <v>6112</v>
      </c>
      <c r="BB320" s="499"/>
      <c r="BC320" s="271"/>
      <c r="BD320" s="279">
        <v>1</v>
      </c>
      <c r="BE320" s="271"/>
      <c r="BF320" s="271"/>
      <c r="BG320" s="271"/>
      <c r="BH320" s="271"/>
      <c r="BI320" s="271"/>
      <c r="BJ320" s="271"/>
      <c r="BK320" s="271"/>
      <c r="BL320" s="271"/>
    </row>
    <row r="321" spans="18:64" ht="21" customHeight="1" x14ac:dyDescent="0.25">
      <c r="R321" s="34" t="s">
        <v>6117</v>
      </c>
      <c r="S321" s="451"/>
      <c r="T321" s="29" t="s">
        <v>9</v>
      </c>
      <c r="V321" s="475">
        <v>7</v>
      </c>
      <c r="W321" s="475" t="str">
        <f>IF($AC$321="","",$W$288)</f>
        <v/>
      </c>
      <c r="X321" s="476" t="str">
        <f>IF($AC$321="","",$X$288)</f>
        <v/>
      </c>
      <c r="Y321" s="477" t="str">
        <f>IF($X$321="","",$Y$288)</f>
        <v/>
      </c>
      <c r="Z321" s="477" t="str">
        <f>IF($X$321="","",$Z$288)</f>
        <v/>
      </c>
      <c r="AA321" s="477" t="str">
        <f>IF($AC$321="","",ROW($A$321)-ROW($A$288))</f>
        <v/>
      </c>
      <c r="AB321" s="478"/>
      <c r="AC321" s="34"/>
      <c r="AD321" s="356"/>
      <c r="AE321" s="479"/>
      <c r="AF321" s="475"/>
      <c r="AG321" s="480" t="str">
        <f t="shared" si="76"/>
        <v/>
      </c>
      <c r="AH321" s="481" t="str">
        <f t="shared" si="77"/>
        <v/>
      </c>
      <c r="AI321" s="477" t="str">
        <f>IF($AC$321="","",IFERROR(INDEX($AZ$74:$AZ$119,MATCH($AH$321,$AY$74:$AY$119,0)),"AUTRE"))</f>
        <v/>
      </c>
      <c r="AJ321" s="482" t="str">
        <f>IF($AC$321="","",IFERROR(INDEX($BA$74:$BA$119,MATCH($AH$321,$AY$74:$AY$119,0)),1))</f>
        <v/>
      </c>
      <c r="AK321" s="482" t="str">
        <f t="shared" si="87"/>
        <v/>
      </c>
      <c r="AL321" s="477" t="str">
        <f>IF($AC$321="","",IFERROR(INDEX($BB$74:$BB$119,MATCH($AH$321,$AY$74:$AY$119,0)),$AH$321))</f>
        <v/>
      </c>
      <c r="AM321" s="483" t="str">
        <f t="shared" si="78"/>
        <v/>
      </c>
      <c r="AN321" s="484" t="str">
        <f t="shared" si="79"/>
        <v/>
      </c>
      <c r="AO321" s="473" t="str">
        <f t="shared" si="80"/>
        <v/>
      </c>
      <c r="AP321" s="473" t="str">
        <f t="shared" si="81"/>
        <v/>
      </c>
      <c r="AQ321" s="473" t="str">
        <f t="shared" si="82"/>
        <v/>
      </c>
      <c r="AR321" s="473" t="str">
        <f t="shared" si="83"/>
        <v/>
      </c>
      <c r="AS321" s="473" t="str">
        <f t="shared" si="84"/>
        <v/>
      </c>
      <c r="AT321" s="473" t="str">
        <f t="shared" si="85"/>
        <v/>
      </c>
      <c r="AU321" s="473" t="str">
        <f t="shared" si="86"/>
        <v/>
      </c>
      <c r="AY321" s="497" t="s">
        <v>465</v>
      </c>
      <c r="AZ321" s="31" t="s">
        <v>352</v>
      </c>
      <c r="BA321" s="25" t="s">
        <v>6116</v>
      </c>
      <c r="BB321" s="499"/>
      <c r="BC321" s="271"/>
      <c r="BD321" s="279">
        <v>1</v>
      </c>
      <c r="BE321" s="271"/>
      <c r="BF321" s="271"/>
      <c r="BG321" s="271"/>
      <c r="BH321" s="271"/>
      <c r="BI321" s="271"/>
      <c r="BJ321" s="271"/>
      <c r="BK321" s="271"/>
      <c r="BL321" s="271"/>
    </row>
    <row r="322" spans="18:64" ht="21" customHeight="1" x14ac:dyDescent="0.25">
      <c r="R322" s="34" t="s">
        <v>469</v>
      </c>
      <c r="S322" s="451"/>
      <c r="T322" s="30" t="s">
        <v>10</v>
      </c>
      <c r="V322" s="475">
        <v>7</v>
      </c>
      <c r="W322" s="475" t="str">
        <f>IF($AC$322="","",$W$288)</f>
        <v/>
      </c>
      <c r="X322" s="476" t="str">
        <f>IF($AC$322="","",$X$288)</f>
        <v/>
      </c>
      <c r="Y322" s="477" t="str">
        <f>IF($X$322="","",$Y$288)</f>
        <v/>
      </c>
      <c r="Z322" s="477" t="str">
        <f>IF($X$322="","",$Z$288)</f>
        <v/>
      </c>
      <c r="AA322" s="477" t="str">
        <f>IF($AC$322="","",ROW($A$322)-ROW($A$288))</f>
        <v/>
      </c>
      <c r="AB322" s="478"/>
      <c r="AC322" s="34"/>
      <c r="AD322" s="356"/>
      <c r="AE322" s="479"/>
      <c r="AF322" s="475"/>
      <c r="AG322" s="491" t="str">
        <f t="shared" si="76"/>
        <v/>
      </c>
      <c r="AH322" s="481" t="str">
        <f t="shared" si="77"/>
        <v/>
      </c>
      <c r="AI322" s="477" t="str">
        <f>IF($AC$322="","",IFERROR(INDEX($AZ$74:$AZ$119,MATCH($AH$322,$AY$74:$AY$119,0)),"AUTRE"))</f>
        <v/>
      </c>
      <c r="AJ322" s="482" t="str">
        <f>IF($AC$322="","",IFERROR(INDEX($BA$74:$BA$119,MATCH($AH$322,$AY$74:$AY$119,0)),1))</f>
        <v/>
      </c>
      <c r="AK322" s="482" t="str">
        <f t="shared" si="87"/>
        <v/>
      </c>
      <c r="AL322" s="477" t="str">
        <f>IF($AC$322="","",IFERROR(INDEX($BB$74:$BB$119,MATCH($AH$322,$AY$74:$AY$119,0)),$AH$322))</f>
        <v/>
      </c>
      <c r="AM322" s="483" t="str">
        <f t="shared" si="78"/>
        <v/>
      </c>
      <c r="AN322" s="484" t="str">
        <f t="shared" si="79"/>
        <v/>
      </c>
      <c r="AO322" s="473" t="str">
        <f t="shared" si="80"/>
        <v/>
      </c>
      <c r="AP322" s="473" t="str">
        <f t="shared" si="81"/>
        <v/>
      </c>
      <c r="AQ322" s="473" t="str">
        <f t="shared" si="82"/>
        <v/>
      </c>
      <c r="AR322" s="473" t="str">
        <f t="shared" si="83"/>
        <v/>
      </c>
      <c r="AS322" s="473" t="str">
        <f t="shared" si="84"/>
        <v/>
      </c>
      <c r="AT322" s="473" t="str">
        <f t="shared" si="85"/>
        <v/>
      </c>
      <c r="AU322" s="473" t="str">
        <f t="shared" si="86"/>
        <v/>
      </c>
      <c r="AY322" s="497" t="s">
        <v>466</v>
      </c>
      <c r="AZ322" s="31" t="s">
        <v>27</v>
      </c>
      <c r="BA322" s="34" t="s">
        <v>6117</v>
      </c>
      <c r="BB322" s="499"/>
      <c r="BC322" s="271"/>
      <c r="BD322" s="279">
        <v>1</v>
      </c>
      <c r="BE322" s="271"/>
      <c r="BF322" s="271"/>
      <c r="BG322" s="271"/>
      <c r="BH322" s="271"/>
      <c r="BI322" s="271"/>
      <c r="BJ322" s="271"/>
      <c r="BK322" s="271"/>
      <c r="BL322" s="271"/>
    </row>
    <row r="323" spans="18:64" ht="30" customHeight="1" x14ac:dyDescent="0.25">
      <c r="R323" s="34" t="s">
        <v>6118</v>
      </c>
      <c r="S323" s="451"/>
      <c r="T323" s="30" t="s">
        <v>11</v>
      </c>
      <c r="V323" s="453" t="s">
        <v>324</v>
      </c>
      <c r="W323" s="453" t="s">
        <v>7912</v>
      </c>
      <c r="X323" s="453" t="s">
        <v>326</v>
      </c>
      <c r="Y323" s="453" t="s">
        <v>327</v>
      </c>
      <c r="Z323" s="454" t="s">
        <v>7930</v>
      </c>
      <c r="AA323" s="453" t="s">
        <v>7937</v>
      </c>
      <c r="AB323" s="455" t="s">
        <v>39</v>
      </c>
      <c r="AC323" s="455" t="s">
        <v>338</v>
      </c>
      <c r="AD323" s="455" t="s">
        <v>8114</v>
      </c>
      <c r="AE323" s="455" t="s">
        <v>339</v>
      </c>
      <c r="AF323" s="455" t="s">
        <v>7997</v>
      </c>
      <c r="AG323" s="453" t="s">
        <v>8018</v>
      </c>
      <c r="AH323" s="453" t="s">
        <v>8023</v>
      </c>
      <c r="AI323" s="453" t="s">
        <v>330</v>
      </c>
      <c r="AJ323" s="453" t="s">
        <v>8031</v>
      </c>
      <c r="AK323" s="453" t="s">
        <v>8037</v>
      </c>
      <c r="AL323" s="453" t="s">
        <v>8041</v>
      </c>
      <c r="AM323" s="453" t="s">
        <v>343</v>
      </c>
      <c r="AN323" s="457" t="s">
        <v>8115</v>
      </c>
      <c r="AO323" s="457" t="s">
        <v>8116</v>
      </c>
      <c r="AP323" s="656" t="s">
        <v>8117</v>
      </c>
      <c r="AQ323" s="656"/>
      <c r="AR323" s="656"/>
      <c r="AS323" s="656"/>
      <c r="AT323" s="656"/>
      <c r="AU323" s="657"/>
      <c r="AZ323" s="31" t="s">
        <v>28</v>
      </c>
      <c r="BA323" s="34" t="s">
        <v>469</v>
      </c>
      <c r="BB323" s="499"/>
      <c r="BC323" s="271"/>
      <c r="BD323" s="279">
        <v>1</v>
      </c>
      <c r="BE323" s="271"/>
      <c r="BF323" s="271"/>
      <c r="BG323" s="271"/>
      <c r="BH323" s="271"/>
      <c r="BI323" s="271"/>
      <c r="BJ323" s="271"/>
      <c r="BK323" s="271"/>
      <c r="BL323" s="271"/>
    </row>
    <row r="324" spans="18:64" ht="30" customHeight="1" x14ac:dyDescent="0.25">
      <c r="R324" s="34" t="s">
        <v>492</v>
      </c>
      <c r="S324" s="451"/>
      <c r="T324" s="30" t="s">
        <v>12</v>
      </c>
      <c r="V324" s="459">
        <v>8</v>
      </c>
      <c r="W324" s="460" t="s">
        <v>8159</v>
      </c>
      <c r="X324" s="461" t="s">
        <v>8160</v>
      </c>
      <c r="Y324" s="462"/>
      <c r="Z324" s="463">
        <v>100</v>
      </c>
      <c r="AA324" s="464">
        <f>IF($AC$396="","",ROW($A$396)-ROW($A$396))</f>
        <v>0</v>
      </c>
      <c r="AB324" s="461"/>
      <c r="AC324" s="465" t="s">
        <v>8161</v>
      </c>
      <c r="AD324" s="390"/>
      <c r="AE324" s="390"/>
      <c r="AF324" s="466"/>
      <c r="AG324" s="467" t="str">
        <f t="shared" ref="AG324:AG358" si="88">IF($AC324="","",IF(LEN($AN324&amp;"")=0,"",$AN324))</f>
        <v/>
      </c>
      <c r="AH324" s="468" t="str">
        <f t="shared" ref="AH324:AH358" si="89">IF($AC324="","",IF($AF324&lt;&gt;"",UPPER(TRIM(SUBSTITUTE(SUBSTITUTE($AF324&amp;"",CHAR(160)," ")," "," "))),$AP324))</f>
        <v/>
      </c>
      <c r="AI324" s="469" t="str">
        <f>IF($AC$324="","",IFERROR(INDEX($AZ$74:$AZ$119,MATCH($AH$324,$AY$74:$AY$119,0)),"AUTRE"))</f>
        <v>AUTRE</v>
      </c>
      <c r="AJ324" s="470">
        <f>IF($AC$324="","",IFERROR(INDEX($BA$74:$BA$119,MATCH($AH$324,$AY$74:$AY$119,0)),1))</f>
        <v>1</v>
      </c>
      <c r="AK324" s="470" t="str">
        <f t="shared" ref="AK324:AK358" si="90">IF(OR(AG324="",AJ324=""),"",AG324*AJ324)</f>
        <v/>
      </c>
      <c r="AL324" s="469" t="str">
        <f>IF($AC$324="","",IFERROR(INDEX($BB$74:$BB$119,MATCH($AH$324,$AY$74:$AY$119,0)),$AH$324))</f>
        <v/>
      </c>
      <c r="AM324" s="471" t="str">
        <f t="shared" ref="AM324:AM358" si="91">IF($AC324="","",IF($AH324="QT. SUFFISANTE","OK",IF($AG324="","TEXTE",IF(NOT(ISNUMBER($AG324)),"QUANTITÉ À CONTRÔLER",IF(COUNTIF($AY$74:$AY$119,$AH324)=0,"UNITÉ À CONTRÔLER","OK")))))</f>
        <v>TEXTE</v>
      </c>
      <c r="AN324" s="474" t="str">
        <f t="shared" ref="AN324:AN358" si="92">IF($AE324&lt;&gt;"",$AE324,IF($AD324="","",IF(ISNUMBER($AD324),$AD324,IF($AO324="QT",0,IF($AO324="","",IFERROR(IF(ISNUMBER(SEARCH("/",$AO324)),VALUE(TRIM(LEFT($AO324,SEARCH("/",$AO324)-1)))/VALUE(TRIM(MID($AO324,SEARCH("/",$AO324)+1,99))),VALUE(SUBSTITUTE($AO324,".",","))),""))))))</f>
        <v/>
      </c>
      <c r="AO324" s="473" t="str">
        <f t="shared" ref="AO324:AO358" si="93">IF($AD324="","",IF(ISNUMBER($AD324),$AD324,IF(OR(LEFT($AQ324,3)="QT.",LEFT($AQ324,4)="QUAN"),"QT",IF($AR324=999,$AQ324,TRIM(LEFT($AQ324,$AR324-1))))))</f>
        <v/>
      </c>
      <c r="AP324" s="473" t="str">
        <f t="shared" ref="AP324:AP358" si="94">IF($AD324="","",IF(ISNUMBER($AD324),"",IF(OR(LEFT($AQ324,3)="QT.",LEFT($AQ324,4)="QUAN"),"QT. SUFFISANTE",IF($AO324="","",TRIM(MID($AQ324,LEN($AO324&amp;"")+1,999))))))</f>
        <v/>
      </c>
      <c r="AQ324" s="473" t="str">
        <f t="shared" ref="AQ324:AQ358" si="95">IF($AD324="","",UPPER(TRIM(SUBSTITUTE(SUBSTITUTE($AD324&amp;"",CHAR(160)," ")," "," "))))</f>
        <v/>
      </c>
      <c r="AR324" s="473" t="str">
        <f t="shared" ref="AR324:AR358" si="96">IF($AQ324="","",MIN($AS324,$AT324,$AU324))</f>
        <v/>
      </c>
      <c r="AS324" s="473" t="str">
        <f t="shared" ref="AS324:AS358" si="97">IF($AQ324="","",MIN(IFERROR(SEARCH("A",$AQ324),999),IFERROR(SEARCH("B",$AQ324),999),IFERROR(SEARCH("C",$AQ324),999),IFERROR(SEARCH("D",$AQ324),999),IFERROR(SEARCH("E",$AQ324),999),IFERROR(SEARCH("F",$AQ324),999),IFERROR(SEARCH("G",$AQ324),999),IFERROR(SEARCH("H",$AQ324),999),IFERROR(SEARCH("I",$AQ324),999)))</f>
        <v/>
      </c>
      <c r="AT324" s="473" t="str">
        <f t="shared" ref="AT324:AT358" si="98">IF($AQ324="","",MIN(IFERROR(SEARCH("J",$AQ324),999),IFERROR(SEARCH("K",$AQ324),999),IFERROR(SEARCH("L",$AQ324),999),IFERROR(SEARCH("M",$AQ324),999),IFERROR(SEARCH("N",$AQ324),999),IFERROR(SEARCH("O",$AQ324),999),IFERROR(SEARCH("P",$AQ324),999),IFERROR(SEARCH("Q",$AQ324),999),IFERROR(SEARCH("R",$AQ324),999)))</f>
        <v/>
      </c>
      <c r="AU324" s="473" t="str">
        <f t="shared" ref="AU324:AU358" si="99">IF($AQ324="","",MIN(IFERROR(SEARCH("S",$AQ324),999),IFERROR(SEARCH("T",$AQ324),999),IFERROR(SEARCH("U",$AQ324),999),IFERROR(SEARCH("V",$AQ324),999),IFERROR(SEARCH("W",$AQ324),999),IFERROR(SEARCH("X",$AQ324),999),IFERROR(SEARCH("Y",$AQ324),999),IFERROR(SEARCH("Z",$AQ324),999)))</f>
        <v/>
      </c>
      <c r="AZ324" s="31" t="s">
        <v>29</v>
      </c>
      <c r="BA324" s="34" t="s">
        <v>6118</v>
      </c>
      <c r="BB324" s="499"/>
      <c r="BC324" s="271"/>
      <c r="BD324" s="279">
        <v>1</v>
      </c>
      <c r="BE324" s="271"/>
      <c r="BF324" s="271"/>
      <c r="BG324" s="271"/>
      <c r="BH324" s="271"/>
      <c r="BI324" s="271"/>
      <c r="BJ324" s="271"/>
      <c r="BK324" s="271"/>
      <c r="BL324" s="271"/>
    </row>
    <row r="325" spans="18:64" ht="21" customHeight="1" x14ac:dyDescent="0.25">
      <c r="R325" s="34" t="s">
        <v>458</v>
      </c>
      <c r="S325" s="451"/>
      <c r="T325" s="31" t="s">
        <v>16</v>
      </c>
      <c r="V325" s="475">
        <f>$V$324</f>
        <v>8</v>
      </c>
      <c r="W325" s="475" t="str">
        <f>IF($AC$325="","",$W$324)</f>
        <v/>
      </c>
      <c r="X325" s="476" t="str">
        <f>IF($AC$325="","",$X$324)</f>
        <v/>
      </c>
      <c r="Y325" s="477" t="str">
        <f>IF($X$325="","",$Y$324)</f>
        <v/>
      </c>
      <c r="Z325" s="477" t="str">
        <f>IF($X$325="","",$Z$324)</f>
        <v/>
      </c>
      <c r="AA325" s="477" t="str">
        <f>IF($AC$325="","",ROW($A$325)-ROW($A$324))</f>
        <v/>
      </c>
      <c r="AB325" s="478"/>
      <c r="AC325" s="34"/>
      <c r="AD325" s="356"/>
      <c r="AE325" s="479"/>
      <c r="AF325" s="475"/>
      <c r="AG325" s="480" t="str">
        <f t="shared" si="88"/>
        <v/>
      </c>
      <c r="AH325" s="481" t="str">
        <f t="shared" si="89"/>
        <v/>
      </c>
      <c r="AI325" s="477" t="str">
        <f>IF($AC$325="","",IFERROR(INDEX($AZ$74:$AZ$119,MATCH($AH$325,$AY$74:$AY$119,0)),"AUTRE"))</f>
        <v/>
      </c>
      <c r="AJ325" s="482" t="str">
        <f>IF($AC$325="","",IFERROR(INDEX($BA$74:$BA$119,MATCH($AH$325,$AY$74:$AY$119,0)),1))</f>
        <v/>
      </c>
      <c r="AK325" s="482" t="str">
        <f t="shared" si="90"/>
        <v/>
      </c>
      <c r="AL325" s="477" t="str">
        <f>IF($AC$325="","",IFERROR(INDEX($BB$74:$BB$119,MATCH($AH$325,$AY$74:$AY$119,0)),$AH$325))</f>
        <v/>
      </c>
      <c r="AM325" s="483" t="str">
        <f t="shared" si="91"/>
        <v/>
      </c>
      <c r="AN325" s="484" t="str">
        <f t="shared" si="92"/>
        <v/>
      </c>
      <c r="AO325" s="473" t="str">
        <f t="shared" si="93"/>
        <v/>
      </c>
      <c r="AP325" s="473" t="str">
        <f t="shared" si="94"/>
        <v/>
      </c>
      <c r="AQ325" s="473" t="str">
        <f t="shared" si="95"/>
        <v/>
      </c>
      <c r="AR325" s="473" t="str">
        <f t="shared" si="96"/>
        <v/>
      </c>
      <c r="AS325" s="473" t="str">
        <f t="shared" si="97"/>
        <v/>
      </c>
      <c r="AT325" s="473" t="str">
        <f t="shared" si="98"/>
        <v/>
      </c>
      <c r="AU325" s="473" t="str">
        <f t="shared" si="99"/>
        <v/>
      </c>
      <c r="AZ325" s="31" t="s">
        <v>30</v>
      </c>
      <c r="BA325" s="34" t="s">
        <v>492</v>
      </c>
      <c r="BB325" s="499"/>
      <c r="BC325" s="271"/>
      <c r="BD325" s="279">
        <v>1</v>
      </c>
      <c r="BE325" s="271"/>
      <c r="BF325" s="271"/>
      <c r="BG325" s="271"/>
      <c r="BH325" s="271"/>
      <c r="BI325" s="271"/>
      <c r="BJ325" s="271"/>
      <c r="BK325" s="271"/>
      <c r="BL325" s="271"/>
    </row>
    <row r="326" spans="18:64" ht="21" customHeight="1" x14ac:dyDescent="0.25">
      <c r="R326" s="490"/>
      <c r="S326" s="451"/>
      <c r="T326" s="31" t="s">
        <v>17</v>
      </c>
      <c r="V326" s="475">
        <v>8</v>
      </c>
      <c r="W326" s="475" t="str">
        <f>IF($AC$326="","",$W$324)</f>
        <v/>
      </c>
      <c r="X326" s="476" t="str">
        <f>IF($AC$326="","",$X$324)</f>
        <v/>
      </c>
      <c r="Y326" s="477" t="str">
        <f>IF($X$326="","",$Y$324)</f>
        <v/>
      </c>
      <c r="Z326" s="477" t="str">
        <f>IF($X$326="","",$Z$324)</f>
        <v/>
      </c>
      <c r="AA326" s="477" t="str">
        <f>IF($AC$326="","",ROW($A$326)-ROW($A$324))</f>
        <v/>
      </c>
      <c r="AB326" s="478"/>
      <c r="AC326" s="34"/>
      <c r="AD326" s="356"/>
      <c r="AE326" s="479"/>
      <c r="AF326" s="475"/>
      <c r="AG326" s="480" t="str">
        <f t="shared" si="88"/>
        <v/>
      </c>
      <c r="AH326" s="481" t="str">
        <f t="shared" si="89"/>
        <v/>
      </c>
      <c r="AI326" s="477" t="str">
        <f>IF($AC$326="","",IFERROR(INDEX($AZ$74:$AZ$119,MATCH($AH$326,$AY$74:$AY$119,0)),"AUTRE"))</f>
        <v/>
      </c>
      <c r="AJ326" s="482" t="str">
        <f>IF($AC$326="","",IFERROR(INDEX($BA$74:$BA$119,MATCH($AH$326,$AY$74:$AY$119,0)),1))</f>
        <v/>
      </c>
      <c r="AK326" s="482" t="str">
        <f t="shared" si="90"/>
        <v/>
      </c>
      <c r="AL326" s="477" t="str">
        <f>IF($AC$326="","",IFERROR(INDEX($BB$74:$BB$119,MATCH($AH$326,$AY$74:$AY$119,0)),$AH$326))</f>
        <v/>
      </c>
      <c r="AM326" s="483" t="str">
        <f t="shared" si="91"/>
        <v/>
      </c>
      <c r="AN326" s="484" t="str">
        <f t="shared" si="92"/>
        <v/>
      </c>
      <c r="AO326" s="473" t="str">
        <f t="shared" si="93"/>
        <v/>
      </c>
      <c r="AP326" s="473" t="str">
        <f t="shared" si="94"/>
        <v/>
      </c>
      <c r="AQ326" s="473" t="str">
        <f t="shared" si="95"/>
        <v/>
      </c>
      <c r="AR326" s="473" t="str">
        <f t="shared" si="96"/>
        <v/>
      </c>
      <c r="AS326" s="473" t="str">
        <f t="shared" si="97"/>
        <v/>
      </c>
      <c r="AT326" s="473" t="str">
        <f t="shared" si="98"/>
        <v/>
      </c>
      <c r="AU326" s="473" t="str">
        <f t="shared" si="99"/>
        <v/>
      </c>
      <c r="AZ326" s="32" t="s">
        <v>33</v>
      </c>
      <c r="BA326" s="34" t="s">
        <v>458</v>
      </c>
      <c r="BB326" s="499"/>
      <c r="BC326" s="271"/>
      <c r="BD326" s="279">
        <v>1</v>
      </c>
      <c r="BE326" s="271"/>
      <c r="BF326" s="271"/>
      <c r="BG326" s="271"/>
      <c r="BH326" s="271"/>
      <c r="BI326" s="271"/>
      <c r="BJ326" s="271"/>
      <c r="BK326" s="271"/>
      <c r="BL326" s="271"/>
    </row>
    <row r="327" spans="18:64" ht="21" customHeight="1" x14ac:dyDescent="0.25">
      <c r="R327" s="25" t="s">
        <v>6119</v>
      </c>
      <c r="S327" s="451"/>
      <c r="T327" s="31" t="s">
        <v>18</v>
      </c>
      <c r="V327" s="475">
        <v>8</v>
      </c>
      <c r="W327" s="475" t="str">
        <f>IF($AC$327="","",$W$324)</f>
        <v/>
      </c>
      <c r="X327" s="476" t="str">
        <f>IF($AC$327="","",$X$324)</f>
        <v/>
      </c>
      <c r="Y327" s="477" t="str">
        <f>IF($X$327="","",$Y$324)</f>
        <v/>
      </c>
      <c r="Z327" s="477" t="str">
        <f>IF($X$327="","",$Z$324)</f>
        <v/>
      </c>
      <c r="AA327" s="477" t="str">
        <f>IF($AC$327="","",ROW($A$327)-ROW($A$324))</f>
        <v/>
      </c>
      <c r="AB327" s="478"/>
      <c r="AC327" s="34"/>
      <c r="AD327" s="356"/>
      <c r="AE327" s="479"/>
      <c r="AF327" s="475"/>
      <c r="AG327" s="480" t="str">
        <f t="shared" si="88"/>
        <v/>
      </c>
      <c r="AH327" s="481" t="str">
        <f t="shared" si="89"/>
        <v/>
      </c>
      <c r="AI327" s="477" t="str">
        <f>IF($AC$327="","",IFERROR(INDEX($AZ$74:$AZ$119,MATCH($AH$327,$AY$74:$AY$119,0)),"AUTRE"))</f>
        <v/>
      </c>
      <c r="AJ327" s="482" t="str">
        <f>IF($AC$327="","",IFERROR(INDEX($BA$74:$BA$119,MATCH($AH$327,$AY$74:$AY$119,0)),1))</f>
        <v/>
      </c>
      <c r="AK327" s="482" t="str">
        <f t="shared" si="90"/>
        <v/>
      </c>
      <c r="AL327" s="477" t="str">
        <f>IF($AC$327="","",IFERROR(INDEX($BB$74:$BB$119,MATCH($AH$327,$AY$74:$AY$119,0)),$AH$327))</f>
        <v/>
      </c>
      <c r="AM327" s="483" t="str">
        <f t="shared" si="91"/>
        <v/>
      </c>
      <c r="AN327" s="484" t="str">
        <f t="shared" si="92"/>
        <v/>
      </c>
      <c r="AO327" s="473" t="str">
        <f t="shared" si="93"/>
        <v/>
      </c>
      <c r="AP327" s="473" t="str">
        <f t="shared" si="94"/>
        <v/>
      </c>
      <c r="AQ327" s="473" t="str">
        <f t="shared" si="95"/>
        <v/>
      </c>
      <c r="AR327" s="473" t="str">
        <f t="shared" si="96"/>
        <v/>
      </c>
      <c r="AS327" s="473" t="str">
        <f t="shared" si="97"/>
        <v/>
      </c>
      <c r="AT327" s="473" t="str">
        <f t="shared" si="98"/>
        <v/>
      </c>
      <c r="AU327" s="473" t="str">
        <f t="shared" si="99"/>
        <v/>
      </c>
      <c r="AZ327" s="32" t="s">
        <v>8125</v>
      </c>
      <c r="BA327" s="490"/>
      <c r="BB327" s="499"/>
      <c r="BC327" s="271"/>
      <c r="BD327" s="279">
        <v>1</v>
      </c>
      <c r="BE327" s="271"/>
      <c r="BF327" s="271"/>
      <c r="BG327" s="271"/>
      <c r="BH327" s="271"/>
      <c r="BI327" s="271"/>
      <c r="BJ327" s="271"/>
      <c r="BK327" s="271"/>
      <c r="BL327" s="271"/>
    </row>
    <row r="328" spans="18:64" ht="21" customHeight="1" x14ac:dyDescent="0.25">
      <c r="R328" s="34" t="s">
        <v>6120</v>
      </c>
      <c r="S328" s="451"/>
      <c r="T328" s="31" t="s">
        <v>19</v>
      </c>
      <c r="V328" s="475">
        <v>8</v>
      </c>
      <c r="W328" s="475" t="str">
        <f>IF($AC$328="","",$W$324)</f>
        <v/>
      </c>
      <c r="X328" s="476" t="str">
        <f>IF($AC$328="","",$X$324)</f>
        <v/>
      </c>
      <c r="Y328" s="477" t="str">
        <f>IF($X$328="","",$Y$324)</f>
        <v/>
      </c>
      <c r="Z328" s="477" t="str">
        <f>IF($X$328="","",$Z$324)</f>
        <v/>
      </c>
      <c r="AA328" s="477" t="str">
        <f>IF($AC$328="","",ROW($A$328)-ROW($A$324))</f>
        <v/>
      </c>
      <c r="AB328" s="478"/>
      <c r="AC328" s="34"/>
      <c r="AD328" s="356"/>
      <c r="AE328" s="479"/>
      <c r="AF328" s="475"/>
      <c r="AG328" s="480" t="str">
        <f t="shared" si="88"/>
        <v/>
      </c>
      <c r="AH328" s="481" t="str">
        <f t="shared" si="89"/>
        <v/>
      </c>
      <c r="AI328" s="477" t="str">
        <f>IF($AC$328="","",IFERROR(INDEX($AZ$74:$AZ$119,MATCH($AH$328,$AY$74:$AY$119,0)),"AUTRE"))</f>
        <v/>
      </c>
      <c r="AJ328" s="482" t="str">
        <f>IF($AC$328="","",IFERROR(INDEX($BA$74:$BA$119,MATCH($AH$328,$AY$74:$AY$119,0)),1))</f>
        <v/>
      </c>
      <c r="AK328" s="482" t="str">
        <f t="shared" si="90"/>
        <v/>
      </c>
      <c r="AL328" s="477" t="str">
        <f>IF($AC$328="","",IFERROR(INDEX($BB$74:$BB$119,MATCH($AH$328,$AY$74:$AY$119,0)),$AH$328))</f>
        <v/>
      </c>
      <c r="AM328" s="483" t="str">
        <f t="shared" si="91"/>
        <v/>
      </c>
      <c r="AN328" s="484" t="str">
        <f t="shared" si="92"/>
        <v/>
      </c>
      <c r="AO328" s="473" t="str">
        <f t="shared" si="93"/>
        <v/>
      </c>
      <c r="AP328" s="473" t="str">
        <f t="shared" si="94"/>
        <v/>
      </c>
      <c r="AQ328" s="473" t="str">
        <f t="shared" si="95"/>
        <v/>
      </c>
      <c r="AR328" s="473" t="str">
        <f t="shared" si="96"/>
        <v/>
      </c>
      <c r="AS328" s="473" t="str">
        <f t="shared" si="97"/>
        <v/>
      </c>
      <c r="AT328" s="473" t="str">
        <f t="shared" si="98"/>
        <v/>
      </c>
      <c r="AU328" s="473" t="str">
        <f t="shared" si="99"/>
        <v/>
      </c>
      <c r="AZ328" s="32" t="s">
        <v>8127</v>
      </c>
      <c r="BA328" s="25" t="s">
        <v>6119</v>
      </c>
      <c r="BB328" s="499"/>
      <c r="BC328" s="271"/>
      <c r="BD328" s="279">
        <v>1</v>
      </c>
      <c r="BE328" s="271"/>
      <c r="BF328" s="271"/>
      <c r="BG328" s="271"/>
      <c r="BH328" s="271"/>
      <c r="BI328" s="271"/>
      <c r="BJ328" s="271"/>
      <c r="BK328" s="271"/>
      <c r="BL328" s="271"/>
    </row>
    <row r="329" spans="18:64" ht="21" customHeight="1" x14ac:dyDescent="0.25">
      <c r="R329" s="34" t="s">
        <v>6121</v>
      </c>
      <c r="S329" s="451"/>
      <c r="T329" s="31" t="s">
        <v>211</v>
      </c>
      <c r="V329" s="475">
        <v>8</v>
      </c>
      <c r="W329" s="475" t="str">
        <f>IF($AC$329="","",$W$324)</f>
        <v/>
      </c>
      <c r="X329" s="476" t="str">
        <f>IF($AC$329="","",$X$324)</f>
        <v/>
      </c>
      <c r="Y329" s="477" t="str">
        <f>IF($X$329="","",$Y$324)</f>
        <v/>
      </c>
      <c r="Z329" s="477" t="str">
        <f>IF($X$329="","",$Z$324)</f>
        <v/>
      </c>
      <c r="AA329" s="477" t="str">
        <f>IF($AC$329="","",ROW($A$329)-ROW($A$324))</f>
        <v/>
      </c>
      <c r="AB329" s="478"/>
      <c r="AC329" s="34"/>
      <c r="AD329" s="356"/>
      <c r="AE329" s="479"/>
      <c r="AF329" s="475"/>
      <c r="AG329" s="480" t="str">
        <f t="shared" si="88"/>
        <v/>
      </c>
      <c r="AH329" s="481" t="str">
        <f t="shared" si="89"/>
        <v/>
      </c>
      <c r="AI329" s="477" t="str">
        <f>IF($AC$329="","",IFERROR(INDEX($AZ$74:$AZ$119,MATCH($AH$329,$AY$74:$AY$119,0)),"AUTRE"))</f>
        <v/>
      </c>
      <c r="AJ329" s="482" t="str">
        <f>IF($AC$329="","",IFERROR(INDEX($BA$74:$BA$119,MATCH($AH$329,$AY$74:$AY$119,0)),1))</f>
        <v/>
      </c>
      <c r="AK329" s="482" t="str">
        <f t="shared" si="90"/>
        <v/>
      </c>
      <c r="AL329" s="477" t="str">
        <f>IF($AC$329="","",IFERROR(INDEX($BB$74:$BB$119,MATCH($AH$329,$AY$74:$AY$119,0)),$AH$329))</f>
        <v/>
      </c>
      <c r="AM329" s="483" t="str">
        <f t="shared" si="91"/>
        <v/>
      </c>
      <c r="AN329" s="484" t="str">
        <f t="shared" si="92"/>
        <v/>
      </c>
      <c r="AO329" s="473" t="str">
        <f t="shared" si="93"/>
        <v/>
      </c>
      <c r="AP329" s="473" t="str">
        <f t="shared" si="94"/>
        <v/>
      </c>
      <c r="AQ329" s="473" t="str">
        <f t="shared" si="95"/>
        <v/>
      </c>
      <c r="AR329" s="473" t="str">
        <f t="shared" si="96"/>
        <v/>
      </c>
      <c r="AS329" s="473" t="str">
        <f t="shared" si="97"/>
        <v/>
      </c>
      <c r="AT329" s="473" t="str">
        <f t="shared" si="98"/>
        <v/>
      </c>
      <c r="AU329" s="473" t="str">
        <f t="shared" si="99"/>
        <v/>
      </c>
      <c r="AZ329" s="32" t="s">
        <v>320</v>
      </c>
      <c r="BA329" s="34" t="s">
        <v>6120</v>
      </c>
      <c r="BB329" s="499"/>
      <c r="BC329" s="271"/>
      <c r="BD329" s="279">
        <v>1</v>
      </c>
      <c r="BE329" s="271"/>
      <c r="BF329" s="271"/>
      <c r="BG329" s="271"/>
      <c r="BH329" s="271"/>
      <c r="BI329" s="271"/>
      <c r="BJ329" s="271"/>
      <c r="BK329" s="271"/>
      <c r="BL329" s="271"/>
    </row>
    <row r="330" spans="18:64" ht="21" customHeight="1" x14ac:dyDescent="0.25">
      <c r="R330" s="34" t="s">
        <v>6122</v>
      </c>
      <c r="S330" s="451"/>
      <c r="T330" s="31" t="s">
        <v>20</v>
      </c>
      <c r="V330" s="475">
        <v>8</v>
      </c>
      <c r="W330" s="475" t="str">
        <f>IF($AC$330="","",$W$324)</f>
        <v/>
      </c>
      <c r="X330" s="476" t="str">
        <f>IF($AC$330="","",$X$324)</f>
        <v/>
      </c>
      <c r="Y330" s="477" t="str">
        <f>IF($X$330="","",$Y$324)</f>
        <v/>
      </c>
      <c r="Z330" s="477" t="str">
        <f>IF($X$330="","",$Z$324)</f>
        <v/>
      </c>
      <c r="AA330" s="477" t="str">
        <f>IF($AC$330="","",ROW($A$330)-ROW($A$324))</f>
        <v/>
      </c>
      <c r="AB330" s="478"/>
      <c r="AC330" s="34"/>
      <c r="AD330" s="356"/>
      <c r="AE330" s="479"/>
      <c r="AF330" s="475"/>
      <c r="AG330" s="480" t="str">
        <f t="shared" si="88"/>
        <v/>
      </c>
      <c r="AH330" s="481" t="str">
        <f t="shared" si="89"/>
        <v/>
      </c>
      <c r="AI330" s="477" t="str">
        <f>IF($AC$330="","",IFERROR(INDEX($AZ$74:$AZ$119,MATCH($AH$330,$AY$74:$AY$119,0)),"AUTRE"))</f>
        <v/>
      </c>
      <c r="AJ330" s="482" t="str">
        <f>IF($AC$330="","",IFERROR(INDEX($BA$74:$BA$119,MATCH($AH$330,$AY$74:$AY$119,0)),1))</f>
        <v/>
      </c>
      <c r="AK330" s="482" t="str">
        <f t="shared" si="90"/>
        <v/>
      </c>
      <c r="AL330" s="477" t="str">
        <f>IF($AC$330="","",IFERROR(INDEX($BB$74:$BB$119,MATCH($AH$330,$AY$74:$AY$119,0)),$AH$330))</f>
        <v/>
      </c>
      <c r="AM330" s="483" t="str">
        <f t="shared" si="91"/>
        <v/>
      </c>
      <c r="AN330" s="484" t="str">
        <f t="shared" si="92"/>
        <v/>
      </c>
      <c r="AO330" s="473" t="str">
        <f t="shared" si="93"/>
        <v/>
      </c>
      <c r="AP330" s="473" t="str">
        <f t="shared" si="94"/>
        <v/>
      </c>
      <c r="AQ330" s="473" t="str">
        <f t="shared" si="95"/>
        <v/>
      </c>
      <c r="AR330" s="473" t="str">
        <f t="shared" si="96"/>
        <v/>
      </c>
      <c r="AS330" s="473" t="str">
        <f t="shared" si="97"/>
        <v/>
      </c>
      <c r="AT330" s="473" t="str">
        <f t="shared" si="98"/>
        <v/>
      </c>
      <c r="AU330" s="473" t="str">
        <f t="shared" si="99"/>
        <v/>
      </c>
      <c r="AZ330" s="32" t="s">
        <v>318</v>
      </c>
      <c r="BA330" s="34" t="s">
        <v>6121</v>
      </c>
      <c r="BB330" s="499"/>
      <c r="BC330" s="271"/>
      <c r="BD330" s="279">
        <v>1</v>
      </c>
      <c r="BE330" s="271"/>
      <c r="BF330" s="271"/>
      <c r="BG330" s="271"/>
      <c r="BH330" s="271"/>
      <c r="BI330" s="271"/>
      <c r="BJ330" s="271"/>
      <c r="BK330" s="271"/>
      <c r="BL330" s="271"/>
    </row>
    <row r="331" spans="18:64" ht="21" customHeight="1" x14ac:dyDescent="0.25">
      <c r="R331" s="34" t="s">
        <v>6123</v>
      </c>
      <c r="S331" s="451"/>
      <c r="T331" s="31" t="s">
        <v>304</v>
      </c>
      <c r="V331" s="475">
        <v>8</v>
      </c>
      <c r="W331" s="475" t="str">
        <f>IF($AC$331="","",$W$324)</f>
        <v/>
      </c>
      <c r="X331" s="476" t="str">
        <f>IF($AC$331="","",$X$324)</f>
        <v/>
      </c>
      <c r="Y331" s="477" t="str">
        <f>IF($X$331="","",$Y$324)</f>
        <v/>
      </c>
      <c r="Z331" s="477" t="str">
        <f>IF($X$331="","",$Z$324)</f>
        <v/>
      </c>
      <c r="AA331" s="477" t="str">
        <f>IF($AC$331="","",ROW($A$331)-ROW($A$324))</f>
        <v/>
      </c>
      <c r="AB331" s="478"/>
      <c r="AC331" s="34"/>
      <c r="AD331" s="356"/>
      <c r="AE331" s="479"/>
      <c r="AF331" s="475"/>
      <c r="AG331" s="480" t="str">
        <f t="shared" si="88"/>
        <v/>
      </c>
      <c r="AH331" s="481" t="str">
        <f t="shared" si="89"/>
        <v/>
      </c>
      <c r="AI331" s="477" t="str">
        <f>IF($AC$331="","",IFERROR(INDEX($AZ$74:$AZ$119,MATCH($AH$331,$AY$74:$AY$119,0)),"AUTRE"))</f>
        <v/>
      </c>
      <c r="AJ331" s="482" t="str">
        <f>IF($AC$331="","",IFERROR(INDEX($BA$74:$BA$119,MATCH($AH$331,$AY$74:$AY$119,0)),1))</f>
        <v/>
      </c>
      <c r="AK331" s="482" t="str">
        <f t="shared" si="90"/>
        <v/>
      </c>
      <c r="AL331" s="477" t="str">
        <f>IF($AC$331="","",IFERROR(INDEX($BB$74:$BB$119,MATCH($AH$331,$AY$74:$AY$119,0)),$AH$331))</f>
        <v/>
      </c>
      <c r="AM331" s="483" t="str">
        <f t="shared" si="91"/>
        <v/>
      </c>
      <c r="AN331" s="484" t="str">
        <f t="shared" si="92"/>
        <v/>
      </c>
      <c r="AO331" s="473" t="str">
        <f t="shared" si="93"/>
        <v/>
      </c>
      <c r="AP331" s="473" t="str">
        <f t="shared" si="94"/>
        <v/>
      </c>
      <c r="AQ331" s="473" t="str">
        <f t="shared" si="95"/>
        <v/>
      </c>
      <c r="AR331" s="473" t="str">
        <f t="shared" si="96"/>
        <v/>
      </c>
      <c r="AS331" s="473" t="str">
        <f t="shared" si="97"/>
        <v/>
      </c>
      <c r="AT331" s="473" t="str">
        <f t="shared" si="98"/>
        <v/>
      </c>
      <c r="AU331" s="473" t="str">
        <f t="shared" si="99"/>
        <v/>
      </c>
      <c r="AZ331" s="32" t="s">
        <v>316</v>
      </c>
      <c r="BA331" s="34" t="s">
        <v>6122</v>
      </c>
      <c r="BB331" s="499"/>
      <c r="BC331" s="271"/>
      <c r="BD331" s="279">
        <v>1</v>
      </c>
      <c r="BE331" s="271"/>
      <c r="BF331" s="271"/>
      <c r="BG331" s="271"/>
      <c r="BH331" s="271"/>
      <c r="BI331" s="271"/>
      <c r="BJ331" s="271"/>
      <c r="BK331" s="271"/>
      <c r="BL331" s="271"/>
    </row>
    <row r="332" spans="18:64" ht="21" customHeight="1" x14ac:dyDescent="0.25">
      <c r="R332" s="34" t="s">
        <v>6124</v>
      </c>
      <c r="S332" s="451"/>
      <c r="T332" s="31" t="s">
        <v>352</v>
      </c>
      <c r="V332" s="475">
        <v>8</v>
      </c>
      <c r="W332" s="475" t="str">
        <f>IF($AC$332="","",$W$324)</f>
        <v/>
      </c>
      <c r="X332" s="476" t="str">
        <f>IF($AC$332="","",$X$324)</f>
        <v/>
      </c>
      <c r="Y332" s="477" t="str">
        <f>IF($X$332="","",$Y$324)</f>
        <v/>
      </c>
      <c r="Z332" s="477" t="str">
        <f>IF($X$332="","",$Z$324)</f>
        <v/>
      </c>
      <c r="AA332" s="477" t="str">
        <f>IF($AC$332="","",ROW($A$332)-ROW($A$324))</f>
        <v/>
      </c>
      <c r="AB332" s="478"/>
      <c r="AC332" s="34"/>
      <c r="AD332" s="356"/>
      <c r="AE332" s="479"/>
      <c r="AF332" s="475"/>
      <c r="AG332" s="480" t="str">
        <f t="shared" si="88"/>
        <v/>
      </c>
      <c r="AH332" s="481" t="str">
        <f t="shared" si="89"/>
        <v/>
      </c>
      <c r="AI332" s="477" t="str">
        <f>IF($AC$332="","",IFERROR(INDEX($AZ$74:$AZ$119,MATCH($AH$332,$AY$74:$AY$119,0)),"AUTRE"))</f>
        <v/>
      </c>
      <c r="AJ332" s="482" t="str">
        <f>IF($AC$332="","",IFERROR(INDEX($BA$74:$BA$119,MATCH($AH$332,$AY$74:$AY$119,0)),1))</f>
        <v/>
      </c>
      <c r="AK332" s="482" t="str">
        <f t="shared" si="90"/>
        <v/>
      </c>
      <c r="AL332" s="477" t="str">
        <f>IF($AC$332="","",IFERROR(INDEX($BB$74:$BB$119,MATCH($AH$332,$AY$74:$AY$119,0)),$AH$332))</f>
        <v/>
      </c>
      <c r="AM332" s="483" t="str">
        <f t="shared" si="91"/>
        <v/>
      </c>
      <c r="AN332" s="484" t="str">
        <f t="shared" si="92"/>
        <v/>
      </c>
      <c r="AO332" s="473" t="str">
        <f t="shared" si="93"/>
        <v/>
      </c>
      <c r="AP332" s="473" t="str">
        <f t="shared" si="94"/>
        <v/>
      </c>
      <c r="AQ332" s="473" t="str">
        <f t="shared" si="95"/>
        <v/>
      </c>
      <c r="AR332" s="473" t="str">
        <f t="shared" si="96"/>
        <v/>
      </c>
      <c r="AS332" s="473" t="str">
        <f t="shared" si="97"/>
        <v/>
      </c>
      <c r="AT332" s="473" t="str">
        <f t="shared" si="98"/>
        <v/>
      </c>
      <c r="AU332" s="473" t="str">
        <f t="shared" si="99"/>
        <v/>
      </c>
      <c r="AZ332" s="32" t="s">
        <v>313</v>
      </c>
      <c r="BA332" s="34" t="s">
        <v>6123</v>
      </c>
      <c r="BB332" s="499"/>
      <c r="BC332" s="271"/>
      <c r="BD332" s="279">
        <v>1</v>
      </c>
      <c r="BE332" s="271"/>
      <c r="BF332" s="271"/>
      <c r="BG332" s="271"/>
      <c r="BH332" s="271"/>
      <c r="BI332" s="271"/>
      <c r="BJ332" s="271"/>
      <c r="BK332" s="271"/>
      <c r="BL332" s="271"/>
    </row>
    <row r="333" spans="18:64" ht="21" customHeight="1" x14ac:dyDescent="0.25">
      <c r="R333" s="34" t="s">
        <v>6125</v>
      </c>
      <c r="S333" s="451"/>
      <c r="T333" s="31" t="s">
        <v>25</v>
      </c>
      <c r="V333" s="475">
        <v>8</v>
      </c>
      <c r="W333" s="475" t="str">
        <f>IF($AC$333="","",$W$324)</f>
        <v/>
      </c>
      <c r="X333" s="476" t="str">
        <f>IF($AC$333="","",$X$324)</f>
        <v/>
      </c>
      <c r="Y333" s="477" t="str">
        <f>IF($X$333="","",$Y$324)</f>
        <v/>
      </c>
      <c r="Z333" s="477" t="str">
        <f>IF($X$333="","",$Z$324)</f>
        <v/>
      </c>
      <c r="AA333" s="477" t="str">
        <f>IF($AC$333="","",ROW($A$333)-ROW($A$324))</f>
        <v/>
      </c>
      <c r="AB333" s="478"/>
      <c r="AC333" s="34"/>
      <c r="AD333" s="356"/>
      <c r="AE333" s="479"/>
      <c r="AF333" s="475"/>
      <c r="AG333" s="480" t="str">
        <f t="shared" si="88"/>
        <v/>
      </c>
      <c r="AH333" s="481" t="str">
        <f t="shared" si="89"/>
        <v/>
      </c>
      <c r="AI333" s="477" t="str">
        <f>IF($AC$333="","",IFERROR(INDEX($AZ$74:$AZ$119,MATCH($AH$333,$AY$74:$AY$119,0)),"AUTRE"))</f>
        <v/>
      </c>
      <c r="AJ333" s="482" t="str">
        <f>IF($AC$333="","",IFERROR(INDEX($BA$74:$BA$119,MATCH($AH$333,$AY$74:$AY$119,0)),1))</f>
        <v/>
      </c>
      <c r="AK333" s="482" t="str">
        <f t="shared" si="90"/>
        <v/>
      </c>
      <c r="AL333" s="477" t="str">
        <f>IF($AC$333="","",IFERROR(INDEX($BB$74:$BB$119,MATCH($AH$333,$AY$74:$AY$119,0)),$AH$333))</f>
        <v/>
      </c>
      <c r="AM333" s="483" t="str">
        <f t="shared" si="91"/>
        <v/>
      </c>
      <c r="AN333" s="484" t="str">
        <f t="shared" si="92"/>
        <v/>
      </c>
      <c r="AO333" s="473" t="str">
        <f t="shared" si="93"/>
        <v/>
      </c>
      <c r="AP333" s="473" t="str">
        <f t="shared" si="94"/>
        <v/>
      </c>
      <c r="AQ333" s="473" t="str">
        <f t="shared" si="95"/>
        <v/>
      </c>
      <c r="AR333" s="473" t="str">
        <f t="shared" si="96"/>
        <v/>
      </c>
      <c r="AS333" s="473" t="str">
        <f t="shared" si="97"/>
        <v/>
      </c>
      <c r="AT333" s="473" t="str">
        <f t="shared" si="98"/>
        <v/>
      </c>
      <c r="AU333" s="473" t="str">
        <f t="shared" si="99"/>
        <v/>
      </c>
      <c r="AZ333" s="32" t="s">
        <v>307</v>
      </c>
      <c r="BA333" s="34" t="s">
        <v>6124</v>
      </c>
      <c r="BB333" s="499"/>
      <c r="BC333" s="271"/>
      <c r="BD333" s="279">
        <v>1</v>
      </c>
      <c r="BE333" s="271"/>
      <c r="BF333" s="271"/>
      <c r="BG333" s="271"/>
      <c r="BH333" s="271"/>
      <c r="BI333" s="271"/>
      <c r="BJ333" s="271"/>
      <c r="BK333" s="271"/>
      <c r="BL333" s="271"/>
    </row>
    <row r="334" spans="18:64" ht="21" customHeight="1" x14ac:dyDescent="0.25">
      <c r="R334" s="34" t="s">
        <v>6126</v>
      </c>
      <c r="S334" s="451"/>
      <c r="T334" s="31" t="s">
        <v>26</v>
      </c>
      <c r="V334" s="475">
        <v>8</v>
      </c>
      <c r="W334" s="475" t="str">
        <f>IF($AC$334="","",$W$324)</f>
        <v/>
      </c>
      <c r="X334" s="476" t="str">
        <f>IF($AC$334="","",$X$324)</f>
        <v/>
      </c>
      <c r="Y334" s="477" t="str">
        <f>IF($X$334="","",$Y$324)</f>
        <v/>
      </c>
      <c r="Z334" s="477" t="str">
        <f>IF($X$334="","",$Z$324)</f>
        <v/>
      </c>
      <c r="AA334" s="477" t="str">
        <f>IF($AC$334="","",ROW($A$334)-ROW($A$324))</f>
        <v/>
      </c>
      <c r="AB334" s="478"/>
      <c r="AC334" s="34"/>
      <c r="AD334" s="356"/>
      <c r="AE334" s="479"/>
      <c r="AF334" s="475"/>
      <c r="AG334" s="480" t="str">
        <f t="shared" si="88"/>
        <v/>
      </c>
      <c r="AH334" s="481" t="str">
        <f t="shared" si="89"/>
        <v/>
      </c>
      <c r="AI334" s="477" t="str">
        <f>IF($AC$334="","",IFERROR(INDEX($AZ$74:$AZ$119,MATCH($AH$334,$AY$74:$AY$119,0)),"AUTRE"))</f>
        <v/>
      </c>
      <c r="AJ334" s="482" t="str">
        <f>IF($AC$334="","",IFERROR(INDEX($BA$74:$BA$119,MATCH($AH$334,$AY$74:$AY$119,0)),1))</f>
        <v/>
      </c>
      <c r="AK334" s="482" t="str">
        <f t="shared" si="90"/>
        <v/>
      </c>
      <c r="AL334" s="477" t="str">
        <f>IF($AC$334="","",IFERROR(INDEX($BB$74:$BB$119,MATCH($AH$334,$AY$74:$AY$119,0)),$AH$334))</f>
        <v/>
      </c>
      <c r="AM334" s="483" t="str">
        <f t="shared" si="91"/>
        <v/>
      </c>
      <c r="AN334" s="484" t="str">
        <f t="shared" si="92"/>
        <v/>
      </c>
      <c r="AO334" s="473" t="str">
        <f t="shared" si="93"/>
        <v/>
      </c>
      <c r="AP334" s="473" t="str">
        <f t="shared" si="94"/>
        <v/>
      </c>
      <c r="AQ334" s="473" t="str">
        <f t="shared" si="95"/>
        <v/>
      </c>
      <c r="AR334" s="473" t="str">
        <f t="shared" si="96"/>
        <v/>
      </c>
      <c r="AS334" s="473" t="str">
        <f t="shared" si="97"/>
        <v/>
      </c>
      <c r="AT334" s="473" t="str">
        <f t="shared" si="98"/>
        <v/>
      </c>
      <c r="AU334" s="473" t="str">
        <f t="shared" si="99"/>
        <v/>
      </c>
      <c r="AZ334" s="32" t="s">
        <v>322</v>
      </c>
      <c r="BA334" s="34" t="s">
        <v>6125</v>
      </c>
      <c r="BB334" s="499"/>
      <c r="BC334" s="271"/>
      <c r="BD334" s="279">
        <v>1</v>
      </c>
      <c r="BE334" s="271"/>
      <c r="BF334" s="271"/>
      <c r="BG334" s="271"/>
      <c r="BH334" s="271"/>
      <c r="BI334" s="271"/>
      <c r="BJ334" s="271"/>
      <c r="BK334" s="271"/>
      <c r="BL334" s="271"/>
    </row>
    <row r="335" spans="18:64" ht="21" customHeight="1" x14ac:dyDescent="0.25">
      <c r="R335" s="34" t="s">
        <v>6127</v>
      </c>
      <c r="S335" s="451"/>
      <c r="T335" s="31" t="s">
        <v>27</v>
      </c>
      <c r="V335" s="475">
        <v>8</v>
      </c>
      <c r="W335" s="475" t="str">
        <f>IF($AC$335="","",$W$324)</f>
        <v/>
      </c>
      <c r="X335" s="476" t="str">
        <f>IF($AC$335="","",$X$324)</f>
        <v/>
      </c>
      <c r="Y335" s="477" t="str">
        <f>IF($X$335="","",$Y$324)</f>
        <v/>
      </c>
      <c r="Z335" s="477" t="str">
        <f>IF($X$335="","",$Z$324)</f>
        <v/>
      </c>
      <c r="AA335" s="477" t="str">
        <f>IF($AC$335="","",ROW($A$335)-ROW($A$324))</f>
        <v/>
      </c>
      <c r="AB335" s="478"/>
      <c r="AC335" s="34"/>
      <c r="AD335" s="356"/>
      <c r="AE335" s="479"/>
      <c r="AF335" s="475"/>
      <c r="AG335" s="480" t="str">
        <f t="shared" si="88"/>
        <v/>
      </c>
      <c r="AH335" s="481" t="str">
        <f t="shared" si="89"/>
        <v/>
      </c>
      <c r="AI335" s="477" t="str">
        <f>IF($AC$335="","",IFERROR(INDEX($AZ$74:$AZ$119,MATCH($AH$335,$AY$74:$AY$119,0)),"AUTRE"))</f>
        <v/>
      </c>
      <c r="AJ335" s="482" t="str">
        <f>IF($AC$335="","",IFERROR(INDEX($BA$74:$BA$119,MATCH($AH$335,$AY$74:$AY$119,0)),1))</f>
        <v/>
      </c>
      <c r="AK335" s="482" t="str">
        <f t="shared" si="90"/>
        <v/>
      </c>
      <c r="AL335" s="477" t="str">
        <f>IF($AC$335="","",IFERROR(INDEX($BB$74:$BB$119,MATCH($AH$335,$AY$74:$AY$119,0)),$AH$335))</f>
        <v/>
      </c>
      <c r="AM335" s="483" t="str">
        <f t="shared" si="91"/>
        <v/>
      </c>
      <c r="AN335" s="484" t="str">
        <f t="shared" si="92"/>
        <v/>
      </c>
      <c r="AO335" s="473" t="str">
        <f t="shared" si="93"/>
        <v/>
      </c>
      <c r="AP335" s="473" t="str">
        <f t="shared" si="94"/>
        <v/>
      </c>
      <c r="AQ335" s="473" t="str">
        <f t="shared" si="95"/>
        <v/>
      </c>
      <c r="AR335" s="473" t="str">
        <f t="shared" si="96"/>
        <v/>
      </c>
      <c r="AS335" s="473" t="str">
        <f t="shared" si="97"/>
        <v/>
      </c>
      <c r="AT335" s="473" t="str">
        <f t="shared" si="98"/>
        <v/>
      </c>
      <c r="AU335" s="473" t="str">
        <f t="shared" si="99"/>
        <v/>
      </c>
      <c r="AZ335" s="32" t="s">
        <v>305</v>
      </c>
      <c r="BA335" s="34" t="s">
        <v>6126</v>
      </c>
      <c r="BB335" s="499"/>
      <c r="BC335" s="271"/>
      <c r="BD335" s="279">
        <v>1</v>
      </c>
      <c r="BE335" s="271"/>
      <c r="BF335" s="271"/>
      <c r="BG335" s="271"/>
      <c r="BH335" s="271"/>
      <c r="BI335" s="271"/>
      <c r="BJ335" s="271"/>
      <c r="BK335" s="271"/>
      <c r="BL335" s="271"/>
    </row>
    <row r="336" spans="18:64" ht="21" customHeight="1" x14ac:dyDescent="0.25">
      <c r="R336" s="25" t="s">
        <v>6128</v>
      </c>
      <c r="S336" s="451"/>
      <c r="T336" s="31" t="s">
        <v>28</v>
      </c>
      <c r="V336" s="475">
        <v>8</v>
      </c>
      <c r="W336" s="475" t="str">
        <f>IF($AC$336="","",$W$324)</f>
        <v/>
      </c>
      <c r="X336" s="476" t="str">
        <f>IF($AC$336="","",$X$324)</f>
        <v/>
      </c>
      <c r="Y336" s="477" t="str">
        <f>IF($X$336="","",$Y$324)</f>
        <v/>
      </c>
      <c r="Z336" s="477" t="str">
        <f>IF($X$336="","",$Z$324)</f>
        <v/>
      </c>
      <c r="AA336" s="477" t="str">
        <f>IF($AC$336="","",ROW($A$336)-ROW($A$324))</f>
        <v/>
      </c>
      <c r="AB336" s="478"/>
      <c r="AC336" s="34"/>
      <c r="AD336" s="356"/>
      <c r="AE336" s="479"/>
      <c r="AF336" s="475"/>
      <c r="AG336" s="480" t="str">
        <f t="shared" si="88"/>
        <v/>
      </c>
      <c r="AH336" s="481" t="str">
        <f t="shared" si="89"/>
        <v/>
      </c>
      <c r="AI336" s="477" t="str">
        <f>IF($AC$336="","",IFERROR(INDEX($AZ$74:$AZ$119,MATCH($AH$336,$AY$74:$AY$119,0)),"AUTRE"))</f>
        <v/>
      </c>
      <c r="AJ336" s="482" t="str">
        <f>IF($AC$336="","",IFERROR(INDEX($BA$74:$BA$119,MATCH($AH$336,$AY$74:$AY$119,0)),1))</f>
        <v/>
      </c>
      <c r="AK336" s="482" t="str">
        <f t="shared" si="90"/>
        <v/>
      </c>
      <c r="AL336" s="477" t="str">
        <f>IF($AC$336="","",IFERROR(INDEX($BB$74:$BB$119,MATCH($AH$336,$AY$74:$AY$119,0)),$AH$336))</f>
        <v/>
      </c>
      <c r="AM336" s="483" t="str">
        <f t="shared" si="91"/>
        <v/>
      </c>
      <c r="AN336" s="484" t="str">
        <f t="shared" si="92"/>
        <v/>
      </c>
      <c r="AO336" s="473" t="str">
        <f t="shared" si="93"/>
        <v/>
      </c>
      <c r="AP336" s="473" t="str">
        <f t="shared" si="94"/>
        <v/>
      </c>
      <c r="AQ336" s="473" t="str">
        <f t="shared" si="95"/>
        <v/>
      </c>
      <c r="AR336" s="473" t="str">
        <f t="shared" si="96"/>
        <v/>
      </c>
      <c r="AS336" s="473" t="str">
        <f t="shared" si="97"/>
        <v/>
      </c>
      <c r="AT336" s="473" t="str">
        <f t="shared" si="98"/>
        <v/>
      </c>
      <c r="AU336" s="473" t="str">
        <f t="shared" si="99"/>
        <v/>
      </c>
      <c r="AZ336" s="32" t="s">
        <v>8129</v>
      </c>
      <c r="BA336" s="34" t="s">
        <v>6127</v>
      </c>
      <c r="BB336" s="499"/>
      <c r="BC336" s="271"/>
      <c r="BD336" s="279">
        <v>1</v>
      </c>
      <c r="BE336" s="271"/>
      <c r="BF336" s="271"/>
      <c r="BG336" s="271"/>
      <c r="BH336" s="271"/>
      <c r="BI336" s="271"/>
      <c r="BJ336" s="271"/>
      <c r="BK336" s="271"/>
      <c r="BL336" s="271"/>
    </row>
    <row r="337" spans="18:64" ht="21" customHeight="1" x14ac:dyDescent="0.25">
      <c r="R337" s="34" t="s">
        <v>474</v>
      </c>
      <c r="S337" s="451"/>
      <c r="T337" s="31" t="s">
        <v>29</v>
      </c>
      <c r="V337" s="475">
        <v>8</v>
      </c>
      <c r="W337" s="475" t="str">
        <f>IF($AC$337="","",$W$324)</f>
        <v/>
      </c>
      <c r="X337" s="476" t="str">
        <f>IF($AC$337="","",$X$324)</f>
        <v/>
      </c>
      <c r="Y337" s="477" t="str">
        <f>IF($X$337="","",$Y$324)</f>
        <v/>
      </c>
      <c r="Z337" s="477" t="str">
        <f>IF($X$337="","",$Z$324)</f>
        <v/>
      </c>
      <c r="AA337" s="477" t="str">
        <f>IF($AC$337="","",ROW($A$337)-ROW($A$324))</f>
        <v/>
      </c>
      <c r="AB337" s="478"/>
      <c r="AC337" s="34"/>
      <c r="AD337" s="356"/>
      <c r="AE337" s="479"/>
      <c r="AF337" s="475"/>
      <c r="AG337" s="480" t="str">
        <f t="shared" si="88"/>
        <v/>
      </c>
      <c r="AH337" s="481" t="str">
        <f t="shared" si="89"/>
        <v/>
      </c>
      <c r="AI337" s="477" t="str">
        <f>IF($AC$337="","",IFERROR(INDEX($AZ$74:$AZ$119,MATCH($AH$337,$AY$74:$AY$119,0)),"AUTRE"))</f>
        <v/>
      </c>
      <c r="AJ337" s="482" t="str">
        <f>IF($AC$337="","",IFERROR(INDEX($BA$74:$BA$119,MATCH($AH$337,$AY$74:$AY$119,0)),1))</f>
        <v/>
      </c>
      <c r="AK337" s="482" t="str">
        <f t="shared" si="90"/>
        <v/>
      </c>
      <c r="AL337" s="477" t="str">
        <f>IF($AC$337="","",IFERROR(INDEX($BB$74:$BB$119,MATCH($AH$337,$AY$74:$AY$119,0)),$AH$337))</f>
        <v/>
      </c>
      <c r="AM337" s="483" t="str">
        <f t="shared" si="91"/>
        <v/>
      </c>
      <c r="AN337" s="484" t="str">
        <f t="shared" si="92"/>
        <v/>
      </c>
      <c r="AO337" s="473" t="str">
        <f t="shared" si="93"/>
        <v/>
      </c>
      <c r="AP337" s="473" t="str">
        <f t="shared" si="94"/>
        <v/>
      </c>
      <c r="AQ337" s="473" t="str">
        <f t="shared" si="95"/>
        <v/>
      </c>
      <c r="AR337" s="473" t="str">
        <f t="shared" si="96"/>
        <v/>
      </c>
      <c r="AS337" s="473" t="str">
        <f t="shared" si="97"/>
        <v/>
      </c>
      <c r="AT337" s="473" t="str">
        <f t="shared" si="98"/>
        <v/>
      </c>
      <c r="AU337" s="473" t="str">
        <f t="shared" si="99"/>
        <v/>
      </c>
      <c r="AZ337" s="32" t="s">
        <v>8131</v>
      </c>
      <c r="BA337" s="25" t="s">
        <v>6128</v>
      </c>
      <c r="BB337" s="499"/>
      <c r="BC337" s="271"/>
      <c r="BD337" s="279">
        <v>1</v>
      </c>
      <c r="BE337" s="271"/>
      <c r="BF337" s="271"/>
      <c r="BG337" s="271"/>
      <c r="BH337" s="271"/>
      <c r="BI337" s="271"/>
      <c r="BJ337" s="271"/>
      <c r="BK337" s="271"/>
      <c r="BL337" s="271"/>
    </row>
    <row r="338" spans="18:64" ht="21" customHeight="1" x14ac:dyDescent="0.25">
      <c r="R338" s="34" t="s">
        <v>490</v>
      </c>
      <c r="S338" s="451"/>
      <c r="T338" s="31" t="s">
        <v>30</v>
      </c>
      <c r="V338" s="475">
        <v>8</v>
      </c>
      <c r="W338" s="475" t="str">
        <f>IF($AC$338="","",$W$324)</f>
        <v/>
      </c>
      <c r="X338" s="476" t="str">
        <f>IF($AC$338="","",$X$324)</f>
        <v/>
      </c>
      <c r="Y338" s="477" t="str">
        <f>IF($X$338="","",$Y$324)</f>
        <v/>
      </c>
      <c r="Z338" s="477" t="str">
        <f>IF($X$338="","",$Z$324)</f>
        <v/>
      </c>
      <c r="AA338" s="477" t="str">
        <f>IF($AC$338="","",ROW($A$338)-ROW($A$324))</f>
        <v/>
      </c>
      <c r="AB338" s="478"/>
      <c r="AC338" s="34"/>
      <c r="AD338" s="356"/>
      <c r="AE338" s="479"/>
      <c r="AF338" s="475"/>
      <c r="AG338" s="480" t="str">
        <f t="shared" si="88"/>
        <v/>
      </c>
      <c r="AH338" s="481" t="str">
        <f t="shared" si="89"/>
        <v/>
      </c>
      <c r="AI338" s="477" t="str">
        <f>IF($AC$338="","",IFERROR(INDEX($AZ$74:$AZ$119,MATCH($AH$338,$AY$74:$AY$119,0)),"AUTRE"))</f>
        <v/>
      </c>
      <c r="AJ338" s="482" t="str">
        <f>IF($AC$338="","",IFERROR(INDEX($BA$74:$BA$119,MATCH($AH$338,$AY$74:$AY$119,0)),1))</f>
        <v/>
      </c>
      <c r="AK338" s="482" t="str">
        <f t="shared" si="90"/>
        <v/>
      </c>
      <c r="AL338" s="477" t="str">
        <f>IF($AC$338="","",IFERROR(INDEX($BB$74:$BB$119,MATCH($AH$338,$AY$74:$AY$119,0)),$AH$338))</f>
        <v/>
      </c>
      <c r="AM338" s="483" t="str">
        <f t="shared" si="91"/>
        <v/>
      </c>
      <c r="AN338" s="484" t="str">
        <f t="shared" si="92"/>
        <v/>
      </c>
      <c r="AO338" s="473" t="str">
        <f t="shared" si="93"/>
        <v/>
      </c>
      <c r="AP338" s="473" t="str">
        <f t="shared" si="94"/>
        <v/>
      </c>
      <c r="AQ338" s="473" t="str">
        <f t="shared" si="95"/>
        <v/>
      </c>
      <c r="AR338" s="473" t="str">
        <f t="shared" si="96"/>
        <v/>
      </c>
      <c r="AS338" s="473" t="str">
        <f t="shared" si="97"/>
        <v/>
      </c>
      <c r="AT338" s="473" t="str">
        <f t="shared" si="98"/>
        <v/>
      </c>
      <c r="AU338" s="473" t="str">
        <f t="shared" si="99"/>
        <v/>
      </c>
      <c r="AZ338" s="32" t="s">
        <v>309</v>
      </c>
      <c r="BA338" s="34" t="s">
        <v>474</v>
      </c>
      <c r="BB338" s="499"/>
      <c r="BC338" s="271"/>
      <c r="BD338" s="279">
        <v>1</v>
      </c>
      <c r="BE338" s="271"/>
      <c r="BF338" s="271"/>
      <c r="BG338" s="271"/>
      <c r="BH338" s="271"/>
      <c r="BI338" s="271"/>
      <c r="BJ338" s="271"/>
      <c r="BK338" s="271"/>
      <c r="BL338" s="271"/>
    </row>
    <row r="339" spans="18:64" ht="21" customHeight="1" x14ac:dyDescent="0.25">
      <c r="R339" s="34" t="s">
        <v>6129</v>
      </c>
      <c r="S339" s="451"/>
      <c r="T339" s="31" t="s">
        <v>31</v>
      </c>
      <c r="V339" s="475">
        <v>8</v>
      </c>
      <c r="W339" s="475" t="str">
        <f>IF($AC$339="","",$W$324)</f>
        <v/>
      </c>
      <c r="X339" s="476" t="str">
        <f>IF($AC$339="","",$X$324)</f>
        <v/>
      </c>
      <c r="Y339" s="477" t="str">
        <f>IF($X$339="","",$Y$324)</f>
        <v/>
      </c>
      <c r="Z339" s="477" t="str">
        <f>IF($X$339="","",$Z$324)</f>
        <v/>
      </c>
      <c r="AA339" s="477" t="str">
        <f>IF($AC$339="","",ROW($A$339)-ROW($A$324))</f>
        <v/>
      </c>
      <c r="AB339" s="478"/>
      <c r="AC339" s="34"/>
      <c r="AD339" s="356"/>
      <c r="AE339" s="479"/>
      <c r="AF339" s="475"/>
      <c r="AG339" s="480" t="str">
        <f t="shared" si="88"/>
        <v/>
      </c>
      <c r="AH339" s="481" t="str">
        <f t="shared" si="89"/>
        <v/>
      </c>
      <c r="AI339" s="477" t="str">
        <f>IF($AC$339="","",IFERROR(INDEX($AZ$74:$AZ$119,MATCH($AH$339,$AY$74:$AY$119,0)),"AUTRE"))</f>
        <v/>
      </c>
      <c r="AJ339" s="482" t="str">
        <f>IF($AC$339="","",IFERROR(INDEX($BA$74:$BA$119,MATCH($AH$339,$AY$74:$AY$119,0)),1))</f>
        <v/>
      </c>
      <c r="AK339" s="482" t="str">
        <f t="shared" si="90"/>
        <v/>
      </c>
      <c r="AL339" s="477" t="str">
        <f>IF($AC$339="","",IFERROR(INDEX($BB$74:$BB$119,MATCH($AH$339,$AY$74:$AY$119,0)),$AH$339))</f>
        <v/>
      </c>
      <c r="AM339" s="483" t="str">
        <f t="shared" si="91"/>
        <v/>
      </c>
      <c r="AN339" s="484" t="str">
        <f t="shared" si="92"/>
        <v/>
      </c>
      <c r="AO339" s="473" t="str">
        <f t="shared" si="93"/>
        <v/>
      </c>
      <c r="AP339" s="473" t="str">
        <f t="shared" si="94"/>
        <v/>
      </c>
      <c r="AQ339" s="473" t="str">
        <f t="shared" si="95"/>
        <v/>
      </c>
      <c r="AR339" s="473" t="str">
        <f t="shared" si="96"/>
        <v/>
      </c>
      <c r="AS339" s="473" t="str">
        <f t="shared" si="97"/>
        <v/>
      </c>
      <c r="AT339" s="473" t="str">
        <f t="shared" si="98"/>
        <v/>
      </c>
      <c r="AU339" s="473" t="str">
        <f t="shared" si="99"/>
        <v/>
      </c>
      <c r="AZ339" s="32" t="s">
        <v>311</v>
      </c>
      <c r="BA339" s="34" t="s">
        <v>490</v>
      </c>
      <c r="BB339" s="499"/>
      <c r="BC339" s="271"/>
      <c r="BD339" s="279">
        <v>1</v>
      </c>
      <c r="BE339" s="271"/>
      <c r="BF339" s="271"/>
      <c r="BG339" s="271"/>
      <c r="BH339" s="271"/>
      <c r="BI339" s="271"/>
      <c r="BJ339" s="271"/>
      <c r="BK339" s="271"/>
      <c r="BL339" s="271"/>
    </row>
    <row r="340" spans="18:64" ht="21" customHeight="1" x14ac:dyDescent="0.25">
      <c r="R340" s="34" t="s">
        <v>478</v>
      </c>
      <c r="S340" s="451"/>
      <c r="T340" s="32" t="s">
        <v>33</v>
      </c>
      <c r="V340" s="475">
        <v>8</v>
      </c>
      <c r="W340" s="475" t="str">
        <f>IF($AC$340="","",$W$324)</f>
        <v/>
      </c>
      <c r="X340" s="476" t="str">
        <f>IF($AC$340="","",$X$324)</f>
        <v/>
      </c>
      <c r="Y340" s="477" t="str">
        <f>IF($X$340="","",$Y$324)</f>
        <v/>
      </c>
      <c r="Z340" s="477" t="str">
        <f>IF($X$340="","",$Z$324)</f>
        <v/>
      </c>
      <c r="AA340" s="477" t="str">
        <f>IF($AC$340="","",ROW($A$340)-ROW($A$324))</f>
        <v/>
      </c>
      <c r="AB340" s="478"/>
      <c r="AC340" s="34"/>
      <c r="AD340" s="356"/>
      <c r="AE340" s="479"/>
      <c r="AF340" s="475"/>
      <c r="AG340" s="480" t="str">
        <f t="shared" si="88"/>
        <v/>
      </c>
      <c r="AH340" s="481" t="str">
        <f t="shared" si="89"/>
        <v/>
      </c>
      <c r="AI340" s="477" t="str">
        <f>IF($AC$340="","",IFERROR(INDEX($AZ$74:$AZ$119,MATCH($AH$340,$AY$74:$AY$119,0)),"AUTRE"))</f>
        <v/>
      </c>
      <c r="AJ340" s="482" t="str">
        <f>IF($AC$340="","",IFERROR(INDEX($BA$74:$BA$119,MATCH($AH$340,$AY$74:$AY$119,0)),1))</f>
        <v/>
      </c>
      <c r="AK340" s="482" t="str">
        <f t="shared" si="90"/>
        <v/>
      </c>
      <c r="AL340" s="477" t="str">
        <f>IF($AC$340="","",IFERROR(INDEX($BB$74:$BB$119,MATCH($AH$340,$AY$74:$AY$119,0)),$AH$340))</f>
        <v/>
      </c>
      <c r="AM340" s="483" t="str">
        <f t="shared" si="91"/>
        <v/>
      </c>
      <c r="AN340" s="484" t="str">
        <f t="shared" si="92"/>
        <v/>
      </c>
      <c r="AO340" s="473" t="str">
        <f t="shared" si="93"/>
        <v/>
      </c>
      <c r="AP340" s="473" t="str">
        <f t="shared" si="94"/>
        <v/>
      </c>
      <c r="AQ340" s="473" t="str">
        <f t="shared" si="95"/>
        <v/>
      </c>
      <c r="AR340" s="473" t="str">
        <f t="shared" si="96"/>
        <v/>
      </c>
      <c r="AS340" s="473" t="str">
        <f t="shared" si="97"/>
        <v/>
      </c>
      <c r="AT340" s="473" t="str">
        <f t="shared" si="98"/>
        <v/>
      </c>
      <c r="AU340" s="473" t="str">
        <f t="shared" si="99"/>
        <v/>
      </c>
      <c r="AZ340" s="32" t="s">
        <v>8135</v>
      </c>
      <c r="BA340" s="34" t="s">
        <v>6129</v>
      </c>
      <c r="BB340" s="499"/>
      <c r="BC340" s="271"/>
      <c r="BD340" s="279">
        <v>1</v>
      </c>
      <c r="BE340" s="271"/>
      <c r="BF340" s="271"/>
      <c r="BG340" s="271"/>
      <c r="BH340" s="271"/>
      <c r="BI340" s="271"/>
      <c r="BJ340" s="271"/>
      <c r="BK340" s="271"/>
      <c r="BL340" s="271"/>
    </row>
    <row r="341" spans="18:64" ht="21" customHeight="1" x14ac:dyDescent="0.25">
      <c r="R341" s="34" t="s">
        <v>6130</v>
      </c>
      <c r="S341" s="451"/>
      <c r="T341" s="32" t="s">
        <v>8125</v>
      </c>
      <c r="V341" s="475">
        <v>8</v>
      </c>
      <c r="W341" s="475" t="str">
        <f>IF($AC$341="","",$W$324)</f>
        <v/>
      </c>
      <c r="X341" s="476" t="str">
        <f>IF($AC$341="","",$X$324)</f>
        <v/>
      </c>
      <c r="Y341" s="477" t="str">
        <f>IF($X$341="","",$Y$324)</f>
        <v/>
      </c>
      <c r="Z341" s="477" t="str">
        <f>IF($X$341="","",$Z$324)</f>
        <v/>
      </c>
      <c r="AA341" s="477" t="str">
        <f>IF($AC$341="","",ROW($A$341)-ROW($A$324))</f>
        <v/>
      </c>
      <c r="AB341" s="478"/>
      <c r="AC341" s="34"/>
      <c r="AD341" s="356"/>
      <c r="AE341" s="479"/>
      <c r="AF341" s="475"/>
      <c r="AG341" s="480" t="str">
        <f t="shared" si="88"/>
        <v/>
      </c>
      <c r="AH341" s="481" t="str">
        <f t="shared" si="89"/>
        <v/>
      </c>
      <c r="AI341" s="477" t="str">
        <f>IF($AC$341="","",IFERROR(INDEX($AZ$74:$AZ$119,MATCH($AH$341,$AY$74:$AY$119,0)),"AUTRE"))</f>
        <v/>
      </c>
      <c r="AJ341" s="482" t="str">
        <f>IF($AC$341="","",IFERROR(INDEX($BA$74:$BA$119,MATCH($AH$341,$AY$74:$AY$119,0)),1))</f>
        <v/>
      </c>
      <c r="AK341" s="482" t="str">
        <f t="shared" si="90"/>
        <v/>
      </c>
      <c r="AL341" s="477" t="str">
        <f>IF($AC$341="","",IFERROR(INDEX($BB$74:$BB$119,MATCH($AH$341,$AY$74:$AY$119,0)),$AH$341))</f>
        <v/>
      </c>
      <c r="AM341" s="483" t="str">
        <f t="shared" si="91"/>
        <v/>
      </c>
      <c r="AN341" s="484" t="str">
        <f t="shared" si="92"/>
        <v/>
      </c>
      <c r="AO341" s="473" t="str">
        <f t="shared" si="93"/>
        <v/>
      </c>
      <c r="AP341" s="473" t="str">
        <f t="shared" si="94"/>
        <v/>
      </c>
      <c r="AQ341" s="473" t="str">
        <f t="shared" si="95"/>
        <v/>
      </c>
      <c r="AR341" s="473" t="str">
        <f t="shared" si="96"/>
        <v/>
      </c>
      <c r="AS341" s="473" t="str">
        <f t="shared" si="97"/>
        <v/>
      </c>
      <c r="AT341" s="473" t="str">
        <f t="shared" si="98"/>
        <v/>
      </c>
      <c r="AU341" s="473" t="str">
        <f t="shared" si="99"/>
        <v/>
      </c>
      <c r="AZ341" s="32" t="s">
        <v>8137</v>
      </c>
      <c r="BA341" s="34" t="s">
        <v>478</v>
      </c>
      <c r="BB341" s="499"/>
      <c r="BC341" s="271"/>
      <c r="BD341" s="279">
        <v>1</v>
      </c>
      <c r="BE341" s="271"/>
      <c r="BF341" s="271"/>
      <c r="BG341" s="271"/>
      <c r="BH341" s="271"/>
      <c r="BI341" s="271"/>
      <c r="BJ341" s="271"/>
      <c r="BK341" s="271"/>
      <c r="BL341" s="271"/>
    </row>
    <row r="342" spans="18:64" ht="21" customHeight="1" x14ac:dyDescent="0.25">
      <c r="R342" s="34" t="s">
        <v>486</v>
      </c>
      <c r="S342" s="451"/>
      <c r="T342" s="32" t="s">
        <v>8127</v>
      </c>
      <c r="V342" s="475">
        <v>8</v>
      </c>
      <c r="W342" s="475" t="str">
        <f>IF($AC$342="","",$W$324)</f>
        <v/>
      </c>
      <c r="X342" s="476" t="str">
        <f>IF($AC$342="","",$X$324)</f>
        <v/>
      </c>
      <c r="Y342" s="477" t="str">
        <f>IF($X$342="","",$Y$324)</f>
        <v/>
      </c>
      <c r="Z342" s="477" t="str">
        <f>IF($X$342="","",$Z$324)</f>
        <v/>
      </c>
      <c r="AA342" s="477" t="str">
        <f>IF($AC$342="","",ROW($A$342)-ROW($A$324))</f>
        <v/>
      </c>
      <c r="AB342" s="478"/>
      <c r="AC342" s="34"/>
      <c r="AD342" s="356"/>
      <c r="AE342" s="479"/>
      <c r="AF342" s="475"/>
      <c r="AG342" s="480" t="str">
        <f t="shared" si="88"/>
        <v/>
      </c>
      <c r="AH342" s="481" t="str">
        <f t="shared" si="89"/>
        <v/>
      </c>
      <c r="AI342" s="477" t="str">
        <f>IF($AC$342="","",IFERROR(INDEX($AZ$74:$AZ$119,MATCH($AH$342,$AY$74:$AY$119,0)),"AUTRE"))</f>
        <v/>
      </c>
      <c r="AJ342" s="482" t="str">
        <f>IF($AC$342="","",IFERROR(INDEX($BA$74:$BA$119,MATCH($AH$342,$AY$74:$AY$119,0)),1))</f>
        <v/>
      </c>
      <c r="AK342" s="482" t="str">
        <f t="shared" si="90"/>
        <v/>
      </c>
      <c r="AL342" s="477" t="str">
        <f>IF($AC$342="","",IFERROR(INDEX($BB$74:$BB$119,MATCH($AH$342,$AY$74:$AY$119,0)),$AH$342))</f>
        <v/>
      </c>
      <c r="AM342" s="483" t="str">
        <f t="shared" si="91"/>
        <v/>
      </c>
      <c r="AN342" s="484" t="str">
        <f t="shared" si="92"/>
        <v/>
      </c>
      <c r="AO342" s="473" t="str">
        <f t="shared" si="93"/>
        <v/>
      </c>
      <c r="AP342" s="473" t="str">
        <f t="shared" si="94"/>
        <v/>
      </c>
      <c r="AQ342" s="473" t="str">
        <f t="shared" si="95"/>
        <v/>
      </c>
      <c r="AR342" s="473" t="str">
        <f t="shared" si="96"/>
        <v/>
      </c>
      <c r="AS342" s="473" t="str">
        <f t="shared" si="97"/>
        <v/>
      </c>
      <c r="AT342" s="473" t="str">
        <f t="shared" si="98"/>
        <v/>
      </c>
      <c r="AU342" s="473" t="str">
        <f t="shared" si="99"/>
        <v/>
      </c>
      <c r="AZ342" s="32" t="s">
        <v>8139</v>
      </c>
      <c r="BA342" s="34" t="s">
        <v>6130</v>
      </c>
      <c r="BB342" s="499"/>
      <c r="BC342" s="271"/>
      <c r="BD342" s="279">
        <v>1</v>
      </c>
      <c r="BE342" s="271"/>
      <c r="BF342" s="271"/>
      <c r="BG342" s="271"/>
      <c r="BH342" s="271"/>
      <c r="BI342" s="271"/>
      <c r="BJ342" s="271"/>
      <c r="BK342" s="271"/>
      <c r="BL342" s="271"/>
    </row>
    <row r="343" spans="18:64" ht="21" customHeight="1" x14ac:dyDescent="0.25">
      <c r="R343" s="34" t="s">
        <v>479</v>
      </c>
      <c r="S343" s="451"/>
      <c r="T343" s="32" t="s">
        <v>320</v>
      </c>
      <c r="V343" s="475">
        <v>8</v>
      </c>
      <c r="W343" s="475" t="str">
        <f>IF($AC$343="","",$W$324)</f>
        <v/>
      </c>
      <c r="X343" s="476" t="str">
        <f>IF($AC$343="","",$X$324)</f>
        <v/>
      </c>
      <c r="Y343" s="477" t="str">
        <f>IF($X$343="","",$Y$324)</f>
        <v/>
      </c>
      <c r="Z343" s="477" t="str">
        <f>IF($X$343="","",$Z$324)</f>
        <v/>
      </c>
      <c r="AA343" s="477" t="str">
        <f>IF($AC$343="","",ROW($A$343)-ROW($A$324))</f>
        <v/>
      </c>
      <c r="AB343" s="478"/>
      <c r="AC343" s="34"/>
      <c r="AD343" s="356"/>
      <c r="AE343" s="479"/>
      <c r="AF343" s="475"/>
      <c r="AG343" s="480" t="str">
        <f t="shared" si="88"/>
        <v/>
      </c>
      <c r="AH343" s="481" t="str">
        <f t="shared" si="89"/>
        <v/>
      </c>
      <c r="AI343" s="477" t="str">
        <f>IF($AC$343="","",IFERROR(INDEX($AZ$74:$AZ$119,MATCH($AH$343,$AY$74:$AY$119,0)),"AUTRE"))</f>
        <v/>
      </c>
      <c r="AJ343" s="482" t="str">
        <f>IF($AC$343="","",IFERROR(INDEX($BA$74:$BA$119,MATCH($AH$343,$AY$74:$AY$119,0)),1))</f>
        <v/>
      </c>
      <c r="AK343" s="482" t="str">
        <f t="shared" si="90"/>
        <v/>
      </c>
      <c r="AL343" s="477" t="str">
        <f>IF($AC$343="","",IFERROR(INDEX($BB$74:$BB$119,MATCH($AH$343,$AY$74:$AY$119,0)),$AH$343))</f>
        <v/>
      </c>
      <c r="AM343" s="483" t="str">
        <f t="shared" si="91"/>
        <v/>
      </c>
      <c r="AN343" s="484" t="str">
        <f t="shared" si="92"/>
        <v/>
      </c>
      <c r="AO343" s="473" t="str">
        <f t="shared" si="93"/>
        <v/>
      </c>
      <c r="AP343" s="473" t="str">
        <f t="shared" si="94"/>
        <v/>
      </c>
      <c r="AQ343" s="473" t="str">
        <f t="shared" si="95"/>
        <v/>
      </c>
      <c r="AR343" s="473" t="str">
        <f t="shared" si="96"/>
        <v/>
      </c>
      <c r="AS343" s="473" t="str">
        <f t="shared" si="97"/>
        <v/>
      </c>
      <c r="AT343" s="473" t="str">
        <f t="shared" si="98"/>
        <v/>
      </c>
      <c r="AU343" s="473" t="str">
        <f t="shared" si="99"/>
        <v/>
      </c>
      <c r="AZ343" s="32" t="s">
        <v>8141</v>
      </c>
      <c r="BA343" s="34" t="s">
        <v>486</v>
      </c>
      <c r="BB343" s="499"/>
      <c r="BC343" s="271"/>
      <c r="BD343" s="279">
        <v>1</v>
      </c>
      <c r="BE343" s="271"/>
      <c r="BF343" s="271"/>
      <c r="BG343" s="271"/>
      <c r="BH343" s="271"/>
      <c r="BI343" s="271"/>
      <c r="BJ343" s="271"/>
      <c r="BK343" s="271"/>
      <c r="BL343" s="271"/>
    </row>
    <row r="344" spans="18:64" ht="21" customHeight="1" x14ac:dyDescent="0.25">
      <c r="R344" s="34" t="s">
        <v>6131</v>
      </c>
      <c r="S344" s="451"/>
      <c r="T344" s="32" t="s">
        <v>318</v>
      </c>
      <c r="V344" s="475">
        <v>8</v>
      </c>
      <c r="W344" s="475" t="str">
        <f>IF($AC$344="","",$W$324)</f>
        <v/>
      </c>
      <c r="X344" s="476" t="str">
        <f>IF($AC$344="","",$X$324)</f>
        <v/>
      </c>
      <c r="Y344" s="477" t="str">
        <f>IF($X$344="","",$Y$324)</f>
        <v/>
      </c>
      <c r="Z344" s="477" t="str">
        <f>IF($X$344="","",$Z$324)</f>
        <v/>
      </c>
      <c r="AA344" s="477" t="str">
        <f>IF($AC$344="","",ROW($A$344)-ROW($A$324))</f>
        <v/>
      </c>
      <c r="AB344" s="478"/>
      <c r="AC344" s="34"/>
      <c r="AD344" s="356"/>
      <c r="AE344" s="479"/>
      <c r="AF344" s="475"/>
      <c r="AG344" s="480" t="str">
        <f t="shared" si="88"/>
        <v/>
      </c>
      <c r="AH344" s="481" t="str">
        <f t="shared" si="89"/>
        <v/>
      </c>
      <c r="AI344" s="477" t="str">
        <f>IF($AC$344="","",IFERROR(INDEX($AZ$74:$AZ$119,MATCH($AH$344,$AY$74:$AY$119,0)),"AUTRE"))</f>
        <v/>
      </c>
      <c r="AJ344" s="482" t="str">
        <f>IF($AC$344="","",IFERROR(INDEX($BA$74:$BA$119,MATCH($AH$344,$AY$74:$AY$119,0)),1))</f>
        <v/>
      </c>
      <c r="AK344" s="482" t="str">
        <f t="shared" si="90"/>
        <v/>
      </c>
      <c r="AL344" s="477" t="str">
        <f>IF($AC$344="","",IFERROR(INDEX($BB$74:$BB$119,MATCH($AH$344,$AY$74:$AY$119,0)),$AH$344))</f>
        <v/>
      </c>
      <c r="AM344" s="483" t="str">
        <f t="shared" si="91"/>
        <v/>
      </c>
      <c r="AN344" s="484" t="str">
        <f t="shared" si="92"/>
        <v/>
      </c>
      <c r="AO344" s="473" t="str">
        <f t="shared" si="93"/>
        <v/>
      </c>
      <c r="AP344" s="473" t="str">
        <f t="shared" si="94"/>
        <v/>
      </c>
      <c r="AQ344" s="473" t="str">
        <f t="shared" si="95"/>
        <v/>
      </c>
      <c r="AR344" s="473" t="str">
        <f t="shared" si="96"/>
        <v/>
      </c>
      <c r="AS344" s="473" t="str">
        <f t="shared" si="97"/>
        <v/>
      </c>
      <c r="AT344" s="473" t="str">
        <f t="shared" si="98"/>
        <v/>
      </c>
      <c r="AU344" s="473" t="str">
        <f t="shared" si="99"/>
        <v/>
      </c>
      <c r="AZ344" s="32" t="s">
        <v>8143</v>
      </c>
      <c r="BA344" s="34" t="s">
        <v>479</v>
      </c>
      <c r="BB344" s="499"/>
      <c r="BC344" s="271"/>
      <c r="BD344" s="279">
        <v>1</v>
      </c>
      <c r="BE344" s="271"/>
      <c r="BF344" s="271"/>
      <c r="BG344" s="271"/>
      <c r="BH344" s="271"/>
      <c r="BI344" s="271"/>
      <c r="BJ344" s="271"/>
      <c r="BK344" s="271"/>
      <c r="BL344" s="271"/>
    </row>
    <row r="345" spans="18:64" ht="21" customHeight="1" x14ac:dyDescent="0.25">
      <c r="R345" s="34" t="s">
        <v>485</v>
      </c>
      <c r="S345" s="451"/>
      <c r="T345" s="32" t="s">
        <v>316</v>
      </c>
      <c r="V345" s="475">
        <v>8</v>
      </c>
      <c r="W345" s="475" t="str">
        <f>IF($AC$345="","",$W$324)</f>
        <v/>
      </c>
      <c r="X345" s="476" t="str">
        <f>IF($AC$345="","",$X$324)</f>
        <v/>
      </c>
      <c r="Y345" s="477" t="str">
        <f>IF($X$345="","",$Y$324)</f>
        <v/>
      </c>
      <c r="Z345" s="477" t="str">
        <f>IF($X$345="","",$Z$324)</f>
        <v/>
      </c>
      <c r="AA345" s="477" t="str">
        <f>IF($AC$345="","",ROW($A$345)-ROW($A$324))</f>
        <v/>
      </c>
      <c r="AB345" s="478"/>
      <c r="AC345" s="34"/>
      <c r="AD345" s="356"/>
      <c r="AE345" s="479"/>
      <c r="AF345" s="475"/>
      <c r="AG345" s="480" t="str">
        <f t="shared" si="88"/>
        <v/>
      </c>
      <c r="AH345" s="481" t="str">
        <f t="shared" si="89"/>
        <v/>
      </c>
      <c r="AI345" s="477" t="str">
        <f>IF($AC$345="","",IFERROR(INDEX($AZ$74:$AZ$119,MATCH($AH$345,$AY$74:$AY$119,0)),"AUTRE"))</f>
        <v/>
      </c>
      <c r="AJ345" s="482" t="str">
        <f>IF($AC$345="","",IFERROR(INDEX($BA$74:$BA$119,MATCH($AH$345,$AY$74:$AY$119,0)),1))</f>
        <v/>
      </c>
      <c r="AK345" s="482" t="str">
        <f t="shared" si="90"/>
        <v/>
      </c>
      <c r="AL345" s="477" t="str">
        <f>IF($AC$345="","",IFERROR(INDEX($BB$74:$BB$119,MATCH($AH$345,$AY$74:$AY$119,0)),$AH$345))</f>
        <v/>
      </c>
      <c r="AM345" s="483" t="str">
        <f t="shared" si="91"/>
        <v/>
      </c>
      <c r="AN345" s="484" t="str">
        <f t="shared" si="92"/>
        <v/>
      </c>
      <c r="AO345" s="473" t="str">
        <f t="shared" si="93"/>
        <v/>
      </c>
      <c r="AP345" s="473" t="str">
        <f t="shared" si="94"/>
        <v/>
      </c>
      <c r="AQ345" s="473" t="str">
        <f t="shared" si="95"/>
        <v/>
      </c>
      <c r="AR345" s="473" t="str">
        <f t="shared" si="96"/>
        <v/>
      </c>
      <c r="AS345" s="473" t="str">
        <f t="shared" si="97"/>
        <v/>
      </c>
      <c r="AT345" s="473" t="str">
        <f t="shared" si="98"/>
        <v/>
      </c>
      <c r="AU345" s="473" t="str">
        <f t="shared" si="99"/>
        <v/>
      </c>
      <c r="AZ345" s="497" t="s">
        <v>8145</v>
      </c>
      <c r="BA345" s="34" t="s">
        <v>6131</v>
      </c>
      <c r="BB345" s="499"/>
      <c r="BC345" s="271"/>
      <c r="BD345" s="279">
        <v>1</v>
      </c>
      <c r="BE345" s="271"/>
      <c r="BF345" s="271"/>
      <c r="BG345" s="271"/>
      <c r="BH345" s="271"/>
      <c r="BI345" s="271"/>
      <c r="BJ345" s="271"/>
      <c r="BK345" s="271"/>
      <c r="BL345" s="271"/>
    </row>
    <row r="346" spans="18:64" ht="21" customHeight="1" x14ac:dyDescent="0.25">
      <c r="R346" s="34" t="s">
        <v>6132</v>
      </c>
      <c r="S346" s="451"/>
      <c r="T346" s="32" t="s">
        <v>313</v>
      </c>
      <c r="V346" s="475">
        <v>8</v>
      </c>
      <c r="W346" s="475" t="str">
        <f>IF($AC$346="","",$W$324)</f>
        <v/>
      </c>
      <c r="X346" s="476" t="str">
        <f>IF($AC$346="","",$X$324)</f>
        <v/>
      </c>
      <c r="Y346" s="477" t="str">
        <f>IF($X$346="","",$Y$324)</f>
        <v/>
      </c>
      <c r="Z346" s="477" t="str">
        <f>IF($X$346="","",$Z$324)</f>
        <v/>
      </c>
      <c r="AA346" s="477" t="str">
        <f>IF($AC$346="","",ROW($A$346)-ROW($A$324))</f>
        <v/>
      </c>
      <c r="AB346" s="478"/>
      <c r="AC346" s="34"/>
      <c r="AD346" s="356"/>
      <c r="AE346" s="479"/>
      <c r="AF346" s="475"/>
      <c r="AG346" s="480" t="str">
        <f t="shared" si="88"/>
        <v/>
      </c>
      <c r="AH346" s="481" t="str">
        <f t="shared" si="89"/>
        <v/>
      </c>
      <c r="AI346" s="477" t="str">
        <f>IF($AC$346="","",IFERROR(INDEX($AZ$74:$AZ$119,MATCH($AH$346,$AY$74:$AY$119,0)),"AUTRE"))</f>
        <v/>
      </c>
      <c r="AJ346" s="482" t="str">
        <f>IF($AC$346="","",IFERROR(INDEX($BA$74:$BA$119,MATCH($AH$346,$AY$74:$AY$119,0)),1))</f>
        <v/>
      </c>
      <c r="AK346" s="482" t="str">
        <f t="shared" si="90"/>
        <v/>
      </c>
      <c r="AL346" s="477" t="str">
        <f>IF($AC$346="","",IFERROR(INDEX($BB$74:$BB$119,MATCH($AH$346,$AY$74:$AY$119,0)),$AH$346))</f>
        <v/>
      </c>
      <c r="AM346" s="483" t="str">
        <f t="shared" si="91"/>
        <v/>
      </c>
      <c r="AN346" s="484" t="str">
        <f t="shared" si="92"/>
        <v/>
      </c>
      <c r="AO346" s="473" t="str">
        <f t="shared" si="93"/>
        <v/>
      </c>
      <c r="AP346" s="473" t="str">
        <f t="shared" si="94"/>
        <v/>
      </c>
      <c r="AQ346" s="473" t="str">
        <f t="shared" si="95"/>
        <v/>
      </c>
      <c r="AR346" s="473" t="str">
        <f t="shared" si="96"/>
        <v/>
      </c>
      <c r="AS346" s="473" t="str">
        <f t="shared" si="97"/>
        <v/>
      </c>
      <c r="AT346" s="473" t="str">
        <f t="shared" si="98"/>
        <v/>
      </c>
      <c r="AU346" s="473" t="str">
        <f t="shared" si="99"/>
        <v/>
      </c>
      <c r="AZ346" s="497" t="s">
        <v>462</v>
      </c>
      <c r="BA346" s="34" t="s">
        <v>485</v>
      </c>
      <c r="BB346" s="499"/>
      <c r="BC346" s="271"/>
      <c r="BD346" s="279">
        <v>1</v>
      </c>
      <c r="BE346" s="271"/>
      <c r="BF346" s="271"/>
      <c r="BG346" s="271"/>
      <c r="BH346" s="271"/>
      <c r="BI346" s="271"/>
      <c r="BJ346" s="271"/>
      <c r="BK346" s="271"/>
      <c r="BL346" s="271"/>
    </row>
    <row r="347" spans="18:64" ht="21" customHeight="1" x14ac:dyDescent="0.25">
      <c r="R347" s="25" t="s">
        <v>6133</v>
      </c>
      <c r="S347" s="451"/>
      <c r="T347" s="32" t="s">
        <v>307</v>
      </c>
      <c r="V347" s="475">
        <v>8</v>
      </c>
      <c r="W347" s="475" t="str">
        <f>IF($AC$347="","",$W$324)</f>
        <v/>
      </c>
      <c r="X347" s="476" t="str">
        <f>IF($AC$347="","",$X$324)</f>
        <v/>
      </c>
      <c r="Y347" s="477" t="str">
        <f>IF($X$347="","",$Y$324)</f>
        <v/>
      </c>
      <c r="Z347" s="477" t="str">
        <f>IF($X$347="","",$Z$324)</f>
        <v/>
      </c>
      <c r="AA347" s="477" t="str">
        <f>IF($AC$347="","",ROW($A$347)-ROW($A$324))</f>
        <v/>
      </c>
      <c r="AB347" s="478"/>
      <c r="AC347" s="34"/>
      <c r="AD347" s="356"/>
      <c r="AE347" s="479"/>
      <c r="AF347" s="475"/>
      <c r="AG347" s="480" t="str">
        <f t="shared" si="88"/>
        <v/>
      </c>
      <c r="AH347" s="481" t="str">
        <f t="shared" si="89"/>
        <v/>
      </c>
      <c r="AI347" s="477" t="str">
        <f>IF($AC$347="","",IFERROR(INDEX($AZ$74:$AZ$119,MATCH($AH$347,$AY$74:$AY$119,0)),"AUTRE"))</f>
        <v/>
      </c>
      <c r="AJ347" s="482" t="str">
        <f>IF($AC$347="","",IFERROR(INDEX($BA$74:$BA$119,MATCH($AH$347,$AY$74:$AY$119,0)),1))</f>
        <v/>
      </c>
      <c r="AK347" s="482" t="str">
        <f t="shared" si="90"/>
        <v/>
      </c>
      <c r="AL347" s="477" t="str">
        <f>IF($AC$347="","",IFERROR(INDEX($BB$74:$BB$119,MATCH($AH$347,$AY$74:$AY$119,0)),$AH$347))</f>
        <v/>
      </c>
      <c r="AM347" s="483" t="str">
        <f t="shared" si="91"/>
        <v/>
      </c>
      <c r="AN347" s="484" t="str">
        <f t="shared" si="92"/>
        <v/>
      </c>
      <c r="AO347" s="473" t="str">
        <f t="shared" si="93"/>
        <v/>
      </c>
      <c r="AP347" s="473" t="str">
        <f t="shared" si="94"/>
        <v/>
      </c>
      <c r="AQ347" s="473" t="str">
        <f t="shared" si="95"/>
        <v/>
      </c>
      <c r="AR347" s="473" t="str">
        <f t="shared" si="96"/>
        <v/>
      </c>
      <c r="AS347" s="473" t="str">
        <f t="shared" si="97"/>
        <v/>
      </c>
      <c r="AT347" s="473" t="str">
        <f t="shared" si="98"/>
        <v/>
      </c>
      <c r="AU347" s="473" t="str">
        <f t="shared" si="99"/>
        <v/>
      </c>
      <c r="AZ347" s="497" t="s">
        <v>463</v>
      </c>
      <c r="BA347" s="34" t="s">
        <v>6132</v>
      </c>
      <c r="BB347" s="499"/>
      <c r="BC347" s="271"/>
      <c r="BD347" s="279">
        <v>1</v>
      </c>
      <c r="BE347" s="271"/>
      <c r="BF347" s="271"/>
      <c r="BG347" s="271"/>
      <c r="BH347" s="271"/>
      <c r="BI347" s="271"/>
      <c r="BJ347" s="271"/>
      <c r="BK347" s="271"/>
      <c r="BL347" s="271"/>
    </row>
    <row r="348" spans="18:64" ht="21" customHeight="1" x14ac:dyDescent="0.25">
      <c r="R348" s="34" t="s">
        <v>476</v>
      </c>
      <c r="S348" s="451"/>
      <c r="T348" s="32" t="s">
        <v>322</v>
      </c>
      <c r="V348" s="475">
        <v>8</v>
      </c>
      <c r="W348" s="475" t="str">
        <f>IF($AC$348="","",$W$324)</f>
        <v/>
      </c>
      <c r="X348" s="476" t="str">
        <f>IF($AC$348="","",$X$324)</f>
        <v/>
      </c>
      <c r="Y348" s="477" t="str">
        <f>IF($X$348="","",$Y$324)</f>
        <v/>
      </c>
      <c r="Z348" s="477" t="str">
        <f>IF($X$348="","",$Z$324)</f>
        <v/>
      </c>
      <c r="AA348" s="477" t="str">
        <f>IF($AC$348="","",ROW($A$348)-ROW($A$324))</f>
        <v/>
      </c>
      <c r="AB348" s="478"/>
      <c r="AC348" s="34"/>
      <c r="AD348" s="356"/>
      <c r="AE348" s="479"/>
      <c r="AF348" s="475"/>
      <c r="AG348" s="480" t="str">
        <f t="shared" si="88"/>
        <v/>
      </c>
      <c r="AH348" s="481" t="str">
        <f t="shared" si="89"/>
        <v/>
      </c>
      <c r="AI348" s="477" t="str">
        <f>IF($AC$348="","",IFERROR(INDEX($AZ$74:$AZ$119,MATCH($AH$348,$AY$74:$AY$119,0)),"AUTRE"))</f>
        <v/>
      </c>
      <c r="AJ348" s="482" t="str">
        <f>IF($AC$348="","",IFERROR(INDEX($BA$74:$BA$119,MATCH($AH$348,$AY$74:$AY$119,0)),1))</f>
        <v/>
      </c>
      <c r="AK348" s="482" t="str">
        <f t="shared" si="90"/>
        <v/>
      </c>
      <c r="AL348" s="477" t="str">
        <f>IF($AC$348="","",IFERROR(INDEX($BB$74:$BB$119,MATCH($AH$348,$AY$74:$AY$119,0)),$AH$348))</f>
        <v/>
      </c>
      <c r="AM348" s="483" t="str">
        <f t="shared" si="91"/>
        <v/>
      </c>
      <c r="AN348" s="484" t="str">
        <f t="shared" si="92"/>
        <v/>
      </c>
      <c r="AO348" s="473" t="str">
        <f t="shared" si="93"/>
        <v/>
      </c>
      <c r="AP348" s="473" t="str">
        <f t="shared" si="94"/>
        <v/>
      </c>
      <c r="AQ348" s="473" t="str">
        <f t="shared" si="95"/>
        <v/>
      </c>
      <c r="AR348" s="473" t="str">
        <f t="shared" si="96"/>
        <v/>
      </c>
      <c r="AS348" s="473" t="str">
        <f t="shared" si="97"/>
        <v/>
      </c>
      <c r="AT348" s="473" t="str">
        <f t="shared" si="98"/>
        <v/>
      </c>
      <c r="AU348" s="473" t="str">
        <f t="shared" si="99"/>
        <v/>
      </c>
      <c r="AZ348" s="497" t="s">
        <v>8147</v>
      </c>
      <c r="BA348" s="25" t="s">
        <v>6133</v>
      </c>
      <c r="BB348" s="499"/>
      <c r="BC348" s="271"/>
      <c r="BD348" s="279">
        <v>1</v>
      </c>
      <c r="BE348" s="271"/>
      <c r="BF348" s="271"/>
      <c r="BG348" s="271"/>
      <c r="BH348" s="271"/>
      <c r="BI348" s="271"/>
      <c r="BJ348" s="271"/>
      <c r="BK348" s="271"/>
      <c r="BL348" s="271"/>
    </row>
    <row r="349" spans="18:64" ht="21" customHeight="1" x14ac:dyDescent="0.25">
      <c r="R349" s="34" t="s">
        <v>468</v>
      </c>
      <c r="S349" s="451"/>
      <c r="T349" s="32" t="s">
        <v>305</v>
      </c>
      <c r="V349" s="475">
        <v>8</v>
      </c>
      <c r="W349" s="475" t="str">
        <f>IF($AC$349="","",$W$324)</f>
        <v/>
      </c>
      <c r="X349" s="476" t="str">
        <f>IF($AC$349="","",$X$324)</f>
        <v/>
      </c>
      <c r="Y349" s="477" t="str">
        <f>IF($X$349="","",$Y$324)</f>
        <v/>
      </c>
      <c r="Z349" s="477" t="str">
        <f>IF($X$349="","",$Z$324)</f>
        <v/>
      </c>
      <c r="AA349" s="477" t="str">
        <f>IF($AC$349="","",ROW($A$349)-ROW($A$324))</f>
        <v/>
      </c>
      <c r="AB349" s="478"/>
      <c r="AC349" s="34"/>
      <c r="AD349" s="356"/>
      <c r="AE349" s="479"/>
      <c r="AF349" s="475"/>
      <c r="AG349" s="480" t="str">
        <f t="shared" si="88"/>
        <v/>
      </c>
      <c r="AH349" s="481" t="str">
        <f t="shared" si="89"/>
        <v/>
      </c>
      <c r="AI349" s="477" t="str">
        <f>IF($AC$349="","",IFERROR(INDEX($AZ$74:$AZ$119,MATCH($AH$349,$AY$74:$AY$119,0)),"AUTRE"))</f>
        <v/>
      </c>
      <c r="AJ349" s="482" t="str">
        <f>IF($AC$349="","",IFERROR(INDEX($BA$74:$BA$119,MATCH($AH$349,$AY$74:$AY$119,0)),1))</f>
        <v/>
      </c>
      <c r="AK349" s="482" t="str">
        <f t="shared" si="90"/>
        <v/>
      </c>
      <c r="AL349" s="477" t="str">
        <f>IF($AC$349="","",IFERROR(INDEX($BB$74:$BB$119,MATCH($AH$349,$AY$74:$AY$119,0)),$AH$349))</f>
        <v/>
      </c>
      <c r="AM349" s="483" t="str">
        <f t="shared" si="91"/>
        <v/>
      </c>
      <c r="AN349" s="484" t="str">
        <f t="shared" si="92"/>
        <v/>
      </c>
      <c r="AO349" s="473" t="str">
        <f t="shared" si="93"/>
        <v/>
      </c>
      <c r="AP349" s="473" t="str">
        <f t="shared" si="94"/>
        <v/>
      </c>
      <c r="AQ349" s="473" t="str">
        <f t="shared" si="95"/>
        <v/>
      </c>
      <c r="AR349" s="473" t="str">
        <f t="shared" si="96"/>
        <v/>
      </c>
      <c r="AS349" s="473" t="str">
        <f t="shared" si="97"/>
        <v/>
      </c>
      <c r="AT349" s="473" t="str">
        <f t="shared" si="98"/>
        <v/>
      </c>
      <c r="AU349" s="473" t="str">
        <f t="shared" si="99"/>
        <v/>
      </c>
      <c r="AZ349" s="497" t="s">
        <v>465</v>
      </c>
      <c r="BA349" s="34" t="s">
        <v>476</v>
      </c>
      <c r="BB349" s="499"/>
      <c r="BC349" s="271"/>
      <c r="BD349" s="279">
        <v>1</v>
      </c>
      <c r="BE349" s="271"/>
      <c r="BF349" s="271"/>
      <c r="BG349" s="271"/>
      <c r="BH349" s="271"/>
      <c r="BI349" s="271"/>
      <c r="BJ349" s="271"/>
      <c r="BK349" s="271"/>
      <c r="BL349" s="271"/>
    </row>
    <row r="350" spans="18:64" ht="21" customHeight="1" x14ac:dyDescent="0.25">
      <c r="R350" s="34" t="s">
        <v>473</v>
      </c>
      <c r="S350" s="451"/>
      <c r="T350" s="32" t="s">
        <v>309</v>
      </c>
      <c r="V350" s="475">
        <v>8</v>
      </c>
      <c r="W350" s="475" t="str">
        <f>IF($AC$350="","",$W$324)</f>
        <v/>
      </c>
      <c r="X350" s="476" t="str">
        <f>IF($AC$350="","",$X$324)</f>
        <v/>
      </c>
      <c r="Y350" s="477" t="str">
        <f>IF($X$350="","",$Y$324)</f>
        <v/>
      </c>
      <c r="Z350" s="477" t="str">
        <f>IF($X$350="","",$Z$324)</f>
        <v/>
      </c>
      <c r="AA350" s="477" t="str">
        <f>IF($AC$350="","",ROW($A$350)-ROW($A$324))</f>
        <v/>
      </c>
      <c r="AB350" s="478"/>
      <c r="AC350" s="34"/>
      <c r="AD350" s="356"/>
      <c r="AE350" s="479"/>
      <c r="AF350" s="475"/>
      <c r="AG350" s="480" t="str">
        <f t="shared" si="88"/>
        <v/>
      </c>
      <c r="AH350" s="481" t="str">
        <f t="shared" si="89"/>
        <v/>
      </c>
      <c r="AI350" s="477" t="str">
        <f>IF($AC$350="","",IFERROR(INDEX($AZ$74:$AZ$119,MATCH($AH$350,$AY$74:$AY$119,0)),"AUTRE"))</f>
        <v/>
      </c>
      <c r="AJ350" s="482" t="str">
        <f>IF($AC$350="","",IFERROR(INDEX($BA$74:$BA$119,MATCH($AH$350,$AY$74:$AY$119,0)),1))</f>
        <v/>
      </c>
      <c r="AK350" s="482" t="str">
        <f t="shared" si="90"/>
        <v/>
      </c>
      <c r="AL350" s="477" t="str">
        <f>IF($AC$350="","",IFERROR(INDEX($BB$74:$BB$119,MATCH($AH$350,$AY$74:$AY$119,0)),$AH$350))</f>
        <v/>
      </c>
      <c r="AM350" s="483" t="str">
        <f t="shared" si="91"/>
        <v/>
      </c>
      <c r="AN350" s="484" t="str">
        <f t="shared" si="92"/>
        <v/>
      </c>
      <c r="AO350" s="473" t="str">
        <f t="shared" si="93"/>
        <v/>
      </c>
      <c r="AP350" s="473" t="str">
        <f t="shared" si="94"/>
        <v/>
      </c>
      <c r="AQ350" s="473" t="str">
        <f t="shared" si="95"/>
        <v/>
      </c>
      <c r="AR350" s="473" t="str">
        <f t="shared" si="96"/>
        <v/>
      </c>
      <c r="AS350" s="473" t="str">
        <f t="shared" si="97"/>
        <v/>
      </c>
      <c r="AT350" s="473" t="str">
        <f t="shared" si="98"/>
        <v/>
      </c>
      <c r="AU350" s="473" t="str">
        <f t="shared" si="99"/>
        <v/>
      </c>
      <c r="AZ350" s="497" t="s">
        <v>466</v>
      </c>
      <c r="BA350" s="34" t="s">
        <v>468</v>
      </c>
      <c r="BB350" s="499"/>
      <c r="BC350" s="271"/>
      <c r="BD350" s="279">
        <v>1</v>
      </c>
      <c r="BE350" s="271"/>
      <c r="BF350" s="271"/>
      <c r="BG350" s="271"/>
      <c r="BH350" s="271"/>
      <c r="BI350" s="271"/>
      <c r="BJ350" s="271"/>
      <c r="BK350" s="271"/>
      <c r="BL350" s="271"/>
    </row>
    <row r="351" spans="18:64" ht="21" customHeight="1" x14ac:dyDescent="0.25">
      <c r="R351" s="34" t="s">
        <v>497</v>
      </c>
      <c r="S351" s="451"/>
      <c r="T351" s="32" t="s">
        <v>311</v>
      </c>
      <c r="V351" s="475">
        <v>8</v>
      </c>
      <c r="W351" s="475" t="str">
        <f>IF($AC$351="","",$W$324)</f>
        <v/>
      </c>
      <c r="X351" s="476" t="str">
        <f>IF($AC$351="","",$X$324)</f>
        <v/>
      </c>
      <c r="Y351" s="477" t="str">
        <f>IF($X$351="","",$Y$324)</f>
        <v/>
      </c>
      <c r="Z351" s="477" t="str">
        <f>IF($X$351="","",$Z$324)</f>
        <v/>
      </c>
      <c r="AA351" s="477" t="str">
        <f>IF($AC$351="","",ROW($A$351)-ROW($A$324))</f>
        <v/>
      </c>
      <c r="AB351" s="478"/>
      <c r="AC351" s="34"/>
      <c r="AD351" s="356"/>
      <c r="AE351" s="479"/>
      <c r="AF351" s="475"/>
      <c r="AG351" s="480" t="str">
        <f t="shared" si="88"/>
        <v/>
      </c>
      <c r="AH351" s="481" t="str">
        <f t="shared" si="89"/>
        <v/>
      </c>
      <c r="AI351" s="477" t="str">
        <f>IF($AC$351="","",IFERROR(INDEX($AZ$74:$AZ$119,MATCH($AH$351,$AY$74:$AY$119,0)),"AUTRE"))</f>
        <v/>
      </c>
      <c r="AJ351" s="482" t="str">
        <f>IF($AC$351="","",IFERROR(INDEX($BA$74:$BA$119,MATCH($AH$351,$AY$74:$AY$119,0)),1))</f>
        <v/>
      </c>
      <c r="AK351" s="482" t="str">
        <f t="shared" si="90"/>
        <v/>
      </c>
      <c r="AL351" s="477" t="str">
        <f>IF($AC$351="","",IFERROR(INDEX($BB$74:$BB$119,MATCH($AH$351,$AY$74:$AY$119,0)),$AH$351))</f>
        <v/>
      </c>
      <c r="AM351" s="483" t="str">
        <f t="shared" si="91"/>
        <v/>
      </c>
      <c r="AN351" s="484" t="str">
        <f t="shared" si="92"/>
        <v/>
      </c>
      <c r="AO351" s="473" t="str">
        <f t="shared" si="93"/>
        <v/>
      </c>
      <c r="AP351" s="473" t="str">
        <f t="shared" si="94"/>
        <v/>
      </c>
      <c r="AQ351" s="473" t="str">
        <f t="shared" si="95"/>
        <v/>
      </c>
      <c r="AR351" s="473" t="str">
        <f t="shared" si="96"/>
        <v/>
      </c>
      <c r="AS351" s="473" t="str">
        <f t="shared" si="97"/>
        <v/>
      </c>
      <c r="AT351" s="473" t="str">
        <f t="shared" si="98"/>
        <v/>
      </c>
      <c r="AU351" s="473" t="str">
        <f t="shared" si="99"/>
        <v/>
      </c>
      <c r="AZ351" s="14" t="s">
        <v>7</v>
      </c>
      <c r="BA351" s="34" t="s">
        <v>473</v>
      </c>
      <c r="BB351" s="499"/>
      <c r="BC351" s="271"/>
      <c r="BD351" s="279">
        <v>1</v>
      </c>
      <c r="BE351" s="271"/>
      <c r="BF351" s="271"/>
      <c r="BG351" s="271"/>
      <c r="BH351" s="271"/>
      <c r="BI351" s="271"/>
      <c r="BJ351" s="271"/>
      <c r="BK351" s="271"/>
      <c r="BL351" s="271"/>
    </row>
    <row r="352" spans="18:64" ht="21" customHeight="1" x14ac:dyDescent="0.25">
      <c r="R352" s="34" t="s">
        <v>470</v>
      </c>
      <c r="S352" s="451"/>
      <c r="T352" s="32" t="s">
        <v>8135</v>
      </c>
      <c r="V352" s="475">
        <v>8</v>
      </c>
      <c r="W352" s="475" t="str">
        <f>IF($AC$352="","",$W$324)</f>
        <v/>
      </c>
      <c r="X352" s="476" t="str">
        <f>IF($AC$352="","",$X$324)</f>
        <v/>
      </c>
      <c r="Y352" s="477" t="str">
        <f>IF($X$352="","",$Y$324)</f>
        <v/>
      </c>
      <c r="Z352" s="477" t="str">
        <f>IF($X$352="","",$Z$324)</f>
        <v/>
      </c>
      <c r="AA352" s="477" t="str">
        <f>IF($AC$352="","",ROW($A$352)-ROW($A$324))</f>
        <v/>
      </c>
      <c r="AB352" s="478"/>
      <c r="AC352" s="34"/>
      <c r="AD352" s="356"/>
      <c r="AE352" s="479"/>
      <c r="AF352" s="475"/>
      <c r="AG352" s="480" t="str">
        <f t="shared" si="88"/>
        <v/>
      </c>
      <c r="AH352" s="481" t="str">
        <f t="shared" si="89"/>
        <v/>
      </c>
      <c r="AI352" s="477" t="str">
        <f>IF($AC$352="","",IFERROR(INDEX($AZ$74:$AZ$119,MATCH($AH$352,$AY$74:$AY$119,0)),"AUTRE"))</f>
        <v/>
      </c>
      <c r="AJ352" s="482" t="str">
        <f>IF($AC$352="","",IFERROR(INDEX($BA$74:$BA$119,MATCH($AH$352,$AY$74:$AY$119,0)),1))</f>
        <v/>
      </c>
      <c r="AK352" s="482" t="str">
        <f t="shared" si="90"/>
        <v/>
      </c>
      <c r="AL352" s="477" t="str">
        <f>IF($AC$352="","",IFERROR(INDEX($BB$74:$BB$119,MATCH($AH$352,$AY$74:$AY$119,0)),$AH$352))</f>
        <v/>
      </c>
      <c r="AM352" s="483" t="str">
        <f t="shared" si="91"/>
        <v/>
      </c>
      <c r="AN352" s="484" t="str">
        <f t="shared" si="92"/>
        <v/>
      </c>
      <c r="AO352" s="473" t="str">
        <f t="shared" si="93"/>
        <v/>
      </c>
      <c r="AP352" s="473" t="str">
        <f t="shared" si="94"/>
        <v/>
      </c>
      <c r="AQ352" s="473" t="str">
        <f t="shared" si="95"/>
        <v/>
      </c>
      <c r="AR352" s="473" t="str">
        <f t="shared" si="96"/>
        <v/>
      </c>
      <c r="AS352" s="473" t="str">
        <f t="shared" si="97"/>
        <v/>
      </c>
      <c r="AT352" s="473" t="str">
        <f t="shared" si="98"/>
        <v/>
      </c>
      <c r="AU352" s="473" t="str">
        <f t="shared" si="99"/>
        <v/>
      </c>
      <c r="AY352" s="271"/>
      <c r="AZ352" s="27" t="s">
        <v>8</v>
      </c>
      <c r="BA352" s="34" t="s">
        <v>497</v>
      </c>
      <c r="BB352" s="499"/>
      <c r="BC352" s="271"/>
      <c r="BD352" s="279">
        <v>1</v>
      </c>
      <c r="BE352" s="271"/>
      <c r="BF352" s="271"/>
      <c r="BG352" s="271"/>
      <c r="BH352" s="271"/>
      <c r="BI352" s="271"/>
      <c r="BJ352" s="271"/>
      <c r="BK352" s="271"/>
      <c r="BL352" s="271"/>
    </row>
    <row r="353" spans="18:64" ht="21" customHeight="1" x14ac:dyDescent="0.25">
      <c r="R353" s="34" t="s">
        <v>477</v>
      </c>
      <c r="S353" s="451"/>
      <c r="T353" s="497" t="s">
        <v>462</v>
      </c>
      <c r="V353" s="475">
        <v>8</v>
      </c>
      <c r="W353" s="475" t="str">
        <f>IF($AC$353="","",$W$324)</f>
        <v/>
      </c>
      <c r="X353" s="476" t="str">
        <f>IF($AC$353="","",$X$324)</f>
        <v/>
      </c>
      <c r="Y353" s="477" t="str">
        <f>IF($X$353="","",$Y$324)</f>
        <v/>
      </c>
      <c r="Z353" s="477" t="str">
        <f>IF($X$353="","",$Z$324)</f>
        <v/>
      </c>
      <c r="AA353" s="477" t="str">
        <f>IF($AC$353="","",ROW($A$353)-ROW($A$324))</f>
        <v/>
      </c>
      <c r="AB353" s="478"/>
      <c r="AC353" s="34"/>
      <c r="AD353" s="356"/>
      <c r="AE353" s="479"/>
      <c r="AF353" s="475"/>
      <c r="AG353" s="480" t="str">
        <f t="shared" si="88"/>
        <v/>
      </c>
      <c r="AH353" s="481" t="str">
        <f t="shared" si="89"/>
        <v/>
      </c>
      <c r="AI353" s="477" t="str">
        <f>IF($AC$353="","",IFERROR(INDEX($AZ$74:$AZ$119,MATCH($AH$353,$AY$74:$AY$119,0)),"AUTRE"))</f>
        <v/>
      </c>
      <c r="AJ353" s="482" t="str">
        <f>IF($AC$353="","",IFERROR(INDEX($BA$74:$BA$119,MATCH($AH$353,$AY$74:$AY$119,0)),1))</f>
        <v/>
      </c>
      <c r="AK353" s="482" t="str">
        <f t="shared" si="90"/>
        <v/>
      </c>
      <c r="AL353" s="477" t="str">
        <f>IF($AC$353="","",IFERROR(INDEX($BB$74:$BB$119,MATCH($AH$353,$AY$74:$AY$119,0)),$AH$353))</f>
        <v/>
      </c>
      <c r="AM353" s="483" t="str">
        <f t="shared" si="91"/>
        <v/>
      </c>
      <c r="AN353" s="484" t="str">
        <f t="shared" si="92"/>
        <v/>
      </c>
      <c r="AO353" s="473" t="str">
        <f t="shared" si="93"/>
        <v/>
      </c>
      <c r="AP353" s="473" t="str">
        <f t="shared" si="94"/>
        <v/>
      </c>
      <c r="AQ353" s="473" t="str">
        <f t="shared" si="95"/>
        <v/>
      </c>
      <c r="AR353" s="473" t="str">
        <f t="shared" si="96"/>
        <v/>
      </c>
      <c r="AS353" s="473" t="str">
        <f t="shared" si="97"/>
        <v/>
      </c>
      <c r="AT353" s="473" t="str">
        <f t="shared" si="98"/>
        <v/>
      </c>
      <c r="AU353" s="473" t="str">
        <f t="shared" si="99"/>
        <v/>
      </c>
      <c r="AY353" s="497" t="s">
        <v>8145</v>
      </c>
      <c r="AZ353" s="28" t="s">
        <v>13</v>
      </c>
      <c r="BA353" s="34" t="s">
        <v>470</v>
      </c>
      <c r="BB353" s="499"/>
      <c r="BC353" s="271"/>
      <c r="BD353" s="279">
        <v>1</v>
      </c>
      <c r="BE353" s="271"/>
      <c r="BF353" s="271"/>
      <c r="BG353" s="271"/>
      <c r="BH353" s="271"/>
      <c r="BI353" s="271"/>
      <c r="BJ353" s="271"/>
      <c r="BK353" s="271"/>
      <c r="BL353" s="271"/>
    </row>
    <row r="354" spans="18:64" ht="21" customHeight="1" x14ac:dyDescent="0.25">
      <c r="S354" s="451"/>
      <c r="T354" s="497" t="s">
        <v>463</v>
      </c>
      <c r="V354" s="475">
        <v>8</v>
      </c>
      <c r="W354" s="475" t="str">
        <f>IF($AC$354="","",$W$324)</f>
        <v/>
      </c>
      <c r="X354" s="476" t="str">
        <f>IF($AC$354="","",$X$324)</f>
        <v/>
      </c>
      <c r="Y354" s="477" t="str">
        <f>IF($X$354="","",$Y$324)</f>
        <v/>
      </c>
      <c r="Z354" s="477" t="str">
        <f>IF($X$354="","",$Z$324)</f>
        <v/>
      </c>
      <c r="AA354" s="477" t="str">
        <f>IF($AC$354="","",ROW($A$354)-ROW($A$324))</f>
        <v/>
      </c>
      <c r="AB354" s="478"/>
      <c r="AC354" s="34"/>
      <c r="AD354" s="356"/>
      <c r="AE354" s="479"/>
      <c r="AF354" s="475"/>
      <c r="AG354" s="480" t="str">
        <f t="shared" si="88"/>
        <v/>
      </c>
      <c r="AH354" s="481" t="str">
        <f t="shared" si="89"/>
        <v/>
      </c>
      <c r="AI354" s="477" t="str">
        <f>IF($AC$354="","",IFERROR(INDEX($AZ$74:$AZ$119,MATCH($AH$354,$AY$74:$AY$119,0)),"AUTRE"))</f>
        <v/>
      </c>
      <c r="AJ354" s="482" t="str">
        <f>IF($AC$354="","",IFERROR(INDEX($BA$74:$BA$119,MATCH($AH$354,$AY$74:$AY$119,0)),1))</f>
        <v/>
      </c>
      <c r="AK354" s="482" t="str">
        <f t="shared" si="90"/>
        <v/>
      </c>
      <c r="AL354" s="477" t="str">
        <f>IF($AC$354="","",IFERROR(INDEX($BB$74:$BB$119,MATCH($AH$354,$AY$74:$AY$119,0)),$AH$354))</f>
        <v/>
      </c>
      <c r="AM354" s="483" t="str">
        <f t="shared" si="91"/>
        <v/>
      </c>
      <c r="AN354" s="484" t="str">
        <f t="shared" si="92"/>
        <v/>
      </c>
      <c r="AO354" s="473" t="str">
        <f t="shared" si="93"/>
        <v/>
      </c>
      <c r="AP354" s="473" t="str">
        <f t="shared" si="94"/>
        <v/>
      </c>
      <c r="AQ354" s="473" t="str">
        <f t="shared" si="95"/>
        <v/>
      </c>
      <c r="AR354" s="473" t="str">
        <f t="shared" si="96"/>
        <v/>
      </c>
      <c r="AS354" s="473" t="str">
        <f t="shared" si="97"/>
        <v/>
      </c>
      <c r="AT354" s="473" t="str">
        <f t="shared" si="98"/>
        <v/>
      </c>
      <c r="AU354" s="473" t="str">
        <f t="shared" si="99"/>
        <v/>
      </c>
      <c r="AY354" s="497" t="s">
        <v>462</v>
      </c>
      <c r="AZ354" s="28" t="s">
        <v>14</v>
      </c>
      <c r="BA354" s="34" t="s">
        <v>477</v>
      </c>
      <c r="BB354" s="499"/>
      <c r="BC354" s="271"/>
      <c r="BD354" s="279">
        <v>1</v>
      </c>
      <c r="BE354" s="271"/>
      <c r="BF354" s="271"/>
      <c r="BG354" s="271"/>
      <c r="BH354" s="271"/>
      <c r="BI354" s="271"/>
      <c r="BJ354" s="271"/>
      <c r="BK354" s="271"/>
      <c r="BL354" s="271"/>
    </row>
    <row r="355" spans="18:64" ht="21" customHeight="1" x14ac:dyDescent="0.25">
      <c r="R355" s="25" t="s">
        <v>6134</v>
      </c>
      <c r="S355" s="451"/>
      <c r="T355" s="497" t="s">
        <v>8147</v>
      </c>
      <c r="V355" s="475">
        <v>8</v>
      </c>
      <c r="W355" s="475" t="str">
        <f>IF($AC$355="","",$W$324)</f>
        <v/>
      </c>
      <c r="X355" s="476" t="str">
        <f>IF($AC$355="","",$X$324)</f>
        <v/>
      </c>
      <c r="Y355" s="477" t="str">
        <f>IF($X$355="","",$Y$324)</f>
        <v/>
      </c>
      <c r="Z355" s="477" t="str">
        <f>IF($X$355="","",$Z$324)</f>
        <v/>
      </c>
      <c r="AA355" s="477" t="str">
        <f>IF($AC$355="","",ROW($A$355)-ROW($A$324))</f>
        <v/>
      </c>
      <c r="AB355" s="478"/>
      <c r="AC355" s="34"/>
      <c r="AD355" s="356"/>
      <c r="AE355" s="479"/>
      <c r="AF355" s="475"/>
      <c r="AG355" s="480" t="str">
        <f t="shared" si="88"/>
        <v/>
      </c>
      <c r="AH355" s="481" t="str">
        <f t="shared" si="89"/>
        <v/>
      </c>
      <c r="AI355" s="477" t="str">
        <f>IF($AC$355="","",IFERROR(INDEX($AZ$74:$AZ$119,MATCH($AH$355,$AY$74:$AY$119,0)),"AUTRE"))</f>
        <v/>
      </c>
      <c r="AJ355" s="482" t="str">
        <f>IF($AC$355="","",IFERROR(INDEX($BA$74:$BA$119,MATCH($AH$355,$AY$74:$AY$119,0)),1))</f>
        <v/>
      </c>
      <c r="AK355" s="482" t="str">
        <f t="shared" si="90"/>
        <v/>
      </c>
      <c r="AL355" s="477" t="str">
        <f>IF($AC$355="","",IFERROR(INDEX($BB$74:$BB$119,MATCH($AH$355,$AY$74:$AY$119,0)),$AH$355))</f>
        <v/>
      </c>
      <c r="AM355" s="483" t="str">
        <f t="shared" si="91"/>
        <v/>
      </c>
      <c r="AN355" s="484" t="str">
        <f t="shared" si="92"/>
        <v/>
      </c>
      <c r="AO355" s="473" t="str">
        <f t="shared" si="93"/>
        <v/>
      </c>
      <c r="AP355" s="473" t="str">
        <f t="shared" si="94"/>
        <v/>
      </c>
      <c r="AQ355" s="473" t="str">
        <f t="shared" si="95"/>
        <v/>
      </c>
      <c r="AR355" s="473" t="str">
        <f t="shared" si="96"/>
        <v/>
      </c>
      <c r="AS355" s="473" t="str">
        <f t="shared" si="97"/>
        <v/>
      </c>
      <c r="AT355" s="473" t="str">
        <f t="shared" si="98"/>
        <v/>
      </c>
      <c r="AU355" s="473" t="str">
        <f t="shared" si="99"/>
        <v/>
      </c>
      <c r="AY355" s="497" t="s">
        <v>463</v>
      </c>
      <c r="AZ355" s="28" t="s">
        <v>15</v>
      </c>
      <c r="BB355" s="499"/>
      <c r="BC355" s="271"/>
      <c r="BD355" s="279">
        <v>1</v>
      </c>
      <c r="BE355" s="271"/>
      <c r="BF355" s="271"/>
      <c r="BG355" s="271"/>
      <c r="BH355" s="271"/>
      <c r="BI355" s="271"/>
      <c r="BJ355" s="271"/>
      <c r="BK355" s="271"/>
      <c r="BL355" s="271"/>
    </row>
    <row r="356" spans="18:64" ht="21" customHeight="1" x14ac:dyDescent="0.25">
      <c r="R356" s="34" t="s">
        <v>481</v>
      </c>
      <c r="S356" s="451"/>
      <c r="T356" s="497" t="s">
        <v>465</v>
      </c>
      <c r="V356" s="475">
        <v>8</v>
      </c>
      <c r="W356" s="475" t="str">
        <f>IF($AC$356="","",$W$324)</f>
        <v/>
      </c>
      <c r="X356" s="476" t="str">
        <f>IF($AC$356="","",$X$324)</f>
        <v/>
      </c>
      <c r="Y356" s="477" t="str">
        <f>IF($X$356="","",$Y$324)</f>
        <v/>
      </c>
      <c r="Z356" s="477" t="str">
        <f>IF($X$356="","",$Z$324)</f>
        <v/>
      </c>
      <c r="AA356" s="477" t="str">
        <f>IF($AC$356="","",ROW($A$356)-ROW($A$324))</f>
        <v/>
      </c>
      <c r="AB356" s="478"/>
      <c r="AC356" s="34"/>
      <c r="AD356" s="356"/>
      <c r="AE356" s="479"/>
      <c r="AF356" s="475"/>
      <c r="AG356" s="480" t="str">
        <f t="shared" si="88"/>
        <v/>
      </c>
      <c r="AH356" s="481" t="str">
        <f t="shared" si="89"/>
        <v/>
      </c>
      <c r="AI356" s="477" t="str">
        <f>IF($AC$356="","",IFERROR(INDEX($AZ$74:$AZ$119,MATCH($AH$356,$AY$74:$AY$119,0)),"AUTRE"))</f>
        <v/>
      </c>
      <c r="AJ356" s="482" t="str">
        <f>IF($AC$356="","",IFERROR(INDEX($BA$74:$BA$119,MATCH($AH$356,$AY$74:$AY$119,0)),1))</f>
        <v/>
      </c>
      <c r="AK356" s="482" t="str">
        <f t="shared" si="90"/>
        <v/>
      </c>
      <c r="AL356" s="477" t="str">
        <f>IF($AC$356="","",IFERROR(INDEX($BB$74:$BB$119,MATCH($AH$356,$AY$74:$AY$119,0)),$AH$356))</f>
        <v/>
      </c>
      <c r="AM356" s="483" t="str">
        <f t="shared" si="91"/>
        <v/>
      </c>
      <c r="AN356" s="484" t="str">
        <f t="shared" si="92"/>
        <v/>
      </c>
      <c r="AO356" s="473" t="str">
        <f t="shared" si="93"/>
        <v/>
      </c>
      <c r="AP356" s="473" t="str">
        <f t="shared" si="94"/>
        <v/>
      </c>
      <c r="AQ356" s="473" t="str">
        <f t="shared" si="95"/>
        <v/>
      </c>
      <c r="AR356" s="473" t="str">
        <f t="shared" si="96"/>
        <v/>
      </c>
      <c r="AS356" s="473" t="str">
        <f t="shared" si="97"/>
        <v/>
      </c>
      <c r="AT356" s="473" t="str">
        <f t="shared" si="98"/>
        <v/>
      </c>
      <c r="AU356" s="473" t="str">
        <f t="shared" si="99"/>
        <v/>
      </c>
      <c r="AY356" s="497" t="s">
        <v>8147</v>
      </c>
      <c r="AZ356" s="29" t="s">
        <v>9</v>
      </c>
      <c r="BA356" s="25" t="s">
        <v>6134</v>
      </c>
      <c r="BB356" s="499"/>
      <c r="BC356" s="271"/>
      <c r="BD356" s="279">
        <v>1</v>
      </c>
      <c r="BE356" s="271"/>
      <c r="BF356" s="271"/>
      <c r="BG356" s="271"/>
      <c r="BH356" s="271"/>
      <c r="BI356" s="271"/>
      <c r="BJ356" s="271"/>
      <c r="BK356" s="271"/>
      <c r="BL356" s="271"/>
    </row>
    <row r="357" spans="18:64" ht="21" customHeight="1" x14ac:dyDescent="0.25">
      <c r="R357" s="34" t="s">
        <v>475</v>
      </c>
      <c r="S357" s="451"/>
      <c r="T357" s="497" t="s">
        <v>466</v>
      </c>
      <c r="V357" s="475">
        <v>8</v>
      </c>
      <c r="W357" s="475" t="str">
        <f>IF($AC$357="","",$W$324)</f>
        <v/>
      </c>
      <c r="X357" s="476" t="str">
        <f>IF($AC$357="","",$X$324)</f>
        <v/>
      </c>
      <c r="Y357" s="477" t="str">
        <f>IF($X$357="","",$Y$324)</f>
        <v/>
      </c>
      <c r="Z357" s="477" t="str">
        <f>IF($X$357="","",$Z$324)</f>
        <v/>
      </c>
      <c r="AA357" s="477" t="str">
        <f>IF($AC$357="","",ROW($A$357)-ROW($A$324))</f>
        <v/>
      </c>
      <c r="AB357" s="478"/>
      <c r="AC357" s="34"/>
      <c r="AD357" s="356"/>
      <c r="AE357" s="479"/>
      <c r="AF357" s="475"/>
      <c r="AG357" s="480" t="str">
        <f t="shared" si="88"/>
        <v/>
      </c>
      <c r="AH357" s="481" t="str">
        <f t="shared" si="89"/>
        <v/>
      </c>
      <c r="AI357" s="477" t="str">
        <f>IF($AC$357="","",IFERROR(INDEX($AZ$74:$AZ$119,MATCH($AH$357,$AY$74:$AY$119,0)),"AUTRE"))</f>
        <v/>
      </c>
      <c r="AJ357" s="482" t="str">
        <f>IF($AC$357="","",IFERROR(INDEX($BA$74:$BA$119,MATCH($AH$357,$AY$74:$AY$119,0)),1))</f>
        <v/>
      </c>
      <c r="AK357" s="482" t="str">
        <f t="shared" si="90"/>
        <v/>
      </c>
      <c r="AL357" s="477" t="str">
        <f>IF($AC$357="","",IFERROR(INDEX($BB$74:$BB$119,MATCH($AH$357,$AY$74:$AY$119,0)),$AH$357))</f>
        <v/>
      </c>
      <c r="AM357" s="483" t="str">
        <f t="shared" si="91"/>
        <v/>
      </c>
      <c r="AN357" s="484" t="str">
        <f t="shared" si="92"/>
        <v/>
      </c>
      <c r="AO357" s="473" t="str">
        <f t="shared" si="93"/>
        <v/>
      </c>
      <c r="AP357" s="473" t="str">
        <f t="shared" si="94"/>
        <v/>
      </c>
      <c r="AQ357" s="473" t="str">
        <f t="shared" si="95"/>
        <v/>
      </c>
      <c r="AR357" s="473" t="str">
        <f t="shared" si="96"/>
        <v/>
      </c>
      <c r="AS357" s="473" t="str">
        <f t="shared" si="97"/>
        <v/>
      </c>
      <c r="AT357" s="473" t="str">
        <f t="shared" si="98"/>
        <v/>
      </c>
      <c r="AU357" s="473" t="str">
        <f t="shared" si="99"/>
        <v/>
      </c>
      <c r="AY357" s="497" t="s">
        <v>465</v>
      </c>
      <c r="AZ357" s="30" t="s">
        <v>10</v>
      </c>
      <c r="BA357" s="34" t="s">
        <v>481</v>
      </c>
      <c r="BB357" s="499"/>
      <c r="BC357" s="271"/>
      <c r="BD357" s="279">
        <v>1</v>
      </c>
      <c r="BE357" s="271"/>
      <c r="BF357" s="271"/>
      <c r="BG357" s="271"/>
      <c r="BH357" s="271"/>
      <c r="BI357" s="271"/>
      <c r="BJ357" s="271"/>
      <c r="BK357" s="271"/>
      <c r="BL357" s="271"/>
    </row>
    <row r="358" spans="18:64" ht="21" customHeight="1" x14ac:dyDescent="0.25">
      <c r="R358" s="34" t="s">
        <v>457</v>
      </c>
      <c r="S358" s="451"/>
      <c r="T358" s="440" t="s">
        <v>8110</v>
      </c>
      <c r="V358" s="475">
        <v>8</v>
      </c>
      <c r="W358" s="475" t="str">
        <f>IF($AC$358="","",$W$324)</f>
        <v/>
      </c>
      <c r="X358" s="476" t="str">
        <f>IF($AC$358="","",$X$324)</f>
        <v/>
      </c>
      <c r="Y358" s="477" t="str">
        <f>IF($X$358="","",$Y$324)</f>
        <v/>
      </c>
      <c r="Z358" s="477" t="str">
        <f>IF($X$358="","",$Z$324)</f>
        <v/>
      </c>
      <c r="AA358" s="477" t="str">
        <f>IF($AC$358="","",ROW($A$358)-ROW($A$324))</f>
        <v/>
      </c>
      <c r="AB358" s="478"/>
      <c r="AC358" s="34"/>
      <c r="AD358" s="356"/>
      <c r="AE358" s="479"/>
      <c r="AF358" s="475"/>
      <c r="AG358" s="491" t="str">
        <f t="shared" si="88"/>
        <v/>
      </c>
      <c r="AH358" s="481" t="str">
        <f t="shared" si="89"/>
        <v/>
      </c>
      <c r="AI358" s="477" t="str">
        <f>IF($AC$358="","",IFERROR(INDEX($AZ$74:$AZ$119,MATCH($AH$358,$AY$74:$AY$119,0)),"AUTRE"))</f>
        <v/>
      </c>
      <c r="AJ358" s="482" t="str">
        <f>IF($AC$358="","",IFERROR(INDEX($BA$74:$BA$119,MATCH($AH$358,$AY$74:$AY$119,0)),1))</f>
        <v/>
      </c>
      <c r="AK358" s="482" t="str">
        <f t="shared" si="90"/>
        <v/>
      </c>
      <c r="AL358" s="477" t="str">
        <f>IF($AC$358="","",IFERROR(INDEX($BB$74:$BB$119,MATCH($AH$358,$AY$74:$AY$119,0)),$AH$358))</f>
        <v/>
      </c>
      <c r="AM358" s="483" t="str">
        <f t="shared" si="91"/>
        <v/>
      </c>
      <c r="AN358" s="484" t="str">
        <f t="shared" si="92"/>
        <v/>
      </c>
      <c r="AO358" s="473" t="str">
        <f t="shared" si="93"/>
        <v/>
      </c>
      <c r="AP358" s="473" t="str">
        <f t="shared" si="94"/>
        <v/>
      </c>
      <c r="AQ358" s="473" t="str">
        <f t="shared" si="95"/>
        <v/>
      </c>
      <c r="AR358" s="473" t="str">
        <f t="shared" si="96"/>
        <v/>
      </c>
      <c r="AS358" s="473" t="str">
        <f t="shared" si="97"/>
        <v/>
      </c>
      <c r="AT358" s="473" t="str">
        <f t="shared" si="98"/>
        <v/>
      </c>
      <c r="AU358" s="473" t="str">
        <f t="shared" si="99"/>
        <v/>
      </c>
      <c r="AY358" s="497" t="s">
        <v>466</v>
      </c>
      <c r="AZ358" s="30" t="s">
        <v>11</v>
      </c>
      <c r="BA358" s="34" t="s">
        <v>475</v>
      </c>
      <c r="BB358" s="499"/>
      <c r="BC358" s="271"/>
      <c r="BD358" s="279">
        <v>1</v>
      </c>
      <c r="BE358" s="271"/>
      <c r="BF358" s="271"/>
      <c r="BG358" s="271"/>
      <c r="BH358" s="271"/>
      <c r="BI358" s="271"/>
      <c r="BJ358" s="271"/>
      <c r="BK358" s="271"/>
      <c r="BL358" s="271"/>
    </row>
    <row r="359" spans="18:64" ht="30" customHeight="1" x14ac:dyDescent="0.25">
      <c r="R359" s="34" t="s">
        <v>482</v>
      </c>
      <c r="S359" s="451"/>
      <c r="T359" s="452" t="s">
        <v>8113</v>
      </c>
      <c r="V359" s="453" t="s">
        <v>324</v>
      </c>
      <c r="W359" s="453" t="s">
        <v>7912</v>
      </c>
      <c r="X359" s="453" t="s">
        <v>326</v>
      </c>
      <c r="Y359" s="453" t="s">
        <v>327</v>
      </c>
      <c r="Z359" s="454" t="s">
        <v>7930</v>
      </c>
      <c r="AA359" s="453" t="s">
        <v>7937</v>
      </c>
      <c r="AB359" s="455" t="s">
        <v>39</v>
      </c>
      <c r="AC359" s="455" t="s">
        <v>338</v>
      </c>
      <c r="AD359" s="455" t="s">
        <v>8114</v>
      </c>
      <c r="AE359" s="455" t="s">
        <v>339</v>
      </c>
      <c r="AF359" s="455" t="s">
        <v>7997</v>
      </c>
      <c r="AG359" s="453" t="s">
        <v>8018</v>
      </c>
      <c r="AH359" s="453" t="s">
        <v>8023</v>
      </c>
      <c r="AI359" s="453" t="s">
        <v>330</v>
      </c>
      <c r="AJ359" s="453" t="s">
        <v>8031</v>
      </c>
      <c r="AK359" s="453" t="s">
        <v>8037</v>
      </c>
      <c r="AL359" s="453" t="s">
        <v>8041</v>
      </c>
      <c r="AM359" s="453" t="s">
        <v>343</v>
      </c>
      <c r="AN359" s="457" t="s">
        <v>8115</v>
      </c>
      <c r="AO359" s="457" t="s">
        <v>8116</v>
      </c>
      <c r="AP359" s="656" t="s">
        <v>8117</v>
      </c>
      <c r="AQ359" s="656"/>
      <c r="AR359" s="656"/>
      <c r="AS359" s="656"/>
      <c r="AT359" s="656"/>
      <c r="AU359" s="657"/>
      <c r="AZ359" s="30" t="s">
        <v>12</v>
      </c>
      <c r="BA359" s="34" t="s">
        <v>457</v>
      </c>
      <c r="BB359" s="499"/>
      <c r="BC359" s="271"/>
      <c r="BD359" s="279">
        <v>1</v>
      </c>
      <c r="BE359" s="271"/>
      <c r="BF359" s="271"/>
      <c r="BG359" s="271"/>
      <c r="BH359" s="271"/>
      <c r="BI359" s="271"/>
      <c r="BJ359" s="271"/>
      <c r="BK359" s="271"/>
      <c r="BL359" s="271"/>
    </row>
    <row r="360" spans="18:64" ht="30" customHeight="1" x14ac:dyDescent="0.25">
      <c r="R360" s="34" t="s">
        <v>496</v>
      </c>
      <c r="S360" s="451"/>
      <c r="T360" s="14" t="s">
        <v>7</v>
      </c>
      <c r="V360" s="459">
        <v>9</v>
      </c>
      <c r="W360" s="460" t="s">
        <v>8159</v>
      </c>
      <c r="X360" s="461" t="s">
        <v>8162</v>
      </c>
      <c r="Y360" s="462"/>
      <c r="Z360" s="463">
        <v>100</v>
      </c>
      <c r="AA360" s="464">
        <f>IF($AC$396="","",ROW($A$396)-ROW($A$396))</f>
        <v>0</v>
      </c>
      <c r="AB360" s="461"/>
      <c r="AC360" s="465" t="s">
        <v>8163</v>
      </c>
      <c r="AD360" s="390"/>
      <c r="AE360" s="390"/>
      <c r="AF360" s="466"/>
      <c r="AG360" s="467" t="str">
        <f t="shared" ref="AG360:AG394" si="100">IF($AC360="","",IF(LEN($AN360&amp;"")=0,"",$AN360))</f>
        <v/>
      </c>
      <c r="AH360" s="468" t="str">
        <f t="shared" ref="AH360:AH394" si="101">IF($AC360="","",IF($AF360&lt;&gt;"",UPPER(TRIM(SUBSTITUTE(SUBSTITUTE($AF360&amp;"",CHAR(160)," ")," "," "))),$AP360))</f>
        <v/>
      </c>
      <c r="AI360" s="469" t="str">
        <f>IF($AC$360="","",IFERROR(INDEX($AZ$74:$AZ$119,MATCH($AH$360,$AY$74:$AY$119,0)),"AUTRE"))</f>
        <v>AUTRE</v>
      </c>
      <c r="AJ360" s="470">
        <f>IF($AC$360="","",IFERROR(INDEX($BA$74:$BA$119,MATCH($AH$360,$AY$74:$AY$119,0)),1))</f>
        <v>1</v>
      </c>
      <c r="AK360" s="470" t="str">
        <f t="shared" ref="AK360:AK394" si="102">IF(OR(AG360="",AJ360=""),"",AG360*AJ360)</f>
        <v/>
      </c>
      <c r="AL360" s="469" t="str">
        <f>IF($AC$360="","",IFERROR(INDEX($BB$74:$BB$119,MATCH($AH$360,$AY$74:$AY$119,0)),$AH$360))</f>
        <v/>
      </c>
      <c r="AM360" s="471" t="str">
        <f t="shared" ref="AM360:AM394" si="103">IF($AC360="","",IF($AH360="QT. SUFFISANTE","OK",IF($AG360="","TEXTE",IF(NOT(ISNUMBER($AG360)),"QUANTITÉ À CONTRÔLER",IF(COUNTIF($AY$74:$AY$119,$AH360)=0,"UNITÉ À CONTRÔLER","OK")))))</f>
        <v>TEXTE</v>
      </c>
      <c r="AN360" s="474" t="str">
        <f t="shared" ref="AN360:AN394" si="104">IF($AE360&lt;&gt;"",$AE360,IF($AD360="","",IF(ISNUMBER($AD360),$AD360,IF($AO360="QT",0,IF($AO360="","",IFERROR(IF(ISNUMBER(SEARCH("/",$AO360)),VALUE(TRIM(LEFT($AO360,SEARCH("/",$AO360)-1)))/VALUE(TRIM(MID($AO360,SEARCH("/",$AO360)+1,99))),VALUE(SUBSTITUTE($AO360,".",","))),""))))))</f>
        <v/>
      </c>
      <c r="AO360" s="473" t="str">
        <f t="shared" ref="AO360:AO394" si="105">IF($AD360="","",IF(ISNUMBER($AD360),$AD360,IF(OR(LEFT($AQ360,3)="QT.",LEFT($AQ360,4)="QUAN"),"QT",IF($AR360=999,$AQ360,TRIM(LEFT($AQ360,$AR360-1))))))</f>
        <v/>
      </c>
      <c r="AP360" s="473" t="str">
        <f t="shared" ref="AP360:AP394" si="106">IF($AD360="","",IF(ISNUMBER($AD360),"",IF(OR(LEFT($AQ360,3)="QT.",LEFT($AQ360,4)="QUAN"),"QT. SUFFISANTE",IF($AO360="","",TRIM(MID($AQ360,LEN($AO360&amp;"")+1,999))))))</f>
        <v/>
      </c>
      <c r="AQ360" s="473" t="str">
        <f t="shared" ref="AQ360:AQ394" si="107">IF($AD360="","",UPPER(TRIM(SUBSTITUTE(SUBSTITUTE($AD360&amp;"",CHAR(160)," ")," "," "))))</f>
        <v/>
      </c>
      <c r="AR360" s="473" t="str">
        <f t="shared" ref="AR360:AR394" si="108">IF($AQ360="","",MIN($AS360,$AT360,$AU360))</f>
        <v/>
      </c>
      <c r="AS360" s="473" t="str">
        <f t="shared" ref="AS360:AS394" si="109">IF($AQ360="","",MIN(IFERROR(SEARCH("A",$AQ360),999),IFERROR(SEARCH("B",$AQ360),999),IFERROR(SEARCH("C",$AQ360),999),IFERROR(SEARCH("D",$AQ360),999),IFERROR(SEARCH("E",$AQ360),999),IFERROR(SEARCH("F",$AQ360),999),IFERROR(SEARCH("G",$AQ360),999),IFERROR(SEARCH("H",$AQ360),999),IFERROR(SEARCH("I",$AQ360),999)))</f>
        <v/>
      </c>
      <c r="AT360" s="473" t="str">
        <f t="shared" ref="AT360:AT394" si="110">IF($AQ360="","",MIN(IFERROR(SEARCH("J",$AQ360),999),IFERROR(SEARCH("K",$AQ360),999),IFERROR(SEARCH("L",$AQ360),999),IFERROR(SEARCH("M",$AQ360),999),IFERROR(SEARCH("N",$AQ360),999),IFERROR(SEARCH("O",$AQ360),999),IFERROR(SEARCH("P",$AQ360),999),IFERROR(SEARCH("Q",$AQ360),999),IFERROR(SEARCH("R",$AQ360),999)))</f>
        <v/>
      </c>
      <c r="AU360" s="473" t="str">
        <f t="shared" ref="AU360:AU394" si="111">IF($AQ360="","",MIN(IFERROR(SEARCH("S",$AQ360),999),IFERROR(SEARCH("T",$AQ360),999),IFERROR(SEARCH("U",$AQ360),999),IFERROR(SEARCH("V",$AQ360),999),IFERROR(SEARCH("W",$AQ360),999),IFERROR(SEARCH("X",$AQ360),999),IFERROR(SEARCH("Y",$AQ360),999),IFERROR(SEARCH("Z",$AQ360),999)))</f>
        <v/>
      </c>
      <c r="AZ360" s="31" t="s">
        <v>16</v>
      </c>
      <c r="BA360" s="34" t="s">
        <v>482</v>
      </c>
      <c r="BB360" s="499"/>
      <c r="BC360" s="271"/>
      <c r="BD360" s="279">
        <v>1</v>
      </c>
      <c r="BE360" s="271"/>
      <c r="BF360" s="271"/>
      <c r="BG360" s="271"/>
      <c r="BH360" s="271"/>
      <c r="BI360" s="271"/>
      <c r="BJ360" s="271"/>
      <c r="BK360" s="271"/>
      <c r="BL360" s="271"/>
    </row>
    <row r="361" spans="18:64" ht="21" customHeight="1" x14ac:dyDescent="0.25">
      <c r="R361" s="34" t="s">
        <v>483</v>
      </c>
      <c r="S361" s="451"/>
      <c r="T361" s="27" t="s">
        <v>8</v>
      </c>
      <c r="V361" s="475">
        <f>$V$360</f>
        <v>9</v>
      </c>
      <c r="W361" s="475" t="str">
        <f>IF($AC$361="","",$W$360)</f>
        <v/>
      </c>
      <c r="X361" s="476" t="str">
        <f>IF($AC$361="","",$X$360)</f>
        <v/>
      </c>
      <c r="Y361" s="477" t="str">
        <f>IF($X$361="","",$Y$360)</f>
        <v/>
      </c>
      <c r="Z361" s="477" t="str">
        <f>IF($X$361="","",$Z$360)</f>
        <v/>
      </c>
      <c r="AA361" s="477" t="str">
        <f>IF($AC$361="","",ROW($A$361)-ROW($A$360))</f>
        <v/>
      </c>
      <c r="AB361" s="478"/>
      <c r="AC361" s="34"/>
      <c r="AD361" s="356"/>
      <c r="AE361" s="479"/>
      <c r="AF361" s="475"/>
      <c r="AG361" s="480" t="str">
        <f t="shared" si="100"/>
        <v/>
      </c>
      <c r="AH361" s="481" t="str">
        <f t="shared" si="101"/>
        <v/>
      </c>
      <c r="AI361" s="477" t="str">
        <f>IF($AC$361="","",IFERROR(INDEX($AZ$74:$AZ$119,MATCH($AH$361,$AY$74:$AY$119,0)),"AUTRE"))</f>
        <v/>
      </c>
      <c r="AJ361" s="482" t="str">
        <f>IF($AC$361="","",IFERROR(INDEX($BA$74:$BA$119,MATCH($AH$361,$AY$74:$AY$119,0)),1))</f>
        <v/>
      </c>
      <c r="AK361" s="482" t="str">
        <f t="shared" si="102"/>
        <v/>
      </c>
      <c r="AL361" s="477" t="str">
        <f>IF($AC$361="","",IFERROR(INDEX($BB$74:$BB$119,MATCH($AH$361,$AY$74:$AY$119,0)),$AH$361))</f>
        <v/>
      </c>
      <c r="AM361" s="483" t="str">
        <f t="shared" si="103"/>
        <v/>
      </c>
      <c r="AN361" s="484" t="str">
        <f t="shared" si="104"/>
        <v/>
      </c>
      <c r="AO361" s="473" t="str">
        <f t="shared" si="105"/>
        <v/>
      </c>
      <c r="AP361" s="473" t="str">
        <f t="shared" si="106"/>
        <v/>
      </c>
      <c r="AQ361" s="473" t="str">
        <f t="shared" si="107"/>
        <v/>
      </c>
      <c r="AR361" s="473" t="str">
        <f t="shared" si="108"/>
        <v/>
      </c>
      <c r="AS361" s="473" t="str">
        <f t="shared" si="109"/>
        <v/>
      </c>
      <c r="AT361" s="473" t="str">
        <f t="shared" si="110"/>
        <v/>
      </c>
      <c r="AU361" s="473" t="str">
        <f t="shared" si="111"/>
        <v/>
      </c>
      <c r="AZ361" s="31" t="s">
        <v>17</v>
      </c>
      <c r="BA361" s="34" t="s">
        <v>496</v>
      </c>
      <c r="BB361" s="499"/>
      <c r="BC361" s="271"/>
      <c r="BD361" s="279">
        <v>1</v>
      </c>
      <c r="BE361" s="271"/>
      <c r="BF361" s="271"/>
      <c r="BG361" s="271"/>
      <c r="BH361" s="271"/>
      <c r="BI361" s="271"/>
      <c r="BJ361" s="271"/>
      <c r="BK361" s="271"/>
      <c r="BL361" s="271"/>
    </row>
    <row r="362" spans="18:64" ht="21" customHeight="1" x14ac:dyDescent="0.25">
      <c r="R362" s="34" t="s">
        <v>493</v>
      </c>
      <c r="S362" s="451"/>
      <c r="T362" s="28" t="s">
        <v>13</v>
      </c>
      <c r="V362" s="475">
        <v>9</v>
      </c>
      <c r="W362" s="475" t="str">
        <f>IF($AC$362="","",$W$360)</f>
        <v/>
      </c>
      <c r="X362" s="476" t="str">
        <f>IF($AC$362="","",$X$360)</f>
        <v/>
      </c>
      <c r="Y362" s="477" t="str">
        <f>IF($X$362="","",$Y$360)</f>
        <v/>
      </c>
      <c r="Z362" s="477" t="str">
        <f>IF($X$362="","",$Z$360)</f>
        <v/>
      </c>
      <c r="AA362" s="477" t="str">
        <f>IF($AC$362="","",ROW($A$362)-ROW($A$360))</f>
        <v/>
      </c>
      <c r="AB362" s="478"/>
      <c r="AC362" s="34"/>
      <c r="AD362" s="356"/>
      <c r="AE362" s="479"/>
      <c r="AF362" s="475"/>
      <c r="AG362" s="480" t="str">
        <f t="shared" si="100"/>
        <v/>
      </c>
      <c r="AH362" s="481" t="str">
        <f t="shared" si="101"/>
        <v/>
      </c>
      <c r="AI362" s="477" t="str">
        <f>IF($AC$362="","",IFERROR(INDEX($AZ$74:$AZ$119,MATCH($AH$362,$AY$74:$AY$119,0)),"AUTRE"))</f>
        <v/>
      </c>
      <c r="AJ362" s="482" t="str">
        <f>IF($AC$362="","",IFERROR(INDEX($BA$74:$BA$119,MATCH($AH$362,$AY$74:$AY$119,0)),1))</f>
        <v/>
      </c>
      <c r="AK362" s="482" t="str">
        <f t="shared" si="102"/>
        <v/>
      </c>
      <c r="AL362" s="477" t="str">
        <f>IF($AC$362="","",IFERROR(INDEX($BB$74:$BB$119,MATCH($AH$362,$AY$74:$AY$119,0)),$AH$362))</f>
        <v/>
      </c>
      <c r="AM362" s="483" t="str">
        <f t="shared" si="103"/>
        <v/>
      </c>
      <c r="AN362" s="484" t="str">
        <f t="shared" si="104"/>
        <v/>
      </c>
      <c r="AO362" s="473" t="str">
        <f t="shared" si="105"/>
        <v/>
      </c>
      <c r="AP362" s="473" t="str">
        <f t="shared" si="106"/>
        <v/>
      </c>
      <c r="AQ362" s="473" t="str">
        <f t="shared" si="107"/>
        <v/>
      </c>
      <c r="AR362" s="473" t="str">
        <f t="shared" si="108"/>
        <v/>
      </c>
      <c r="AS362" s="473" t="str">
        <f t="shared" si="109"/>
        <v/>
      </c>
      <c r="AT362" s="473" t="str">
        <f t="shared" si="110"/>
        <v/>
      </c>
      <c r="AU362" s="473" t="str">
        <f t="shared" si="111"/>
        <v/>
      </c>
      <c r="AZ362" s="31" t="s">
        <v>18</v>
      </c>
      <c r="BA362" s="34" t="s">
        <v>483</v>
      </c>
      <c r="BB362" s="499"/>
      <c r="BC362" s="271"/>
      <c r="BD362" s="279">
        <v>1</v>
      </c>
      <c r="BE362" s="271"/>
      <c r="BF362" s="271"/>
      <c r="BG362" s="271"/>
      <c r="BH362" s="271"/>
      <c r="BI362" s="271"/>
      <c r="BJ362" s="271"/>
      <c r="BK362" s="271"/>
      <c r="BL362" s="271"/>
    </row>
    <row r="363" spans="18:64" ht="21" customHeight="1" x14ac:dyDescent="0.25">
      <c r="R363" s="34" t="s">
        <v>494</v>
      </c>
      <c r="S363" s="451"/>
      <c r="T363" s="28" t="s">
        <v>14</v>
      </c>
      <c r="V363" s="475">
        <v>9</v>
      </c>
      <c r="W363" s="475" t="str">
        <f>IF($AC$363="","",$W$360)</f>
        <v/>
      </c>
      <c r="X363" s="476" t="str">
        <f>IF($AC$363="","",$X$360)</f>
        <v/>
      </c>
      <c r="Y363" s="477" t="str">
        <f>IF($X$363="","",$Y$360)</f>
        <v/>
      </c>
      <c r="Z363" s="477" t="str">
        <f>IF($X$363="","",$Z$360)</f>
        <v/>
      </c>
      <c r="AA363" s="477" t="str">
        <f>IF($AC$363="","",ROW($A$363)-ROW($A$360))</f>
        <v/>
      </c>
      <c r="AB363" s="478"/>
      <c r="AC363" s="34"/>
      <c r="AD363" s="356"/>
      <c r="AE363" s="479"/>
      <c r="AF363" s="475"/>
      <c r="AG363" s="480" t="str">
        <f t="shared" si="100"/>
        <v/>
      </c>
      <c r="AH363" s="481" t="str">
        <f t="shared" si="101"/>
        <v/>
      </c>
      <c r="AI363" s="477" t="str">
        <f>IF($AC$363="","",IFERROR(INDEX($AZ$74:$AZ$119,MATCH($AH$363,$AY$74:$AY$119,0)),"AUTRE"))</f>
        <v/>
      </c>
      <c r="AJ363" s="482" t="str">
        <f>IF($AC$363="","",IFERROR(INDEX($BA$74:$BA$119,MATCH($AH$363,$AY$74:$AY$119,0)),1))</f>
        <v/>
      </c>
      <c r="AK363" s="482" t="str">
        <f t="shared" si="102"/>
        <v/>
      </c>
      <c r="AL363" s="477" t="str">
        <f>IF($AC$363="","",IFERROR(INDEX($BB$74:$BB$119,MATCH($AH$363,$AY$74:$AY$119,0)),$AH$363))</f>
        <v/>
      </c>
      <c r="AM363" s="483" t="str">
        <f t="shared" si="103"/>
        <v/>
      </c>
      <c r="AN363" s="484" t="str">
        <f t="shared" si="104"/>
        <v/>
      </c>
      <c r="AO363" s="473" t="str">
        <f t="shared" si="105"/>
        <v/>
      </c>
      <c r="AP363" s="473" t="str">
        <f t="shared" si="106"/>
        <v/>
      </c>
      <c r="AQ363" s="473" t="str">
        <f t="shared" si="107"/>
        <v/>
      </c>
      <c r="AR363" s="473" t="str">
        <f t="shared" si="108"/>
        <v/>
      </c>
      <c r="AS363" s="473" t="str">
        <f t="shared" si="109"/>
        <v/>
      </c>
      <c r="AT363" s="473" t="str">
        <f t="shared" si="110"/>
        <v/>
      </c>
      <c r="AU363" s="473" t="str">
        <f t="shared" si="111"/>
        <v/>
      </c>
      <c r="AZ363" s="31" t="s">
        <v>19</v>
      </c>
      <c r="BA363" s="34" t="s">
        <v>493</v>
      </c>
      <c r="BB363" s="499"/>
      <c r="BC363" s="271"/>
      <c r="BD363" s="279">
        <v>1</v>
      </c>
      <c r="BE363" s="271"/>
      <c r="BF363" s="271"/>
      <c r="BG363" s="271"/>
      <c r="BH363" s="271"/>
      <c r="BI363" s="271"/>
      <c r="BJ363" s="271"/>
      <c r="BK363" s="271"/>
      <c r="BL363" s="271"/>
    </row>
    <row r="364" spans="18:64" ht="21" customHeight="1" x14ac:dyDescent="0.25">
      <c r="S364" s="451"/>
      <c r="T364" s="28" t="s">
        <v>15</v>
      </c>
      <c r="V364" s="475">
        <v>9</v>
      </c>
      <c r="W364" s="475" t="str">
        <f>IF($AC$364="","",$W$360)</f>
        <v/>
      </c>
      <c r="X364" s="476" t="str">
        <f>IF($AC$364="","",$X$360)</f>
        <v/>
      </c>
      <c r="Y364" s="477" t="str">
        <f>IF($X$364="","",$Y$360)</f>
        <v/>
      </c>
      <c r="Z364" s="477" t="str">
        <f>IF($X$364="","",$Z$360)</f>
        <v/>
      </c>
      <c r="AA364" s="477" t="str">
        <f>IF($AC$364="","",ROW($A$364)-ROW($A$360))</f>
        <v/>
      </c>
      <c r="AB364" s="478"/>
      <c r="AC364" s="34"/>
      <c r="AD364" s="356"/>
      <c r="AE364" s="479"/>
      <c r="AF364" s="475"/>
      <c r="AG364" s="480" t="str">
        <f t="shared" si="100"/>
        <v/>
      </c>
      <c r="AH364" s="481" t="str">
        <f t="shared" si="101"/>
        <v/>
      </c>
      <c r="AI364" s="477" t="str">
        <f>IF($AC$364="","",IFERROR(INDEX($AZ$74:$AZ$119,MATCH($AH$364,$AY$74:$AY$119,0)),"AUTRE"))</f>
        <v/>
      </c>
      <c r="AJ364" s="482" t="str">
        <f>IF($AC$364="","",IFERROR(INDEX($BA$74:$BA$119,MATCH($AH$364,$AY$74:$AY$119,0)),1))</f>
        <v/>
      </c>
      <c r="AK364" s="482" t="str">
        <f t="shared" si="102"/>
        <v/>
      </c>
      <c r="AL364" s="477" t="str">
        <f>IF($AC$364="","",IFERROR(INDEX($BB$74:$BB$119,MATCH($AH$364,$AY$74:$AY$119,0)),$AH$364))</f>
        <v/>
      </c>
      <c r="AM364" s="483" t="str">
        <f t="shared" si="103"/>
        <v/>
      </c>
      <c r="AN364" s="484" t="str">
        <f t="shared" si="104"/>
        <v/>
      </c>
      <c r="AO364" s="473" t="str">
        <f t="shared" si="105"/>
        <v/>
      </c>
      <c r="AP364" s="473" t="str">
        <f t="shared" si="106"/>
        <v/>
      </c>
      <c r="AQ364" s="473" t="str">
        <f t="shared" si="107"/>
        <v/>
      </c>
      <c r="AR364" s="473" t="str">
        <f t="shared" si="108"/>
        <v/>
      </c>
      <c r="AS364" s="473" t="str">
        <f t="shared" si="109"/>
        <v/>
      </c>
      <c r="AT364" s="473" t="str">
        <f t="shared" si="110"/>
        <v/>
      </c>
      <c r="AU364" s="473" t="str">
        <f t="shared" si="111"/>
        <v/>
      </c>
      <c r="AZ364" s="31" t="s">
        <v>211</v>
      </c>
      <c r="BA364" s="34" t="s">
        <v>494</v>
      </c>
      <c r="BB364" s="499"/>
      <c r="BC364" s="271"/>
      <c r="BD364" s="279">
        <v>1</v>
      </c>
      <c r="BE364" s="271"/>
      <c r="BF364" s="271"/>
      <c r="BG364" s="271"/>
      <c r="BH364" s="271"/>
      <c r="BI364" s="271"/>
      <c r="BJ364" s="271"/>
      <c r="BK364" s="271"/>
      <c r="BL364" s="271"/>
    </row>
    <row r="365" spans="18:64" ht="21" customHeight="1" x14ac:dyDescent="0.25">
      <c r="R365" s="25" t="s">
        <v>6115</v>
      </c>
      <c r="S365" s="451"/>
      <c r="T365" s="28" t="s">
        <v>21</v>
      </c>
      <c r="V365" s="475">
        <v>9</v>
      </c>
      <c r="W365" s="475" t="str">
        <f>IF($AC$365="","",$W$360)</f>
        <v/>
      </c>
      <c r="X365" s="476" t="str">
        <f>IF($AC$365="","",$X$360)</f>
        <v/>
      </c>
      <c r="Y365" s="477" t="str">
        <f>IF($X$365="","",$Y$360)</f>
        <v/>
      </c>
      <c r="Z365" s="477" t="str">
        <f>IF($X$365="","",$Z$360)</f>
        <v/>
      </c>
      <c r="AA365" s="477" t="str">
        <f>IF($AC$365="","",ROW($A$365)-ROW($A$360))</f>
        <v/>
      </c>
      <c r="AB365" s="478"/>
      <c r="AC365" s="34"/>
      <c r="AD365" s="356"/>
      <c r="AE365" s="479"/>
      <c r="AF365" s="475"/>
      <c r="AG365" s="480" t="str">
        <f t="shared" si="100"/>
        <v/>
      </c>
      <c r="AH365" s="481" t="str">
        <f t="shared" si="101"/>
        <v/>
      </c>
      <c r="AI365" s="477" t="str">
        <f>IF($AC$365="","",IFERROR(INDEX($AZ$74:$AZ$119,MATCH($AH$365,$AY$74:$AY$119,0)),"AUTRE"))</f>
        <v/>
      </c>
      <c r="AJ365" s="482" t="str">
        <f>IF($AC$365="","",IFERROR(INDEX($BA$74:$BA$119,MATCH($AH$365,$AY$74:$AY$119,0)),1))</f>
        <v/>
      </c>
      <c r="AK365" s="482" t="str">
        <f t="shared" si="102"/>
        <v/>
      </c>
      <c r="AL365" s="477" t="str">
        <f>IF($AC$365="","",IFERROR(INDEX($BB$74:$BB$119,MATCH($AH$365,$AY$74:$AY$119,0)),$AH$365))</f>
        <v/>
      </c>
      <c r="AM365" s="483" t="str">
        <f t="shared" si="103"/>
        <v/>
      </c>
      <c r="AN365" s="484" t="str">
        <f t="shared" si="104"/>
        <v/>
      </c>
      <c r="AO365" s="473" t="str">
        <f t="shared" si="105"/>
        <v/>
      </c>
      <c r="AP365" s="473" t="str">
        <f t="shared" si="106"/>
        <v/>
      </c>
      <c r="AQ365" s="473" t="str">
        <f t="shared" si="107"/>
        <v/>
      </c>
      <c r="AR365" s="473" t="str">
        <f t="shared" si="108"/>
        <v/>
      </c>
      <c r="AS365" s="473" t="str">
        <f t="shared" si="109"/>
        <v/>
      </c>
      <c r="AT365" s="473" t="str">
        <f t="shared" si="110"/>
        <v/>
      </c>
      <c r="AU365" s="473" t="str">
        <f t="shared" si="111"/>
        <v/>
      </c>
      <c r="AZ365" s="31" t="s">
        <v>20</v>
      </c>
      <c r="BB365" s="499"/>
      <c r="BC365" s="271"/>
      <c r="BD365" s="279">
        <v>1</v>
      </c>
      <c r="BE365" s="271"/>
      <c r="BF365" s="271"/>
      <c r="BG365" s="271"/>
      <c r="BH365" s="271"/>
      <c r="BI365" s="271"/>
      <c r="BJ365" s="271"/>
      <c r="BK365" s="271"/>
      <c r="BL365" s="271"/>
    </row>
    <row r="366" spans="18:64" ht="21" customHeight="1" x14ac:dyDescent="0.25">
      <c r="R366" s="34" t="s">
        <v>471</v>
      </c>
      <c r="S366" s="451"/>
      <c r="T366" s="28" t="s">
        <v>22</v>
      </c>
      <c r="V366" s="475">
        <v>9</v>
      </c>
      <c r="W366" s="475" t="str">
        <f>IF($AC$366="","",$W$360)</f>
        <v/>
      </c>
      <c r="X366" s="476" t="str">
        <f>IF($AC$366="","",$X$360)</f>
        <v/>
      </c>
      <c r="Y366" s="477" t="str">
        <f>IF($X$366="","",$Y$360)</f>
        <v/>
      </c>
      <c r="Z366" s="477" t="str">
        <f>IF($X$366="","",$Z$360)</f>
        <v/>
      </c>
      <c r="AA366" s="477" t="str">
        <f>IF($AC$366="","",ROW($A$366)-ROW($A$360))</f>
        <v/>
      </c>
      <c r="AB366" s="478"/>
      <c r="AC366" s="34"/>
      <c r="AD366" s="356"/>
      <c r="AE366" s="479"/>
      <c r="AF366" s="475"/>
      <c r="AG366" s="480" t="str">
        <f t="shared" si="100"/>
        <v/>
      </c>
      <c r="AH366" s="481" t="str">
        <f t="shared" si="101"/>
        <v/>
      </c>
      <c r="AI366" s="477" t="str">
        <f>IF($AC$366="","",IFERROR(INDEX($AZ$74:$AZ$119,MATCH($AH$366,$AY$74:$AY$119,0)),"AUTRE"))</f>
        <v/>
      </c>
      <c r="AJ366" s="482" t="str">
        <f>IF($AC$366="","",IFERROR(INDEX($BA$74:$BA$119,MATCH($AH$366,$AY$74:$AY$119,0)),1))</f>
        <v/>
      </c>
      <c r="AK366" s="482" t="str">
        <f t="shared" si="102"/>
        <v/>
      </c>
      <c r="AL366" s="477" t="str">
        <f>IF($AC$366="","",IFERROR(INDEX($BB$74:$BB$119,MATCH($AH$366,$AY$74:$AY$119,0)),$AH$366))</f>
        <v/>
      </c>
      <c r="AM366" s="483" t="str">
        <f t="shared" si="103"/>
        <v/>
      </c>
      <c r="AN366" s="484" t="str">
        <f t="shared" si="104"/>
        <v/>
      </c>
      <c r="AO366" s="473" t="str">
        <f t="shared" si="105"/>
        <v/>
      </c>
      <c r="AP366" s="473" t="str">
        <f t="shared" si="106"/>
        <v/>
      </c>
      <c r="AQ366" s="473" t="str">
        <f t="shared" si="107"/>
        <v/>
      </c>
      <c r="AR366" s="473" t="str">
        <f t="shared" si="108"/>
        <v/>
      </c>
      <c r="AS366" s="473" t="str">
        <f t="shared" si="109"/>
        <v/>
      </c>
      <c r="AT366" s="473" t="str">
        <f t="shared" si="110"/>
        <v/>
      </c>
      <c r="AU366" s="473" t="str">
        <f t="shared" si="111"/>
        <v/>
      </c>
      <c r="AZ366" s="31" t="s">
        <v>304</v>
      </c>
      <c r="BA366" s="25" t="s">
        <v>6115</v>
      </c>
      <c r="BB366" s="499"/>
      <c r="BC366" s="271"/>
      <c r="BD366" s="279">
        <v>1</v>
      </c>
      <c r="BE366" s="271"/>
      <c r="BF366" s="271"/>
      <c r="BG366" s="271"/>
      <c r="BH366" s="271"/>
      <c r="BI366" s="271"/>
      <c r="BJ366" s="271"/>
      <c r="BK366" s="271"/>
      <c r="BL366" s="271"/>
    </row>
    <row r="367" spans="18:64" ht="21" customHeight="1" x14ac:dyDescent="0.25">
      <c r="R367" s="34" t="s">
        <v>472</v>
      </c>
      <c r="S367" s="451"/>
      <c r="T367" s="28" t="s">
        <v>23</v>
      </c>
      <c r="V367" s="475">
        <v>9</v>
      </c>
      <c r="W367" s="475" t="str">
        <f>IF($AC$367="","",$W$360)</f>
        <v/>
      </c>
      <c r="X367" s="476" t="str">
        <f>IF($AC$367="","",$X$360)</f>
        <v/>
      </c>
      <c r="Y367" s="477" t="str">
        <f>IF($X$367="","",$Y$360)</f>
        <v/>
      </c>
      <c r="Z367" s="477" t="str">
        <f>IF($X$367="","",$Z$360)</f>
        <v/>
      </c>
      <c r="AA367" s="477" t="str">
        <f>IF($AC$367="","",ROW($A$367)-ROW($A$360))</f>
        <v/>
      </c>
      <c r="AB367" s="478"/>
      <c r="AC367" s="34"/>
      <c r="AD367" s="356"/>
      <c r="AE367" s="479"/>
      <c r="AF367" s="475"/>
      <c r="AG367" s="480" t="str">
        <f t="shared" si="100"/>
        <v/>
      </c>
      <c r="AH367" s="481" t="str">
        <f t="shared" si="101"/>
        <v/>
      </c>
      <c r="AI367" s="477" t="str">
        <f>IF($AC$367="","",IFERROR(INDEX($AZ$74:$AZ$119,MATCH($AH$367,$AY$74:$AY$119,0)),"AUTRE"))</f>
        <v/>
      </c>
      <c r="AJ367" s="482" t="str">
        <f>IF($AC$367="","",IFERROR(INDEX($BA$74:$BA$119,MATCH($AH$367,$AY$74:$AY$119,0)),1))</f>
        <v/>
      </c>
      <c r="AK367" s="482" t="str">
        <f t="shared" si="102"/>
        <v/>
      </c>
      <c r="AL367" s="477" t="str">
        <f>IF($AC$367="","",IFERROR(INDEX($BB$74:$BB$119,MATCH($AH$367,$AY$74:$AY$119,0)),$AH$367))</f>
        <v/>
      </c>
      <c r="AM367" s="483" t="str">
        <f t="shared" si="103"/>
        <v/>
      </c>
      <c r="AN367" s="484" t="str">
        <f t="shared" si="104"/>
        <v/>
      </c>
      <c r="AO367" s="473" t="str">
        <f t="shared" si="105"/>
        <v/>
      </c>
      <c r="AP367" s="473" t="str">
        <f t="shared" si="106"/>
        <v/>
      </c>
      <c r="AQ367" s="473" t="str">
        <f t="shared" si="107"/>
        <v/>
      </c>
      <c r="AR367" s="473" t="str">
        <f t="shared" si="108"/>
        <v/>
      </c>
      <c r="AS367" s="473" t="str">
        <f t="shared" si="109"/>
        <v/>
      </c>
      <c r="AT367" s="473" t="str">
        <f t="shared" si="110"/>
        <v/>
      </c>
      <c r="AU367" s="473" t="str">
        <f t="shared" si="111"/>
        <v/>
      </c>
      <c r="AZ367" s="31" t="s">
        <v>352</v>
      </c>
      <c r="BA367" s="34" t="s">
        <v>471</v>
      </c>
      <c r="BB367" s="499"/>
      <c r="BC367" s="271"/>
      <c r="BD367" s="279">
        <v>1</v>
      </c>
      <c r="BE367" s="271"/>
      <c r="BF367" s="271"/>
      <c r="BG367" s="271"/>
      <c r="BH367" s="271"/>
      <c r="BI367" s="271"/>
      <c r="BJ367" s="271"/>
      <c r="BK367" s="271"/>
      <c r="BL367" s="271"/>
    </row>
    <row r="368" spans="18:64" ht="21" customHeight="1" x14ac:dyDescent="0.25">
      <c r="R368" s="34" t="s">
        <v>6112</v>
      </c>
      <c r="S368" s="451"/>
      <c r="T368" s="28" t="s">
        <v>24</v>
      </c>
      <c r="V368" s="475">
        <v>9</v>
      </c>
      <c r="W368" s="475" t="str">
        <f>IF($AC$368="","",$W$360)</f>
        <v/>
      </c>
      <c r="X368" s="476" t="str">
        <f>IF($AC$368="","",$X$360)</f>
        <v/>
      </c>
      <c r="Y368" s="477" t="str">
        <f>IF($X$368="","",$Y$360)</f>
        <v/>
      </c>
      <c r="Z368" s="477" t="str">
        <f>IF($X$368="","",$Z$360)</f>
        <v/>
      </c>
      <c r="AA368" s="477" t="str">
        <f>IF($AC$368="","",ROW($A$368)-ROW($A$360))</f>
        <v/>
      </c>
      <c r="AB368" s="478"/>
      <c r="AC368" s="34"/>
      <c r="AD368" s="356"/>
      <c r="AE368" s="479"/>
      <c r="AF368" s="475"/>
      <c r="AG368" s="480" t="str">
        <f t="shared" si="100"/>
        <v/>
      </c>
      <c r="AH368" s="481" t="str">
        <f t="shared" si="101"/>
        <v/>
      </c>
      <c r="AI368" s="477" t="str">
        <f>IF($AC$368="","",IFERROR(INDEX($AZ$74:$AZ$119,MATCH($AH$368,$AY$74:$AY$119,0)),"AUTRE"))</f>
        <v/>
      </c>
      <c r="AJ368" s="482" t="str">
        <f>IF($AC$368="","",IFERROR(INDEX($BA$74:$BA$119,MATCH($AH$368,$AY$74:$AY$119,0)),1))</f>
        <v/>
      </c>
      <c r="AK368" s="482" t="str">
        <f t="shared" si="102"/>
        <v/>
      </c>
      <c r="AL368" s="477" t="str">
        <f>IF($AC$368="","",IFERROR(INDEX($BB$74:$BB$119,MATCH($AH$368,$AY$74:$AY$119,0)),$AH$368))</f>
        <v/>
      </c>
      <c r="AM368" s="483" t="str">
        <f t="shared" si="103"/>
        <v/>
      </c>
      <c r="AN368" s="484" t="str">
        <f t="shared" si="104"/>
        <v/>
      </c>
      <c r="AO368" s="473" t="str">
        <f t="shared" si="105"/>
        <v/>
      </c>
      <c r="AP368" s="473" t="str">
        <f t="shared" si="106"/>
        <v/>
      </c>
      <c r="AQ368" s="473" t="str">
        <f t="shared" si="107"/>
        <v/>
      </c>
      <c r="AR368" s="473" t="str">
        <f t="shared" si="108"/>
        <v/>
      </c>
      <c r="AS368" s="473" t="str">
        <f t="shared" si="109"/>
        <v/>
      </c>
      <c r="AT368" s="473" t="str">
        <f t="shared" si="110"/>
        <v/>
      </c>
      <c r="AU368" s="473" t="str">
        <f t="shared" si="111"/>
        <v/>
      </c>
      <c r="AZ368" s="31" t="s">
        <v>27</v>
      </c>
      <c r="BA368" s="34" t="s">
        <v>472</v>
      </c>
      <c r="BB368" s="499"/>
      <c r="BC368" s="271"/>
      <c r="BD368" s="279">
        <v>1</v>
      </c>
      <c r="BE368" s="271"/>
      <c r="BF368" s="271"/>
      <c r="BG368" s="271"/>
      <c r="BH368" s="271"/>
      <c r="BI368" s="271"/>
      <c r="BJ368" s="271"/>
      <c r="BK368" s="271"/>
      <c r="BL368" s="271"/>
    </row>
    <row r="369" spans="18:64" ht="21" customHeight="1" x14ac:dyDescent="0.25">
      <c r="R369" s="25" t="s">
        <v>6116</v>
      </c>
      <c r="S369" s="451"/>
      <c r="T369" s="29" t="s">
        <v>9</v>
      </c>
      <c r="V369" s="475">
        <v>9</v>
      </c>
      <c r="W369" s="475" t="str">
        <f>IF($AC$369="","",$W$360)</f>
        <v/>
      </c>
      <c r="X369" s="476" t="str">
        <f>IF($AC$369="","",$X$360)</f>
        <v/>
      </c>
      <c r="Y369" s="477" t="str">
        <f>IF($X$369="","",$Y$360)</f>
        <v/>
      </c>
      <c r="Z369" s="477" t="str">
        <f>IF($X$369="","",$Z$360)</f>
        <v/>
      </c>
      <c r="AA369" s="477" t="str">
        <f>IF($AC$369="","",ROW($A$369)-ROW($A$360))</f>
        <v/>
      </c>
      <c r="AB369" s="478"/>
      <c r="AC369" s="34"/>
      <c r="AD369" s="356"/>
      <c r="AE369" s="479"/>
      <c r="AF369" s="475"/>
      <c r="AG369" s="480" t="str">
        <f t="shared" si="100"/>
        <v/>
      </c>
      <c r="AH369" s="481" t="str">
        <f t="shared" si="101"/>
        <v/>
      </c>
      <c r="AI369" s="477" t="str">
        <f>IF($AC$369="","",IFERROR(INDEX($AZ$74:$AZ$119,MATCH($AH$369,$AY$74:$AY$119,0)),"AUTRE"))</f>
        <v/>
      </c>
      <c r="AJ369" s="482" t="str">
        <f>IF($AC$369="","",IFERROR(INDEX($BA$74:$BA$119,MATCH($AH$369,$AY$74:$AY$119,0)),1))</f>
        <v/>
      </c>
      <c r="AK369" s="482" t="str">
        <f t="shared" si="102"/>
        <v/>
      </c>
      <c r="AL369" s="477" t="str">
        <f>IF($AC$369="","",IFERROR(INDEX($BB$74:$BB$119,MATCH($AH$369,$AY$74:$AY$119,0)),$AH$369))</f>
        <v/>
      </c>
      <c r="AM369" s="483" t="str">
        <f t="shared" si="103"/>
        <v/>
      </c>
      <c r="AN369" s="484" t="str">
        <f t="shared" si="104"/>
        <v/>
      </c>
      <c r="AO369" s="473" t="str">
        <f t="shared" si="105"/>
        <v/>
      </c>
      <c r="AP369" s="473" t="str">
        <f t="shared" si="106"/>
        <v/>
      </c>
      <c r="AQ369" s="473" t="str">
        <f t="shared" si="107"/>
        <v/>
      </c>
      <c r="AR369" s="473" t="str">
        <f t="shared" si="108"/>
        <v/>
      </c>
      <c r="AS369" s="473" t="str">
        <f t="shared" si="109"/>
        <v/>
      </c>
      <c r="AT369" s="473" t="str">
        <f t="shared" si="110"/>
        <v/>
      </c>
      <c r="AU369" s="473" t="str">
        <f t="shared" si="111"/>
        <v/>
      </c>
      <c r="AZ369" s="31" t="s">
        <v>28</v>
      </c>
      <c r="BA369" s="34" t="s">
        <v>6112</v>
      </c>
      <c r="BB369" s="499"/>
      <c r="BC369" s="271"/>
      <c r="BD369" s="279">
        <v>1</v>
      </c>
      <c r="BE369" s="271"/>
      <c r="BF369" s="271"/>
      <c r="BG369" s="271"/>
      <c r="BH369" s="271"/>
      <c r="BI369" s="271"/>
      <c r="BJ369" s="271"/>
      <c r="BK369" s="271"/>
      <c r="BL369" s="271"/>
    </row>
    <row r="370" spans="18:64" ht="21" customHeight="1" x14ac:dyDescent="0.25">
      <c r="R370" s="34" t="s">
        <v>6117</v>
      </c>
      <c r="S370" s="451"/>
      <c r="T370" s="30" t="s">
        <v>10</v>
      </c>
      <c r="V370" s="475">
        <v>9</v>
      </c>
      <c r="W370" s="475" t="str">
        <f>IF($AC$370="","",$W$360)</f>
        <v/>
      </c>
      <c r="X370" s="476" t="str">
        <f>IF($AC$370="","",$X$360)</f>
        <v/>
      </c>
      <c r="Y370" s="477" t="str">
        <f>IF($X$370="","",$Y$360)</f>
        <v/>
      </c>
      <c r="Z370" s="477" t="str">
        <f>IF($X$370="","",$Z$360)</f>
        <v/>
      </c>
      <c r="AA370" s="477" t="str">
        <f>IF($AC$370="","",ROW($A$370)-ROW($A$360))</f>
        <v/>
      </c>
      <c r="AB370" s="478"/>
      <c r="AC370" s="34"/>
      <c r="AD370" s="356"/>
      <c r="AE370" s="479"/>
      <c r="AF370" s="475"/>
      <c r="AG370" s="480" t="str">
        <f t="shared" si="100"/>
        <v/>
      </c>
      <c r="AH370" s="481" t="str">
        <f t="shared" si="101"/>
        <v/>
      </c>
      <c r="AI370" s="477" t="str">
        <f>IF($AC$370="","",IFERROR(INDEX($AZ$74:$AZ$119,MATCH($AH$370,$AY$74:$AY$119,0)),"AUTRE"))</f>
        <v/>
      </c>
      <c r="AJ370" s="482" t="str">
        <f>IF($AC$370="","",IFERROR(INDEX($BA$74:$BA$119,MATCH($AH$370,$AY$74:$AY$119,0)),1))</f>
        <v/>
      </c>
      <c r="AK370" s="482" t="str">
        <f t="shared" si="102"/>
        <v/>
      </c>
      <c r="AL370" s="477" t="str">
        <f>IF($AC$370="","",IFERROR(INDEX($BB$74:$BB$119,MATCH($AH$370,$AY$74:$AY$119,0)),$AH$370))</f>
        <v/>
      </c>
      <c r="AM370" s="483" t="str">
        <f t="shared" si="103"/>
        <v/>
      </c>
      <c r="AN370" s="484" t="str">
        <f t="shared" si="104"/>
        <v/>
      </c>
      <c r="AO370" s="473" t="str">
        <f t="shared" si="105"/>
        <v/>
      </c>
      <c r="AP370" s="473" t="str">
        <f t="shared" si="106"/>
        <v/>
      </c>
      <c r="AQ370" s="473" t="str">
        <f t="shared" si="107"/>
        <v/>
      </c>
      <c r="AR370" s="473" t="str">
        <f t="shared" si="108"/>
        <v/>
      </c>
      <c r="AS370" s="473" t="str">
        <f t="shared" si="109"/>
        <v/>
      </c>
      <c r="AT370" s="473" t="str">
        <f t="shared" si="110"/>
        <v/>
      </c>
      <c r="AU370" s="473" t="str">
        <f t="shared" si="111"/>
        <v/>
      </c>
      <c r="AZ370" s="31" t="s">
        <v>29</v>
      </c>
      <c r="BA370" s="25" t="s">
        <v>6116</v>
      </c>
      <c r="BB370" s="499"/>
      <c r="BC370" s="271"/>
      <c r="BD370" s="279">
        <v>1</v>
      </c>
      <c r="BE370" s="271"/>
      <c r="BF370" s="271"/>
      <c r="BG370" s="271"/>
      <c r="BH370" s="271"/>
      <c r="BI370" s="271"/>
      <c r="BJ370" s="271"/>
      <c r="BK370" s="271"/>
      <c r="BL370" s="271"/>
    </row>
    <row r="371" spans="18:64" ht="21" customHeight="1" x14ac:dyDescent="0.25">
      <c r="R371" s="34" t="s">
        <v>469</v>
      </c>
      <c r="S371" s="451"/>
      <c r="T371" s="30" t="s">
        <v>11</v>
      </c>
      <c r="V371" s="475">
        <v>9</v>
      </c>
      <c r="W371" s="475" t="str">
        <f>IF($AC$371="","",$W$360)</f>
        <v/>
      </c>
      <c r="X371" s="476" t="str">
        <f>IF($AC$371="","",$X$360)</f>
        <v/>
      </c>
      <c r="Y371" s="477" t="str">
        <f>IF($X$371="","",$Y$360)</f>
        <v/>
      </c>
      <c r="Z371" s="477" t="str">
        <f>IF($X$371="","",$Z$360)</f>
        <v/>
      </c>
      <c r="AA371" s="477" t="str">
        <f>IF($AC$371="","",ROW($A$371)-ROW($A$360))</f>
        <v/>
      </c>
      <c r="AB371" s="478"/>
      <c r="AC371" s="34"/>
      <c r="AD371" s="356"/>
      <c r="AE371" s="479"/>
      <c r="AF371" s="475"/>
      <c r="AG371" s="480" t="str">
        <f t="shared" si="100"/>
        <v/>
      </c>
      <c r="AH371" s="481" t="str">
        <f t="shared" si="101"/>
        <v/>
      </c>
      <c r="AI371" s="477" t="str">
        <f>IF($AC$371="","",IFERROR(INDEX($AZ$74:$AZ$119,MATCH($AH$371,$AY$74:$AY$119,0)),"AUTRE"))</f>
        <v/>
      </c>
      <c r="AJ371" s="482" t="str">
        <f>IF($AC$371="","",IFERROR(INDEX($BA$74:$BA$119,MATCH($AH$371,$AY$74:$AY$119,0)),1))</f>
        <v/>
      </c>
      <c r="AK371" s="482" t="str">
        <f t="shared" si="102"/>
        <v/>
      </c>
      <c r="AL371" s="477" t="str">
        <f>IF($AC$371="","",IFERROR(INDEX($BB$74:$BB$119,MATCH($AH$371,$AY$74:$AY$119,0)),$AH$371))</f>
        <v/>
      </c>
      <c r="AM371" s="483" t="str">
        <f t="shared" si="103"/>
        <v/>
      </c>
      <c r="AN371" s="484" t="str">
        <f t="shared" si="104"/>
        <v/>
      </c>
      <c r="AO371" s="473" t="str">
        <f t="shared" si="105"/>
        <v/>
      </c>
      <c r="AP371" s="473" t="str">
        <f t="shared" si="106"/>
        <v/>
      </c>
      <c r="AQ371" s="473" t="str">
        <f t="shared" si="107"/>
        <v/>
      </c>
      <c r="AR371" s="473" t="str">
        <f t="shared" si="108"/>
        <v/>
      </c>
      <c r="AS371" s="473" t="str">
        <f t="shared" si="109"/>
        <v/>
      </c>
      <c r="AT371" s="473" t="str">
        <f t="shared" si="110"/>
        <v/>
      </c>
      <c r="AU371" s="473" t="str">
        <f t="shared" si="111"/>
        <v/>
      </c>
      <c r="AZ371" s="31" t="s">
        <v>30</v>
      </c>
      <c r="BA371" s="34" t="s">
        <v>6117</v>
      </c>
      <c r="BB371" s="499"/>
      <c r="BC371" s="271"/>
      <c r="BD371" s="279">
        <v>1</v>
      </c>
      <c r="BE371" s="271"/>
      <c r="BF371" s="271"/>
      <c r="BG371" s="271"/>
      <c r="BH371" s="271"/>
      <c r="BI371" s="271"/>
      <c r="BJ371" s="271"/>
      <c r="BK371" s="271"/>
      <c r="BL371" s="271"/>
    </row>
    <row r="372" spans="18:64" ht="21" customHeight="1" x14ac:dyDescent="0.25">
      <c r="R372" s="34" t="s">
        <v>6118</v>
      </c>
      <c r="S372" s="451"/>
      <c r="T372" s="30" t="s">
        <v>12</v>
      </c>
      <c r="V372" s="475">
        <v>9</v>
      </c>
      <c r="W372" s="475" t="str">
        <f>IF($AC$372="","",$W$360)</f>
        <v/>
      </c>
      <c r="X372" s="476" t="str">
        <f>IF($AC$372="","",$X$360)</f>
        <v/>
      </c>
      <c r="Y372" s="477" t="str">
        <f>IF($X$372="","",$Y$360)</f>
        <v/>
      </c>
      <c r="Z372" s="477" t="str">
        <f>IF($X$372="","",$Z$360)</f>
        <v/>
      </c>
      <c r="AA372" s="477" t="str">
        <f>IF($AC$372="","",ROW($A$372)-ROW($A$360))</f>
        <v/>
      </c>
      <c r="AB372" s="478"/>
      <c r="AC372" s="34"/>
      <c r="AD372" s="356"/>
      <c r="AE372" s="479"/>
      <c r="AF372" s="475"/>
      <c r="AG372" s="480" t="str">
        <f t="shared" si="100"/>
        <v/>
      </c>
      <c r="AH372" s="481" t="str">
        <f t="shared" si="101"/>
        <v/>
      </c>
      <c r="AI372" s="477" t="str">
        <f>IF($AC$372="","",IFERROR(INDEX($AZ$74:$AZ$119,MATCH($AH$372,$AY$74:$AY$119,0)),"AUTRE"))</f>
        <v/>
      </c>
      <c r="AJ372" s="482" t="str">
        <f>IF($AC$372="","",IFERROR(INDEX($BA$74:$BA$119,MATCH($AH$372,$AY$74:$AY$119,0)),1))</f>
        <v/>
      </c>
      <c r="AK372" s="482" t="str">
        <f t="shared" si="102"/>
        <v/>
      </c>
      <c r="AL372" s="477" t="str">
        <f>IF($AC$372="","",IFERROR(INDEX($BB$74:$BB$119,MATCH($AH$372,$AY$74:$AY$119,0)),$AH$372))</f>
        <v/>
      </c>
      <c r="AM372" s="483" t="str">
        <f t="shared" si="103"/>
        <v/>
      </c>
      <c r="AN372" s="484" t="str">
        <f t="shared" si="104"/>
        <v/>
      </c>
      <c r="AO372" s="473" t="str">
        <f t="shared" si="105"/>
        <v/>
      </c>
      <c r="AP372" s="473" t="str">
        <f t="shared" si="106"/>
        <v/>
      </c>
      <c r="AQ372" s="473" t="str">
        <f t="shared" si="107"/>
        <v/>
      </c>
      <c r="AR372" s="473" t="str">
        <f t="shared" si="108"/>
        <v/>
      </c>
      <c r="AS372" s="473" t="str">
        <f t="shared" si="109"/>
        <v/>
      </c>
      <c r="AT372" s="473" t="str">
        <f t="shared" si="110"/>
        <v/>
      </c>
      <c r="AU372" s="473" t="str">
        <f t="shared" si="111"/>
        <v/>
      </c>
      <c r="AZ372" s="32" t="s">
        <v>33</v>
      </c>
      <c r="BA372" s="34" t="s">
        <v>469</v>
      </c>
      <c r="BB372" s="499"/>
      <c r="BC372" s="271"/>
      <c r="BD372" s="279">
        <v>1</v>
      </c>
      <c r="BE372" s="271"/>
      <c r="BF372" s="271"/>
      <c r="BG372" s="271"/>
      <c r="BH372" s="271"/>
      <c r="BI372" s="271"/>
      <c r="BJ372" s="271"/>
      <c r="BK372" s="271"/>
      <c r="BL372" s="271"/>
    </row>
    <row r="373" spans="18:64" ht="21" customHeight="1" x14ac:dyDescent="0.25">
      <c r="R373" s="34" t="s">
        <v>492</v>
      </c>
      <c r="S373" s="451"/>
      <c r="T373" s="31" t="s">
        <v>16</v>
      </c>
      <c r="V373" s="475">
        <v>9</v>
      </c>
      <c r="W373" s="475" t="str">
        <f>IF($AC$373="","",$W$360)</f>
        <v/>
      </c>
      <c r="X373" s="476" t="str">
        <f>IF($AC$373="","",$X$360)</f>
        <v/>
      </c>
      <c r="Y373" s="477" t="str">
        <f>IF($X$373="","",$Y$360)</f>
        <v/>
      </c>
      <c r="Z373" s="477" t="str">
        <f>IF($X$373="","",$Z$360)</f>
        <v/>
      </c>
      <c r="AA373" s="477" t="str">
        <f>IF($AC$373="","",ROW($A$373)-ROW($A$360))</f>
        <v/>
      </c>
      <c r="AB373" s="478"/>
      <c r="AC373" s="34"/>
      <c r="AD373" s="356"/>
      <c r="AE373" s="479"/>
      <c r="AF373" s="475"/>
      <c r="AG373" s="480" t="str">
        <f t="shared" si="100"/>
        <v/>
      </c>
      <c r="AH373" s="481" t="str">
        <f t="shared" si="101"/>
        <v/>
      </c>
      <c r="AI373" s="477" t="str">
        <f>IF($AC$373="","",IFERROR(INDEX($AZ$74:$AZ$119,MATCH($AH$373,$AY$74:$AY$119,0)),"AUTRE"))</f>
        <v/>
      </c>
      <c r="AJ373" s="482" t="str">
        <f>IF($AC$373="","",IFERROR(INDEX($BA$74:$BA$119,MATCH($AH$373,$AY$74:$AY$119,0)),1))</f>
        <v/>
      </c>
      <c r="AK373" s="482" t="str">
        <f t="shared" si="102"/>
        <v/>
      </c>
      <c r="AL373" s="477" t="str">
        <f>IF($AC$373="","",IFERROR(INDEX($BB$74:$BB$119,MATCH($AH$373,$AY$74:$AY$119,0)),$AH$373))</f>
        <v/>
      </c>
      <c r="AM373" s="483" t="str">
        <f t="shared" si="103"/>
        <v/>
      </c>
      <c r="AN373" s="484" t="str">
        <f t="shared" si="104"/>
        <v/>
      </c>
      <c r="AO373" s="473" t="str">
        <f t="shared" si="105"/>
        <v/>
      </c>
      <c r="AP373" s="473" t="str">
        <f t="shared" si="106"/>
        <v/>
      </c>
      <c r="AQ373" s="473" t="str">
        <f t="shared" si="107"/>
        <v/>
      </c>
      <c r="AR373" s="473" t="str">
        <f t="shared" si="108"/>
        <v/>
      </c>
      <c r="AS373" s="473" t="str">
        <f t="shared" si="109"/>
        <v/>
      </c>
      <c r="AT373" s="473" t="str">
        <f t="shared" si="110"/>
        <v/>
      </c>
      <c r="AU373" s="473" t="str">
        <f t="shared" si="111"/>
        <v/>
      </c>
      <c r="AZ373" s="32" t="s">
        <v>8125</v>
      </c>
      <c r="BA373" s="34" t="s">
        <v>6118</v>
      </c>
      <c r="BB373" s="499"/>
      <c r="BC373" s="271"/>
      <c r="BD373" s="279">
        <v>1</v>
      </c>
      <c r="BE373" s="271"/>
      <c r="BF373" s="271"/>
      <c r="BG373" s="271"/>
      <c r="BH373" s="271"/>
      <c r="BI373" s="271"/>
      <c r="BJ373" s="271"/>
      <c r="BK373" s="271"/>
      <c r="BL373" s="271"/>
    </row>
    <row r="374" spans="18:64" ht="21" customHeight="1" x14ac:dyDescent="0.25">
      <c r="R374" s="34" t="s">
        <v>458</v>
      </c>
      <c r="S374" s="451"/>
      <c r="T374" s="31" t="s">
        <v>17</v>
      </c>
      <c r="V374" s="475">
        <v>9</v>
      </c>
      <c r="W374" s="475" t="str">
        <f>IF($AC$374="","",$W$360)</f>
        <v/>
      </c>
      <c r="X374" s="476" t="str">
        <f>IF($AC$374="","",$X$360)</f>
        <v/>
      </c>
      <c r="Y374" s="477" t="str">
        <f>IF($X$374="","",$Y$360)</f>
        <v/>
      </c>
      <c r="Z374" s="477" t="str">
        <f>IF($X$374="","",$Z$360)</f>
        <v/>
      </c>
      <c r="AA374" s="477" t="str">
        <f>IF($AC$374="","",ROW($A$374)-ROW($A$360))</f>
        <v/>
      </c>
      <c r="AB374" s="478"/>
      <c r="AC374" s="34"/>
      <c r="AD374" s="356"/>
      <c r="AE374" s="479"/>
      <c r="AF374" s="475"/>
      <c r="AG374" s="480" t="str">
        <f t="shared" si="100"/>
        <v/>
      </c>
      <c r="AH374" s="481" t="str">
        <f t="shared" si="101"/>
        <v/>
      </c>
      <c r="AI374" s="477" t="str">
        <f>IF($AC$374="","",IFERROR(INDEX($AZ$74:$AZ$119,MATCH($AH$374,$AY$74:$AY$119,0)),"AUTRE"))</f>
        <v/>
      </c>
      <c r="AJ374" s="482" t="str">
        <f>IF($AC$374="","",IFERROR(INDEX($BA$74:$BA$119,MATCH($AH$374,$AY$74:$AY$119,0)),1))</f>
        <v/>
      </c>
      <c r="AK374" s="482" t="str">
        <f t="shared" si="102"/>
        <v/>
      </c>
      <c r="AL374" s="477" t="str">
        <f>IF($AC$374="","",IFERROR(INDEX($BB$74:$BB$119,MATCH($AH$374,$AY$74:$AY$119,0)),$AH$374))</f>
        <v/>
      </c>
      <c r="AM374" s="483" t="str">
        <f t="shared" si="103"/>
        <v/>
      </c>
      <c r="AN374" s="484" t="str">
        <f t="shared" si="104"/>
        <v/>
      </c>
      <c r="AO374" s="473" t="str">
        <f t="shared" si="105"/>
        <v/>
      </c>
      <c r="AP374" s="473" t="str">
        <f t="shared" si="106"/>
        <v/>
      </c>
      <c r="AQ374" s="473" t="str">
        <f t="shared" si="107"/>
        <v/>
      </c>
      <c r="AR374" s="473" t="str">
        <f t="shared" si="108"/>
        <v/>
      </c>
      <c r="AS374" s="473" t="str">
        <f t="shared" si="109"/>
        <v/>
      </c>
      <c r="AT374" s="473" t="str">
        <f t="shared" si="110"/>
        <v/>
      </c>
      <c r="AU374" s="473" t="str">
        <f t="shared" si="111"/>
        <v/>
      </c>
      <c r="AZ374" s="32" t="s">
        <v>8127</v>
      </c>
      <c r="BA374" s="34" t="s">
        <v>492</v>
      </c>
      <c r="BB374" s="499"/>
      <c r="BC374" s="271"/>
      <c r="BD374" s="279">
        <v>1</v>
      </c>
      <c r="BE374" s="271"/>
      <c r="BF374" s="271"/>
      <c r="BG374" s="271"/>
      <c r="BH374" s="271"/>
      <c r="BI374" s="271"/>
      <c r="BJ374" s="271"/>
      <c r="BK374" s="271"/>
      <c r="BL374" s="271"/>
    </row>
    <row r="375" spans="18:64" ht="21" customHeight="1" x14ac:dyDescent="0.25">
      <c r="R375" s="490"/>
      <c r="S375" s="451"/>
      <c r="T375" s="31" t="s">
        <v>18</v>
      </c>
      <c r="V375" s="475">
        <v>9</v>
      </c>
      <c r="W375" s="475" t="str">
        <f>IF($AC$375="","",$W$360)</f>
        <v/>
      </c>
      <c r="X375" s="476" t="str">
        <f>IF($AC$375="","",$X$360)</f>
        <v/>
      </c>
      <c r="Y375" s="477" t="str">
        <f>IF($X$375="","",$Y$360)</f>
        <v/>
      </c>
      <c r="Z375" s="477" t="str">
        <f>IF($X$375="","",$Z$360)</f>
        <v/>
      </c>
      <c r="AA375" s="477" t="str">
        <f>IF($AC$375="","",ROW($A$375)-ROW($A$360))</f>
        <v/>
      </c>
      <c r="AB375" s="478"/>
      <c r="AC375" s="34"/>
      <c r="AD375" s="356"/>
      <c r="AE375" s="479"/>
      <c r="AF375" s="475"/>
      <c r="AG375" s="480" t="str">
        <f t="shared" si="100"/>
        <v/>
      </c>
      <c r="AH375" s="481" t="str">
        <f t="shared" si="101"/>
        <v/>
      </c>
      <c r="AI375" s="477" t="str">
        <f>IF($AC$375="","",IFERROR(INDEX($AZ$74:$AZ$119,MATCH($AH$375,$AY$74:$AY$119,0)),"AUTRE"))</f>
        <v/>
      </c>
      <c r="AJ375" s="482" t="str">
        <f>IF($AC$375="","",IFERROR(INDEX($BA$74:$BA$119,MATCH($AH$375,$AY$74:$AY$119,0)),1))</f>
        <v/>
      </c>
      <c r="AK375" s="482" t="str">
        <f t="shared" si="102"/>
        <v/>
      </c>
      <c r="AL375" s="477" t="str">
        <f>IF($AC$375="","",IFERROR(INDEX($BB$74:$BB$119,MATCH($AH$375,$AY$74:$AY$119,0)),$AH$375))</f>
        <v/>
      </c>
      <c r="AM375" s="483" t="str">
        <f t="shared" si="103"/>
        <v/>
      </c>
      <c r="AN375" s="484" t="str">
        <f t="shared" si="104"/>
        <v/>
      </c>
      <c r="AO375" s="473" t="str">
        <f t="shared" si="105"/>
        <v/>
      </c>
      <c r="AP375" s="473" t="str">
        <f t="shared" si="106"/>
        <v/>
      </c>
      <c r="AQ375" s="473" t="str">
        <f t="shared" si="107"/>
        <v/>
      </c>
      <c r="AR375" s="473" t="str">
        <f t="shared" si="108"/>
        <v/>
      </c>
      <c r="AS375" s="473" t="str">
        <f t="shared" si="109"/>
        <v/>
      </c>
      <c r="AT375" s="473" t="str">
        <f t="shared" si="110"/>
        <v/>
      </c>
      <c r="AU375" s="473" t="str">
        <f t="shared" si="111"/>
        <v/>
      </c>
      <c r="AZ375" s="32" t="s">
        <v>320</v>
      </c>
      <c r="BA375" s="34" t="s">
        <v>458</v>
      </c>
      <c r="BB375" s="499"/>
      <c r="BC375" s="271"/>
      <c r="BD375" s="279">
        <v>1</v>
      </c>
      <c r="BE375" s="271"/>
      <c r="BF375" s="271"/>
      <c r="BG375" s="271"/>
      <c r="BH375" s="271"/>
      <c r="BI375" s="271"/>
      <c r="BJ375" s="271"/>
      <c r="BK375" s="271"/>
      <c r="BL375" s="271"/>
    </row>
    <row r="376" spans="18:64" ht="21" customHeight="1" x14ac:dyDescent="0.25">
      <c r="R376" s="25" t="s">
        <v>6119</v>
      </c>
      <c r="S376" s="451"/>
      <c r="T376" s="31" t="s">
        <v>19</v>
      </c>
      <c r="V376" s="475">
        <v>9</v>
      </c>
      <c r="W376" s="475" t="str">
        <f>IF($AC$376="","",$W$360)</f>
        <v/>
      </c>
      <c r="X376" s="476" t="str">
        <f>IF($AC$376="","",$X$360)</f>
        <v/>
      </c>
      <c r="Y376" s="477" t="str">
        <f>IF($X$376="","",$Y$360)</f>
        <v/>
      </c>
      <c r="Z376" s="477" t="str">
        <f>IF($X$376="","",$Z$360)</f>
        <v/>
      </c>
      <c r="AA376" s="477" t="str">
        <f>IF($AC$376="","",ROW($A$376)-ROW($A$360))</f>
        <v/>
      </c>
      <c r="AB376" s="478"/>
      <c r="AC376" s="34"/>
      <c r="AD376" s="356"/>
      <c r="AE376" s="479"/>
      <c r="AF376" s="475"/>
      <c r="AG376" s="480" t="str">
        <f t="shared" si="100"/>
        <v/>
      </c>
      <c r="AH376" s="481" t="str">
        <f t="shared" si="101"/>
        <v/>
      </c>
      <c r="AI376" s="477" t="str">
        <f>IF($AC$376="","",IFERROR(INDEX($AZ$74:$AZ$119,MATCH($AH$376,$AY$74:$AY$119,0)),"AUTRE"))</f>
        <v/>
      </c>
      <c r="AJ376" s="482" t="str">
        <f>IF($AC$376="","",IFERROR(INDEX($BA$74:$BA$119,MATCH($AH$376,$AY$74:$AY$119,0)),1))</f>
        <v/>
      </c>
      <c r="AK376" s="482" t="str">
        <f t="shared" si="102"/>
        <v/>
      </c>
      <c r="AL376" s="477" t="str">
        <f>IF($AC$376="","",IFERROR(INDEX($BB$74:$BB$119,MATCH($AH$376,$AY$74:$AY$119,0)),$AH$376))</f>
        <v/>
      </c>
      <c r="AM376" s="483" t="str">
        <f t="shared" si="103"/>
        <v/>
      </c>
      <c r="AN376" s="484" t="str">
        <f t="shared" si="104"/>
        <v/>
      </c>
      <c r="AO376" s="473" t="str">
        <f t="shared" si="105"/>
        <v/>
      </c>
      <c r="AP376" s="473" t="str">
        <f t="shared" si="106"/>
        <v/>
      </c>
      <c r="AQ376" s="473" t="str">
        <f t="shared" si="107"/>
        <v/>
      </c>
      <c r="AR376" s="473" t="str">
        <f t="shared" si="108"/>
        <v/>
      </c>
      <c r="AS376" s="473" t="str">
        <f t="shared" si="109"/>
        <v/>
      </c>
      <c r="AT376" s="473" t="str">
        <f t="shared" si="110"/>
        <v/>
      </c>
      <c r="AU376" s="473" t="str">
        <f t="shared" si="111"/>
        <v/>
      </c>
      <c r="AZ376" s="32" t="s">
        <v>318</v>
      </c>
      <c r="BA376" s="490"/>
      <c r="BB376" s="499"/>
      <c r="BC376" s="271"/>
      <c r="BD376" s="279">
        <v>1</v>
      </c>
      <c r="BE376" s="271"/>
      <c r="BF376" s="271"/>
      <c r="BG376" s="271"/>
      <c r="BH376" s="271"/>
      <c r="BI376" s="271"/>
      <c r="BJ376" s="271"/>
      <c r="BK376" s="271"/>
      <c r="BL376" s="271"/>
    </row>
    <row r="377" spans="18:64" ht="21" customHeight="1" x14ac:dyDescent="0.25">
      <c r="R377" s="34" t="s">
        <v>6120</v>
      </c>
      <c r="S377" s="451"/>
      <c r="T377" s="31" t="s">
        <v>211</v>
      </c>
      <c r="V377" s="475">
        <v>9</v>
      </c>
      <c r="W377" s="475" t="str">
        <f>IF($AC$377="","",$W$360)</f>
        <v/>
      </c>
      <c r="X377" s="476" t="str">
        <f>IF($AC$377="","",$X$360)</f>
        <v/>
      </c>
      <c r="Y377" s="477" t="str">
        <f>IF($X$377="","",$Y$360)</f>
        <v/>
      </c>
      <c r="Z377" s="477" t="str">
        <f>IF($X$377="","",$Z$360)</f>
        <v/>
      </c>
      <c r="AA377" s="477" t="str">
        <f>IF($AC$377="","",ROW($A$377)-ROW($A$360))</f>
        <v/>
      </c>
      <c r="AB377" s="478"/>
      <c r="AC377" s="34"/>
      <c r="AD377" s="356"/>
      <c r="AE377" s="479"/>
      <c r="AF377" s="475"/>
      <c r="AG377" s="480" t="str">
        <f t="shared" si="100"/>
        <v/>
      </c>
      <c r="AH377" s="481" t="str">
        <f t="shared" si="101"/>
        <v/>
      </c>
      <c r="AI377" s="477" t="str">
        <f>IF($AC$377="","",IFERROR(INDEX($AZ$74:$AZ$119,MATCH($AH$377,$AY$74:$AY$119,0)),"AUTRE"))</f>
        <v/>
      </c>
      <c r="AJ377" s="482" t="str">
        <f>IF($AC$377="","",IFERROR(INDEX($BA$74:$BA$119,MATCH($AH$377,$AY$74:$AY$119,0)),1))</f>
        <v/>
      </c>
      <c r="AK377" s="482" t="str">
        <f t="shared" si="102"/>
        <v/>
      </c>
      <c r="AL377" s="477" t="str">
        <f>IF($AC$377="","",IFERROR(INDEX($BB$74:$BB$119,MATCH($AH$377,$AY$74:$AY$119,0)),$AH$377))</f>
        <v/>
      </c>
      <c r="AM377" s="483" t="str">
        <f t="shared" si="103"/>
        <v/>
      </c>
      <c r="AN377" s="484" t="str">
        <f t="shared" si="104"/>
        <v/>
      </c>
      <c r="AO377" s="473" t="str">
        <f t="shared" si="105"/>
        <v/>
      </c>
      <c r="AP377" s="473" t="str">
        <f t="shared" si="106"/>
        <v/>
      </c>
      <c r="AQ377" s="473" t="str">
        <f t="shared" si="107"/>
        <v/>
      </c>
      <c r="AR377" s="473" t="str">
        <f t="shared" si="108"/>
        <v/>
      </c>
      <c r="AS377" s="473" t="str">
        <f t="shared" si="109"/>
        <v/>
      </c>
      <c r="AT377" s="473" t="str">
        <f t="shared" si="110"/>
        <v/>
      </c>
      <c r="AU377" s="473" t="str">
        <f t="shared" si="111"/>
        <v/>
      </c>
      <c r="AZ377" s="32" t="s">
        <v>316</v>
      </c>
      <c r="BA377" s="25" t="s">
        <v>6119</v>
      </c>
      <c r="BB377" s="499"/>
      <c r="BC377" s="271"/>
      <c r="BD377" s="279">
        <v>1</v>
      </c>
      <c r="BE377" s="271"/>
      <c r="BF377" s="271"/>
      <c r="BG377" s="271"/>
      <c r="BH377" s="271"/>
      <c r="BI377" s="271"/>
      <c r="BJ377" s="271"/>
      <c r="BK377" s="271"/>
      <c r="BL377" s="271"/>
    </row>
    <row r="378" spans="18:64" ht="21" customHeight="1" x14ac:dyDescent="0.25">
      <c r="R378" s="34" t="s">
        <v>6121</v>
      </c>
      <c r="S378" s="451"/>
      <c r="T378" s="31" t="s">
        <v>20</v>
      </c>
      <c r="V378" s="475">
        <v>9</v>
      </c>
      <c r="W378" s="475" t="str">
        <f>IF($AC$378="","",$W$360)</f>
        <v/>
      </c>
      <c r="X378" s="476" t="str">
        <f>IF($AC$378="","",$X$360)</f>
        <v/>
      </c>
      <c r="Y378" s="477" t="str">
        <f>IF($X$378="","",$Y$360)</f>
        <v/>
      </c>
      <c r="Z378" s="477" t="str">
        <f>IF($X$378="","",$Z$360)</f>
        <v/>
      </c>
      <c r="AA378" s="477" t="str">
        <f>IF($AC$378="","",ROW($A$378)-ROW($A$360))</f>
        <v/>
      </c>
      <c r="AB378" s="478"/>
      <c r="AC378" s="34"/>
      <c r="AD378" s="356"/>
      <c r="AE378" s="479"/>
      <c r="AF378" s="475"/>
      <c r="AG378" s="480" t="str">
        <f t="shared" si="100"/>
        <v/>
      </c>
      <c r="AH378" s="481" t="str">
        <f t="shared" si="101"/>
        <v/>
      </c>
      <c r="AI378" s="477" t="str">
        <f>IF($AC$378="","",IFERROR(INDEX($AZ$74:$AZ$119,MATCH($AH$378,$AY$74:$AY$119,0)),"AUTRE"))</f>
        <v/>
      </c>
      <c r="AJ378" s="482" t="str">
        <f>IF($AC$378="","",IFERROR(INDEX($BA$74:$BA$119,MATCH($AH$378,$AY$74:$AY$119,0)),1))</f>
        <v/>
      </c>
      <c r="AK378" s="482" t="str">
        <f t="shared" si="102"/>
        <v/>
      </c>
      <c r="AL378" s="477" t="str">
        <f>IF($AC$378="","",IFERROR(INDEX($BB$74:$BB$119,MATCH($AH$378,$AY$74:$AY$119,0)),$AH$378))</f>
        <v/>
      </c>
      <c r="AM378" s="483" t="str">
        <f t="shared" si="103"/>
        <v/>
      </c>
      <c r="AN378" s="484" t="str">
        <f t="shared" si="104"/>
        <v/>
      </c>
      <c r="AO378" s="473" t="str">
        <f t="shared" si="105"/>
        <v/>
      </c>
      <c r="AP378" s="473" t="str">
        <f t="shared" si="106"/>
        <v/>
      </c>
      <c r="AQ378" s="473" t="str">
        <f t="shared" si="107"/>
        <v/>
      </c>
      <c r="AR378" s="473" t="str">
        <f t="shared" si="108"/>
        <v/>
      </c>
      <c r="AS378" s="473" t="str">
        <f t="shared" si="109"/>
        <v/>
      </c>
      <c r="AT378" s="473" t="str">
        <f t="shared" si="110"/>
        <v/>
      </c>
      <c r="AU378" s="473" t="str">
        <f t="shared" si="111"/>
        <v/>
      </c>
      <c r="AZ378" s="32" t="s">
        <v>313</v>
      </c>
      <c r="BA378" s="34" t="s">
        <v>6120</v>
      </c>
      <c r="BB378" s="499"/>
      <c r="BC378" s="271"/>
      <c r="BD378" s="279">
        <v>1</v>
      </c>
      <c r="BE378" s="271"/>
      <c r="BF378" s="271"/>
      <c r="BG378" s="271"/>
      <c r="BH378" s="271"/>
      <c r="BI378" s="271"/>
      <c r="BJ378" s="271"/>
      <c r="BK378" s="271"/>
      <c r="BL378" s="271"/>
    </row>
    <row r="379" spans="18:64" ht="21" customHeight="1" x14ac:dyDescent="0.25">
      <c r="R379" s="34" t="s">
        <v>6122</v>
      </c>
      <c r="S379" s="451"/>
      <c r="T379" s="31" t="s">
        <v>304</v>
      </c>
      <c r="V379" s="475">
        <v>9</v>
      </c>
      <c r="W379" s="475" t="str">
        <f>IF($AC$379="","",$W$360)</f>
        <v/>
      </c>
      <c r="X379" s="476" t="str">
        <f>IF($AC$379="","",$X$360)</f>
        <v/>
      </c>
      <c r="Y379" s="477" t="str">
        <f>IF($X$379="","",$Y$360)</f>
        <v/>
      </c>
      <c r="Z379" s="477" t="str">
        <f>IF($X$379="","",$Z$360)</f>
        <v/>
      </c>
      <c r="AA379" s="477" t="str">
        <f>IF($AC$379="","",ROW($A$379)-ROW($A$360))</f>
        <v/>
      </c>
      <c r="AB379" s="478"/>
      <c r="AC379" s="34"/>
      <c r="AD379" s="356"/>
      <c r="AE379" s="479"/>
      <c r="AF379" s="475"/>
      <c r="AG379" s="480" t="str">
        <f t="shared" si="100"/>
        <v/>
      </c>
      <c r="AH379" s="481" t="str">
        <f t="shared" si="101"/>
        <v/>
      </c>
      <c r="AI379" s="477" t="str">
        <f>IF($AC$379="","",IFERROR(INDEX($AZ$74:$AZ$119,MATCH($AH$379,$AY$74:$AY$119,0)),"AUTRE"))</f>
        <v/>
      </c>
      <c r="AJ379" s="482" t="str">
        <f>IF($AC$379="","",IFERROR(INDEX($BA$74:$BA$119,MATCH($AH$379,$AY$74:$AY$119,0)),1))</f>
        <v/>
      </c>
      <c r="AK379" s="482" t="str">
        <f t="shared" si="102"/>
        <v/>
      </c>
      <c r="AL379" s="477" t="str">
        <f>IF($AC$379="","",IFERROR(INDEX($BB$74:$BB$119,MATCH($AH$379,$AY$74:$AY$119,0)),$AH$379))</f>
        <v/>
      </c>
      <c r="AM379" s="483" t="str">
        <f t="shared" si="103"/>
        <v/>
      </c>
      <c r="AN379" s="484" t="str">
        <f t="shared" si="104"/>
        <v/>
      </c>
      <c r="AO379" s="473" t="str">
        <f t="shared" si="105"/>
        <v/>
      </c>
      <c r="AP379" s="473" t="str">
        <f t="shared" si="106"/>
        <v/>
      </c>
      <c r="AQ379" s="473" t="str">
        <f t="shared" si="107"/>
        <v/>
      </c>
      <c r="AR379" s="473" t="str">
        <f t="shared" si="108"/>
        <v/>
      </c>
      <c r="AS379" s="473" t="str">
        <f t="shared" si="109"/>
        <v/>
      </c>
      <c r="AT379" s="473" t="str">
        <f t="shared" si="110"/>
        <v/>
      </c>
      <c r="AU379" s="473" t="str">
        <f t="shared" si="111"/>
        <v/>
      </c>
      <c r="AZ379" s="32" t="s">
        <v>307</v>
      </c>
      <c r="BA379" s="34" t="s">
        <v>6121</v>
      </c>
      <c r="BB379" s="499"/>
      <c r="BC379" s="271"/>
      <c r="BD379" s="279">
        <v>1</v>
      </c>
      <c r="BE379" s="271"/>
      <c r="BF379" s="271"/>
      <c r="BG379" s="271"/>
      <c r="BH379" s="271"/>
      <c r="BI379" s="271"/>
      <c r="BJ379" s="271"/>
      <c r="BK379" s="271"/>
      <c r="BL379" s="271"/>
    </row>
    <row r="380" spans="18:64" ht="21" customHeight="1" x14ac:dyDescent="0.25">
      <c r="R380" s="34" t="s">
        <v>6123</v>
      </c>
      <c r="S380" s="451"/>
      <c r="T380" s="31" t="s">
        <v>352</v>
      </c>
      <c r="V380" s="475">
        <v>9</v>
      </c>
      <c r="W380" s="475" t="str">
        <f>IF($AC$380="","",$W$360)</f>
        <v/>
      </c>
      <c r="X380" s="476" t="str">
        <f>IF($AC$380="","",$X$360)</f>
        <v/>
      </c>
      <c r="Y380" s="477" t="str">
        <f>IF($X$380="","",$Y$360)</f>
        <v/>
      </c>
      <c r="Z380" s="477" t="str">
        <f>IF($X$380="","",$Z$360)</f>
        <v/>
      </c>
      <c r="AA380" s="477" t="str">
        <f>IF($AC$380="","",ROW($A$380)-ROW($A$360))</f>
        <v/>
      </c>
      <c r="AB380" s="478"/>
      <c r="AC380" s="34"/>
      <c r="AD380" s="356"/>
      <c r="AE380" s="479"/>
      <c r="AF380" s="475"/>
      <c r="AG380" s="480" t="str">
        <f t="shared" si="100"/>
        <v/>
      </c>
      <c r="AH380" s="481" t="str">
        <f t="shared" si="101"/>
        <v/>
      </c>
      <c r="AI380" s="477" t="str">
        <f>IF($AC$380="","",IFERROR(INDEX($AZ$74:$AZ$119,MATCH($AH$380,$AY$74:$AY$119,0)),"AUTRE"))</f>
        <v/>
      </c>
      <c r="AJ380" s="482" t="str">
        <f>IF($AC$380="","",IFERROR(INDEX($BA$74:$BA$119,MATCH($AH$380,$AY$74:$AY$119,0)),1))</f>
        <v/>
      </c>
      <c r="AK380" s="482" t="str">
        <f t="shared" si="102"/>
        <v/>
      </c>
      <c r="AL380" s="477" t="str">
        <f>IF($AC$380="","",IFERROR(INDEX($BB$74:$BB$119,MATCH($AH$380,$AY$74:$AY$119,0)),$AH$380))</f>
        <v/>
      </c>
      <c r="AM380" s="483" t="str">
        <f t="shared" si="103"/>
        <v/>
      </c>
      <c r="AN380" s="484" t="str">
        <f t="shared" si="104"/>
        <v/>
      </c>
      <c r="AO380" s="473" t="str">
        <f t="shared" si="105"/>
        <v/>
      </c>
      <c r="AP380" s="473" t="str">
        <f t="shared" si="106"/>
        <v/>
      </c>
      <c r="AQ380" s="473" t="str">
        <f t="shared" si="107"/>
        <v/>
      </c>
      <c r="AR380" s="473" t="str">
        <f t="shared" si="108"/>
        <v/>
      </c>
      <c r="AS380" s="473" t="str">
        <f t="shared" si="109"/>
        <v/>
      </c>
      <c r="AT380" s="473" t="str">
        <f t="shared" si="110"/>
        <v/>
      </c>
      <c r="AU380" s="473" t="str">
        <f t="shared" si="111"/>
        <v/>
      </c>
      <c r="AZ380" s="32" t="s">
        <v>322</v>
      </c>
      <c r="BA380" s="34" t="s">
        <v>6122</v>
      </c>
      <c r="BB380" s="499"/>
      <c r="BC380" s="271"/>
      <c r="BD380" s="279">
        <v>1</v>
      </c>
      <c r="BE380" s="271"/>
      <c r="BF380" s="271"/>
      <c r="BG380" s="271"/>
      <c r="BH380" s="271"/>
      <c r="BI380" s="271"/>
      <c r="BJ380" s="271"/>
      <c r="BK380" s="271"/>
      <c r="BL380" s="271"/>
    </row>
    <row r="381" spans="18:64" ht="21" customHeight="1" x14ac:dyDescent="0.25">
      <c r="R381" s="34" t="s">
        <v>6124</v>
      </c>
      <c r="S381" s="451"/>
      <c r="T381" s="31" t="s">
        <v>25</v>
      </c>
      <c r="V381" s="475">
        <v>9</v>
      </c>
      <c r="W381" s="475" t="str">
        <f>IF($AC$381="","",$W$360)</f>
        <v/>
      </c>
      <c r="X381" s="476" t="str">
        <f>IF($AC$381="","",$X$360)</f>
        <v/>
      </c>
      <c r="Y381" s="477" t="str">
        <f>IF($X$381="","",$Y$360)</f>
        <v/>
      </c>
      <c r="Z381" s="477" t="str">
        <f>IF($X$381="","",$Z$360)</f>
        <v/>
      </c>
      <c r="AA381" s="477" t="str">
        <f>IF($AC$381="","",ROW($A$381)-ROW($A$360))</f>
        <v/>
      </c>
      <c r="AB381" s="478"/>
      <c r="AC381" s="34"/>
      <c r="AD381" s="356"/>
      <c r="AE381" s="479"/>
      <c r="AF381" s="475"/>
      <c r="AG381" s="480" t="str">
        <f t="shared" si="100"/>
        <v/>
      </c>
      <c r="AH381" s="481" t="str">
        <f t="shared" si="101"/>
        <v/>
      </c>
      <c r="AI381" s="477" t="str">
        <f>IF($AC$381="","",IFERROR(INDEX($AZ$74:$AZ$119,MATCH($AH$381,$AY$74:$AY$119,0)),"AUTRE"))</f>
        <v/>
      </c>
      <c r="AJ381" s="482" t="str">
        <f>IF($AC$381="","",IFERROR(INDEX($BA$74:$BA$119,MATCH($AH$381,$AY$74:$AY$119,0)),1))</f>
        <v/>
      </c>
      <c r="AK381" s="482" t="str">
        <f t="shared" si="102"/>
        <v/>
      </c>
      <c r="AL381" s="477" t="str">
        <f>IF($AC$381="","",IFERROR(INDEX($BB$74:$BB$119,MATCH($AH$381,$AY$74:$AY$119,0)),$AH$381))</f>
        <v/>
      </c>
      <c r="AM381" s="483" t="str">
        <f t="shared" si="103"/>
        <v/>
      </c>
      <c r="AN381" s="484" t="str">
        <f t="shared" si="104"/>
        <v/>
      </c>
      <c r="AO381" s="473" t="str">
        <f t="shared" si="105"/>
        <v/>
      </c>
      <c r="AP381" s="473" t="str">
        <f t="shared" si="106"/>
        <v/>
      </c>
      <c r="AQ381" s="473" t="str">
        <f t="shared" si="107"/>
        <v/>
      </c>
      <c r="AR381" s="473" t="str">
        <f t="shared" si="108"/>
        <v/>
      </c>
      <c r="AS381" s="473" t="str">
        <f t="shared" si="109"/>
        <v/>
      </c>
      <c r="AT381" s="473" t="str">
        <f t="shared" si="110"/>
        <v/>
      </c>
      <c r="AU381" s="473" t="str">
        <f t="shared" si="111"/>
        <v/>
      </c>
      <c r="AZ381" s="32" t="s">
        <v>305</v>
      </c>
      <c r="BA381" s="34" t="s">
        <v>6123</v>
      </c>
      <c r="BB381" s="499"/>
      <c r="BC381" s="271"/>
      <c r="BD381" s="279">
        <v>1</v>
      </c>
      <c r="BE381" s="271"/>
      <c r="BF381" s="271"/>
      <c r="BG381" s="271"/>
      <c r="BH381" s="271"/>
      <c r="BI381" s="271"/>
      <c r="BJ381" s="271"/>
      <c r="BK381" s="271"/>
      <c r="BL381" s="271"/>
    </row>
    <row r="382" spans="18:64" ht="21" customHeight="1" x14ac:dyDescent="0.25">
      <c r="R382" s="34" t="s">
        <v>6125</v>
      </c>
      <c r="S382" s="451"/>
      <c r="T382" s="31" t="s">
        <v>26</v>
      </c>
      <c r="V382" s="475">
        <v>9</v>
      </c>
      <c r="W382" s="475" t="str">
        <f>IF($AC$382="","",$W$360)</f>
        <v/>
      </c>
      <c r="X382" s="476" t="str">
        <f>IF($AC$382="","",$X$360)</f>
        <v/>
      </c>
      <c r="Y382" s="477" t="str">
        <f>IF($X$382="","",$Y$360)</f>
        <v/>
      </c>
      <c r="Z382" s="477" t="str">
        <f>IF($X$382="","",$Z$360)</f>
        <v/>
      </c>
      <c r="AA382" s="477" t="str">
        <f>IF($AC$382="","",ROW($A$382)-ROW($A$360))</f>
        <v/>
      </c>
      <c r="AB382" s="478"/>
      <c r="AC382" s="34"/>
      <c r="AD382" s="356"/>
      <c r="AE382" s="479"/>
      <c r="AF382" s="475"/>
      <c r="AG382" s="480" t="str">
        <f t="shared" si="100"/>
        <v/>
      </c>
      <c r="AH382" s="481" t="str">
        <f t="shared" si="101"/>
        <v/>
      </c>
      <c r="AI382" s="477" t="str">
        <f>IF($AC$382="","",IFERROR(INDEX($AZ$74:$AZ$119,MATCH($AH$382,$AY$74:$AY$119,0)),"AUTRE"))</f>
        <v/>
      </c>
      <c r="AJ382" s="482" t="str">
        <f>IF($AC$382="","",IFERROR(INDEX($BA$74:$BA$119,MATCH($AH$382,$AY$74:$AY$119,0)),1))</f>
        <v/>
      </c>
      <c r="AK382" s="482" t="str">
        <f t="shared" si="102"/>
        <v/>
      </c>
      <c r="AL382" s="477" t="str">
        <f>IF($AC$382="","",IFERROR(INDEX($BB$74:$BB$119,MATCH($AH$382,$AY$74:$AY$119,0)),$AH$382))</f>
        <v/>
      </c>
      <c r="AM382" s="483" t="str">
        <f t="shared" si="103"/>
        <v/>
      </c>
      <c r="AN382" s="484" t="str">
        <f t="shared" si="104"/>
        <v/>
      </c>
      <c r="AO382" s="473" t="str">
        <f t="shared" si="105"/>
        <v/>
      </c>
      <c r="AP382" s="473" t="str">
        <f t="shared" si="106"/>
        <v/>
      </c>
      <c r="AQ382" s="473" t="str">
        <f t="shared" si="107"/>
        <v/>
      </c>
      <c r="AR382" s="473" t="str">
        <f t="shared" si="108"/>
        <v/>
      </c>
      <c r="AS382" s="473" t="str">
        <f t="shared" si="109"/>
        <v/>
      </c>
      <c r="AT382" s="473" t="str">
        <f t="shared" si="110"/>
        <v/>
      </c>
      <c r="AU382" s="473" t="str">
        <f t="shared" si="111"/>
        <v/>
      </c>
      <c r="AZ382" s="32" t="s">
        <v>8129</v>
      </c>
      <c r="BA382" s="34" t="s">
        <v>6124</v>
      </c>
      <c r="BB382" s="499"/>
      <c r="BC382" s="271"/>
      <c r="BD382" s="279">
        <v>1</v>
      </c>
      <c r="BE382" s="271"/>
      <c r="BF382" s="271"/>
      <c r="BG382" s="271"/>
      <c r="BH382" s="271"/>
      <c r="BI382" s="271"/>
      <c r="BJ382" s="271"/>
      <c r="BK382" s="271"/>
      <c r="BL382" s="271"/>
    </row>
    <row r="383" spans="18:64" ht="21" customHeight="1" x14ac:dyDescent="0.25">
      <c r="R383" s="34" t="s">
        <v>6126</v>
      </c>
      <c r="S383" s="451"/>
      <c r="T383" s="31" t="s">
        <v>27</v>
      </c>
      <c r="V383" s="475">
        <v>9</v>
      </c>
      <c r="W383" s="475" t="str">
        <f>IF($AC$383="","",$W$360)</f>
        <v/>
      </c>
      <c r="X383" s="476" t="str">
        <f>IF($AC$383="","",$X$360)</f>
        <v/>
      </c>
      <c r="Y383" s="477" t="str">
        <f>IF($X$383="","",$Y$360)</f>
        <v/>
      </c>
      <c r="Z383" s="477" t="str">
        <f>IF($X$383="","",$Z$360)</f>
        <v/>
      </c>
      <c r="AA383" s="477" t="str">
        <f>IF($AC$383="","",ROW($A$383)-ROW($A$360))</f>
        <v/>
      </c>
      <c r="AB383" s="478"/>
      <c r="AC383" s="34"/>
      <c r="AD383" s="356"/>
      <c r="AE383" s="479"/>
      <c r="AF383" s="475"/>
      <c r="AG383" s="480" t="str">
        <f t="shared" si="100"/>
        <v/>
      </c>
      <c r="AH383" s="481" t="str">
        <f t="shared" si="101"/>
        <v/>
      </c>
      <c r="AI383" s="477" t="str">
        <f>IF($AC$383="","",IFERROR(INDEX($AZ$74:$AZ$119,MATCH($AH$383,$AY$74:$AY$119,0)),"AUTRE"))</f>
        <v/>
      </c>
      <c r="AJ383" s="482" t="str">
        <f>IF($AC$383="","",IFERROR(INDEX($BA$74:$BA$119,MATCH($AH$383,$AY$74:$AY$119,0)),1))</f>
        <v/>
      </c>
      <c r="AK383" s="482" t="str">
        <f t="shared" si="102"/>
        <v/>
      </c>
      <c r="AL383" s="477" t="str">
        <f>IF($AC$383="","",IFERROR(INDEX($BB$74:$BB$119,MATCH($AH$383,$AY$74:$AY$119,0)),$AH$383))</f>
        <v/>
      </c>
      <c r="AM383" s="483" t="str">
        <f t="shared" si="103"/>
        <v/>
      </c>
      <c r="AN383" s="484" t="str">
        <f t="shared" si="104"/>
        <v/>
      </c>
      <c r="AO383" s="473" t="str">
        <f t="shared" si="105"/>
        <v/>
      </c>
      <c r="AP383" s="473" t="str">
        <f t="shared" si="106"/>
        <v/>
      </c>
      <c r="AQ383" s="473" t="str">
        <f t="shared" si="107"/>
        <v/>
      </c>
      <c r="AR383" s="473" t="str">
        <f t="shared" si="108"/>
        <v/>
      </c>
      <c r="AS383" s="473" t="str">
        <f t="shared" si="109"/>
        <v/>
      </c>
      <c r="AT383" s="473" t="str">
        <f t="shared" si="110"/>
        <v/>
      </c>
      <c r="AU383" s="473" t="str">
        <f t="shared" si="111"/>
        <v/>
      </c>
      <c r="AZ383" s="32" t="s">
        <v>8131</v>
      </c>
      <c r="BA383" s="34" t="s">
        <v>6125</v>
      </c>
      <c r="BB383" s="499"/>
      <c r="BC383" s="271"/>
      <c r="BD383" s="279">
        <v>1</v>
      </c>
      <c r="BE383" s="271"/>
      <c r="BF383" s="271"/>
      <c r="BG383" s="271"/>
      <c r="BH383" s="271"/>
      <c r="BI383" s="271"/>
      <c r="BJ383" s="271"/>
      <c r="BK383" s="271"/>
      <c r="BL383" s="271"/>
    </row>
    <row r="384" spans="18:64" ht="21" customHeight="1" x14ac:dyDescent="0.25">
      <c r="R384" s="34" t="s">
        <v>6127</v>
      </c>
      <c r="S384" s="451"/>
      <c r="T384" s="31" t="s">
        <v>28</v>
      </c>
      <c r="V384" s="475">
        <v>9</v>
      </c>
      <c r="W384" s="475" t="str">
        <f>IF($AC$384="","",$W$360)</f>
        <v/>
      </c>
      <c r="X384" s="476" t="str">
        <f>IF($AC$384="","",$X$360)</f>
        <v/>
      </c>
      <c r="Y384" s="477" t="str">
        <f>IF($X$384="","",$Y$360)</f>
        <v/>
      </c>
      <c r="Z384" s="477" t="str">
        <f>IF($X$384="","",$Z$360)</f>
        <v/>
      </c>
      <c r="AA384" s="477" t="str">
        <f>IF($AC$384="","",ROW($A$384)-ROW($A$360))</f>
        <v/>
      </c>
      <c r="AB384" s="478"/>
      <c r="AC384" s="34"/>
      <c r="AD384" s="356"/>
      <c r="AE384" s="479"/>
      <c r="AF384" s="475"/>
      <c r="AG384" s="480" t="str">
        <f t="shared" si="100"/>
        <v/>
      </c>
      <c r="AH384" s="481" t="str">
        <f t="shared" si="101"/>
        <v/>
      </c>
      <c r="AI384" s="477" t="str">
        <f>IF($AC$384="","",IFERROR(INDEX($AZ$74:$AZ$119,MATCH($AH$384,$AY$74:$AY$119,0)),"AUTRE"))</f>
        <v/>
      </c>
      <c r="AJ384" s="482" t="str">
        <f>IF($AC$384="","",IFERROR(INDEX($BA$74:$BA$119,MATCH($AH$384,$AY$74:$AY$119,0)),1))</f>
        <v/>
      </c>
      <c r="AK384" s="482" t="str">
        <f t="shared" si="102"/>
        <v/>
      </c>
      <c r="AL384" s="477" t="str">
        <f>IF($AC$384="","",IFERROR(INDEX($BB$74:$BB$119,MATCH($AH$384,$AY$74:$AY$119,0)),$AH$384))</f>
        <v/>
      </c>
      <c r="AM384" s="483" t="str">
        <f t="shared" si="103"/>
        <v/>
      </c>
      <c r="AN384" s="484" t="str">
        <f t="shared" si="104"/>
        <v/>
      </c>
      <c r="AO384" s="473" t="str">
        <f t="shared" si="105"/>
        <v/>
      </c>
      <c r="AP384" s="473" t="str">
        <f t="shared" si="106"/>
        <v/>
      </c>
      <c r="AQ384" s="473" t="str">
        <f t="shared" si="107"/>
        <v/>
      </c>
      <c r="AR384" s="473" t="str">
        <f t="shared" si="108"/>
        <v/>
      </c>
      <c r="AS384" s="473" t="str">
        <f t="shared" si="109"/>
        <v/>
      </c>
      <c r="AT384" s="473" t="str">
        <f t="shared" si="110"/>
        <v/>
      </c>
      <c r="AU384" s="473" t="str">
        <f t="shared" si="111"/>
        <v/>
      </c>
      <c r="AZ384" s="32" t="s">
        <v>309</v>
      </c>
      <c r="BA384" s="34" t="s">
        <v>6126</v>
      </c>
      <c r="BB384" s="499"/>
      <c r="BC384" s="271"/>
      <c r="BD384" s="279">
        <v>1</v>
      </c>
      <c r="BE384" s="271"/>
      <c r="BF384" s="271"/>
      <c r="BG384" s="271"/>
      <c r="BH384" s="271"/>
      <c r="BI384" s="271"/>
      <c r="BJ384" s="271"/>
      <c r="BK384" s="271"/>
      <c r="BL384" s="271"/>
    </row>
    <row r="385" spans="18:64" ht="21" customHeight="1" x14ac:dyDescent="0.25">
      <c r="R385" s="25" t="s">
        <v>6128</v>
      </c>
      <c r="S385" s="451"/>
      <c r="T385" s="31" t="s">
        <v>29</v>
      </c>
      <c r="V385" s="475">
        <v>9</v>
      </c>
      <c r="W385" s="475" t="str">
        <f>IF($AC$385="","",$W$360)</f>
        <v/>
      </c>
      <c r="X385" s="476" t="str">
        <f>IF($AC$385="","",$X$360)</f>
        <v/>
      </c>
      <c r="Y385" s="477" t="str">
        <f>IF($X$385="","",$Y$360)</f>
        <v/>
      </c>
      <c r="Z385" s="477" t="str">
        <f>IF($X$385="","",$Z$360)</f>
        <v/>
      </c>
      <c r="AA385" s="477" t="str">
        <f>IF($AC$385="","",ROW($A$385)-ROW($A$360))</f>
        <v/>
      </c>
      <c r="AB385" s="478"/>
      <c r="AC385" s="34"/>
      <c r="AD385" s="356"/>
      <c r="AE385" s="479"/>
      <c r="AF385" s="475"/>
      <c r="AG385" s="480" t="str">
        <f t="shared" si="100"/>
        <v/>
      </c>
      <c r="AH385" s="481" t="str">
        <f t="shared" si="101"/>
        <v/>
      </c>
      <c r="AI385" s="477" t="str">
        <f>IF($AC$385="","",IFERROR(INDEX($AZ$74:$AZ$119,MATCH($AH$385,$AY$74:$AY$119,0)),"AUTRE"))</f>
        <v/>
      </c>
      <c r="AJ385" s="482" t="str">
        <f>IF($AC$385="","",IFERROR(INDEX($BA$74:$BA$119,MATCH($AH$385,$AY$74:$AY$119,0)),1))</f>
        <v/>
      </c>
      <c r="AK385" s="482" t="str">
        <f t="shared" si="102"/>
        <v/>
      </c>
      <c r="AL385" s="477" t="str">
        <f>IF($AC$385="","",IFERROR(INDEX($BB$74:$BB$119,MATCH($AH$385,$AY$74:$AY$119,0)),$AH$385))</f>
        <v/>
      </c>
      <c r="AM385" s="483" t="str">
        <f t="shared" si="103"/>
        <v/>
      </c>
      <c r="AN385" s="484" t="str">
        <f t="shared" si="104"/>
        <v/>
      </c>
      <c r="AO385" s="473" t="str">
        <f t="shared" si="105"/>
        <v/>
      </c>
      <c r="AP385" s="473" t="str">
        <f t="shared" si="106"/>
        <v/>
      </c>
      <c r="AQ385" s="473" t="str">
        <f t="shared" si="107"/>
        <v/>
      </c>
      <c r="AR385" s="473" t="str">
        <f t="shared" si="108"/>
        <v/>
      </c>
      <c r="AS385" s="473" t="str">
        <f t="shared" si="109"/>
        <v/>
      </c>
      <c r="AT385" s="473" t="str">
        <f t="shared" si="110"/>
        <v/>
      </c>
      <c r="AU385" s="473" t="str">
        <f t="shared" si="111"/>
        <v/>
      </c>
      <c r="AZ385" s="32" t="s">
        <v>311</v>
      </c>
      <c r="BA385" s="34" t="s">
        <v>6127</v>
      </c>
      <c r="BB385" s="499"/>
      <c r="BC385" s="271"/>
      <c r="BD385" s="279">
        <v>1</v>
      </c>
      <c r="BE385" s="271"/>
      <c r="BF385" s="271"/>
      <c r="BG385" s="271"/>
      <c r="BH385" s="271"/>
      <c r="BI385" s="271"/>
      <c r="BJ385" s="271"/>
      <c r="BK385" s="271"/>
      <c r="BL385" s="271"/>
    </row>
    <row r="386" spans="18:64" ht="21" customHeight="1" x14ac:dyDescent="0.25">
      <c r="R386" s="34" t="s">
        <v>474</v>
      </c>
      <c r="S386" s="451"/>
      <c r="T386" s="31" t="s">
        <v>30</v>
      </c>
      <c r="V386" s="475">
        <v>9</v>
      </c>
      <c r="W386" s="475" t="str">
        <f>IF($AC$386="","",$W$360)</f>
        <v/>
      </c>
      <c r="X386" s="476" t="str">
        <f>IF($AC$386="","",$X$360)</f>
        <v/>
      </c>
      <c r="Y386" s="477" t="str">
        <f>IF($X$386="","",$Y$360)</f>
        <v/>
      </c>
      <c r="Z386" s="477" t="str">
        <f>IF($X$386="","",$Z$360)</f>
        <v/>
      </c>
      <c r="AA386" s="477" t="str">
        <f>IF($AC$386="","",ROW($A$386)-ROW($A$360))</f>
        <v/>
      </c>
      <c r="AB386" s="478"/>
      <c r="AC386" s="34"/>
      <c r="AD386" s="356"/>
      <c r="AE386" s="479"/>
      <c r="AF386" s="475"/>
      <c r="AG386" s="480" t="str">
        <f t="shared" si="100"/>
        <v/>
      </c>
      <c r="AH386" s="481" t="str">
        <f t="shared" si="101"/>
        <v/>
      </c>
      <c r="AI386" s="477" t="str">
        <f>IF($AC$386="","",IFERROR(INDEX($AZ$74:$AZ$119,MATCH($AH$386,$AY$74:$AY$119,0)),"AUTRE"))</f>
        <v/>
      </c>
      <c r="AJ386" s="482" t="str">
        <f>IF($AC$386="","",IFERROR(INDEX($BA$74:$BA$119,MATCH($AH$386,$AY$74:$AY$119,0)),1))</f>
        <v/>
      </c>
      <c r="AK386" s="482" t="str">
        <f t="shared" si="102"/>
        <v/>
      </c>
      <c r="AL386" s="477" t="str">
        <f>IF($AC$386="","",IFERROR(INDEX($BB$74:$BB$119,MATCH($AH$386,$AY$74:$AY$119,0)),$AH$386))</f>
        <v/>
      </c>
      <c r="AM386" s="483" t="str">
        <f t="shared" si="103"/>
        <v/>
      </c>
      <c r="AN386" s="484" t="str">
        <f t="shared" si="104"/>
        <v/>
      </c>
      <c r="AO386" s="473" t="str">
        <f t="shared" si="105"/>
        <v/>
      </c>
      <c r="AP386" s="473" t="str">
        <f t="shared" si="106"/>
        <v/>
      </c>
      <c r="AQ386" s="473" t="str">
        <f t="shared" si="107"/>
        <v/>
      </c>
      <c r="AR386" s="473" t="str">
        <f t="shared" si="108"/>
        <v/>
      </c>
      <c r="AS386" s="473" t="str">
        <f t="shared" si="109"/>
        <v/>
      </c>
      <c r="AT386" s="473" t="str">
        <f t="shared" si="110"/>
        <v/>
      </c>
      <c r="AU386" s="473" t="str">
        <f t="shared" si="111"/>
        <v/>
      </c>
      <c r="AZ386" s="32" t="s">
        <v>8135</v>
      </c>
      <c r="BA386" s="25" t="s">
        <v>6128</v>
      </c>
      <c r="BB386" s="499"/>
      <c r="BC386" s="271"/>
      <c r="BD386" s="279">
        <v>1</v>
      </c>
      <c r="BE386" s="271"/>
      <c r="BF386" s="271"/>
      <c r="BG386" s="271"/>
      <c r="BH386" s="271"/>
      <c r="BI386" s="271"/>
      <c r="BJ386" s="271"/>
      <c r="BK386" s="271"/>
      <c r="BL386" s="271"/>
    </row>
    <row r="387" spans="18:64" ht="21" customHeight="1" x14ac:dyDescent="0.25">
      <c r="R387" s="34" t="s">
        <v>490</v>
      </c>
      <c r="S387" s="451"/>
      <c r="T387" s="31" t="s">
        <v>31</v>
      </c>
      <c r="V387" s="475">
        <v>9</v>
      </c>
      <c r="W387" s="475" t="str">
        <f>IF($AC$387="","",$W$360)</f>
        <v/>
      </c>
      <c r="X387" s="476" t="str">
        <f>IF($AC$387="","",$X$360)</f>
        <v/>
      </c>
      <c r="Y387" s="477" t="str">
        <f>IF($X$387="","",$Y$360)</f>
        <v/>
      </c>
      <c r="Z387" s="477" t="str">
        <f>IF($X$387="","",$Z$360)</f>
        <v/>
      </c>
      <c r="AA387" s="477" t="str">
        <f>IF($AC$387="","",ROW($A$387)-ROW($A$360))</f>
        <v/>
      </c>
      <c r="AB387" s="478"/>
      <c r="AC387" s="34"/>
      <c r="AD387" s="356"/>
      <c r="AE387" s="479"/>
      <c r="AF387" s="475"/>
      <c r="AG387" s="480" t="str">
        <f t="shared" si="100"/>
        <v/>
      </c>
      <c r="AH387" s="481" t="str">
        <f t="shared" si="101"/>
        <v/>
      </c>
      <c r="AI387" s="477" t="str">
        <f>IF($AC$387="","",IFERROR(INDEX($AZ$74:$AZ$119,MATCH($AH$387,$AY$74:$AY$119,0)),"AUTRE"))</f>
        <v/>
      </c>
      <c r="AJ387" s="482" t="str">
        <f>IF($AC$387="","",IFERROR(INDEX($BA$74:$BA$119,MATCH($AH$387,$AY$74:$AY$119,0)),1))</f>
        <v/>
      </c>
      <c r="AK387" s="482" t="str">
        <f t="shared" si="102"/>
        <v/>
      </c>
      <c r="AL387" s="477" t="str">
        <f>IF($AC$387="","",IFERROR(INDEX($BB$74:$BB$119,MATCH($AH$387,$AY$74:$AY$119,0)),$AH$387))</f>
        <v/>
      </c>
      <c r="AM387" s="483" t="str">
        <f t="shared" si="103"/>
        <v/>
      </c>
      <c r="AN387" s="484" t="str">
        <f t="shared" si="104"/>
        <v/>
      </c>
      <c r="AO387" s="473" t="str">
        <f t="shared" si="105"/>
        <v/>
      </c>
      <c r="AP387" s="473" t="str">
        <f t="shared" si="106"/>
        <v/>
      </c>
      <c r="AQ387" s="473" t="str">
        <f t="shared" si="107"/>
        <v/>
      </c>
      <c r="AR387" s="473" t="str">
        <f t="shared" si="108"/>
        <v/>
      </c>
      <c r="AS387" s="473" t="str">
        <f t="shared" si="109"/>
        <v/>
      </c>
      <c r="AT387" s="473" t="str">
        <f t="shared" si="110"/>
        <v/>
      </c>
      <c r="AU387" s="473" t="str">
        <f t="shared" si="111"/>
        <v/>
      </c>
      <c r="AZ387" s="32" t="s">
        <v>8137</v>
      </c>
      <c r="BA387" s="34" t="s">
        <v>474</v>
      </c>
      <c r="BB387" s="499"/>
      <c r="BC387" s="271"/>
      <c r="BD387" s="279">
        <v>1</v>
      </c>
      <c r="BE387" s="271"/>
      <c r="BF387" s="271"/>
      <c r="BG387" s="271"/>
      <c r="BH387" s="271"/>
      <c r="BI387" s="271"/>
      <c r="BJ387" s="271"/>
      <c r="BK387" s="271"/>
      <c r="BL387" s="271"/>
    </row>
    <row r="388" spans="18:64" ht="21" customHeight="1" x14ac:dyDescent="0.25">
      <c r="R388" s="34" t="s">
        <v>6129</v>
      </c>
      <c r="S388" s="451"/>
      <c r="T388" s="32" t="s">
        <v>33</v>
      </c>
      <c r="V388" s="475">
        <v>9</v>
      </c>
      <c r="W388" s="475" t="str">
        <f>IF($AC$388="","",$W$360)</f>
        <v/>
      </c>
      <c r="X388" s="476" t="str">
        <f>IF($AC$388="","",$X$360)</f>
        <v/>
      </c>
      <c r="Y388" s="477" t="str">
        <f>IF($X$388="","",$Y$360)</f>
        <v/>
      </c>
      <c r="Z388" s="477" t="str">
        <f>IF($X$388="","",$Z$360)</f>
        <v/>
      </c>
      <c r="AA388" s="477" t="str">
        <f>IF($AC$388="","",ROW($A$388)-ROW($A$360))</f>
        <v/>
      </c>
      <c r="AB388" s="478"/>
      <c r="AC388" s="34"/>
      <c r="AD388" s="356"/>
      <c r="AE388" s="479"/>
      <c r="AF388" s="475"/>
      <c r="AG388" s="480" t="str">
        <f t="shared" si="100"/>
        <v/>
      </c>
      <c r="AH388" s="481" t="str">
        <f t="shared" si="101"/>
        <v/>
      </c>
      <c r="AI388" s="477" t="str">
        <f>IF($AC$388="","",IFERROR(INDEX($AZ$74:$AZ$119,MATCH($AH$388,$AY$74:$AY$119,0)),"AUTRE"))</f>
        <v/>
      </c>
      <c r="AJ388" s="482" t="str">
        <f>IF($AC$388="","",IFERROR(INDEX($BA$74:$BA$119,MATCH($AH$388,$AY$74:$AY$119,0)),1))</f>
        <v/>
      </c>
      <c r="AK388" s="482" t="str">
        <f t="shared" si="102"/>
        <v/>
      </c>
      <c r="AL388" s="477" t="str">
        <f>IF($AC$388="","",IFERROR(INDEX($BB$74:$BB$119,MATCH($AH$388,$AY$74:$AY$119,0)),$AH$388))</f>
        <v/>
      </c>
      <c r="AM388" s="483" t="str">
        <f t="shared" si="103"/>
        <v/>
      </c>
      <c r="AN388" s="484" t="str">
        <f t="shared" si="104"/>
        <v/>
      </c>
      <c r="AO388" s="473" t="str">
        <f t="shared" si="105"/>
        <v/>
      </c>
      <c r="AP388" s="473" t="str">
        <f t="shared" si="106"/>
        <v/>
      </c>
      <c r="AQ388" s="473" t="str">
        <f t="shared" si="107"/>
        <v/>
      </c>
      <c r="AR388" s="473" t="str">
        <f t="shared" si="108"/>
        <v/>
      </c>
      <c r="AS388" s="473" t="str">
        <f t="shared" si="109"/>
        <v/>
      </c>
      <c r="AT388" s="473" t="str">
        <f t="shared" si="110"/>
        <v/>
      </c>
      <c r="AU388" s="473" t="str">
        <f t="shared" si="111"/>
        <v/>
      </c>
      <c r="AY388" s="271"/>
      <c r="AZ388" s="32" t="s">
        <v>8139</v>
      </c>
      <c r="BA388" s="34" t="s">
        <v>490</v>
      </c>
      <c r="BB388" s="499"/>
      <c r="BC388" s="271"/>
      <c r="BD388" s="279">
        <v>1</v>
      </c>
      <c r="BE388" s="271"/>
      <c r="BF388" s="271"/>
      <c r="BG388" s="271"/>
      <c r="BH388" s="271"/>
      <c r="BI388" s="271"/>
      <c r="BJ388" s="271"/>
      <c r="BK388" s="271"/>
      <c r="BL388" s="271"/>
    </row>
    <row r="389" spans="18:64" ht="21" customHeight="1" x14ac:dyDescent="0.25">
      <c r="R389" s="34" t="s">
        <v>478</v>
      </c>
      <c r="S389" s="451"/>
      <c r="T389" s="32" t="s">
        <v>8125</v>
      </c>
      <c r="V389" s="475">
        <v>9</v>
      </c>
      <c r="W389" s="475" t="str">
        <f>IF($AC$389="","",$W$360)</f>
        <v/>
      </c>
      <c r="X389" s="476" t="str">
        <f>IF($AC$389="","",$X$360)</f>
        <v/>
      </c>
      <c r="Y389" s="477" t="str">
        <f>IF($X$389="","",$Y$360)</f>
        <v/>
      </c>
      <c r="Z389" s="477" t="str">
        <f>IF($X$389="","",$Z$360)</f>
        <v/>
      </c>
      <c r="AA389" s="477" t="str">
        <f>IF($AC$389="","",ROW($A$389)-ROW($A$360))</f>
        <v/>
      </c>
      <c r="AB389" s="478"/>
      <c r="AC389" s="34"/>
      <c r="AD389" s="356"/>
      <c r="AE389" s="479"/>
      <c r="AF389" s="475"/>
      <c r="AG389" s="480" t="str">
        <f t="shared" si="100"/>
        <v/>
      </c>
      <c r="AH389" s="481" t="str">
        <f t="shared" si="101"/>
        <v/>
      </c>
      <c r="AI389" s="477" t="str">
        <f>IF($AC$389="","",IFERROR(INDEX($AZ$74:$AZ$119,MATCH($AH$389,$AY$74:$AY$119,0)),"AUTRE"))</f>
        <v/>
      </c>
      <c r="AJ389" s="482" t="str">
        <f>IF($AC$389="","",IFERROR(INDEX($BA$74:$BA$119,MATCH($AH$389,$AY$74:$AY$119,0)),1))</f>
        <v/>
      </c>
      <c r="AK389" s="482" t="str">
        <f t="shared" si="102"/>
        <v/>
      </c>
      <c r="AL389" s="477" t="str">
        <f>IF($AC$389="","",IFERROR(INDEX($BB$74:$BB$119,MATCH($AH$389,$AY$74:$AY$119,0)),$AH$389))</f>
        <v/>
      </c>
      <c r="AM389" s="483" t="str">
        <f t="shared" si="103"/>
        <v/>
      </c>
      <c r="AN389" s="484" t="str">
        <f t="shared" si="104"/>
        <v/>
      </c>
      <c r="AO389" s="473" t="str">
        <f t="shared" si="105"/>
        <v/>
      </c>
      <c r="AP389" s="473" t="str">
        <f t="shared" si="106"/>
        <v/>
      </c>
      <c r="AQ389" s="473" t="str">
        <f t="shared" si="107"/>
        <v/>
      </c>
      <c r="AR389" s="473" t="str">
        <f t="shared" si="108"/>
        <v/>
      </c>
      <c r="AS389" s="473" t="str">
        <f t="shared" si="109"/>
        <v/>
      </c>
      <c r="AT389" s="473" t="str">
        <f t="shared" si="110"/>
        <v/>
      </c>
      <c r="AU389" s="473" t="str">
        <f t="shared" si="111"/>
        <v/>
      </c>
      <c r="AY389" s="497" t="s">
        <v>8145</v>
      </c>
      <c r="AZ389" s="32" t="s">
        <v>8141</v>
      </c>
      <c r="BA389" s="34" t="s">
        <v>6129</v>
      </c>
      <c r="BB389" s="499"/>
      <c r="BC389" s="271"/>
      <c r="BD389" s="279">
        <v>1</v>
      </c>
      <c r="BE389" s="271"/>
      <c r="BF389" s="271"/>
      <c r="BG389" s="271"/>
      <c r="BH389" s="271"/>
      <c r="BI389" s="271"/>
      <c r="BJ389" s="271"/>
      <c r="BK389" s="271"/>
      <c r="BL389" s="271"/>
    </row>
    <row r="390" spans="18:64" ht="21" customHeight="1" x14ac:dyDescent="0.25">
      <c r="R390" s="34" t="s">
        <v>6130</v>
      </c>
      <c r="S390" s="451"/>
      <c r="T390" s="32" t="s">
        <v>8127</v>
      </c>
      <c r="V390" s="475">
        <v>9</v>
      </c>
      <c r="W390" s="475" t="str">
        <f>IF($AC$390="","",$W$360)</f>
        <v/>
      </c>
      <c r="X390" s="476" t="str">
        <f>IF($AC$390="","",$X$360)</f>
        <v/>
      </c>
      <c r="Y390" s="477" t="str">
        <f>IF($X$390="","",$Y$360)</f>
        <v/>
      </c>
      <c r="Z390" s="477" t="str">
        <f>IF($X$390="","",$Z$360)</f>
        <v/>
      </c>
      <c r="AA390" s="477" t="str">
        <f>IF($AC$390="","",ROW($A$390)-ROW($A$360))</f>
        <v/>
      </c>
      <c r="AB390" s="478"/>
      <c r="AC390" s="34"/>
      <c r="AD390" s="356"/>
      <c r="AE390" s="479"/>
      <c r="AF390" s="475"/>
      <c r="AG390" s="480" t="str">
        <f t="shared" si="100"/>
        <v/>
      </c>
      <c r="AH390" s="481" t="str">
        <f t="shared" si="101"/>
        <v/>
      </c>
      <c r="AI390" s="477" t="str">
        <f>IF($AC$390="","",IFERROR(INDEX($AZ$74:$AZ$119,MATCH($AH$390,$AY$74:$AY$119,0)),"AUTRE"))</f>
        <v/>
      </c>
      <c r="AJ390" s="482" t="str">
        <f>IF($AC$390="","",IFERROR(INDEX($BA$74:$BA$119,MATCH($AH$390,$AY$74:$AY$119,0)),1))</f>
        <v/>
      </c>
      <c r="AK390" s="482" t="str">
        <f t="shared" si="102"/>
        <v/>
      </c>
      <c r="AL390" s="477" t="str">
        <f>IF($AC$390="","",IFERROR(INDEX($BB$74:$BB$119,MATCH($AH$390,$AY$74:$AY$119,0)),$AH$390))</f>
        <v/>
      </c>
      <c r="AM390" s="483" t="str">
        <f t="shared" si="103"/>
        <v/>
      </c>
      <c r="AN390" s="484" t="str">
        <f t="shared" si="104"/>
        <v/>
      </c>
      <c r="AO390" s="473" t="str">
        <f t="shared" si="105"/>
        <v/>
      </c>
      <c r="AP390" s="473" t="str">
        <f t="shared" si="106"/>
        <v/>
      </c>
      <c r="AQ390" s="473" t="str">
        <f t="shared" si="107"/>
        <v/>
      </c>
      <c r="AR390" s="473" t="str">
        <f t="shared" si="108"/>
        <v/>
      </c>
      <c r="AS390" s="473" t="str">
        <f t="shared" si="109"/>
        <v/>
      </c>
      <c r="AT390" s="473" t="str">
        <f t="shared" si="110"/>
        <v/>
      </c>
      <c r="AU390" s="473" t="str">
        <f t="shared" si="111"/>
        <v/>
      </c>
      <c r="AY390" s="497" t="s">
        <v>462</v>
      </c>
      <c r="AZ390" s="32" t="s">
        <v>8143</v>
      </c>
      <c r="BA390" s="34" t="s">
        <v>478</v>
      </c>
      <c r="BB390" s="499"/>
      <c r="BC390" s="271"/>
      <c r="BD390" s="279">
        <v>1</v>
      </c>
      <c r="BE390" s="271"/>
      <c r="BF390" s="271"/>
      <c r="BG390" s="271"/>
      <c r="BH390" s="271"/>
      <c r="BI390" s="271"/>
      <c r="BJ390" s="271"/>
      <c r="BK390" s="271"/>
      <c r="BL390" s="271"/>
    </row>
    <row r="391" spans="18:64" ht="21" customHeight="1" x14ac:dyDescent="0.25">
      <c r="R391" s="34" t="s">
        <v>486</v>
      </c>
      <c r="S391" s="451"/>
      <c r="T391" s="32" t="s">
        <v>320</v>
      </c>
      <c r="V391" s="475">
        <v>9</v>
      </c>
      <c r="W391" s="475" t="str">
        <f>IF($AC$391="","",$W$360)</f>
        <v/>
      </c>
      <c r="X391" s="476" t="str">
        <f>IF($AC$391="","",$X$360)</f>
        <v/>
      </c>
      <c r="Y391" s="477" t="str">
        <f>IF($X$391="","",$Y$360)</f>
        <v/>
      </c>
      <c r="Z391" s="477" t="str">
        <f>IF($X$391="","",$Z$360)</f>
        <v/>
      </c>
      <c r="AA391" s="477" t="str">
        <f>IF($AC$391="","",ROW($A$391)-ROW($A$360))</f>
        <v/>
      </c>
      <c r="AB391" s="478"/>
      <c r="AC391" s="34"/>
      <c r="AD391" s="356"/>
      <c r="AE391" s="479"/>
      <c r="AF391" s="475"/>
      <c r="AG391" s="480" t="str">
        <f t="shared" si="100"/>
        <v/>
      </c>
      <c r="AH391" s="481" t="str">
        <f t="shared" si="101"/>
        <v/>
      </c>
      <c r="AI391" s="477" t="str">
        <f>IF($AC$391="","",IFERROR(INDEX($AZ$74:$AZ$119,MATCH($AH$391,$AY$74:$AY$119,0)),"AUTRE"))</f>
        <v/>
      </c>
      <c r="AJ391" s="482" t="str">
        <f>IF($AC$391="","",IFERROR(INDEX($BA$74:$BA$119,MATCH($AH$391,$AY$74:$AY$119,0)),1))</f>
        <v/>
      </c>
      <c r="AK391" s="482" t="str">
        <f t="shared" si="102"/>
        <v/>
      </c>
      <c r="AL391" s="477" t="str">
        <f>IF($AC$391="","",IFERROR(INDEX($BB$74:$BB$119,MATCH($AH$391,$AY$74:$AY$119,0)),$AH$391))</f>
        <v/>
      </c>
      <c r="AM391" s="483" t="str">
        <f t="shared" si="103"/>
        <v/>
      </c>
      <c r="AN391" s="484" t="str">
        <f t="shared" si="104"/>
        <v/>
      </c>
      <c r="AO391" s="473" t="str">
        <f t="shared" si="105"/>
        <v/>
      </c>
      <c r="AP391" s="473" t="str">
        <f t="shared" si="106"/>
        <v/>
      </c>
      <c r="AQ391" s="473" t="str">
        <f t="shared" si="107"/>
        <v/>
      </c>
      <c r="AR391" s="473" t="str">
        <f t="shared" si="108"/>
        <v/>
      </c>
      <c r="AS391" s="473" t="str">
        <f t="shared" si="109"/>
        <v/>
      </c>
      <c r="AT391" s="473" t="str">
        <f t="shared" si="110"/>
        <v/>
      </c>
      <c r="AU391" s="473" t="str">
        <f t="shared" si="111"/>
        <v/>
      </c>
      <c r="AY391" s="497" t="s">
        <v>463</v>
      </c>
      <c r="AZ391" s="497" t="s">
        <v>8145</v>
      </c>
      <c r="BA391" s="34" t="s">
        <v>6130</v>
      </c>
      <c r="BB391" s="499"/>
      <c r="BC391" s="271"/>
      <c r="BD391" s="279">
        <v>1</v>
      </c>
      <c r="BE391" s="271"/>
      <c r="BF391" s="271"/>
      <c r="BG391" s="271"/>
      <c r="BH391" s="271"/>
      <c r="BI391" s="271"/>
      <c r="BJ391" s="271"/>
      <c r="BK391" s="271"/>
      <c r="BL391" s="271"/>
    </row>
    <row r="392" spans="18:64" ht="21" customHeight="1" x14ac:dyDescent="0.25">
      <c r="R392" s="34" t="s">
        <v>479</v>
      </c>
      <c r="S392" s="451"/>
      <c r="T392" s="32" t="s">
        <v>318</v>
      </c>
      <c r="V392" s="475">
        <v>9</v>
      </c>
      <c r="W392" s="475" t="str">
        <f>IF($AC$392="","",$W$360)</f>
        <v/>
      </c>
      <c r="X392" s="476" t="str">
        <f>IF($AC$392="","",$X$360)</f>
        <v/>
      </c>
      <c r="Y392" s="477" t="str">
        <f>IF($X$392="","",$Y$360)</f>
        <v/>
      </c>
      <c r="Z392" s="477" t="str">
        <f>IF($X$392="","",$Z$360)</f>
        <v/>
      </c>
      <c r="AA392" s="477" t="str">
        <f>IF($AC$392="","",ROW($A$392)-ROW($A$360))</f>
        <v/>
      </c>
      <c r="AB392" s="478"/>
      <c r="AC392" s="34"/>
      <c r="AD392" s="356"/>
      <c r="AE392" s="479"/>
      <c r="AF392" s="475"/>
      <c r="AG392" s="480" t="str">
        <f t="shared" si="100"/>
        <v/>
      </c>
      <c r="AH392" s="481" t="str">
        <f t="shared" si="101"/>
        <v/>
      </c>
      <c r="AI392" s="477" t="str">
        <f>IF($AC$392="","",IFERROR(INDEX($AZ$74:$AZ$119,MATCH($AH$392,$AY$74:$AY$119,0)),"AUTRE"))</f>
        <v/>
      </c>
      <c r="AJ392" s="482" t="str">
        <f>IF($AC$392="","",IFERROR(INDEX($BA$74:$BA$119,MATCH($AH$392,$AY$74:$AY$119,0)),1))</f>
        <v/>
      </c>
      <c r="AK392" s="482" t="str">
        <f t="shared" si="102"/>
        <v/>
      </c>
      <c r="AL392" s="477" t="str">
        <f>IF($AC$392="","",IFERROR(INDEX($BB$74:$BB$119,MATCH($AH$392,$AY$74:$AY$119,0)),$AH$392))</f>
        <v/>
      </c>
      <c r="AM392" s="483" t="str">
        <f t="shared" si="103"/>
        <v/>
      </c>
      <c r="AN392" s="484" t="str">
        <f t="shared" si="104"/>
        <v/>
      </c>
      <c r="AO392" s="473" t="str">
        <f t="shared" si="105"/>
        <v/>
      </c>
      <c r="AP392" s="473" t="str">
        <f t="shared" si="106"/>
        <v/>
      </c>
      <c r="AQ392" s="473" t="str">
        <f t="shared" si="107"/>
        <v/>
      </c>
      <c r="AR392" s="473" t="str">
        <f t="shared" si="108"/>
        <v/>
      </c>
      <c r="AS392" s="473" t="str">
        <f t="shared" si="109"/>
        <v/>
      </c>
      <c r="AT392" s="473" t="str">
        <f t="shared" si="110"/>
        <v/>
      </c>
      <c r="AU392" s="473" t="str">
        <f t="shared" si="111"/>
        <v/>
      </c>
      <c r="AY392" s="497" t="s">
        <v>8147</v>
      </c>
      <c r="AZ392" s="497" t="s">
        <v>462</v>
      </c>
      <c r="BA392" s="34" t="s">
        <v>486</v>
      </c>
      <c r="BB392" s="499"/>
      <c r="BC392" s="271"/>
      <c r="BD392" s="279">
        <v>1</v>
      </c>
      <c r="BE392" s="271"/>
      <c r="BF392" s="271"/>
      <c r="BG392" s="271"/>
      <c r="BH392" s="271"/>
      <c r="BI392" s="271"/>
      <c r="BJ392" s="271"/>
      <c r="BK392" s="271"/>
      <c r="BL392" s="271"/>
    </row>
    <row r="393" spans="18:64" ht="21" customHeight="1" x14ac:dyDescent="0.25">
      <c r="R393" s="34" t="s">
        <v>6131</v>
      </c>
      <c r="S393" s="451"/>
      <c r="T393" s="32" t="s">
        <v>316</v>
      </c>
      <c r="V393" s="475">
        <v>9</v>
      </c>
      <c r="W393" s="475" t="str">
        <f>IF($AC$393="","",$W$360)</f>
        <v/>
      </c>
      <c r="X393" s="476" t="str">
        <f>IF($AC$393="","",$X$360)</f>
        <v/>
      </c>
      <c r="Y393" s="477" t="str">
        <f>IF($X$393="","",$Y$360)</f>
        <v/>
      </c>
      <c r="Z393" s="477" t="str">
        <f>IF($X$393="","",$Z$360)</f>
        <v/>
      </c>
      <c r="AA393" s="477" t="str">
        <f>IF($AC$393="","",ROW($A$393)-ROW($A$360))</f>
        <v/>
      </c>
      <c r="AB393" s="478"/>
      <c r="AC393" s="34"/>
      <c r="AD393" s="356"/>
      <c r="AE393" s="479"/>
      <c r="AF393" s="475"/>
      <c r="AG393" s="480" t="str">
        <f t="shared" si="100"/>
        <v/>
      </c>
      <c r="AH393" s="481" t="str">
        <f t="shared" si="101"/>
        <v/>
      </c>
      <c r="AI393" s="477" t="str">
        <f>IF($AC$393="","",IFERROR(INDEX($AZ$74:$AZ$119,MATCH($AH$393,$AY$74:$AY$119,0)),"AUTRE"))</f>
        <v/>
      </c>
      <c r="AJ393" s="482" t="str">
        <f>IF($AC$393="","",IFERROR(INDEX($BA$74:$BA$119,MATCH($AH$393,$AY$74:$AY$119,0)),1))</f>
        <v/>
      </c>
      <c r="AK393" s="482" t="str">
        <f t="shared" si="102"/>
        <v/>
      </c>
      <c r="AL393" s="477" t="str">
        <f>IF($AC$393="","",IFERROR(INDEX($BB$74:$BB$119,MATCH($AH$393,$AY$74:$AY$119,0)),$AH$393))</f>
        <v/>
      </c>
      <c r="AM393" s="483" t="str">
        <f t="shared" si="103"/>
        <v/>
      </c>
      <c r="AN393" s="484" t="str">
        <f t="shared" si="104"/>
        <v/>
      </c>
      <c r="AO393" s="473" t="str">
        <f t="shared" si="105"/>
        <v/>
      </c>
      <c r="AP393" s="473" t="str">
        <f t="shared" si="106"/>
        <v/>
      </c>
      <c r="AQ393" s="473" t="str">
        <f t="shared" si="107"/>
        <v/>
      </c>
      <c r="AR393" s="473" t="str">
        <f t="shared" si="108"/>
        <v/>
      </c>
      <c r="AS393" s="473" t="str">
        <f t="shared" si="109"/>
        <v/>
      </c>
      <c r="AT393" s="473" t="str">
        <f t="shared" si="110"/>
        <v/>
      </c>
      <c r="AU393" s="473" t="str">
        <f t="shared" si="111"/>
        <v/>
      </c>
      <c r="AY393" s="497" t="s">
        <v>465</v>
      </c>
      <c r="AZ393" s="497" t="s">
        <v>463</v>
      </c>
      <c r="BA393" s="34" t="s">
        <v>479</v>
      </c>
      <c r="BB393" s="499"/>
      <c r="BC393" s="271"/>
      <c r="BD393" s="279">
        <v>1</v>
      </c>
      <c r="BE393" s="271"/>
      <c r="BF393" s="271"/>
      <c r="BG393" s="271"/>
      <c r="BH393" s="271"/>
      <c r="BI393" s="271"/>
      <c r="BJ393" s="271"/>
      <c r="BK393" s="271"/>
      <c r="BL393" s="271"/>
    </row>
    <row r="394" spans="18:64" ht="21" customHeight="1" x14ac:dyDescent="0.25">
      <c r="R394" s="34" t="s">
        <v>485</v>
      </c>
      <c r="S394" s="451"/>
      <c r="T394" s="32" t="s">
        <v>313</v>
      </c>
      <c r="V394" s="475">
        <v>9</v>
      </c>
      <c r="W394" s="475" t="str">
        <f>IF($AC$394="","",$W$360)</f>
        <v/>
      </c>
      <c r="X394" s="476" t="str">
        <f>IF($AC$394="","",$X$360)</f>
        <v/>
      </c>
      <c r="Y394" s="477" t="str">
        <f>IF($X$394="","",$Y$360)</f>
        <v/>
      </c>
      <c r="Z394" s="477" t="str">
        <f>IF($X$394="","",$Z$360)</f>
        <v/>
      </c>
      <c r="AA394" s="477" t="str">
        <f>IF($AC$394="","",ROW($A$394)-ROW($A$360))</f>
        <v/>
      </c>
      <c r="AB394" s="478"/>
      <c r="AC394" s="34"/>
      <c r="AD394" s="356"/>
      <c r="AE394" s="479"/>
      <c r="AF394" s="475"/>
      <c r="AG394" s="491" t="str">
        <f t="shared" si="100"/>
        <v/>
      </c>
      <c r="AH394" s="481" t="str">
        <f t="shared" si="101"/>
        <v/>
      </c>
      <c r="AI394" s="477" t="str">
        <f>IF($AC$394="","",IFERROR(INDEX($AZ$74:$AZ$119,MATCH($AH$394,$AY$74:$AY$119,0)),"AUTRE"))</f>
        <v/>
      </c>
      <c r="AJ394" s="482" t="str">
        <f>IF($AC$394="","",IFERROR(INDEX($BA$74:$BA$119,MATCH($AH$394,$AY$74:$AY$119,0)),1))</f>
        <v/>
      </c>
      <c r="AK394" s="482" t="str">
        <f t="shared" si="102"/>
        <v/>
      </c>
      <c r="AL394" s="477" t="str">
        <f>IF($AC$394="","",IFERROR(INDEX($BB$74:$BB$119,MATCH($AH$394,$AY$74:$AY$119,0)),$AH$394))</f>
        <v/>
      </c>
      <c r="AM394" s="483" t="str">
        <f t="shared" si="103"/>
        <v/>
      </c>
      <c r="AN394" s="484" t="str">
        <f t="shared" si="104"/>
        <v/>
      </c>
      <c r="AO394" s="473" t="str">
        <f t="shared" si="105"/>
        <v/>
      </c>
      <c r="AP394" s="473" t="str">
        <f t="shared" si="106"/>
        <v/>
      </c>
      <c r="AQ394" s="473" t="str">
        <f t="shared" si="107"/>
        <v/>
      </c>
      <c r="AR394" s="473" t="str">
        <f t="shared" si="108"/>
        <v/>
      </c>
      <c r="AS394" s="473" t="str">
        <f t="shared" si="109"/>
        <v/>
      </c>
      <c r="AT394" s="473" t="str">
        <f t="shared" si="110"/>
        <v/>
      </c>
      <c r="AU394" s="473" t="str">
        <f t="shared" si="111"/>
        <v/>
      </c>
      <c r="AY394" s="497" t="s">
        <v>466</v>
      </c>
      <c r="AZ394" s="497" t="s">
        <v>8147</v>
      </c>
      <c r="BA394" s="34" t="s">
        <v>6131</v>
      </c>
      <c r="BB394" s="499"/>
      <c r="BC394" s="271"/>
      <c r="BD394" s="279">
        <v>1</v>
      </c>
      <c r="BE394" s="271"/>
      <c r="BF394" s="271"/>
      <c r="BG394" s="271"/>
      <c r="BH394" s="271"/>
      <c r="BI394" s="271"/>
      <c r="BJ394" s="271"/>
      <c r="BK394" s="271"/>
      <c r="BL394" s="271"/>
    </row>
    <row r="395" spans="18:64" ht="30" customHeight="1" x14ac:dyDescent="0.25">
      <c r="R395" s="34" t="s">
        <v>6132</v>
      </c>
      <c r="S395" s="451"/>
      <c r="T395" s="32" t="s">
        <v>307</v>
      </c>
      <c r="V395" s="453" t="s">
        <v>324</v>
      </c>
      <c r="W395" s="453" t="s">
        <v>7912</v>
      </c>
      <c r="X395" s="453" t="s">
        <v>326</v>
      </c>
      <c r="Y395" s="453" t="s">
        <v>327</v>
      </c>
      <c r="Z395" s="454" t="s">
        <v>7930</v>
      </c>
      <c r="AA395" s="453" t="s">
        <v>7937</v>
      </c>
      <c r="AB395" s="501" t="s">
        <v>39</v>
      </c>
      <c r="AC395" s="501" t="s">
        <v>338</v>
      </c>
      <c r="AD395" s="501" t="s">
        <v>8114</v>
      </c>
      <c r="AE395" s="501" t="s">
        <v>339</v>
      </c>
      <c r="AF395" s="501" t="s">
        <v>7997</v>
      </c>
      <c r="AG395" s="453" t="s">
        <v>8018</v>
      </c>
      <c r="AH395" s="453" t="s">
        <v>8023</v>
      </c>
      <c r="AI395" s="453" t="s">
        <v>330</v>
      </c>
      <c r="AJ395" s="453" t="s">
        <v>8031</v>
      </c>
      <c r="AK395" s="453" t="s">
        <v>8037</v>
      </c>
      <c r="AL395" s="453" t="s">
        <v>8041</v>
      </c>
      <c r="AM395" s="453" t="s">
        <v>343</v>
      </c>
      <c r="AN395" s="457" t="s">
        <v>8115</v>
      </c>
      <c r="AO395" s="457" t="s">
        <v>8116</v>
      </c>
      <c r="AP395" s="656" t="s">
        <v>8117</v>
      </c>
      <c r="AQ395" s="656"/>
      <c r="AR395" s="656"/>
      <c r="AS395" s="656"/>
      <c r="AT395" s="656"/>
      <c r="AU395" s="657"/>
      <c r="AZ395" s="497" t="s">
        <v>465</v>
      </c>
      <c r="BA395" s="34" t="s">
        <v>485</v>
      </c>
      <c r="BB395" s="499"/>
      <c r="BC395" s="271"/>
      <c r="BD395" s="279">
        <v>1</v>
      </c>
      <c r="BE395" s="271"/>
      <c r="BF395" s="271"/>
      <c r="BG395" s="271"/>
      <c r="BH395" s="271"/>
      <c r="BI395" s="271"/>
      <c r="BJ395" s="271"/>
      <c r="BK395" s="271"/>
      <c r="BL395" s="271"/>
    </row>
    <row r="396" spans="18:64" ht="30" customHeight="1" x14ac:dyDescent="0.25">
      <c r="R396" s="25" t="s">
        <v>6133</v>
      </c>
      <c r="S396" s="451"/>
      <c r="T396" s="32" t="s">
        <v>322</v>
      </c>
      <c r="V396" s="459">
        <v>10</v>
      </c>
      <c r="W396" s="460" t="s">
        <v>8159</v>
      </c>
      <c r="X396" s="461" t="s">
        <v>8164</v>
      </c>
      <c r="Y396" s="502"/>
      <c r="Z396" s="463">
        <v>100</v>
      </c>
      <c r="AA396" s="464">
        <f>IF($AC$396="","",ROW($A$396)-ROW($A$396))</f>
        <v>0</v>
      </c>
      <c r="AB396" s="461"/>
      <c r="AC396" s="465" t="s">
        <v>8165</v>
      </c>
      <c r="AD396" s="390"/>
      <c r="AE396" s="390"/>
      <c r="AF396" s="466"/>
      <c r="AG396" s="467" t="str">
        <f t="shared" ref="AG396:AG430" si="112">IF($AC396="","",IF(LEN($AN396&amp;"")=0,"",$AN396))</f>
        <v/>
      </c>
      <c r="AH396" s="468" t="str">
        <f t="shared" ref="AH396:AH430" si="113">IF($AC396="","",IF($AF396&lt;&gt;"",UPPER(TRIM(SUBSTITUTE(SUBSTITUTE($AF396&amp;"",CHAR(160)," ")," "," "))),$AP396))</f>
        <v/>
      </c>
      <c r="AI396" s="469" t="str">
        <f>IF($AC$396="","",IFERROR(INDEX($AZ$74:$AZ$119,MATCH($AH$396,$AY$74:$AY$119,0)),"AUTRE"))</f>
        <v>AUTRE</v>
      </c>
      <c r="AJ396" s="470">
        <f>IF($AC$396="","",IFERROR(INDEX($BA$74:$BA$119,MATCH($AH$396,$AY$74:$AY$119,0)),1))</f>
        <v>1</v>
      </c>
      <c r="AK396" s="470" t="str">
        <f t="shared" ref="AK396:AK430" si="114">IF(OR(AG396="",AJ396=""),"",AG396*AJ396)</f>
        <v/>
      </c>
      <c r="AL396" s="469" t="str">
        <f>IF($AC$396="","",IFERROR(INDEX($BB$74:$BB$119,MATCH($AH$396,$AY$74:$AY$119,0)),$AH$396))</f>
        <v/>
      </c>
      <c r="AM396" s="471" t="str">
        <f t="shared" ref="AM396:AM430" si="115">IF($AC396="","",IF($AH396="QT. SUFFISANTE","OK",IF($AG396="","TEXTE",IF(NOT(ISNUMBER($AG396)),"QUANTITÉ À CONTRÔLER",IF(COUNTIF($AY$74:$AY$119,$AH396)=0,"UNITÉ À CONTRÔLER","OK")))))</f>
        <v>TEXTE</v>
      </c>
      <c r="AN396" s="474" t="str">
        <f t="shared" ref="AN396:AN430" si="116">IF($AE396&lt;&gt;"",$AE396,IF($AD396="","",IF(ISNUMBER($AD396),$AD396,IF($AO396="QT",0,IF($AO396="","",IFERROR(IF(ISNUMBER(SEARCH("/",$AO396)),VALUE(TRIM(LEFT($AO396,SEARCH("/",$AO396)-1)))/VALUE(TRIM(MID($AO396,SEARCH("/",$AO396)+1,99))),VALUE(SUBSTITUTE($AO396,".",","))),""))))))</f>
        <v/>
      </c>
      <c r="AO396" s="473" t="str">
        <f t="shared" ref="AO396:AO430" si="117">IF($AD396="","",IF(ISNUMBER($AD396),$AD396,IF(OR(LEFT($AQ396,3)="QT.",LEFT($AQ396,4)="QUAN"),"QT",IF($AR396=999,$AQ396,TRIM(LEFT($AQ396,$AR396-1))))))</f>
        <v/>
      </c>
      <c r="AP396" s="473" t="str">
        <f t="shared" ref="AP396:AP430" si="118">IF($AD396="","",IF(ISNUMBER($AD396),"",IF(OR(LEFT($AQ396,3)="QT.",LEFT($AQ396,4)="QUAN"),"QT. SUFFISANTE",IF($AO396="","",TRIM(MID($AQ396,LEN($AO396&amp;"")+1,999))))))</f>
        <v/>
      </c>
      <c r="AQ396" s="473" t="str">
        <f t="shared" ref="AQ396:AQ430" si="119">IF($AD396="","",UPPER(TRIM(SUBSTITUTE(SUBSTITUTE($AD396&amp;"",CHAR(160)," ")," "," "))))</f>
        <v/>
      </c>
      <c r="AR396" s="473" t="str">
        <f t="shared" ref="AR396:AR430" si="120">IF($AQ396="","",MIN($AS396,$AT396,$AU396))</f>
        <v/>
      </c>
      <c r="AS396" s="473" t="str">
        <f t="shared" ref="AS396:AS430" si="121">IF($AQ396="","",MIN(IFERROR(SEARCH("A",$AQ396),999),IFERROR(SEARCH("B",$AQ396),999),IFERROR(SEARCH("C",$AQ396),999),IFERROR(SEARCH("D",$AQ396),999),IFERROR(SEARCH("E",$AQ396),999),IFERROR(SEARCH("F",$AQ396),999),IFERROR(SEARCH("G",$AQ396),999),IFERROR(SEARCH("H",$AQ396),999),IFERROR(SEARCH("I",$AQ396),999)))</f>
        <v/>
      </c>
      <c r="AT396" s="473" t="str">
        <f t="shared" ref="AT396:AT430" si="122">IF($AQ396="","",MIN(IFERROR(SEARCH("J",$AQ396),999),IFERROR(SEARCH("K",$AQ396),999),IFERROR(SEARCH("L",$AQ396),999),IFERROR(SEARCH("M",$AQ396),999),IFERROR(SEARCH("N",$AQ396),999),IFERROR(SEARCH("O",$AQ396),999),IFERROR(SEARCH("P",$AQ396),999),IFERROR(SEARCH("Q",$AQ396),999),IFERROR(SEARCH("R",$AQ396),999)))</f>
        <v/>
      </c>
      <c r="AU396" s="473" t="str">
        <f t="shared" ref="AU396:AU430" si="123">IF($AQ396="","",MIN(IFERROR(SEARCH("S",$AQ396),999),IFERROR(SEARCH("T",$AQ396),999),IFERROR(SEARCH("U",$AQ396),999),IFERROR(SEARCH("V",$AQ396),999),IFERROR(SEARCH("W",$AQ396),999),IFERROR(SEARCH("X",$AQ396),999),IFERROR(SEARCH("Y",$AQ396),999),IFERROR(SEARCH("Z",$AQ396),999)))</f>
        <v/>
      </c>
      <c r="AZ396" s="497" t="s">
        <v>466</v>
      </c>
      <c r="BA396" s="34" t="s">
        <v>6132</v>
      </c>
      <c r="BB396" s="499"/>
      <c r="BC396" s="271"/>
      <c r="BD396" s="279">
        <v>1</v>
      </c>
      <c r="BE396" s="271"/>
      <c r="BF396" s="271"/>
      <c r="BG396" s="271"/>
      <c r="BH396" s="271"/>
      <c r="BI396" s="271"/>
      <c r="BJ396" s="271"/>
      <c r="BK396" s="271"/>
      <c r="BL396" s="271"/>
    </row>
    <row r="397" spans="18:64" ht="21" customHeight="1" x14ac:dyDescent="0.25">
      <c r="R397" s="34" t="s">
        <v>476</v>
      </c>
      <c r="S397" s="451"/>
      <c r="T397" s="32" t="s">
        <v>305</v>
      </c>
      <c r="V397" s="475">
        <f>$V$396</f>
        <v>10</v>
      </c>
      <c r="W397" s="475" t="str">
        <f>IF($AC$397="","",$W$396)</f>
        <v/>
      </c>
      <c r="X397" s="476" t="str">
        <f>IF($AC$397="","",$X$396)</f>
        <v/>
      </c>
      <c r="Y397" s="477" t="str">
        <f>IF($X$397="","",$Y$396)</f>
        <v/>
      </c>
      <c r="Z397" s="477" t="str">
        <f>IF($X$397="","",$Z$396)</f>
        <v/>
      </c>
      <c r="AA397" s="477" t="str">
        <f>IF($AC$397="","",ROW($A$397)-ROW($A$396))</f>
        <v/>
      </c>
      <c r="AB397" s="478"/>
      <c r="AC397" s="34"/>
      <c r="AD397" s="356"/>
      <c r="AE397" s="479"/>
      <c r="AF397" s="475"/>
      <c r="AG397" s="480" t="str">
        <f t="shared" si="112"/>
        <v/>
      </c>
      <c r="AH397" s="481" t="str">
        <f t="shared" si="113"/>
        <v/>
      </c>
      <c r="AI397" s="477" t="str">
        <f>IF($AC$397="","",IFERROR(INDEX($AZ$74:$AZ$119,MATCH($AH$397,$AY$74:$AY$119,0)),"AUTRE"))</f>
        <v/>
      </c>
      <c r="AJ397" s="482" t="str">
        <f>IF($AC$397="","",IFERROR(INDEX($BA$74:$BA$119,MATCH($AH$397,$AY$74:$AY$119,0)),1))</f>
        <v/>
      </c>
      <c r="AK397" s="482" t="str">
        <f t="shared" si="114"/>
        <v/>
      </c>
      <c r="AL397" s="477" t="str">
        <f>IF($AC$397="","",IFERROR(INDEX($BB$74:$BB$119,MATCH($AH$397,$AY$74:$AY$119,0)),$AH$397))</f>
        <v/>
      </c>
      <c r="AM397" s="483" t="str">
        <f t="shared" si="115"/>
        <v/>
      </c>
      <c r="AN397" s="484" t="str">
        <f t="shared" si="116"/>
        <v/>
      </c>
      <c r="AO397" s="473" t="str">
        <f t="shared" si="117"/>
        <v/>
      </c>
      <c r="AP397" s="473" t="str">
        <f t="shared" si="118"/>
        <v/>
      </c>
      <c r="AQ397" s="473" t="str">
        <f t="shared" si="119"/>
        <v/>
      </c>
      <c r="AR397" s="473" t="str">
        <f t="shared" si="120"/>
        <v/>
      </c>
      <c r="AS397" s="473" t="str">
        <f t="shared" si="121"/>
        <v/>
      </c>
      <c r="AT397" s="473" t="str">
        <f t="shared" si="122"/>
        <v/>
      </c>
      <c r="AU397" s="473" t="str">
        <f t="shared" si="123"/>
        <v/>
      </c>
      <c r="AZ397" s="14" t="s">
        <v>7</v>
      </c>
      <c r="BA397" s="25" t="s">
        <v>6133</v>
      </c>
      <c r="BB397" s="499"/>
      <c r="BC397" s="271"/>
      <c r="BD397" s="279">
        <v>1</v>
      </c>
      <c r="BE397" s="271"/>
      <c r="BF397" s="271"/>
      <c r="BG397" s="271"/>
      <c r="BH397" s="271"/>
      <c r="BI397" s="271"/>
      <c r="BJ397" s="271"/>
      <c r="BK397" s="271"/>
      <c r="BL397" s="271"/>
    </row>
    <row r="398" spans="18:64" ht="21" customHeight="1" x14ac:dyDescent="0.25">
      <c r="R398" s="34" t="s">
        <v>468</v>
      </c>
      <c r="S398" s="451"/>
      <c r="T398" s="32" t="s">
        <v>309</v>
      </c>
      <c r="V398" s="475">
        <v>10</v>
      </c>
      <c r="W398" s="475" t="str">
        <f>IF($AC$398="","",$W$396)</f>
        <v/>
      </c>
      <c r="X398" s="476" t="str">
        <f>IF($AC$398="","",$X$396)</f>
        <v/>
      </c>
      <c r="Y398" s="477" t="str">
        <f>IF($X$398="","",$Y$396)</f>
        <v/>
      </c>
      <c r="Z398" s="477" t="str">
        <f>IF($X$398="","",$Z$396)</f>
        <v/>
      </c>
      <c r="AA398" s="477" t="str">
        <f>IF($AC$398="","",ROW($A$398)-ROW($A$396))</f>
        <v/>
      </c>
      <c r="AB398" s="478"/>
      <c r="AC398" s="34"/>
      <c r="AD398" s="356"/>
      <c r="AE398" s="479"/>
      <c r="AF398" s="475"/>
      <c r="AG398" s="480" t="str">
        <f t="shared" si="112"/>
        <v/>
      </c>
      <c r="AH398" s="481" t="str">
        <f t="shared" si="113"/>
        <v/>
      </c>
      <c r="AI398" s="477" t="str">
        <f>IF($AC$398="","",IFERROR(INDEX($AZ$74:$AZ$119,MATCH($AH$398,$AY$74:$AY$119,0)),"AUTRE"))</f>
        <v/>
      </c>
      <c r="AJ398" s="482" t="str">
        <f>IF($AC$398="","",IFERROR(INDEX($BA$74:$BA$119,MATCH($AH$398,$AY$74:$AY$119,0)),1))</f>
        <v/>
      </c>
      <c r="AK398" s="482" t="str">
        <f t="shared" si="114"/>
        <v/>
      </c>
      <c r="AL398" s="477" t="str">
        <f>IF($AC$398="","",IFERROR(INDEX($BB$74:$BB$119,MATCH($AH$398,$AY$74:$AY$119,0)),$AH$398))</f>
        <v/>
      </c>
      <c r="AM398" s="483" t="str">
        <f t="shared" si="115"/>
        <v/>
      </c>
      <c r="AN398" s="484" t="str">
        <f t="shared" si="116"/>
        <v/>
      </c>
      <c r="AO398" s="473" t="str">
        <f t="shared" si="117"/>
        <v/>
      </c>
      <c r="AP398" s="473" t="str">
        <f t="shared" si="118"/>
        <v/>
      </c>
      <c r="AQ398" s="473" t="str">
        <f t="shared" si="119"/>
        <v/>
      </c>
      <c r="AR398" s="473" t="str">
        <f t="shared" si="120"/>
        <v/>
      </c>
      <c r="AS398" s="473" t="str">
        <f t="shared" si="121"/>
        <v/>
      </c>
      <c r="AT398" s="473" t="str">
        <f t="shared" si="122"/>
        <v/>
      </c>
      <c r="AU398" s="473" t="str">
        <f t="shared" si="123"/>
        <v/>
      </c>
      <c r="AZ398" s="27" t="s">
        <v>8</v>
      </c>
      <c r="BA398" s="34" t="s">
        <v>476</v>
      </c>
      <c r="BB398" s="499"/>
      <c r="BC398" s="271"/>
      <c r="BD398" s="279">
        <v>1</v>
      </c>
      <c r="BE398" s="271"/>
      <c r="BF398" s="271"/>
      <c r="BG398" s="271"/>
      <c r="BH398" s="271"/>
      <c r="BI398" s="271"/>
      <c r="BJ398" s="271"/>
      <c r="BK398" s="271"/>
      <c r="BL398" s="271"/>
    </row>
    <row r="399" spans="18:64" ht="21" customHeight="1" x14ac:dyDescent="0.25">
      <c r="R399" s="34" t="s">
        <v>473</v>
      </c>
      <c r="S399" s="451"/>
      <c r="T399" s="32" t="s">
        <v>311</v>
      </c>
      <c r="V399" s="475">
        <v>10</v>
      </c>
      <c r="W399" s="475" t="str">
        <f>IF($AC$399="","",$W$396)</f>
        <v/>
      </c>
      <c r="X399" s="476" t="str">
        <f>IF($AC$399="","",$X$396)</f>
        <v/>
      </c>
      <c r="Y399" s="477" t="str">
        <f>IF($X$399="","",$Y$396)</f>
        <v/>
      </c>
      <c r="Z399" s="477" t="str">
        <f>IF($X$399="","",$Z$396)</f>
        <v/>
      </c>
      <c r="AA399" s="477" t="str">
        <f>IF($AC$399="","",ROW($A$399)-ROW($A$396))</f>
        <v/>
      </c>
      <c r="AB399" s="478"/>
      <c r="AC399" s="34"/>
      <c r="AD399" s="356"/>
      <c r="AE399" s="479"/>
      <c r="AF399" s="475"/>
      <c r="AG399" s="480" t="str">
        <f t="shared" si="112"/>
        <v/>
      </c>
      <c r="AH399" s="481" t="str">
        <f t="shared" si="113"/>
        <v/>
      </c>
      <c r="AI399" s="477" t="str">
        <f>IF($AC$399="","",IFERROR(INDEX($AZ$74:$AZ$119,MATCH($AH$399,$AY$74:$AY$119,0)),"AUTRE"))</f>
        <v/>
      </c>
      <c r="AJ399" s="482" t="str">
        <f>IF($AC$399="","",IFERROR(INDEX($BA$74:$BA$119,MATCH($AH$399,$AY$74:$AY$119,0)),1))</f>
        <v/>
      </c>
      <c r="AK399" s="482" t="str">
        <f t="shared" si="114"/>
        <v/>
      </c>
      <c r="AL399" s="477" t="str">
        <f>IF($AC$399="","",IFERROR(INDEX($BB$74:$BB$119,MATCH($AH$399,$AY$74:$AY$119,0)),$AH$399))</f>
        <v/>
      </c>
      <c r="AM399" s="483" t="str">
        <f t="shared" si="115"/>
        <v/>
      </c>
      <c r="AN399" s="484" t="str">
        <f t="shared" si="116"/>
        <v/>
      </c>
      <c r="AO399" s="473" t="str">
        <f t="shared" si="117"/>
        <v/>
      </c>
      <c r="AP399" s="473" t="str">
        <f t="shared" si="118"/>
        <v/>
      </c>
      <c r="AQ399" s="473" t="str">
        <f t="shared" si="119"/>
        <v/>
      </c>
      <c r="AR399" s="473" t="str">
        <f t="shared" si="120"/>
        <v/>
      </c>
      <c r="AS399" s="473" t="str">
        <f t="shared" si="121"/>
        <v/>
      </c>
      <c r="AT399" s="473" t="str">
        <f t="shared" si="122"/>
        <v/>
      </c>
      <c r="AU399" s="473" t="str">
        <f t="shared" si="123"/>
        <v/>
      </c>
      <c r="AZ399" s="28" t="s">
        <v>13</v>
      </c>
      <c r="BA399" s="34" t="s">
        <v>468</v>
      </c>
      <c r="BB399" s="499"/>
      <c r="BC399" s="271"/>
      <c r="BD399" s="279">
        <v>1</v>
      </c>
      <c r="BE399" s="271"/>
      <c r="BF399" s="271"/>
      <c r="BG399" s="271"/>
      <c r="BH399" s="271"/>
      <c r="BI399" s="271"/>
      <c r="BJ399" s="271"/>
      <c r="BK399" s="271"/>
      <c r="BL399" s="271"/>
    </row>
    <row r="400" spans="18:64" ht="21" customHeight="1" x14ac:dyDescent="0.25">
      <c r="R400" s="34" t="s">
        <v>497</v>
      </c>
      <c r="S400" s="451"/>
      <c r="T400" s="32" t="s">
        <v>8135</v>
      </c>
      <c r="V400" s="475">
        <v>10</v>
      </c>
      <c r="W400" s="475" t="str">
        <f>IF($AC$400="","",$W$396)</f>
        <v/>
      </c>
      <c r="X400" s="476" t="str">
        <f>IF($AC$400="","",$X$396)</f>
        <v/>
      </c>
      <c r="Y400" s="477" t="str">
        <f>IF($X$400="","",$Y$396)</f>
        <v/>
      </c>
      <c r="Z400" s="477" t="str">
        <f>IF($X$400="","",$Z$396)</f>
        <v/>
      </c>
      <c r="AA400" s="477" t="str">
        <f>IF($AC$400="","",ROW($A$400)-ROW($A$396))</f>
        <v/>
      </c>
      <c r="AB400" s="478"/>
      <c r="AC400" s="34"/>
      <c r="AD400" s="356"/>
      <c r="AE400" s="479"/>
      <c r="AF400" s="475"/>
      <c r="AG400" s="480" t="str">
        <f t="shared" si="112"/>
        <v/>
      </c>
      <c r="AH400" s="481" t="str">
        <f t="shared" si="113"/>
        <v/>
      </c>
      <c r="AI400" s="477" t="str">
        <f>IF($AC$400="","",IFERROR(INDEX($AZ$74:$AZ$119,MATCH($AH$400,$AY$74:$AY$119,0)),"AUTRE"))</f>
        <v/>
      </c>
      <c r="AJ400" s="482" t="str">
        <f>IF($AC$400="","",IFERROR(INDEX($BA$74:$BA$119,MATCH($AH$400,$AY$74:$AY$119,0)),1))</f>
        <v/>
      </c>
      <c r="AK400" s="482" t="str">
        <f t="shared" si="114"/>
        <v/>
      </c>
      <c r="AL400" s="477" t="str">
        <f>IF($AC$400="","",IFERROR(INDEX($BB$74:$BB$119,MATCH($AH$400,$AY$74:$AY$119,0)),$AH$400))</f>
        <v/>
      </c>
      <c r="AM400" s="483" t="str">
        <f t="shared" si="115"/>
        <v/>
      </c>
      <c r="AN400" s="484" t="str">
        <f t="shared" si="116"/>
        <v/>
      </c>
      <c r="AO400" s="473" t="str">
        <f t="shared" si="117"/>
        <v/>
      </c>
      <c r="AP400" s="473" t="str">
        <f t="shared" si="118"/>
        <v/>
      </c>
      <c r="AQ400" s="473" t="str">
        <f t="shared" si="119"/>
        <v/>
      </c>
      <c r="AR400" s="473" t="str">
        <f t="shared" si="120"/>
        <v/>
      </c>
      <c r="AS400" s="473" t="str">
        <f t="shared" si="121"/>
        <v/>
      </c>
      <c r="AT400" s="473" t="str">
        <f t="shared" si="122"/>
        <v/>
      </c>
      <c r="AU400" s="473" t="str">
        <f t="shared" si="123"/>
        <v/>
      </c>
      <c r="AZ400" s="28" t="s">
        <v>14</v>
      </c>
      <c r="BA400" s="34" t="s">
        <v>473</v>
      </c>
      <c r="BB400" s="499"/>
      <c r="BC400" s="271"/>
      <c r="BD400" s="279">
        <v>1</v>
      </c>
      <c r="BE400" s="271"/>
      <c r="BF400" s="271"/>
      <c r="BG400" s="271"/>
      <c r="BH400" s="271"/>
      <c r="BI400" s="271"/>
      <c r="BJ400" s="271"/>
      <c r="BK400" s="271"/>
      <c r="BL400" s="271"/>
    </row>
    <row r="401" spans="18:64" ht="21" customHeight="1" x14ac:dyDescent="0.25">
      <c r="R401" s="34" t="s">
        <v>470</v>
      </c>
      <c r="S401" s="451"/>
      <c r="T401" s="497" t="s">
        <v>462</v>
      </c>
      <c r="V401" s="475">
        <v>10</v>
      </c>
      <c r="W401" s="475" t="str">
        <f>IF($AC$401="","",$W$396)</f>
        <v/>
      </c>
      <c r="X401" s="476" t="str">
        <f>IF($AC$401="","",$X$396)</f>
        <v/>
      </c>
      <c r="Y401" s="477" t="str">
        <f>IF($X$401="","",$Y$396)</f>
        <v/>
      </c>
      <c r="Z401" s="477" t="str">
        <f>IF($X$401="","",$Z$396)</f>
        <v/>
      </c>
      <c r="AA401" s="477" t="str">
        <f>IF($AC$401="","",ROW($A$401)-ROW($A$396))</f>
        <v/>
      </c>
      <c r="AB401" s="478"/>
      <c r="AC401" s="34"/>
      <c r="AD401" s="356"/>
      <c r="AE401" s="479"/>
      <c r="AF401" s="475"/>
      <c r="AG401" s="480" t="str">
        <f t="shared" si="112"/>
        <v/>
      </c>
      <c r="AH401" s="481" t="str">
        <f t="shared" si="113"/>
        <v/>
      </c>
      <c r="AI401" s="477" t="str">
        <f>IF($AC$401="","",IFERROR(INDEX($AZ$74:$AZ$119,MATCH($AH$401,$AY$74:$AY$119,0)),"AUTRE"))</f>
        <v/>
      </c>
      <c r="AJ401" s="482" t="str">
        <f>IF($AC$401="","",IFERROR(INDEX($BA$74:$BA$119,MATCH($AH$401,$AY$74:$AY$119,0)),1))</f>
        <v/>
      </c>
      <c r="AK401" s="482" t="str">
        <f t="shared" si="114"/>
        <v/>
      </c>
      <c r="AL401" s="477" t="str">
        <f>IF($AC$401="","",IFERROR(INDEX($BB$74:$BB$119,MATCH($AH$401,$AY$74:$AY$119,0)),$AH$401))</f>
        <v/>
      </c>
      <c r="AM401" s="483" t="str">
        <f t="shared" si="115"/>
        <v/>
      </c>
      <c r="AN401" s="484" t="str">
        <f t="shared" si="116"/>
        <v/>
      </c>
      <c r="AO401" s="473" t="str">
        <f t="shared" si="117"/>
        <v/>
      </c>
      <c r="AP401" s="473" t="str">
        <f t="shared" si="118"/>
        <v/>
      </c>
      <c r="AQ401" s="473" t="str">
        <f t="shared" si="119"/>
        <v/>
      </c>
      <c r="AR401" s="473" t="str">
        <f t="shared" si="120"/>
        <v/>
      </c>
      <c r="AS401" s="473" t="str">
        <f t="shared" si="121"/>
        <v/>
      </c>
      <c r="AT401" s="473" t="str">
        <f t="shared" si="122"/>
        <v/>
      </c>
      <c r="AU401" s="473" t="str">
        <f t="shared" si="123"/>
        <v/>
      </c>
      <c r="AZ401" s="28" t="s">
        <v>15</v>
      </c>
      <c r="BA401" s="34" t="s">
        <v>497</v>
      </c>
      <c r="BB401" s="499"/>
      <c r="BC401" s="271"/>
      <c r="BD401" s="279">
        <v>1</v>
      </c>
      <c r="BE401" s="271"/>
      <c r="BF401" s="271"/>
      <c r="BG401" s="271"/>
      <c r="BH401" s="271"/>
      <c r="BI401" s="271"/>
      <c r="BJ401" s="271"/>
      <c r="BK401" s="271"/>
      <c r="BL401" s="271"/>
    </row>
    <row r="402" spans="18:64" ht="21" customHeight="1" x14ac:dyDescent="0.25">
      <c r="R402" s="34" t="s">
        <v>477</v>
      </c>
      <c r="S402" s="451"/>
      <c r="T402" s="497" t="s">
        <v>463</v>
      </c>
      <c r="V402" s="475">
        <v>10</v>
      </c>
      <c r="W402" s="475" t="str">
        <f>IF($AC$402="","",$W$396)</f>
        <v/>
      </c>
      <c r="X402" s="476" t="str">
        <f>IF($AC$402="","",$X$396)</f>
        <v/>
      </c>
      <c r="Y402" s="477" t="str">
        <f>IF($X$402="","",$Y$396)</f>
        <v/>
      </c>
      <c r="Z402" s="477" t="str">
        <f>IF($X$402="","",$Z$396)</f>
        <v/>
      </c>
      <c r="AA402" s="477" t="str">
        <f>IF($AC$402="","",ROW($A$402)-ROW($A$396))</f>
        <v/>
      </c>
      <c r="AB402" s="478"/>
      <c r="AC402" s="34"/>
      <c r="AD402" s="356"/>
      <c r="AE402" s="479"/>
      <c r="AF402" s="475"/>
      <c r="AG402" s="480" t="str">
        <f t="shared" si="112"/>
        <v/>
      </c>
      <c r="AH402" s="481" t="str">
        <f t="shared" si="113"/>
        <v/>
      </c>
      <c r="AI402" s="477" t="str">
        <f>IF($AC$402="","",IFERROR(INDEX($AZ$74:$AZ$119,MATCH($AH$402,$AY$74:$AY$119,0)),"AUTRE"))</f>
        <v/>
      </c>
      <c r="AJ402" s="482" t="str">
        <f>IF($AC$402="","",IFERROR(INDEX($BA$74:$BA$119,MATCH($AH$402,$AY$74:$AY$119,0)),1))</f>
        <v/>
      </c>
      <c r="AK402" s="482" t="str">
        <f t="shared" si="114"/>
        <v/>
      </c>
      <c r="AL402" s="477" t="str">
        <f>IF($AC$402="","",IFERROR(INDEX($BB$74:$BB$119,MATCH($AH$402,$AY$74:$AY$119,0)),$AH$402))</f>
        <v/>
      </c>
      <c r="AM402" s="483" t="str">
        <f t="shared" si="115"/>
        <v/>
      </c>
      <c r="AN402" s="484" t="str">
        <f t="shared" si="116"/>
        <v/>
      </c>
      <c r="AO402" s="473" t="str">
        <f t="shared" si="117"/>
        <v/>
      </c>
      <c r="AP402" s="473" t="str">
        <f t="shared" si="118"/>
        <v/>
      </c>
      <c r="AQ402" s="473" t="str">
        <f t="shared" si="119"/>
        <v/>
      </c>
      <c r="AR402" s="473" t="str">
        <f t="shared" si="120"/>
        <v/>
      </c>
      <c r="AS402" s="473" t="str">
        <f t="shared" si="121"/>
        <v/>
      </c>
      <c r="AT402" s="473" t="str">
        <f t="shared" si="122"/>
        <v/>
      </c>
      <c r="AU402" s="473" t="str">
        <f t="shared" si="123"/>
        <v/>
      </c>
      <c r="AZ402" s="29" t="s">
        <v>9</v>
      </c>
      <c r="BA402" s="34" t="s">
        <v>470</v>
      </c>
      <c r="BB402" s="499"/>
      <c r="BC402" s="271"/>
      <c r="BD402" s="279">
        <v>1</v>
      </c>
      <c r="BE402" s="271"/>
      <c r="BF402" s="271"/>
      <c r="BG402" s="271"/>
      <c r="BH402" s="271"/>
      <c r="BI402" s="271"/>
      <c r="BJ402" s="271"/>
      <c r="BK402" s="271"/>
      <c r="BL402" s="271"/>
    </row>
    <row r="403" spans="18:64" ht="21" customHeight="1" x14ac:dyDescent="0.25">
      <c r="S403" s="451"/>
      <c r="T403" s="497" t="s">
        <v>8147</v>
      </c>
      <c r="V403" s="475">
        <v>10</v>
      </c>
      <c r="W403" s="475" t="str">
        <f>IF($AC$403="","",$W$396)</f>
        <v/>
      </c>
      <c r="X403" s="476" t="str">
        <f>IF($AC$403="","",$X$396)</f>
        <v/>
      </c>
      <c r="Y403" s="477" t="str">
        <f>IF($X$403="","",$Y$396)</f>
        <v/>
      </c>
      <c r="Z403" s="477" t="str">
        <f>IF($X$403="","",$Z$396)</f>
        <v/>
      </c>
      <c r="AA403" s="477" t="str">
        <f>IF($AC$403="","",ROW($A$403)-ROW($A$396))</f>
        <v/>
      </c>
      <c r="AB403" s="478"/>
      <c r="AC403" s="34"/>
      <c r="AD403" s="356"/>
      <c r="AE403" s="479"/>
      <c r="AF403" s="475"/>
      <c r="AG403" s="480" t="str">
        <f t="shared" si="112"/>
        <v/>
      </c>
      <c r="AH403" s="481" t="str">
        <f t="shared" si="113"/>
        <v/>
      </c>
      <c r="AI403" s="477" t="str">
        <f>IF($AC$403="","",IFERROR(INDEX($AZ$74:$AZ$119,MATCH($AH$403,$AY$74:$AY$119,0)),"AUTRE"))</f>
        <v/>
      </c>
      <c r="AJ403" s="482" t="str">
        <f>IF($AC$403="","",IFERROR(INDEX($BA$74:$BA$119,MATCH($AH$403,$AY$74:$AY$119,0)),1))</f>
        <v/>
      </c>
      <c r="AK403" s="482" t="str">
        <f t="shared" si="114"/>
        <v/>
      </c>
      <c r="AL403" s="477" t="str">
        <f>IF($AC$403="","",IFERROR(INDEX($BB$74:$BB$119,MATCH($AH$403,$AY$74:$AY$119,0)),$AH$403))</f>
        <v/>
      </c>
      <c r="AM403" s="483" t="str">
        <f t="shared" si="115"/>
        <v/>
      </c>
      <c r="AN403" s="484" t="str">
        <f t="shared" si="116"/>
        <v/>
      </c>
      <c r="AO403" s="473" t="str">
        <f t="shared" si="117"/>
        <v/>
      </c>
      <c r="AP403" s="473" t="str">
        <f t="shared" si="118"/>
        <v/>
      </c>
      <c r="AQ403" s="473" t="str">
        <f t="shared" si="119"/>
        <v/>
      </c>
      <c r="AR403" s="473" t="str">
        <f t="shared" si="120"/>
        <v/>
      </c>
      <c r="AS403" s="473" t="str">
        <f t="shared" si="121"/>
        <v/>
      </c>
      <c r="AT403" s="473" t="str">
        <f t="shared" si="122"/>
        <v/>
      </c>
      <c r="AU403" s="473" t="str">
        <f t="shared" si="123"/>
        <v/>
      </c>
      <c r="AZ403" s="30" t="s">
        <v>10</v>
      </c>
      <c r="BA403" s="34" t="s">
        <v>477</v>
      </c>
      <c r="BB403" s="499"/>
      <c r="BC403" s="271"/>
      <c r="BD403" s="279">
        <v>1</v>
      </c>
      <c r="BE403" s="271"/>
      <c r="BF403" s="271"/>
      <c r="BG403" s="271"/>
      <c r="BH403" s="271"/>
      <c r="BI403" s="271"/>
      <c r="BJ403" s="271"/>
      <c r="BK403" s="271"/>
      <c r="BL403" s="271"/>
    </row>
    <row r="404" spans="18:64" ht="21" customHeight="1" x14ac:dyDescent="0.25">
      <c r="R404" s="25" t="s">
        <v>6134</v>
      </c>
      <c r="S404" s="451"/>
      <c r="T404" s="497" t="s">
        <v>465</v>
      </c>
      <c r="V404" s="475">
        <v>10</v>
      </c>
      <c r="W404" s="475" t="str">
        <f>IF($AC$404="","",$W$396)</f>
        <v/>
      </c>
      <c r="X404" s="476" t="str">
        <f>IF($AC$404="","",$X$396)</f>
        <v/>
      </c>
      <c r="Y404" s="477" t="str">
        <f>IF($X$404="","",$Y$396)</f>
        <v/>
      </c>
      <c r="Z404" s="477" t="str">
        <f>IF($X$404="","",$Z$396)</f>
        <v/>
      </c>
      <c r="AA404" s="477" t="str">
        <f>IF($AC$404="","",ROW($A$404)-ROW($A$396))</f>
        <v/>
      </c>
      <c r="AB404" s="478"/>
      <c r="AC404" s="34"/>
      <c r="AD404" s="356"/>
      <c r="AE404" s="479"/>
      <c r="AF404" s="475"/>
      <c r="AG404" s="480" t="str">
        <f t="shared" si="112"/>
        <v/>
      </c>
      <c r="AH404" s="481" t="str">
        <f t="shared" si="113"/>
        <v/>
      </c>
      <c r="AI404" s="477" t="str">
        <f>IF($AC$404="","",IFERROR(INDEX($AZ$74:$AZ$119,MATCH($AH$404,$AY$74:$AY$119,0)),"AUTRE"))</f>
        <v/>
      </c>
      <c r="AJ404" s="482" t="str">
        <f>IF($AC$404="","",IFERROR(INDEX($BA$74:$BA$119,MATCH($AH$404,$AY$74:$AY$119,0)),1))</f>
        <v/>
      </c>
      <c r="AK404" s="482" t="str">
        <f t="shared" si="114"/>
        <v/>
      </c>
      <c r="AL404" s="477" t="str">
        <f>IF($AC$404="","",IFERROR(INDEX($BB$74:$BB$119,MATCH($AH$404,$AY$74:$AY$119,0)),$AH$404))</f>
        <v/>
      </c>
      <c r="AM404" s="483" t="str">
        <f t="shared" si="115"/>
        <v/>
      </c>
      <c r="AN404" s="484" t="str">
        <f t="shared" si="116"/>
        <v/>
      </c>
      <c r="AO404" s="473" t="str">
        <f t="shared" si="117"/>
        <v/>
      </c>
      <c r="AP404" s="473" t="str">
        <f t="shared" si="118"/>
        <v/>
      </c>
      <c r="AQ404" s="473" t="str">
        <f t="shared" si="119"/>
        <v/>
      </c>
      <c r="AR404" s="473" t="str">
        <f t="shared" si="120"/>
        <v/>
      </c>
      <c r="AS404" s="473" t="str">
        <f t="shared" si="121"/>
        <v/>
      </c>
      <c r="AT404" s="473" t="str">
        <f t="shared" si="122"/>
        <v/>
      </c>
      <c r="AU404" s="473" t="str">
        <f t="shared" si="123"/>
        <v/>
      </c>
      <c r="AZ404" s="30" t="s">
        <v>11</v>
      </c>
      <c r="BB404" s="499"/>
      <c r="BC404" s="271"/>
      <c r="BD404" s="279">
        <v>1</v>
      </c>
      <c r="BE404" s="271"/>
      <c r="BF404" s="271"/>
      <c r="BG404" s="271"/>
      <c r="BH404" s="271"/>
      <c r="BI404" s="271"/>
      <c r="BJ404" s="271"/>
      <c r="BK404" s="271"/>
      <c r="BL404" s="271"/>
    </row>
    <row r="405" spans="18:64" ht="21" customHeight="1" x14ac:dyDescent="0.25">
      <c r="R405" s="34" t="s">
        <v>481</v>
      </c>
      <c r="S405" s="451"/>
      <c r="T405" s="497" t="s">
        <v>466</v>
      </c>
      <c r="V405" s="475">
        <v>10</v>
      </c>
      <c r="W405" s="475" t="str">
        <f>IF($AC$405="","",$W$396)</f>
        <v/>
      </c>
      <c r="X405" s="476" t="str">
        <f>IF($AC$405="","",$X$396)</f>
        <v/>
      </c>
      <c r="Y405" s="477" t="str">
        <f>IF($X$405="","",$Y$396)</f>
        <v/>
      </c>
      <c r="Z405" s="477" t="str">
        <f>IF($X$405="","",$Z$396)</f>
        <v/>
      </c>
      <c r="AA405" s="477" t="str">
        <f>IF($AC$405="","",ROW($A$405)-ROW($A$396))</f>
        <v/>
      </c>
      <c r="AB405" s="478"/>
      <c r="AC405" s="34"/>
      <c r="AD405" s="356"/>
      <c r="AE405" s="479"/>
      <c r="AF405" s="475"/>
      <c r="AG405" s="480" t="str">
        <f t="shared" si="112"/>
        <v/>
      </c>
      <c r="AH405" s="481" t="str">
        <f t="shared" si="113"/>
        <v/>
      </c>
      <c r="AI405" s="477" t="str">
        <f>IF($AC$405="","",IFERROR(INDEX($AZ$74:$AZ$119,MATCH($AH$405,$AY$74:$AY$119,0)),"AUTRE"))</f>
        <v/>
      </c>
      <c r="AJ405" s="482" t="str">
        <f>IF($AC$405="","",IFERROR(INDEX($BA$74:$BA$119,MATCH($AH$405,$AY$74:$AY$119,0)),1))</f>
        <v/>
      </c>
      <c r="AK405" s="482" t="str">
        <f t="shared" si="114"/>
        <v/>
      </c>
      <c r="AL405" s="477" t="str">
        <f>IF($AC$405="","",IFERROR(INDEX($BB$74:$BB$119,MATCH($AH$405,$AY$74:$AY$119,0)),$AH$405))</f>
        <v/>
      </c>
      <c r="AM405" s="483" t="str">
        <f t="shared" si="115"/>
        <v/>
      </c>
      <c r="AN405" s="484" t="str">
        <f t="shared" si="116"/>
        <v/>
      </c>
      <c r="AO405" s="473" t="str">
        <f t="shared" si="117"/>
        <v/>
      </c>
      <c r="AP405" s="473" t="str">
        <f t="shared" si="118"/>
        <v/>
      </c>
      <c r="AQ405" s="473" t="str">
        <f t="shared" si="119"/>
        <v/>
      </c>
      <c r="AR405" s="473" t="str">
        <f t="shared" si="120"/>
        <v/>
      </c>
      <c r="AS405" s="473" t="str">
        <f t="shared" si="121"/>
        <v/>
      </c>
      <c r="AT405" s="473" t="str">
        <f t="shared" si="122"/>
        <v/>
      </c>
      <c r="AU405" s="473" t="str">
        <f t="shared" si="123"/>
        <v/>
      </c>
      <c r="AZ405" s="30" t="s">
        <v>12</v>
      </c>
      <c r="BA405" s="25" t="s">
        <v>6134</v>
      </c>
      <c r="BB405" s="499"/>
      <c r="BC405" s="271"/>
      <c r="BD405" s="279">
        <v>1</v>
      </c>
      <c r="BE405" s="271"/>
      <c r="BF405" s="271"/>
      <c r="BG405" s="271"/>
      <c r="BH405" s="271"/>
      <c r="BI405" s="271"/>
      <c r="BJ405" s="271"/>
      <c r="BK405" s="271"/>
      <c r="BL405" s="271"/>
    </row>
    <row r="406" spans="18:64" ht="21" customHeight="1" x14ac:dyDescent="0.25">
      <c r="R406" s="34" t="s">
        <v>475</v>
      </c>
      <c r="S406" s="451"/>
      <c r="T406" s="440" t="s">
        <v>8110</v>
      </c>
      <c r="V406" s="475">
        <v>10</v>
      </c>
      <c r="W406" s="475" t="str">
        <f>IF($AC$406="","",$W$396)</f>
        <v/>
      </c>
      <c r="X406" s="476" t="str">
        <f>IF($AC$406="","",$X$396)</f>
        <v/>
      </c>
      <c r="Y406" s="477" t="str">
        <f>IF($X$406="","",$Y$396)</f>
        <v/>
      </c>
      <c r="Z406" s="477" t="str">
        <f>IF($X$406="","",$Z$396)</f>
        <v/>
      </c>
      <c r="AA406" s="477" t="str">
        <f>IF($AC$406="","",ROW($A$406)-ROW($A$396))</f>
        <v/>
      </c>
      <c r="AB406" s="478"/>
      <c r="AC406" s="34"/>
      <c r="AD406" s="356"/>
      <c r="AE406" s="479"/>
      <c r="AF406" s="475"/>
      <c r="AG406" s="480" t="str">
        <f t="shared" si="112"/>
        <v/>
      </c>
      <c r="AH406" s="481" t="str">
        <f t="shared" si="113"/>
        <v/>
      </c>
      <c r="AI406" s="477" t="str">
        <f>IF($AC$406="","",IFERROR(INDEX($AZ$74:$AZ$119,MATCH($AH$406,$AY$74:$AY$119,0)),"AUTRE"))</f>
        <v/>
      </c>
      <c r="AJ406" s="482" t="str">
        <f>IF($AC$406="","",IFERROR(INDEX($BA$74:$BA$119,MATCH($AH$406,$AY$74:$AY$119,0)),1))</f>
        <v/>
      </c>
      <c r="AK406" s="482" t="str">
        <f t="shared" si="114"/>
        <v/>
      </c>
      <c r="AL406" s="477" t="str">
        <f>IF($AC$406="","",IFERROR(INDEX($BB$74:$BB$119,MATCH($AH$406,$AY$74:$AY$119,0)),$AH$406))</f>
        <v/>
      </c>
      <c r="AM406" s="483" t="str">
        <f t="shared" si="115"/>
        <v/>
      </c>
      <c r="AN406" s="484" t="str">
        <f t="shared" si="116"/>
        <v/>
      </c>
      <c r="AO406" s="473" t="str">
        <f t="shared" si="117"/>
        <v/>
      </c>
      <c r="AP406" s="473" t="str">
        <f t="shared" si="118"/>
        <v/>
      </c>
      <c r="AQ406" s="473" t="str">
        <f t="shared" si="119"/>
        <v/>
      </c>
      <c r="AR406" s="473" t="str">
        <f t="shared" si="120"/>
        <v/>
      </c>
      <c r="AS406" s="473" t="str">
        <f t="shared" si="121"/>
        <v/>
      </c>
      <c r="AT406" s="473" t="str">
        <f t="shared" si="122"/>
        <v/>
      </c>
      <c r="AU406" s="473" t="str">
        <f t="shared" si="123"/>
        <v/>
      </c>
      <c r="AZ406" s="31" t="s">
        <v>16</v>
      </c>
      <c r="BA406" s="34" t="s">
        <v>481</v>
      </c>
      <c r="BB406" s="499"/>
      <c r="BC406" s="271"/>
      <c r="BD406" s="279">
        <v>1</v>
      </c>
      <c r="BE406" s="271"/>
      <c r="BF406" s="271"/>
      <c r="BG406" s="271"/>
      <c r="BH406" s="271"/>
      <c r="BI406" s="271"/>
      <c r="BJ406" s="271"/>
      <c r="BK406" s="271"/>
      <c r="BL406" s="271"/>
    </row>
    <row r="407" spans="18:64" ht="21" customHeight="1" x14ac:dyDescent="0.25">
      <c r="R407" s="34" t="s">
        <v>457</v>
      </c>
      <c r="S407" s="451"/>
      <c r="T407" s="452" t="s">
        <v>8113</v>
      </c>
      <c r="V407" s="475">
        <v>10</v>
      </c>
      <c r="W407" s="475" t="str">
        <f>IF($AC$407="","",$W$396)</f>
        <v/>
      </c>
      <c r="X407" s="476" t="str">
        <f>IF($AC$407="","",$X$396)</f>
        <v/>
      </c>
      <c r="Y407" s="477" t="str">
        <f>IF($X$407="","",$Y$396)</f>
        <v/>
      </c>
      <c r="Z407" s="477" t="str">
        <f>IF($X$407="","",$Z$396)</f>
        <v/>
      </c>
      <c r="AA407" s="477" t="str">
        <f>IF($AC$407="","",ROW($A$407)-ROW($A$396))</f>
        <v/>
      </c>
      <c r="AB407" s="478"/>
      <c r="AC407" s="34"/>
      <c r="AD407" s="356"/>
      <c r="AE407" s="479"/>
      <c r="AF407" s="475"/>
      <c r="AG407" s="480" t="str">
        <f t="shared" si="112"/>
        <v/>
      </c>
      <c r="AH407" s="481" t="str">
        <f t="shared" si="113"/>
        <v/>
      </c>
      <c r="AI407" s="477" t="str">
        <f>IF($AC$407="","",IFERROR(INDEX($AZ$74:$AZ$119,MATCH($AH$407,$AY$74:$AY$119,0)),"AUTRE"))</f>
        <v/>
      </c>
      <c r="AJ407" s="482" t="str">
        <f>IF($AC$407="","",IFERROR(INDEX($BA$74:$BA$119,MATCH($AH$407,$AY$74:$AY$119,0)),1))</f>
        <v/>
      </c>
      <c r="AK407" s="482" t="str">
        <f t="shared" si="114"/>
        <v/>
      </c>
      <c r="AL407" s="477" t="str">
        <f>IF($AC$407="","",IFERROR(INDEX($BB$74:$BB$119,MATCH($AH$407,$AY$74:$AY$119,0)),$AH$407))</f>
        <v/>
      </c>
      <c r="AM407" s="483" t="str">
        <f t="shared" si="115"/>
        <v/>
      </c>
      <c r="AN407" s="484" t="str">
        <f t="shared" si="116"/>
        <v/>
      </c>
      <c r="AO407" s="473" t="str">
        <f t="shared" si="117"/>
        <v/>
      </c>
      <c r="AP407" s="473" t="str">
        <f t="shared" si="118"/>
        <v/>
      </c>
      <c r="AQ407" s="473" t="str">
        <f t="shared" si="119"/>
        <v/>
      </c>
      <c r="AR407" s="473" t="str">
        <f t="shared" si="120"/>
        <v/>
      </c>
      <c r="AS407" s="473" t="str">
        <f t="shared" si="121"/>
        <v/>
      </c>
      <c r="AT407" s="473" t="str">
        <f t="shared" si="122"/>
        <v/>
      </c>
      <c r="AU407" s="473" t="str">
        <f t="shared" si="123"/>
        <v/>
      </c>
      <c r="AZ407" s="31" t="s">
        <v>17</v>
      </c>
      <c r="BA407" s="34" t="s">
        <v>475</v>
      </c>
      <c r="BB407" s="499"/>
      <c r="BC407" s="271"/>
      <c r="BD407" s="279">
        <v>1</v>
      </c>
      <c r="BE407" s="271"/>
      <c r="BF407" s="271"/>
      <c r="BG407" s="271"/>
      <c r="BH407" s="271"/>
      <c r="BI407" s="271"/>
      <c r="BJ407" s="271"/>
      <c r="BK407" s="271"/>
      <c r="BL407" s="271"/>
    </row>
    <row r="408" spans="18:64" ht="21" customHeight="1" x14ac:dyDescent="0.25">
      <c r="R408" s="34" t="s">
        <v>482</v>
      </c>
      <c r="S408" s="451"/>
      <c r="T408" s="14" t="s">
        <v>7</v>
      </c>
      <c r="V408" s="475">
        <v>10</v>
      </c>
      <c r="W408" s="475" t="str">
        <f>IF($AC$408="","",$W$396)</f>
        <v/>
      </c>
      <c r="X408" s="476" t="str">
        <f>IF($AC$408="","",$X$396)</f>
        <v/>
      </c>
      <c r="Y408" s="477" t="str">
        <f>IF($X$408="","",$Y$396)</f>
        <v/>
      </c>
      <c r="Z408" s="477" t="str">
        <f>IF($X$408="","",$Z$396)</f>
        <v/>
      </c>
      <c r="AA408" s="477" t="str">
        <f>IF($AC$408="","",ROW($A$408)-ROW($A$396))</f>
        <v/>
      </c>
      <c r="AB408" s="478"/>
      <c r="AC408" s="34"/>
      <c r="AD408" s="356"/>
      <c r="AE408" s="479"/>
      <c r="AF408" s="475"/>
      <c r="AG408" s="480" t="str">
        <f t="shared" si="112"/>
        <v/>
      </c>
      <c r="AH408" s="481" t="str">
        <f t="shared" si="113"/>
        <v/>
      </c>
      <c r="AI408" s="477" t="str">
        <f>IF($AC$408="","",IFERROR(INDEX($AZ$74:$AZ$119,MATCH($AH$408,$AY$74:$AY$119,0)),"AUTRE"))</f>
        <v/>
      </c>
      <c r="AJ408" s="482" t="str">
        <f>IF($AC$408="","",IFERROR(INDEX($BA$74:$BA$119,MATCH($AH$408,$AY$74:$AY$119,0)),1))</f>
        <v/>
      </c>
      <c r="AK408" s="482" t="str">
        <f t="shared" si="114"/>
        <v/>
      </c>
      <c r="AL408" s="477" t="str">
        <f>IF($AC$408="","",IFERROR(INDEX($BB$74:$BB$119,MATCH($AH$408,$AY$74:$AY$119,0)),$AH$408))</f>
        <v/>
      </c>
      <c r="AM408" s="483" t="str">
        <f t="shared" si="115"/>
        <v/>
      </c>
      <c r="AN408" s="484" t="str">
        <f t="shared" si="116"/>
        <v/>
      </c>
      <c r="AO408" s="473" t="str">
        <f t="shared" si="117"/>
        <v/>
      </c>
      <c r="AP408" s="473" t="str">
        <f t="shared" si="118"/>
        <v/>
      </c>
      <c r="AQ408" s="473" t="str">
        <f t="shared" si="119"/>
        <v/>
      </c>
      <c r="AR408" s="473" t="str">
        <f t="shared" si="120"/>
        <v/>
      </c>
      <c r="AS408" s="473" t="str">
        <f t="shared" si="121"/>
        <v/>
      </c>
      <c r="AT408" s="473" t="str">
        <f t="shared" si="122"/>
        <v/>
      </c>
      <c r="AU408" s="473" t="str">
        <f t="shared" si="123"/>
        <v/>
      </c>
      <c r="AZ408" s="31" t="s">
        <v>18</v>
      </c>
      <c r="BA408" s="34" t="s">
        <v>457</v>
      </c>
      <c r="BB408" s="499"/>
      <c r="BC408" s="271"/>
      <c r="BD408" s="279">
        <v>1</v>
      </c>
      <c r="BE408" s="271"/>
      <c r="BF408" s="271"/>
      <c r="BG408" s="271"/>
      <c r="BH408" s="271"/>
      <c r="BI408" s="271"/>
      <c r="BJ408" s="271"/>
      <c r="BK408" s="271"/>
      <c r="BL408" s="271"/>
    </row>
    <row r="409" spans="18:64" ht="21" customHeight="1" x14ac:dyDescent="0.25">
      <c r="R409" s="34" t="s">
        <v>496</v>
      </c>
      <c r="S409" s="451"/>
      <c r="T409" s="27" t="s">
        <v>8</v>
      </c>
      <c r="V409" s="475">
        <v>10</v>
      </c>
      <c r="W409" s="475" t="str">
        <f>IF($AC$409="","",$W$396)</f>
        <v/>
      </c>
      <c r="X409" s="476" t="str">
        <f>IF($AC$409="","",$X$396)</f>
        <v/>
      </c>
      <c r="Y409" s="477" t="str">
        <f>IF($X$409="","",$Y$396)</f>
        <v/>
      </c>
      <c r="Z409" s="477" t="str">
        <f>IF($X$409="","",$Z$396)</f>
        <v/>
      </c>
      <c r="AA409" s="477" t="str">
        <f>IF($AC$409="","",ROW($A$409)-ROW($A$396))</f>
        <v/>
      </c>
      <c r="AB409" s="478"/>
      <c r="AC409" s="34"/>
      <c r="AD409" s="356"/>
      <c r="AE409" s="479"/>
      <c r="AF409" s="475"/>
      <c r="AG409" s="480" t="str">
        <f t="shared" si="112"/>
        <v/>
      </c>
      <c r="AH409" s="481" t="str">
        <f t="shared" si="113"/>
        <v/>
      </c>
      <c r="AI409" s="477" t="str">
        <f>IF($AC$409="","",IFERROR(INDEX($AZ$74:$AZ$119,MATCH($AH$409,$AY$74:$AY$119,0)),"AUTRE"))</f>
        <v/>
      </c>
      <c r="AJ409" s="482" t="str">
        <f>IF($AC$409="","",IFERROR(INDEX($BA$74:$BA$119,MATCH($AH$409,$AY$74:$AY$119,0)),1))</f>
        <v/>
      </c>
      <c r="AK409" s="482" t="str">
        <f t="shared" si="114"/>
        <v/>
      </c>
      <c r="AL409" s="477" t="str">
        <f>IF($AC$409="","",IFERROR(INDEX($BB$74:$BB$119,MATCH($AH$409,$AY$74:$AY$119,0)),$AH$409))</f>
        <v/>
      </c>
      <c r="AM409" s="483" t="str">
        <f t="shared" si="115"/>
        <v/>
      </c>
      <c r="AN409" s="484" t="str">
        <f t="shared" si="116"/>
        <v/>
      </c>
      <c r="AO409" s="473" t="str">
        <f t="shared" si="117"/>
        <v/>
      </c>
      <c r="AP409" s="473" t="str">
        <f t="shared" si="118"/>
        <v/>
      </c>
      <c r="AQ409" s="473" t="str">
        <f t="shared" si="119"/>
        <v/>
      </c>
      <c r="AR409" s="473" t="str">
        <f t="shared" si="120"/>
        <v/>
      </c>
      <c r="AS409" s="473" t="str">
        <f t="shared" si="121"/>
        <v/>
      </c>
      <c r="AT409" s="473" t="str">
        <f t="shared" si="122"/>
        <v/>
      </c>
      <c r="AU409" s="473" t="str">
        <f t="shared" si="123"/>
        <v/>
      </c>
      <c r="AZ409" s="31" t="s">
        <v>19</v>
      </c>
      <c r="BA409" s="34" t="s">
        <v>482</v>
      </c>
      <c r="BB409" s="499"/>
      <c r="BC409" s="271"/>
      <c r="BD409" s="279">
        <v>1</v>
      </c>
      <c r="BE409" s="271"/>
      <c r="BF409" s="271"/>
      <c r="BG409" s="271"/>
      <c r="BH409" s="271"/>
      <c r="BI409" s="271"/>
      <c r="BJ409" s="271"/>
      <c r="BK409" s="271"/>
      <c r="BL409" s="271"/>
    </row>
    <row r="410" spans="18:64" ht="21" customHeight="1" x14ac:dyDescent="0.25">
      <c r="R410" s="34" t="s">
        <v>483</v>
      </c>
      <c r="S410" s="451"/>
      <c r="T410" s="28" t="s">
        <v>13</v>
      </c>
      <c r="V410" s="475">
        <v>10</v>
      </c>
      <c r="W410" s="475" t="str">
        <f>IF($AC$410="","",$W$396)</f>
        <v/>
      </c>
      <c r="X410" s="476" t="str">
        <f>IF($AC$410="","",$X$396)</f>
        <v/>
      </c>
      <c r="Y410" s="477" t="str">
        <f>IF($X$410="","",$Y$396)</f>
        <v/>
      </c>
      <c r="Z410" s="477" t="str">
        <f>IF($X$410="","",$Z$396)</f>
        <v/>
      </c>
      <c r="AA410" s="477" t="str">
        <f>IF($AC$410="","",ROW($A$410)-ROW($A$396))</f>
        <v/>
      </c>
      <c r="AB410" s="478"/>
      <c r="AC410" s="34"/>
      <c r="AD410" s="356"/>
      <c r="AE410" s="479"/>
      <c r="AF410" s="475"/>
      <c r="AG410" s="480" t="str">
        <f t="shared" si="112"/>
        <v/>
      </c>
      <c r="AH410" s="481" t="str">
        <f t="shared" si="113"/>
        <v/>
      </c>
      <c r="AI410" s="477" t="str">
        <f>IF($AC$410="","",IFERROR(INDEX($AZ$74:$AZ$119,MATCH($AH$410,$AY$74:$AY$119,0)),"AUTRE"))</f>
        <v/>
      </c>
      <c r="AJ410" s="482" t="str">
        <f>IF($AC$410="","",IFERROR(INDEX($BA$74:$BA$119,MATCH($AH$410,$AY$74:$AY$119,0)),1))</f>
        <v/>
      </c>
      <c r="AK410" s="482" t="str">
        <f t="shared" si="114"/>
        <v/>
      </c>
      <c r="AL410" s="477" t="str">
        <f>IF($AC$410="","",IFERROR(INDEX($BB$74:$BB$119,MATCH($AH$410,$AY$74:$AY$119,0)),$AH$410))</f>
        <v/>
      </c>
      <c r="AM410" s="483" t="str">
        <f t="shared" si="115"/>
        <v/>
      </c>
      <c r="AN410" s="484" t="str">
        <f t="shared" si="116"/>
        <v/>
      </c>
      <c r="AO410" s="473" t="str">
        <f t="shared" si="117"/>
        <v/>
      </c>
      <c r="AP410" s="473" t="str">
        <f t="shared" si="118"/>
        <v/>
      </c>
      <c r="AQ410" s="473" t="str">
        <f t="shared" si="119"/>
        <v/>
      </c>
      <c r="AR410" s="473" t="str">
        <f t="shared" si="120"/>
        <v/>
      </c>
      <c r="AS410" s="473" t="str">
        <f t="shared" si="121"/>
        <v/>
      </c>
      <c r="AT410" s="473" t="str">
        <f t="shared" si="122"/>
        <v/>
      </c>
      <c r="AU410" s="473" t="str">
        <f t="shared" si="123"/>
        <v/>
      </c>
      <c r="AZ410" s="31" t="s">
        <v>211</v>
      </c>
      <c r="BA410" s="34" t="s">
        <v>496</v>
      </c>
      <c r="BB410" s="499"/>
      <c r="BC410" s="271"/>
      <c r="BD410" s="279">
        <v>1</v>
      </c>
      <c r="BE410" s="271"/>
      <c r="BF410" s="271"/>
      <c r="BG410" s="271"/>
      <c r="BH410" s="271"/>
      <c r="BI410" s="271"/>
      <c r="BJ410" s="271"/>
      <c r="BK410" s="271"/>
      <c r="BL410" s="271"/>
    </row>
    <row r="411" spans="18:64" ht="21" customHeight="1" x14ac:dyDescent="0.25">
      <c r="R411" s="34" t="s">
        <v>493</v>
      </c>
      <c r="S411" s="451"/>
      <c r="T411" s="28" t="s">
        <v>14</v>
      </c>
      <c r="V411" s="475">
        <v>10</v>
      </c>
      <c r="W411" s="475" t="str">
        <f>IF($AC$411="","",$W$396)</f>
        <v/>
      </c>
      <c r="X411" s="476" t="str">
        <f>IF($AC$411="","",$X$396)</f>
        <v/>
      </c>
      <c r="Y411" s="477" t="str">
        <f>IF($X$411="","",$Y$396)</f>
        <v/>
      </c>
      <c r="Z411" s="477" t="str">
        <f>IF($X$411="","",$Z$396)</f>
        <v/>
      </c>
      <c r="AA411" s="477" t="str">
        <f>IF($AC$411="","",ROW($A$411)-ROW($A$396))</f>
        <v/>
      </c>
      <c r="AB411" s="478"/>
      <c r="AC411" s="34"/>
      <c r="AD411" s="356"/>
      <c r="AE411" s="479"/>
      <c r="AF411" s="475"/>
      <c r="AG411" s="480" t="str">
        <f t="shared" si="112"/>
        <v/>
      </c>
      <c r="AH411" s="481" t="str">
        <f t="shared" si="113"/>
        <v/>
      </c>
      <c r="AI411" s="477" t="str">
        <f>IF($AC$411="","",IFERROR(INDEX($AZ$74:$AZ$119,MATCH($AH$411,$AY$74:$AY$119,0)),"AUTRE"))</f>
        <v/>
      </c>
      <c r="AJ411" s="482" t="str">
        <f>IF($AC$411="","",IFERROR(INDEX($BA$74:$BA$119,MATCH($AH$411,$AY$74:$AY$119,0)),1))</f>
        <v/>
      </c>
      <c r="AK411" s="482" t="str">
        <f t="shared" si="114"/>
        <v/>
      </c>
      <c r="AL411" s="477" t="str">
        <f>IF($AC$411="","",IFERROR(INDEX($BB$74:$BB$119,MATCH($AH$411,$AY$74:$AY$119,0)),$AH$411))</f>
        <v/>
      </c>
      <c r="AM411" s="483" t="str">
        <f t="shared" si="115"/>
        <v/>
      </c>
      <c r="AN411" s="484" t="str">
        <f t="shared" si="116"/>
        <v/>
      </c>
      <c r="AO411" s="473" t="str">
        <f t="shared" si="117"/>
        <v/>
      </c>
      <c r="AP411" s="473" t="str">
        <f t="shared" si="118"/>
        <v/>
      </c>
      <c r="AQ411" s="473" t="str">
        <f t="shared" si="119"/>
        <v/>
      </c>
      <c r="AR411" s="473" t="str">
        <f t="shared" si="120"/>
        <v/>
      </c>
      <c r="AS411" s="473" t="str">
        <f t="shared" si="121"/>
        <v/>
      </c>
      <c r="AT411" s="473" t="str">
        <f t="shared" si="122"/>
        <v/>
      </c>
      <c r="AU411" s="473" t="str">
        <f t="shared" si="123"/>
        <v/>
      </c>
      <c r="AZ411" s="31" t="s">
        <v>20</v>
      </c>
      <c r="BA411" s="34" t="s">
        <v>483</v>
      </c>
      <c r="BB411" s="499"/>
      <c r="BC411" s="271"/>
      <c r="BD411" s="279">
        <v>1</v>
      </c>
      <c r="BE411" s="271"/>
      <c r="BF411" s="271"/>
      <c r="BG411" s="271"/>
      <c r="BH411" s="271"/>
      <c r="BI411" s="271"/>
      <c r="BJ411" s="271"/>
      <c r="BK411" s="271"/>
      <c r="BL411" s="271"/>
    </row>
    <row r="412" spans="18:64" ht="21" customHeight="1" x14ac:dyDescent="0.25">
      <c r="R412" s="34" t="s">
        <v>494</v>
      </c>
      <c r="S412" s="451"/>
      <c r="T412" s="28" t="s">
        <v>15</v>
      </c>
      <c r="V412" s="475">
        <v>10</v>
      </c>
      <c r="W412" s="475" t="str">
        <f>IF($AC$412="","",$W$396)</f>
        <v/>
      </c>
      <c r="X412" s="476" t="str">
        <f>IF($AC$412="","",$X$396)</f>
        <v/>
      </c>
      <c r="Y412" s="477" t="str">
        <f>IF($X$412="","",$Y$396)</f>
        <v/>
      </c>
      <c r="Z412" s="477" t="str">
        <f>IF($X$412="","",$Z$396)</f>
        <v/>
      </c>
      <c r="AA412" s="477" t="str">
        <f>IF($AC$412="","",ROW($A$412)-ROW($A$396))</f>
        <v/>
      </c>
      <c r="AB412" s="478"/>
      <c r="AC412" s="34"/>
      <c r="AD412" s="356"/>
      <c r="AE412" s="479"/>
      <c r="AF412" s="475"/>
      <c r="AG412" s="480" t="str">
        <f t="shared" si="112"/>
        <v/>
      </c>
      <c r="AH412" s="481" t="str">
        <f t="shared" si="113"/>
        <v/>
      </c>
      <c r="AI412" s="477" t="str">
        <f>IF($AC$412="","",IFERROR(INDEX($AZ$74:$AZ$119,MATCH($AH$412,$AY$74:$AY$119,0)),"AUTRE"))</f>
        <v/>
      </c>
      <c r="AJ412" s="482" t="str">
        <f>IF($AC$412="","",IFERROR(INDEX($BA$74:$BA$119,MATCH($AH$412,$AY$74:$AY$119,0)),1))</f>
        <v/>
      </c>
      <c r="AK412" s="482" t="str">
        <f t="shared" si="114"/>
        <v/>
      </c>
      <c r="AL412" s="477" t="str">
        <f>IF($AC$412="","",IFERROR(INDEX($BB$74:$BB$119,MATCH($AH$412,$AY$74:$AY$119,0)),$AH$412))</f>
        <v/>
      </c>
      <c r="AM412" s="483" t="str">
        <f t="shared" si="115"/>
        <v/>
      </c>
      <c r="AN412" s="484" t="str">
        <f t="shared" si="116"/>
        <v/>
      </c>
      <c r="AO412" s="473" t="str">
        <f t="shared" si="117"/>
        <v/>
      </c>
      <c r="AP412" s="473" t="str">
        <f t="shared" si="118"/>
        <v/>
      </c>
      <c r="AQ412" s="473" t="str">
        <f t="shared" si="119"/>
        <v/>
      </c>
      <c r="AR412" s="473" t="str">
        <f t="shared" si="120"/>
        <v/>
      </c>
      <c r="AS412" s="473" t="str">
        <f t="shared" si="121"/>
        <v/>
      </c>
      <c r="AT412" s="473" t="str">
        <f t="shared" si="122"/>
        <v/>
      </c>
      <c r="AU412" s="473" t="str">
        <f t="shared" si="123"/>
        <v/>
      </c>
      <c r="AZ412" s="31" t="s">
        <v>304</v>
      </c>
      <c r="BA412" s="34" t="s">
        <v>493</v>
      </c>
      <c r="BB412" s="499"/>
      <c r="BC412" s="271"/>
      <c r="BD412" s="279">
        <v>1</v>
      </c>
      <c r="BE412" s="271"/>
      <c r="BF412" s="271"/>
      <c r="BG412" s="271"/>
      <c r="BH412" s="271"/>
      <c r="BI412" s="271"/>
      <c r="BJ412" s="271"/>
      <c r="BK412" s="271"/>
      <c r="BL412" s="271"/>
    </row>
    <row r="413" spans="18:64" ht="21" customHeight="1" x14ac:dyDescent="0.25">
      <c r="S413" s="451"/>
      <c r="T413" s="28" t="s">
        <v>21</v>
      </c>
      <c r="V413" s="475">
        <v>10</v>
      </c>
      <c r="W413" s="475" t="str">
        <f>IF($AC$413="","",$W$396)</f>
        <v/>
      </c>
      <c r="X413" s="476" t="str">
        <f>IF($AC$413="","",$X$396)</f>
        <v/>
      </c>
      <c r="Y413" s="477" t="str">
        <f>IF($X$413="","",$Y$396)</f>
        <v/>
      </c>
      <c r="Z413" s="477" t="str">
        <f>IF($X$413="","",$Z$396)</f>
        <v/>
      </c>
      <c r="AA413" s="477" t="str">
        <f>IF($AC$413="","",ROW($A$413)-ROW($A$396))</f>
        <v/>
      </c>
      <c r="AB413" s="478"/>
      <c r="AC413" s="34"/>
      <c r="AD413" s="356"/>
      <c r="AE413" s="479"/>
      <c r="AF413" s="475"/>
      <c r="AG413" s="480" t="str">
        <f t="shared" si="112"/>
        <v/>
      </c>
      <c r="AH413" s="481" t="str">
        <f t="shared" si="113"/>
        <v/>
      </c>
      <c r="AI413" s="477" t="str">
        <f>IF($AC$413="","",IFERROR(INDEX($AZ$74:$AZ$119,MATCH($AH$413,$AY$74:$AY$119,0)),"AUTRE"))</f>
        <v/>
      </c>
      <c r="AJ413" s="482" t="str">
        <f>IF($AC$413="","",IFERROR(INDEX($BA$74:$BA$119,MATCH($AH$413,$AY$74:$AY$119,0)),1))</f>
        <v/>
      </c>
      <c r="AK413" s="482" t="str">
        <f t="shared" si="114"/>
        <v/>
      </c>
      <c r="AL413" s="477" t="str">
        <f>IF($AC$413="","",IFERROR(INDEX($BB$74:$BB$119,MATCH($AH$413,$AY$74:$AY$119,0)),$AH$413))</f>
        <v/>
      </c>
      <c r="AM413" s="483" t="str">
        <f t="shared" si="115"/>
        <v/>
      </c>
      <c r="AN413" s="484" t="str">
        <f t="shared" si="116"/>
        <v/>
      </c>
      <c r="AO413" s="473" t="str">
        <f t="shared" si="117"/>
        <v/>
      </c>
      <c r="AP413" s="473" t="str">
        <f t="shared" si="118"/>
        <v/>
      </c>
      <c r="AQ413" s="473" t="str">
        <f t="shared" si="119"/>
        <v/>
      </c>
      <c r="AR413" s="473" t="str">
        <f t="shared" si="120"/>
        <v/>
      </c>
      <c r="AS413" s="473" t="str">
        <f t="shared" si="121"/>
        <v/>
      </c>
      <c r="AT413" s="473" t="str">
        <f t="shared" si="122"/>
        <v/>
      </c>
      <c r="AU413" s="473" t="str">
        <f t="shared" si="123"/>
        <v/>
      </c>
      <c r="AZ413" s="31" t="s">
        <v>352</v>
      </c>
      <c r="BA413" s="34" t="s">
        <v>494</v>
      </c>
      <c r="BB413" s="499"/>
      <c r="BC413" s="271"/>
      <c r="BD413" s="279">
        <v>1</v>
      </c>
      <c r="BE413" s="271"/>
      <c r="BF413" s="271"/>
      <c r="BG413" s="271"/>
      <c r="BH413" s="271"/>
      <c r="BI413" s="271"/>
      <c r="BJ413" s="271"/>
      <c r="BK413" s="271"/>
      <c r="BL413" s="271"/>
    </row>
    <row r="414" spans="18:64" ht="21" customHeight="1" x14ac:dyDescent="0.25">
      <c r="R414" s="25" t="s">
        <v>6115</v>
      </c>
      <c r="S414" s="451"/>
      <c r="T414" s="28" t="s">
        <v>22</v>
      </c>
      <c r="V414" s="475">
        <v>10</v>
      </c>
      <c r="W414" s="475" t="str">
        <f>IF($AC$414="","",$W$396)</f>
        <v/>
      </c>
      <c r="X414" s="476" t="str">
        <f>IF($AC$414="","",$X$396)</f>
        <v/>
      </c>
      <c r="Y414" s="477" t="str">
        <f>IF($X$414="","",$Y$396)</f>
        <v/>
      </c>
      <c r="Z414" s="477" t="str">
        <f>IF($X$414="","",$Z$396)</f>
        <v/>
      </c>
      <c r="AA414" s="477" t="str">
        <f>IF($AC$414="","",ROW($A$414)-ROW($A$396))</f>
        <v/>
      </c>
      <c r="AB414" s="478"/>
      <c r="AC414" s="34"/>
      <c r="AD414" s="356"/>
      <c r="AE414" s="479"/>
      <c r="AF414" s="475"/>
      <c r="AG414" s="480" t="str">
        <f t="shared" si="112"/>
        <v/>
      </c>
      <c r="AH414" s="481" t="str">
        <f t="shared" si="113"/>
        <v/>
      </c>
      <c r="AI414" s="477" t="str">
        <f>IF($AC$414="","",IFERROR(INDEX($AZ$74:$AZ$119,MATCH($AH$414,$AY$74:$AY$119,0)),"AUTRE"))</f>
        <v/>
      </c>
      <c r="AJ414" s="482" t="str">
        <f>IF($AC$414="","",IFERROR(INDEX($BA$74:$BA$119,MATCH($AH$414,$AY$74:$AY$119,0)),1))</f>
        <v/>
      </c>
      <c r="AK414" s="482" t="str">
        <f t="shared" si="114"/>
        <v/>
      </c>
      <c r="AL414" s="477" t="str">
        <f>IF($AC$414="","",IFERROR(INDEX($BB$74:$BB$119,MATCH($AH$414,$AY$74:$AY$119,0)),$AH$414))</f>
        <v/>
      </c>
      <c r="AM414" s="483" t="str">
        <f t="shared" si="115"/>
        <v/>
      </c>
      <c r="AN414" s="484" t="str">
        <f t="shared" si="116"/>
        <v/>
      </c>
      <c r="AO414" s="473" t="str">
        <f t="shared" si="117"/>
        <v/>
      </c>
      <c r="AP414" s="473" t="str">
        <f t="shared" si="118"/>
        <v/>
      </c>
      <c r="AQ414" s="473" t="str">
        <f t="shared" si="119"/>
        <v/>
      </c>
      <c r="AR414" s="473" t="str">
        <f t="shared" si="120"/>
        <v/>
      </c>
      <c r="AS414" s="473" t="str">
        <f t="shared" si="121"/>
        <v/>
      </c>
      <c r="AT414" s="473" t="str">
        <f t="shared" si="122"/>
        <v/>
      </c>
      <c r="AU414" s="473" t="str">
        <f t="shared" si="123"/>
        <v/>
      </c>
      <c r="AZ414" s="31" t="s">
        <v>27</v>
      </c>
      <c r="BB414" s="499"/>
      <c r="BC414" s="271"/>
      <c r="BD414" s="279">
        <v>1</v>
      </c>
      <c r="BE414" s="271"/>
      <c r="BF414" s="271"/>
      <c r="BG414" s="271"/>
      <c r="BH414" s="271"/>
      <c r="BI414" s="271"/>
      <c r="BJ414" s="271"/>
      <c r="BK414" s="271"/>
      <c r="BL414" s="271"/>
    </row>
    <row r="415" spans="18:64" ht="21" customHeight="1" x14ac:dyDescent="0.25">
      <c r="R415" s="34" t="s">
        <v>471</v>
      </c>
      <c r="S415" s="451"/>
      <c r="T415" s="28" t="s">
        <v>23</v>
      </c>
      <c r="V415" s="475">
        <v>10</v>
      </c>
      <c r="W415" s="475" t="str">
        <f>IF($AC$415="","",$W$396)</f>
        <v/>
      </c>
      <c r="X415" s="476" t="str">
        <f>IF($AC$415="","",$X$396)</f>
        <v/>
      </c>
      <c r="Y415" s="477" t="str">
        <f>IF($X$415="","",$Y$396)</f>
        <v/>
      </c>
      <c r="Z415" s="477" t="str">
        <f>IF($X$415="","",$Z$396)</f>
        <v/>
      </c>
      <c r="AA415" s="477" t="str">
        <f>IF($AC$415="","",ROW($A$415)-ROW($A$396))</f>
        <v/>
      </c>
      <c r="AB415" s="478"/>
      <c r="AC415" s="34"/>
      <c r="AD415" s="356"/>
      <c r="AE415" s="479"/>
      <c r="AF415" s="475"/>
      <c r="AG415" s="480" t="str">
        <f t="shared" si="112"/>
        <v/>
      </c>
      <c r="AH415" s="481" t="str">
        <f t="shared" si="113"/>
        <v/>
      </c>
      <c r="AI415" s="477" t="str">
        <f>IF($AC$415="","",IFERROR(INDEX($AZ$74:$AZ$119,MATCH($AH$415,$AY$74:$AY$119,0)),"AUTRE"))</f>
        <v/>
      </c>
      <c r="AJ415" s="482" t="str">
        <f>IF($AC$415="","",IFERROR(INDEX($BA$74:$BA$119,MATCH($AH$415,$AY$74:$AY$119,0)),1))</f>
        <v/>
      </c>
      <c r="AK415" s="482" t="str">
        <f t="shared" si="114"/>
        <v/>
      </c>
      <c r="AL415" s="477" t="str">
        <f>IF($AC$415="","",IFERROR(INDEX($BB$74:$BB$119,MATCH($AH$415,$AY$74:$AY$119,0)),$AH$415))</f>
        <v/>
      </c>
      <c r="AM415" s="483" t="str">
        <f t="shared" si="115"/>
        <v/>
      </c>
      <c r="AN415" s="484" t="str">
        <f t="shared" si="116"/>
        <v/>
      </c>
      <c r="AO415" s="473" t="str">
        <f t="shared" si="117"/>
        <v/>
      </c>
      <c r="AP415" s="473" t="str">
        <f t="shared" si="118"/>
        <v/>
      </c>
      <c r="AQ415" s="473" t="str">
        <f t="shared" si="119"/>
        <v/>
      </c>
      <c r="AR415" s="473" t="str">
        <f t="shared" si="120"/>
        <v/>
      </c>
      <c r="AS415" s="473" t="str">
        <f t="shared" si="121"/>
        <v/>
      </c>
      <c r="AT415" s="473" t="str">
        <f t="shared" si="122"/>
        <v/>
      </c>
      <c r="AU415" s="473" t="str">
        <f t="shared" si="123"/>
        <v/>
      </c>
      <c r="AZ415" s="31" t="s">
        <v>28</v>
      </c>
      <c r="BA415" s="25" t="s">
        <v>6115</v>
      </c>
      <c r="BB415" s="499"/>
      <c r="BC415" s="271"/>
      <c r="BD415" s="279">
        <v>1</v>
      </c>
      <c r="BE415" s="271"/>
      <c r="BF415" s="271"/>
      <c r="BG415" s="271"/>
      <c r="BH415" s="271"/>
      <c r="BI415" s="271"/>
      <c r="BJ415" s="271"/>
      <c r="BK415" s="271"/>
      <c r="BL415" s="271"/>
    </row>
    <row r="416" spans="18:64" ht="21" customHeight="1" x14ac:dyDescent="0.25">
      <c r="R416" s="34" t="s">
        <v>472</v>
      </c>
      <c r="S416" s="451"/>
      <c r="T416" s="28" t="s">
        <v>24</v>
      </c>
      <c r="V416" s="475">
        <v>10</v>
      </c>
      <c r="W416" s="475" t="str">
        <f>IF($AC$416="","",$W$396)</f>
        <v/>
      </c>
      <c r="X416" s="476" t="str">
        <f>IF($AC$416="","",$X$396)</f>
        <v/>
      </c>
      <c r="Y416" s="477" t="str">
        <f>IF($X$416="","",$Y$396)</f>
        <v/>
      </c>
      <c r="Z416" s="477" t="str">
        <f>IF($X$416="","",$Z$396)</f>
        <v/>
      </c>
      <c r="AA416" s="477" t="str">
        <f>IF($AC$416="","",ROW($A$416)-ROW($A$396))</f>
        <v/>
      </c>
      <c r="AB416" s="478"/>
      <c r="AC416" s="34"/>
      <c r="AD416" s="356"/>
      <c r="AE416" s="479"/>
      <c r="AF416" s="475"/>
      <c r="AG416" s="480" t="str">
        <f t="shared" si="112"/>
        <v/>
      </c>
      <c r="AH416" s="481" t="str">
        <f t="shared" si="113"/>
        <v/>
      </c>
      <c r="AI416" s="477" t="str">
        <f>IF($AC$416="","",IFERROR(INDEX($AZ$74:$AZ$119,MATCH($AH$416,$AY$74:$AY$119,0)),"AUTRE"))</f>
        <v/>
      </c>
      <c r="AJ416" s="482" t="str">
        <f>IF($AC$416="","",IFERROR(INDEX($BA$74:$BA$119,MATCH($AH$416,$AY$74:$AY$119,0)),1))</f>
        <v/>
      </c>
      <c r="AK416" s="482" t="str">
        <f t="shared" si="114"/>
        <v/>
      </c>
      <c r="AL416" s="477" t="str">
        <f>IF($AC$416="","",IFERROR(INDEX($BB$74:$BB$119,MATCH($AH$416,$AY$74:$AY$119,0)),$AH$416))</f>
        <v/>
      </c>
      <c r="AM416" s="483" t="str">
        <f t="shared" si="115"/>
        <v/>
      </c>
      <c r="AN416" s="484" t="str">
        <f t="shared" si="116"/>
        <v/>
      </c>
      <c r="AO416" s="473" t="str">
        <f t="shared" si="117"/>
        <v/>
      </c>
      <c r="AP416" s="473" t="str">
        <f t="shared" si="118"/>
        <v/>
      </c>
      <c r="AQ416" s="473" t="str">
        <f t="shared" si="119"/>
        <v/>
      </c>
      <c r="AR416" s="473" t="str">
        <f t="shared" si="120"/>
        <v/>
      </c>
      <c r="AS416" s="473" t="str">
        <f t="shared" si="121"/>
        <v/>
      </c>
      <c r="AT416" s="473" t="str">
        <f t="shared" si="122"/>
        <v/>
      </c>
      <c r="AU416" s="473" t="str">
        <f t="shared" si="123"/>
        <v/>
      </c>
      <c r="AZ416" s="31" t="s">
        <v>29</v>
      </c>
      <c r="BA416" s="34" t="s">
        <v>471</v>
      </c>
      <c r="BB416" s="499"/>
      <c r="BC416" s="271"/>
      <c r="BD416" s="279">
        <v>1</v>
      </c>
      <c r="BE416" s="271"/>
      <c r="BF416" s="271"/>
      <c r="BG416" s="271"/>
      <c r="BH416" s="271"/>
      <c r="BI416" s="271"/>
      <c r="BJ416" s="271"/>
      <c r="BK416" s="271"/>
      <c r="BL416" s="271"/>
    </row>
    <row r="417" spans="1:64" ht="21" customHeight="1" x14ac:dyDescent="0.25">
      <c r="R417" s="34" t="s">
        <v>6112</v>
      </c>
      <c r="S417" s="451"/>
      <c r="T417" s="29" t="s">
        <v>9</v>
      </c>
      <c r="V417" s="475">
        <v>10</v>
      </c>
      <c r="W417" s="475" t="str">
        <f>IF($AC$417="","",$W$396)</f>
        <v/>
      </c>
      <c r="X417" s="476" t="str">
        <f>IF($AC$417="","",$X$396)</f>
        <v/>
      </c>
      <c r="Y417" s="477" t="str">
        <f>IF($X$417="","",$Y$396)</f>
        <v/>
      </c>
      <c r="Z417" s="477" t="str">
        <f>IF($X$417="","",$Z$396)</f>
        <v/>
      </c>
      <c r="AA417" s="477" t="str">
        <f>IF($AC$417="","",ROW($A$417)-ROW($A$396))</f>
        <v/>
      </c>
      <c r="AB417" s="478"/>
      <c r="AC417" s="34"/>
      <c r="AD417" s="356"/>
      <c r="AE417" s="479"/>
      <c r="AF417" s="475"/>
      <c r="AG417" s="480" t="str">
        <f t="shared" si="112"/>
        <v/>
      </c>
      <c r="AH417" s="481" t="str">
        <f t="shared" si="113"/>
        <v/>
      </c>
      <c r="AI417" s="477" t="str">
        <f>IF($AC$417="","",IFERROR(INDEX($AZ$74:$AZ$119,MATCH($AH$417,$AY$74:$AY$119,0)),"AUTRE"))</f>
        <v/>
      </c>
      <c r="AJ417" s="482" t="str">
        <f>IF($AC$417="","",IFERROR(INDEX($BA$74:$BA$119,MATCH($AH$417,$AY$74:$AY$119,0)),1))</f>
        <v/>
      </c>
      <c r="AK417" s="482" t="str">
        <f t="shared" si="114"/>
        <v/>
      </c>
      <c r="AL417" s="477" t="str">
        <f>IF($AC$417="","",IFERROR(INDEX($BB$74:$BB$119,MATCH($AH$417,$AY$74:$AY$119,0)),$AH$417))</f>
        <v/>
      </c>
      <c r="AM417" s="483" t="str">
        <f t="shared" si="115"/>
        <v/>
      </c>
      <c r="AN417" s="484" t="str">
        <f t="shared" si="116"/>
        <v/>
      </c>
      <c r="AO417" s="473" t="str">
        <f t="shared" si="117"/>
        <v/>
      </c>
      <c r="AP417" s="473" t="str">
        <f t="shared" si="118"/>
        <v/>
      </c>
      <c r="AQ417" s="473" t="str">
        <f t="shared" si="119"/>
        <v/>
      </c>
      <c r="AR417" s="473" t="str">
        <f t="shared" si="120"/>
        <v/>
      </c>
      <c r="AS417" s="473" t="str">
        <f t="shared" si="121"/>
        <v/>
      </c>
      <c r="AT417" s="473" t="str">
        <f t="shared" si="122"/>
        <v/>
      </c>
      <c r="AU417" s="473" t="str">
        <f t="shared" si="123"/>
        <v/>
      </c>
      <c r="AZ417" s="31" t="s">
        <v>30</v>
      </c>
      <c r="BA417" s="34" t="s">
        <v>472</v>
      </c>
      <c r="BB417" s="499"/>
      <c r="BC417" s="271"/>
      <c r="BD417" s="279">
        <v>1</v>
      </c>
      <c r="BE417" s="271"/>
      <c r="BF417" s="271"/>
      <c r="BG417" s="271"/>
      <c r="BH417" s="271"/>
      <c r="BI417" s="271"/>
      <c r="BJ417" s="271"/>
      <c r="BK417" s="271"/>
      <c r="BL417" s="271"/>
    </row>
    <row r="418" spans="1:64" ht="21" customHeight="1" x14ac:dyDescent="0.25">
      <c r="R418" s="25" t="s">
        <v>6116</v>
      </c>
      <c r="S418" s="451"/>
      <c r="T418" s="30" t="s">
        <v>10</v>
      </c>
      <c r="V418" s="475">
        <v>10</v>
      </c>
      <c r="W418" s="475" t="str">
        <f>IF($AC$418="","",$W$396)</f>
        <v/>
      </c>
      <c r="X418" s="476" t="str">
        <f>IF($AC$418="","",$X$396)</f>
        <v/>
      </c>
      <c r="Y418" s="477" t="str">
        <f>IF($X$418="","",$Y$396)</f>
        <v/>
      </c>
      <c r="Z418" s="477" t="str">
        <f>IF($X$418="","",$Z$396)</f>
        <v/>
      </c>
      <c r="AA418" s="477" t="str">
        <f>IF($AC$418="","",ROW($A$418)-ROW($A$396))</f>
        <v/>
      </c>
      <c r="AB418" s="478"/>
      <c r="AC418" s="34"/>
      <c r="AD418" s="356"/>
      <c r="AE418" s="479"/>
      <c r="AF418" s="475"/>
      <c r="AG418" s="480" t="str">
        <f t="shared" si="112"/>
        <v/>
      </c>
      <c r="AH418" s="481" t="str">
        <f t="shared" si="113"/>
        <v/>
      </c>
      <c r="AI418" s="477" t="str">
        <f>IF($AC$418="","",IFERROR(INDEX($AZ$74:$AZ$119,MATCH($AH$418,$AY$74:$AY$119,0)),"AUTRE"))</f>
        <v/>
      </c>
      <c r="AJ418" s="482" t="str">
        <f>IF($AC$418="","",IFERROR(INDEX($BA$74:$BA$119,MATCH($AH$418,$AY$74:$AY$119,0)),1))</f>
        <v/>
      </c>
      <c r="AK418" s="482" t="str">
        <f t="shared" si="114"/>
        <v/>
      </c>
      <c r="AL418" s="477" t="str">
        <f>IF($AC$418="","",IFERROR(INDEX($BB$74:$BB$119,MATCH($AH$418,$AY$74:$AY$119,0)),$AH$418))</f>
        <v/>
      </c>
      <c r="AM418" s="483" t="str">
        <f t="shared" si="115"/>
        <v/>
      </c>
      <c r="AN418" s="484" t="str">
        <f t="shared" si="116"/>
        <v/>
      </c>
      <c r="AO418" s="473" t="str">
        <f t="shared" si="117"/>
        <v/>
      </c>
      <c r="AP418" s="473" t="str">
        <f t="shared" si="118"/>
        <v/>
      </c>
      <c r="AQ418" s="473" t="str">
        <f t="shared" si="119"/>
        <v/>
      </c>
      <c r="AR418" s="473" t="str">
        <f t="shared" si="120"/>
        <v/>
      </c>
      <c r="AS418" s="473" t="str">
        <f t="shared" si="121"/>
        <v/>
      </c>
      <c r="AT418" s="473" t="str">
        <f t="shared" si="122"/>
        <v/>
      </c>
      <c r="AU418" s="473" t="str">
        <f t="shared" si="123"/>
        <v/>
      </c>
      <c r="AZ418" s="32" t="s">
        <v>33</v>
      </c>
      <c r="BA418" s="34" t="s">
        <v>6112</v>
      </c>
      <c r="BB418" s="499"/>
      <c r="BC418" s="271"/>
      <c r="BD418" s="279">
        <v>1</v>
      </c>
      <c r="BE418" s="271"/>
      <c r="BF418" s="271"/>
      <c r="BG418" s="271"/>
      <c r="BH418" s="271"/>
      <c r="BI418" s="271"/>
      <c r="BJ418" s="271"/>
      <c r="BK418" s="271"/>
      <c r="BL418" s="271"/>
    </row>
    <row r="419" spans="1:64" ht="21" customHeight="1" x14ac:dyDescent="0.25">
      <c r="R419" s="34" t="s">
        <v>6117</v>
      </c>
      <c r="S419" s="451"/>
      <c r="T419" s="30" t="s">
        <v>11</v>
      </c>
      <c r="V419" s="475">
        <v>10</v>
      </c>
      <c r="W419" s="475" t="str">
        <f>IF($AC$419="","",$W$396)</f>
        <v/>
      </c>
      <c r="X419" s="476" t="str">
        <f>IF($AC$419="","",$X$396)</f>
        <v/>
      </c>
      <c r="Y419" s="477" t="str">
        <f>IF($X$419="","",$Y$396)</f>
        <v/>
      </c>
      <c r="Z419" s="477" t="str">
        <f>IF($X$419="","",$Z$396)</f>
        <v/>
      </c>
      <c r="AA419" s="477" t="str">
        <f>IF($AC$419="","",ROW($A$419)-ROW($A$396))</f>
        <v/>
      </c>
      <c r="AB419" s="478"/>
      <c r="AC419" s="34"/>
      <c r="AD419" s="356"/>
      <c r="AE419" s="479"/>
      <c r="AF419" s="475"/>
      <c r="AG419" s="480" t="str">
        <f t="shared" si="112"/>
        <v/>
      </c>
      <c r="AH419" s="481" t="str">
        <f t="shared" si="113"/>
        <v/>
      </c>
      <c r="AI419" s="477" t="str">
        <f>IF($AC$419="","",IFERROR(INDEX($AZ$74:$AZ$119,MATCH($AH$419,$AY$74:$AY$119,0)),"AUTRE"))</f>
        <v/>
      </c>
      <c r="AJ419" s="482" t="str">
        <f>IF($AC$419="","",IFERROR(INDEX($BA$74:$BA$119,MATCH($AH$419,$AY$74:$AY$119,0)),1))</f>
        <v/>
      </c>
      <c r="AK419" s="482" t="str">
        <f t="shared" si="114"/>
        <v/>
      </c>
      <c r="AL419" s="477" t="str">
        <f>IF($AC$419="","",IFERROR(INDEX($BB$74:$BB$119,MATCH($AH$419,$AY$74:$AY$119,0)),$AH$419))</f>
        <v/>
      </c>
      <c r="AM419" s="483" t="str">
        <f t="shared" si="115"/>
        <v/>
      </c>
      <c r="AN419" s="484" t="str">
        <f t="shared" si="116"/>
        <v/>
      </c>
      <c r="AO419" s="473" t="str">
        <f t="shared" si="117"/>
        <v/>
      </c>
      <c r="AP419" s="473" t="str">
        <f t="shared" si="118"/>
        <v/>
      </c>
      <c r="AQ419" s="473" t="str">
        <f t="shared" si="119"/>
        <v/>
      </c>
      <c r="AR419" s="473" t="str">
        <f t="shared" si="120"/>
        <v/>
      </c>
      <c r="AS419" s="473" t="str">
        <f t="shared" si="121"/>
        <v/>
      </c>
      <c r="AT419" s="473" t="str">
        <f t="shared" si="122"/>
        <v/>
      </c>
      <c r="AU419" s="473" t="str">
        <f t="shared" si="123"/>
        <v/>
      </c>
      <c r="AZ419" s="32" t="s">
        <v>8125</v>
      </c>
      <c r="BA419" s="25" t="s">
        <v>6116</v>
      </c>
      <c r="BB419" s="499"/>
      <c r="BC419" s="271"/>
      <c r="BD419" s="279">
        <v>1</v>
      </c>
      <c r="BE419" s="271"/>
      <c r="BF419" s="271"/>
      <c r="BG419" s="271"/>
      <c r="BH419" s="271"/>
      <c r="BI419" s="271"/>
      <c r="BJ419" s="271"/>
      <c r="BK419" s="271"/>
      <c r="BL419" s="271"/>
    </row>
    <row r="420" spans="1:64" ht="21" customHeight="1" x14ac:dyDescent="0.25">
      <c r="R420" s="34" t="s">
        <v>469</v>
      </c>
      <c r="S420" s="451"/>
      <c r="T420" s="30" t="s">
        <v>12</v>
      </c>
      <c r="V420" s="475">
        <v>10</v>
      </c>
      <c r="W420" s="475" t="str">
        <f>IF($AC$420="","",$W$396)</f>
        <v/>
      </c>
      <c r="X420" s="476" t="str">
        <f>IF($AC$420="","",$X$396)</f>
        <v/>
      </c>
      <c r="Y420" s="477" t="str">
        <f>IF($X$420="","",$Y$396)</f>
        <v/>
      </c>
      <c r="Z420" s="477" t="str">
        <f>IF($X$420="","",$Z$396)</f>
        <v/>
      </c>
      <c r="AA420" s="477" t="str">
        <f>IF($AC$420="","",ROW($A$420)-ROW($A$396))</f>
        <v/>
      </c>
      <c r="AB420" s="478"/>
      <c r="AC420" s="34"/>
      <c r="AD420" s="356"/>
      <c r="AE420" s="479"/>
      <c r="AF420" s="475"/>
      <c r="AG420" s="480" t="str">
        <f t="shared" si="112"/>
        <v/>
      </c>
      <c r="AH420" s="481" t="str">
        <f t="shared" si="113"/>
        <v/>
      </c>
      <c r="AI420" s="477" t="str">
        <f>IF($AC$420="","",IFERROR(INDEX($AZ$74:$AZ$119,MATCH($AH$420,$AY$74:$AY$119,0)),"AUTRE"))</f>
        <v/>
      </c>
      <c r="AJ420" s="482" t="str">
        <f>IF($AC$420="","",IFERROR(INDEX($BA$74:$BA$119,MATCH($AH$420,$AY$74:$AY$119,0)),1))</f>
        <v/>
      </c>
      <c r="AK420" s="482" t="str">
        <f t="shared" si="114"/>
        <v/>
      </c>
      <c r="AL420" s="477" t="str">
        <f>IF($AC$420="","",IFERROR(INDEX($BB$74:$BB$119,MATCH($AH$420,$AY$74:$AY$119,0)),$AH$420))</f>
        <v/>
      </c>
      <c r="AM420" s="483" t="str">
        <f t="shared" si="115"/>
        <v/>
      </c>
      <c r="AN420" s="484" t="str">
        <f t="shared" si="116"/>
        <v/>
      </c>
      <c r="AO420" s="473" t="str">
        <f t="shared" si="117"/>
        <v/>
      </c>
      <c r="AP420" s="473" t="str">
        <f t="shared" si="118"/>
        <v/>
      </c>
      <c r="AQ420" s="473" t="str">
        <f t="shared" si="119"/>
        <v/>
      </c>
      <c r="AR420" s="473" t="str">
        <f t="shared" si="120"/>
        <v/>
      </c>
      <c r="AS420" s="473" t="str">
        <f t="shared" si="121"/>
        <v/>
      </c>
      <c r="AT420" s="473" t="str">
        <f t="shared" si="122"/>
        <v/>
      </c>
      <c r="AU420" s="473" t="str">
        <f t="shared" si="123"/>
        <v/>
      </c>
      <c r="AZ420" s="32" t="s">
        <v>8127</v>
      </c>
      <c r="BA420" s="34" t="s">
        <v>6117</v>
      </c>
      <c r="BB420" s="499"/>
      <c r="BC420" s="271"/>
      <c r="BD420" s="279">
        <v>1</v>
      </c>
      <c r="BE420" s="271"/>
      <c r="BF420" s="271"/>
      <c r="BG420" s="271"/>
      <c r="BH420" s="271"/>
      <c r="BI420" s="271"/>
      <c r="BJ420" s="271"/>
      <c r="BK420" s="271"/>
      <c r="BL420" s="271"/>
    </row>
    <row r="421" spans="1:64" ht="21" customHeight="1" x14ac:dyDescent="0.25">
      <c r="R421" s="34" t="s">
        <v>6118</v>
      </c>
      <c r="S421" s="451"/>
      <c r="T421" s="31" t="s">
        <v>16</v>
      </c>
      <c r="V421" s="475">
        <v>10</v>
      </c>
      <c r="W421" s="475" t="str">
        <f>IF($AC$421="","",$W$396)</f>
        <v/>
      </c>
      <c r="X421" s="476" t="str">
        <f>IF($AC$421="","",$X$396)</f>
        <v/>
      </c>
      <c r="Y421" s="477" t="str">
        <f>IF($X$421="","",$Y$396)</f>
        <v/>
      </c>
      <c r="Z421" s="477" t="str">
        <f>IF($X$421="","",$Z$396)</f>
        <v/>
      </c>
      <c r="AA421" s="477" t="str">
        <f>IF($AC$421="","",ROW($A$421)-ROW($A$396))</f>
        <v/>
      </c>
      <c r="AB421" s="478"/>
      <c r="AC421" s="34"/>
      <c r="AD421" s="356"/>
      <c r="AE421" s="479"/>
      <c r="AF421" s="475"/>
      <c r="AG421" s="480" t="str">
        <f t="shared" si="112"/>
        <v/>
      </c>
      <c r="AH421" s="481" t="str">
        <f t="shared" si="113"/>
        <v/>
      </c>
      <c r="AI421" s="477" t="str">
        <f>IF($AC$421="","",IFERROR(INDEX($AZ$74:$AZ$119,MATCH($AH$421,$AY$74:$AY$119,0)),"AUTRE"))</f>
        <v/>
      </c>
      <c r="AJ421" s="482" t="str">
        <f>IF($AC$421="","",IFERROR(INDEX($BA$74:$BA$119,MATCH($AH$421,$AY$74:$AY$119,0)),1))</f>
        <v/>
      </c>
      <c r="AK421" s="482" t="str">
        <f t="shared" si="114"/>
        <v/>
      </c>
      <c r="AL421" s="477" t="str">
        <f>IF($AC$421="","",IFERROR(INDEX($BB$74:$BB$119,MATCH($AH$421,$AY$74:$AY$119,0)),$AH$421))</f>
        <v/>
      </c>
      <c r="AM421" s="483" t="str">
        <f t="shared" si="115"/>
        <v/>
      </c>
      <c r="AN421" s="484" t="str">
        <f t="shared" si="116"/>
        <v/>
      </c>
      <c r="AO421" s="473" t="str">
        <f t="shared" si="117"/>
        <v/>
      </c>
      <c r="AP421" s="473" t="str">
        <f t="shared" si="118"/>
        <v/>
      </c>
      <c r="AQ421" s="473" t="str">
        <f t="shared" si="119"/>
        <v/>
      </c>
      <c r="AR421" s="473" t="str">
        <f t="shared" si="120"/>
        <v/>
      </c>
      <c r="AS421" s="473" t="str">
        <f t="shared" si="121"/>
        <v/>
      </c>
      <c r="AT421" s="473" t="str">
        <f t="shared" si="122"/>
        <v/>
      </c>
      <c r="AU421" s="473" t="str">
        <f t="shared" si="123"/>
        <v/>
      </c>
      <c r="AZ421" s="32" t="s">
        <v>320</v>
      </c>
      <c r="BA421" s="34" t="s">
        <v>469</v>
      </c>
      <c r="BB421" s="499"/>
      <c r="BC421" s="271"/>
      <c r="BD421" s="279">
        <v>1</v>
      </c>
      <c r="BE421" s="271"/>
      <c r="BF421" s="271"/>
      <c r="BG421" s="271"/>
      <c r="BH421" s="271"/>
      <c r="BI421" s="271"/>
      <c r="BJ421" s="271"/>
      <c r="BK421" s="271"/>
      <c r="BL421" s="271"/>
    </row>
    <row r="422" spans="1:64" ht="21" customHeight="1" x14ac:dyDescent="0.25">
      <c r="R422" s="34" t="s">
        <v>492</v>
      </c>
      <c r="S422" s="451"/>
      <c r="T422" s="31" t="s">
        <v>17</v>
      </c>
      <c r="V422" s="475">
        <v>10</v>
      </c>
      <c r="W422" s="475" t="str">
        <f>IF($AC$422="","",$W$396)</f>
        <v/>
      </c>
      <c r="X422" s="476" t="str">
        <f>IF($AC$422="","",$X$396)</f>
        <v/>
      </c>
      <c r="Y422" s="477" t="str">
        <f>IF($X$422="","",$Y$396)</f>
        <v/>
      </c>
      <c r="Z422" s="477" t="str">
        <f>IF($X$422="","",$Z$396)</f>
        <v/>
      </c>
      <c r="AA422" s="477" t="str">
        <f>IF($AC$422="","",ROW($A$422)-ROW($A$396))</f>
        <v/>
      </c>
      <c r="AB422" s="478"/>
      <c r="AC422" s="34"/>
      <c r="AD422" s="356"/>
      <c r="AE422" s="479"/>
      <c r="AF422" s="475"/>
      <c r="AG422" s="480" t="str">
        <f t="shared" si="112"/>
        <v/>
      </c>
      <c r="AH422" s="481" t="str">
        <f t="shared" si="113"/>
        <v/>
      </c>
      <c r="AI422" s="477" t="str">
        <f>IF($AC$422="","",IFERROR(INDEX($AZ$74:$AZ$119,MATCH($AH$422,$AY$74:$AY$119,0)),"AUTRE"))</f>
        <v/>
      </c>
      <c r="AJ422" s="482" t="str">
        <f>IF($AC$422="","",IFERROR(INDEX($BA$74:$BA$119,MATCH($AH$422,$AY$74:$AY$119,0)),1))</f>
        <v/>
      </c>
      <c r="AK422" s="482" t="str">
        <f t="shared" si="114"/>
        <v/>
      </c>
      <c r="AL422" s="477" t="str">
        <f>IF($AC$422="","",IFERROR(INDEX($BB$74:$BB$119,MATCH($AH$422,$AY$74:$AY$119,0)),$AH$422))</f>
        <v/>
      </c>
      <c r="AM422" s="483" t="str">
        <f t="shared" si="115"/>
        <v/>
      </c>
      <c r="AN422" s="484" t="str">
        <f t="shared" si="116"/>
        <v/>
      </c>
      <c r="AO422" s="473" t="str">
        <f t="shared" si="117"/>
        <v/>
      </c>
      <c r="AP422" s="473" t="str">
        <f t="shared" si="118"/>
        <v/>
      </c>
      <c r="AQ422" s="473" t="str">
        <f t="shared" si="119"/>
        <v/>
      </c>
      <c r="AR422" s="473" t="str">
        <f t="shared" si="120"/>
        <v/>
      </c>
      <c r="AS422" s="473" t="str">
        <f t="shared" si="121"/>
        <v/>
      </c>
      <c r="AT422" s="473" t="str">
        <f t="shared" si="122"/>
        <v/>
      </c>
      <c r="AU422" s="473" t="str">
        <f t="shared" si="123"/>
        <v/>
      </c>
      <c r="AZ422" s="32" t="s">
        <v>318</v>
      </c>
      <c r="BA422" s="34" t="s">
        <v>6118</v>
      </c>
      <c r="BB422" s="499"/>
      <c r="BC422" s="271"/>
      <c r="BD422" s="279">
        <v>1</v>
      </c>
      <c r="BE422" s="271"/>
      <c r="BF422" s="271"/>
      <c r="BG422" s="271"/>
      <c r="BH422" s="271"/>
      <c r="BI422" s="271"/>
      <c r="BJ422" s="271"/>
      <c r="BK422" s="271"/>
      <c r="BL422" s="271"/>
    </row>
    <row r="423" spans="1:64" ht="21" customHeight="1" x14ac:dyDescent="0.25">
      <c r="R423" s="34" t="s">
        <v>458</v>
      </c>
      <c r="S423" s="451"/>
      <c r="T423" s="31" t="s">
        <v>18</v>
      </c>
      <c r="V423" s="475">
        <v>10</v>
      </c>
      <c r="W423" s="475" t="str">
        <f>IF($AC$423="","",$W$396)</f>
        <v/>
      </c>
      <c r="X423" s="476" t="str">
        <f>IF($AC$423="","",$X$396)</f>
        <v/>
      </c>
      <c r="Y423" s="477" t="str">
        <f>IF($X$423="","",$Y$396)</f>
        <v/>
      </c>
      <c r="Z423" s="477" t="str">
        <f>IF($X$423="","",$Z$396)</f>
        <v/>
      </c>
      <c r="AA423" s="477" t="str">
        <f>IF($AC$423="","",ROW($A$423)-ROW($A$396))</f>
        <v/>
      </c>
      <c r="AB423" s="478"/>
      <c r="AC423" s="34"/>
      <c r="AD423" s="356"/>
      <c r="AE423" s="479"/>
      <c r="AF423" s="475"/>
      <c r="AG423" s="480" t="str">
        <f t="shared" si="112"/>
        <v/>
      </c>
      <c r="AH423" s="481" t="str">
        <f t="shared" si="113"/>
        <v/>
      </c>
      <c r="AI423" s="477" t="str">
        <f>IF($AC$423="","",IFERROR(INDEX($AZ$74:$AZ$119,MATCH($AH$423,$AY$74:$AY$119,0)),"AUTRE"))</f>
        <v/>
      </c>
      <c r="AJ423" s="482" t="str">
        <f>IF($AC$423="","",IFERROR(INDEX($BA$74:$BA$119,MATCH($AH$423,$AY$74:$AY$119,0)),1))</f>
        <v/>
      </c>
      <c r="AK423" s="482" t="str">
        <f t="shared" si="114"/>
        <v/>
      </c>
      <c r="AL423" s="477" t="str">
        <f>IF($AC$423="","",IFERROR(INDEX($BB$74:$BB$119,MATCH($AH$423,$AY$74:$AY$119,0)),$AH$423))</f>
        <v/>
      </c>
      <c r="AM423" s="483" t="str">
        <f t="shared" si="115"/>
        <v/>
      </c>
      <c r="AN423" s="484" t="str">
        <f t="shared" si="116"/>
        <v/>
      </c>
      <c r="AO423" s="473" t="str">
        <f t="shared" si="117"/>
        <v/>
      </c>
      <c r="AP423" s="473" t="str">
        <f t="shared" si="118"/>
        <v/>
      </c>
      <c r="AQ423" s="473" t="str">
        <f t="shared" si="119"/>
        <v/>
      </c>
      <c r="AR423" s="473" t="str">
        <f t="shared" si="120"/>
        <v/>
      </c>
      <c r="AS423" s="473" t="str">
        <f t="shared" si="121"/>
        <v/>
      </c>
      <c r="AT423" s="473" t="str">
        <f t="shared" si="122"/>
        <v/>
      </c>
      <c r="AU423" s="473" t="str">
        <f t="shared" si="123"/>
        <v/>
      </c>
      <c r="AZ423" s="32" t="s">
        <v>316</v>
      </c>
      <c r="BA423" s="34" t="s">
        <v>492</v>
      </c>
      <c r="BB423" s="499"/>
      <c r="BC423" s="271"/>
      <c r="BD423" s="279">
        <v>1</v>
      </c>
      <c r="BE423" s="271"/>
      <c r="BF423" s="271"/>
      <c r="BG423" s="271"/>
      <c r="BH423" s="271"/>
      <c r="BI423" s="271"/>
      <c r="BJ423" s="271"/>
      <c r="BK423" s="271"/>
      <c r="BL423" s="271"/>
    </row>
    <row r="424" spans="1:64" ht="21" customHeight="1" x14ac:dyDescent="0.25">
      <c r="R424" s="490"/>
      <c r="S424" s="451"/>
      <c r="T424" s="31" t="s">
        <v>19</v>
      </c>
      <c r="V424" s="475">
        <v>10</v>
      </c>
      <c r="W424" s="475" t="str">
        <f>IF($AC$424="","",$W$396)</f>
        <v/>
      </c>
      <c r="X424" s="476" t="str">
        <f>IF($AC$424="","",$X$396)</f>
        <v/>
      </c>
      <c r="Y424" s="477" t="str">
        <f>IF($X$424="","",$Y$396)</f>
        <v/>
      </c>
      <c r="Z424" s="477" t="str">
        <f>IF($X$424="","",$Z$396)</f>
        <v/>
      </c>
      <c r="AA424" s="477" t="str">
        <f>IF($AC$424="","",ROW($A$424)-ROW($A$396))</f>
        <v/>
      </c>
      <c r="AB424" s="478"/>
      <c r="AC424" s="34"/>
      <c r="AD424" s="356"/>
      <c r="AE424" s="479"/>
      <c r="AF424" s="475"/>
      <c r="AG424" s="480" t="str">
        <f t="shared" si="112"/>
        <v/>
      </c>
      <c r="AH424" s="481" t="str">
        <f t="shared" si="113"/>
        <v/>
      </c>
      <c r="AI424" s="477" t="str">
        <f>IF($AC$424="","",IFERROR(INDEX($AZ$74:$AZ$119,MATCH($AH$424,$AY$74:$AY$119,0)),"AUTRE"))</f>
        <v/>
      </c>
      <c r="AJ424" s="482" t="str">
        <f>IF($AC$424="","",IFERROR(INDEX($BA$74:$BA$119,MATCH($AH$424,$AY$74:$AY$119,0)),1))</f>
        <v/>
      </c>
      <c r="AK424" s="482" t="str">
        <f t="shared" si="114"/>
        <v/>
      </c>
      <c r="AL424" s="477" t="str">
        <f>IF($AC$424="","",IFERROR(INDEX($BB$74:$BB$119,MATCH($AH$424,$AY$74:$AY$119,0)),$AH$424))</f>
        <v/>
      </c>
      <c r="AM424" s="483" t="str">
        <f t="shared" si="115"/>
        <v/>
      </c>
      <c r="AN424" s="484" t="str">
        <f t="shared" si="116"/>
        <v/>
      </c>
      <c r="AO424" s="473" t="str">
        <f t="shared" si="117"/>
        <v/>
      </c>
      <c r="AP424" s="473" t="str">
        <f t="shared" si="118"/>
        <v/>
      </c>
      <c r="AQ424" s="473" t="str">
        <f t="shared" si="119"/>
        <v/>
      </c>
      <c r="AR424" s="473" t="str">
        <f t="shared" si="120"/>
        <v/>
      </c>
      <c r="AS424" s="473" t="str">
        <f t="shared" si="121"/>
        <v/>
      </c>
      <c r="AT424" s="473" t="str">
        <f t="shared" si="122"/>
        <v/>
      </c>
      <c r="AU424" s="473" t="str">
        <f t="shared" si="123"/>
        <v/>
      </c>
      <c r="AY424" s="271"/>
      <c r="AZ424" s="32" t="s">
        <v>313</v>
      </c>
      <c r="BA424" s="34" t="s">
        <v>458</v>
      </c>
      <c r="BB424" s="499"/>
      <c r="BC424" s="271"/>
      <c r="BD424" s="279">
        <v>1</v>
      </c>
      <c r="BE424" s="271"/>
      <c r="BF424" s="271"/>
      <c r="BG424" s="271"/>
      <c r="BH424" s="271"/>
      <c r="BI424" s="271"/>
      <c r="BJ424" s="271"/>
      <c r="BK424" s="271"/>
      <c r="BL424" s="271"/>
    </row>
    <row r="425" spans="1:64" ht="21" customHeight="1" x14ac:dyDescent="0.25">
      <c r="R425" s="25" t="s">
        <v>6119</v>
      </c>
      <c r="S425" s="451"/>
      <c r="T425" s="31" t="s">
        <v>211</v>
      </c>
      <c r="V425" s="475">
        <v>10</v>
      </c>
      <c r="W425" s="475" t="str">
        <f>IF($AC$425="","",$W$396)</f>
        <v/>
      </c>
      <c r="X425" s="476" t="str">
        <f>IF($AC$425="","",$X$396)</f>
        <v/>
      </c>
      <c r="Y425" s="477" t="str">
        <f>IF($X$425="","",$Y$396)</f>
        <v/>
      </c>
      <c r="Z425" s="477" t="str">
        <f>IF($X$425="","",$Z$396)</f>
        <v/>
      </c>
      <c r="AA425" s="477" t="str">
        <f>IF($AC$425="","",ROW($A$425)-ROW($A$396))</f>
        <v/>
      </c>
      <c r="AB425" s="478"/>
      <c r="AC425" s="34"/>
      <c r="AD425" s="356"/>
      <c r="AE425" s="479"/>
      <c r="AF425" s="475"/>
      <c r="AG425" s="480" t="str">
        <f t="shared" si="112"/>
        <v/>
      </c>
      <c r="AH425" s="481" t="str">
        <f t="shared" si="113"/>
        <v/>
      </c>
      <c r="AI425" s="477" t="str">
        <f>IF($AC$425="","",IFERROR(INDEX($AZ$74:$AZ$119,MATCH($AH$425,$AY$74:$AY$119,0)),"AUTRE"))</f>
        <v/>
      </c>
      <c r="AJ425" s="482" t="str">
        <f>IF($AC$425="","",IFERROR(INDEX($BA$74:$BA$119,MATCH($AH$425,$AY$74:$AY$119,0)),1))</f>
        <v/>
      </c>
      <c r="AK425" s="482" t="str">
        <f t="shared" si="114"/>
        <v/>
      </c>
      <c r="AL425" s="477" t="str">
        <f>IF($AC$425="","",IFERROR(INDEX($BB$74:$BB$119,MATCH($AH$425,$AY$74:$AY$119,0)),$AH$425))</f>
        <v/>
      </c>
      <c r="AM425" s="483" t="str">
        <f t="shared" si="115"/>
        <v/>
      </c>
      <c r="AN425" s="484" t="str">
        <f t="shared" si="116"/>
        <v/>
      </c>
      <c r="AO425" s="473" t="str">
        <f t="shared" si="117"/>
        <v/>
      </c>
      <c r="AP425" s="473" t="str">
        <f t="shared" si="118"/>
        <v/>
      </c>
      <c r="AQ425" s="473" t="str">
        <f t="shared" si="119"/>
        <v/>
      </c>
      <c r="AR425" s="473" t="str">
        <f t="shared" si="120"/>
        <v/>
      </c>
      <c r="AS425" s="473" t="str">
        <f t="shared" si="121"/>
        <v/>
      </c>
      <c r="AT425" s="473" t="str">
        <f t="shared" si="122"/>
        <v/>
      </c>
      <c r="AU425" s="473" t="str">
        <f t="shared" si="123"/>
        <v/>
      </c>
      <c r="AY425" s="497" t="s">
        <v>8145</v>
      </c>
      <c r="AZ425" s="32" t="s">
        <v>307</v>
      </c>
      <c r="BA425" s="490"/>
      <c r="BB425" s="499"/>
      <c r="BC425" s="271"/>
      <c r="BD425" s="279">
        <v>1</v>
      </c>
      <c r="BE425" s="271"/>
      <c r="BF425" s="271"/>
      <c r="BG425" s="271"/>
      <c r="BH425" s="271"/>
      <c r="BI425" s="271"/>
      <c r="BJ425" s="271"/>
      <c r="BK425" s="271"/>
      <c r="BL425" s="271"/>
    </row>
    <row r="426" spans="1:64" ht="21" customHeight="1" x14ac:dyDescent="0.25">
      <c r="R426" s="34" t="s">
        <v>6120</v>
      </c>
      <c r="S426" s="451"/>
      <c r="T426" s="31" t="s">
        <v>20</v>
      </c>
      <c r="V426" s="475">
        <v>10</v>
      </c>
      <c r="W426" s="475" t="str">
        <f>IF($AC$426="","",$W$396)</f>
        <v/>
      </c>
      <c r="X426" s="476" t="str">
        <f>IF($AC$426="","",$X$396)</f>
        <v/>
      </c>
      <c r="Y426" s="477" t="str">
        <f>IF($X$426="","",$Y$396)</f>
        <v/>
      </c>
      <c r="Z426" s="477" t="str">
        <f>IF($X$426="","",$Z$396)</f>
        <v/>
      </c>
      <c r="AA426" s="477" t="str">
        <f>IF($AC$426="","",ROW($A$426)-ROW($A$396))</f>
        <v/>
      </c>
      <c r="AB426" s="478"/>
      <c r="AC426" s="34"/>
      <c r="AD426" s="356"/>
      <c r="AE426" s="479"/>
      <c r="AF426" s="475"/>
      <c r="AG426" s="480" t="str">
        <f t="shared" si="112"/>
        <v/>
      </c>
      <c r="AH426" s="481" t="str">
        <f t="shared" si="113"/>
        <v/>
      </c>
      <c r="AI426" s="477" t="str">
        <f>IF($AC$426="","",IFERROR(INDEX($AZ$74:$AZ$119,MATCH($AH$426,$AY$74:$AY$119,0)),"AUTRE"))</f>
        <v/>
      </c>
      <c r="AJ426" s="482" t="str">
        <f>IF($AC$426="","",IFERROR(INDEX($BA$74:$BA$119,MATCH($AH$426,$AY$74:$AY$119,0)),1))</f>
        <v/>
      </c>
      <c r="AK426" s="482" t="str">
        <f t="shared" si="114"/>
        <v/>
      </c>
      <c r="AL426" s="477" t="str">
        <f>IF($AC$426="","",IFERROR(INDEX($BB$74:$BB$119,MATCH($AH$426,$AY$74:$AY$119,0)),$AH$426))</f>
        <v/>
      </c>
      <c r="AM426" s="483" t="str">
        <f t="shared" si="115"/>
        <v/>
      </c>
      <c r="AN426" s="484" t="str">
        <f t="shared" si="116"/>
        <v/>
      </c>
      <c r="AO426" s="473" t="str">
        <f t="shared" si="117"/>
        <v/>
      </c>
      <c r="AP426" s="473" t="str">
        <f t="shared" si="118"/>
        <v/>
      </c>
      <c r="AQ426" s="473" t="str">
        <f t="shared" si="119"/>
        <v/>
      </c>
      <c r="AR426" s="473" t="str">
        <f t="shared" si="120"/>
        <v/>
      </c>
      <c r="AS426" s="473" t="str">
        <f t="shared" si="121"/>
        <v/>
      </c>
      <c r="AT426" s="473" t="str">
        <f t="shared" si="122"/>
        <v/>
      </c>
      <c r="AU426" s="473" t="str">
        <f t="shared" si="123"/>
        <v/>
      </c>
      <c r="AY426" s="497" t="s">
        <v>462</v>
      </c>
      <c r="AZ426" s="32" t="s">
        <v>322</v>
      </c>
      <c r="BA426" s="25" t="s">
        <v>6119</v>
      </c>
      <c r="BB426" s="499"/>
      <c r="BC426" s="271"/>
      <c r="BD426" s="279">
        <v>1</v>
      </c>
      <c r="BE426" s="271"/>
      <c r="BF426" s="271"/>
      <c r="BG426" s="271"/>
      <c r="BH426" s="271"/>
      <c r="BI426" s="271"/>
      <c r="BJ426" s="271"/>
      <c r="BK426" s="271"/>
      <c r="BL426" s="271"/>
    </row>
    <row r="427" spans="1:64" ht="21" customHeight="1" x14ac:dyDescent="0.25">
      <c r="R427" s="34" t="s">
        <v>6121</v>
      </c>
      <c r="S427" s="451"/>
      <c r="T427" s="31" t="s">
        <v>304</v>
      </c>
      <c r="V427" s="475">
        <v>10</v>
      </c>
      <c r="W427" s="475" t="str">
        <f>IF($AC$427="","",$W$396)</f>
        <v/>
      </c>
      <c r="X427" s="476" t="str">
        <f>IF($AC$427="","",$X$396)</f>
        <v/>
      </c>
      <c r="Y427" s="477" t="str">
        <f>IF($X$427="","",$Y$396)</f>
        <v/>
      </c>
      <c r="Z427" s="477" t="str">
        <f>IF($X$427="","",$Z$396)</f>
        <v/>
      </c>
      <c r="AA427" s="477" t="str">
        <f>IF($AC$427="","",ROW($A$427)-ROW($A$396))</f>
        <v/>
      </c>
      <c r="AB427" s="478"/>
      <c r="AC427" s="34"/>
      <c r="AD427" s="356"/>
      <c r="AE427" s="479"/>
      <c r="AF427" s="475"/>
      <c r="AG427" s="480" t="str">
        <f t="shared" si="112"/>
        <v/>
      </c>
      <c r="AH427" s="481" t="str">
        <f t="shared" si="113"/>
        <v/>
      </c>
      <c r="AI427" s="477" t="str">
        <f>IF($AC$427="","",IFERROR(INDEX($AZ$74:$AZ$119,MATCH($AH$427,$AY$74:$AY$119,0)),"AUTRE"))</f>
        <v/>
      </c>
      <c r="AJ427" s="482" t="str">
        <f>IF($AC$427="","",IFERROR(INDEX($BA$74:$BA$119,MATCH($AH$427,$AY$74:$AY$119,0)),1))</f>
        <v/>
      </c>
      <c r="AK427" s="482" t="str">
        <f t="shared" si="114"/>
        <v/>
      </c>
      <c r="AL427" s="477" t="str">
        <f>IF($AC$427="","",IFERROR(INDEX($BB$74:$BB$119,MATCH($AH$427,$AY$74:$AY$119,0)),$AH$427))</f>
        <v/>
      </c>
      <c r="AM427" s="483" t="str">
        <f t="shared" si="115"/>
        <v/>
      </c>
      <c r="AN427" s="484" t="str">
        <f t="shared" si="116"/>
        <v/>
      </c>
      <c r="AO427" s="473" t="str">
        <f t="shared" si="117"/>
        <v/>
      </c>
      <c r="AP427" s="473" t="str">
        <f t="shared" si="118"/>
        <v/>
      </c>
      <c r="AQ427" s="473" t="str">
        <f t="shared" si="119"/>
        <v/>
      </c>
      <c r="AR427" s="473" t="str">
        <f t="shared" si="120"/>
        <v/>
      </c>
      <c r="AS427" s="473" t="str">
        <f t="shared" si="121"/>
        <v/>
      </c>
      <c r="AT427" s="473" t="str">
        <f t="shared" si="122"/>
        <v/>
      </c>
      <c r="AU427" s="473" t="str">
        <f t="shared" si="123"/>
        <v/>
      </c>
      <c r="AY427" s="497" t="s">
        <v>463</v>
      </c>
      <c r="AZ427" s="32" t="s">
        <v>305</v>
      </c>
      <c r="BA427" s="34" t="s">
        <v>6120</v>
      </c>
      <c r="BB427" s="499"/>
      <c r="BC427" s="271"/>
      <c r="BD427" s="279">
        <v>1</v>
      </c>
      <c r="BE427" s="271"/>
      <c r="BF427" s="271"/>
      <c r="BG427" s="271"/>
      <c r="BH427" s="271"/>
      <c r="BI427" s="271"/>
      <c r="BJ427" s="271"/>
      <c r="BK427" s="271"/>
      <c r="BL427" s="271"/>
    </row>
    <row r="428" spans="1:64" ht="21" customHeight="1" x14ac:dyDescent="0.25">
      <c r="R428" s="34" t="s">
        <v>6122</v>
      </c>
      <c r="S428" s="451"/>
      <c r="T428" s="31" t="s">
        <v>352</v>
      </c>
      <c r="V428" s="475">
        <v>10</v>
      </c>
      <c r="W428" s="475" t="str">
        <f>IF($AC$428="","",$W$396)</f>
        <v/>
      </c>
      <c r="X428" s="476" t="str">
        <f>IF($AC$428="","",$X$396)</f>
        <v/>
      </c>
      <c r="Y428" s="477" t="str">
        <f>IF($X$428="","",$Y$396)</f>
        <v/>
      </c>
      <c r="Z428" s="477" t="str">
        <f>IF($X$428="","",$Z$396)</f>
        <v/>
      </c>
      <c r="AA428" s="477" t="str">
        <f>IF($AC$428="","",ROW($A$428)-ROW($A$396))</f>
        <v/>
      </c>
      <c r="AB428" s="478"/>
      <c r="AC428" s="34"/>
      <c r="AD428" s="356"/>
      <c r="AE428" s="479"/>
      <c r="AF428" s="475"/>
      <c r="AG428" s="480" t="str">
        <f t="shared" si="112"/>
        <v/>
      </c>
      <c r="AH428" s="481" t="str">
        <f t="shared" si="113"/>
        <v/>
      </c>
      <c r="AI428" s="477" t="str">
        <f>IF($AC$428="","",IFERROR(INDEX($AZ$74:$AZ$119,MATCH($AH$428,$AY$74:$AY$119,0)),"AUTRE"))</f>
        <v/>
      </c>
      <c r="AJ428" s="482" t="str">
        <f>IF($AC$428="","",IFERROR(INDEX($BA$74:$BA$119,MATCH($AH$428,$AY$74:$AY$119,0)),1))</f>
        <v/>
      </c>
      <c r="AK428" s="482" t="str">
        <f t="shared" si="114"/>
        <v/>
      </c>
      <c r="AL428" s="477" t="str">
        <f>IF($AC$428="","",IFERROR(INDEX($BB$74:$BB$119,MATCH($AH$428,$AY$74:$AY$119,0)),$AH$428))</f>
        <v/>
      </c>
      <c r="AM428" s="483" t="str">
        <f t="shared" si="115"/>
        <v/>
      </c>
      <c r="AN428" s="484" t="str">
        <f t="shared" si="116"/>
        <v/>
      </c>
      <c r="AO428" s="473" t="str">
        <f t="shared" si="117"/>
        <v/>
      </c>
      <c r="AP428" s="473" t="str">
        <f t="shared" si="118"/>
        <v/>
      </c>
      <c r="AQ428" s="473" t="str">
        <f t="shared" si="119"/>
        <v/>
      </c>
      <c r="AR428" s="473" t="str">
        <f t="shared" si="120"/>
        <v/>
      </c>
      <c r="AS428" s="473" t="str">
        <f t="shared" si="121"/>
        <v/>
      </c>
      <c r="AT428" s="473" t="str">
        <f t="shared" si="122"/>
        <v/>
      </c>
      <c r="AU428" s="473" t="str">
        <f t="shared" si="123"/>
        <v/>
      </c>
      <c r="AY428" s="497" t="s">
        <v>8147</v>
      </c>
      <c r="AZ428" s="32" t="s">
        <v>8129</v>
      </c>
      <c r="BA428" s="34" t="s">
        <v>6121</v>
      </c>
      <c r="BB428" s="499"/>
      <c r="BC428" s="271"/>
      <c r="BD428" s="279">
        <v>1</v>
      </c>
      <c r="BE428" s="271"/>
      <c r="BF428" s="271"/>
      <c r="BG428" s="271"/>
      <c r="BH428" s="271"/>
      <c r="BI428" s="271"/>
      <c r="BJ428" s="271"/>
      <c r="BK428" s="271"/>
      <c r="BL428" s="271"/>
    </row>
    <row r="429" spans="1:64" ht="21" customHeight="1" x14ac:dyDescent="0.25">
      <c r="R429" s="34" t="s">
        <v>6123</v>
      </c>
      <c r="S429" s="451"/>
      <c r="T429" s="31" t="s">
        <v>25</v>
      </c>
      <c r="V429" s="475">
        <v>10</v>
      </c>
      <c r="W429" s="475" t="str">
        <f>IF($AC$429="","",$W$396)</f>
        <v/>
      </c>
      <c r="X429" s="476" t="str">
        <f>IF($AC$429="","",$X$396)</f>
        <v/>
      </c>
      <c r="Y429" s="477" t="str">
        <f>IF($X$429="","",$Y$396)</f>
        <v/>
      </c>
      <c r="Z429" s="477" t="str">
        <f>IF($X$429="","",$Z$396)</f>
        <v/>
      </c>
      <c r="AA429" s="477" t="str">
        <f>IF($AC$429="","",ROW($A$429)-ROW($A$396))</f>
        <v/>
      </c>
      <c r="AB429" s="478"/>
      <c r="AC429" s="34"/>
      <c r="AD429" s="356"/>
      <c r="AE429" s="479"/>
      <c r="AF429" s="475"/>
      <c r="AG429" s="480" t="str">
        <f t="shared" si="112"/>
        <v/>
      </c>
      <c r="AH429" s="481" t="str">
        <f t="shared" si="113"/>
        <v/>
      </c>
      <c r="AI429" s="477" t="str">
        <f>IF($AC$429="","",IFERROR(INDEX($AZ$74:$AZ$119,MATCH($AH$429,$AY$74:$AY$119,0)),"AUTRE"))</f>
        <v/>
      </c>
      <c r="AJ429" s="482" t="str">
        <f>IF($AC$429="","",IFERROR(INDEX($BA$74:$BA$119,MATCH($AH$429,$AY$74:$AY$119,0)),1))</f>
        <v/>
      </c>
      <c r="AK429" s="482" t="str">
        <f t="shared" si="114"/>
        <v/>
      </c>
      <c r="AL429" s="477" t="str">
        <f>IF($AC$429="","",IFERROR(INDEX($BB$74:$BB$119,MATCH($AH$429,$AY$74:$AY$119,0)),$AH$429))</f>
        <v/>
      </c>
      <c r="AM429" s="483" t="str">
        <f t="shared" si="115"/>
        <v/>
      </c>
      <c r="AN429" s="484" t="str">
        <f t="shared" si="116"/>
        <v/>
      </c>
      <c r="AO429" s="473" t="str">
        <f t="shared" si="117"/>
        <v/>
      </c>
      <c r="AP429" s="473" t="str">
        <f t="shared" si="118"/>
        <v/>
      </c>
      <c r="AQ429" s="473" t="str">
        <f t="shared" si="119"/>
        <v/>
      </c>
      <c r="AR429" s="473" t="str">
        <f t="shared" si="120"/>
        <v/>
      </c>
      <c r="AS429" s="473" t="str">
        <f t="shared" si="121"/>
        <v/>
      </c>
      <c r="AT429" s="473" t="str">
        <f t="shared" si="122"/>
        <v/>
      </c>
      <c r="AU429" s="473" t="str">
        <f t="shared" si="123"/>
        <v/>
      </c>
      <c r="AY429" s="497" t="s">
        <v>465</v>
      </c>
      <c r="AZ429" s="32" t="s">
        <v>8131</v>
      </c>
      <c r="BA429" s="34" t="s">
        <v>6122</v>
      </c>
      <c r="BB429" s="499"/>
      <c r="BC429" s="271"/>
      <c r="BD429" s="279">
        <v>1</v>
      </c>
      <c r="BE429" s="271"/>
      <c r="BF429" s="271"/>
      <c r="BG429" s="271"/>
      <c r="BH429" s="271"/>
      <c r="BI429" s="271"/>
      <c r="BJ429" s="271"/>
      <c r="BK429" s="271"/>
      <c r="BL429" s="271"/>
    </row>
    <row r="430" spans="1:64" ht="21" customHeight="1" x14ac:dyDescent="0.25">
      <c r="R430" s="34" t="s">
        <v>6124</v>
      </c>
      <c r="S430" s="451"/>
      <c r="T430" s="31" t="s">
        <v>26</v>
      </c>
      <c r="V430" s="475">
        <v>10</v>
      </c>
      <c r="W430" s="475" t="str">
        <f>IF($AC$430="","",$W$396)</f>
        <v/>
      </c>
      <c r="X430" s="476" t="str">
        <f>IF($AC$430="","",$X$396)</f>
        <v/>
      </c>
      <c r="Y430" s="477" t="str">
        <f>IF($X$430="","",$Y$396)</f>
        <v/>
      </c>
      <c r="Z430" s="477" t="str">
        <f>IF($X$430="","",$Z$396)</f>
        <v/>
      </c>
      <c r="AA430" s="477" t="str">
        <f>IF($AC$430="","",ROW($A$430)-ROW($A$396))</f>
        <v/>
      </c>
      <c r="AB430" s="478"/>
      <c r="AC430" s="34"/>
      <c r="AD430" s="356"/>
      <c r="AE430" s="479"/>
      <c r="AF430" s="475"/>
      <c r="AG430" s="491" t="str">
        <f t="shared" si="112"/>
        <v/>
      </c>
      <c r="AH430" s="481" t="str">
        <f t="shared" si="113"/>
        <v/>
      </c>
      <c r="AI430" s="477" t="str">
        <f>IF($AC$430="","",IFERROR(INDEX($AZ$74:$AZ$119,MATCH($AH$430,$AY$74:$AY$119,0)),"AUTRE"))</f>
        <v/>
      </c>
      <c r="AJ430" s="482" t="str">
        <f>IF($AC$430="","",IFERROR(INDEX($BA$74:$BA$119,MATCH($AH$430,$AY$74:$AY$119,0)),1))</f>
        <v/>
      </c>
      <c r="AK430" s="482" t="str">
        <f t="shared" si="114"/>
        <v/>
      </c>
      <c r="AL430" s="477" t="str">
        <f>IF($AC$430="","",IFERROR(INDEX($BB$74:$BB$119,MATCH($AH$430,$AY$74:$AY$119,0)),$AH$430))</f>
        <v/>
      </c>
      <c r="AM430" s="483" t="str">
        <f t="shared" si="115"/>
        <v/>
      </c>
      <c r="AN430" s="484" t="str">
        <f t="shared" si="116"/>
        <v/>
      </c>
      <c r="AO430" s="473" t="str">
        <f t="shared" si="117"/>
        <v/>
      </c>
      <c r="AP430" s="473" t="str">
        <f t="shared" si="118"/>
        <v/>
      </c>
      <c r="AQ430" s="473" t="str">
        <f t="shared" si="119"/>
        <v/>
      </c>
      <c r="AR430" s="473" t="str">
        <f t="shared" si="120"/>
        <v/>
      </c>
      <c r="AS430" s="473" t="str">
        <f t="shared" si="121"/>
        <v/>
      </c>
      <c r="AT430" s="473" t="str">
        <f t="shared" si="122"/>
        <v/>
      </c>
      <c r="AU430" s="473" t="str">
        <f t="shared" si="123"/>
        <v/>
      </c>
      <c r="AY430" s="497" t="s">
        <v>466</v>
      </c>
      <c r="AZ430" s="32" t="s">
        <v>309</v>
      </c>
      <c r="BA430" s="34" t="s">
        <v>6123</v>
      </c>
      <c r="BB430" s="503" t="s">
        <v>8166</v>
      </c>
      <c r="BC430" s="271"/>
      <c r="BD430" s="279">
        <v>1</v>
      </c>
      <c r="BE430" s="271"/>
      <c r="BF430" s="271"/>
      <c r="BG430" s="271"/>
      <c r="BH430" s="271"/>
      <c r="BI430" s="271"/>
      <c r="BJ430" s="271"/>
      <c r="BK430" s="271"/>
      <c r="BL430" s="271"/>
    </row>
    <row r="431" spans="1:64" ht="21" customHeight="1" x14ac:dyDescent="0.25">
      <c r="R431" s="34" t="s">
        <v>6125</v>
      </c>
      <c r="S431" s="451"/>
      <c r="T431" s="31" t="s">
        <v>27</v>
      </c>
      <c r="V431" s="271"/>
      <c r="W431" s="271"/>
      <c r="X431" s="271"/>
      <c r="Y431" s="271"/>
      <c r="Z431" s="271"/>
      <c r="AA431" s="271"/>
      <c r="AB431" s="271"/>
      <c r="AC431" s="271"/>
      <c r="AD431" s="271"/>
      <c r="AE431" s="271"/>
      <c r="AF431" s="271"/>
      <c r="AG431" s="271"/>
      <c r="AH431" s="271"/>
      <c r="AI431" s="271"/>
      <c r="AJ431" s="271"/>
      <c r="AK431" s="271"/>
      <c r="AL431" s="271"/>
      <c r="AM431" s="271"/>
      <c r="AN431" s="271"/>
      <c r="AO431" s="271"/>
      <c r="AP431" s="271"/>
      <c r="AY431" s="271"/>
      <c r="AZ431" s="32" t="s">
        <v>311</v>
      </c>
      <c r="BA431" s="34" t="s">
        <v>6124</v>
      </c>
      <c r="BB431" s="271"/>
      <c r="BC431" s="271"/>
      <c r="BD431" s="504" t="s">
        <v>5889</v>
      </c>
      <c r="BE431" s="271"/>
      <c r="BF431" s="271"/>
      <c r="BG431" s="271"/>
      <c r="BH431" s="271"/>
      <c r="BI431" s="271"/>
      <c r="BJ431" s="271"/>
      <c r="BK431" s="271"/>
      <c r="BL431" s="271"/>
    </row>
    <row r="432" spans="1:64" ht="21" customHeight="1" x14ac:dyDescent="0.25">
      <c r="A432" s="279">
        <v>1</v>
      </c>
      <c r="B432" s="279">
        <v>1</v>
      </c>
      <c r="C432" s="279">
        <v>1</v>
      </c>
      <c r="D432" s="279">
        <v>1</v>
      </c>
      <c r="E432" s="279">
        <v>1</v>
      </c>
      <c r="F432" s="279">
        <v>1</v>
      </c>
      <c r="G432" s="279">
        <v>1</v>
      </c>
      <c r="H432" s="279">
        <v>1</v>
      </c>
      <c r="I432" s="279">
        <v>1</v>
      </c>
      <c r="J432" s="279">
        <v>1</v>
      </c>
      <c r="K432" s="279">
        <v>1</v>
      </c>
      <c r="L432" s="279">
        <v>1</v>
      </c>
      <c r="M432" s="279">
        <v>1</v>
      </c>
      <c r="N432" s="279">
        <v>1</v>
      </c>
      <c r="O432" s="279">
        <v>1</v>
      </c>
      <c r="P432" s="279">
        <v>1</v>
      </c>
      <c r="Q432" s="279">
        <v>1</v>
      </c>
      <c r="R432" s="279">
        <v>1</v>
      </c>
      <c r="S432" s="279">
        <v>1</v>
      </c>
      <c r="T432" s="279">
        <v>1</v>
      </c>
      <c r="U432" s="279">
        <v>1</v>
      </c>
      <c r="V432" s="279">
        <v>1</v>
      </c>
      <c r="W432" s="279">
        <v>1</v>
      </c>
      <c r="X432" s="279">
        <v>1</v>
      </c>
      <c r="Y432" s="279">
        <v>1</v>
      </c>
      <c r="Z432" s="279">
        <v>1</v>
      </c>
      <c r="AA432" s="279">
        <v>1</v>
      </c>
      <c r="AB432" s="279">
        <v>1</v>
      </c>
      <c r="AC432" s="279">
        <v>1</v>
      </c>
      <c r="AD432" s="279">
        <v>1</v>
      </c>
      <c r="AE432" s="279">
        <v>1</v>
      </c>
      <c r="AF432" s="279">
        <v>1</v>
      </c>
      <c r="AG432" s="279">
        <v>1</v>
      </c>
      <c r="AH432" s="279">
        <v>1</v>
      </c>
      <c r="AI432" s="279">
        <v>1</v>
      </c>
      <c r="AJ432" s="279">
        <v>1</v>
      </c>
      <c r="AK432" s="279"/>
      <c r="AL432" s="279">
        <v>1</v>
      </c>
      <c r="AM432" s="279">
        <v>1</v>
      </c>
      <c r="AN432" s="279">
        <v>1</v>
      </c>
      <c r="AO432" s="279">
        <v>1</v>
      </c>
      <c r="AP432" s="279">
        <v>1</v>
      </c>
      <c r="AQ432" s="279">
        <v>1</v>
      </c>
      <c r="AR432" s="279">
        <v>1</v>
      </c>
      <c r="AS432" s="279">
        <v>1</v>
      </c>
      <c r="AT432" s="279">
        <v>1</v>
      </c>
      <c r="AU432" s="279">
        <v>1</v>
      </c>
      <c r="AV432" s="279">
        <v>1</v>
      </c>
      <c r="AW432" s="279"/>
      <c r="AX432" s="279"/>
      <c r="AY432" s="279">
        <v>1</v>
      </c>
      <c r="AZ432" s="279">
        <v>1</v>
      </c>
      <c r="BA432" s="279">
        <v>1</v>
      </c>
      <c r="BB432" s="279">
        <v>1</v>
      </c>
      <c r="BC432" s="279">
        <v>1</v>
      </c>
      <c r="BD432" s="505" t="str">
        <f>ADDRESS(ROW(),COLUMN(),4)</f>
        <v>BD432</v>
      </c>
      <c r="BE432" s="271"/>
      <c r="BF432" s="271"/>
      <c r="BG432" s="271"/>
      <c r="BH432" s="271"/>
      <c r="BI432" s="271"/>
      <c r="BJ432" s="271"/>
      <c r="BK432" s="271"/>
      <c r="BL432" s="271"/>
    </row>
    <row r="433" spans="18:64" ht="21" customHeight="1" x14ac:dyDescent="0.25">
      <c r="S433" s="451"/>
      <c r="V433" s="271"/>
      <c r="W433" s="271"/>
      <c r="X433" s="271"/>
      <c r="Y433" s="271"/>
      <c r="Z433" s="271"/>
      <c r="AA433" s="271"/>
      <c r="AB433" s="271"/>
      <c r="AC433" s="271"/>
      <c r="AD433" s="271"/>
      <c r="AE433" s="271"/>
      <c r="AF433" s="271"/>
      <c r="AG433" s="271"/>
      <c r="AH433" s="271"/>
      <c r="AI433" s="271"/>
      <c r="AJ433" s="271"/>
      <c r="AK433" s="271"/>
      <c r="AL433" s="271"/>
      <c r="AM433" s="271"/>
      <c r="AN433" s="271"/>
      <c r="AO433" s="271"/>
      <c r="AP433" s="271"/>
      <c r="AY433" s="271"/>
      <c r="AZ433" s="271"/>
      <c r="BA433" s="271"/>
      <c r="BB433" s="271"/>
      <c r="BC433" s="271"/>
      <c r="BE433" s="271"/>
      <c r="BF433" s="271"/>
      <c r="BG433" s="271"/>
      <c r="BH433" s="271"/>
      <c r="BI433" s="271"/>
      <c r="BJ433" s="271"/>
      <c r="BK433" s="271"/>
      <c r="BL433" s="271"/>
    </row>
    <row r="434" spans="18:64" ht="21" customHeight="1" x14ac:dyDescent="0.25">
      <c r="S434" s="451"/>
      <c r="V434" s="271"/>
      <c r="W434" s="271"/>
      <c r="X434" s="271"/>
      <c r="Y434" s="271"/>
      <c r="Z434" s="271"/>
      <c r="AA434" s="271"/>
      <c r="AB434" s="271"/>
      <c r="AC434" s="271"/>
      <c r="AD434" s="271"/>
      <c r="AE434" s="271"/>
      <c r="AF434" s="271"/>
      <c r="AG434" s="271"/>
      <c r="AH434" s="271"/>
      <c r="AI434" s="271"/>
      <c r="AJ434" s="271"/>
      <c r="AK434" s="271"/>
      <c r="AL434" s="271"/>
      <c r="AM434" s="271"/>
      <c r="AN434" s="271"/>
      <c r="AO434" s="271"/>
      <c r="AP434" s="271"/>
      <c r="AY434" s="271"/>
      <c r="AZ434" s="271"/>
      <c r="BA434" s="271"/>
      <c r="BB434" s="271"/>
      <c r="BC434" s="271"/>
      <c r="BE434" s="271"/>
      <c r="BF434" s="271"/>
      <c r="BG434" s="271"/>
      <c r="BH434" s="271"/>
      <c r="BI434" s="271"/>
      <c r="BJ434" s="271"/>
      <c r="BK434" s="271"/>
      <c r="BL434" s="271"/>
    </row>
    <row r="435" spans="18:64" ht="21" customHeight="1" x14ac:dyDescent="0.25">
      <c r="S435" s="451"/>
    </row>
    <row r="436" spans="18:64" ht="21" customHeight="1" x14ac:dyDescent="0.25">
      <c r="S436" s="451"/>
    </row>
    <row r="437" spans="18:64" ht="21" customHeight="1" x14ac:dyDescent="0.25">
      <c r="S437" s="451"/>
    </row>
    <row r="438" spans="18:64" ht="21" customHeight="1" x14ac:dyDescent="0.25">
      <c r="S438" s="451"/>
    </row>
    <row r="439" spans="18:64" ht="21" customHeight="1" x14ac:dyDescent="0.25">
      <c r="S439" s="451"/>
    </row>
    <row r="440" spans="18:64" ht="21" customHeight="1" x14ac:dyDescent="0.25">
      <c r="R440" s="451"/>
      <c r="S440" s="451"/>
    </row>
    <row r="441" spans="18:64" ht="21" customHeight="1" x14ac:dyDescent="0.25">
      <c r="R441" s="451"/>
      <c r="S441" s="451"/>
    </row>
    <row r="442" spans="18:64" ht="21" customHeight="1" x14ac:dyDescent="0.25">
      <c r="R442" s="451"/>
      <c r="S442" s="451"/>
    </row>
    <row r="443" spans="18:64" ht="21" customHeight="1" x14ac:dyDescent="0.25"/>
    <row r="444" spans="18:64" ht="21" customHeight="1" x14ac:dyDescent="0.25"/>
    <row r="445" spans="18:64" ht="21" customHeight="1" x14ac:dyDescent="0.25"/>
    <row r="446" spans="18:64" ht="21" customHeight="1" x14ac:dyDescent="0.25"/>
    <row r="447" spans="18:64" ht="21" customHeight="1" x14ac:dyDescent="0.25"/>
    <row r="448" spans="18:64" ht="21" customHeight="1" x14ac:dyDescent="0.25"/>
    <row r="449" ht="21" customHeight="1" x14ac:dyDescent="0.25"/>
    <row r="450" ht="21" customHeight="1" x14ac:dyDescent="0.25"/>
    <row r="451" ht="21" customHeight="1" x14ac:dyDescent="0.25"/>
    <row r="452" ht="21" customHeight="1" x14ac:dyDescent="0.25"/>
    <row r="453" ht="21" customHeight="1" x14ac:dyDescent="0.25"/>
    <row r="454" ht="21" customHeight="1" x14ac:dyDescent="0.25"/>
  </sheetData>
  <mergeCells count="106">
    <mergeCell ref="A1:I1"/>
    <mergeCell ref="U1:AA1"/>
    <mergeCell ref="A2:I2"/>
    <mergeCell ref="U2:AA4"/>
    <mergeCell ref="AG3:AH3"/>
    <mergeCell ref="A4:I4"/>
    <mergeCell ref="R4:S5"/>
    <mergeCell ref="C5:I5"/>
    <mergeCell ref="AG5:AH5"/>
    <mergeCell ref="A9:I9"/>
    <mergeCell ref="AG9:AH9"/>
    <mergeCell ref="A10:D10"/>
    <mergeCell ref="F10:I10"/>
    <mergeCell ref="U10:AA11"/>
    <mergeCell ref="AG10:AH10"/>
    <mergeCell ref="B11:D11"/>
    <mergeCell ref="B6:I6"/>
    <mergeCell ref="U6:AA6"/>
    <mergeCell ref="AG6:AH6"/>
    <mergeCell ref="B7:C7"/>
    <mergeCell ref="E7:F7"/>
    <mergeCell ref="H7:I7"/>
    <mergeCell ref="U7:AA8"/>
    <mergeCell ref="AG7:AH7"/>
    <mergeCell ref="AG8:AH8"/>
    <mergeCell ref="A19:I19"/>
    <mergeCell ref="E20:F20"/>
    <mergeCell ref="G20:I20"/>
    <mergeCell ref="U20:U21"/>
    <mergeCell ref="V20:V21"/>
    <mergeCell ref="W20:AA21"/>
    <mergeCell ref="U12:AA13"/>
    <mergeCell ref="F13:I14"/>
    <mergeCell ref="A15:I15"/>
    <mergeCell ref="U15:AA15"/>
    <mergeCell ref="B16:I16"/>
    <mergeCell ref="U16:U17"/>
    <mergeCell ref="V16:V17"/>
    <mergeCell ref="W16:AA17"/>
    <mergeCell ref="B17:I17"/>
    <mergeCell ref="K17:Q21"/>
    <mergeCell ref="U22:U23"/>
    <mergeCell ref="V22:V23"/>
    <mergeCell ref="W22:AA23"/>
    <mergeCell ref="U24:U25"/>
    <mergeCell ref="V24:V25"/>
    <mergeCell ref="W24:AA25"/>
    <mergeCell ref="AG17:AH17"/>
    <mergeCell ref="U18:U19"/>
    <mergeCell ref="V18:V19"/>
    <mergeCell ref="W18:AA19"/>
    <mergeCell ref="U30:AA30"/>
    <mergeCell ref="AG30:AH30"/>
    <mergeCell ref="U31:V32"/>
    <mergeCell ref="W31:AA32"/>
    <mergeCell ref="AG31:AH31"/>
    <mergeCell ref="AG32:AH32"/>
    <mergeCell ref="U26:U27"/>
    <mergeCell ref="V26:V27"/>
    <mergeCell ref="W26:AA27"/>
    <mergeCell ref="AG26:AH26"/>
    <mergeCell ref="AG27:AH27"/>
    <mergeCell ref="U28:U29"/>
    <mergeCell ref="W28:AA29"/>
    <mergeCell ref="AG29:AH29"/>
    <mergeCell ref="U37:V38"/>
    <mergeCell ref="W37:AA38"/>
    <mergeCell ref="AG37:AH37"/>
    <mergeCell ref="AG38:AH38"/>
    <mergeCell ref="U39:V40"/>
    <mergeCell ref="W39:AA40"/>
    <mergeCell ref="AG39:AH39"/>
    <mergeCell ref="AG40:AH40"/>
    <mergeCell ref="U33:V34"/>
    <mergeCell ref="W33:AA34"/>
    <mergeCell ref="AG33:AH33"/>
    <mergeCell ref="AG34:AH34"/>
    <mergeCell ref="U35:V36"/>
    <mergeCell ref="W35:AA36"/>
    <mergeCell ref="AG35:AH35"/>
    <mergeCell ref="AG46:AH46"/>
    <mergeCell ref="AN55:BB65"/>
    <mergeCell ref="A58:I58"/>
    <mergeCell ref="A60:I60"/>
    <mergeCell ref="B61:I63"/>
    <mergeCell ref="AN66:BB67"/>
    <mergeCell ref="AB67:AC68"/>
    <mergeCell ref="U41:AA41"/>
    <mergeCell ref="AG41:AH41"/>
    <mergeCell ref="U42:V43"/>
    <mergeCell ref="W42:AA43"/>
    <mergeCell ref="AG43:AH43"/>
    <mergeCell ref="U44:V45"/>
    <mergeCell ref="W44:AA45"/>
    <mergeCell ref="AG44:AH44"/>
    <mergeCell ref="AG45:AH45"/>
    <mergeCell ref="AP287:AU287"/>
    <mergeCell ref="AP323:AU323"/>
    <mergeCell ref="AP359:AU359"/>
    <mergeCell ref="AP395:AU395"/>
    <mergeCell ref="AP71:AU71"/>
    <mergeCell ref="AP107:AU107"/>
    <mergeCell ref="AP143:AU143"/>
    <mergeCell ref="AP179:AU179"/>
    <mergeCell ref="AP215:AU215"/>
    <mergeCell ref="AP251:AU251"/>
  </mergeCells>
  <conditionalFormatting sqref="I22:I56">
    <cfRule type="expression" dxfId="9" priority="1">
      <formula>I22="A CONTROLER"</formula>
    </cfRule>
    <cfRule type="expression" dxfId="8" priority="2">
      <formula>I22="OK"</formula>
    </cfRule>
  </conditionalFormatting>
  <dataValidations count="1">
    <dataValidation type="list" sqref="B5" xr:uid="{3FBBA3EF-48E8-4040-984D-96D046674D41}">
      <formula1>"1,2,3,4,5,6,7,8,9,10"</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E9BF8-C67B-4C04-9946-24E4932D5447}">
  <dimension ref="A1:DG454"/>
  <sheetViews>
    <sheetView workbookViewId="0">
      <selection activeCell="Q24" sqref="Q24"/>
    </sheetView>
  </sheetViews>
  <sheetFormatPr baseColWidth="10" defaultColWidth="10.28515625" defaultRowHeight="15.75" x14ac:dyDescent="0.25"/>
  <cols>
    <col min="1" max="1" width="23.7109375" style="151" customWidth="1"/>
    <col min="2" max="2" width="40.28515625" style="151" customWidth="1"/>
    <col min="3" max="3" width="13.140625" style="151" customWidth="1"/>
    <col min="4" max="4" width="16.28515625" style="151" customWidth="1"/>
    <col min="5" max="5" width="15.140625" style="151" customWidth="1"/>
    <col min="6" max="6" width="18.85546875" style="151" customWidth="1"/>
    <col min="7" max="7" width="15.42578125" style="151" customWidth="1"/>
    <col min="8" max="8" width="13.140625" style="151" customWidth="1"/>
    <col min="9" max="9" width="19.7109375" style="151" customWidth="1"/>
    <col min="10" max="12" width="10.28515625" style="151"/>
    <col min="13" max="13" width="31.140625" style="151" customWidth="1"/>
    <col min="14" max="14" width="14.85546875" style="151" customWidth="1"/>
    <col min="15" max="15" width="10.28515625" style="151"/>
    <col min="16" max="17" width="14.85546875" style="151" customWidth="1"/>
    <col min="18" max="18" width="41.7109375" style="151" customWidth="1"/>
    <col min="19" max="19" width="10.5703125" style="151" customWidth="1"/>
    <col min="20" max="20" width="18.85546875" style="151" customWidth="1"/>
    <col min="21" max="21" width="7.42578125" style="151" customWidth="1"/>
    <col min="22" max="22" width="16.85546875" style="151" customWidth="1"/>
    <col min="23" max="23" width="17.7109375" style="151" customWidth="1"/>
    <col min="24" max="24" width="55.7109375" style="151" customWidth="1"/>
    <col min="25" max="25" width="12" style="151" customWidth="1"/>
    <col min="26" max="26" width="10.85546875" style="151" customWidth="1"/>
    <col min="27" max="27" width="11.42578125" style="151" customWidth="1"/>
    <col min="28" max="28" width="23.7109375" style="151" customWidth="1"/>
    <col min="29" max="29" width="46.5703125" style="151" customWidth="1"/>
    <col min="30" max="30" width="25.7109375" style="151" customWidth="1"/>
    <col min="31" max="31" width="18.5703125" style="151" customWidth="1"/>
    <col min="32" max="34" width="18.28515625" style="151" customWidth="1"/>
    <col min="35" max="35" width="16.85546875" style="151" customWidth="1"/>
    <col min="36" max="38" width="16" style="151" customWidth="1"/>
    <col min="39" max="39" width="32.28515625" style="151" customWidth="1"/>
    <col min="40" max="40" width="16" style="151" customWidth="1"/>
    <col min="41" max="41" width="24.5703125" style="151" customWidth="1"/>
    <col min="42" max="42" width="20.5703125" style="151" customWidth="1"/>
    <col min="43" max="50" width="10.28515625" style="151"/>
    <col min="51" max="51" width="20.28515625" style="151" customWidth="1"/>
    <col min="52" max="52" width="16" style="151" customWidth="1"/>
    <col min="53" max="53" width="35.42578125" style="151" customWidth="1"/>
    <col min="54" max="54" width="17.140625" style="151" customWidth="1"/>
    <col min="55" max="55" width="13.7109375" style="151" customWidth="1"/>
    <col min="56" max="56" width="10.28515625" style="92"/>
    <col min="57" max="57" width="11.42578125" style="151" customWidth="1"/>
    <col min="58" max="58" width="14.85546875" style="151" customWidth="1"/>
    <col min="59" max="59" width="3.42578125" style="151" customWidth="1"/>
    <col min="60" max="60" width="11.42578125" style="151" customWidth="1"/>
    <col min="61" max="61" width="13.7109375" style="151" customWidth="1"/>
    <col min="62" max="62" width="11.42578125" style="151" customWidth="1"/>
    <col min="63" max="64" width="14.85546875" style="151" customWidth="1"/>
    <col min="65" max="16384" width="10.28515625" style="151"/>
  </cols>
  <sheetData>
    <row r="1" spans="1:111" ht="48" customHeight="1" x14ac:dyDescent="0.25">
      <c r="A1" s="744" t="str">
        <f>"RECETTES DE COLLECTIVITÉ &gt; HORS D'ŒUVRES FROIDS"&amp;" - "&amp;B6</f>
        <v>RECETTES DE COLLECTIVITÉ &gt; HORS D'ŒUVRES FROIDS - LÉGUMES A LA GRECQUE</v>
      </c>
      <c r="B1" s="745"/>
      <c r="C1" s="745"/>
      <c r="D1" s="745"/>
      <c r="E1" s="745"/>
      <c r="F1" s="745"/>
      <c r="G1" s="745"/>
      <c r="H1" s="745"/>
      <c r="I1" s="746"/>
      <c r="J1" s="271"/>
      <c r="K1" s="272" t="s">
        <v>7897</v>
      </c>
      <c r="L1" s="273"/>
      <c r="M1" s="273"/>
      <c r="N1" s="273"/>
      <c r="O1" s="273"/>
      <c r="P1" s="274"/>
      <c r="Q1" s="274"/>
      <c r="R1" s="274"/>
      <c r="S1" s="274"/>
      <c r="T1" s="274"/>
      <c r="U1" s="538" t="s">
        <v>7898</v>
      </c>
      <c r="V1" s="539"/>
      <c r="W1" s="539"/>
      <c r="X1" s="539"/>
      <c r="Y1" s="539"/>
      <c r="Z1" s="539"/>
      <c r="AA1" s="540"/>
      <c r="AC1" s="275"/>
      <c r="AD1" s="276" t="s">
        <v>7899</v>
      </c>
      <c r="AE1" s="277"/>
      <c r="AF1" s="277"/>
      <c r="AG1" s="277"/>
      <c r="AH1" s="277"/>
      <c r="AI1" s="277"/>
      <c r="AJ1" s="277"/>
      <c r="AK1" s="277"/>
      <c r="AL1" s="277"/>
      <c r="AM1" s="277"/>
      <c r="AN1" s="277"/>
      <c r="AO1" s="277"/>
      <c r="AP1" s="277"/>
      <c r="AQ1" s="277"/>
      <c r="AS1" s="278" t="s">
        <v>0</v>
      </c>
      <c r="BB1" s="271"/>
      <c r="BC1" s="271"/>
      <c r="BD1" s="279">
        <v>1</v>
      </c>
      <c r="BE1" s="271"/>
      <c r="BF1" s="271"/>
      <c r="BG1" s="271"/>
      <c r="BH1" s="271"/>
      <c r="BI1" s="271"/>
      <c r="BJ1" s="271"/>
      <c r="BK1" s="271"/>
      <c r="BL1" s="271"/>
    </row>
    <row r="2" spans="1:111" ht="21.95" customHeight="1" x14ac:dyDescent="0.25">
      <c r="A2" s="705" t="s">
        <v>7900</v>
      </c>
      <c r="B2" s="706"/>
      <c r="C2" s="706"/>
      <c r="D2" s="706"/>
      <c r="E2" s="706"/>
      <c r="F2" s="706"/>
      <c r="G2" s="706"/>
      <c r="H2" s="706"/>
      <c r="I2" s="707"/>
      <c r="J2" s="271"/>
      <c r="K2" s="280"/>
      <c r="L2" s="280"/>
      <c r="M2" s="280"/>
      <c r="N2" s="281" t="s">
        <v>8218</v>
      </c>
      <c r="O2" s="280"/>
      <c r="P2" s="274"/>
      <c r="Q2" s="274"/>
      <c r="R2" s="274"/>
      <c r="S2" s="274"/>
      <c r="T2" s="274"/>
      <c r="U2" s="541" t="s">
        <v>7901</v>
      </c>
      <c r="V2" s="542"/>
      <c r="W2" s="542"/>
      <c r="X2" s="542"/>
      <c r="Y2" s="542"/>
      <c r="Z2" s="542"/>
      <c r="AA2" s="543"/>
      <c r="AC2" s="275"/>
      <c r="AD2" s="282" t="s">
        <v>7902</v>
      </c>
      <c r="AE2" s="283"/>
      <c r="AF2" s="283"/>
      <c r="AG2" s="283"/>
      <c r="AH2" s="283"/>
      <c r="AI2" s="283"/>
      <c r="AJ2" s="283"/>
      <c r="AK2" s="283"/>
      <c r="AL2" s="283"/>
      <c r="AM2" s="283"/>
      <c r="AN2" s="283"/>
      <c r="AO2" s="283"/>
      <c r="AP2" s="283"/>
      <c r="AQ2" s="283"/>
      <c r="BC2" s="271"/>
      <c r="BD2" s="279">
        <v>1</v>
      </c>
      <c r="BE2" s="271"/>
      <c r="BF2" s="271"/>
      <c r="BG2" s="271"/>
      <c r="BH2" s="271"/>
      <c r="BI2" s="271"/>
      <c r="BJ2" s="271"/>
      <c r="BK2" s="271"/>
      <c r="BL2" s="271"/>
    </row>
    <row r="3" spans="1:111" ht="21.95" customHeight="1" thickBot="1" x14ac:dyDescent="0.3">
      <c r="A3" s="152" t="s">
        <v>7903</v>
      </c>
      <c r="B3" s="284"/>
      <c r="C3" s="284"/>
      <c r="D3" s="284"/>
      <c r="E3" s="284"/>
      <c r="F3" s="284"/>
      <c r="G3" s="284"/>
      <c r="H3" s="284"/>
      <c r="I3" s="284"/>
      <c r="J3" s="271"/>
      <c r="K3" s="285" t="s">
        <v>344</v>
      </c>
      <c r="R3" s="274"/>
      <c r="S3" s="274"/>
      <c r="T3" s="274"/>
      <c r="U3" s="544"/>
      <c r="V3" s="545"/>
      <c r="W3" s="545"/>
      <c r="X3" s="545"/>
      <c r="Y3" s="545"/>
      <c r="Z3" s="545"/>
      <c r="AA3" s="546"/>
      <c r="AC3" s="275"/>
      <c r="AD3" s="286" t="s">
        <v>5975</v>
      </c>
      <c r="AE3" s="287" t="s">
        <v>7904</v>
      </c>
      <c r="AF3" s="287" t="s">
        <v>7905</v>
      </c>
      <c r="AG3" s="550" t="s">
        <v>7906</v>
      </c>
      <c r="AH3" s="550"/>
      <c r="AI3" s="288" t="s">
        <v>7907</v>
      </c>
      <c r="AJ3" s="289"/>
      <c r="AK3" s="289"/>
      <c r="AL3" s="289"/>
      <c r="AM3" s="290"/>
      <c r="AN3" s="290"/>
      <c r="AO3" s="290"/>
      <c r="AP3" s="290"/>
      <c r="AQ3" s="290"/>
      <c r="BC3" s="271"/>
      <c r="BD3" s="279">
        <v>1</v>
      </c>
      <c r="BE3" s="271"/>
      <c r="BF3" s="271"/>
      <c r="BG3" s="271"/>
      <c r="BH3" s="271"/>
      <c r="BI3" s="271"/>
      <c r="BJ3" s="271"/>
      <c r="BK3" s="271"/>
      <c r="BL3" s="271"/>
    </row>
    <row r="4" spans="1:111" ht="21.95" customHeight="1" x14ac:dyDescent="0.25">
      <c r="A4" s="747" t="s">
        <v>328</v>
      </c>
      <c r="B4" s="748"/>
      <c r="C4" s="748"/>
      <c r="D4" s="748"/>
      <c r="E4" s="748"/>
      <c r="F4" s="748"/>
      <c r="G4" s="748"/>
      <c r="H4" s="748"/>
      <c r="I4" s="749"/>
      <c r="J4" s="271"/>
      <c r="K4" s="291" t="s">
        <v>7908</v>
      </c>
      <c r="L4" s="292"/>
      <c r="M4" s="292"/>
      <c r="N4" s="292"/>
      <c r="O4" s="292"/>
      <c r="P4" s="292"/>
      <c r="Q4" s="292"/>
      <c r="R4" s="711" t="s">
        <v>5849</v>
      </c>
      <c r="S4" s="711"/>
      <c r="T4" s="293" t="str">
        <f>$BD$432</f>
        <v>BD432</v>
      </c>
      <c r="U4" s="547"/>
      <c r="V4" s="548"/>
      <c r="W4" s="548"/>
      <c r="X4" s="548"/>
      <c r="Y4" s="548"/>
      <c r="Z4" s="548"/>
      <c r="AA4" s="549"/>
      <c r="AC4" s="275"/>
      <c r="AD4" s="294" t="s">
        <v>7909</v>
      </c>
      <c r="AE4" s="295"/>
      <c r="AF4" s="296"/>
      <c r="AG4" s="295"/>
      <c r="AH4" s="295"/>
      <c r="AI4" s="295"/>
      <c r="AJ4" s="295"/>
      <c r="AK4" s="295"/>
      <c r="AL4" s="295"/>
      <c r="AM4" s="295"/>
      <c r="AN4" s="295"/>
      <c r="AO4" s="295"/>
      <c r="AP4" s="295"/>
      <c r="AQ4" s="295"/>
      <c r="BC4" s="271"/>
      <c r="BD4" s="279">
        <v>1</v>
      </c>
      <c r="BE4" s="271"/>
      <c r="BF4" s="271"/>
      <c r="BG4" s="271"/>
    </row>
    <row r="5" spans="1:111" ht="21.95" customHeight="1" x14ac:dyDescent="0.25">
      <c r="A5" s="297" t="s">
        <v>8170</v>
      </c>
      <c r="B5" s="153">
        <v>6</v>
      </c>
      <c r="C5" s="712" t="s">
        <v>7911</v>
      </c>
      <c r="D5" s="712"/>
      <c r="E5" s="712"/>
      <c r="F5" s="712"/>
      <c r="G5" s="712"/>
      <c r="H5" s="712"/>
      <c r="I5" s="713"/>
      <c r="J5" s="271"/>
      <c r="K5" s="298" t="s">
        <v>324</v>
      </c>
      <c r="L5" s="298" t="s">
        <v>7912</v>
      </c>
      <c r="M5" s="298" t="s">
        <v>326</v>
      </c>
      <c r="N5" s="298" t="s">
        <v>7913</v>
      </c>
      <c r="O5" s="298" t="s">
        <v>7914</v>
      </c>
      <c r="P5" s="298" t="s">
        <v>333</v>
      </c>
      <c r="Q5" s="298" t="s">
        <v>327</v>
      </c>
      <c r="R5" s="711"/>
      <c r="S5" s="711"/>
      <c r="U5" s="299"/>
      <c r="V5" s="271"/>
      <c r="W5" s="271"/>
      <c r="X5" s="271"/>
      <c r="Y5" s="271"/>
      <c r="Z5" s="271"/>
      <c r="AA5" s="300"/>
      <c r="AC5" s="275"/>
      <c r="AD5" s="301" t="s">
        <v>7858</v>
      </c>
      <c r="AE5" s="302" t="s">
        <v>7910</v>
      </c>
      <c r="AF5" s="303" t="s">
        <v>7915</v>
      </c>
      <c r="AG5" s="551" t="s">
        <v>281</v>
      </c>
      <c r="AH5" s="551"/>
      <c r="AI5" s="304" t="s">
        <v>7916</v>
      </c>
      <c r="AJ5" s="304"/>
      <c r="AK5" s="304"/>
      <c r="AL5" s="304"/>
      <c r="AM5" s="304"/>
      <c r="AN5" s="304"/>
      <c r="AO5" s="304"/>
      <c r="AP5" s="304"/>
      <c r="AQ5" s="304"/>
      <c r="BC5" s="271"/>
      <c r="BD5" s="279">
        <v>1</v>
      </c>
      <c r="BE5" s="271"/>
      <c r="BF5" s="271"/>
      <c r="BG5" s="271"/>
    </row>
    <row r="6" spans="1:111" ht="21.95" customHeight="1" x14ac:dyDescent="0.25">
      <c r="A6" s="305" t="s">
        <v>329</v>
      </c>
      <c r="B6" s="698" t="str" cm="1">
        <f t="array" ref="B6">IFERROR(INDEX($M$6:$M$15,$B$5),"")</f>
        <v>LÉGUMES A LA GRECQUE</v>
      </c>
      <c r="C6" s="698"/>
      <c r="D6" s="698"/>
      <c r="E6" s="698"/>
      <c r="F6" s="698"/>
      <c r="G6" s="698"/>
      <c r="H6" s="698"/>
      <c r="I6" s="699"/>
      <c r="J6" s="271"/>
      <c r="K6" s="154">
        <f>$V$72</f>
        <v>1</v>
      </c>
      <c r="L6" s="306" t="str">
        <f>$W$72</f>
        <v>N° 01</v>
      </c>
      <c r="M6" s="307" t="str">
        <f>$X$72</f>
        <v>CAVIAR D'AUBERGINE</v>
      </c>
      <c r="N6" s="308">
        <f>IF(AK72="","",AK72)</f>
        <v>10</v>
      </c>
      <c r="O6" s="308" t="str">
        <f>IF(AL72="","",AL72)</f>
        <v>kg</v>
      </c>
      <c r="P6" s="309">
        <f>$Z$72</f>
        <v>100</v>
      </c>
      <c r="Q6" s="310">
        <f>$Y$72</f>
        <v>18</v>
      </c>
      <c r="U6" s="558" t="s">
        <v>7917</v>
      </c>
      <c r="V6" s="559"/>
      <c r="W6" s="559"/>
      <c r="X6" s="559"/>
      <c r="Y6" s="559"/>
      <c r="Z6" s="559"/>
      <c r="AA6" s="560"/>
      <c r="AC6" s="275"/>
      <c r="AD6" s="301" t="s">
        <v>7858</v>
      </c>
      <c r="AE6" s="302" t="s">
        <v>7912</v>
      </c>
      <c r="AF6" s="303" t="s">
        <v>7918</v>
      </c>
      <c r="AG6" s="561" t="s">
        <v>7919</v>
      </c>
      <c r="AH6" s="561"/>
      <c r="AI6" s="311" t="s">
        <v>7920</v>
      </c>
      <c r="AJ6" s="311"/>
      <c r="AK6" s="311"/>
      <c r="AL6" s="311"/>
      <c r="AM6" s="311"/>
      <c r="AN6" s="311"/>
      <c r="AO6" s="311"/>
      <c r="AP6" s="311"/>
      <c r="AQ6" s="311"/>
      <c r="BC6" s="271"/>
      <c r="BD6" s="279">
        <v>1</v>
      </c>
      <c r="BE6" s="271"/>
      <c r="BF6" s="271"/>
      <c r="BG6" s="271"/>
    </row>
    <row r="7" spans="1:111" ht="15.75" customHeight="1" x14ac:dyDescent="0.25">
      <c r="A7" s="312" t="s">
        <v>325</v>
      </c>
      <c r="B7" s="700" t="str" cm="1">
        <f t="array" ref="B7">IFERROR(INDEX($L$6:$L$15,$B$5),"")</f>
        <v>N° 06</v>
      </c>
      <c r="C7" s="700"/>
      <c r="D7" s="313" t="s">
        <v>330</v>
      </c>
      <c r="E7" s="700" t="s">
        <v>3</v>
      </c>
      <c r="F7" s="700"/>
      <c r="G7" s="313" t="s">
        <v>327</v>
      </c>
      <c r="H7" s="700" cm="1">
        <f t="array" ref="H7">IFERROR(INDEX($Y$72:$Y$430,1+($B$5-1)*36),"")</f>
        <v>23</v>
      </c>
      <c r="I7" s="701"/>
      <c r="J7" s="271"/>
      <c r="K7" s="155">
        <f>$V$108</f>
        <v>2</v>
      </c>
      <c r="L7" s="306" t="str">
        <f>$W$108</f>
        <v>N° 02</v>
      </c>
      <c r="M7" s="307" t="str">
        <f>$X$108</f>
        <v>CHIQUETAILLE DE MORUE A L'AVOCAT</v>
      </c>
      <c r="N7" s="308">
        <f>IF(AK108="","",AK108)</f>
        <v>10</v>
      </c>
      <c r="O7" s="308" t="str">
        <f>IF(AL108="","",AL108)</f>
        <v>kg</v>
      </c>
      <c r="P7" s="309">
        <f>$Z$108</f>
        <v>100</v>
      </c>
      <c r="Q7" s="310">
        <f>$Y$108</f>
        <v>19</v>
      </c>
      <c r="U7" s="562" t="s">
        <v>7921</v>
      </c>
      <c r="V7" s="563"/>
      <c r="W7" s="563"/>
      <c r="X7" s="563"/>
      <c r="Y7" s="563"/>
      <c r="Z7" s="563"/>
      <c r="AA7" s="564"/>
      <c r="AC7" s="275"/>
      <c r="AD7" s="301" t="s">
        <v>7858</v>
      </c>
      <c r="AE7" s="302" t="s">
        <v>326</v>
      </c>
      <c r="AF7" s="303" t="s">
        <v>7922</v>
      </c>
      <c r="AG7" s="565" t="s">
        <v>7923</v>
      </c>
      <c r="AH7" s="565"/>
      <c r="AI7" s="311" t="s">
        <v>7924</v>
      </c>
      <c r="AJ7" s="311"/>
      <c r="AK7" s="311"/>
      <c r="AL7" s="311"/>
      <c r="AM7" s="311"/>
      <c r="AN7" s="311"/>
      <c r="AO7" s="311"/>
      <c r="AP7" s="311"/>
      <c r="AQ7" s="311"/>
      <c r="BC7" s="271"/>
      <c r="BD7" s="279">
        <v>1</v>
      </c>
      <c r="BE7" s="271"/>
      <c r="BF7" s="271"/>
      <c r="BG7" s="271"/>
    </row>
    <row r="8" spans="1:111" ht="23.1" customHeight="1" x14ac:dyDescent="0.25">
      <c r="A8" s="284"/>
      <c r="B8" s="284"/>
      <c r="C8" s="284"/>
      <c r="D8" s="284"/>
      <c r="E8" s="284"/>
      <c r="F8" s="284"/>
      <c r="G8" s="284"/>
      <c r="H8" s="284"/>
      <c r="I8" s="284"/>
      <c r="J8" s="271" t="s">
        <v>7925</v>
      </c>
      <c r="K8" s="155">
        <f>$V$144</f>
        <v>3</v>
      </c>
      <c r="L8" s="306" t="str">
        <f>$W$144</f>
        <v>N° 03</v>
      </c>
      <c r="M8" s="307" t="str">
        <f>$X$144</f>
        <v>CREME DE POIS CHICHES (HOMOS)</v>
      </c>
      <c r="N8" s="308">
        <f>IF(AK144="","",AK144)</f>
        <v>5</v>
      </c>
      <c r="O8" s="308" t="str">
        <f>IF(AL144="","",AL144)</f>
        <v>kg</v>
      </c>
      <c r="P8" s="309">
        <f>$Z$144</f>
        <v>100</v>
      </c>
      <c r="Q8" s="310">
        <f>$Y$144</f>
        <v>20</v>
      </c>
      <c r="U8" s="553"/>
      <c r="V8" s="554"/>
      <c r="W8" s="554"/>
      <c r="X8" s="554"/>
      <c r="Y8" s="554"/>
      <c r="Z8" s="554"/>
      <c r="AA8" s="555"/>
      <c r="AC8" s="275"/>
      <c r="AD8" s="301" t="s">
        <v>7858</v>
      </c>
      <c r="AE8" s="302" t="s">
        <v>327</v>
      </c>
      <c r="AF8" s="303" t="s">
        <v>7926</v>
      </c>
      <c r="AG8" s="566" t="s">
        <v>7927</v>
      </c>
      <c r="AH8" s="566"/>
      <c r="AI8" s="311" t="s">
        <v>7928</v>
      </c>
      <c r="AJ8" s="311"/>
      <c r="AK8" s="311"/>
      <c r="AL8" s="311"/>
      <c r="AM8" s="311"/>
      <c r="AN8" s="311"/>
      <c r="AO8" s="311"/>
      <c r="AP8" s="311"/>
      <c r="AQ8" s="311"/>
      <c r="BC8" s="271"/>
      <c r="BD8" s="279">
        <v>1</v>
      </c>
      <c r="BE8" s="271"/>
      <c r="BF8" s="271"/>
      <c r="BG8" s="271"/>
    </row>
    <row r="9" spans="1:111" ht="23.1" customHeight="1" x14ac:dyDescent="0.25">
      <c r="A9" s="741" t="s">
        <v>331</v>
      </c>
      <c r="B9" s="742"/>
      <c r="C9" s="742"/>
      <c r="D9" s="742"/>
      <c r="E9" s="742"/>
      <c r="F9" s="742"/>
      <c r="G9" s="742"/>
      <c r="H9" s="742"/>
      <c r="I9" s="743"/>
      <c r="J9" s="271"/>
      <c r="K9" s="155">
        <f>$V$180</f>
        <v>4</v>
      </c>
      <c r="L9" s="306" t="str">
        <f>$W$180</f>
        <v>N° 04</v>
      </c>
      <c r="M9" s="307" t="str">
        <f>$X$180</f>
        <v>FROMAGE FRAIS AUX HERBES</v>
      </c>
      <c r="N9" s="308">
        <f>IF(AK180="","",AK180)</f>
        <v>7</v>
      </c>
      <c r="O9" s="308" t="str">
        <f>IF(AL180="","",AL180)</f>
        <v>kg</v>
      </c>
      <c r="P9" s="309">
        <f>$Z$180</f>
        <v>100</v>
      </c>
      <c r="Q9" s="310">
        <f>$Y$180</f>
        <v>21</v>
      </c>
      <c r="U9" s="314" t="s">
        <v>7929</v>
      </c>
      <c r="V9" s="315"/>
      <c r="W9" s="315"/>
      <c r="X9" s="315"/>
      <c r="Y9" s="315"/>
      <c r="Z9" s="315"/>
      <c r="AA9" s="316"/>
      <c r="AC9" s="275"/>
      <c r="AD9" s="301" t="s">
        <v>7858</v>
      </c>
      <c r="AE9" s="317" t="s">
        <v>7930</v>
      </c>
      <c r="AF9" s="303" t="s">
        <v>7931</v>
      </c>
      <c r="AG9" s="552" t="s">
        <v>239</v>
      </c>
      <c r="AH9" s="551"/>
      <c r="AI9" s="304" t="s">
        <v>7932</v>
      </c>
      <c r="AJ9" s="304"/>
      <c r="AK9" s="304"/>
      <c r="AL9" s="304"/>
      <c r="AM9" s="304"/>
      <c r="AN9" s="304"/>
      <c r="AO9" s="304"/>
      <c r="AP9" s="304"/>
      <c r="AQ9" s="304"/>
      <c r="BC9" s="271"/>
      <c r="BD9" s="279">
        <v>1</v>
      </c>
      <c r="BE9" s="271"/>
      <c r="BF9" s="271"/>
      <c r="BG9" s="271"/>
      <c r="CL9" s="151">
        <v>1</v>
      </c>
      <c r="CM9" s="151">
        <v>2</v>
      </c>
      <c r="CN9" s="151">
        <v>3</v>
      </c>
      <c r="CO9" s="151">
        <v>4</v>
      </c>
      <c r="CP9" s="151">
        <v>5</v>
      </c>
      <c r="CQ9" s="151">
        <v>6</v>
      </c>
      <c r="CR9" s="151">
        <v>7</v>
      </c>
      <c r="CS9" s="151">
        <v>8</v>
      </c>
      <c r="CT9" s="151">
        <v>9</v>
      </c>
      <c r="CU9" s="151">
        <v>10</v>
      </c>
      <c r="CV9" s="151">
        <v>11</v>
      </c>
      <c r="CW9" s="151">
        <v>12</v>
      </c>
      <c r="CX9" s="151">
        <v>13</v>
      </c>
      <c r="CY9" s="151">
        <v>14</v>
      </c>
      <c r="CZ9" s="151">
        <v>15</v>
      </c>
      <c r="DA9" s="151">
        <v>16</v>
      </c>
      <c r="DB9" s="151">
        <v>17</v>
      </c>
      <c r="DC9" s="151">
        <v>18</v>
      </c>
      <c r="DD9" s="151">
        <v>19</v>
      </c>
      <c r="DE9" s="151">
        <v>20</v>
      </c>
      <c r="DF9" s="151">
        <v>21</v>
      </c>
      <c r="DG9" s="151">
        <v>22</v>
      </c>
    </row>
    <row r="10" spans="1:111" ht="23.1" customHeight="1" thickBot="1" x14ac:dyDescent="0.3">
      <c r="A10" s="690" t="s">
        <v>7933</v>
      </c>
      <c r="B10" s="691"/>
      <c r="C10" s="691"/>
      <c r="D10" s="692"/>
      <c r="E10" s="318"/>
      <c r="F10" s="693" t="s">
        <v>7934</v>
      </c>
      <c r="G10" s="694"/>
      <c r="H10" s="694"/>
      <c r="I10" s="695"/>
      <c r="J10" s="271"/>
      <c r="K10" s="155">
        <f>$V$216</f>
        <v>5</v>
      </c>
      <c r="L10" s="306" t="str">
        <f>$W$216</f>
        <v>N° 05</v>
      </c>
      <c r="M10" s="307" t="str">
        <f>$X$216</f>
        <v>GUACAMOLE</v>
      </c>
      <c r="N10" s="308">
        <f>IF(AK216="","",AK216)</f>
        <v>75</v>
      </c>
      <c r="O10" s="308" t="str">
        <f>IF(AL216="","",AL216)</f>
        <v>pièce(s)</v>
      </c>
      <c r="P10" s="309">
        <f>$Z$216</f>
        <v>100</v>
      </c>
      <c r="Q10" s="310">
        <f>$Y$216</f>
        <v>22</v>
      </c>
      <c r="U10" s="553" t="s">
        <v>7935</v>
      </c>
      <c r="V10" s="554"/>
      <c r="W10" s="554"/>
      <c r="X10" s="554"/>
      <c r="Y10" s="554"/>
      <c r="Z10" s="554"/>
      <c r="AA10" s="555"/>
      <c r="AC10" s="275"/>
      <c r="AD10" s="319" t="s">
        <v>7936</v>
      </c>
      <c r="AE10" s="320" t="s">
        <v>7937</v>
      </c>
      <c r="AF10" s="321" t="s">
        <v>7938</v>
      </c>
      <c r="AG10" s="556" t="s">
        <v>7939</v>
      </c>
      <c r="AH10" s="557"/>
      <c r="AI10" s="311" t="s">
        <v>7940</v>
      </c>
      <c r="AJ10" s="311"/>
      <c r="AK10" s="311"/>
      <c r="AL10" s="311"/>
      <c r="AM10" s="311"/>
      <c r="AN10" s="311"/>
      <c r="AO10" s="311"/>
      <c r="AP10" s="311"/>
      <c r="AQ10" s="311"/>
      <c r="BC10" s="271"/>
      <c r="BD10" s="279">
        <v>1</v>
      </c>
      <c r="BE10" s="271"/>
      <c r="BF10" s="271"/>
      <c r="BG10" s="271"/>
    </row>
    <row r="11" spans="1:111" ht="23.1" customHeight="1" x14ac:dyDescent="0.25">
      <c r="A11" s="323" t="s">
        <v>332</v>
      </c>
      <c r="B11" s="696" t="str" cm="1">
        <f t="array" ref="B11">IFERROR(INDEX($AC$72:$AC$430,1+($B$5-1)*36),"")</f>
        <v>Champignons de Paris</v>
      </c>
      <c r="C11" s="696"/>
      <c r="D11" s="697"/>
      <c r="E11" s="318"/>
      <c r="F11" s="324" t="s">
        <v>333</v>
      </c>
      <c r="G11" s="325" cm="1">
        <f t="array" ref="G11">IFERROR(INDEX($Z$72:$Z$430,1+($B$5-1)*36),"")</f>
        <v>100</v>
      </c>
      <c r="H11" s="326" t="s">
        <v>7941</v>
      </c>
      <c r="I11" s="327"/>
      <c r="J11" s="271"/>
      <c r="K11" s="155">
        <f>$V$252</f>
        <v>6</v>
      </c>
      <c r="L11" s="306" t="str">
        <f>$W$252</f>
        <v>N° 06</v>
      </c>
      <c r="M11" s="307" t="str">
        <f>$X$252</f>
        <v>LÉGUMES A LA GRECQUE</v>
      </c>
      <c r="N11" s="308">
        <f>IF(AK252="","",AK252)</f>
        <v>12</v>
      </c>
      <c r="O11" s="308" t="str">
        <f>IF(AL252="","",AL252)</f>
        <v>kg</v>
      </c>
      <c r="P11" s="309">
        <f>$Z$252</f>
        <v>100</v>
      </c>
      <c r="Q11" s="310">
        <f>$Y$252</f>
        <v>23</v>
      </c>
      <c r="U11" s="553"/>
      <c r="V11" s="554"/>
      <c r="W11" s="554"/>
      <c r="X11" s="554"/>
      <c r="Y11" s="554"/>
      <c r="Z11" s="554"/>
      <c r="AA11" s="555"/>
      <c r="AC11" s="275"/>
      <c r="AD11" s="328" t="s">
        <v>7942</v>
      </c>
      <c r="AE11" s="329"/>
      <c r="AF11" s="330"/>
      <c r="AG11" s="329"/>
      <c r="AH11" s="329"/>
      <c r="AI11" s="329"/>
      <c r="AJ11" s="329"/>
      <c r="AK11" s="329"/>
      <c r="AL11" s="329"/>
      <c r="AM11" s="329"/>
      <c r="AN11" s="329"/>
      <c r="AO11" s="329"/>
      <c r="AP11" s="329"/>
      <c r="AQ11" s="329"/>
      <c r="BC11" s="271"/>
      <c r="BD11" s="279">
        <v>1</v>
      </c>
      <c r="BE11" s="271"/>
      <c r="BF11" s="271"/>
      <c r="BG11" s="271"/>
    </row>
    <row r="12" spans="1:111" ht="23.1" customHeight="1" x14ac:dyDescent="0.25">
      <c r="A12" s="305" t="s">
        <v>334</v>
      </c>
      <c r="B12" s="331" cm="1">
        <f t="array" ref="B12">IFERROR(INDEX($N$6:$N$15,$B$5),"")</f>
        <v>12</v>
      </c>
      <c r="C12" s="332" t="str" cm="1">
        <f t="array" ref="C12">IFERROR(INDEX($O$6:$O$15,$B$5),"")</f>
        <v>kg</v>
      </c>
      <c r="D12" s="333"/>
      <c r="E12" s="506" t="s">
        <v>8169</v>
      </c>
      <c r="F12" s="334" t="s">
        <v>335</v>
      </c>
      <c r="G12" s="335">
        <v>200</v>
      </c>
      <c r="H12" s="336" t="s">
        <v>7941</v>
      </c>
      <c r="I12" s="337"/>
      <c r="J12" s="271"/>
      <c r="K12" s="155">
        <f>$V$288</f>
        <v>7</v>
      </c>
      <c r="L12" s="306" t="str">
        <f>$W$288</f>
        <v>N° 07</v>
      </c>
      <c r="M12" s="307" t="str">
        <f>$X$288</f>
        <v>MELON GLACÉ AUX FRUITS ROUGES</v>
      </c>
      <c r="N12" s="308">
        <f>IF(AK288="","",AK288)</f>
        <v>17</v>
      </c>
      <c r="O12" s="308" t="str">
        <f>IF(AL288="","",AL288)</f>
        <v>kg</v>
      </c>
      <c r="P12" s="309">
        <f>$Z$288</f>
        <v>100</v>
      </c>
      <c r="Q12" s="310">
        <f>$Y$288</f>
        <v>24</v>
      </c>
      <c r="U12" s="553" t="s">
        <v>7943</v>
      </c>
      <c r="V12" s="554"/>
      <c r="W12" s="554"/>
      <c r="X12" s="554"/>
      <c r="Y12" s="554"/>
      <c r="Z12" s="554"/>
      <c r="AA12" s="555"/>
      <c r="AC12" s="275"/>
      <c r="AD12" s="301" t="s">
        <v>7944</v>
      </c>
      <c r="AE12" s="311" t="s">
        <v>7945</v>
      </c>
      <c r="AF12" s="303" t="s">
        <v>7946</v>
      </c>
      <c r="AG12" s="17" t="s">
        <v>7947</v>
      </c>
      <c r="AH12" s="17"/>
      <c r="AI12" s="311" t="s">
        <v>7948</v>
      </c>
      <c r="AJ12" s="311"/>
      <c r="AK12" s="311"/>
      <c r="AL12" s="311"/>
      <c r="AM12" s="311"/>
      <c r="AN12" s="311"/>
      <c r="AO12" s="311"/>
      <c r="AP12" s="311"/>
      <c r="AQ12" s="311"/>
      <c r="BC12" s="271"/>
      <c r="BD12" s="279">
        <v>1</v>
      </c>
      <c r="BE12" s="271"/>
      <c r="BF12" s="271"/>
      <c r="BG12" s="271"/>
    </row>
    <row r="13" spans="1:111" ht="23.1" customHeight="1" x14ac:dyDescent="0.25">
      <c r="A13" s="338" t="s">
        <v>336</v>
      </c>
      <c r="B13" s="339">
        <v>8</v>
      </c>
      <c r="C13" s="340" t="s">
        <v>7949</v>
      </c>
      <c r="D13" s="341"/>
      <c r="E13" s="318"/>
      <c r="F13" s="676" t="s">
        <v>7950</v>
      </c>
      <c r="G13" s="676"/>
      <c r="H13" s="676"/>
      <c r="I13" s="676"/>
      <c r="J13" s="271"/>
      <c r="K13" s="155">
        <f>$V$324</f>
        <v>8</v>
      </c>
      <c r="L13" s="306" t="str">
        <f>$W$324</f>
        <v>N° 08</v>
      </c>
      <c r="M13" s="307" t="str">
        <f>$X$324</f>
        <v>MESCLUN D'AUTOMNE</v>
      </c>
      <c r="N13" s="308">
        <f>IF(AK324="","",AK324)</f>
        <v>4</v>
      </c>
      <c r="O13" s="308" t="str">
        <f>IF(AL324="","",AL324)</f>
        <v>kg</v>
      </c>
      <c r="P13" s="309">
        <f>$Z$324</f>
        <v>100</v>
      </c>
      <c r="Q13" s="310">
        <f>$Y$324</f>
        <v>25</v>
      </c>
      <c r="U13" s="567"/>
      <c r="V13" s="568"/>
      <c r="W13" s="568"/>
      <c r="X13" s="568"/>
      <c r="Y13" s="568"/>
      <c r="Z13" s="568"/>
      <c r="AA13" s="569"/>
      <c r="AC13" s="275"/>
      <c r="AD13" s="301" t="s">
        <v>7828</v>
      </c>
      <c r="AE13" s="322" t="s">
        <v>338</v>
      </c>
      <c r="AF13" s="303" t="s">
        <v>7951</v>
      </c>
      <c r="AG13" s="34" t="s">
        <v>7952</v>
      </c>
      <c r="AH13" s="34"/>
      <c r="AI13" s="311" t="s">
        <v>7953</v>
      </c>
      <c r="AJ13" s="311"/>
      <c r="AK13" s="311"/>
      <c r="AL13" s="311"/>
      <c r="AM13" s="311"/>
      <c r="AN13" s="311"/>
      <c r="AO13" s="311"/>
      <c r="AP13" s="311"/>
      <c r="AQ13" s="311"/>
      <c r="BC13" s="271"/>
      <c r="BD13" s="279">
        <v>1</v>
      </c>
      <c r="BE13" s="271"/>
      <c r="BF13" s="271"/>
      <c r="BG13" s="271"/>
    </row>
    <row r="14" spans="1:111" ht="23.1" customHeight="1" x14ac:dyDescent="0.25">
      <c r="A14" s="284"/>
      <c r="B14" s="507" t="s">
        <v>8167</v>
      </c>
      <c r="C14" s="507" t="s">
        <v>8168</v>
      </c>
      <c r="D14" s="284"/>
      <c r="E14" s="318"/>
      <c r="F14" s="677"/>
      <c r="G14" s="677"/>
      <c r="H14" s="677"/>
      <c r="I14" s="677"/>
      <c r="J14" s="271"/>
      <c r="K14" s="155">
        <f>$V$360</f>
        <v>9</v>
      </c>
      <c r="L14" s="306" t="str">
        <f>$W$360</f>
        <v>N° 09</v>
      </c>
      <c r="M14" s="307" t="str">
        <f>$X$360</f>
        <v>PIEMONTAISE DE CURCUBITACÉS</v>
      </c>
      <c r="N14" s="308">
        <f>IF(AK360="","",AK360)</f>
        <v>3</v>
      </c>
      <c r="O14" s="308" t="str">
        <f>IF(AL360="","",AL360)</f>
        <v>kg</v>
      </c>
      <c r="P14" s="309">
        <f>$Z$360</f>
        <v>100</v>
      </c>
      <c r="Q14" s="310">
        <f>$Y$360</f>
        <v>26</v>
      </c>
      <c r="U14" s="299"/>
      <c r="V14" s="271"/>
      <c r="W14" s="271"/>
      <c r="X14" s="271"/>
      <c r="Y14" s="271"/>
      <c r="Z14" s="271"/>
      <c r="AA14" s="300"/>
      <c r="AC14" s="275"/>
      <c r="AD14" s="301" t="s">
        <v>7828</v>
      </c>
      <c r="AE14" s="322" t="s">
        <v>338</v>
      </c>
      <c r="AF14" s="303" t="s">
        <v>7951</v>
      </c>
      <c r="AG14" s="34" t="s">
        <v>7954</v>
      </c>
      <c r="AH14" s="34"/>
      <c r="AI14" s="311" t="s">
        <v>7955</v>
      </c>
      <c r="AJ14" s="311"/>
      <c r="AK14" s="311"/>
      <c r="AL14" s="311"/>
      <c r="AM14" s="311"/>
      <c r="AN14" s="311"/>
      <c r="AO14" s="311"/>
      <c r="AP14" s="311"/>
      <c r="AQ14" s="311"/>
      <c r="BC14" s="271"/>
      <c r="BD14" s="279">
        <v>1</v>
      </c>
      <c r="BE14" s="271"/>
      <c r="BF14" s="271"/>
      <c r="BG14" s="271"/>
    </row>
    <row r="15" spans="1:111" ht="23.1" customHeight="1" x14ac:dyDescent="0.25">
      <c r="A15" s="741" t="s">
        <v>7956</v>
      </c>
      <c r="B15" s="742"/>
      <c r="C15" s="742"/>
      <c r="D15" s="742"/>
      <c r="E15" s="742"/>
      <c r="F15" s="742"/>
      <c r="G15" s="742"/>
      <c r="H15" s="742"/>
      <c r="I15" s="743"/>
      <c r="J15" s="271"/>
      <c r="K15" s="157">
        <f>$V$396</f>
        <v>10</v>
      </c>
      <c r="L15" s="342" t="str">
        <f>$W$396</f>
        <v>N° 10</v>
      </c>
      <c r="M15" s="343" t="str">
        <f>$X$396</f>
        <v>RILLETTE DE SAUMON A L'ANETH</v>
      </c>
      <c r="N15" s="344">
        <f>IF(AK396="","",AK396)</f>
        <v>4</v>
      </c>
      <c r="O15" s="344" t="str">
        <f>IF(AL396="","",AL396)</f>
        <v>kg</v>
      </c>
      <c r="P15" s="345">
        <f>$Z$396</f>
        <v>100</v>
      </c>
      <c r="Q15" s="346">
        <f>$Y$396</f>
        <v>27</v>
      </c>
      <c r="U15" s="558" t="s">
        <v>7899</v>
      </c>
      <c r="V15" s="559"/>
      <c r="W15" s="559"/>
      <c r="X15" s="559"/>
      <c r="Y15" s="559"/>
      <c r="Z15" s="559"/>
      <c r="AA15" s="560"/>
      <c r="AC15" s="275"/>
      <c r="AD15" s="301" t="s">
        <v>7828</v>
      </c>
      <c r="AE15" s="322" t="s">
        <v>338</v>
      </c>
      <c r="AF15" s="303" t="s">
        <v>7951</v>
      </c>
      <c r="AG15" s="34" t="s">
        <v>139</v>
      </c>
      <c r="AH15" s="34"/>
      <c r="AI15" s="311" t="s">
        <v>7957</v>
      </c>
      <c r="AJ15" s="311"/>
      <c r="AK15" s="311"/>
      <c r="AL15" s="311"/>
      <c r="AM15" s="311"/>
      <c r="AN15" s="311"/>
      <c r="AO15" s="311"/>
      <c r="AP15" s="311"/>
      <c r="AQ15" s="311"/>
      <c r="BC15" s="271"/>
      <c r="BD15" s="279">
        <v>1</v>
      </c>
      <c r="BE15" s="271"/>
      <c r="BF15" s="271"/>
      <c r="BG15" s="271"/>
    </row>
    <row r="16" spans="1:111" ht="23.1" customHeight="1" x14ac:dyDescent="0.25">
      <c r="A16" s="347" t="s">
        <v>7958</v>
      </c>
      <c r="B16" s="678" t="str">
        <f>IF(AND($B$13&lt;&gt;"",$G$12&lt;&gt;""),"DEUX CALCULS ACTIFS — A ET B",IF($B$13&lt;&gt;"","MODE A ACTIF — ÉLÉMENT PRINCIPAL",IF($G$12&lt;&gt;"","MODE B ACTIF — COUVERTS","AUCUN CALCUL ACTIF")))</f>
        <v>DEUX CALCULS ACTIFS — A ET B</v>
      </c>
      <c r="C16" s="678"/>
      <c r="D16" s="678"/>
      <c r="E16" s="678"/>
      <c r="F16" s="678"/>
      <c r="G16" s="678"/>
      <c r="H16" s="678"/>
      <c r="I16" s="678"/>
      <c r="J16" s="271"/>
      <c r="K16" s="271"/>
      <c r="L16" s="271"/>
      <c r="M16" s="271"/>
      <c r="N16" s="271"/>
      <c r="O16" s="271"/>
      <c r="P16" s="271"/>
      <c r="Q16" s="271"/>
      <c r="U16" s="570" t="s">
        <v>281</v>
      </c>
      <c r="V16" s="572" t="s">
        <v>7959</v>
      </c>
      <c r="W16" s="574" t="s">
        <v>7911</v>
      </c>
      <c r="X16" s="574"/>
      <c r="Y16" s="574"/>
      <c r="Z16" s="574"/>
      <c r="AA16" s="575"/>
      <c r="AC16" s="275"/>
      <c r="AD16" s="301" t="s">
        <v>7828</v>
      </c>
      <c r="AE16" s="322" t="s">
        <v>7960</v>
      </c>
      <c r="AF16" s="303" t="s">
        <v>7951</v>
      </c>
      <c r="AG16" s="34" t="s">
        <v>7961</v>
      </c>
      <c r="AH16" s="34"/>
      <c r="AI16" s="311" t="s">
        <v>7962</v>
      </c>
      <c r="AJ16" s="311"/>
      <c r="AK16" s="311"/>
      <c r="AL16" s="311"/>
      <c r="AM16" s="311"/>
      <c r="AN16" s="311"/>
      <c r="AO16" s="311"/>
      <c r="AP16" s="311"/>
      <c r="AQ16" s="311"/>
      <c r="BC16" s="271"/>
      <c r="BD16" s="279">
        <v>1</v>
      </c>
      <c r="BE16" s="271"/>
      <c r="BF16" s="271"/>
      <c r="BG16" s="271"/>
    </row>
    <row r="17" spans="1:59" ht="23.1" customHeight="1" thickBot="1" x14ac:dyDescent="0.3">
      <c r="A17" s="348" t="s">
        <v>6113</v>
      </c>
      <c r="B17" s="679" t="str">
        <f>IF(AND(COUNTIF(B22:B57,"*~**")=0,COUNTIF(B22:B57,"*~?*")=0),"",IF(COUNTIF(B22:B57,"*~**")&gt;0,COUNTIF(B22:B57,"*~**")&amp;" allergène"&amp;IF(COUNTIF(B22:B57,"*~**")&gt;1,"s","")&amp;" repéré"&amp;IF(COUNTIF(B22:B57,"*~**")&gt;1,"s","")&amp;" par *","")&amp;IF(AND(COUNTIF(B22:B57,"*~**")&gt;0,COUNTIF(B22:B57,"*~?*")&gt;0)," | ","")&amp;IF(COUNTIF(B22:B57,"*~?*")&gt;0,COUNTIF(B22:B57,"*~?*")&amp;" produit"&amp;IF(COUNTIF(B22:B57,"*~?*")&gt;1,"s","")&amp;" à vérifier par ?",""))</f>
        <v/>
      </c>
      <c r="C17" s="679"/>
      <c r="D17" s="679"/>
      <c r="E17" s="679"/>
      <c r="F17" s="679"/>
      <c r="G17" s="679"/>
      <c r="H17" s="679"/>
      <c r="I17" s="680"/>
      <c r="J17" s="271"/>
      <c r="K17" s="681" t="s">
        <v>7963</v>
      </c>
      <c r="L17" s="682"/>
      <c r="M17" s="682"/>
      <c r="N17" s="682"/>
      <c r="O17" s="682"/>
      <c r="P17" s="682"/>
      <c r="Q17" s="683"/>
      <c r="U17" s="571"/>
      <c r="V17" s="573"/>
      <c r="W17" s="576"/>
      <c r="X17" s="576"/>
      <c r="Y17" s="576"/>
      <c r="Z17" s="576"/>
      <c r="AA17" s="577"/>
      <c r="AC17" s="275"/>
      <c r="AD17" s="301" t="s">
        <v>7964</v>
      </c>
      <c r="AE17" s="322" t="s">
        <v>7965</v>
      </c>
      <c r="AF17" s="303" t="s">
        <v>7966</v>
      </c>
      <c r="AG17" s="578" t="s">
        <v>7967</v>
      </c>
      <c r="AH17" s="578"/>
      <c r="AI17" s="311" t="s">
        <v>7968</v>
      </c>
      <c r="AJ17" s="311"/>
      <c r="AK17" s="311"/>
      <c r="AL17" s="311"/>
      <c r="AM17" s="311"/>
      <c r="AN17" s="311"/>
      <c r="AO17" s="311"/>
      <c r="AP17" s="311"/>
      <c r="AQ17" s="311"/>
      <c r="BC17" s="271"/>
      <c r="BD17" s="279">
        <v>1</v>
      </c>
      <c r="BE17" s="271"/>
      <c r="BF17" s="271"/>
      <c r="BG17" s="271"/>
    </row>
    <row r="18" spans="1:59" ht="18.75" x14ac:dyDescent="0.25">
      <c r="A18" s="349"/>
      <c r="B18" s="350" t="s">
        <v>6114</v>
      </c>
      <c r="C18" s="351"/>
      <c r="D18" s="351"/>
      <c r="E18" s="351"/>
      <c r="F18" s="351"/>
      <c r="G18" s="351"/>
      <c r="H18" s="351"/>
      <c r="I18" s="351"/>
      <c r="J18" s="271"/>
      <c r="K18" s="684"/>
      <c r="L18" s="685"/>
      <c r="M18" s="685"/>
      <c r="N18" s="685"/>
      <c r="O18" s="685"/>
      <c r="P18" s="685"/>
      <c r="Q18" s="686"/>
      <c r="U18" s="579" t="s">
        <v>6154</v>
      </c>
      <c r="V18" s="581" t="s">
        <v>7969</v>
      </c>
      <c r="W18" s="583" t="s">
        <v>7970</v>
      </c>
      <c r="X18" s="583"/>
      <c r="Y18" s="583"/>
      <c r="Z18" s="583"/>
      <c r="AA18" s="584"/>
      <c r="AC18" s="275"/>
      <c r="AD18" s="352" t="s">
        <v>7971</v>
      </c>
      <c r="AE18" s="353"/>
      <c r="AF18" s="354"/>
      <c r="AG18" s="353"/>
      <c r="AH18" s="353"/>
      <c r="AI18" s="353"/>
      <c r="AJ18" s="353"/>
      <c r="AK18" s="353"/>
      <c r="AL18" s="353"/>
      <c r="AM18" s="353"/>
      <c r="AN18" s="353"/>
      <c r="AO18" s="353"/>
      <c r="AP18" s="353"/>
      <c r="AQ18" s="353"/>
      <c r="BC18" s="271"/>
      <c r="BD18" s="279">
        <v>1</v>
      </c>
      <c r="BE18" s="271"/>
      <c r="BF18" s="271"/>
      <c r="BG18" s="271"/>
    </row>
    <row r="19" spans="1:59" ht="23.1" customHeight="1" x14ac:dyDescent="0.25">
      <c r="A19" s="741" t="s">
        <v>7972</v>
      </c>
      <c r="B19" s="742"/>
      <c r="C19" s="742"/>
      <c r="D19" s="742"/>
      <c r="E19" s="742"/>
      <c r="F19" s="742"/>
      <c r="G19" s="742"/>
      <c r="H19" s="742"/>
      <c r="I19" s="743"/>
      <c r="J19" s="271"/>
      <c r="K19" s="684"/>
      <c r="L19" s="685"/>
      <c r="M19" s="685"/>
      <c r="N19" s="685"/>
      <c r="O19" s="685"/>
      <c r="P19" s="685"/>
      <c r="Q19" s="686"/>
      <c r="U19" s="580"/>
      <c r="V19" s="582"/>
      <c r="W19" s="585"/>
      <c r="X19" s="585"/>
      <c r="Y19" s="585"/>
      <c r="Z19" s="585"/>
      <c r="AA19" s="586"/>
      <c r="AC19" s="275"/>
      <c r="AD19" s="301" t="s">
        <v>7973</v>
      </c>
      <c r="AE19" s="355" t="s">
        <v>7974</v>
      </c>
      <c r="AF19" s="303" t="s">
        <v>7975</v>
      </c>
      <c r="AG19" s="356" t="s">
        <v>7976</v>
      </c>
      <c r="AH19" s="357"/>
      <c r="AI19" s="358" t="s">
        <v>7977</v>
      </c>
      <c r="AJ19" s="358"/>
      <c r="AK19" s="358"/>
      <c r="AL19" s="358"/>
      <c r="AM19" s="358"/>
      <c r="AN19" s="358"/>
      <c r="AO19" s="358"/>
      <c r="AP19" s="358"/>
      <c r="AQ19" s="358"/>
      <c r="BC19" s="271"/>
      <c r="BD19" s="279">
        <v>1</v>
      </c>
      <c r="BE19" s="271"/>
      <c r="BF19" s="271"/>
      <c r="BG19" s="271"/>
    </row>
    <row r="20" spans="1:59" ht="21.95" customHeight="1" x14ac:dyDescent="0.25">
      <c r="A20" s="359"/>
      <c r="B20" s="359"/>
      <c r="C20" s="360" cm="1">
        <f t="array" ref="C20">IFERROR(INDEX($P$6:$P$15,$B$5),"")</f>
        <v>100</v>
      </c>
      <c r="D20" s="361" t="s">
        <v>7941</v>
      </c>
      <c r="E20" s="673" t="str">
        <f>IF($B$13="","MODE A NON RENSEIGNÉ","MODE A — "&amp;$B$13&amp;" "&amp;$C$13)</f>
        <v>MODE A — 8 Kg</v>
      </c>
      <c r="F20" s="673"/>
      <c r="G20" s="674" t="str">
        <f>IF($G$12="","MODE B NON RENSEIGNÉ","MODE B — "&amp;$G$12&amp;" COUVERTS")</f>
        <v>MODE B — 200 COUVERTS</v>
      </c>
      <c r="H20" s="674"/>
      <c r="I20" s="675"/>
      <c r="J20" s="271"/>
      <c r="K20" s="684"/>
      <c r="L20" s="685"/>
      <c r="M20" s="685"/>
      <c r="N20" s="685"/>
      <c r="O20" s="685"/>
      <c r="P20" s="685"/>
      <c r="Q20" s="686"/>
      <c r="U20" s="587" t="s">
        <v>6146</v>
      </c>
      <c r="V20" s="589" t="s">
        <v>7978</v>
      </c>
      <c r="W20" s="591" t="s">
        <v>7979</v>
      </c>
      <c r="X20" s="591"/>
      <c r="Y20" s="591"/>
      <c r="Z20" s="591"/>
      <c r="AA20" s="592"/>
      <c r="AC20" s="275"/>
      <c r="AD20" s="301" t="s">
        <v>7973</v>
      </c>
      <c r="AE20" s="355" t="s">
        <v>7974</v>
      </c>
      <c r="AF20" s="303" t="s">
        <v>7975</v>
      </c>
      <c r="AG20" s="356" t="s">
        <v>7980</v>
      </c>
      <c r="AH20" s="357"/>
      <c r="AI20" s="362" t="s">
        <v>7981</v>
      </c>
      <c r="AJ20" s="362"/>
      <c r="AK20" s="362"/>
      <c r="AL20" s="362"/>
      <c r="AM20" s="362"/>
      <c r="AN20" s="362"/>
      <c r="AO20" s="362"/>
      <c r="AP20" s="362"/>
      <c r="AQ20" s="362"/>
      <c r="BC20" s="271"/>
      <c r="BD20" s="279">
        <v>1</v>
      </c>
      <c r="BE20" s="271"/>
      <c r="BF20" s="271"/>
      <c r="BG20" s="271"/>
    </row>
    <row r="21" spans="1:59" ht="21.95" customHeight="1" x14ac:dyDescent="0.25">
      <c r="A21" s="363" t="s">
        <v>337</v>
      </c>
      <c r="B21" s="364" t="s">
        <v>338</v>
      </c>
      <c r="C21" s="364" t="s">
        <v>339</v>
      </c>
      <c r="D21" s="364" t="s">
        <v>340</v>
      </c>
      <c r="E21" s="365" t="s">
        <v>7982</v>
      </c>
      <c r="F21" s="366" t="s">
        <v>341</v>
      </c>
      <c r="G21" s="367" t="s">
        <v>7983</v>
      </c>
      <c r="H21" s="368" t="s">
        <v>342</v>
      </c>
      <c r="I21" s="369" t="s">
        <v>343</v>
      </c>
      <c r="J21" s="271"/>
      <c r="K21" s="687"/>
      <c r="L21" s="688"/>
      <c r="M21" s="688"/>
      <c r="N21" s="688"/>
      <c r="O21" s="688"/>
      <c r="P21" s="688"/>
      <c r="Q21" s="689"/>
      <c r="U21" s="588"/>
      <c r="V21" s="590"/>
      <c r="W21" s="593"/>
      <c r="X21" s="593"/>
      <c r="Y21" s="593"/>
      <c r="Z21" s="593"/>
      <c r="AA21" s="594"/>
      <c r="AC21" s="275"/>
      <c r="AD21" s="370" t="s">
        <v>7984</v>
      </c>
      <c r="AE21" s="371" t="s">
        <v>7974</v>
      </c>
      <c r="AF21" s="372" t="s">
        <v>7975</v>
      </c>
      <c r="AG21" s="356" t="s">
        <v>7985</v>
      </c>
      <c r="AH21" s="357"/>
      <c r="AI21" s="373" t="s">
        <v>7986</v>
      </c>
      <c r="AJ21" s="373"/>
      <c r="AK21" s="373"/>
      <c r="AL21" s="373"/>
      <c r="AM21" s="373"/>
      <c r="AN21" s="373"/>
      <c r="AO21" s="373"/>
      <c r="AP21" s="373"/>
      <c r="AQ21" s="373"/>
      <c r="BC21" s="271"/>
      <c r="BD21" s="279">
        <v>1</v>
      </c>
      <c r="BE21" s="271"/>
      <c r="BF21" s="271"/>
      <c r="BG21" s="271"/>
    </row>
    <row r="22" spans="1:59" ht="21.95" customHeight="1" thickBot="1" x14ac:dyDescent="0.3">
      <c r="A22" s="374">
        <f>IF($B22="","",0)</f>
        <v>0</v>
      </c>
      <c r="B22" s="375" t="str" cm="1">
        <f t="array" ref="B22">IFERROR(IF(INDEX($AC$72:$AC$430,$K22)="","",INDEX($AC$72:$AC$430,$K22)),"")</f>
        <v>Champignons de Paris</v>
      </c>
      <c r="C22" s="376" cm="1">
        <f t="array" ref="C22">IF($B22="","",INDEX($AG$72:$AG$430,$K22))</f>
        <v>12</v>
      </c>
      <c r="D22" s="377" t="str" cm="1">
        <f t="array" ref="D22">IF($B22="","",INDEX($AH$72:$AH$430,$K22))</f>
        <v>KG</v>
      </c>
      <c r="E22" s="378">
        <f t="shared" ref="E22:E56" si="0">IF($B22="","",IF(UPPER(TRIM($D22))="QT. SUFFISANTE","",IF($N22="","",IF($L22="MASSE",IF($N22&gt;=1,ROUND($N22,2),ROUND($N22*1000,0)),IF($L22="VOLUME",IF($N22&gt;=1,ROUND($N22,2),ROUND($N22*100,0)),ROUND($N22,0))))))</f>
        <v>8</v>
      </c>
      <c r="F22" s="379" t="str" cm="1">
        <f t="array" ref="F22">IF($B22="","",IF(UPPER(TRIM($D22))="QT. SUFFISANTE","Qt. suffisante",IF($N22="","",IF($L22="MASSE",IF($N22&gt;=1,"Kg","g"),IF($L22="VOLUME",IF($N22&gt;=1,"L","cl"),INDEX($AL$72:$AL$430,$K22))))))</f>
        <v>Kg</v>
      </c>
      <c r="G22" s="380">
        <f t="shared" ref="G22:G56" si="1">IF($B22="","",IF(UPPER(TRIM($D22))="QT. SUFFISANTE","",IF($O22="","",IF($L22="MASSE",IF($O22&gt;=1,ROUND($O22,2),ROUND($O22*1000,0)),IF($L22="VOLUME",IF($O22&gt;=1,ROUND($O22,2),ROUND($O22*100,0)),ROUND($O22,0))))))</f>
        <v>24</v>
      </c>
      <c r="H22" s="381" t="str" cm="1">
        <f t="array" ref="H22">IF($B22="","",IF(UPPER(TRIM($D22))="QT. SUFFISANTE","Qt. suffisante",IF($O22="","",IF($L22="MASSE",IF($O22&gt;=1,"Kg","g"),IF($L22="VOLUME",IF($O22&gt;=1,"L","cl"),INDEX($AL$72:$AL$430,$K22))))))</f>
        <v>Kg</v>
      </c>
      <c r="I22" s="382" t="str" cm="1">
        <f t="array" ref="I22">IF($B22="","",INDEX($AM$72:$AM$430,$K22))</f>
        <v>OK</v>
      </c>
      <c r="J22" s="271"/>
      <c r="K22" s="383">
        <f>1+($B$5-1)*36+0</f>
        <v>181</v>
      </c>
      <c r="L22" s="383" t="str" cm="1">
        <f t="array" ref="L22">IF($B22="","",INDEX($AI$72:$AI$430,$K22))</f>
        <v>MASSE</v>
      </c>
      <c r="M22" s="383" cm="1">
        <f t="array" ref="M22">IF($B22="","",INDEX($AJ$72:$AJ$430,$K22))</f>
        <v>1</v>
      </c>
      <c r="N22" s="384" cm="1">
        <f t="array" ref="N22">IF(OR($B22="",$B$13="",$B$12="",$B$12=0),"",IF($L$22="AUTRE",IFERROR(INDEX($AK$72:$AK$430,$K22)*($B$13/$B$12),""),IF(OR($C$12="",$C$13=""),"",IFERROR(INDEX($AK$72:$AK$430,$K22)*(($B$13*VLOOKUP($C$13,$AY$74:$BA$119,3,FALSE))/($B$12*VLOOKUP($C$12,$AY$74:$BA$119,3,FALSE))),""))))</f>
        <v>8</v>
      </c>
      <c r="O22" s="384" cm="1">
        <f t="array" ref="O22">IF(OR($B22="",$G$12="",$G$11="",$G$11=0),"",IFERROR(INDEX($AK$72:$AK$430,$K22)*($G$12/$G$11),""))</f>
        <v>24</v>
      </c>
      <c r="U22" s="602" t="s">
        <v>6174</v>
      </c>
      <c r="V22" s="604" t="s">
        <v>7987</v>
      </c>
      <c r="W22" s="606" t="s">
        <v>7988</v>
      </c>
      <c r="X22" s="606"/>
      <c r="Y22" s="606"/>
      <c r="Z22" s="606"/>
      <c r="AA22" s="607"/>
      <c r="AC22" s="275"/>
      <c r="AD22" s="370" t="s">
        <v>7984</v>
      </c>
      <c r="AE22" s="385" t="s">
        <v>7974</v>
      </c>
      <c r="AF22" s="372" t="s">
        <v>7975</v>
      </c>
      <c r="AG22" s="356" t="s">
        <v>7989</v>
      </c>
      <c r="AH22" s="357"/>
      <c r="AI22" s="373" t="s">
        <v>7990</v>
      </c>
      <c r="AJ22" s="373"/>
      <c r="AK22" s="373"/>
      <c r="AL22" s="373"/>
      <c r="AM22" s="373"/>
      <c r="AN22" s="373"/>
      <c r="AO22" s="373"/>
      <c r="AP22" s="373"/>
      <c r="AQ22" s="373"/>
      <c r="BC22" s="271"/>
      <c r="BD22" s="279">
        <v>1</v>
      </c>
      <c r="BE22" s="271"/>
      <c r="BF22" s="271"/>
      <c r="BG22" s="271"/>
    </row>
    <row r="23" spans="1:59" ht="21.95" customHeight="1" x14ac:dyDescent="0.25">
      <c r="A23" s="374">
        <f>IF($B23="","",1)</f>
        <v>1</v>
      </c>
      <c r="B23" s="375" t="str" cm="1">
        <f t="array" ref="B23">IFERROR(IF(INDEX($AC$72:$AC$430,$K23)="","",INDEX($AC$72:$AC$430,$K23)),"")</f>
        <v>Petits oignons grelots surgelés</v>
      </c>
      <c r="C23" s="376" cm="1">
        <f t="array" ref="C23">IF($B23="","",INDEX($AG$72:$AG$430,$K23))</f>
        <v>3</v>
      </c>
      <c r="D23" s="377" t="str" cm="1">
        <f t="array" ref="D23">IF($B23="","",INDEX($AH$72:$AH$430,$K23))</f>
        <v>KG</v>
      </c>
      <c r="E23" s="378">
        <f t="shared" si="0"/>
        <v>2</v>
      </c>
      <c r="F23" s="379" t="str" cm="1">
        <f t="array" ref="F23">IF($B23="","",IF(UPPER(TRIM($D23))="QT. SUFFISANTE","Qt. suffisante",IF($N23="","",IF($L23="MASSE",IF($N23&gt;=1,"Kg","g"),IF($L23="VOLUME",IF($N23&gt;=1,"L","cl"),INDEX($AL$72:$AL$430,$K23))))))</f>
        <v>Kg</v>
      </c>
      <c r="G23" s="380">
        <f t="shared" si="1"/>
        <v>6</v>
      </c>
      <c r="H23" s="381" t="str" cm="1">
        <f t="array" ref="H23">IF($B23="","",IF(UPPER(TRIM($D23))="QT. SUFFISANTE","Qt. suffisante",IF($O23="","",IF($L23="MASSE",IF($O23&gt;=1,"Kg","g"),IF($L23="VOLUME",IF($O23&gt;=1,"L","cl"),INDEX($AL$72:$AL$430,$K23))))))</f>
        <v>Kg</v>
      </c>
      <c r="I23" s="382" t="str" cm="1">
        <f t="array" ref="I23">IF($B23="","",INDEX($AM$72:$AM$430,$K23))</f>
        <v>OK</v>
      </c>
      <c r="J23" s="271"/>
      <c r="K23" s="383">
        <f>1+($B$5-1)*36+1</f>
        <v>182</v>
      </c>
      <c r="L23" s="383" t="str" cm="1">
        <f t="array" ref="L23">IF($B23="","",INDEX($AI$72:$AI$430,$K23))</f>
        <v>MASSE</v>
      </c>
      <c r="M23" s="383" cm="1">
        <f t="array" ref="M23">IF($B23="","",INDEX($AJ$72:$AJ$430,$K23))</f>
        <v>1</v>
      </c>
      <c r="N23" s="384" cm="1">
        <f t="array" ref="N23">IF(OR($B23="",$B$13="",$B$12="",$B$12=0),"",IF($L$22="AUTRE",IFERROR(INDEX($AK$72:$AK$430,$K23)*($B$13/$B$12),""),IF(OR($C$12="",$C$13=""),"",IFERROR(INDEX($AK$72:$AK$430,$K23)*(($B$13*VLOOKUP($C$13,$AY$74:$BA$119,3,FALSE))/($B$12*VLOOKUP($C$12,$AY$74:$BA$119,3,FALSE))),""))))</f>
        <v>2</v>
      </c>
      <c r="O23" s="384" cm="1">
        <f t="array" ref="O23">IF(OR($B23="",$G$12="",$G$11="",$G$11=0),"",IFERROR(INDEX($AK$72:$AK$430,$K23)*($G$12/$G$11),""))</f>
        <v>6</v>
      </c>
      <c r="U23" s="603"/>
      <c r="V23" s="605"/>
      <c r="W23" s="608"/>
      <c r="X23" s="608"/>
      <c r="Y23" s="608"/>
      <c r="Z23" s="608"/>
      <c r="AA23" s="609"/>
      <c r="AC23" s="275"/>
      <c r="AD23" s="386" t="s">
        <v>7991</v>
      </c>
      <c r="AE23" s="387"/>
      <c r="AF23" s="388"/>
      <c r="AG23" s="387"/>
      <c r="AH23" s="387"/>
      <c r="AI23" s="387"/>
      <c r="AJ23" s="387"/>
      <c r="AK23" s="387"/>
      <c r="AL23" s="387"/>
      <c r="AM23" s="387"/>
      <c r="AN23" s="387"/>
      <c r="AO23" s="387"/>
      <c r="AP23" s="387"/>
      <c r="AQ23" s="387"/>
      <c r="BB23" s="271"/>
      <c r="BC23" s="271"/>
      <c r="BD23" s="279">
        <v>1</v>
      </c>
      <c r="BE23" s="271"/>
      <c r="BF23" s="271"/>
      <c r="BG23" s="271"/>
    </row>
    <row r="24" spans="1:59" ht="21.95" customHeight="1" x14ac:dyDescent="0.25">
      <c r="A24" s="374">
        <f>IF($B24="","",2)</f>
        <v>2</v>
      </c>
      <c r="B24" s="375" t="str" cm="1">
        <f t="array" ref="B24">IFERROR(IF(INDEX($AC$72:$AC$430,$K24)="","",INDEX($AC$72:$AC$430,$K24)),"")</f>
        <v>Vin blanc</v>
      </c>
      <c r="C24" s="376" cm="1">
        <f t="array" ref="C24">IF($B24="","",INDEX($AG$72:$AG$430,$K24))</f>
        <v>2</v>
      </c>
      <c r="D24" s="377" t="str" cm="1">
        <f t="array" ref="D24">IF($B24="","",INDEX($AH$72:$AH$430,$K24))</f>
        <v>L</v>
      </c>
      <c r="E24" s="378">
        <f t="shared" si="0"/>
        <v>1.33</v>
      </c>
      <c r="F24" s="379" t="str" cm="1">
        <f t="array" ref="F24">IF($B24="","",IF(UPPER(TRIM($D24))="QT. SUFFISANTE","Qt. suffisante",IF($N24="","",IF($L24="MASSE",IF($N24&gt;=1,"Kg","g"),IF($L24="VOLUME",IF($N24&gt;=1,"L","cl"),INDEX($AL$72:$AL$430,$K24))))))</f>
        <v>L</v>
      </c>
      <c r="G24" s="380">
        <f t="shared" si="1"/>
        <v>4</v>
      </c>
      <c r="H24" s="381" t="str" cm="1">
        <f t="array" ref="H24">IF($B24="","",IF(UPPER(TRIM($D24))="QT. SUFFISANTE","Qt. suffisante",IF($O24="","",IF($L24="MASSE",IF($O24&gt;=1,"Kg","g"),IF($L24="VOLUME",IF($O24&gt;=1,"L","cl"),INDEX($AL$72:$AL$430,$K24))))))</f>
        <v>L</v>
      </c>
      <c r="I24" s="382" t="str" cm="1">
        <f t="array" ref="I24">IF($B24="","",INDEX($AM$72:$AM$430,$K24))</f>
        <v>OK</v>
      </c>
      <c r="J24" s="271"/>
      <c r="K24" s="383">
        <f>1+($B$5-1)*36+2</f>
        <v>183</v>
      </c>
      <c r="L24" s="383" t="str" cm="1">
        <f t="array" ref="L24">IF($B24="","",INDEX($AI$72:$AI$430,$K24))</f>
        <v>VOLUME</v>
      </c>
      <c r="M24" s="383" cm="1">
        <f t="array" ref="M24">IF($B24="","",INDEX($AJ$72:$AJ$430,$K24))</f>
        <v>1</v>
      </c>
      <c r="N24" s="384" cm="1">
        <f t="array" ref="N24">IF(OR($B24="",$B$13="",$B$12="",$B$12=0),"",IF($L$22="AUTRE",IFERROR(INDEX($AK$72:$AK$430,$K24)*($B$13/$B$12),""),IF(OR($C$12="",$C$13=""),"",IFERROR(INDEX($AK$72:$AK$430,$K24)*(($B$13*VLOOKUP($C$13,$AY$74:$BA$119,3,FALSE))/($B$12*VLOOKUP($C$12,$AY$74:$BA$119,3,FALSE))),""))))</f>
        <v>1.3333333333333333</v>
      </c>
      <c r="O24" s="384" cm="1">
        <f t="array" ref="O24">IF(OR($B24="",$G$12="",$G$11="",$G$11=0),"",IFERROR(INDEX($AK$72:$AK$430,$K24)*($G$12/$G$11),""))</f>
        <v>4</v>
      </c>
      <c r="U24" s="610" t="s">
        <v>136</v>
      </c>
      <c r="V24" s="612" t="s">
        <v>7992</v>
      </c>
      <c r="W24" s="614" t="s">
        <v>7993</v>
      </c>
      <c r="X24" s="614"/>
      <c r="Y24" s="614"/>
      <c r="Z24" s="614"/>
      <c r="AA24" s="615"/>
      <c r="AC24" s="275"/>
      <c r="AD24" s="301" t="s">
        <v>7994</v>
      </c>
      <c r="AE24" s="322" t="s">
        <v>339</v>
      </c>
      <c r="AF24" s="303" t="s">
        <v>7995</v>
      </c>
      <c r="AG24" s="389" t="s">
        <v>136</v>
      </c>
      <c r="AH24" s="14"/>
      <c r="AI24" s="304" t="s">
        <v>7996</v>
      </c>
      <c r="AJ24" s="304"/>
      <c r="AK24" s="304"/>
      <c r="AL24" s="304"/>
      <c r="AM24" s="304"/>
      <c r="AN24" s="304"/>
      <c r="AO24" s="304"/>
      <c r="AP24" s="304"/>
      <c r="AQ24" s="304"/>
      <c r="BB24" s="271"/>
      <c r="BC24" s="271"/>
      <c r="BD24" s="279">
        <v>1</v>
      </c>
      <c r="BE24" s="271"/>
      <c r="BF24" s="271"/>
      <c r="BG24" s="271"/>
    </row>
    <row r="25" spans="1:59" ht="21.95" customHeight="1" x14ac:dyDescent="0.25">
      <c r="A25" s="374">
        <f>IF($B25="","",3)</f>
        <v>3</v>
      </c>
      <c r="B25" s="375" t="str" cm="1">
        <f t="array" ref="B25">IFERROR(IF(INDEX($AC$72:$AC$430,$K25)="","",INDEX($AC$72:$AC$430,$K25)),"")</f>
        <v>Huile d’olive</v>
      </c>
      <c r="C25" s="376" cm="1">
        <f t="array" ref="C25">IF($B25="","",INDEX($AG$72:$AG$430,$K25))</f>
        <v>1</v>
      </c>
      <c r="D25" s="377" t="str" cm="1">
        <f t="array" ref="D25">IF($B25="","",INDEX($AH$72:$AH$430,$K25))</f>
        <v>L</v>
      </c>
      <c r="E25" s="378">
        <f t="shared" si="0"/>
        <v>67</v>
      </c>
      <c r="F25" s="379" t="str" cm="1">
        <f t="array" ref="F25">IF($B25="","",IF(UPPER(TRIM($D25))="QT. SUFFISANTE","Qt. suffisante",IF($N25="","",IF($L25="MASSE",IF($N25&gt;=1,"Kg","g"),IF($L25="VOLUME",IF($N25&gt;=1,"L","cl"),INDEX($AL$72:$AL$430,$K25))))))</f>
        <v>cl</v>
      </c>
      <c r="G25" s="380">
        <f t="shared" si="1"/>
        <v>2</v>
      </c>
      <c r="H25" s="381" t="str" cm="1">
        <f t="array" ref="H25">IF($B25="","",IF(UPPER(TRIM($D25))="QT. SUFFISANTE","Qt. suffisante",IF($O25="","",IF($L25="MASSE",IF($O25&gt;=1,"Kg","g"),IF($L25="VOLUME",IF($O25&gt;=1,"L","cl"),INDEX($AL$72:$AL$430,$K25))))))</f>
        <v>L</v>
      </c>
      <c r="I25" s="382" t="str" cm="1">
        <f t="array" ref="I25">IF($B25="","",INDEX($AM$72:$AM$430,$K25))</f>
        <v>OK</v>
      </c>
      <c r="J25" s="271"/>
      <c r="K25" s="383">
        <f>1+($B$5-1)*36+3</f>
        <v>184</v>
      </c>
      <c r="L25" s="383" t="str" cm="1">
        <f t="array" ref="L25">IF($B25="","",INDEX($AI$72:$AI$430,$K25))</f>
        <v>VOLUME</v>
      </c>
      <c r="M25" s="383" cm="1">
        <f t="array" ref="M25">IF($B25="","",INDEX($AJ$72:$AJ$430,$K25))</f>
        <v>1</v>
      </c>
      <c r="N25" s="384" cm="1">
        <f t="array" ref="N25">IF(OR($B25="",$B$13="",$B$12="",$B$12=0),"",IF($L$22="AUTRE",IFERROR(INDEX($AK$72:$AK$430,$K25)*($B$13/$B$12),""),IF(OR($C$12="",$C$13=""),"",IFERROR(INDEX($AK$72:$AK$430,$K25)*(($B$13*VLOOKUP($C$13,$AY$74:$BA$119,3,FALSE))/($B$12*VLOOKUP($C$12,$AY$74:$BA$119,3,FALSE))),""))))</f>
        <v>0.66666666666666663</v>
      </c>
      <c r="O25" s="384" cm="1">
        <f t="array" ref="O25">IF(OR($B25="",$G$12="",$G$11="",$G$11=0),"",IFERROR(INDEX($AK$72:$AK$430,$K25)*($G$12/$G$11),""))</f>
        <v>2</v>
      </c>
      <c r="U25" s="611"/>
      <c r="V25" s="613"/>
      <c r="W25" s="616"/>
      <c r="X25" s="616"/>
      <c r="Y25" s="616"/>
      <c r="Z25" s="616"/>
      <c r="AA25" s="617"/>
      <c r="AC25" s="275"/>
      <c r="AD25" s="301" t="s">
        <v>7994</v>
      </c>
      <c r="AE25" s="322" t="s">
        <v>7997</v>
      </c>
      <c r="AF25" s="303" t="s">
        <v>7998</v>
      </c>
      <c r="AG25" s="390"/>
      <c r="AH25" s="391" t="s">
        <v>7999</v>
      </c>
      <c r="AI25" s="311" t="s">
        <v>8000</v>
      </c>
      <c r="AJ25" s="311"/>
      <c r="AK25" s="311"/>
      <c r="AL25" s="311"/>
      <c r="AM25" s="311"/>
      <c r="AN25" s="311"/>
      <c r="AO25" s="311"/>
      <c r="AP25" s="311"/>
      <c r="AQ25" s="311"/>
      <c r="BB25" s="271"/>
      <c r="BC25" s="271"/>
      <c r="BD25" s="279">
        <v>1</v>
      </c>
      <c r="BE25" s="271"/>
      <c r="BF25" s="271"/>
      <c r="BG25" s="271"/>
    </row>
    <row r="26" spans="1:59" ht="21.95" customHeight="1" x14ac:dyDescent="0.25">
      <c r="A26" s="374">
        <f>IF($B26="","",4)</f>
        <v>4</v>
      </c>
      <c r="B26" s="375" t="str" cm="1">
        <f t="array" ref="B26">IFERROR(IF(INDEX($AC$72:$AC$430,$K26)="","",INDEX($AC$72:$AC$430,$K26)),"")</f>
        <v>Jus de citron (Pulco)</v>
      </c>
      <c r="C26" s="376" cm="1">
        <f t="array" ref="C26">IF($B26="","",INDEX($AG$72:$AG$430,$K26))</f>
        <v>0.75</v>
      </c>
      <c r="D26" s="377" t="str" cm="1">
        <f t="array" ref="D26">IF($B26="","",INDEX($AH$72:$AH$430,$K26))</f>
        <v>L</v>
      </c>
      <c r="E26" s="378">
        <f t="shared" si="0"/>
        <v>50</v>
      </c>
      <c r="F26" s="379" t="str" cm="1">
        <f t="array" ref="F26">IF($B26="","",IF(UPPER(TRIM($D26))="QT. SUFFISANTE","Qt. suffisante",IF($N26="","",IF($L26="MASSE",IF($N26&gt;=1,"Kg","g"),IF($L26="VOLUME",IF($N26&gt;=1,"L","cl"),INDEX($AL$72:$AL$430,$K26))))))</f>
        <v>cl</v>
      </c>
      <c r="G26" s="380">
        <f t="shared" si="1"/>
        <v>1.5</v>
      </c>
      <c r="H26" s="381" t="str" cm="1">
        <f t="array" ref="H26">IF($B26="","",IF(UPPER(TRIM($D26))="QT. SUFFISANTE","Qt. suffisante",IF($O26="","",IF($L26="MASSE",IF($O26&gt;=1,"Kg","g"),IF($L26="VOLUME",IF($O26&gt;=1,"L","cl"),INDEX($AL$72:$AL$430,$K26))))))</f>
        <v>L</v>
      </c>
      <c r="I26" s="382" t="str" cm="1">
        <f t="array" ref="I26">IF($B26="","",INDEX($AM$72:$AM$430,$K26))</f>
        <v>OK</v>
      </c>
      <c r="J26" s="271"/>
      <c r="K26" s="383">
        <f>1+($B$5-1)*36+4</f>
        <v>185</v>
      </c>
      <c r="L26" s="383" t="str" cm="1">
        <f t="array" ref="L26">IF($B26="","",INDEX($AI$72:$AI$430,$K26))</f>
        <v>VOLUME</v>
      </c>
      <c r="M26" s="383" cm="1">
        <f t="array" ref="M26">IF($B26="","",INDEX($AJ$72:$AJ$430,$K26))</f>
        <v>1</v>
      </c>
      <c r="N26" s="384" cm="1">
        <f t="array" ref="N26">IF(OR($B26="",$B$13="",$B$12="",$B$12=0),"",IF($L$22="AUTRE",IFERROR(INDEX($AK$72:$AK$430,$K26)*($B$13/$B$12),""),IF(OR($C$12="",$C$13=""),"",IFERROR(INDEX($AK$72:$AK$430,$K26)*(($B$13*VLOOKUP($C$13,$AY$74:$BA$119,3,FALSE))/($B$12*VLOOKUP($C$12,$AY$74:$BA$119,3,FALSE))),""))))</f>
        <v>0.5</v>
      </c>
      <c r="O26" s="384" cm="1">
        <f t="array" ref="O26">IF(OR($B26="",$G$12="",$G$11="",$G$11=0),"",IFERROR(INDEX($AK$72:$AK$430,$K26)*($G$12/$G$11),""))</f>
        <v>1.5</v>
      </c>
      <c r="U26" s="618" t="s">
        <v>8001</v>
      </c>
      <c r="V26" s="619" t="s">
        <v>8002</v>
      </c>
      <c r="W26" s="620" t="s">
        <v>8003</v>
      </c>
      <c r="X26" s="620"/>
      <c r="Y26" s="620"/>
      <c r="Z26" s="620"/>
      <c r="AA26" s="621"/>
      <c r="AC26" s="275"/>
      <c r="AD26" s="301" t="s">
        <v>8004</v>
      </c>
      <c r="AE26" s="322" t="s">
        <v>8005</v>
      </c>
      <c r="AF26" s="303" t="s">
        <v>8006</v>
      </c>
      <c r="AG26" s="624" t="s">
        <v>8007</v>
      </c>
      <c r="AH26" s="624"/>
      <c r="AI26" s="311" t="s">
        <v>8008</v>
      </c>
      <c r="AJ26" s="311"/>
      <c r="AK26" s="311"/>
      <c r="AL26" s="311"/>
      <c r="AM26" s="311"/>
      <c r="AN26" s="311"/>
      <c r="AO26" s="311"/>
      <c r="AP26" s="311"/>
      <c r="AQ26" s="311"/>
      <c r="BB26" s="271"/>
      <c r="BC26" s="271"/>
      <c r="BD26" s="279">
        <v>1</v>
      </c>
      <c r="BE26" s="271"/>
      <c r="BF26" s="271"/>
      <c r="BG26" s="271"/>
    </row>
    <row r="27" spans="1:59" ht="21.95" customHeight="1" thickBot="1" x14ac:dyDescent="0.3">
      <c r="A27" s="374">
        <f>IF($B27="","",5)</f>
        <v>5</v>
      </c>
      <c r="B27" s="375" t="str" cm="1">
        <f t="array" ref="B27">IFERROR(IF(INDEX($AC$72:$AC$430,$K27)="","",INDEX($AC$72:$AC$430,$K27)),"")</f>
        <v>Bouquet garni</v>
      </c>
      <c r="C27" s="376" cm="1">
        <f t="array" ref="C27">IF($B27="","",INDEX($AG$72:$AG$430,$K27))</f>
        <v>1</v>
      </c>
      <c r="D27" s="377" t="str" cm="1">
        <f t="array" ref="D27">IF($B27="","",INDEX($AH$72:$AH$430,$K27))</f>
        <v>PIÈCE(S)</v>
      </c>
      <c r="E27" s="378">
        <f t="shared" si="0"/>
        <v>1</v>
      </c>
      <c r="F27" s="379" t="str" cm="1">
        <f t="array" ref="F27">IF($B27="","",IF(UPPER(TRIM($D27))="QT. SUFFISANTE","Qt. suffisante",IF($N27="","",IF($L27="MASSE",IF($N27&gt;=1,"Kg","g"),IF($L27="VOLUME",IF($N27&gt;=1,"L","cl"),INDEX($AL$72:$AL$430,$K27))))))</f>
        <v>pièce(s)</v>
      </c>
      <c r="G27" s="380">
        <f t="shared" si="1"/>
        <v>2</v>
      </c>
      <c r="H27" s="381" t="str" cm="1">
        <f t="array" ref="H27">IF($B27="","",IF(UPPER(TRIM($D27))="QT. SUFFISANTE","Qt. suffisante",IF($O27="","",IF($L27="MASSE",IF($O27&gt;=1,"Kg","g"),IF($L27="VOLUME",IF($O27&gt;=1,"L","cl"),INDEX($AL$72:$AL$430,$K27))))))</f>
        <v>pièce(s)</v>
      </c>
      <c r="I27" s="382" t="str" cm="1">
        <f t="array" ref="I27">IF($B27="","",INDEX($AM$72:$AM$430,$K27))</f>
        <v>OK</v>
      </c>
      <c r="J27" s="271"/>
      <c r="K27" s="383">
        <f>1+($B$5-1)*36+5</f>
        <v>186</v>
      </c>
      <c r="L27" s="383" t="str" cm="1">
        <f t="array" ref="L27">IF($B27="","",INDEX($AI$72:$AI$430,$K27))</f>
        <v>AUTRE</v>
      </c>
      <c r="M27" s="383" cm="1">
        <f t="array" ref="M27">IF($B27="","",INDEX($AJ$72:$AJ$430,$K27))</f>
        <v>1</v>
      </c>
      <c r="N27" s="384" cm="1">
        <f t="array" ref="N27">IF(OR($B27="",$B$13="",$B$12="",$B$12=0),"",IF($L$22="AUTRE",IFERROR(INDEX($AK$72:$AK$430,$K27)*($B$13/$B$12),""),IF(OR($C$12="",$C$13=""),"",IFERROR(INDEX($AK$72:$AK$430,$K27)*(($B$13*VLOOKUP($C$13,$AY$74:$BA$119,3,FALSE))/($B$12*VLOOKUP($C$12,$AY$74:$BA$119,3,FALSE))),""))))</f>
        <v>0.66666666666666663</v>
      </c>
      <c r="O27" s="384" cm="1">
        <f t="array" ref="O27">IF(OR($B27="",$G$12="",$G$11="",$G$11=0),"",IFERROR(INDEX($AK$72:$AK$430,$K27)*($G$12/$G$11),""))</f>
        <v>2</v>
      </c>
      <c r="U27" s="588"/>
      <c r="V27" s="590"/>
      <c r="W27" s="622"/>
      <c r="X27" s="622"/>
      <c r="Y27" s="622"/>
      <c r="Z27" s="622"/>
      <c r="AA27" s="623"/>
      <c r="AC27" s="275"/>
      <c r="AD27" s="301" t="s">
        <v>8009</v>
      </c>
      <c r="AE27" s="355" t="s">
        <v>8010</v>
      </c>
      <c r="AF27" s="303" t="s">
        <v>8011</v>
      </c>
      <c r="AG27" s="625" t="s">
        <v>8012</v>
      </c>
      <c r="AH27" s="625"/>
      <c r="AI27" s="304" t="s">
        <v>8013</v>
      </c>
      <c r="AJ27" s="304"/>
      <c r="AK27" s="304"/>
      <c r="AL27" s="304"/>
      <c r="AM27" s="304"/>
      <c r="AN27" s="304"/>
      <c r="AO27" s="304"/>
      <c r="AP27" s="304"/>
      <c r="AQ27" s="304"/>
      <c r="BB27" s="271"/>
      <c r="BC27" s="271"/>
      <c r="BD27" s="279">
        <v>1</v>
      </c>
      <c r="BE27" s="271"/>
      <c r="BF27" s="271"/>
      <c r="BG27" s="271"/>
    </row>
    <row r="28" spans="1:59" ht="21.95" customHeight="1" x14ac:dyDescent="0.25">
      <c r="A28" s="374">
        <f>IF($B28="","",6)</f>
        <v>6</v>
      </c>
      <c r="B28" s="375" t="str" cm="1">
        <f t="array" ref="B28">IFERROR(IF(INDEX($AC$72:$AC$430,$K28)="","",INDEX($AC$72:$AC$430,$K28)),"")</f>
        <v>Gros sel</v>
      </c>
      <c r="C28" s="376" cm="1">
        <f t="array" ref="C28">IF($B28="","",INDEX($AG$72:$AG$430,$K28))</f>
        <v>60</v>
      </c>
      <c r="D28" s="377" t="str" cm="1">
        <f t="array" ref="D28">IF($B28="","",INDEX($AH$72:$AH$430,$K28))</f>
        <v>G</v>
      </c>
      <c r="E28" s="378">
        <f t="shared" si="0"/>
        <v>40</v>
      </c>
      <c r="F28" s="379" t="str" cm="1">
        <f t="array" ref="F28">IF($B28="","",IF(UPPER(TRIM($D28))="QT. SUFFISANTE","Qt. suffisante",IF($N28="","",IF($L28="MASSE",IF($N28&gt;=1,"Kg","g"),IF($L28="VOLUME",IF($N28&gt;=1,"L","cl"),INDEX($AL$72:$AL$430,$K28))))))</f>
        <v>g</v>
      </c>
      <c r="G28" s="380">
        <f t="shared" si="1"/>
        <v>120</v>
      </c>
      <c r="H28" s="381" t="str" cm="1">
        <f t="array" ref="H28">IF($B28="","",IF(UPPER(TRIM($D28))="QT. SUFFISANTE","Qt. suffisante",IF($O28="","",IF($L28="MASSE",IF($O28&gt;=1,"Kg","g"),IF($L28="VOLUME",IF($O28&gt;=1,"L","cl"),INDEX($AL$72:$AL$430,$K28))))))</f>
        <v>g</v>
      </c>
      <c r="I28" s="382" t="str" cm="1">
        <f t="array" ref="I28">IF($B28="","",INDEX($AM$72:$AM$430,$K28))</f>
        <v>OK</v>
      </c>
      <c r="J28" s="271"/>
      <c r="K28" s="383">
        <f>1+($B$5-1)*36+6</f>
        <v>187</v>
      </c>
      <c r="L28" s="383" t="str" cm="1">
        <f t="array" ref="L28">IF($B28="","",INDEX($AI$72:$AI$430,$K28))</f>
        <v>MASSE</v>
      </c>
      <c r="M28" s="383" cm="1">
        <f t="array" ref="M28">IF($B28="","",INDEX($AJ$72:$AJ$430,$K28))</f>
        <v>1E-3</v>
      </c>
      <c r="N28" s="384" cm="1">
        <f t="array" ref="N28">IF(OR($B28="",$B$13="",$B$12="",$B$12=0),"",IF($L$22="AUTRE",IFERROR(INDEX($AK$72:$AK$430,$K28)*($B$13/$B$12),""),IF(OR($C$12="",$C$13=""),"",IFERROR(INDEX($AK$72:$AK$430,$K28)*(($B$13*VLOOKUP($C$13,$AY$74:$BA$119,3,FALSE))/($B$12*VLOOKUP($C$12,$AY$74:$BA$119,3,FALSE))),""))))</f>
        <v>3.9999999999999994E-2</v>
      </c>
      <c r="O28" s="384" cm="1">
        <f t="array" ref="O28">IF(OR($B28="",$G$12="",$G$11="",$G$11=0),"",IFERROR(INDEX($AK$72:$AK$430,$K28)*($G$12/$G$11),""))</f>
        <v>0.12</v>
      </c>
      <c r="U28" s="595" t="s">
        <v>8014</v>
      </c>
      <c r="V28" s="392" t="s">
        <v>4</v>
      </c>
      <c r="W28" s="597" t="s">
        <v>8015</v>
      </c>
      <c r="X28" s="597"/>
      <c r="Y28" s="597"/>
      <c r="Z28" s="597"/>
      <c r="AA28" s="598"/>
      <c r="AC28" s="275"/>
      <c r="AD28" s="328" t="s">
        <v>8016</v>
      </c>
      <c r="AE28" s="329"/>
      <c r="AF28" s="330"/>
      <c r="AG28" s="329"/>
      <c r="AH28" s="329"/>
      <c r="AI28" s="329"/>
      <c r="AJ28" s="329"/>
      <c r="AK28" s="329"/>
      <c r="AL28" s="329"/>
      <c r="AM28" s="329"/>
      <c r="AN28" s="329"/>
      <c r="AO28" s="329"/>
      <c r="AP28" s="329"/>
      <c r="AQ28" s="329"/>
      <c r="BB28" s="271"/>
      <c r="BC28" s="271"/>
      <c r="BD28" s="279">
        <v>1</v>
      </c>
      <c r="BE28" s="271"/>
      <c r="BF28" s="271"/>
      <c r="BG28" s="271"/>
    </row>
    <row r="29" spans="1:59" ht="21.95" customHeight="1" x14ac:dyDescent="0.25">
      <c r="A29" s="374">
        <f>IF($B29="","",7)</f>
        <v>7</v>
      </c>
      <c r="B29" s="375" t="str" cm="1">
        <f t="array" ref="B29">IFERROR(IF(INDEX($AC$72:$AC$430,$K29)="","",INDEX($AC$72:$AC$430,$K29)),"")</f>
        <v>Poivre blanc moulu</v>
      </c>
      <c r="C29" s="376" cm="1">
        <f t="array" ref="C29">IF($B29="","",INDEX($AG$72:$AG$430,$K29))</f>
        <v>7</v>
      </c>
      <c r="D29" s="377" t="str" cm="1">
        <f t="array" ref="D29">IF($B29="","",INDEX($AH$72:$AH$430,$K29))</f>
        <v>G</v>
      </c>
      <c r="E29" s="378">
        <f t="shared" si="0"/>
        <v>5</v>
      </c>
      <c r="F29" s="379" t="str" cm="1">
        <f t="array" ref="F29">IF($B29="","",IF(UPPER(TRIM($D29))="QT. SUFFISANTE","Qt. suffisante",IF($N29="","",IF($L29="MASSE",IF($N29&gt;=1,"Kg","g"),IF($L29="VOLUME",IF($N29&gt;=1,"L","cl"),INDEX($AL$72:$AL$430,$K29))))))</f>
        <v>g</v>
      </c>
      <c r="G29" s="380">
        <f t="shared" si="1"/>
        <v>14</v>
      </c>
      <c r="H29" s="381" t="str" cm="1">
        <f t="array" ref="H29">IF($B29="","",IF(UPPER(TRIM($D29))="QT. SUFFISANTE","Qt. suffisante",IF($O29="","",IF($L29="MASSE",IF($O29&gt;=1,"Kg","g"),IF($L29="VOLUME",IF($O29&gt;=1,"L","cl"),INDEX($AL$72:$AL$430,$K29))))))</f>
        <v>g</v>
      </c>
      <c r="I29" s="382" t="str" cm="1">
        <f t="array" ref="I29">IF($B29="","",INDEX($AM$72:$AM$430,$K29))</f>
        <v>OK</v>
      </c>
      <c r="J29" s="271"/>
      <c r="K29" s="383">
        <f>1+($B$5-1)*36+7</f>
        <v>188</v>
      </c>
      <c r="L29" s="383" t="str" cm="1">
        <f t="array" ref="L29">IF($B29="","",INDEX($AI$72:$AI$430,$K29))</f>
        <v>MASSE</v>
      </c>
      <c r="M29" s="383" cm="1">
        <f t="array" ref="M29">IF($B29="","",INDEX($AJ$72:$AJ$430,$K29))</f>
        <v>1E-3</v>
      </c>
      <c r="N29" s="384" cm="1">
        <f t="array" ref="N29">IF(OR($B29="",$B$13="",$B$12="",$B$12=0),"",IF($L$22="AUTRE",IFERROR(INDEX($AK$72:$AK$430,$K29)*($B$13/$B$12),""),IF(OR($C$12="",$C$13=""),"",IFERROR(INDEX($AK$72:$AK$430,$K29)*(($B$13*VLOOKUP($C$13,$AY$74:$BA$119,3,FALSE))/($B$12*VLOOKUP($C$12,$AY$74:$BA$119,3,FALSE))),""))))</f>
        <v>4.6666666666666662E-3</v>
      </c>
      <c r="O29" s="384" cm="1">
        <f t="array" ref="O29">IF(OR($B29="",$G$12="",$G$11="",$G$11=0),"",IFERROR(INDEX($AK$72:$AK$430,$K29)*($G$12/$G$11),""))</f>
        <v>1.4E-2</v>
      </c>
      <c r="U29" s="596"/>
      <c r="V29" s="393"/>
      <c r="W29" s="599"/>
      <c r="X29" s="599"/>
      <c r="Y29" s="599"/>
      <c r="Z29" s="599"/>
      <c r="AA29" s="600"/>
      <c r="AC29" s="275"/>
      <c r="AD29" s="319" t="s">
        <v>8017</v>
      </c>
      <c r="AE29" s="394" t="s">
        <v>8018</v>
      </c>
      <c r="AF29" s="395" t="s">
        <v>8019</v>
      </c>
      <c r="AG29" s="601" t="s">
        <v>8020</v>
      </c>
      <c r="AH29" s="601"/>
      <c r="AI29" s="304" t="s">
        <v>8021</v>
      </c>
      <c r="AJ29" s="304"/>
      <c r="AK29" s="304"/>
      <c r="AL29" s="304"/>
      <c r="AM29" s="304"/>
      <c r="AN29" s="304"/>
      <c r="AO29" s="304"/>
      <c r="AP29" s="304"/>
      <c r="AQ29" s="304"/>
      <c r="BB29" s="271"/>
      <c r="BC29" s="271"/>
      <c r="BD29" s="279">
        <v>1</v>
      </c>
      <c r="BE29" s="271"/>
      <c r="BF29" s="271"/>
      <c r="BG29" s="271"/>
    </row>
    <row r="30" spans="1:59" ht="21.95" customHeight="1" x14ac:dyDescent="0.25">
      <c r="A30" s="374">
        <f>IF($B30="","",8)</f>
        <v>8</v>
      </c>
      <c r="B30" s="375" t="str" cm="1">
        <f t="array" ref="B30">IFERROR(IF(INDEX($AC$72:$AC$430,$K30)="","",INDEX($AC$72:$AC$430,$K30)),"")</f>
        <v>Coriandre en grain</v>
      </c>
      <c r="C30" s="376" cm="1">
        <f t="array" ref="C30">IF($B30="","",INDEX($AG$72:$AG$430,$K30))</f>
        <v>12</v>
      </c>
      <c r="D30" s="377" t="str" cm="1">
        <f t="array" ref="D30">IF($B30="","",INDEX($AH$72:$AH$430,$K30))</f>
        <v>G</v>
      </c>
      <c r="E30" s="378">
        <f t="shared" si="0"/>
        <v>8</v>
      </c>
      <c r="F30" s="379" t="str" cm="1">
        <f t="array" ref="F30">IF($B30="","",IF(UPPER(TRIM($D30))="QT. SUFFISANTE","Qt. suffisante",IF($N30="","",IF($L30="MASSE",IF($N30&gt;=1,"Kg","g"),IF($L30="VOLUME",IF($N30&gt;=1,"L","cl"),INDEX($AL$72:$AL$430,$K30))))))</f>
        <v>g</v>
      </c>
      <c r="G30" s="380">
        <f t="shared" si="1"/>
        <v>24</v>
      </c>
      <c r="H30" s="381" t="str" cm="1">
        <f t="array" ref="H30">IF($B30="","",IF(UPPER(TRIM($D30))="QT. SUFFISANTE","Qt. suffisante",IF($O30="","",IF($L30="MASSE",IF($O30&gt;=1,"Kg","g"),IF($L30="VOLUME",IF($O30&gt;=1,"L","cl"),INDEX($AL$72:$AL$430,$K30))))))</f>
        <v>g</v>
      </c>
      <c r="I30" s="382" t="str" cm="1">
        <f t="array" ref="I30">IF($B30="","",INDEX($AM$72:$AM$430,$K30))</f>
        <v>OK</v>
      </c>
      <c r="J30" s="271"/>
      <c r="K30" s="383">
        <f>1+($B$5-1)*36+8</f>
        <v>189</v>
      </c>
      <c r="L30" s="383" t="str" cm="1">
        <f t="array" ref="L30">IF($B30="","",INDEX($AI$72:$AI$430,$K30))</f>
        <v>MASSE</v>
      </c>
      <c r="M30" s="383" cm="1">
        <f t="array" ref="M30">IF($B30="","",INDEX($AJ$72:$AJ$430,$K30))</f>
        <v>1E-3</v>
      </c>
      <c r="N30" s="384" cm="1">
        <f t="array" ref="N30">IF(OR($B30="",$B$13="",$B$12="",$B$12=0),"",IF($L$22="AUTRE",IFERROR(INDEX($AK$72:$AK$430,$K30)*($B$13/$B$12),""),IF(OR($C$12="",$C$13=""),"",IFERROR(INDEX($AK$72:$AK$430,$K30)*(($B$13*VLOOKUP($C$13,$AY$74:$BA$119,3,FALSE))/($B$12*VLOOKUP($C$12,$AY$74:$BA$119,3,FALSE))),""))))</f>
        <v>8.0000000000000002E-3</v>
      </c>
      <c r="O30" s="384" cm="1">
        <f t="array" ref="O30">IF(OR($B30="",$G$12="",$G$11="",$G$11=0),"",IFERROR(INDEX($AK$72:$AK$430,$K30)*($G$12/$G$11),""))</f>
        <v>2.4E-2</v>
      </c>
      <c r="U30" s="626" t="s">
        <v>8022</v>
      </c>
      <c r="V30" s="627"/>
      <c r="W30" s="627"/>
      <c r="X30" s="627"/>
      <c r="Y30" s="627"/>
      <c r="Z30" s="627"/>
      <c r="AA30" s="628"/>
      <c r="AC30" s="275"/>
      <c r="AD30" s="319" t="s">
        <v>8017</v>
      </c>
      <c r="AE30" s="320" t="s">
        <v>8023</v>
      </c>
      <c r="AF30" s="395" t="s">
        <v>8024</v>
      </c>
      <c r="AG30" s="629" t="s">
        <v>7</v>
      </c>
      <c r="AH30" s="629"/>
      <c r="AI30" s="304" t="s">
        <v>8025</v>
      </c>
      <c r="AJ30" s="304"/>
      <c r="AK30" s="304"/>
      <c r="AL30" s="304"/>
      <c r="AM30" s="304"/>
      <c r="AN30" s="304"/>
      <c r="AO30" s="304"/>
      <c r="AP30" s="304"/>
      <c r="AQ30" s="304"/>
      <c r="BB30" s="271"/>
      <c r="BC30" s="271"/>
      <c r="BD30" s="279">
        <v>1</v>
      </c>
      <c r="BE30" s="271"/>
      <c r="BF30" s="271"/>
      <c r="BG30" s="271"/>
    </row>
    <row r="31" spans="1:59" ht="21.95" customHeight="1" x14ac:dyDescent="0.25">
      <c r="A31" s="374">
        <f>IF($B31="","",9)</f>
        <v>9</v>
      </c>
      <c r="B31" s="375" t="str" cm="1">
        <f t="array" ref="B31">IFERROR(IF(INDEX($AC$72:$AC$430,$K31)="","",INDEX($AC$72:$AC$430,$K31)),"")</f>
        <v>Tomates en cubes surgelées</v>
      </c>
      <c r="C31" s="376" cm="1">
        <f t="array" ref="C31">IF($B31="","",INDEX($AG$72:$AG$430,$K31))</f>
        <v>2</v>
      </c>
      <c r="D31" s="377" t="str" cm="1">
        <f t="array" ref="D31">IF($B31="","",INDEX($AH$72:$AH$430,$K31))</f>
        <v>KG</v>
      </c>
      <c r="E31" s="378">
        <f t="shared" si="0"/>
        <v>1.33</v>
      </c>
      <c r="F31" s="379" t="str" cm="1">
        <f t="array" ref="F31">IF($B31="","",IF(UPPER(TRIM($D31))="QT. SUFFISANTE","Qt. suffisante",IF($N31="","",IF($L31="MASSE",IF($N31&gt;=1,"Kg","g"),IF($L31="VOLUME",IF($N31&gt;=1,"L","cl"),INDEX($AL$72:$AL$430,$K31))))))</f>
        <v>Kg</v>
      </c>
      <c r="G31" s="380">
        <f t="shared" si="1"/>
        <v>4</v>
      </c>
      <c r="H31" s="381" t="str" cm="1">
        <f t="array" ref="H31">IF($B31="","",IF(UPPER(TRIM($D31))="QT. SUFFISANTE","Qt. suffisante",IF($O31="","",IF($L31="MASSE",IF($O31&gt;=1,"Kg","g"),IF($L31="VOLUME",IF($O31&gt;=1,"L","cl"),INDEX($AL$72:$AL$430,$K31))))))</f>
        <v>Kg</v>
      </c>
      <c r="I31" s="382" t="str" cm="1">
        <f t="array" ref="I31">IF($B31="","",INDEX($AM$72:$AM$430,$K31))</f>
        <v>OK</v>
      </c>
      <c r="J31" s="271"/>
      <c r="K31" s="383">
        <f>1+($B$5-1)*36+9</f>
        <v>190</v>
      </c>
      <c r="L31" s="383" t="str" cm="1">
        <f t="array" ref="L31">IF($B31="","",INDEX($AI$72:$AI$430,$K31))</f>
        <v>MASSE</v>
      </c>
      <c r="M31" s="383" cm="1">
        <f t="array" ref="M31">IF($B31="","",INDEX($AJ$72:$AJ$430,$K31))</f>
        <v>1</v>
      </c>
      <c r="N31" s="384" cm="1">
        <f t="array" ref="N31">IF(OR($B31="",$B$13="",$B$12="",$B$12=0),"",IF($L$22="AUTRE",IFERROR(INDEX($AK$72:$AK$430,$K31)*($B$13/$B$12),""),IF(OR($C$12="",$C$13=""),"",IFERROR(INDEX($AK$72:$AK$430,$K31)*(($B$13*VLOOKUP($C$13,$AY$74:$BA$119,3,FALSE))/($B$12*VLOOKUP($C$12,$AY$74:$BA$119,3,FALSE))),""))))</f>
        <v>1.3333333333333333</v>
      </c>
      <c r="O31" s="384" cm="1">
        <f t="array" ref="O31">IF(OR($B31="",$G$12="",$G$11="",$G$11=0),"",IFERROR(INDEX($AK$72:$AK$430,$K31)*($G$12/$G$11),""))</f>
        <v>4</v>
      </c>
      <c r="U31" s="630" t="s">
        <v>8026</v>
      </c>
      <c r="V31" s="631"/>
      <c r="W31" s="632" t="s">
        <v>8027</v>
      </c>
      <c r="X31" s="632"/>
      <c r="Y31" s="632"/>
      <c r="Z31" s="632"/>
      <c r="AA31" s="633"/>
      <c r="AC31" s="275"/>
      <c r="AD31" s="319" t="s">
        <v>8017</v>
      </c>
      <c r="AE31" s="320" t="s">
        <v>330</v>
      </c>
      <c r="AF31" s="395" t="s">
        <v>8028</v>
      </c>
      <c r="AG31" s="634" t="s">
        <v>8029</v>
      </c>
      <c r="AH31" s="634"/>
      <c r="AI31" s="304" t="s">
        <v>8030</v>
      </c>
      <c r="AJ31" s="304"/>
      <c r="AK31" s="304"/>
      <c r="AL31" s="304"/>
      <c r="AM31" s="304"/>
      <c r="AN31" s="304"/>
      <c r="AO31" s="304"/>
      <c r="AP31" s="304"/>
      <c r="AQ31" s="304"/>
      <c r="BB31" s="271"/>
      <c r="BC31" s="271"/>
      <c r="BD31" s="279">
        <v>1</v>
      </c>
      <c r="BE31" s="271"/>
      <c r="BF31" s="271"/>
      <c r="BG31" s="271"/>
    </row>
    <row r="32" spans="1:59" ht="21.95" customHeight="1" x14ac:dyDescent="0.25">
      <c r="A32" s="374" t="str">
        <f>IF($B32="","",10)</f>
        <v/>
      </c>
      <c r="B32" s="375" t="str" cm="1">
        <f t="array" ref="B32">IFERROR(IF(INDEX($AC$72:$AC$430,$K32)="","",INDEX($AC$72:$AC$430,$K32)),"")</f>
        <v/>
      </c>
      <c r="C32" s="376" t="str" cm="1">
        <f t="array" ref="C32">IF($B32="","",INDEX($AG$72:$AG$430,$K32))</f>
        <v/>
      </c>
      <c r="D32" s="377" t="str" cm="1">
        <f t="array" ref="D32">IF($B32="","",INDEX($AH$72:$AH$430,$K32))</f>
        <v/>
      </c>
      <c r="E32" s="378" t="str">
        <f t="shared" si="0"/>
        <v/>
      </c>
      <c r="F32" s="379" t="str" cm="1">
        <f t="array" ref="F32">IF($B32="","",IF(UPPER(TRIM($D32))="QT. SUFFISANTE","Qt. suffisante",IF($N32="","",IF($L32="MASSE",IF($N32&gt;=1,"Kg","g"),IF($L32="VOLUME",IF($N32&gt;=1,"L","cl"),INDEX($AL$72:$AL$430,$K32))))))</f>
        <v/>
      </c>
      <c r="G32" s="380" t="str">
        <f t="shared" si="1"/>
        <v/>
      </c>
      <c r="H32" s="381" t="str" cm="1">
        <f t="array" ref="H32">IF($B32="","",IF(UPPER(TRIM($D32))="QT. SUFFISANTE","Qt. suffisante",IF($O32="","",IF($L32="MASSE",IF($O32&gt;=1,"Kg","g"),IF($L32="VOLUME",IF($O32&gt;=1,"L","cl"),INDEX($AL$72:$AL$430,$K32))))))</f>
        <v/>
      </c>
      <c r="I32" s="382" t="str" cm="1">
        <f t="array" ref="I32">IF($B32="","",INDEX($AM$72:$AM$430,$K32))</f>
        <v/>
      </c>
      <c r="J32" s="271"/>
      <c r="K32" s="383">
        <f>1+($B$5-1)*36+10</f>
        <v>191</v>
      </c>
      <c r="L32" s="383" t="str" cm="1">
        <f t="array" ref="L32">IF($B32="","",INDEX($AI$72:$AI$430,$K32))</f>
        <v/>
      </c>
      <c r="M32" s="383" t="str" cm="1">
        <f t="array" ref="M32">IF($B32="","",INDEX($AJ$72:$AJ$430,$K32))</f>
        <v/>
      </c>
      <c r="N32" s="384" t="str" cm="1">
        <f t="array" ref="N32">IF(OR($B32="",$B$13="",$B$12="",$B$12=0),"",IF($L$22="AUTRE",IFERROR(INDEX($AK$72:$AK$430,$K32)*($B$13/$B$12),""),IF(OR($C$12="",$C$13=""),"",IFERROR(INDEX($AK$72:$AK$430,$K32)*(($B$13*VLOOKUP($C$13,$AY$74:$BA$119,3,FALSE))/($B$12*VLOOKUP($C$12,$AY$74:$BA$119,3,FALSE))),""))))</f>
        <v/>
      </c>
      <c r="O32" s="384" t="str" cm="1">
        <f t="array" ref="O32">IF(OR($B32="",$G$12="",$G$11="",$G$11=0),"",IFERROR(INDEX($AK$72:$AK$430,$K32)*($G$12/$G$11),""))</f>
        <v/>
      </c>
      <c r="U32" s="630"/>
      <c r="V32" s="631"/>
      <c r="W32" s="632"/>
      <c r="X32" s="632"/>
      <c r="Y32" s="632"/>
      <c r="Z32" s="632"/>
      <c r="AA32" s="633"/>
      <c r="AC32" s="275"/>
      <c r="AD32" s="319" t="s">
        <v>8017</v>
      </c>
      <c r="AE32" s="320" t="s">
        <v>8031</v>
      </c>
      <c r="AF32" s="395" t="s">
        <v>8032</v>
      </c>
      <c r="AG32" s="634" t="s">
        <v>8033</v>
      </c>
      <c r="AH32" s="634"/>
      <c r="AI32" s="311" t="s">
        <v>8034</v>
      </c>
      <c r="AJ32" s="311"/>
      <c r="AK32" s="311"/>
      <c r="AL32" s="311"/>
      <c r="AM32" s="311"/>
      <c r="AN32" s="311"/>
      <c r="AO32" s="311"/>
      <c r="AP32" s="311"/>
      <c r="AQ32" s="311"/>
      <c r="BB32" s="271"/>
      <c r="BC32" s="271"/>
      <c r="BD32" s="279">
        <v>1</v>
      </c>
      <c r="BE32" s="271"/>
      <c r="BF32" s="271"/>
      <c r="BG32" s="271"/>
    </row>
    <row r="33" spans="1:59" ht="21.95" customHeight="1" x14ac:dyDescent="0.25">
      <c r="A33" s="374" t="str">
        <f>IF($B33="","",11)</f>
        <v/>
      </c>
      <c r="B33" s="375" t="str" cm="1">
        <f t="array" ref="B33">IFERROR(IF(INDEX($AC$72:$AC$430,$K33)="","",INDEX($AC$72:$AC$430,$K33)),"")</f>
        <v/>
      </c>
      <c r="C33" s="376" t="str" cm="1">
        <f t="array" ref="C33">IF($B33="","",INDEX($AG$72:$AG$430,$K33))</f>
        <v/>
      </c>
      <c r="D33" s="377" t="str" cm="1">
        <f t="array" ref="D33">IF($B33="","",INDEX($AH$72:$AH$430,$K33))</f>
        <v/>
      </c>
      <c r="E33" s="378" t="str">
        <f t="shared" si="0"/>
        <v/>
      </c>
      <c r="F33" s="379" t="str" cm="1">
        <f t="array" ref="F33">IF($B33="","",IF(UPPER(TRIM($D33))="QT. SUFFISANTE","Qt. suffisante",IF($N33="","",IF($L33="MASSE",IF($N33&gt;=1,"Kg","g"),IF($L33="VOLUME",IF($N33&gt;=1,"L","cl"),INDEX($AL$72:$AL$430,$K33))))))</f>
        <v/>
      </c>
      <c r="G33" s="380" t="str">
        <f t="shared" si="1"/>
        <v/>
      </c>
      <c r="H33" s="381" t="str" cm="1">
        <f t="array" ref="H33">IF($B33="","",IF(UPPER(TRIM($D33))="QT. SUFFISANTE","Qt. suffisante",IF($O33="","",IF($L33="MASSE",IF($O33&gt;=1,"Kg","g"),IF($L33="VOLUME",IF($O33&gt;=1,"L","cl"),INDEX($AL$72:$AL$430,$K33))))))</f>
        <v/>
      </c>
      <c r="I33" s="382" t="str" cm="1">
        <f t="array" ref="I33">IF($B33="","",INDEX($AM$72:$AM$430,$K33))</f>
        <v/>
      </c>
      <c r="J33" s="271"/>
      <c r="K33" s="383">
        <f>1+($B$5-1)*36+11</f>
        <v>192</v>
      </c>
      <c r="L33" s="383" t="str" cm="1">
        <f t="array" ref="L33">IF($B33="","",INDEX($AI$72:$AI$430,$K33))</f>
        <v/>
      </c>
      <c r="M33" s="383" t="str" cm="1">
        <f t="array" ref="M33">IF($B33="","",INDEX($AJ$72:$AJ$430,$K33))</f>
        <v/>
      </c>
      <c r="N33" s="384" t="str" cm="1">
        <f t="array" ref="N33">IF(OR($B33="",$B$13="",$B$12="",$B$12=0),"",IF($L$22="AUTRE",IFERROR(INDEX($AK$72:$AK$430,$K33)*($B$13/$B$12),""),IF(OR($C$12="",$C$13=""),"",IFERROR(INDEX($AK$72:$AK$430,$K33)*(($B$13*VLOOKUP($C$13,$AY$74:$BA$119,3,FALSE))/($B$12*VLOOKUP($C$12,$AY$74:$BA$119,3,FALSE))),""))))</f>
        <v/>
      </c>
      <c r="O33" s="384" t="str" cm="1">
        <f t="array" ref="O33">IF(OR($B33="",$G$12="",$G$11="",$G$11=0),"",IFERROR(INDEX($AK$72:$AK$430,$K33)*($G$12/$G$11),""))</f>
        <v/>
      </c>
      <c r="U33" s="635" t="s">
        <v>8035</v>
      </c>
      <c r="V33" s="636"/>
      <c r="W33" s="637" t="s">
        <v>8036</v>
      </c>
      <c r="X33" s="637"/>
      <c r="Y33" s="637"/>
      <c r="Z33" s="637"/>
      <c r="AA33" s="638"/>
      <c r="AC33" s="275"/>
      <c r="AD33" s="319" t="s">
        <v>8017</v>
      </c>
      <c r="AE33" s="394" t="s">
        <v>8037</v>
      </c>
      <c r="AF33" s="395" t="s">
        <v>8038</v>
      </c>
      <c r="AG33" s="634" t="s">
        <v>8039</v>
      </c>
      <c r="AH33" s="634"/>
      <c r="AI33" s="311" t="s">
        <v>8040</v>
      </c>
      <c r="AJ33" s="311"/>
      <c r="AK33" s="311"/>
      <c r="AL33" s="311"/>
      <c r="AM33" s="311"/>
      <c r="AN33" s="311"/>
      <c r="AO33" s="311"/>
      <c r="AP33" s="311"/>
      <c r="AQ33" s="311"/>
      <c r="BB33" s="271"/>
      <c r="BC33" s="271"/>
      <c r="BD33" s="279">
        <v>1</v>
      </c>
      <c r="BE33" s="271"/>
      <c r="BF33" s="271"/>
      <c r="BG33" s="271"/>
    </row>
    <row r="34" spans="1:59" ht="21.95" customHeight="1" x14ac:dyDescent="0.25">
      <c r="A34" s="374" t="str">
        <f>IF($B34="","",12)</f>
        <v/>
      </c>
      <c r="B34" s="375" t="str" cm="1">
        <f t="array" ref="B34">IFERROR(IF(INDEX($AC$72:$AC$430,$K34)="","",INDEX($AC$72:$AC$430,$K34)),"")</f>
        <v/>
      </c>
      <c r="C34" s="376" t="str" cm="1">
        <f t="array" ref="C34">IF($B34="","",INDEX($AG$72:$AG$430,$K34))</f>
        <v/>
      </c>
      <c r="D34" s="377" t="str" cm="1">
        <f t="array" ref="D34">IF($B34="","",INDEX($AH$72:$AH$430,$K34))</f>
        <v/>
      </c>
      <c r="E34" s="378" t="str">
        <f t="shared" si="0"/>
        <v/>
      </c>
      <c r="F34" s="379" t="str" cm="1">
        <f t="array" ref="F34">IF($B34="","",IF(UPPER(TRIM($D34))="QT. SUFFISANTE","Qt. suffisante",IF($N34="","",IF($L34="MASSE",IF($N34&gt;=1,"Kg","g"),IF($L34="VOLUME",IF($N34&gt;=1,"L","cl"),INDEX($AL$72:$AL$430,$K34))))))</f>
        <v/>
      </c>
      <c r="G34" s="380" t="str">
        <f t="shared" si="1"/>
        <v/>
      </c>
      <c r="H34" s="381" t="str" cm="1">
        <f t="array" ref="H34">IF($B34="","",IF(UPPER(TRIM($D34))="QT. SUFFISANTE","Qt. suffisante",IF($O34="","",IF($L34="MASSE",IF($O34&gt;=1,"Kg","g"),IF($L34="VOLUME",IF($O34&gt;=1,"L","cl"),INDEX($AL$72:$AL$430,$K34))))))</f>
        <v/>
      </c>
      <c r="I34" s="382" t="str" cm="1">
        <f t="array" ref="I34">IF($B34="","",INDEX($AM$72:$AM$430,$K34))</f>
        <v/>
      </c>
      <c r="J34" s="271"/>
      <c r="K34" s="383">
        <f>1+($B$5-1)*36+12</f>
        <v>193</v>
      </c>
      <c r="L34" s="383" t="str" cm="1">
        <f t="array" ref="L34">IF($B34="","",INDEX($AI$72:$AI$430,$K34))</f>
        <v/>
      </c>
      <c r="M34" s="383" t="str" cm="1">
        <f t="array" ref="M34">IF($B34="","",INDEX($AJ$72:$AJ$430,$K34))</f>
        <v/>
      </c>
      <c r="N34" s="384" t="str" cm="1">
        <f t="array" ref="N34">IF(OR($B34="",$B$13="",$B$12="",$B$12=0),"",IF($L$22="AUTRE",IFERROR(INDEX($AK$72:$AK$430,$K34)*($B$13/$B$12),""),IF(OR($C$12="",$C$13=""),"",IFERROR(INDEX($AK$72:$AK$430,$K34)*(($B$13*VLOOKUP($C$13,$AY$74:$BA$119,3,FALSE))/($B$12*VLOOKUP($C$12,$AY$74:$BA$119,3,FALSE))),""))))</f>
        <v/>
      </c>
      <c r="O34" s="384" t="str" cm="1">
        <f t="array" ref="O34">IF(OR($B34="",$G$12="",$G$11="",$G$11=0),"",IFERROR(INDEX($AK$72:$AK$430,$K34)*($G$12/$G$11),""))</f>
        <v/>
      </c>
      <c r="U34" s="635"/>
      <c r="V34" s="636"/>
      <c r="W34" s="637"/>
      <c r="X34" s="637"/>
      <c r="Y34" s="637"/>
      <c r="Z34" s="637"/>
      <c r="AA34" s="638"/>
      <c r="AC34" s="275"/>
      <c r="AD34" s="319" t="s">
        <v>8017</v>
      </c>
      <c r="AE34" s="320" t="s">
        <v>8041</v>
      </c>
      <c r="AF34" s="395" t="s">
        <v>8042</v>
      </c>
      <c r="AG34" s="634" t="s">
        <v>8043</v>
      </c>
      <c r="AH34" s="634"/>
      <c r="AI34" s="311" t="s">
        <v>8044</v>
      </c>
      <c r="AJ34" s="311"/>
      <c r="AK34" s="311"/>
      <c r="AL34" s="311"/>
      <c r="AM34" s="311"/>
      <c r="AN34" s="311"/>
      <c r="AO34" s="311"/>
      <c r="AP34" s="311"/>
      <c r="AQ34" s="311"/>
      <c r="BB34" s="271"/>
      <c r="BC34" s="271"/>
      <c r="BD34" s="279">
        <v>1</v>
      </c>
      <c r="BE34" s="271"/>
      <c r="BF34" s="271"/>
      <c r="BG34" s="271"/>
    </row>
    <row r="35" spans="1:59" ht="21.95" customHeight="1" thickBot="1" x14ac:dyDescent="0.3">
      <c r="A35" s="374" t="str">
        <f>IF($B35="","",13)</f>
        <v/>
      </c>
      <c r="B35" s="375" t="str" cm="1">
        <f t="array" ref="B35">IFERROR(IF(INDEX($AC$72:$AC$430,$K35)="","",INDEX($AC$72:$AC$430,$K35)),"")</f>
        <v/>
      </c>
      <c r="C35" s="376" t="str" cm="1">
        <f t="array" ref="C35">IF($B35="","",INDEX($AG$72:$AG$430,$K35))</f>
        <v/>
      </c>
      <c r="D35" s="377" t="str" cm="1">
        <f t="array" ref="D35">IF($B35="","",INDEX($AH$72:$AH$430,$K35))</f>
        <v/>
      </c>
      <c r="E35" s="378" t="str">
        <f t="shared" si="0"/>
        <v/>
      </c>
      <c r="F35" s="379" t="str" cm="1">
        <f t="array" ref="F35">IF($B35="","",IF(UPPER(TRIM($D35))="QT. SUFFISANTE","Qt. suffisante",IF($N35="","",IF($L35="MASSE",IF($N35&gt;=1,"Kg","g"),IF($L35="VOLUME",IF($N35&gt;=1,"L","cl"),INDEX($AL$72:$AL$430,$K35))))))</f>
        <v/>
      </c>
      <c r="G35" s="380" t="str">
        <f t="shared" si="1"/>
        <v/>
      </c>
      <c r="H35" s="381" t="str" cm="1">
        <f t="array" ref="H35">IF($B35="","",IF(UPPER(TRIM($D35))="QT. SUFFISANTE","Qt. suffisante",IF($O35="","",IF($L35="MASSE",IF($O35&gt;=1,"Kg","g"),IF($L35="VOLUME",IF($O35&gt;=1,"L","cl"),INDEX($AL$72:$AL$430,$K35))))))</f>
        <v/>
      </c>
      <c r="I35" s="382" t="str" cm="1">
        <f t="array" ref="I35">IF($B35="","",INDEX($AM$72:$AM$430,$K35))</f>
        <v/>
      </c>
      <c r="J35" s="271"/>
      <c r="K35" s="383">
        <f>1+($B$5-1)*36+13</f>
        <v>194</v>
      </c>
      <c r="L35" s="383" t="str" cm="1">
        <f t="array" ref="L35">IF($B35="","",INDEX($AI$72:$AI$430,$K35))</f>
        <v/>
      </c>
      <c r="M35" s="383" t="str" cm="1">
        <f t="array" ref="M35">IF($B35="","",INDEX($AJ$72:$AJ$430,$K35))</f>
        <v/>
      </c>
      <c r="N35" s="384" t="str" cm="1">
        <f t="array" ref="N35">IF(OR($B35="",$B$13="",$B$12="",$B$12=0),"",IF($L$22="AUTRE",IFERROR(INDEX($AK$72:$AK$430,$K35)*($B$13/$B$12),""),IF(OR($C$12="",$C$13=""),"",IFERROR(INDEX($AK$72:$AK$430,$K35)*(($B$13*VLOOKUP($C$13,$AY$74:$BA$119,3,FALSE))/($B$12*VLOOKUP($C$12,$AY$74:$BA$119,3,FALSE))),""))))</f>
        <v/>
      </c>
      <c r="O35" s="384" t="str" cm="1">
        <f t="array" ref="O35">IF(OR($B35="",$G$12="",$G$11="",$G$11=0),"",IFERROR(INDEX($AK$72:$AK$430,$K35)*($G$12/$G$11),""))</f>
        <v/>
      </c>
      <c r="U35" s="635" t="s">
        <v>8045</v>
      </c>
      <c r="V35" s="636"/>
      <c r="W35" s="637" t="s">
        <v>8046</v>
      </c>
      <c r="X35" s="637"/>
      <c r="Y35" s="637"/>
      <c r="Z35" s="637"/>
      <c r="AA35" s="638"/>
      <c r="AC35" s="275"/>
      <c r="AD35" s="301" t="s">
        <v>343</v>
      </c>
      <c r="AE35" s="322" t="s">
        <v>343</v>
      </c>
      <c r="AF35" s="396" t="s">
        <v>8047</v>
      </c>
      <c r="AG35" s="639" t="s">
        <v>8048</v>
      </c>
      <c r="AH35" s="639"/>
      <c r="AI35" s="311" t="s">
        <v>8049</v>
      </c>
      <c r="AJ35" s="311"/>
      <c r="AK35" s="311"/>
      <c r="AL35" s="311"/>
      <c r="AM35" s="311"/>
      <c r="AN35" s="311"/>
      <c r="AO35" s="311"/>
      <c r="AP35" s="311"/>
      <c r="AQ35" s="311"/>
      <c r="BB35" s="271"/>
      <c r="BC35" s="271"/>
      <c r="BD35" s="279">
        <v>1</v>
      </c>
      <c r="BE35" s="271"/>
      <c r="BF35" s="271"/>
      <c r="BG35" s="271"/>
    </row>
    <row r="36" spans="1:59" ht="20.100000000000001" customHeight="1" x14ac:dyDescent="0.25">
      <c r="A36" s="374" t="str">
        <f>IF($B36="","",14)</f>
        <v/>
      </c>
      <c r="B36" s="375" t="str" cm="1">
        <f t="array" ref="B36">IFERROR(IF(INDEX($AC$72:$AC$430,$K36)="","",INDEX($AC$72:$AC$430,$K36)),"")</f>
        <v/>
      </c>
      <c r="C36" s="376" t="str" cm="1">
        <f t="array" ref="C36">IF($B36="","",INDEX($AG$72:$AG$430,$K36))</f>
        <v/>
      </c>
      <c r="D36" s="377" t="str" cm="1">
        <f t="array" ref="D36">IF($B36="","",INDEX($AH$72:$AH$430,$K36))</f>
        <v/>
      </c>
      <c r="E36" s="378" t="str">
        <f t="shared" si="0"/>
        <v/>
      </c>
      <c r="F36" s="379" t="str" cm="1">
        <f t="array" ref="F36">IF($B36="","",IF(UPPER(TRIM($D36))="QT. SUFFISANTE","Qt. suffisante",IF($N36="","",IF($L36="MASSE",IF($N36&gt;=1,"Kg","g"),IF($L36="VOLUME",IF($N36&gt;=1,"L","cl"),INDEX($AL$72:$AL$430,$K36))))))</f>
        <v/>
      </c>
      <c r="G36" s="380" t="str">
        <f t="shared" si="1"/>
        <v/>
      </c>
      <c r="H36" s="381" t="str" cm="1">
        <f t="array" ref="H36">IF($B36="","",IF(UPPER(TRIM($D36))="QT. SUFFISANTE","Qt. suffisante",IF($O36="","",IF($L36="MASSE",IF($O36&gt;=1,"Kg","g"),IF($L36="VOLUME",IF($O36&gt;=1,"L","cl"),INDEX($AL$72:$AL$430,$K36))))))</f>
        <v/>
      </c>
      <c r="I36" s="382" t="str" cm="1">
        <f t="array" ref="I36">IF($B36="","",INDEX($AM$72:$AM$430,$K36))</f>
        <v/>
      </c>
      <c r="J36" s="271"/>
      <c r="K36" s="383">
        <f>1+($B$5-1)*36+14</f>
        <v>195</v>
      </c>
      <c r="L36" s="383" t="str" cm="1">
        <f t="array" ref="L36">IF($B36="","",INDEX($AI$72:$AI$430,$K36))</f>
        <v/>
      </c>
      <c r="M36" s="383" t="str" cm="1">
        <f t="array" ref="M36">IF($B36="","",INDEX($AJ$72:$AJ$430,$K36))</f>
        <v/>
      </c>
      <c r="N36" s="384" t="str" cm="1">
        <f t="array" ref="N36">IF(OR($B36="",$B$13="",$B$12="",$B$12=0),"",IF($L$22="AUTRE",IFERROR(INDEX($AK$72:$AK$430,$K36)*($B$13/$B$12),""),IF(OR($C$12="",$C$13=""),"",IFERROR(INDEX($AK$72:$AK$430,$K36)*(($B$13*VLOOKUP($C$13,$AY$74:$BA$119,3,FALSE))/($B$12*VLOOKUP($C$12,$AY$74:$BA$119,3,FALSE))),""))))</f>
        <v/>
      </c>
      <c r="O36" s="384" t="str" cm="1">
        <f t="array" ref="O36">IF(OR($B36="",$G$12="",$G$11="",$G$11=0),"",IFERROR(INDEX($AK$72:$AK$430,$K36)*($G$12/$G$11),""))</f>
        <v/>
      </c>
      <c r="U36" s="635"/>
      <c r="V36" s="636"/>
      <c r="W36" s="637"/>
      <c r="X36" s="637"/>
      <c r="Y36" s="637"/>
      <c r="Z36" s="637"/>
      <c r="AA36" s="638"/>
      <c r="AC36" s="275"/>
      <c r="AD36" s="352" t="s">
        <v>8050</v>
      </c>
      <c r="AE36" s="353"/>
      <c r="AF36" s="354"/>
      <c r="AG36" s="353"/>
      <c r="AH36" s="353"/>
      <c r="AI36" s="353"/>
      <c r="AJ36" s="353"/>
      <c r="AK36" s="353"/>
      <c r="AL36" s="353"/>
      <c r="AM36" s="353"/>
      <c r="AN36" s="353"/>
      <c r="AO36" s="353"/>
      <c r="AP36" s="353"/>
      <c r="AQ36" s="353"/>
      <c r="BB36" s="271"/>
      <c r="BC36" s="271"/>
      <c r="BD36" s="279">
        <v>1</v>
      </c>
      <c r="BE36" s="271"/>
      <c r="BF36" s="271"/>
      <c r="BG36" s="271"/>
    </row>
    <row r="37" spans="1:59" ht="23.1" customHeight="1" x14ac:dyDescent="0.25">
      <c r="A37" s="374" t="str">
        <f>IF($B37="","",15)</f>
        <v/>
      </c>
      <c r="B37" s="375" t="str" cm="1">
        <f t="array" ref="B37">IFERROR(IF(INDEX($AC$72:$AC$430,$K37)="","",INDEX($AC$72:$AC$430,$K37)),"")</f>
        <v/>
      </c>
      <c r="C37" s="376" t="str" cm="1">
        <f t="array" ref="C37">IF($B37="","",INDEX($AG$72:$AG$430,$K37))</f>
        <v/>
      </c>
      <c r="D37" s="377" t="str" cm="1">
        <f t="array" ref="D37">IF($B37="","",INDEX($AH$72:$AH$430,$K37))</f>
        <v/>
      </c>
      <c r="E37" s="378" t="str">
        <f t="shared" si="0"/>
        <v/>
      </c>
      <c r="F37" s="379" t="str" cm="1">
        <f t="array" ref="F37">IF($B37="","",IF(UPPER(TRIM($D37))="QT. SUFFISANTE","Qt. suffisante",IF($N37="","",IF($L37="MASSE",IF($N37&gt;=1,"Kg","g"),IF($L37="VOLUME",IF($N37&gt;=1,"L","cl"),INDEX($AL$72:$AL$430,$K37))))))</f>
        <v/>
      </c>
      <c r="G37" s="380" t="str">
        <f t="shared" si="1"/>
        <v/>
      </c>
      <c r="H37" s="381" t="str" cm="1">
        <f t="array" ref="H37">IF($B37="","",IF(UPPER(TRIM($D37))="QT. SUFFISANTE","Qt. suffisante",IF($O37="","",IF($L37="MASSE",IF($O37&gt;=1,"Kg","g"),IF($L37="VOLUME",IF($O37&gt;=1,"L","cl"),INDEX($AL$72:$AL$430,$K37))))))</f>
        <v/>
      </c>
      <c r="I37" s="382" t="str" cm="1">
        <f t="array" ref="I37">IF($B37="","",INDEX($AM$72:$AM$430,$K37))</f>
        <v/>
      </c>
      <c r="J37" s="271"/>
      <c r="K37" s="383">
        <f>1+($B$5-1)*36+15</f>
        <v>196</v>
      </c>
      <c r="L37" s="383" t="str" cm="1">
        <f t="array" ref="L37">IF($B37="","",INDEX($AI$72:$AI$430,$K37))</f>
        <v/>
      </c>
      <c r="M37" s="383" t="str" cm="1">
        <f t="array" ref="M37">IF($B37="","",INDEX($AJ$72:$AJ$430,$K37))</f>
        <v/>
      </c>
      <c r="N37" s="384" t="str" cm="1">
        <f t="array" ref="N37">IF(OR($B37="",$B$13="",$B$12="",$B$12=0),"",IF($L$22="AUTRE",IFERROR(INDEX($AK$72:$AK$430,$K37)*($B$13/$B$12),""),IF(OR($C$12="",$C$13=""),"",IFERROR(INDEX($AK$72:$AK$430,$K37)*(($B$13*VLOOKUP($C$13,$AY$74:$BA$119,3,FALSE))/($B$12*VLOOKUP($C$12,$AY$74:$BA$119,3,FALSE))),""))))</f>
        <v/>
      </c>
      <c r="O37" s="384" t="str" cm="1">
        <f t="array" ref="O37">IF(OR($B37="",$G$12="",$G$11="",$G$11=0),"",IFERROR(INDEX($AK$72:$AK$430,$K37)*($G$12/$G$11),""))</f>
        <v/>
      </c>
      <c r="U37" s="635" t="s">
        <v>8051</v>
      </c>
      <c r="V37" s="636"/>
      <c r="W37" s="637" t="s">
        <v>8052</v>
      </c>
      <c r="X37" s="637"/>
      <c r="Y37" s="637"/>
      <c r="Z37" s="637"/>
      <c r="AA37" s="638"/>
      <c r="AC37" s="275"/>
      <c r="AD37" s="398" t="s">
        <v>343</v>
      </c>
      <c r="AE37" s="397" t="s">
        <v>8048</v>
      </c>
      <c r="AF37" s="396" t="s">
        <v>8047</v>
      </c>
      <c r="AG37" s="639" t="s">
        <v>8048</v>
      </c>
      <c r="AH37" s="639"/>
      <c r="AI37" s="399" t="s">
        <v>8053</v>
      </c>
      <c r="AJ37" s="399"/>
      <c r="AK37" s="399"/>
      <c r="AL37" s="399"/>
      <c r="AM37" s="399"/>
      <c r="AN37" s="399"/>
      <c r="AO37" s="399"/>
      <c r="AP37" s="399"/>
      <c r="AQ37" s="399"/>
      <c r="BB37" s="271"/>
      <c r="BC37" s="271"/>
      <c r="BD37" s="279">
        <v>1</v>
      </c>
      <c r="BE37" s="271"/>
      <c r="BF37" s="271"/>
      <c r="BG37" s="271"/>
    </row>
    <row r="38" spans="1:59" ht="20.100000000000001" customHeight="1" x14ac:dyDescent="0.25">
      <c r="A38" s="374" t="str">
        <f>IF($B38="","",16)</f>
        <v/>
      </c>
      <c r="B38" s="375" t="str" cm="1">
        <f t="array" ref="B38">IFERROR(IF(INDEX($AC$72:$AC$430,$K38)="","",INDEX($AC$72:$AC$430,$K38)),"")</f>
        <v/>
      </c>
      <c r="C38" s="376" t="str" cm="1">
        <f t="array" ref="C38">IF($B38="","",INDEX($AG$72:$AG$430,$K38))</f>
        <v/>
      </c>
      <c r="D38" s="377" t="str" cm="1">
        <f t="array" ref="D38">IF($B38="","",INDEX($AH$72:$AH$430,$K38))</f>
        <v/>
      </c>
      <c r="E38" s="378" t="str">
        <f t="shared" si="0"/>
        <v/>
      </c>
      <c r="F38" s="379" t="str" cm="1">
        <f t="array" ref="F38">IF($B38="","",IF(UPPER(TRIM($D38))="QT. SUFFISANTE","Qt. suffisante",IF($N38="","",IF($L38="MASSE",IF($N38&gt;=1,"Kg","g"),IF($L38="VOLUME",IF($N38&gt;=1,"L","cl"),INDEX($AL$72:$AL$430,$K38))))))</f>
        <v/>
      </c>
      <c r="G38" s="380" t="str">
        <f t="shared" si="1"/>
        <v/>
      </c>
      <c r="H38" s="381" t="str" cm="1">
        <f t="array" ref="H38">IF($B38="","",IF(UPPER(TRIM($D38))="QT. SUFFISANTE","Qt. suffisante",IF($O38="","",IF($L38="MASSE",IF($O38&gt;=1,"Kg","g"),IF($L38="VOLUME",IF($O38&gt;=1,"L","cl"),INDEX($AL$72:$AL$430,$K38))))))</f>
        <v/>
      </c>
      <c r="I38" s="382" t="str" cm="1">
        <f t="array" ref="I38">IF($B38="","",INDEX($AM$72:$AM$430,$K38))</f>
        <v/>
      </c>
      <c r="J38" s="271"/>
      <c r="K38" s="383">
        <f>1+($B$5-1)*36+16</f>
        <v>197</v>
      </c>
      <c r="L38" s="383" t="str" cm="1">
        <f t="array" ref="L38">IF($B38="","",INDEX($AI$72:$AI$430,$K38))</f>
        <v/>
      </c>
      <c r="M38" s="383" t="str" cm="1">
        <f t="array" ref="M38">IF($B38="","",INDEX($AJ$72:$AJ$430,$K38))</f>
        <v/>
      </c>
      <c r="N38" s="384" t="str" cm="1">
        <f t="array" ref="N38">IF(OR($B38="",$B$13="",$B$12="",$B$12=0),"",IF($L$22="AUTRE",IFERROR(INDEX($AK$72:$AK$430,$K38)*($B$13/$B$12),""),IF(OR($C$12="",$C$13=""),"",IFERROR(INDEX($AK$72:$AK$430,$K38)*(($B$13*VLOOKUP($C$13,$AY$74:$BA$119,3,FALSE))/($B$12*VLOOKUP($C$12,$AY$74:$BA$119,3,FALSE))),""))))</f>
        <v/>
      </c>
      <c r="O38" s="384" t="str" cm="1">
        <f t="array" ref="O38">IF(OR($B38="",$G$12="",$G$11="",$G$11=0),"",IFERROR(INDEX($AK$72:$AK$430,$K38)*($G$12/$G$11),""))</f>
        <v/>
      </c>
      <c r="U38" s="635"/>
      <c r="V38" s="636"/>
      <c r="W38" s="637"/>
      <c r="X38" s="637"/>
      <c r="Y38" s="637"/>
      <c r="Z38" s="637"/>
      <c r="AA38" s="638"/>
      <c r="AC38" s="275"/>
      <c r="AD38" s="400" t="s">
        <v>343</v>
      </c>
      <c r="AE38" s="401" t="s">
        <v>8054</v>
      </c>
      <c r="AF38" s="396" t="s">
        <v>8047</v>
      </c>
      <c r="AG38" s="644" t="s">
        <v>8054</v>
      </c>
      <c r="AH38" s="644"/>
      <c r="AI38" s="402" t="s">
        <v>8055</v>
      </c>
      <c r="AJ38" s="403"/>
      <c r="AK38" s="403"/>
      <c r="AL38" s="403"/>
      <c r="AM38" s="403"/>
      <c r="AN38" s="403"/>
      <c r="AO38" s="403"/>
      <c r="AP38" s="403"/>
      <c r="AQ38" s="403"/>
      <c r="BB38" s="271"/>
      <c r="BC38" s="271"/>
      <c r="BD38" s="279">
        <v>1</v>
      </c>
      <c r="BE38" s="271"/>
      <c r="BF38" s="271"/>
      <c r="BG38" s="271"/>
    </row>
    <row r="39" spans="1:59" ht="20.100000000000001" customHeight="1" x14ac:dyDescent="0.25">
      <c r="A39" s="374" t="str">
        <f>IF($B39="","",17)</f>
        <v/>
      </c>
      <c r="B39" s="375" t="str" cm="1">
        <f t="array" ref="B39">IFERROR(IF(INDEX($AC$72:$AC$430,$K39)="","",INDEX($AC$72:$AC$430,$K39)),"")</f>
        <v/>
      </c>
      <c r="C39" s="376" t="str" cm="1">
        <f t="array" ref="C39">IF($B39="","",INDEX($AG$72:$AG$430,$K39))</f>
        <v/>
      </c>
      <c r="D39" s="377" t="str" cm="1">
        <f t="array" ref="D39">IF($B39="","",INDEX($AH$72:$AH$430,$K39))</f>
        <v/>
      </c>
      <c r="E39" s="378" t="str">
        <f t="shared" si="0"/>
        <v/>
      </c>
      <c r="F39" s="379" t="str" cm="1">
        <f t="array" ref="F39">IF($B39="","",IF(UPPER(TRIM($D39))="QT. SUFFISANTE","Qt. suffisante",IF($N39="","",IF($L39="MASSE",IF($N39&gt;=1,"Kg","g"),IF($L39="VOLUME",IF($N39&gt;=1,"L","cl"),INDEX($AL$72:$AL$430,$K39))))))</f>
        <v/>
      </c>
      <c r="G39" s="380" t="str">
        <f t="shared" si="1"/>
        <v/>
      </c>
      <c r="H39" s="381" t="str" cm="1">
        <f t="array" ref="H39">IF($B39="","",IF(UPPER(TRIM($D39))="QT. SUFFISANTE","Qt. suffisante",IF($O39="","",IF($L39="MASSE",IF($O39&gt;=1,"Kg","g"),IF($L39="VOLUME",IF($O39&gt;=1,"L","cl"),INDEX($AL$72:$AL$430,$K39))))))</f>
        <v/>
      </c>
      <c r="I39" s="382" t="str" cm="1">
        <f t="array" ref="I39">IF($B39="","",INDEX($AM$72:$AM$430,$K39))</f>
        <v/>
      </c>
      <c r="J39" s="271"/>
      <c r="K39" s="383">
        <f>1+($B$5-1)*36+17</f>
        <v>198</v>
      </c>
      <c r="L39" s="383" t="str" cm="1">
        <f t="array" ref="L39">IF($B39="","",INDEX($AI$72:$AI$430,$K39))</f>
        <v/>
      </c>
      <c r="M39" s="383" t="str" cm="1">
        <f t="array" ref="M39">IF($B39="","",INDEX($AJ$72:$AJ$430,$K39))</f>
        <v/>
      </c>
      <c r="N39" s="384" t="str" cm="1">
        <f t="array" ref="N39">IF(OR($B39="",$B$13="",$B$12="",$B$12=0),"",IF($L$22="AUTRE",IFERROR(INDEX($AK$72:$AK$430,$K39)*($B$13/$B$12),""),IF(OR($C$12="",$C$13=""),"",IFERROR(INDEX($AK$72:$AK$430,$K39)*(($B$13*VLOOKUP($C$13,$AY$74:$BA$119,3,FALSE))/($B$12*VLOOKUP($C$12,$AY$74:$BA$119,3,FALSE))),""))))</f>
        <v/>
      </c>
      <c r="O39" s="384" t="str" cm="1">
        <f t="array" ref="O39">IF(OR($B39="",$G$12="",$G$11="",$G$11=0),"",IFERROR(INDEX($AK$72:$AK$430,$K39)*($G$12/$G$11),""))</f>
        <v/>
      </c>
      <c r="U39" s="635" t="s">
        <v>8056</v>
      </c>
      <c r="V39" s="636"/>
      <c r="W39" s="637" t="s">
        <v>8057</v>
      </c>
      <c r="X39" s="637"/>
      <c r="Y39" s="637"/>
      <c r="Z39" s="637"/>
      <c r="AA39" s="638"/>
      <c r="AC39" s="275"/>
      <c r="AD39" s="370" t="s">
        <v>343</v>
      </c>
      <c r="AE39" s="406" t="s">
        <v>8058</v>
      </c>
      <c r="AF39" s="396" t="s">
        <v>8047</v>
      </c>
      <c r="AG39" s="645" t="s">
        <v>8058</v>
      </c>
      <c r="AH39" s="645"/>
      <c r="AI39" s="405" t="s">
        <v>8059</v>
      </c>
      <c r="AJ39" s="406"/>
      <c r="AK39" s="406"/>
      <c r="AL39" s="406"/>
      <c r="AM39" s="406"/>
      <c r="AN39" s="406"/>
      <c r="AO39" s="406"/>
      <c r="AP39" s="406"/>
      <c r="AQ39" s="406"/>
      <c r="BB39" s="271"/>
      <c r="BC39" s="271"/>
      <c r="BD39" s="279">
        <v>1</v>
      </c>
      <c r="BE39" s="271"/>
      <c r="BF39" s="271"/>
      <c r="BG39" s="271"/>
    </row>
    <row r="40" spans="1:59" ht="20.100000000000001" customHeight="1" x14ac:dyDescent="0.25">
      <c r="A40" s="374" t="str">
        <f>IF($B40="","",18)</f>
        <v/>
      </c>
      <c r="B40" s="375" t="str" cm="1">
        <f t="array" ref="B40">IFERROR(IF(INDEX($AC$72:$AC$430,$K40)="","",INDEX($AC$72:$AC$430,$K40)),"")</f>
        <v/>
      </c>
      <c r="C40" s="376" t="str" cm="1">
        <f t="array" ref="C40">IF($B40="","",INDEX($AG$72:$AG$430,$K40))</f>
        <v/>
      </c>
      <c r="D40" s="377" t="str" cm="1">
        <f t="array" ref="D40">IF($B40="","",INDEX($AH$72:$AH$430,$K40))</f>
        <v/>
      </c>
      <c r="E40" s="378" t="str">
        <f t="shared" si="0"/>
        <v/>
      </c>
      <c r="F40" s="379" t="str" cm="1">
        <f t="array" ref="F40">IF($B40="","",IF(UPPER(TRIM($D40))="QT. SUFFISANTE","Qt. suffisante",IF($N40="","",IF($L40="MASSE",IF($N40&gt;=1,"Kg","g"),IF($L40="VOLUME",IF($N40&gt;=1,"L","cl"),INDEX($AL$72:$AL$430,$K40))))))</f>
        <v/>
      </c>
      <c r="G40" s="380" t="str">
        <f t="shared" si="1"/>
        <v/>
      </c>
      <c r="H40" s="381" t="str" cm="1">
        <f t="array" ref="H40">IF($B40="","",IF(UPPER(TRIM($D40))="QT. SUFFISANTE","Qt. suffisante",IF($O40="","",IF($L40="MASSE",IF($O40&gt;=1,"Kg","g"),IF($L40="VOLUME",IF($O40&gt;=1,"L","cl"),INDEX($AL$72:$AL$430,$K40))))))</f>
        <v/>
      </c>
      <c r="I40" s="382" t="str" cm="1">
        <f t="array" ref="I40">IF($B40="","",INDEX($AM$72:$AM$430,$K40))</f>
        <v/>
      </c>
      <c r="J40" s="271"/>
      <c r="K40" s="383">
        <f>1+($B$5-1)*36+18</f>
        <v>199</v>
      </c>
      <c r="L40" s="383" t="str" cm="1">
        <f t="array" ref="L40">IF($B40="","",INDEX($AI$72:$AI$430,$K40))</f>
        <v/>
      </c>
      <c r="M40" s="383" t="str" cm="1">
        <f t="array" ref="M40">IF($B40="","",INDEX($AJ$72:$AJ$430,$K40))</f>
        <v/>
      </c>
      <c r="N40" s="384" t="str" cm="1">
        <f t="array" ref="N40">IF(OR($B40="",$B$13="",$B$12="",$B$12=0),"",IF($L$22="AUTRE",IFERROR(INDEX($AK$72:$AK$430,$K40)*($B$13/$B$12),""),IF(OR($C$12="",$C$13=""),"",IFERROR(INDEX($AK$72:$AK$430,$K40)*(($B$13*VLOOKUP($C$13,$AY$74:$BA$119,3,FALSE))/($B$12*VLOOKUP($C$12,$AY$74:$BA$119,3,FALSE))),""))))</f>
        <v/>
      </c>
      <c r="O40" s="384" t="str" cm="1">
        <f t="array" ref="O40">IF(OR($B40="",$G$12="",$G$11="",$G$11=0),"",IFERROR(INDEX($AK$72:$AK$430,$K40)*($G$12/$G$11),""))</f>
        <v/>
      </c>
      <c r="U40" s="635"/>
      <c r="V40" s="636"/>
      <c r="W40" s="637"/>
      <c r="X40" s="637"/>
      <c r="Y40" s="637"/>
      <c r="Z40" s="637"/>
      <c r="AA40" s="638"/>
      <c r="AC40" s="275"/>
      <c r="AD40" s="370" t="s">
        <v>343</v>
      </c>
      <c r="AE40" s="406" t="s">
        <v>8060</v>
      </c>
      <c r="AF40" s="396" t="s">
        <v>8047</v>
      </c>
      <c r="AG40" s="646" t="s">
        <v>8060</v>
      </c>
      <c r="AH40" s="646"/>
      <c r="AI40" s="406" t="s">
        <v>8061</v>
      </c>
      <c r="AJ40" s="406"/>
      <c r="AK40" s="406"/>
      <c r="AL40" s="406"/>
      <c r="AM40" s="406"/>
      <c r="AN40" s="406"/>
      <c r="AO40" s="406"/>
      <c r="AP40" s="406"/>
      <c r="AQ40" s="406"/>
      <c r="BB40" s="271"/>
      <c r="BC40" s="271"/>
      <c r="BD40" s="279">
        <v>1</v>
      </c>
      <c r="BE40" s="271"/>
      <c r="BF40" s="271"/>
      <c r="BG40" s="271"/>
    </row>
    <row r="41" spans="1:59" ht="20.100000000000001" customHeight="1" thickBot="1" x14ac:dyDescent="0.3">
      <c r="A41" s="374" t="str">
        <f>IF($B41="","",19)</f>
        <v/>
      </c>
      <c r="B41" s="375" t="str" cm="1">
        <f t="array" ref="B41">IFERROR(IF(INDEX($AC$72:$AC$430,$K41)="","",INDEX($AC$72:$AC$430,$K41)),"")</f>
        <v/>
      </c>
      <c r="C41" s="376" t="str" cm="1">
        <f t="array" ref="C41">IF($B41="","",INDEX($AG$72:$AG$430,$K41))</f>
        <v/>
      </c>
      <c r="D41" s="377" t="str" cm="1">
        <f t="array" ref="D41">IF($B41="","",INDEX($AH$72:$AH$430,$K41))</f>
        <v/>
      </c>
      <c r="E41" s="378" t="str">
        <f t="shared" si="0"/>
        <v/>
      </c>
      <c r="F41" s="379" t="str" cm="1">
        <f t="array" ref="F41">IF($B41="","",IF(UPPER(TRIM($D41))="QT. SUFFISANTE","Qt. suffisante",IF($N41="","",IF($L41="MASSE",IF($N41&gt;=1,"Kg","g"),IF($L41="VOLUME",IF($N41&gt;=1,"L","cl"),INDEX($AL$72:$AL$430,$K41))))))</f>
        <v/>
      </c>
      <c r="G41" s="380" t="str">
        <f t="shared" si="1"/>
        <v/>
      </c>
      <c r="H41" s="381" t="str" cm="1">
        <f t="array" ref="H41">IF($B41="","",IF(UPPER(TRIM($D41))="QT. SUFFISANTE","Qt. suffisante",IF($O41="","",IF($L41="MASSE",IF($O41&gt;=1,"Kg","g"),IF($L41="VOLUME",IF($O41&gt;=1,"L","cl"),INDEX($AL$72:$AL$430,$K41))))))</f>
        <v/>
      </c>
      <c r="I41" s="382" t="str" cm="1">
        <f t="array" ref="I41">IF($B41="","",INDEX($AM$72:$AM$430,$K41))</f>
        <v/>
      </c>
      <c r="J41" s="271"/>
      <c r="K41" s="383">
        <f>1+($B$5-1)*36+19</f>
        <v>200</v>
      </c>
      <c r="L41" s="383" t="str" cm="1">
        <f t="array" ref="L41">IF($B41="","",INDEX($AI$72:$AI$430,$K41))</f>
        <v/>
      </c>
      <c r="M41" s="383" t="str" cm="1">
        <f t="array" ref="M41">IF($B41="","",INDEX($AJ$72:$AJ$430,$K41))</f>
        <v/>
      </c>
      <c r="N41" s="384" t="str" cm="1">
        <f t="array" ref="N41">IF(OR($B41="",$B$13="",$B$12="",$B$12=0),"",IF($L$22="AUTRE",IFERROR(INDEX($AK$72:$AK$430,$K41)*($B$13/$B$12),""),IF(OR($C$12="",$C$13=""),"",IFERROR(INDEX($AK$72:$AK$430,$K41)*(($B$13*VLOOKUP($C$13,$AY$74:$BA$119,3,FALSE))/($B$12*VLOOKUP($C$12,$AY$74:$BA$119,3,FALSE))),""))))</f>
        <v/>
      </c>
      <c r="O41" s="384" t="str" cm="1">
        <f t="array" ref="O41">IF(OR($B41="",$G$12="",$G$11="",$G$11=0),"",IFERROR(INDEX($AK$72:$AK$430,$K41)*($G$12/$G$11),""))</f>
        <v/>
      </c>
      <c r="U41" s="647" t="s">
        <v>8062</v>
      </c>
      <c r="V41" s="648"/>
      <c r="W41" s="648"/>
      <c r="X41" s="648"/>
      <c r="Y41" s="648"/>
      <c r="Z41" s="648"/>
      <c r="AA41" s="649"/>
      <c r="AD41" s="408" t="s">
        <v>8063</v>
      </c>
      <c r="AE41" s="409" t="s">
        <v>8064</v>
      </c>
      <c r="AF41" s="410" t="s">
        <v>8065</v>
      </c>
      <c r="AG41" s="650" t="s">
        <v>8066</v>
      </c>
      <c r="AH41" s="650"/>
      <c r="AI41" s="411" t="s">
        <v>8067</v>
      </c>
      <c r="AJ41" s="411"/>
      <c r="AK41" s="411"/>
      <c r="AL41" s="411"/>
      <c r="AM41" s="411"/>
      <c r="AN41" s="411"/>
      <c r="AO41" s="411"/>
      <c r="AP41" s="411"/>
      <c r="AQ41" s="411"/>
      <c r="BB41" s="271"/>
      <c r="BC41" s="271"/>
      <c r="BD41" s="279">
        <v>1</v>
      </c>
      <c r="BE41" s="271"/>
      <c r="BF41" s="271"/>
      <c r="BG41" s="271"/>
    </row>
    <row r="42" spans="1:59" ht="20.100000000000001" customHeight="1" x14ac:dyDescent="0.25">
      <c r="A42" s="374" t="str">
        <f>IF($B42="","",20)</f>
        <v/>
      </c>
      <c r="B42" s="375" t="str" cm="1">
        <f t="array" ref="B42">IFERROR(IF(INDEX($AC$72:$AC$430,$K42)="","",INDEX($AC$72:$AC$430,$K42)),"")</f>
        <v/>
      </c>
      <c r="C42" s="376" t="str" cm="1">
        <f t="array" ref="C42">IF($B42="","",INDEX($AG$72:$AG$430,$K42))</f>
        <v/>
      </c>
      <c r="D42" s="377" t="str" cm="1">
        <f t="array" ref="D42">IF($B42="","",INDEX($AH$72:$AH$430,$K42))</f>
        <v/>
      </c>
      <c r="E42" s="378" t="str">
        <f t="shared" si="0"/>
        <v/>
      </c>
      <c r="F42" s="379" t="str" cm="1">
        <f t="array" ref="F42">IF($B42="","",IF(UPPER(TRIM($D42))="QT. SUFFISANTE","Qt. suffisante",IF($N42="","",IF($L42="MASSE",IF($N42&gt;=1,"Kg","g"),IF($L42="VOLUME",IF($N42&gt;=1,"L","cl"),INDEX($AL$72:$AL$430,$K42))))))</f>
        <v/>
      </c>
      <c r="G42" s="380" t="str">
        <f t="shared" si="1"/>
        <v/>
      </c>
      <c r="H42" s="381" t="str" cm="1">
        <f t="array" ref="H42">IF($B42="","",IF(UPPER(TRIM($D42))="QT. SUFFISANTE","Qt. suffisante",IF($O42="","",IF($L42="MASSE",IF($O42&gt;=1,"Kg","g"),IF($L42="VOLUME",IF($O42&gt;=1,"L","cl"),INDEX($AL$72:$AL$430,$K42))))))</f>
        <v/>
      </c>
      <c r="I42" s="382" t="str" cm="1">
        <f t="array" ref="I42">IF($B42="","",INDEX($AM$72:$AM$430,$K42))</f>
        <v/>
      </c>
      <c r="J42" s="271"/>
      <c r="K42" s="383">
        <f>1+($B$5-1)*36+20</f>
        <v>201</v>
      </c>
      <c r="L42" s="383" t="str" cm="1">
        <f t="array" ref="L42">IF($B42="","",INDEX($AI$72:$AI$430,$K42))</f>
        <v/>
      </c>
      <c r="M42" s="383" t="str" cm="1">
        <f t="array" ref="M42">IF($B42="","",INDEX($AJ$72:$AJ$430,$K42))</f>
        <v/>
      </c>
      <c r="N42" s="384" t="str" cm="1">
        <f t="array" ref="N42">IF(OR($B42="",$B$13="",$B$12="",$B$12=0),"",IF($L$22="AUTRE",IFERROR(INDEX($AK$72:$AK$430,$K42)*($B$13/$B$12),""),IF(OR($C$12="",$C$13=""),"",IFERROR(INDEX($AK$72:$AK$430,$K42)*(($B$13*VLOOKUP($C$13,$AY$74:$BA$119,3,FALSE))/($B$12*VLOOKUP($C$12,$AY$74:$BA$119,3,FALSE))),""))))</f>
        <v/>
      </c>
      <c r="O42" s="384" t="str" cm="1">
        <f t="array" ref="O42">IF(OR($B42="",$G$12="",$G$11="",$G$11=0),"",IFERROR(INDEX($AK$72:$AK$430,$K42)*($G$12/$G$11),""))</f>
        <v/>
      </c>
      <c r="U42" s="651" t="s">
        <v>8068</v>
      </c>
      <c r="V42" s="652"/>
      <c r="W42" s="653" t="s">
        <v>8069</v>
      </c>
      <c r="X42" s="653"/>
      <c r="Y42" s="653"/>
      <c r="Z42" s="653"/>
      <c r="AA42" s="654"/>
      <c r="AD42" s="294" t="s">
        <v>8070</v>
      </c>
      <c r="AE42" s="295"/>
      <c r="AF42" s="296"/>
      <c r="AG42" s="295"/>
      <c r="AH42" s="295"/>
      <c r="AI42" s="295"/>
      <c r="AJ42" s="295"/>
      <c r="AK42" s="295"/>
      <c r="AL42" s="295"/>
      <c r="AM42" s="295"/>
      <c r="AN42" s="295"/>
      <c r="AO42" s="295"/>
      <c r="AP42" s="295"/>
      <c r="AQ42" s="295"/>
      <c r="BB42" s="271"/>
      <c r="BC42" s="271"/>
      <c r="BD42" s="279">
        <v>1</v>
      </c>
      <c r="BE42" s="271"/>
      <c r="BF42" s="271"/>
      <c r="BG42" s="271"/>
    </row>
    <row r="43" spans="1:59" ht="20.100000000000001" customHeight="1" x14ac:dyDescent="0.25">
      <c r="A43" s="374" t="str">
        <f>IF($B43="","",21)</f>
        <v/>
      </c>
      <c r="B43" s="375" t="str" cm="1">
        <f t="array" ref="B43">IFERROR(IF(INDEX($AC$72:$AC$430,$K43)="","",INDEX($AC$72:$AC$430,$K43)),"")</f>
        <v/>
      </c>
      <c r="C43" s="376" t="str" cm="1">
        <f t="array" ref="C43">IF($B43="","",INDEX($AG$72:$AG$430,$K43))</f>
        <v/>
      </c>
      <c r="D43" s="377" t="str" cm="1">
        <f t="array" ref="D43">IF($B43="","",INDEX($AH$72:$AH$430,$K43))</f>
        <v/>
      </c>
      <c r="E43" s="378" t="str">
        <f t="shared" si="0"/>
        <v/>
      </c>
      <c r="F43" s="379" t="str" cm="1">
        <f t="array" ref="F43">IF($B43="","",IF(UPPER(TRIM($D43))="QT. SUFFISANTE","Qt. suffisante",IF($N43="","",IF($L43="MASSE",IF($N43&gt;=1,"Kg","g"),IF($L43="VOLUME",IF($N43&gt;=1,"L","cl"),INDEX($AL$72:$AL$430,$K43))))))</f>
        <v/>
      </c>
      <c r="G43" s="380" t="str">
        <f t="shared" si="1"/>
        <v/>
      </c>
      <c r="H43" s="381" t="str" cm="1">
        <f t="array" ref="H43">IF($B43="","",IF(UPPER(TRIM($D43))="QT. SUFFISANTE","Qt. suffisante",IF($O43="","",IF($L43="MASSE",IF($O43&gt;=1,"Kg","g"),IF($L43="VOLUME",IF($O43&gt;=1,"L","cl"),INDEX($AL$72:$AL$430,$K43))))))</f>
        <v/>
      </c>
      <c r="I43" s="382" t="str" cm="1">
        <f t="array" ref="I43">IF($B43="","",INDEX($AM$72:$AM$430,$K43))</f>
        <v/>
      </c>
      <c r="J43" s="271"/>
      <c r="K43" s="383">
        <f>1+($B$5-1)*36+21</f>
        <v>202</v>
      </c>
      <c r="L43" s="383" t="str" cm="1">
        <f t="array" ref="L43">IF($B43="","",INDEX($AI$72:$AI$430,$K43))</f>
        <v/>
      </c>
      <c r="M43" s="383" t="str" cm="1">
        <f t="array" ref="M43">IF($B43="","",INDEX($AJ$72:$AJ$430,$K43))</f>
        <v/>
      </c>
      <c r="N43" s="384" t="str" cm="1">
        <f t="array" ref="N43">IF(OR($B43="",$B$13="",$B$12="",$B$12=0),"",IF($L$22="AUTRE",IFERROR(INDEX($AK$72:$AK$430,$K43)*($B$13/$B$12),""),IF(OR($C$12="",$C$13=""),"",IFERROR(INDEX($AK$72:$AK$430,$K43)*(($B$13*VLOOKUP($C$13,$AY$74:$BA$119,3,FALSE))/($B$12*VLOOKUP($C$12,$AY$74:$BA$119,3,FALSE))),""))))</f>
        <v/>
      </c>
      <c r="O43" s="384" t="str" cm="1">
        <f t="array" ref="O43">IF(OR($B43="",$G$12="",$G$11="",$G$11=0),"",IFERROR(INDEX($AK$72:$AK$430,$K43)*($G$12/$G$11),""))</f>
        <v/>
      </c>
      <c r="U43" s="651"/>
      <c r="V43" s="652"/>
      <c r="W43" s="653"/>
      <c r="X43" s="653"/>
      <c r="Y43" s="653"/>
      <c r="Z43" s="653"/>
      <c r="AA43" s="654"/>
      <c r="AD43" s="301" t="s">
        <v>8071</v>
      </c>
      <c r="AE43" s="322" t="s">
        <v>8072</v>
      </c>
      <c r="AF43" s="303"/>
      <c r="AG43" s="557" t="s">
        <v>8073</v>
      </c>
      <c r="AH43" s="557"/>
      <c r="AI43" s="311" t="s">
        <v>8074</v>
      </c>
      <c r="AJ43" s="311"/>
      <c r="AK43" s="311"/>
      <c r="AL43" s="311"/>
      <c r="AM43" s="311"/>
      <c r="AN43" s="311"/>
      <c r="AO43" s="311"/>
      <c r="AP43" s="311"/>
      <c r="AQ43" s="311"/>
      <c r="BB43" s="271"/>
      <c r="BC43" s="271"/>
      <c r="BD43" s="279">
        <v>1</v>
      </c>
      <c r="BE43" s="271"/>
      <c r="BF43" s="271"/>
      <c r="BG43" s="271"/>
    </row>
    <row r="44" spans="1:59" ht="20.100000000000001" customHeight="1" x14ac:dyDescent="0.25">
      <c r="A44" s="374" t="str">
        <f>IF($B44="","",22)</f>
        <v/>
      </c>
      <c r="B44" s="375" t="str" cm="1">
        <f t="array" ref="B44">IFERROR(IF(INDEX($AC$72:$AC$430,$K44)="","",INDEX($AC$72:$AC$430,$K44)),"")</f>
        <v/>
      </c>
      <c r="C44" s="376" t="str" cm="1">
        <f t="array" ref="C44">IF($B44="","",INDEX($AG$72:$AG$430,$K44))</f>
        <v/>
      </c>
      <c r="D44" s="377" t="str" cm="1">
        <f t="array" ref="D44">IF($B44="","",INDEX($AH$72:$AH$430,$K44))</f>
        <v/>
      </c>
      <c r="E44" s="378" t="str">
        <f t="shared" si="0"/>
        <v/>
      </c>
      <c r="F44" s="379" t="str" cm="1">
        <f t="array" ref="F44">IF($B44="","",IF(UPPER(TRIM($D44))="QT. SUFFISANTE","Qt. suffisante",IF($N44="","",IF($L44="MASSE",IF($N44&gt;=1,"Kg","g"),IF($L44="VOLUME",IF($N44&gt;=1,"L","cl"),INDEX($AL$72:$AL$430,$K44))))))</f>
        <v/>
      </c>
      <c r="G44" s="380" t="str">
        <f t="shared" si="1"/>
        <v/>
      </c>
      <c r="H44" s="381" t="str" cm="1">
        <f t="array" ref="H44">IF($B44="","",IF(UPPER(TRIM($D44))="QT. SUFFISANTE","Qt. suffisante",IF($O44="","",IF($L44="MASSE",IF($O44&gt;=1,"Kg","g"),IF($L44="VOLUME",IF($O44&gt;=1,"L","cl"),INDEX($AL$72:$AL$430,$K44))))))</f>
        <v/>
      </c>
      <c r="I44" s="382" t="str" cm="1">
        <f t="array" ref="I44">IF($B44="","",INDEX($AM$72:$AM$430,$K44))</f>
        <v/>
      </c>
      <c r="J44" s="271"/>
      <c r="K44" s="383">
        <f>1+($B$5-1)*36+22</f>
        <v>203</v>
      </c>
      <c r="L44" s="383" t="str" cm="1">
        <f t="array" ref="L44">IF($B44="","",INDEX($AI$72:$AI$430,$K44))</f>
        <v/>
      </c>
      <c r="M44" s="383" t="str" cm="1">
        <f t="array" ref="M44">IF($B44="","",INDEX($AJ$72:$AJ$430,$K44))</f>
        <v/>
      </c>
      <c r="N44" s="384" t="str" cm="1">
        <f t="array" ref="N44">IF(OR($B44="",$B$13="",$B$12="",$B$12=0),"",IF($L$22="AUTRE",IFERROR(INDEX($AK$72:$AK$430,$K44)*($B$13/$B$12),""),IF(OR($C$12="",$C$13=""),"",IFERROR(INDEX($AK$72:$AK$430,$K44)*(($B$13*VLOOKUP($C$13,$AY$74:$BA$119,3,FALSE))/($B$12*VLOOKUP($C$12,$AY$74:$BA$119,3,FALSE))),""))))</f>
        <v/>
      </c>
      <c r="O44" s="384" t="str" cm="1">
        <f t="array" ref="O44">IF(OR($B44="",$G$12="",$G$11="",$G$11=0),"",IFERROR(INDEX($AK$72:$AK$430,$K44)*($G$12/$G$11),""))</f>
        <v/>
      </c>
      <c r="U44" s="640" t="s">
        <v>343</v>
      </c>
      <c r="V44" s="641"/>
      <c r="W44" s="642" t="s">
        <v>8075</v>
      </c>
      <c r="X44" s="642"/>
      <c r="Y44" s="642"/>
      <c r="Z44" s="642"/>
      <c r="AA44" s="643"/>
      <c r="AD44" s="301" t="s">
        <v>8071</v>
      </c>
      <c r="AE44" s="322" t="s">
        <v>8076</v>
      </c>
      <c r="AF44" s="303"/>
      <c r="AG44" s="557" t="s">
        <v>8077</v>
      </c>
      <c r="AH44" s="557"/>
      <c r="AI44" s="311" t="s">
        <v>8078</v>
      </c>
      <c r="AJ44" s="311"/>
      <c r="AK44" s="311"/>
      <c r="AL44" s="311"/>
      <c r="AM44" s="311"/>
      <c r="AN44" s="311"/>
      <c r="AO44" s="311"/>
      <c r="AP44" s="311"/>
      <c r="AQ44" s="311"/>
      <c r="BB44" s="271"/>
      <c r="BC44" s="271"/>
      <c r="BD44" s="279">
        <v>1</v>
      </c>
      <c r="BE44" s="271"/>
      <c r="BF44" s="271"/>
      <c r="BG44" s="271"/>
    </row>
    <row r="45" spans="1:59" ht="20.100000000000001" customHeight="1" x14ac:dyDescent="0.25">
      <c r="A45" s="374" t="str">
        <f>IF($B45="","",23)</f>
        <v/>
      </c>
      <c r="B45" s="375" t="str" cm="1">
        <f t="array" ref="B45">IFERROR(IF(INDEX($AC$72:$AC$430,$K45)="","",INDEX($AC$72:$AC$430,$K45)),"")</f>
        <v/>
      </c>
      <c r="C45" s="376" t="str" cm="1">
        <f t="array" ref="C45">IF($B45="","",INDEX($AG$72:$AG$430,$K45))</f>
        <v/>
      </c>
      <c r="D45" s="377" t="str" cm="1">
        <f t="array" ref="D45">IF($B45="","",INDEX($AH$72:$AH$430,$K45))</f>
        <v/>
      </c>
      <c r="E45" s="378" t="str">
        <f t="shared" si="0"/>
        <v/>
      </c>
      <c r="F45" s="379" t="str" cm="1">
        <f t="array" ref="F45">IF($B45="","",IF(UPPER(TRIM($D45))="QT. SUFFISANTE","Qt. suffisante",IF($N45="","",IF($L45="MASSE",IF($N45&gt;=1,"Kg","g"),IF($L45="VOLUME",IF($N45&gt;=1,"L","cl"),INDEX($AL$72:$AL$430,$K45))))))</f>
        <v/>
      </c>
      <c r="G45" s="380" t="str">
        <f t="shared" si="1"/>
        <v/>
      </c>
      <c r="H45" s="381" t="str" cm="1">
        <f t="array" ref="H45">IF($B45="","",IF(UPPER(TRIM($D45))="QT. SUFFISANTE","Qt. suffisante",IF($O45="","",IF($L45="MASSE",IF($O45&gt;=1,"Kg","g"),IF($L45="VOLUME",IF($O45&gt;=1,"L","cl"),INDEX($AL$72:$AL$430,$K45))))))</f>
        <v/>
      </c>
      <c r="I45" s="382" t="str" cm="1">
        <f t="array" ref="I45">IF($B45="","",INDEX($AM$72:$AM$430,$K45))</f>
        <v/>
      </c>
      <c r="J45" s="271"/>
      <c r="K45" s="383">
        <f>1+($B$5-1)*36+23</f>
        <v>204</v>
      </c>
      <c r="L45" s="383" t="str" cm="1">
        <f t="array" ref="L45">IF($B45="","",INDEX($AI$72:$AI$430,$K45))</f>
        <v/>
      </c>
      <c r="M45" s="383" t="str" cm="1">
        <f t="array" ref="M45">IF($B45="","",INDEX($AJ$72:$AJ$430,$K45))</f>
        <v/>
      </c>
      <c r="N45" s="384" t="str" cm="1">
        <f t="array" ref="N45">IF(OR($B45="",$B$13="",$B$12="",$B$12=0),"",IF($L$22="AUTRE",IFERROR(INDEX($AK$72:$AK$430,$K45)*($B$13/$B$12),""),IF(OR($C$12="",$C$13=""),"",IFERROR(INDEX($AK$72:$AK$430,$K45)*(($B$13*VLOOKUP($C$13,$AY$74:$BA$119,3,FALSE))/($B$12*VLOOKUP($C$12,$AY$74:$BA$119,3,FALSE))),""))))</f>
        <v/>
      </c>
      <c r="O45" s="384" t="str" cm="1">
        <f t="array" ref="O45">IF(OR($B45="",$G$12="",$G$11="",$G$11=0),"",IFERROR(INDEX($AK$72:$AK$430,$K45)*($G$12/$G$11),""))</f>
        <v/>
      </c>
      <c r="U45" s="640"/>
      <c r="V45" s="641"/>
      <c r="W45" s="642"/>
      <c r="X45" s="642"/>
      <c r="Y45" s="642"/>
      <c r="Z45" s="642"/>
      <c r="AA45" s="643"/>
      <c r="AD45" s="301" t="s">
        <v>8071</v>
      </c>
      <c r="AE45" s="322" t="s">
        <v>8079</v>
      </c>
      <c r="AF45" s="303"/>
      <c r="AG45" s="557" t="s">
        <v>8080</v>
      </c>
      <c r="AH45" s="557"/>
      <c r="AI45" s="311" t="s">
        <v>8081</v>
      </c>
      <c r="AJ45" s="311"/>
      <c r="AK45" s="311"/>
      <c r="AL45" s="311"/>
      <c r="AM45" s="311"/>
      <c r="AN45" s="311"/>
      <c r="AO45" s="311"/>
      <c r="AP45" s="311"/>
      <c r="AQ45" s="311"/>
      <c r="BB45" s="271"/>
      <c r="BC45" s="271"/>
      <c r="BD45" s="279">
        <v>1</v>
      </c>
      <c r="BE45" s="271"/>
      <c r="BF45" s="271"/>
      <c r="BG45" s="271"/>
    </row>
    <row r="46" spans="1:59" ht="20.100000000000001" customHeight="1" x14ac:dyDescent="0.25">
      <c r="A46" s="374" t="str">
        <f>IF($B46="","",24)</f>
        <v/>
      </c>
      <c r="B46" s="375" t="str" cm="1">
        <f t="array" ref="B46">IFERROR(IF(INDEX($AC$72:$AC$430,$K46)="","",INDEX($AC$72:$AC$430,$K46)),"")</f>
        <v/>
      </c>
      <c r="C46" s="376" t="str" cm="1">
        <f t="array" ref="C46">IF($B46="","",INDEX($AG$72:$AG$430,$K46))</f>
        <v/>
      </c>
      <c r="D46" s="377" t="str" cm="1">
        <f t="array" ref="D46">IF($B46="","",INDEX($AH$72:$AH$430,$K46))</f>
        <v/>
      </c>
      <c r="E46" s="378" t="str">
        <f t="shared" si="0"/>
        <v/>
      </c>
      <c r="F46" s="379" t="str" cm="1">
        <f t="array" ref="F46">IF($B46="","",IF(UPPER(TRIM($D46))="QT. SUFFISANTE","Qt. suffisante",IF($N46="","",IF($L46="MASSE",IF($N46&gt;=1,"Kg","g"),IF($L46="VOLUME",IF($N46&gt;=1,"L","cl"),INDEX($AL$72:$AL$430,$K46))))))</f>
        <v/>
      </c>
      <c r="G46" s="380" t="str">
        <f t="shared" si="1"/>
        <v/>
      </c>
      <c r="H46" s="381" t="str" cm="1">
        <f t="array" ref="H46">IF($B46="","",IF(UPPER(TRIM($D46))="QT. SUFFISANTE","Qt. suffisante",IF($O46="","",IF($L46="MASSE",IF($O46&gt;=1,"Kg","g"),IF($L46="VOLUME",IF($O46&gt;=1,"L","cl"),INDEX($AL$72:$AL$430,$K46))))))</f>
        <v/>
      </c>
      <c r="I46" s="382" t="str" cm="1">
        <f t="array" ref="I46">IF($B46="","",INDEX($AM$72:$AM$430,$K46))</f>
        <v/>
      </c>
      <c r="J46" s="271"/>
      <c r="K46" s="383">
        <f>1+($B$5-1)*36+24</f>
        <v>205</v>
      </c>
      <c r="L46" s="383" t="str" cm="1">
        <f t="array" ref="L46">IF($B46="","",INDEX($AI$72:$AI$430,$K46))</f>
        <v/>
      </c>
      <c r="M46" s="383" t="str" cm="1">
        <f t="array" ref="M46">IF($B46="","",INDEX($AJ$72:$AJ$430,$K46))</f>
        <v/>
      </c>
      <c r="N46" s="384" t="str" cm="1">
        <f t="array" ref="N46">IF(OR($B46="",$B$13="",$B$12="",$B$12=0),"",IF($L$22="AUTRE",IFERROR(INDEX($AK$72:$AK$430,$K46)*($B$13/$B$12),""),IF(OR($C$12="",$C$13=""),"",IFERROR(INDEX($AK$72:$AK$430,$K46)*(($B$13*VLOOKUP($C$13,$AY$74:$BA$119,3,FALSE))/($B$12*VLOOKUP($C$12,$AY$74:$BA$119,3,FALSE))),""))))</f>
        <v/>
      </c>
      <c r="O46" s="384" t="str" cm="1">
        <f t="array" ref="O46">IF(OR($B46="",$G$12="",$G$11="",$G$11=0),"",IFERROR(INDEX($AK$72:$AK$430,$K46)*($G$12/$G$11),""))</f>
        <v/>
      </c>
      <c r="U46" s="156"/>
      <c r="V46" s="156"/>
      <c r="W46" s="156"/>
      <c r="X46" s="156"/>
      <c r="Y46" s="156"/>
      <c r="Z46" s="156"/>
      <c r="AA46" s="156"/>
      <c r="AD46" s="412" t="s">
        <v>8082</v>
      </c>
      <c r="AE46" s="413" t="s">
        <v>8035</v>
      </c>
      <c r="AF46" s="414"/>
      <c r="AG46" s="658" t="s">
        <v>33</v>
      </c>
      <c r="AH46" s="658"/>
      <c r="AI46" s="415" t="s">
        <v>8083</v>
      </c>
      <c r="AJ46" s="415"/>
      <c r="AK46" s="415"/>
      <c r="AL46" s="415"/>
      <c r="AM46" s="415"/>
      <c r="AN46" s="415"/>
      <c r="AO46" s="415"/>
      <c r="AP46" s="415"/>
      <c r="AQ46" s="415"/>
      <c r="AY46" s="416" t="s">
        <v>8084</v>
      </c>
      <c r="AZ46" s="220"/>
      <c r="BA46" s="220"/>
      <c r="BB46" s="220"/>
      <c r="BC46" s="271"/>
      <c r="BD46" s="279">
        <v>1</v>
      </c>
      <c r="BE46" s="271"/>
      <c r="BF46" s="271"/>
      <c r="BG46" s="271"/>
    </row>
    <row r="47" spans="1:59" ht="20.100000000000001" customHeight="1" x14ac:dyDescent="0.25">
      <c r="A47" s="374" t="str">
        <f>IF($B47="","",25)</f>
        <v/>
      </c>
      <c r="B47" s="375" t="str" cm="1">
        <f t="array" ref="B47">IFERROR(IF(INDEX($AC$72:$AC$430,$K47)="","",INDEX($AC$72:$AC$430,$K47)),"")</f>
        <v/>
      </c>
      <c r="C47" s="376" t="str" cm="1">
        <f t="array" ref="C47">IF($B47="","",INDEX($AG$72:$AG$430,$K47))</f>
        <v/>
      </c>
      <c r="D47" s="377" t="str" cm="1">
        <f t="array" ref="D47">IF($B47="","",INDEX($AH$72:$AH$430,$K47))</f>
        <v/>
      </c>
      <c r="E47" s="378" t="str">
        <f t="shared" si="0"/>
        <v/>
      </c>
      <c r="F47" s="379" t="str" cm="1">
        <f t="array" ref="F47">IF($B47="","",IF(UPPER(TRIM($D47))="QT. SUFFISANTE","Qt. suffisante",IF($N47="","",IF($L47="MASSE",IF($N47&gt;=1,"Kg","g"),IF($L47="VOLUME",IF($N47&gt;=1,"L","cl"),INDEX($AL$72:$AL$430,$K47))))))</f>
        <v/>
      </c>
      <c r="G47" s="380" t="str">
        <f t="shared" si="1"/>
        <v/>
      </c>
      <c r="H47" s="381" t="str" cm="1">
        <f t="array" ref="H47">IF($B47="","",IF(UPPER(TRIM($D47))="QT. SUFFISANTE","Qt. suffisante",IF($O47="","",IF($L47="MASSE",IF($O47&gt;=1,"Kg","g"),IF($L47="VOLUME",IF($O47&gt;=1,"L","cl"),INDEX($AL$72:$AL$430,$K47))))))</f>
        <v/>
      </c>
      <c r="I47" s="382" t="str" cm="1">
        <f t="array" ref="I47">IF($B47="","",INDEX($AM$72:$AM$430,$K47))</f>
        <v/>
      </c>
      <c r="J47" s="271"/>
      <c r="K47" s="383">
        <f>1+($B$5-1)*36+25</f>
        <v>206</v>
      </c>
      <c r="L47" s="383" t="str" cm="1">
        <f t="array" ref="L47">IF($B47="","",INDEX($AI$72:$AI$430,$K47))</f>
        <v/>
      </c>
      <c r="M47" s="383" t="str" cm="1">
        <f t="array" ref="M47">IF($B47="","",INDEX($AJ$72:$AJ$430,$K47))</f>
        <v/>
      </c>
      <c r="N47" s="384" t="str" cm="1">
        <f t="array" ref="N47">IF(OR($B47="",$B$13="",$B$12="",$B$12=0),"",IF($L$22="AUTRE",IFERROR(INDEX($AK$72:$AK$430,$K47)*($B$13/$B$12),""),IF(OR($C$12="",$C$13=""),"",IFERROR(INDEX($AK$72:$AK$430,$K47)*(($B$13*VLOOKUP($C$13,$AY$74:$BA$119,3,FALSE))/($B$12*VLOOKUP($C$12,$AY$74:$BA$119,3,FALSE))),""))))</f>
        <v/>
      </c>
      <c r="O47" s="384" t="str" cm="1">
        <f t="array" ref="O47">IF(OR($B47="",$G$12="",$G$11="",$G$11=0),"",IFERROR(INDEX($AK$72:$AK$430,$K47)*($G$12/$G$11),""))</f>
        <v/>
      </c>
      <c r="U47" s="156"/>
      <c r="V47" s="156"/>
      <c r="W47" s="156"/>
      <c r="X47" s="156"/>
      <c r="Y47" s="156"/>
      <c r="Z47" s="156"/>
      <c r="AA47" s="156"/>
      <c r="AY47" s="28" t="s">
        <v>21</v>
      </c>
      <c r="AZ47" s="417" t="s">
        <v>35</v>
      </c>
      <c r="BA47" s="418">
        <v>2.835E-2</v>
      </c>
      <c r="BB47" s="419" t="s">
        <v>36</v>
      </c>
      <c r="BC47" s="271"/>
      <c r="BD47" s="279">
        <v>1</v>
      </c>
      <c r="BE47" s="271"/>
      <c r="BF47" s="271"/>
      <c r="BG47" s="271"/>
    </row>
    <row r="48" spans="1:59" ht="20.100000000000001" customHeight="1" x14ac:dyDescent="0.25">
      <c r="A48" s="374" t="str">
        <f>IF($B48="","",26)</f>
        <v/>
      </c>
      <c r="B48" s="375" t="str" cm="1">
        <f t="array" ref="B48">IFERROR(IF(INDEX($AC$72:$AC$430,$K48)="","",INDEX($AC$72:$AC$430,$K48)),"")</f>
        <v/>
      </c>
      <c r="C48" s="376" t="str" cm="1">
        <f t="array" ref="C48">IF($B48="","",INDEX($AG$72:$AG$430,$K48))</f>
        <v/>
      </c>
      <c r="D48" s="377" t="str" cm="1">
        <f t="array" ref="D48">IF($B48="","",INDEX($AH$72:$AH$430,$K48))</f>
        <v/>
      </c>
      <c r="E48" s="378" t="str">
        <f t="shared" si="0"/>
        <v/>
      </c>
      <c r="F48" s="379" t="str" cm="1">
        <f t="array" ref="F48">IF($B48="","",IF(UPPER(TRIM($D48))="QT. SUFFISANTE","Qt. suffisante",IF($N48="","",IF($L48="MASSE",IF($N48&gt;=1,"Kg","g"),IF($L48="VOLUME",IF($N48&gt;=1,"L","cl"),INDEX($AL$72:$AL$430,$K48))))))</f>
        <v/>
      </c>
      <c r="G48" s="380" t="str">
        <f t="shared" si="1"/>
        <v/>
      </c>
      <c r="H48" s="381" t="str" cm="1">
        <f t="array" ref="H48">IF($B48="","",IF(UPPER(TRIM($D48))="QT. SUFFISANTE","Qt. suffisante",IF($O48="","",IF($L48="MASSE",IF($O48&gt;=1,"Kg","g"),IF($L48="VOLUME",IF($O48&gt;=1,"L","cl"),INDEX($AL$72:$AL$430,$K48))))))</f>
        <v/>
      </c>
      <c r="I48" s="382" t="str" cm="1">
        <f t="array" ref="I48">IF($B48="","",INDEX($AM$72:$AM$430,$K48))</f>
        <v/>
      </c>
      <c r="J48" s="271"/>
      <c r="K48" s="383">
        <f>1+($B$5-1)*36+26</f>
        <v>207</v>
      </c>
      <c r="L48" s="383" t="str" cm="1">
        <f t="array" ref="L48">IF($B48="","",INDEX($AI$72:$AI$430,$K48))</f>
        <v/>
      </c>
      <c r="M48" s="383" t="str" cm="1">
        <f t="array" ref="M48">IF($B48="","",INDEX($AJ$72:$AJ$430,$K48))</f>
        <v/>
      </c>
      <c r="N48" s="384" t="str" cm="1">
        <f t="array" ref="N48">IF(OR($B48="",$B$13="",$B$12="",$B$12=0),"",IF($L$22="AUTRE",IFERROR(INDEX($AK$72:$AK$430,$K48)*($B$13/$B$12),""),IF(OR($C$12="",$C$13=""),"",IFERROR(INDEX($AK$72:$AK$430,$K48)*(($B$13*VLOOKUP($C$13,$AY$74:$BA$119,3,FALSE))/($B$12*VLOOKUP($C$12,$AY$74:$BA$119,3,FALSE))),""))))</f>
        <v/>
      </c>
      <c r="O48" s="384" t="str" cm="1">
        <f t="array" ref="O48">IF(OR($B48="",$G$12="",$G$11="",$G$11=0),"",IFERROR(INDEX($AK$72:$AK$430,$K48)*($G$12/$G$11),""))</f>
        <v/>
      </c>
      <c r="U48" s="156"/>
      <c r="V48" s="156"/>
      <c r="W48" s="156"/>
      <c r="X48" s="156"/>
      <c r="Y48" s="156"/>
      <c r="Z48" s="156"/>
      <c r="AA48" s="156"/>
      <c r="AD48" s="10" t="s">
        <v>8171</v>
      </c>
      <c r="AY48" s="28" t="s">
        <v>22</v>
      </c>
      <c r="AZ48" s="417" t="s">
        <v>35</v>
      </c>
      <c r="BA48" s="418">
        <v>0.13</v>
      </c>
      <c r="BB48" s="419" t="s">
        <v>36</v>
      </c>
      <c r="BC48" s="271"/>
      <c r="BD48" s="279">
        <v>1</v>
      </c>
      <c r="BE48" s="271"/>
      <c r="BF48" s="271"/>
      <c r="BG48" s="271"/>
    </row>
    <row r="49" spans="1:64" ht="20.100000000000001" customHeight="1" x14ac:dyDescent="0.25">
      <c r="A49" s="374" t="str">
        <f>IF($B49="","",27)</f>
        <v/>
      </c>
      <c r="B49" s="375" t="str" cm="1">
        <f t="array" ref="B49">IFERROR(IF(INDEX($AC$72:$AC$430,$K49)="","",INDEX($AC$72:$AC$430,$K49)),"")</f>
        <v/>
      </c>
      <c r="C49" s="376" t="str" cm="1">
        <f t="array" ref="C49">IF($B49="","",INDEX($AG$72:$AG$430,$K49))</f>
        <v/>
      </c>
      <c r="D49" s="377" t="str" cm="1">
        <f t="array" ref="D49">IF($B49="","",INDEX($AH$72:$AH$430,$K49))</f>
        <v/>
      </c>
      <c r="E49" s="378" t="str">
        <f t="shared" si="0"/>
        <v/>
      </c>
      <c r="F49" s="379" t="str" cm="1">
        <f t="array" ref="F49">IF($B49="","",IF(UPPER(TRIM($D49))="QT. SUFFISANTE","Qt. suffisante",IF($N49="","",IF($L49="MASSE",IF($N49&gt;=1,"Kg","g"),IF($L49="VOLUME",IF($N49&gt;=1,"L","cl"),INDEX($AL$72:$AL$430,$K49))))))</f>
        <v/>
      </c>
      <c r="G49" s="380" t="str">
        <f t="shared" si="1"/>
        <v/>
      </c>
      <c r="H49" s="381" t="str" cm="1">
        <f t="array" ref="H49">IF($B49="","",IF(UPPER(TRIM($D49))="QT. SUFFISANTE","Qt. suffisante",IF($O49="","",IF($L49="MASSE",IF($O49&gt;=1,"Kg","g"),IF($L49="VOLUME",IF($O49&gt;=1,"L","cl"),INDEX($AL$72:$AL$430,$K49))))))</f>
        <v/>
      </c>
      <c r="I49" s="382" t="str" cm="1">
        <f t="array" ref="I49">IF($B49="","",INDEX($AM$72:$AM$430,$K49))</f>
        <v/>
      </c>
      <c r="J49" s="271"/>
      <c r="K49" s="383">
        <f>1+($B$5-1)*36+27</f>
        <v>208</v>
      </c>
      <c r="L49" s="383" t="str" cm="1">
        <f t="array" ref="L49">IF($B49="","",INDEX($AI$72:$AI$430,$K49))</f>
        <v/>
      </c>
      <c r="M49" s="383" t="str" cm="1">
        <f t="array" ref="M49">IF($B49="","",INDEX($AJ$72:$AJ$430,$K49))</f>
        <v/>
      </c>
      <c r="N49" s="384" t="str" cm="1">
        <f t="array" ref="N49">IF(OR($B49="",$B$13="",$B$12="",$B$12=0),"",IF($L$22="AUTRE",IFERROR(INDEX($AK$72:$AK$430,$K49)*($B$13/$B$12),""),IF(OR($C$12="",$C$13=""),"",IFERROR(INDEX($AK$72:$AK$430,$K49)*(($B$13*VLOOKUP($C$13,$AY$74:$BA$119,3,FALSE))/($B$12*VLOOKUP($C$12,$AY$74:$BA$119,3,FALSE))),""))))</f>
        <v/>
      </c>
      <c r="O49" s="384" t="str" cm="1">
        <f t="array" ref="O49">IF(OR($B49="",$G$12="",$G$11="",$G$11=0),"",IFERROR(INDEX($AK$72:$AK$430,$K49)*($G$12/$G$11),""))</f>
        <v/>
      </c>
      <c r="U49" s="156"/>
      <c r="V49" s="156"/>
      <c r="W49" s="156"/>
      <c r="X49" s="156"/>
      <c r="Y49" s="156"/>
      <c r="Z49" s="156"/>
      <c r="AA49" s="156"/>
      <c r="AD49" s="2" t="s">
        <v>1</v>
      </c>
      <c r="AY49" s="28" t="s">
        <v>23</v>
      </c>
      <c r="AZ49" s="417" t="s">
        <v>35</v>
      </c>
      <c r="BA49" s="418">
        <v>0.2</v>
      </c>
      <c r="BB49" s="419" t="s">
        <v>36</v>
      </c>
      <c r="BC49" s="271"/>
      <c r="BD49" s="279">
        <v>1</v>
      </c>
      <c r="BE49" s="271"/>
      <c r="BF49" s="271"/>
      <c r="BG49" s="271"/>
    </row>
    <row r="50" spans="1:64" ht="20.100000000000001" customHeight="1" x14ac:dyDescent="0.25">
      <c r="A50" s="374" t="str">
        <f>IF($B50="","",28)</f>
        <v/>
      </c>
      <c r="B50" s="375" t="str" cm="1">
        <f t="array" ref="B50">IFERROR(IF(INDEX($AC$72:$AC$430,$K50)="","",INDEX($AC$72:$AC$430,$K50)),"")</f>
        <v/>
      </c>
      <c r="C50" s="376" t="str" cm="1">
        <f t="array" ref="C50">IF($B50="","",INDEX($AG$72:$AG$430,$K50))</f>
        <v/>
      </c>
      <c r="D50" s="377" t="str" cm="1">
        <f t="array" ref="D50">IF($B50="","",INDEX($AH$72:$AH$430,$K50))</f>
        <v/>
      </c>
      <c r="E50" s="378" t="str">
        <f t="shared" si="0"/>
        <v/>
      </c>
      <c r="F50" s="379" t="str" cm="1">
        <f t="array" ref="F50">IF($B50="","",IF(UPPER(TRIM($D50))="QT. SUFFISANTE","Qt. suffisante",IF($N50="","",IF($L50="MASSE",IF($N50&gt;=1,"Kg","g"),IF($L50="VOLUME",IF($N50&gt;=1,"L","cl"),INDEX($AL$72:$AL$430,$K50))))))</f>
        <v/>
      </c>
      <c r="G50" s="380" t="str">
        <f t="shared" si="1"/>
        <v/>
      </c>
      <c r="H50" s="381" t="str" cm="1">
        <f t="array" ref="H50">IF($B50="","",IF(UPPER(TRIM($D50))="QT. SUFFISANTE","Qt. suffisante",IF($O50="","",IF($L50="MASSE",IF($O50&gt;=1,"Kg","g"),IF($L50="VOLUME",IF($O50&gt;=1,"L","cl"),INDEX($AL$72:$AL$430,$K50))))))</f>
        <v/>
      </c>
      <c r="I50" s="382" t="str" cm="1">
        <f t="array" ref="I50">IF($B50="","",INDEX($AM$72:$AM$430,$K50))</f>
        <v/>
      </c>
      <c r="J50" s="271"/>
      <c r="K50" s="383">
        <f>1+($B$5-1)*36+28</f>
        <v>209</v>
      </c>
      <c r="L50" s="383" t="str" cm="1">
        <f t="array" ref="L50">IF($B50="","",INDEX($AI$72:$AI$430,$K50))</f>
        <v/>
      </c>
      <c r="M50" s="383" t="str" cm="1">
        <f t="array" ref="M50">IF($B50="","",INDEX($AJ$72:$AJ$430,$K50))</f>
        <v/>
      </c>
      <c r="N50" s="384" t="str" cm="1">
        <f t="array" ref="N50">IF(OR($B50="",$B$13="",$B$12="",$B$12=0),"",IF($L$22="AUTRE",IFERROR(INDEX($AK$72:$AK$430,$K50)*($B$13/$B$12),""),IF(OR($C$12="",$C$13=""),"",IFERROR(INDEX($AK$72:$AK$430,$K50)*(($B$13*VLOOKUP($C$13,$AY$74:$BA$119,3,FALSE))/($B$12*VLOOKUP($C$12,$AY$74:$BA$119,3,FALSE))),""))))</f>
        <v/>
      </c>
      <c r="O50" s="384" t="str" cm="1">
        <f t="array" ref="O50">IF(OR($B50="",$G$12="",$G$11="",$G$11=0),"",IFERROR(INDEX($AK$72:$AK$430,$K50)*($G$12/$G$11),""))</f>
        <v/>
      </c>
      <c r="U50" s="156"/>
      <c r="V50" s="156"/>
      <c r="W50" s="156"/>
      <c r="X50" s="156"/>
      <c r="Y50" s="156"/>
      <c r="Z50" s="156"/>
      <c r="AA50" s="156"/>
      <c r="AD50" s="2" t="s">
        <v>8219</v>
      </c>
      <c r="AY50" s="28" t="s">
        <v>24</v>
      </c>
      <c r="AZ50" s="417" t="s">
        <v>35</v>
      </c>
      <c r="BA50" s="418">
        <v>0.23</v>
      </c>
      <c r="BB50" s="419" t="s">
        <v>36</v>
      </c>
      <c r="BC50" s="271"/>
      <c r="BD50" s="279">
        <v>1</v>
      </c>
      <c r="BE50" s="271"/>
      <c r="BF50" s="271"/>
      <c r="BG50" s="271"/>
    </row>
    <row r="51" spans="1:64" ht="23.1" customHeight="1" x14ac:dyDescent="0.25">
      <c r="A51" s="374" t="str">
        <f>IF($B51="","",29)</f>
        <v/>
      </c>
      <c r="B51" s="375" t="str" cm="1">
        <f t="array" ref="B51">IFERROR(IF(INDEX($AC$72:$AC$430,$K51)="","",INDEX($AC$72:$AC$430,$K51)),"")</f>
        <v/>
      </c>
      <c r="C51" s="376" t="str" cm="1">
        <f t="array" ref="C51">IF($B51="","",INDEX($AG$72:$AG$430,$K51))</f>
        <v/>
      </c>
      <c r="D51" s="377" t="str" cm="1">
        <f t="array" ref="D51">IF($B51="","",INDEX($AH$72:$AH$430,$K51))</f>
        <v/>
      </c>
      <c r="E51" s="378" t="str">
        <f t="shared" si="0"/>
        <v/>
      </c>
      <c r="F51" s="379" t="str" cm="1">
        <f t="array" ref="F51">IF($B51="","",IF(UPPER(TRIM($D51))="QT. SUFFISANTE","Qt. suffisante",IF($N51="","",IF($L51="MASSE",IF($N51&gt;=1,"Kg","g"),IF($L51="VOLUME",IF($N51&gt;=1,"L","cl"),INDEX($AL$72:$AL$430,$K51))))))</f>
        <v/>
      </c>
      <c r="G51" s="380" t="str">
        <f t="shared" si="1"/>
        <v/>
      </c>
      <c r="H51" s="381" t="str" cm="1">
        <f t="array" ref="H51">IF($B51="","",IF(UPPER(TRIM($D51))="QT. SUFFISANTE","Qt. suffisante",IF($O51="","",IF($L51="MASSE",IF($O51&gt;=1,"Kg","g"),IF($L51="VOLUME",IF($O51&gt;=1,"L","cl"),INDEX($AL$72:$AL$430,$K51))))))</f>
        <v/>
      </c>
      <c r="I51" s="382" t="str" cm="1">
        <f t="array" ref="I51">IF($B51="","",INDEX($AM$72:$AM$430,$K51))</f>
        <v/>
      </c>
      <c r="J51" s="271"/>
      <c r="K51" s="383">
        <f>1+($B$5-1)*36+29</f>
        <v>210</v>
      </c>
      <c r="L51" s="383" t="str" cm="1">
        <f t="array" ref="L51">IF($B51="","",INDEX($AI$72:$AI$430,$K51))</f>
        <v/>
      </c>
      <c r="M51" s="383" t="str" cm="1">
        <f t="array" ref="M51">IF($B51="","",INDEX($AJ$72:$AJ$430,$K51))</f>
        <v/>
      </c>
      <c r="N51" s="384" t="str" cm="1">
        <f t="array" ref="N51">IF(OR($B51="",$B$13="",$B$12="",$B$12=0),"",IF($L$22="AUTRE",IFERROR(INDEX($AK$72:$AK$430,$K51)*($B$13/$B$12),""),IF(OR($C$12="",$C$13=""),"",IFERROR(INDEX($AK$72:$AK$430,$K51)*(($B$13*VLOOKUP($C$13,$AY$74:$BA$119,3,FALSE))/($B$12*VLOOKUP($C$12,$AY$74:$BA$119,3,FALSE))),""))))</f>
        <v/>
      </c>
      <c r="O51" s="384" t="str" cm="1">
        <f t="array" ref="O51">IF(OR($B51="",$G$12="",$G$11="",$G$11=0),"",IFERROR(INDEX($AK$72:$AK$430,$K51)*($G$12/$G$11),""))</f>
        <v/>
      </c>
      <c r="U51" s="156"/>
      <c r="V51" s="156"/>
      <c r="W51" s="156"/>
      <c r="X51" s="156"/>
      <c r="Y51" s="156"/>
      <c r="Z51" s="156"/>
      <c r="AA51" s="156"/>
      <c r="AY51" s="31" t="s">
        <v>25</v>
      </c>
      <c r="AZ51" s="417" t="s">
        <v>37</v>
      </c>
      <c r="BA51" s="418">
        <v>0.22500000000000001</v>
      </c>
      <c r="BB51" s="419" t="s">
        <v>9</v>
      </c>
      <c r="BC51" s="271"/>
      <c r="BD51" s="279">
        <v>1</v>
      </c>
      <c r="BE51" s="271"/>
      <c r="BF51" s="271"/>
      <c r="BG51" s="271"/>
    </row>
    <row r="52" spans="1:64" ht="21" customHeight="1" x14ac:dyDescent="0.25">
      <c r="A52" s="374" t="str">
        <f>IF($B52="","",30)</f>
        <v/>
      </c>
      <c r="B52" s="375" t="str" cm="1">
        <f t="array" ref="B52">IFERROR(IF(INDEX($AC$72:$AC$430,$K52)="","",INDEX($AC$72:$AC$430,$K52)),"")</f>
        <v/>
      </c>
      <c r="C52" s="376" t="str" cm="1">
        <f t="array" ref="C52">IF($B52="","",INDEX($AG$72:$AG$430,$K52))</f>
        <v/>
      </c>
      <c r="D52" s="377" t="str" cm="1">
        <f t="array" ref="D52">IF($B52="","",INDEX($AH$72:$AH$430,$K52))</f>
        <v/>
      </c>
      <c r="E52" s="378" t="str">
        <f t="shared" si="0"/>
        <v/>
      </c>
      <c r="F52" s="379" t="str" cm="1">
        <f t="array" ref="F52">IF($B52="","",IF(UPPER(TRIM($D52))="QT. SUFFISANTE","Qt. suffisante",IF($N52="","",IF($L52="MASSE",IF($N52&gt;=1,"Kg","g"),IF($L52="VOLUME",IF($N52&gt;=1,"L","cl"),INDEX($AL$72:$AL$430,$K52))))))</f>
        <v/>
      </c>
      <c r="G52" s="380" t="str">
        <f t="shared" si="1"/>
        <v/>
      </c>
      <c r="H52" s="381" t="str" cm="1">
        <f t="array" ref="H52">IF($B52="","",IF(UPPER(TRIM($D52))="QT. SUFFISANTE","Qt. suffisante",IF($O52="","",IF($L52="MASSE",IF($O52&gt;=1,"Kg","g"),IF($L52="VOLUME",IF($O52&gt;=1,"L","cl"),INDEX($AL$72:$AL$430,$K52))))))</f>
        <v/>
      </c>
      <c r="I52" s="382" t="str" cm="1">
        <f t="array" ref="I52">IF($B52="","",INDEX($AM$72:$AM$430,$K52))</f>
        <v/>
      </c>
      <c r="J52" s="271"/>
      <c r="K52" s="383">
        <f>1+($B$5-1)*36+30</f>
        <v>211</v>
      </c>
      <c r="L52" s="383" t="str" cm="1">
        <f t="array" ref="L52">IF($B52="","",INDEX($AI$72:$AI$430,$K52))</f>
        <v/>
      </c>
      <c r="M52" s="383" t="str" cm="1">
        <f t="array" ref="M52">IF($B52="","",INDEX($AJ$72:$AJ$430,$K52))</f>
        <v/>
      </c>
      <c r="N52" s="384" t="str" cm="1">
        <f t="array" ref="N52">IF(OR($B52="",$B$13="",$B$12="",$B$12=0),"",IF($L$22="AUTRE",IFERROR(INDEX($AK$72:$AK$430,$K52)*($B$13/$B$12),""),IF(OR($C$12="",$C$13=""),"",IFERROR(INDEX($AK$72:$AK$430,$K52)*(($B$13*VLOOKUP($C$13,$AY$74:$BA$119,3,FALSE))/($B$12*VLOOKUP($C$12,$AY$74:$BA$119,3,FALSE))),""))))</f>
        <v/>
      </c>
      <c r="O52" s="384" t="str" cm="1">
        <f t="array" ref="O52">IF(OR($B52="",$G$12="",$G$11="",$G$11=0),"",IFERROR(INDEX($AK$72:$AK$430,$K52)*($G$12/$G$11),""))</f>
        <v/>
      </c>
      <c r="U52" s="156"/>
      <c r="V52" s="156"/>
      <c r="W52" s="156"/>
      <c r="X52" s="156"/>
      <c r="Y52" s="156"/>
      <c r="Z52" s="156"/>
      <c r="AA52" s="156"/>
      <c r="AY52" s="31" t="s">
        <v>26</v>
      </c>
      <c r="AZ52" s="417" t="s">
        <v>37</v>
      </c>
      <c r="BA52" s="418">
        <v>0.35</v>
      </c>
      <c r="BB52" s="419" t="s">
        <v>9</v>
      </c>
      <c r="BC52" s="271"/>
      <c r="BD52" s="279">
        <v>1</v>
      </c>
      <c r="BE52" s="271"/>
      <c r="BF52" s="271"/>
      <c r="BG52" s="271"/>
    </row>
    <row r="53" spans="1:64" ht="21" customHeight="1" x14ac:dyDescent="0.25">
      <c r="A53" s="374" t="str">
        <f>IF($B53="","",31)</f>
        <v/>
      </c>
      <c r="B53" s="375" t="str" cm="1">
        <f t="array" ref="B53">IFERROR(IF(INDEX($AC$72:$AC$430,$K53)="","",INDEX($AC$72:$AC$430,$K53)),"")</f>
        <v/>
      </c>
      <c r="C53" s="376" t="str" cm="1">
        <f t="array" ref="C53">IF($B53="","",INDEX($AG$72:$AG$430,$K53))</f>
        <v/>
      </c>
      <c r="D53" s="377" t="str" cm="1">
        <f t="array" ref="D53">IF($B53="","",INDEX($AH$72:$AH$430,$K53))</f>
        <v/>
      </c>
      <c r="E53" s="378" t="str">
        <f t="shared" si="0"/>
        <v/>
      </c>
      <c r="F53" s="379" t="str" cm="1">
        <f t="array" ref="F53">IF($B53="","",IF(UPPER(TRIM($D53))="QT. SUFFISANTE","Qt. suffisante",IF($N53="","",IF($L53="MASSE",IF($N53&gt;=1,"Kg","g"),IF($L53="VOLUME",IF($N53&gt;=1,"L","cl"),INDEX($AL$72:$AL$430,$K53))))))</f>
        <v/>
      </c>
      <c r="G53" s="380" t="str">
        <f t="shared" si="1"/>
        <v/>
      </c>
      <c r="H53" s="381" t="str" cm="1">
        <f t="array" ref="H53">IF($B53="","",IF(UPPER(TRIM($D53))="QT. SUFFISANTE","Qt. suffisante",IF($O53="","",IF($L53="MASSE",IF($O53&gt;=1,"Kg","g"),IF($L53="VOLUME",IF($O53&gt;=1,"L","cl"),INDEX($AL$72:$AL$430,$K53))))))</f>
        <v/>
      </c>
      <c r="I53" s="382" t="str" cm="1">
        <f t="array" ref="I53">IF($B53="","",INDEX($AM$72:$AM$430,$K53))</f>
        <v/>
      </c>
      <c r="J53" s="271"/>
      <c r="K53" s="383">
        <f>1+($B$5-1)*36+31</f>
        <v>212</v>
      </c>
      <c r="L53" s="383" t="str" cm="1">
        <f t="array" ref="L53">IF($B53="","",INDEX($AI$72:$AI$430,$K53))</f>
        <v/>
      </c>
      <c r="M53" s="383" t="str" cm="1">
        <f t="array" ref="M53">IF($B53="","",INDEX($AJ$72:$AJ$430,$K53))</f>
        <v/>
      </c>
      <c r="N53" s="384" t="str" cm="1">
        <f t="array" ref="N53">IF(OR($B53="",$B$13="",$B$12="",$B$12=0),"",IF($L$22="AUTRE",IFERROR(INDEX($AK$72:$AK$430,$K53)*($B$13/$B$12),""),IF(OR($C$12="",$C$13=""),"",IFERROR(INDEX($AK$72:$AK$430,$K53)*(($B$13*VLOOKUP($C$13,$AY$74:$BA$119,3,FALSE))/($B$12*VLOOKUP($C$12,$AY$74:$BA$119,3,FALSE))),""))))</f>
        <v/>
      </c>
      <c r="O53" s="384" t="str" cm="1">
        <f t="array" ref="O53">IF(OR($B53="",$G$12="",$G$11="",$G$11=0),"",IFERROR(INDEX($AK$72:$AK$430,$K53)*($G$12/$G$11),""))</f>
        <v/>
      </c>
      <c r="U53" s="420" t="s">
        <v>7905</v>
      </c>
      <c r="V53" s="421"/>
      <c r="W53" s="421" t="s">
        <v>8085</v>
      </c>
      <c r="X53" s="421"/>
      <c r="Y53" s="421"/>
      <c r="Z53" s="421"/>
      <c r="AA53" s="421"/>
      <c r="AY53" s="31" t="s">
        <v>31</v>
      </c>
      <c r="AZ53" s="417" t="s">
        <v>37</v>
      </c>
      <c r="BA53" s="418">
        <v>0.22500000000000001</v>
      </c>
      <c r="BB53" s="419" t="s">
        <v>9</v>
      </c>
      <c r="BC53" s="271"/>
      <c r="BD53" s="279">
        <v>1</v>
      </c>
      <c r="BE53" s="271"/>
      <c r="BF53" s="271"/>
      <c r="BG53" s="271"/>
    </row>
    <row r="54" spans="1:64" ht="21" customHeight="1" x14ac:dyDescent="0.25">
      <c r="A54" s="374" t="str">
        <f>IF($B54="","",32)</f>
        <v/>
      </c>
      <c r="B54" s="375" t="str" cm="1">
        <f t="array" ref="B54">IFERROR(IF(INDEX($AC$72:$AC$430,$K54)="","",INDEX($AC$72:$AC$430,$K54)),"")</f>
        <v/>
      </c>
      <c r="C54" s="376" t="str" cm="1">
        <f t="array" ref="C54">IF($B54="","",INDEX($AG$72:$AG$430,$K54))</f>
        <v/>
      </c>
      <c r="D54" s="377" t="str" cm="1">
        <f t="array" ref="D54">IF($B54="","",INDEX($AH$72:$AH$430,$K54))</f>
        <v/>
      </c>
      <c r="E54" s="378" t="str">
        <f t="shared" si="0"/>
        <v/>
      </c>
      <c r="F54" s="379" t="str" cm="1">
        <f t="array" ref="F54">IF($B54="","",IF(UPPER(TRIM($D54))="QT. SUFFISANTE","Qt. suffisante",IF($N54="","",IF($L54="MASSE",IF($N54&gt;=1,"Kg","g"),IF($L54="VOLUME",IF($N54&gt;=1,"L","cl"),INDEX($AL$72:$AL$430,$K54))))))</f>
        <v/>
      </c>
      <c r="G54" s="380" t="str">
        <f t="shared" si="1"/>
        <v/>
      </c>
      <c r="H54" s="381" t="str" cm="1">
        <f t="array" ref="H54">IF($B54="","",IF(UPPER(TRIM($D54))="QT. SUFFISANTE","Qt. suffisante",IF($O54="","",IF($L54="MASSE",IF($O54&gt;=1,"Kg","g"),IF($L54="VOLUME",IF($O54&gt;=1,"L","cl"),INDEX($AL$72:$AL$430,$K54))))))</f>
        <v/>
      </c>
      <c r="I54" s="382" t="str" cm="1">
        <f t="array" ref="I54">IF($B54="","",INDEX($AM$72:$AM$430,$K54))</f>
        <v/>
      </c>
      <c r="J54" s="271"/>
      <c r="K54" s="383">
        <f>1+($B$5-1)*36+32</f>
        <v>213</v>
      </c>
      <c r="L54" s="383" t="str" cm="1">
        <f t="array" ref="L54">IF($B54="","",INDEX($AI$72:$AI$430,$K54))</f>
        <v/>
      </c>
      <c r="M54" s="383" t="str" cm="1">
        <f t="array" ref="M54">IF($B54="","",INDEX($AJ$72:$AJ$430,$K54))</f>
        <v/>
      </c>
      <c r="N54" s="384" t="str" cm="1">
        <f t="array" ref="N54">IF(OR($B54="",$B$13="",$B$12="",$B$12=0),"",IF($L$22="AUTRE",IFERROR(INDEX($AK$72:$AK$430,$K54)*($B$13/$B$12),""),IF(OR($C$12="",$C$13=""),"",IFERROR(INDEX($AK$72:$AK$430,$K54)*(($B$13*VLOOKUP($C$13,$AY$74:$BA$119,3,FALSE))/($B$12*VLOOKUP($C$12,$AY$74:$BA$119,3,FALSE))),""))))</f>
        <v/>
      </c>
      <c r="O54" s="384" t="str" cm="1">
        <f t="array" ref="O54">IF(OR($B54="",$G$12="",$G$11="",$G$11=0),"",IFERROR(INDEX($AK$72:$AK$430,$K54)*($G$12/$G$11),""))</f>
        <v/>
      </c>
      <c r="U54" s="422" t="s">
        <v>7915</v>
      </c>
      <c r="V54" s="423" t="s">
        <v>8086</v>
      </c>
      <c r="W54" s="156"/>
      <c r="X54" s="156"/>
      <c r="Y54" s="156"/>
      <c r="Z54" s="156"/>
      <c r="AA54" s="156"/>
      <c r="AN54" s="424" t="s">
        <v>8087</v>
      </c>
      <c r="BD54" s="279">
        <v>1</v>
      </c>
    </row>
    <row r="55" spans="1:64" ht="21" customHeight="1" x14ac:dyDescent="0.25">
      <c r="A55" s="374">
        <f>IF($B55="","",33)</f>
        <v>33</v>
      </c>
      <c r="B55" s="375" t="str" cm="1">
        <f t="array" ref="B55">IFERROR(IF(INDEX($AC$72:$AC$430,$K55)="","",INDEX($AC$72:$AC$430,$K55)),"")</f>
        <v>bac(s) GN 1/1 H 100 perforé(s)</v>
      </c>
      <c r="C55" s="376" cm="1">
        <f t="array" ref="C55">IF($B55="","",INDEX($AG$72:$AG$430,$K55))</f>
        <v>1</v>
      </c>
      <c r="D55" s="377" t="str" cm="1">
        <f t="array" ref="D55">IF($B55="","",INDEX($AH$72:$AH$430,$K55))</f>
        <v>BAC(S)</v>
      </c>
      <c r="E55" s="378">
        <f t="shared" si="0"/>
        <v>1</v>
      </c>
      <c r="F55" s="379" t="str" cm="1">
        <f t="array" ref="F55">IF($B55="","",IF(UPPER(TRIM($D55))="QT. SUFFISANTE","Qt. suffisante",IF($N55="","",IF($L55="MASSE",IF($N55&gt;=1,"Kg","g"),IF($L55="VOLUME",IF($N55&gt;=1,"L","cl"),INDEX($AL$72:$AL$430,$K55))))))</f>
        <v>bac(s)</v>
      </c>
      <c r="G55" s="380">
        <f t="shared" si="1"/>
        <v>2</v>
      </c>
      <c r="H55" s="381" t="str" cm="1">
        <f t="array" ref="H55">IF($B55="","",IF(UPPER(TRIM($D55))="QT. SUFFISANTE","Qt. suffisante",IF($O55="","",IF($L55="MASSE",IF($O55&gt;=1,"Kg","g"),IF($L55="VOLUME",IF($O55&gt;=1,"L","cl"),INDEX($AL$72:$AL$430,$K55))))))</f>
        <v>bac(s)</v>
      </c>
      <c r="I55" s="382" t="str" cm="1">
        <f t="array" ref="I55">IF($B55="","",INDEX($AM$72:$AM$430,$K55))</f>
        <v>OK</v>
      </c>
      <c r="J55" s="271"/>
      <c r="K55" s="383">
        <f>1+($B$5-1)*36+33</f>
        <v>214</v>
      </c>
      <c r="L55" s="383" t="str" cm="1">
        <f t="array" ref="L55">IF($B55="","",INDEX($AI$72:$AI$430,$K55))</f>
        <v>AUTRE</v>
      </c>
      <c r="M55" s="383" cm="1">
        <f t="array" ref="M55">IF($B55="","",INDEX($AJ$72:$AJ$430,$K55))</f>
        <v>1</v>
      </c>
      <c r="N55" s="384" cm="1">
        <f t="array" ref="N55">IF(OR($B55="",$B$13="",$B$12="",$B$12=0),"",IF($L$22="AUTRE",IFERROR(INDEX($AK$72:$AK$430,$K55)*($B$13/$B$12),""),IF(OR($C$12="",$C$13=""),"",IFERROR(INDEX($AK$72:$AK$430,$K55)*(($B$13*VLOOKUP($C$13,$AY$74:$BA$119,3,FALSE))/($B$12*VLOOKUP($C$12,$AY$74:$BA$119,3,FALSE))),""))))</f>
        <v>0.66666666666666663</v>
      </c>
      <c r="O55" s="384" cm="1">
        <f t="array" ref="O55">IF(OR($B55="",$G$12="",$G$11="",$G$11=0),"",IFERROR(INDEX($AK$72:$AK$430,$K55)*($G$12/$G$11),""))</f>
        <v>2</v>
      </c>
      <c r="U55" s="422" t="s">
        <v>7918</v>
      </c>
      <c r="V55" s="423" t="s">
        <v>8088</v>
      </c>
      <c r="W55" s="156"/>
      <c r="X55" s="156"/>
      <c r="Y55" s="156"/>
      <c r="Z55" s="156"/>
      <c r="AA55" s="156"/>
      <c r="AN55" s="659" t="s">
        <v>8089</v>
      </c>
      <c r="AO55" s="659"/>
      <c r="AP55" s="659"/>
      <c r="AQ55" s="659"/>
      <c r="AR55" s="659"/>
      <c r="AS55" s="659"/>
      <c r="AT55" s="659"/>
      <c r="AU55" s="659"/>
      <c r="AV55" s="659"/>
      <c r="AW55" s="659"/>
      <c r="AX55" s="659"/>
      <c r="AY55" s="659"/>
      <c r="AZ55" s="659"/>
      <c r="BA55" s="659"/>
      <c r="BB55" s="659"/>
      <c r="BD55" s="279">
        <v>1</v>
      </c>
    </row>
    <row r="56" spans="1:64" ht="21" customHeight="1" x14ac:dyDescent="0.25">
      <c r="A56" s="374">
        <f>IF($B56="","",34)</f>
        <v>34</v>
      </c>
      <c r="B56" s="375" t="str" cm="1">
        <f t="array" ref="B56">IFERROR(IF(INDEX($AC$72:$AC$430,$K56)="","",INDEX($AC$72:$AC$430,$K56)),"")</f>
        <v>bac(s) GN 1/1 H 45 plein(s)</v>
      </c>
      <c r="C56" s="376" cm="1">
        <f t="array" ref="C56">IF($B56="","",INDEX($AG$72:$AG$430,$K56))</f>
        <v>1</v>
      </c>
      <c r="D56" s="377" t="str" cm="1">
        <f t="array" ref="D56">IF($B56="","",INDEX($AH$72:$AH$430,$K56))</f>
        <v>BAC(S)</v>
      </c>
      <c r="E56" s="378">
        <f t="shared" si="0"/>
        <v>1</v>
      </c>
      <c r="F56" s="379" t="str" cm="1">
        <f t="array" ref="F56">IF($B56="","",IF(UPPER(TRIM($D56))="QT. SUFFISANTE","Qt. suffisante",IF($N56="","",IF($L56="MASSE",IF($N56&gt;=1,"Kg","g"),IF($L56="VOLUME",IF($N56&gt;=1,"L","cl"),INDEX($AL$72:$AL$430,$K56))))))</f>
        <v>bac(s)</v>
      </c>
      <c r="G56" s="380">
        <f t="shared" si="1"/>
        <v>2</v>
      </c>
      <c r="H56" s="381" t="str" cm="1">
        <f t="array" ref="H56">IF($B56="","",IF(UPPER(TRIM($D56))="QT. SUFFISANTE","Qt. suffisante",IF($O56="","",IF($L56="MASSE",IF($O56&gt;=1,"Kg","g"),IF($L56="VOLUME",IF($O56&gt;=1,"L","cl"),INDEX($AL$72:$AL$430,$K56))))))</f>
        <v>bac(s)</v>
      </c>
      <c r="I56" s="382" t="str" cm="1">
        <f t="array" ref="I56">IF($B56="","",INDEX($AM$72:$AM$430,$K56))</f>
        <v>OK</v>
      </c>
      <c r="J56" s="271"/>
      <c r="K56" s="383">
        <f>1+($B$5-1)*36+34</f>
        <v>215</v>
      </c>
      <c r="L56" s="383" t="str" cm="1">
        <f t="array" ref="L56">IF($B56="","",INDEX($AI$72:$AI$430,$K56))</f>
        <v>AUTRE</v>
      </c>
      <c r="M56" s="383" cm="1">
        <f t="array" ref="M56">IF($B56="","",INDEX($AJ$72:$AJ$430,$K56))</f>
        <v>1</v>
      </c>
      <c r="N56" s="384" cm="1">
        <f t="array" ref="N56">IF(OR($B56="",$B$13="",$B$12="",$B$12=0),"",IF($L$22="AUTRE",IFERROR(INDEX($AK$72:$AK$430,$K56)*($B$13/$B$12),""),IF(OR($C$12="",$C$13=""),"",IFERROR(INDEX($AK$72:$AK$430,$K56)*(($B$13*VLOOKUP($C$13,$AY$74:$BA$119,3,FALSE))/($B$12*VLOOKUP($C$12,$AY$74:$BA$119,3,FALSE))),""))))</f>
        <v>0.66666666666666663</v>
      </c>
      <c r="O56" s="384" cm="1">
        <f t="array" ref="O56">IF(OR($B56="",$G$12="",$G$11="",$G$11=0),"",IFERROR(INDEX($AK$72:$AK$430,$K56)*($G$12/$G$11),""))</f>
        <v>2</v>
      </c>
      <c r="U56" s="422" t="s">
        <v>7922</v>
      </c>
      <c r="V56" s="423" t="s">
        <v>8090</v>
      </c>
      <c r="W56" s="156"/>
      <c r="X56" s="156"/>
      <c r="Y56" s="156"/>
      <c r="Z56" s="156"/>
      <c r="AA56" s="156"/>
      <c r="AN56" s="659"/>
      <c r="AO56" s="659"/>
      <c r="AP56" s="659"/>
      <c r="AQ56" s="659"/>
      <c r="AR56" s="659"/>
      <c r="AS56" s="659"/>
      <c r="AT56" s="659"/>
      <c r="AU56" s="659"/>
      <c r="AV56" s="659"/>
      <c r="AW56" s="659"/>
      <c r="AX56" s="659"/>
      <c r="AY56" s="659"/>
      <c r="AZ56" s="659"/>
      <c r="BA56" s="659"/>
      <c r="BB56" s="659"/>
      <c r="BD56" s="279">
        <v>1</v>
      </c>
    </row>
    <row r="57" spans="1:64" ht="21" customHeight="1" x14ac:dyDescent="0.25">
      <c r="A57" s="284"/>
      <c r="B57" s="425"/>
      <c r="C57" s="426"/>
      <c r="D57" s="426"/>
      <c r="E57" s="427"/>
      <c r="F57" s="427"/>
      <c r="G57" s="427"/>
      <c r="H57" s="427"/>
      <c r="I57" s="284"/>
      <c r="J57" s="271"/>
      <c r="U57" s="422" t="s">
        <v>7926</v>
      </c>
      <c r="V57" s="423" t="s">
        <v>8091</v>
      </c>
      <c r="W57" s="156"/>
      <c r="X57" s="156"/>
      <c r="Y57" s="156"/>
      <c r="Z57" s="156"/>
      <c r="AA57" s="156"/>
      <c r="AN57" s="659"/>
      <c r="AO57" s="659"/>
      <c r="AP57" s="659"/>
      <c r="AQ57" s="659"/>
      <c r="AR57" s="659"/>
      <c r="AS57" s="659"/>
      <c r="AT57" s="659"/>
      <c r="AU57" s="659"/>
      <c r="AV57" s="659"/>
      <c r="AW57" s="659"/>
      <c r="AX57" s="659"/>
      <c r="AY57" s="659"/>
      <c r="AZ57" s="659"/>
      <c r="BA57" s="659"/>
      <c r="BB57" s="659"/>
      <c r="BD57" s="279">
        <v>1</v>
      </c>
      <c r="BI57" s="271"/>
      <c r="BJ57" s="271"/>
      <c r="BK57" s="271"/>
      <c r="BL57" s="271"/>
    </row>
    <row r="58" spans="1:64" ht="21" customHeight="1" x14ac:dyDescent="0.25">
      <c r="A58" s="661" t="s">
        <v>8092</v>
      </c>
      <c r="B58" s="662"/>
      <c r="C58" s="662"/>
      <c r="D58" s="662"/>
      <c r="E58" s="662"/>
      <c r="F58" s="662"/>
      <c r="G58" s="662"/>
      <c r="H58" s="662"/>
      <c r="I58" s="663"/>
      <c r="J58" s="271"/>
      <c r="U58" s="422" t="s">
        <v>7931</v>
      </c>
      <c r="V58" s="423" t="s">
        <v>8093</v>
      </c>
      <c r="W58" s="156"/>
      <c r="X58" s="156"/>
      <c r="Y58" s="156"/>
      <c r="Z58" s="156"/>
      <c r="AA58" s="156"/>
      <c r="AN58" s="659"/>
      <c r="AO58" s="659"/>
      <c r="AP58" s="659"/>
      <c r="AQ58" s="659"/>
      <c r="AR58" s="659"/>
      <c r="AS58" s="659"/>
      <c r="AT58" s="659"/>
      <c r="AU58" s="659"/>
      <c r="AV58" s="659"/>
      <c r="AW58" s="659"/>
      <c r="AX58" s="659"/>
      <c r="AY58" s="659"/>
      <c r="AZ58" s="659"/>
      <c r="BA58" s="659"/>
      <c r="BB58" s="659"/>
      <c r="BD58" s="279">
        <v>1</v>
      </c>
      <c r="BI58" s="271"/>
      <c r="BJ58" s="271"/>
      <c r="BK58" s="271"/>
      <c r="BL58" s="271"/>
    </row>
    <row r="59" spans="1:64" ht="21" customHeight="1" x14ac:dyDescent="0.25">
      <c r="A59" s="284"/>
      <c r="B59" s="284"/>
      <c r="C59" s="284"/>
      <c r="D59" s="284"/>
      <c r="E59" s="284"/>
      <c r="F59" s="284"/>
      <c r="G59" s="284"/>
      <c r="H59" s="284"/>
      <c r="I59" s="284"/>
      <c r="J59" s="271"/>
      <c r="U59" s="422" t="s">
        <v>7938</v>
      </c>
      <c r="V59" s="423" t="s">
        <v>8094</v>
      </c>
      <c r="W59" s="156"/>
      <c r="X59" s="156"/>
      <c r="Y59" s="156"/>
      <c r="Z59" s="156"/>
      <c r="AA59" s="156"/>
      <c r="AN59" s="659"/>
      <c r="AO59" s="659"/>
      <c r="AP59" s="659"/>
      <c r="AQ59" s="659"/>
      <c r="AR59" s="659"/>
      <c r="AS59" s="659"/>
      <c r="AT59" s="659"/>
      <c r="AU59" s="659"/>
      <c r="AV59" s="659"/>
      <c r="AW59" s="659"/>
      <c r="AX59" s="659"/>
      <c r="AY59" s="659"/>
      <c r="AZ59" s="659"/>
      <c r="BA59" s="659"/>
      <c r="BB59" s="659"/>
      <c r="BD59" s="279">
        <v>1</v>
      </c>
      <c r="BI59" s="271"/>
      <c r="BJ59" s="271"/>
      <c r="BK59" s="271"/>
      <c r="BL59" s="271"/>
    </row>
    <row r="60" spans="1:64" ht="21" customHeight="1" x14ac:dyDescent="0.25">
      <c r="A60" s="741" t="s">
        <v>8095</v>
      </c>
      <c r="B60" s="742"/>
      <c r="C60" s="742"/>
      <c r="D60" s="742"/>
      <c r="E60" s="742"/>
      <c r="F60" s="742"/>
      <c r="G60" s="742"/>
      <c r="H60" s="742"/>
      <c r="I60" s="743"/>
      <c r="J60" s="271"/>
      <c r="U60" s="422" t="s">
        <v>7946</v>
      </c>
      <c r="V60" s="423" t="s">
        <v>8096</v>
      </c>
      <c r="W60" s="156"/>
      <c r="X60" s="156"/>
      <c r="Y60" s="156"/>
      <c r="Z60" s="156"/>
      <c r="AA60" s="156"/>
      <c r="AN60" s="659"/>
      <c r="AO60" s="659"/>
      <c r="AP60" s="659"/>
      <c r="AQ60" s="659"/>
      <c r="AR60" s="659"/>
      <c r="AS60" s="659"/>
      <c r="AT60" s="659"/>
      <c r="AU60" s="659"/>
      <c r="AV60" s="659"/>
      <c r="AW60" s="659"/>
      <c r="AX60" s="659"/>
      <c r="AY60" s="659"/>
      <c r="AZ60" s="659"/>
      <c r="BA60" s="659"/>
      <c r="BB60" s="659"/>
      <c r="BD60" s="279">
        <v>1</v>
      </c>
      <c r="BI60" s="271"/>
      <c r="BJ60" s="271"/>
      <c r="BK60" s="271"/>
      <c r="BL60" s="271"/>
    </row>
    <row r="61" spans="1:64" ht="21" customHeight="1" x14ac:dyDescent="0.25">
      <c r="A61" s="428"/>
      <c r="B61" s="667" t="s">
        <v>8097</v>
      </c>
      <c r="C61" s="667"/>
      <c r="D61" s="667"/>
      <c r="E61" s="667"/>
      <c r="F61" s="667"/>
      <c r="G61" s="667"/>
      <c r="H61" s="667"/>
      <c r="I61" s="668"/>
      <c r="J61" s="271"/>
      <c r="U61" s="422" t="s">
        <v>7951</v>
      </c>
      <c r="V61" s="423" t="s">
        <v>8098</v>
      </c>
      <c r="W61" s="156"/>
      <c r="X61" s="156"/>
      <c r="Y61" s="156"/>
      <c r="Z61" s="156"/>
      <c r="AA61" s="156"/>
      <c r="AN61" s="659"/>
      <c r="AO61" s="659"/>
      <c r="AP61" s="659"/>
      <c r="AQ61" s="659"/>
      <c r="AR61" s="659"/>
      <c r="AS61" s="659"/>
      <c r="AT61" s="659"/>
      <c r="AU61" s="659"/>
      <c r="AV61" s="659"/>
      <c r="AW61" s="659"/>
      <c r="AX61" s="659"/>
      <c r="AY61" s="659"/>
      <c r="AZ61" s="659"/>
      <c r="BA61" s="659"/>
      <c r="BB61" s="659"/>
      <c r="BD61" s="279">
        <v>1</v>
      </c>
      <c r="BI61" s="271"/>
      <c r="BJ61" s="271"/>
      <c r="BK61" s="271"/>
      <c r="BL61" s="271"/>
    </row>
    <row r="62" spans="1:64" ht="21" customHeight="1" x14ac:dyDescent="0.25">
      <c r="A62" s="429"/>
      <c r="B62" s="669"/>
      <c r="C62" s="669"/>
      <c r="D62" s="669"/>
      <c r="E62" s="669"/>
      <c r="F62" s="669"/>
      <c r="G62" s="669"/>
      <c r="H62" s="669"/>
      <c r="I62" s="670"/>
      <c r="J62" s="271"/>
      <c r="U62" s="422" t="s">
        <v>7975</v>
      </c>
      <c r="V62" s="430" t="s">
        <v>8099</v>
      </c>
      <c r="W62" s="156"/>
      <c r="X62" s="156"/>
      <c r="Y62" s="156"/>
      <c r="Z62" s="156"/>
      <c r="AA62" s="156"/>
      <c r="AN62" s="659"/>
      <c r="AO62" s="659"/>
      <c r="AP62" s="659"/>
      <c r="AQ62" s="659"/>
      <c r="AR62" s="659"/>
      <c r="AS62" s="659"/>
      <c r="AT62" s="659"/>
      <c r="AU62" s="659"/>
      <c r="AV62" s="659"/>
      <c r="AW62" s="659"/>
      <c r="AX62" s="659"/>
      <c r="AY62" s="659"/>
      <c r="AZ62" s="659"/>
      <c r="BA62" s="659"/>
      <c r="BB62" s="659"/>
      <c r="BD62" s="279">
        <v>1</v>
      </c>
      <c r="BI62" s="271"/>
      <c r="BJ62" s="271"/>
      <c r="BK62" s="271"/>
      <c r="BL62" s="271"/>
    </row>
    <row r="63" spans="1:64" ht="21" customHeight="1" x14ac:dyDescent="0.25">
      <c r="A63" s="431"/>
      <c r="B63" s="671"/>
      <c r="C63" s="671"/>
      <c r="D63" s="671"/>
      <c r="E63" s="671"/>
      <c r="F63" s="671"/>
      <c r="G63" s="671"/>
      <c r="H63" s="671"/>
      <c r="I63" s="672"/>
      <c r="J63" s="271"/>
      <c r="U63" s="422" t="s">
        <v>7995</v>
      </c>
      <c r="V63" s="423" t="s">
        <v>8100</v>
      </c>
      <c r="W63" s="156"/>
      <c r="X63" s="156"/>
      <c r="Y63" s="156"/>
      <c r="Z63" s="156"/>
      <c r="AA63" s="156"/>
      <c r="AN63" s="659"/>
      <c r="AO63" s="659"/>
      <c r="AP63" s="659"/>
      <c r="AQ63" s="659"/>
      <c r="AR63" s="659"/>
      <c r="AS63" s="659"/>
      <c r="AT63" s="659"/>
      <c r="AU63" s="659"/>
      <c r="AV63" s="659"/>
      <c r="AW63" s="659"/>
      <c r="AX63" s="659"/>
      <c r="AY63" s="659"/>
      <c r="AZ63" s="659"/>
      <c r="BA63" s="659"/>
      <c r="BB63" s="659"/>
      <c r="BC63" s="271"/>
      <c r="BD63" s="279">
        <v>1</v>
      </c>
      <c r="BE63" s="271"/>
      <c r="BF63" s="271"/>
      <c r="BG63" s="271"/>
      <c r="BH63" s="271"/>
      <c r="BI63" s="271"/>
      <c r="BJ63" s="271"/>
      <c r="BK63" s="271"/>
      <c r="BL63" s="271"/>
    </row>
    <row r="64" spans="1:64" ht="15.75" customHeight="1" x14ac:dyDescent="0.25">
      <c r="A64" s="432" t="s">
        <v>2</v>
      </c>
      <c r="B64" s="433" t="str" cm="1">
        <f t="array" aca="1" ref="B64" ca="1">CELL("nomfichier")</f>
        <v>D:\Données\1.UPRT\0-UPRT.fait\1-UPRT.FR-SITE-WEB\ff-fiches-fabrications\ff.fiches.fabrication.2023\ffr-restaurant-2026\[02-06-recettes-entrees-cuisine-collective-fiches-techniques.xlsx]H.O.FROIDS.11.à.20</v>
      </c>
      <c r="C64" s="271"/>
      <c r="D64" s="271"/>
      <c r="E64" s="271"/>
      <c r="F64" s="271"/>
      <c r="G64" s="271"/>
      <c r="H64" s="271"/>
      <c r="I64" s="271"/>
      <c r="J64" s="271"/>
      <c r="K64" s="271"/>
      <c r="L64" s="271"/>
      <c r="M64" s="271"/>
      <c r="N64" s="271"/>
      <c r="O64" s="271"/>
      <c r="P64" s="271"/>
      <c r="Q64" s="271"/>
      <c r="R64" s="271"/>
      <c r="S64" s="271"/>
      <c r="U64" s="422" t="s">
        <v>7998</v>
      </c>
      <c r="V64" s="423" t="s">
        <v>8101</v>
      </c>
      <c r="W64" s="156"/>
      <c r="X64" s="156"/>
      <c r="Y64" s="156"/>
      <c r="Z64" s="156"/>
      <c r="AA64" s="156"/>
      <c r="AB64" s="220"/>
      <c r="AC64" s="220"/>
      <c r="AD64" s="220"/>
      <c r="AE64" s="220"/>
      <c r="AF64" s="220"/>
      <c r="AG64" s="220"/>
      <c r="AH64" s="220"/>
      <c r="AI64" s="220"/>
      <c r="AJ64" s="220"/>
      <c r="AK64" s="220"/>
      <c r="AL64" s="220"/>
      <c r="AN64" s="659"/>
      <c r="AO64" s="659"/>
      <c r="AP64" s="659"/>
      <c r="AQ64" s="659"/>
      <c r="AR64" s="659"/>
      <c r="AS64" s="659"/>
      <c r="AT64" s="659"/>
      <c r="AU64" s="659"/>
      <c r="AV64" s="659"/>
      <c r="AW64" s="659"/>
      <c r="AX64" s="659"/>
      <c r="AY64" s="659"/>
      <c r="AZ64" s="659"/>
      <c r="BA64" s="659"/>
      <c r="BB64" s="659"/>
      <c r="BC64" s="271"/>
      <c r="BD64" s="279">
        <v>1</v>
      </c>
      <c r="BE64" s="271"/>
      <c r="BF64" s="271"/>
      <c r="BG64" s="271"/>
      <c r="BH64" s="271"/>
      <c r="BI64" s="271"/>
      <c r="BJ64" s="271"/>
      <c r="BK64" s="271"/>
      <c r="BL64" s="271"/>
    </row>
    <row r="65" spans="1:111" x14ac:dyDescent="0.25">
      <c r="A65" s="271"/>
      <c r="B65" s="271"/>
      <c r="C65" s="271"/>
      <c r="D65" s="271"/>
      <c r="E65" s="271"/>
      <c r="F65" s="271"/>
      <c r="G65" s="271"/>
      <c r="H65" s="271"/>
      <c r="I65" s="271"/>
      <c r="J65" s="271"/>
      <c r="K65" s="271"/>
      <c r="L65" s="271"/>
      <c r="M65" s="271"/>
      <c r="N65" s="271"/>
      <c r="O65" s="271"/>
      <c r="P65" s="271"/>
      <c r="Q65" s="271"/>
      <c r="R65" s="271"/>
      <c r="S65" s="271"/>
      <c r="T65" s="271"/>
      <c r="U65" s="422" t="s">
        <v>8102</v>
      </c>
      <c r="V65" s="434" t="s">
        <v>8103</v>
      </c>
      <c r="W65" s="156"/>
      <c r="X65" s="156"/>
      <c r="Y65" s="156"/>
      <c r="Z65" s="156"/>
      <c r="AA65" s="156"/>
      <c r="AB65" s="220"/>
      <c r="AC65" s="220"/>
      <c r="AD65" s="220"/>
      <c r="AE65" s="220"/>
      <c r="AF65" s="220"/>
      <c r="AG65" s="220"/>
      <c r="AH65" s="220"/>
      <c r="AI65" s="220"/>
      <c r="AJ65" s="220"/>
      <c r="AK65" s="271"/>
      <c r="AL65" s="271"/>
      <c r="AN65" s="659"/>
      <c r="AO65" s="659"/>
      <c r="AP65" s="659"/>
      <c r="AQ65" s="659"/>
      <c r="AR65" s="659"/>
      <c r="AS65" s="659"/>
      <c r="AT65" s="659"/>
      <c r="AU65" s="659"/>
      <c r="AV65" s="659"/>
      <c r="AW65" s="659"/>
      <c r="AX65" s="659"/>
      <c r="AY65" s="659"/>
      <c r="AZ65" s="659"/>
      <c r="BA65" s="659"/>
      <c r="BB65" s="659"/>
      <c r="BC65" s="271"/>
      <c r="BD65" s="279">
        <v>1</v>
      </c>
      <c r="BE65" s="271"/>
      <c r="BF65" s="271"/>
      <c r="BG65" s="271"/>
      <c r="BH65" s="271"/>
      <c r="BI65" s="271"/>
      <c r="BJ65" s="271"/>
      <c r="BK65" s="271"/>
      <c r="BL65" s="271"/>
      <c r="BM65" s="271"/>
      <c r="BN65" s="271"/>
      <c r="BO65" s="271"/>
      <c r="BP65" s="271"/>
      <c r="BQ65" s="271"/>
      <c r="BR65" s="271"/>
      <c r="BS65" s="271"/>
      <c r="BT65" s="271"/>
      <c r="BU65" s="271"/>
      <c r="BV65" s="271"/>
      <c r="BW65" s="271"/>
      <c r="BX65" s="271"/>
      <c r="BY65" s="271"/>
      <c r="BZ65" s="271"/>
      <c r="CA65" s="271"/>
      <c r="CB65" s="271"/>
      <c r="CC65" s="271"/>
      <c r="CD65" s="271"/>
      <c r="CE65" s="271"/>
      <c r="CF65" s="271"/>
      <c r="CG65" s="271"/>
      <c r="CH65" s="271"/>
      <c r="CI65" s="271"/>
      <c r="CJ65" s="271"/>
      <c r="CK65" s="271"/>
      <c r="CL65" s="271"/>
      <c r="CM65" s="271"/>
      <c r="CN65" s="271"/>
      <c r="CO65" s="271"/>
      <c r="CP65" s="271"/>
      <c r="CQ65" s="271"/>
      <c r="CR65" s="271"/>
      <c r="CS65" s="271"/>
      <c r="CT65" s="271"/>
      <c r="CU65" s="271"/>
      <c r="CV65" s="271"/>
      <c r="CW65" s="271"/>
      <c r="CX65" s="271"/>
      <c r="CY65" s="271"/>
      <c r="CZ65" s="271"/>
      <c r="DA65" s="271"/>
      <c r="DB65" s="271"/>
      <c r="DC65" s="271"/>
      <c r="DD65" s="271"/>
      <c r="DE65" s="271"/>
      <c r="DF65" s="271"/>
      <c r="DG65" s="271"/>
    </row>
    <row r="66" spans="1:111" ht="15.75" customHeight="1" x14ac:dyDescent="0.25">
      <c r="U66" s="422" t="s">
        <v>8047</v>
      </c>
      <c r="V66" s="434" t="s">
        <v>8104</v>
      </c>
      <c r="W66" s="435"/>
      <c r="X66" s="435"/>
      <c r="Y66" s="435"/>
      <c r="Z66" s="435"/>
      <c r="AA66" s="435"/>
      <c r="AB66" s="271"/>
      <c r="AC66" s="271"/>
      <c r="AD66" s="220"/>
      <c r="AE66" s="220"/>
      <c r="AF66" s="220"/>
      <c r="AG66" s="220"/>
      <c r="AH66" s="220"/>
      <c r="AI66" s="220"/>
      <c r="AJ66" s="220"/>
      <c r="AK66" s="271"/>
      <c r="AL66" s="271"/>
      <c r="AM66" s="271"/>
      <c r="AN66" s="660" t="s">
        <v>8105</v>
      </c>
      <c r="AO66" s="660"/>
      <c r="AP66" s="660"/>
      <c r="AQ66" s="660"/>
      <c r="AR66" s="660"/>
      <c r="AS66" s="660"/>
      <c r="AT66" s="660"/>
      <c r="AU66" s="660"/>
      <c r="AV66" s="660"/>
      <c r="AW66" s="660"/>
      <c r="AX66" s="660"/>
      <c r="AY66" s="660"/>
      <c r="AZ66" s="660"/>
      <c r="BA66" s="660"/>
      <c r="BB66" s="660"/>
      <c r="BC66" s="271"/>
      <c r="BD66" s="279">
        <v>1</v>
      </c>
      <c r="BE66" s="271"/>
      <c r="BF66" s="271"/>
      <c r="BG66" s="271"/>
      <c r="BH66" s="271"/>
      <c r="BI66" s="271"/>
      <c r="BJ66" s="271"/>
      <c r="BK66" s="271"/>
      <c r="BL66" s="271"/>
    </row>
    <row r="67" spans="1:111" ht="15.75" customHeight="1" x14ac:dyDescent="0.25">
      <c r="U67" s="156"/>
      <c r="V67" s="435"/>
      <c r="W67" s="435"/>
      <c r="X67" s="435"/>
      <c r="Y67" s="435"/>
      <c r="Z67" s="435"/>
      <c r="AA67" s="435"/>
      <c r="AB67" s="655" t="str">
        <f>IF(AND(COUNTIF(AC72:AC430,"*~**")=0,COUNTIF(AC72:AC430,"*~?*")=0),"",IF(COUNTIF(AC72:AC430,"*~**")&gt;0,COUNTIF(AC72:AC430,"*~**")&amp;" allergène"&amp;IF(COUNTIF(AC72:AC430,"*~**")&gt;1,"s","")&amp;" repéré"&amp;IF(COUNTIF(AC72:AC430,"*~**")&gt;1,"s","")&amp;" par *","")&amp;IF(AND(COUNTIF(AC72:AC430,"*~**")&gt;0,COUNTIF(AC72:AC430,"*~?*")&gt;0)," | ","")&amp;IF(COUNTIF(AC72:AC430,"*~?*")&gt;0,COUNTIF(AC72:AC430,"*~?*")&amp;" produit"&amp;IF(COUNTIF(AC72:AC430,"*~?*")&gt;1,"s","")&amp;" à vérifier par ?",""))</f>
        <v>13 allergènes repérés par * | 1 produit à vérifier par ?</v>
      </c>
      <c r="AC67" s="655"/>
      <c r="AD67" s="436" t="s">
        <v>8106</v>
      </c>
      <c r="AE67" s="436"/>
      <c r="AF67" s="436"/>
      <c r="AG67" s="271"/>
      <c r="AH67" s="271"/>
      <c r="AI67" s="271"/>
      <c r="AJ67" s="271"/>
      <c r="AK67" s="271"/>
      <c r="AL67" s="271"/>
      <c r="AM67" s="271"/>
      <c r="AN67" s="660"/>
      <c r="AO67" s="660"/>
      <c r="AP67" s="660"/>
      <c r="AQ67" s="660"/>
      <c r="AR67" s="660"/>
      <c r="AS67" s="660"/>
      <c r="AT67" s="660"/>
      <c r="AU67" s="660"/>
      <c r="AV67" s="660"/>
      <c r="AW67" s="660"/>
      <c r="AX67" s="660"/>
      <c r="AY67" s="660"/>
      <c r="AZ67" s="660"/>
      <c r="BA67" s="660"/>
      <c r="BB67" s="660"/>
      <c r="BC67" s="271"/>
      <c r="BD67" s="279"/>
      <c r="BE67" s="271"/>
      <c r="BF67" s="271"/>
      <c r="BG67" s="271"/>
      <c r="BH67" s="271"/>
      <c r="BI67" s="271"/>
      <c r="BJ67" s="271"/>
      <c r="BK67" s="271"/>
      <c r="BL67" s="271"/>
    </row>
    <row r="68" spans="1:111" ht="15.75" customHeight="1" x14ac:dyDescent="0.25">
      <c r="R68" s="437" t="s">
        <v>8107</v>
      </c>
      <c r="U68" s="156"/>
      <c r="V68" s="435"/>
      <c r="W68" s="435"/>
      <c r="X68" s="435"/>
      <c r="Y68" s="435"/>
      <c r="Z68" s="435"/>
      <c r="AA68" s="435"/>
      <c r="AB68" s="655"/>
      <c r="AC68" s="655"/>
      <c r="AD68" s="436" t="s">
        <v>8108</v>
      </c>
      <c r="AE68" s="436"/>
      <c r="AF68" s="436"/>
      <c r="AG68" s="271"/>
      <c r="AH68" s="271"/>
      <c r="AI68" s="271"/>
      <c r="AJ68" s="271"/>
      <c r="AK68" s="271"/>
      <c r="AL68" s="271"/>
      <c r="AM68" s="271"/>
      <c r="AN68" s="438" t="s">
        <v>8109</v>
      </c>
      <c r="AO68" s="438"/>
      <c r="AP68" s="271"/>
      <c r="BC68" s="271"/>
      <c r="BD68" s="279">
        <v>1</v>
      </c>
      <c r="BE68" s="271"/>
      <c r="BF68" s="271"/>
      <c r="BG68" s="271"/>
      <c r="BH68" s="271"/>
      <c r="BI68" s="271"/>
      <c r="BJ68" s="271"/>
      <c r="BK68" s="271"/>
      <c r="BL68" s="271"/>
    </row>
    <row r="69" spans="1:111" x14ac:dyDescent="0.25">
      <c r="R69" s="422" t="str">
        <f>SUBSTITUTE(ADDRESS(1,COLUMN(),4),"1","")</f>
        <v>R</v>
      </c>
      <c r="T69" s="422" t="str">
        <f>SUBSTITUTE(ADDRESS(1,COLUMN(),4),"1","")</f>
        <v>T</v>
      </c>
      <c r="V69" s="422" t="str">
        <f t="shared" ref="V69:AF69" si="2">SUBSTITUTE(ADDRESS(1,COLUMN(),4),"1","")</f>
        <v>V</v>
      </c>
      <c r="W69" s="422" t="str">
        <f t="shared" si="2"/>
        <v>W</v>
      </c>
      <c r="X69" s="422" t="str">
        <f t="shared" si="2"/>
        <v>X</v>
      </c>
      <c r="Y69" s="422" t="str">
        <f t="shared" si="2"/>
        <v>Y</v>
      </c>
      <c r="Z69" s="422" t="str">
        <f t="shared" si="2"/>
        <v>Z</v>
      </c>
      <c r="AA69" s="422" t="str">
        <f t="shared" si="2"/>
        <v>AA</v>
      </c>
      <c r="AB69" s="422" t="str">
        <f t="shared" si="2"/>
        <v>AB</v>
      </c>
      <c r="AC69" s="422" t="str">
        <f t="shared" si="2"/>
        <v>AC</v>
      </c>
      <c r="AD69" s="422" t="str">
        <f t="shared" si="2"/>
        <v>AD</v>
      </c>
      <c r="AE69" s="422" t="str">
        <f t="shared" si="2"/>
        <v>AE</v>
      </c>
      <c r="AF69" s="422" t="str">
        <f t="shared" si="2"/>
        <v>AF</v>
      </c>
      <c r="AG69" s="395"/>
      <c r="AH69" s="395"/>
      <c r="AI69" s="395"/>
      <c r="AJ69" s="395"/>
      <c r="AK69" s="395"/>
      <c r="AL69" s="395"/>
      <c r="AM69" s="439" t="str">
        <f>SUBSTITUTE(ADDRESS(1,COLUMN(),4),"1","")</f>
        <v>AM</v>
      </c>
      <c r="AN69" s="395" t="str">
        <f>SUBSTITUTE(ADDRESS(1,COLUMN(),4),"1","")</f>
        <v>AN</v>
      </c>
      <c r="AO69" s="395" t="str">
        <f>SUBSTITUTE(ADDRESS(1,COLUMN(),4),"1","")</f>
        <v>AO</v>
      </c>
      <c r="AP69" s="395" t="str">
        <f t="shared" ref="AP69:AU69" si="3">SUBSTITUTE(ADDRESS(1,COLUMN(),4),"1","")</f>
        <v>AP</v>
      </c>
      <c r="AQ69" s="395" t="str">
        <f t="shared" si="3"/>
        <v>AQ</v>
      </c>
      <c r="AR69" s="395" t="str">
        <f t="shared" si="3"/>
        <v>AR</v>
      </c>
      <c r="AS69" s="395" t="str">
        <f t="shared" si="3"/>
        <v>AS</v>
      </c>
      <c r="AT69" s="395" t="str">
        <f t="shared" si="3"/>
        <v>AT</v>
      </c>
      <c r="AU69" s="395" t="str">
        <f t="shared" si="3"/>
        <v>AU</v>
      </c>
      <c r="BC69" s="271"/>
      <c r="BD69" s="279">
        <v>1</v>
      </c>
      <c r="BE69" s="271"/>
      <c r="BF69" s="271"/>
      <c r="BG69" s="271"/>
      <c r="BH69" s="271"/>
      <c r="BI69" s="271"/>
      <c r="BJ69" s="271"/>
      <c r="BK69" s="271"/>
      <c r="BL69" s="271"/>
    </row>
    <row r="70" spans="1:111" ht="35.25" customHeight="1" x14ac:dyDescent="0.25">
      <c r="R70" s="440" t="s">
        <v>484</v>
      </c>
      <c r="T70" s="440" t="s">
        <v>8110</v>
      </c>
      <c r="V70" s="441" t="s">
        <v>8111</v>
      </c>
      <c r="W70" s="442"/>
      <c r="X70" s="442"/>
      <c r="Y70" s="442"/>
      <c r="Z70" s="442"/>
      <c r="AA70" s="442"/>
      <c r="AB70" s="442"/>
      <c r="AC70" s="442"/>
      <c r="AD70" s="443"/>
      <c r="AE70" s="442"/>
      <c r="AF70" s="442"/>
      <c r="AG70" s="444" t="s">
        <v>8112</v>
      </c>
      <c r="AH70" s="445"/>
      <c r="AI70" s="445"/>
      <c r="AJ70" s="445"/>
      <c r="AK70" s="445"/>
      <c r="AL70" s="445"/>
      <c r="AM70" s="446"/>
      <c r="AN70" s="444" t="s">
        <v>8112</v>
      </c>
      <c r="AO70" s="447"/>
      <c r="AP70" s="447"/>
      <c r="AQ70" s="447"/>
      <c r="AR70" s="447"/>
      <c r="AS70" s="447"/>
      <c r="AT70" s="447"/>
      <c r="AU70" s="447"/>
      <c r="AY70" s="448" t="str">
        <f>ADDRESS(ROW(),COLUMN(),4)</f>
        <v>AY70</v>
      </c>
      <c r="AZ70" s="449"/>
      <c r="BA70" s="449"/>
      <c r="BB70" s="450"/>
      <c r="BD70" s="279">
        <v>1</v>
      </c>
      <c r="BG70" s="271"/>
      <c r="BH70" s="271"/>
      <c r="BI70" s="271"/>
      <c r="BJ70" s="271"/>
      <c r="BK70" s="271"/>
      <c r="BL70" s="271"/>
    </row>
    <row r="71" spans="1:111" ht="34.5" customHeight="1" x14ac:dyDescent="0.25">
      <c r="R71" s="25" t="s">
        <v>6115</v>
      </c>
      <c r="S71" s="451"/>
      <c r="T71" s="452" t="s">
        <v>8113</v>
      </c>
      <c r="V71" s="453" t="s">
        <v>324</v>
      </c>
      <c r="W71" s="453" t="s">
        <v>7912</v>
      </c>
      <c r="X71" s="453" t="s">
        <v>326</v>
      </c>
      <c r="Y71" s="453" t="s">
        <v>327</v>
      </c>
      <c r="Z71" s="454" t="s">
        <v>7930</v>
      </c>
      <c r="AA71" s="453" t="s">
        <v>7937</v>
      </c>
      <c r="AB71" s="455" t="s">
        <v>39</v>
      </c>
      <c r="AC71" s="455" t="s">
        <v>338</v>
      </c>
      <c r="AD71" s="455" t="s">
        <v>8114</v>
      </c>
      <c r="AE71" s="455" t="s">
        <v>339</v>
      </c>
      <c r="AF71" s="455" t="s">
        <v>7997</v>
      </c>
      <c r="AG71" s="456" t="s">
        <v>8018</v>
      </c>
      <c r="AH71" s="456" t="s">
        <v>8023</v>
      </c>
      <c r="AI71" s="456" t="s">
        <v>330</v>
      </c>
      <c r="AJ71" s="456" t="s">
        <v>8031</v>
      </c>
      <c r="AK71" s="453" t="s">
        <v>8037</v>
      </c>
      <c r="AL71" s="453" t="s">
        <v>8041</v>
      </c>
      <c r="AM71" s="456" t="s">
        <v>343</v>
      </c>
      <c r="AN71" s="457" t="s">
        <v>8115</v>
      </c>
      <c r="AO71" s="457" t="s">
        <v>8116</v>
      </c>
      <c r="AP71" s="656" t="s">
        <v>8117</v>
      </c>
      <c r="AQ71" s="656"/>
      <c r="AR71" s="656"/>
      <c r="AS71" s="656"/>
      <c r="AT71" s="656"/>
      <c r="AU71" s="657"/>
      <c r="AY71" s="448" t="s">
        <v>8118</v>
      </c>
      <c r="AZ71" s="448" t="s">
        <v>8119</v>
      </c>
      <c r="BA71" s="448"/>
      <c r="BB71" s="458"/>
      <c r="BD71" s="279">
        <v>1</v>
      </c>
      <c r="BG71" s="271"/>
      <c r="BH71" s="271"/>
      <c r="BI71" s="271"/>
      <c r="BJ71" s="271"/>
      <c r="BK71" s="271"/>
      <c r="BL71" s="271"/>
    </row>
    <row r="72" spans="1:111" ht="30" customHeight="1" x14ac:dyDescent="0.25">
      <c r="R72" s="34" t="s">
        <v>471</v>
      </c>
      <c r="S72" s="451"/>
      <c r="T72" s="14" t="s">
        <v>7</v>
      </c>
      <c r="V72" s="459">
        <v>1</v>
      </c>
      <c r="W72" s="460" t="s">
        <v>46</v>
      </c>
      <c r="X72" s="461" t="s">
        <v>47</v>
      </c>
      <c r="Y72" s="462">
        <v>18</v>
      </c>
      <c r="Z72" s="463">
        <v>100</v>
      </c>
      <c r="AA72" s="464">
        <f>IF($AC$396="","",ROW($A$396)-ROW($A$396))</f>
        <v>0</v>
      </c>
      <c r="AB72" s="461"/>
      <c r="AC72" s="465" t="s">
        <v>40</v>
      </c>
      <c r="AD72" s="390"/>
      <c r="AE72" s="13">
        <v>10</v>
      </c>
      <c r="AF72" s="3" t="s">
        <v>7</v>
      </c>
      <c r="AG72" s="467">
        <f t="shared" ref="AG72:AG106" si="4">IF($AC72="","",IF(LEN($AN72&amp;"")=0,"",$AN72))</f>
        <v>10</v>
      </c>
      <c r="AH72" s="468" t="str">
        <f t="shared" ref="AH72:AH106" si="5">IF($AC72="","",IF($AF72&lt;&gt;"",UPPER(TRIM(SUBSTITUTE(SUBSTITUTE($AF72&amp;"",CHAR(160)," ")," "," "))),$AP72))</f>
        <v>KG</v>
      </c>
      <c r="AI72" s="469" t="str">
        <f>IF($AC$72="","",IFERROR(INDEX($AZ$74:$AZ$119,MATCH($AH$72,$AY$74:$AY$119,0)),"AUTRE"))</f>
        <v>MASSE</v>
      </c>
      <c r="AJ72" s="470">
        <f>IF($AC$72="","",IFERROR(INDEX($BA$74:$BA$119,MATCH($AH$72,$AY$74:$AY$119,0)),1))</f>
        <v>1</v>
      </c>
      <c r="AK72" s="470">
        <f t="shared" ref="AK72:AK106" si="6">IF(OR(AG72="",AJ72=""),"",AG72*AJ72)</f>
        <v>10</v>
      </c>
      <c r="AL72" s="469" t="str">
        <f>IF($AC$72="","",IFERROR(INDEX($BB$74:$BB$119,MATCH($AH$72,$AY$74:$AY$119,0)),$AH$72))</f>
        <v>kg</v>
      </c>
      <c r="AM72" s="471" t="str">
        <f t="shared" ref="AM72:AM106" si="7">IF($AC72="","",IF($AH72="QT. SUFFISANTE","OK",IF($AG72="","TEXTE",IF(NOT(ISNUMBER($AG72)),"QUANTITÉ À CONTRÔLER",IF(COUNTIF($AY$74:$AY$119,$AH72)=0,"UNITÉ À CONTRÔLER","OK")))))</f>
        <v>OK</v>
      </c>
      <c r="AN72" s="472">
        <f>IF($AE72&lt;&gt;"",$AE72,IF($AD72="","",IF(ISNUMBER($AD72),$AD72,IF($AO72="QT",0,IF($AO72="","",IFERROR(IF(ISNUMBER(SEARCH("/",$AO72)),VALUE(TRIM(LEFT($AO72,SEARCH("/",$AO72)-1)))/VALUE(TRIM(MID($AO72,SEARCH("/",$AO72)+1,99))),VALUE(SUBSTITUTE($AO72,".",","))),""))))))</f>
        <v>10</v>
      </c>
      <c r="AO72" s="473" t="str">
        <f t="shared" ref="AO72:AO106" si="8">IF($AD72="","",IF(ISNUMBER($AD72),$AD72,IF(OR(LEFT($AQ72,3)="QT.",LEFT($AQ72,4)="QUAN"),"QT",IF($AR72=999,$AQ72,TRIM(LEFT($AQ72,$AR72-1))))))</f>
        <v/>
      </c>
      <c r="AP72" s="473" t="str">
        <f t="shared" ref="AP72:AP106" si="9">IF($AD72="","",IF(ISNUMBER($AD72),"",IF(OR(LEFT($AQ72,3)="QT.",LEFT($AQ72,4)="QUAN"),"QT. SUFFISANTE",IF($AO72="","",TRIM(MID($AQ72,LEN($AO72&amp;"")+1,999))))))</f>
        <v/>
      </c>
      <c r="AQ72" s="474" t="str">
        <f t="shared" ref="AQ72:AQ106" si="10">IF($AD72="","",UPPER(TRIM(SUBSTITUTE(SUBSTITUTE($AD72&amp;"",CHAR(160)," ")," "," "))))</f>
        <v/>
      </c>
      <c r="AR72" s="474" t="str">
        <f t="shared" ref="AR72:AR106" si="11">IF($AQ72="","",MIN($AS72,$AT72,$AU72))</f>
        <v/>
      </c>
      <c r="AS72" s="474" t="str">
        <f t="shared" ref="AS72:AS106" si="12">IF($AQ72="","",MIN(IFERROR(SEARCH("A",$AQ72),999),IFERROR(SEARCH("B",$AQ72),999),IFERROR(SEARCH("C",$AQ72),999),IFERROR(SEARCH("D",$AQ72),999),IFERROR(SEARCH("E",$AQ72),999),IFERROR(SEARCH("F",$AQ72),999),IFERROR(SEARCH("G",$AQ72),999),IFERROR(SEARCH("H",$AQ72),999),IFERROR(SEARCH("I",$AQ72),999)))</f>
        <v/>
      </c>
      <c r="AT72" s="474" t="str">
        <f t="shared" ref="AT72:AT106" si="13">IF($AQ72="","",MIN(IFERROR(SEARCH("J",$AQ72),999),IFERROR(SEARCH("K",$AQ72),999),IFERROR(SEARCH("L",$AQ72),999),IFERROR(SEARCH("M",$AQ72),999),IFERROR(SEARCH("N",$AQ72),999),IFERROR(SEARCH("O",$AQ72),999),IFERROR(SEARCH("P",$AQ72),999),IFERROR(SEARCH("Q",$AQ72),999),IFERROR(SEARCH("R",$AQ72),999)))</f>
        <v/>
      </c>
      <c r="AU72" s="474" t="str">
        <f t="shared" ref="AU72:AU106" si="14">IF($AQ72="","",MIN(IFERROR(SEARCH("S",$AQ72),999),IFERROR(SEARCH("T",$AQ72),999),IFERROR(SEARCH("U",$AQ72),999),IFERROR(SEARCH("V",$AQ72),999),IFERROR(SEARCH("W",$AQ72),999),IFERROR(SEARCH("X",$AQ72),999),IFERROR(SEARCH("Y",$AQ72),999),IFERROR(SEARCH("Z",$AQ72),999)))</f>
        <v/>
      </c>
      <c r="AY72" s="418"/>
      <c r="AZ72" s="418"/>
      <c r="BA72" s="418"/>
      <c r="BB72" s="419"/>
      <c r="BD72" s="279">
        <v>1</v>
      </c>
      <c r="BG72" s="271"/>
      <c r="BH72" s="271"/>
      <c r="BI72" s="271"/>
      <c r="BJ72" s="271"/>
      <c r="BK72" s="271"/>
      <c r="BL72" s="271"/>
    </row>
    <row r="73" spans="1:111" ht="21" customHeight="1" x14ac:dyDescent="0.25">
      <c r="R73" s="34" t="s">
        <v>472</v>
      </c>
      <c r="S73" s="451"/>
      <c r="T73" s="27" t="s">
        <v>8</v>
      </c>
      <c r="V73" s="475">
        <f>$V$72</f>
        <v>1</v>
      </c>
      <c r="W73" s="475" t="str">
        <f>IF($AC$73="","",$W$72)</f>
        <v>N° 01</v>
      </c>
      <c r="X73" s="476" t="str">
        <f>IF($AC$73="","",$X$72)</f>
        <v>CAVIAR D'AUBERGINE</v>
      </c>
      <c r="Y73" s="477">
        <f>IF($X$73="","",$Y$72)</f>
        <v>18</v>
      </c>
      <c r="Z73" s="477">
        <f>IF($X$73="","",$Z$72)</f>
        <v>100</v>
      </c>
      <c r="AA73" s="477">
        <f>IF($AC$73="","",ROW($A$73)-ROW($A$72))</f>
        <v>1</v>
      </c>
      <c r="AB73" s="478"/>
      <c r="AC73" s="34" t="s">
        <v>41</v>
      </c>
      <c r="AD73" s="356"/>
      <c r="AE73" s="18">
        <v>400</v>
      </c>
      <c r="AF73" s="5" t="s">
        <v>8</v>
      </c>
      <c r="AG73" s="480">
        <f t="shared" si="4"/>
        <v>400</v>
      </c>
      <c r="AH73" s="481" t="str">
        <f t="shared" si="5"/>
        <v>G</v>
      </c>
      <c r="AI73" s="477" t="str">
        <f>IF($AC$73="","",IFERROR(INDEX($AZ$74:$AZ$119,MATCH($AH$73,$AY$74:$AY$119,0)),"AUTRE"))</f>
        <v>MASSE</v>
      </c>
      <c r="AJ73" s="482">
        <f>IF($AC$73="","",IFERROR(INDEX($BA$74:$BA$119,MATCH($AH$73,$AY$74:$AY$119,0)),1))</f>
        <v>1E-3</v>
      </c>
      <c r="AK73" s="482">
        <f t="shared" si="6"/>
        <v>0.4</v>
      </c>
      <c r="AL73" s="477" t="str">
        <f>IF($AC$73="","",IFERROR(INDEX($BB$74:$BB$119,MATCH($AH$73,$AY$74:$AY$119,0)),$AH$73))</f>
        <v>kg</v>
      </c>
      <c r="AM73" s="483" t="str">
        <f t="shared" si="7"/>
        <v>OK</v>
      </c>
      <c r="AN73" s="484">
        <f t="shared" ref="AN73:AN106" si="15">IF($AE73&lt;&gt;"",$AE73,IF($AD73="","",IF(ISNUMBER($AD73),$AD73,IF($AO73="QT",0,IF($AO73="","",IFERROR(IF(ISNUMBER(SEARCH("/",$AO73)),VALUE(TRIM(LEFT($AO73,SEARCH("/",$AO73)-1)))/VALUE(TRIM(MID($AO73,SEARCH("/",$AO73)+1,99))),VALUE(SUBSTITUTE($AO73,".",","))),""))))))</f>
        <v>400</v>
      </c>
      <c r="AO73" s="473" t="str">
        <f t="shared" si="8"/>
        <v/>
      </c>
      <c r="AP73" s="473" t="str">
        <f t="shared" si="9"/>
        <v/>
      </c>
      <c r="AQ73" s="473" t="str">
        <f t="shared" si="10"/>
        <v/>
      </c>
      <c r="AR73" s="473" t="str">
        <f t="shared" si="11"/>
        <v/>
      </c>
      <c r="AS73" s="473" t="str">
        <f t="shared" si="12"/>
        <v/>
      </c>
      <c r="AT73" s="473" t="str">
        <f t="shared" si="13"/>
        <v/>
      </c>
      <c r="AU73" s="473" t="str">
        <f t="shared" si="14"/>
        <v/>
      </c>
      <c r="AY73" s="440" t="s">
        <v>8110</v>
      </c>
      <c r="AZ73" s="485" t="s">
        <v>34</v>
      </c>
      <c r="BA73" s="485" t="s">
        <v>8123</v>
      </c>
      <c r="BB73" s="486" t="s">
        <v>8124</v>
      </c>
      <c r="BD73" s="279">
        <v>1</v>
      </c>
      <c r="BG73" s="271"/>
      <c r="BH73" s="271"/>
      <c r="BI73" s="271"/>
      <c r="BJ73" s="271"/>
      <c r="BK73" s="271"/>
      <c r="BL73" s="271"/>
    </row>
    <row r="74" spans="1:111" ht="21" customHeight="1" x14ac:dyDescent="0.25">
      <c r="R74" s="34" t="s">
        <v>6112</v>
      </c>
      <c r="S74" s="451"/>
      <c r="T74" s="28" t="s">
        <v>13</v>
      </c>
      <c r="V74" s="475">
        <v>1</v>
      </c>
      <c r="W74" s="475" t="str">
        <f>IF($AC$74="","",$W$72)</f>
        <v>N° 01</v>
      </c>
      <c r="X74" s="476" t="str">
        <f>IF($AC$74="","",$X$72)</f>
        <v>CAVIAR D'AUBERGINE</v>
      </c>
      <c r="Y74" s="477">
        <f>IF($X$74="","",$Y$72)</f>
        <v>18</v>
      </c>
      <c r="Z74" s="477">
        <f>IF($X$74="","",$Z$72)</f>
        <v>100</v>
      </c>
      <c r="AA74" s="477">
        <f>IF($AC$74="","",ROW($A$74)-ROW($A$72))</f>
        <v>2</v>
      </c>
      <c r="AB74" s="487"/>
      <c r="AC74" s="34" t="s">
        <v>42</v>
      </c>
      <c r="AD74" s="356"/>
      <c r="AE74" s="18">
        <v>1</v>
      </c>
      <c r="AF74" s="8" t="s">
        <v>16</v>
      </c>
      <c r="AG74" s="480">
        <f t="shared" si="4"/>
        <v>1</v>
      </c>
      <c r="AH74" s="481" t="str">
        <f t="shared" si="5"/>
        <v>DEMI/L</v>
      </c>
      <c r="AI74" s="477" t="str">
        <f>IF($AC$74="","",IFERROR(INDEX($AZ$74:$AZ$119,MATCH($AH$74,$AY$74:$AY$119,0)),"AUTRE"))</f>
        <v>VOLUME</v>
      </c>
      <c r="AJ74" s="482">
        <f>IF($AC$74="","",IFERROR(INDEX($BA$74:$BA$119,MATCH($AH$74,$AY$74:$AY$119,0)),1))</f>
        <v>0.5</v>
      </c>
      <c r="AK74" s="482">
        <f t="shared" si="6"/>
        <v>0.5</v>
      </c>
      <c r="AL74" s="477" t="str">
        <f>IF($AC$74="","",IFERROR(INDEX($BB$74:$BB$119,MATCH($AH$74,$AY$74:$AY$119,0)),$AH$74))</f>
        <v>L</v>
      </c>
      <c r="AM74" s="483" t="str">
        <f t="shared" si="7"/>
        <v>OK</v>
      </c>
      <c r="AN74" s="484">
        <f t="shared" si="15"/>
        <v>1</v>
      </c>
      <c r="AO74" s="473" t="str">
        <f t="shared" si="8"/>
        <v/>
      </c>
      <c r="AP74" s="473" t="str">
        <f t="shared" si="9"/>
        <v/>
      </c>
      <c r="AQ74" s="473" t="str">
        <f t="shared" si="10"/>
        <v/>
      </c>
      <c r="AR74" s="473" t="str">
        <f t="shared" si="11"/>
        <v/>
      </c>
      <c r="AS74" s="473" t="str">
        <f t="shared" si="12"/>
        <v/>
      </c>
      <c r="AT74" s="473" t="str">
        <f t="shared" si="13"/>
        <v/>
      </c>
      <c r="AU74" s="473" t="str">
        <f t="shared" si="14"/>
        <v/>
      </c>
      <c r="AY74" s="14" t="s">
        <v>7</v>
      </c>
      <c r="AZ74" s="488" t="s">
        <v>35</v>
      </c>
      <c r="BA74" s="418">
        <v>1</v>
      </c>
      <c r="BB74" s="419" t="s">
        <v>36</v>
      </c>
      <c r="BD74" s="279">
        <v>1</v>
      </c>
      <c r="BG74" s="271"/>
      <c r="BH74" s="271"/>
      <c r="BI74" s="271"/>
      <c r="BJ74" s="271"/>
      <c r="BK74" s="271"/>
      <c r="BL74" s="271"/>
    </row>
    <row r="75" spans="1:111" ht="21" customHeight="1" x14ac:dyDescent="0.25">
      <c r="R75" s="25" t="s">
        <v>6116</v>
      </c>
      <c r="S75" s="451"/>
      <c r="T75" s="28" t="s">
        <v>14</v>
      </c>
      <c r="V75" s="475">
        <v>1</v>
      </c>
      <c r="W75" s="475" t="str">
        <f>IF($AC$75="","",$W$72)</f>
        <v>N° 01</v>
      </c>
      <c r="X75" s="476" t="str">
        <f>IF($AC$75="","",$X$72)</f>
        <v>CAVIAR D'AUBERGINE</v>
      </c>
      <c r="Y75" s="477">
        <f>IF($X$75="","",$Y$72)</f>
        <v>18</v>
      </c>
      <c r="Z75" s="477">
        <f>IF($X$75="","",$Z$72)</f>
        <v>100</v>
      </c>
      <c r="AA75" s="477">
        <f>IF($AC$75="","",ROW($A$75)-ROW($A$72))</f>
        <v>3</v>
      </c>
      <c r="AB75" s="478"/>
      <c r="AC75" s="34" t="s">
        <v>43</v>
      </c>
      <c r="AD75" s="356"/>
      <c r="AE75" s="18">
        <v>45</v>
      </c>
      <c r="AF75" s="5" t="s">
        <v>8</v>
      </c>
      <c r="AG75" s="480">
        <f t="shared" si="4"/>
        <v>45</v>
      </c>
      <c r="AH75" s="481" t="str">
        <f t="shared" si="5"/>
        <v>G</v>
      </c>
      <c r="AI75" s="477" t="str">
        <f>IF($AC$75="","",IFERROR(INDEX($AZ$74:$AZ$119,MATCH($AH$75,$AY$74:$AY$119,0)),"AUTRE"))</f>
        <v>MASSE</v>
      </c>
      <c r="AJ75" s="482">
        <f>IF($AC$75="","",IFERROR(INDEX($BA$74:$BA$119,MATCH($AH$75,$AY$74:$AY$119,0)),1))</f>
        <v>1E-3</v>
      </c>
      <c r="AK75" s="482">
        <f t="shared" si="6"/>
        <v>4.4999999999999998E-2</v>
      </c>
      <c r="AL75" s="477" t="str">
        <f>IF($AC$75="","",IFERROR(INDEX($BB$74:$BB$119,MATCH($AH$75,$AY$74:$AY$119,0)),$AH$75))</f>
        <v>kg</v>
      </c>
      <c r="AM75" s="483" t="str">
        <f t="shared" si="7"/>
        <v>OK</v>
      </c>
      <c r="AN75" s="484">
        <f t="shared" si="15"/>
        <v>45</v>
      </c>
      <c r="AO75" s="473" t="str">
        <f t="shared" si="8"/>
        <v/>
      </c>
      <c r="AP75" s="473" t="str">
        <f t="shared" si="9"/>
        <v/>
      </c>
      <c r="AQ75" s="473" t="str">
        <f t="shared" si="10"/>
        <v/>
      </c>
      <c r="AR75" s="473" t="str">
        <f t="shared" si="11"/>
        <v/>
      </c>
      <c r="AS75" s="473" t="str">
        <f t="shared" si="12"/>
        <v/>
      </c>
      <c r="AT75" s="473" t="str">
        <f t="shared" si="13"/>
        <v/>
      </c>
      <c r="AU75" s="473" t="str">
        <f t="shared" si="14"/>
        <v/>
      </c>
      <c r="AY75" s="27" t="s">
        <v>8</v>
      </c>
      <c r="AZ75" s="488" t="s">
        <v>35</v>
      </c>
      <c r="BA75" s="489">
        <v>1E-3</v>
      </c>
      <c r="BB75" s="419" t="s">
        <v>36</v>
      </c>
      <c r="BD75" s="279">
        <v>1</v>
      </c>
      <c r="BG75" s="271"/>
      <c r="BH75" s="271"/>
      <c r="BI75" s="271"/>
      <c r="BJ75" s="271"/>
      <c r="BK75" s="271"/>
      <c r="BL75" s="271"/>
    </row>
    <row r="76" spans="1:111" ht="21" customHeight="1" x14ac:dyDescent="0.25">
      <c r="R76" s="34" t="s">
        <v>6117</v>
      </c>
      <c r="S76" s="451"/>
      <c r="T76" s="28" t="s">
        <v>15</v>
      </c>
      <c r="V76" s="475">
        <v>1</v>
      </c>
      <c r="W76" s="475" t="str">
        <f>IF($AC$76="","",$W$72)</f>
        <v>N° 01</v>
      </c>
      <c r="X76" s="476" t="str">
        <f>IF($AC$76="","",$X$72)</f>
        <v>CAVIAR D'AUBERGINE</v>
      </c>
      <c r="Y76" s="477">
        <f>IF($X$76="","",$Y$72)</f>
        <v>18</v>
      </c>
      <c r="Z76" s="477">
        <f>IF($X$76="","",$Z$72)</f>
        <v>100</v>
      </c>
      <c r="AA76" s="477">
        <f>IF($AC$76="","",ROW($A$76)-ROW($A$72))</f>
        <v>4</v>
      </c>
      <c r="AB76" s="478"/>
      <c r="AC76" s="34" t="s">
        <v>44</v>
      </c>
      <c r="AD76" s="356"/>
      <c r="AE76" s="18">
        <v>12</v>
      </c>
      <c r="AF76" s="5" t="s">
        <v>8</v>
      </c>
      <c r="AG76" s="480">
        <f t="shared" si="4"/>
        <v>12</v>
      </c>
      <c r="AH76" s="481" t="str">
        <f t="shared" si="5"/>
        <v>G</v>
      </c>
      <c r="AI76" s="477" t="str">
        <f>IF($AC$76="","",IFERROR(INDEX($AZ$74:$AZ$119,MATCH($AH$76,$AY$74:$AY$119,0)),"AUTRE"))</f>
        <v>MASSE</v>
      </c>
      <c r="AJ76" s="482">
        <f>IF($AC$76="","",IFERROR(INDEX($BA$74:$BA$119,MATCH($AH$76,$AY$74:$AY$119,0)),1))</f>
        <v>1E-3</v>
      </c>
      <c r="AK76" s="482">
        <f t="shared" si="6"/>
        <v>1.2E-2</v>
      </c>
      <c r="AL76" s="477" t="str">
        <f>IF($AC$76="","",IFERROR(INDEX($BB$74:$BB$119,MATCH($AH$76,$AY$74:$AY$119,0)),$AH$76))</f>
        <v>kg</v>
      </c>
      <c r="AM76" s="483" t="str">
        <f t="shared" si="7"/>
        <v>OK</v>
      </c>
      <c r="AN76" s="484">
        <f t="shared" si="15"/>
        <v>12</v>
      </c>
      <c r="AO76" s="473" t="str">
        <f t="shared" si="8"/>
        <v/>
      </c>
      <c r="AP76" s="473" t="str">
        <f t="shared" si="9"/>
        <v/>
      </c>
      <c r="AQ76" s="473" t="str">
        <f t="shared" si="10"/>
        <v/>
      </c>
      <c r="AR76" s="473" t="str">
        <f t="shared" si="11"/>
        <v/>
      </c>
      <c r="AS76" s="473" t="str">
        <f t="shared" si="12"/>
        <v/>
      </c>
      <c r="AT76" s="473" t="str">
        <f t="shared" si="13"/>
        <v/>
      </c>
      <c r="AU76" s="473" t="str">
        <f t="shared" si="14"/>
        <v/>
      </c>
      <c r="AY76" s="28" t="s">
        <v>13</v>
      </c>
      <c r="AZ76" s="488" t="s">
        <v>35</v>
      </c>
      <c r="BA76" s="489">
        <v>0.25</v>
      </c>
      <c r="BB76" s="419" t="s">
        <v>36</v>
      </c>
      <c r="BD76" s="279">
        <v>1</v>
      </c>
      <c r="BG76" s="271"/>
      <c r="BH76" s="271"/>
      <c r="BI76" s="271"/>
      <c r="BJ76" s="271"/>
      <c r="BK76" s="271"/>
      <c r="BL76" s="271"/>
    </row>
    <row r="77" spans="1:111" ht="21" customHeight="1" x14ac:dyDescent="0.25">
      <c r="R77" s="34" t="s">
        <v>469</v>
      </c>
      <c r="S77" s="451"/>
      <c r="T77" s="28" t="s">
        <v>21</v>
      </c>
      <c r="V77" s="475">
        <v>1</v>
      </c>
      <c r="W77" s="475" t="str">
        <f>IF($AC$77="","",$W$72)</f>
        <v>N° 01</v>
      </c>
      <c r="X77" s="476" t="str">
        <f>IF($AC$77="","",$X$72)</f>
        <v>CAVIAR D'AUBERGINE</v>
      </c>
      <c r="Y77" s="477">
        <f>IF($X$77="","",$Y$72)</f>
        <v>18</v>
      </c>
      <c r="Z77" s="477">
        <f>IF($X$77="","",$Z$72)</f>
        <v>100</v>
      </c>
      <c r="AA77" s="477">
        <f>IF($AC$77="","",ROW($A$77)-ROW($A$72))</f>
        <v>5</v>
      </c>
      <c r="AB77" s="478"/>
      <c r="AC77" s="34" t="s">
        <v>45</v>
      </c>
      <c r="AD77" s="356"/>
      <c r="AE77" s="18">
        <v>200</v>
      </c>
      <c r="AF77" s="5" t="s">
        <v>8</v>
      </c>
      <c r="AG77" s="480">
        <f t="shared" si="4"/>
        <v>200</v>
      </c>
      <c r="AH77" s="481" t="str">
        <f t="shared" si="5"/>
        <v>G</v>
      </c>
      <c r="AI77" s="477" t="str">
        <f>IF($AC$77="","",IFERROR(INDEX($AZ$74:$AZ$119,MATCH($AH$77,$AY$74:$AY$119,0)),"AUTRE"))</f>
        <v>MASSE</v>
      </c>
      <c r="AJ77" s="482">
        <f>IF($AC$77="","",IFERROR(INDEX($BA$74:$BA$119,MATCH($AH$77,$AY$74:$AY$119,0)),1))</f>
        <v>1E-3</v>
      </c>
      <c r="AK77" s="482">
        <f t="shared" si="6"/>
        <v>0.2</v>
      </c>
      <c r="AL77" s="477" t="str">
        <f>IF($AC$77="","",IFERROR(INDEX($BB$74:$BB$119,MATCH($AH$77,$AY$74:$AY$119,0)),$AH$77))</f>
        <v>kg</v>
      </c>
      <c r="AM77" s="483" t="str">
        <f t="shared" si="7"/>
        <v>OK</v>
      </c>
      <c r="AN77" s="484">
        <f t="shared" si="15"/>
        <v>200</v>
      </c>
      <c r="AO77" s="473" t="str">
        <f t="shared" si="8"/>
        <v/>
      </c>
      <c r="AP77" s="473" t="str">
        <f t="shared" si="9"/>
        <v/>
      </c>
      <c r="AQ77" s="473" t="str">
        <f t="shared" si="10"/>
        <v/>
      </c>
      <c r="AR77" s="473" t="str">
        <f t="shared" si="11"/>
        <v/>
      </c>
      <c r="AS77" s="473" t="str">
        <f t="shared" si="12"/>
        <v/>
      </c>
      <c r="AT77" s="473" t="str">
        <f t="shared" si="13"/>
        <v/>
      </c>
      <c r="AU77" s="473" t="str">
        <f t="shared" si="14"/>
        <v/>
      </c>
      <c r="AY77" s="28" t="s">
        <v>14</v>
      </c>
      <c r="AZ77" s="488" t="s">
        <v>35</v>
      </c>
      <c r="BA77" s="489">
        <v>0.33333333300000001</v>
      </c>
      <c r="BB77" s="419" t="s">
        <v>36</v>
      </c>
      <c r="BD77" s="279">
        <v>1</v>
      </c>
      <c r="BG77" s="271"/>
      <c r="BH77" s="271"/>
      <c r="BI77" s="271"/>
      <c r="BJ77" s="271"/>
      <c r="BK77" s="271"/>
      <c r="BL77" s="271"/>
    </row>
    <row r="78" spans="1:111" ht="21" customHeight="1" x14ac:dyDescent="0.25">
      <c r="R78" s="34" t="s">
        <v>6118</v>
      </c>
      <c r="S78" s="451"/>
      <c r="T78" s="28" t="s">
        <v>22</v>
      </c>
      <c r="V78" s="475">
        <v>1</v>
      </c>
      <c r="W78" s="475" t="str">
        <f>IF($AC$78="","",$W$72)</f>
        <v>N° 01</v>
      </c>
      <c r="X78" s="476" t="str">
        <f>IF($AC$78="","",$X$72)</f>
        <v>CAVIAR D'AUBERGINE</v>
      </c>
      <c r="Y78" s="477">
        <f>IF($X$78="","",$Y$72)</f>
        <v>18</v>
      </c>
      <c r="Z78" s="477">
        <f>IF($X$78="","",$Z$72)</f>
        <v>100</v>
      </c>
      <c r="AA78" s="477">
        <f>IF($AC$78="","",ROW($A$78)-ROW($A$72))</f>
        <v>6</v>
      </c>
      <c r="AB78" s="478"/>
      <c r="AC78" s="34" t="s">
        <v>408</v>
      </c>
      <c r="AD78" s="356"/>
      <c r="AE78" s="18">
        <v>4</v>
      </c>
      <c r="AF78" s="3" t="s">
        <v>7</v>
      </c>
      <c r="AG78" s="480">
        <f t="shared" si="4"/>
        <v>4</v>
      </c>
      <c r="AH78" s="481" t="str">
        <f t="shared" si="5"/>
        <v>KG</v>
      </c>
      <c r="AI78" s="477" t="str">
        <f>IF($AC$78="","",IFERROR(INDEX($AZ$74:$AZ$119,MATCH($AH$78,$AY$74:$AY$119,0)),"AUTRE"))</f>
        <v>MASSE</v>
      </c>
      <c r="AJ78" s="482">
        <f>IF($AC$78="","",IFERROR(INDEX($BA$74:$BA$119,MATCH($AH$78,$AY$74:$AY$119,0)),1))</f>
        <v>1</v>
      </c>
      <c r="AK78" s="482">
        <f t="shared" si="6"/>
        <v>4</v>
      </c>
      <c r="AL78" s="477" t="str">
        <f>IF($AC$78="","",IFERROR(INDEX($BB$74:$BB$119,MATCH($AH$78,$AY$74:$AY$119,0)),$AH$78))</f>
        <v>kg</v>
      </c>
      <c r="AM78" s="483" t="str">
        <f t="shared" si="7"/>
        <v>OK</v>
      </c>
      <c r="AN78" s="484">
        <f t="shared" si="15"/>
        <v>4</v>
      </c>
      <c r="AO78" s="473" t="str">
        <f t="shared" si="8"/>
        <v/>
      </c>
      <c r="AP78" s="473" t="str">
        <f t="shared" si="9"/>
        <v/>
      </c>
      <c r="AQ78" s="473" t="str">
        <f t="shared" si="10"/>
        <v/>
      </c>
      <c r="AR78" s="473" t="str">
        <f t="shared" si="11"/>
        <v/>
      </c>
      <c r="AS78" s="473" t="str">
        <f t="shared" si="12"/>
        <v/>
      </c>
      <c r="AT78" s="473" t="str">
        <f t="shared" si="13"/>
        <v/>
      </c>
      <c r="AU78" s="473" t="str">
        <f t="shared" si="14"/>
        <v/>
      </c>
      <c r="AY78" s="28" t="s">
        <v>15</v>
      </c>
      <c r="AZ78" s="488" t="s">
        <v>35</v>
      </c>
      <c r="BA78" s="489">
        <v>0.5</v>
      </c>
      <c r="BB78" s="419" t="s">
        <v>36</v>
      </c>
      <c r="BD78" s="279">
        <v>1</v>
      </c>
      <c r="BG78" s="271"/>
      <c r="BH78" s="271"/>
      <c r="BI78" s="271"/>
      <c r="BJ78" s="271"/>
      <c r="BK78" s="271"/>
      <c r="BL78" s="271"/>
    </row>
    <row r="79" spans="1:111" ht="21" customHeight="1" x14ac:dyDescent="0.25">
      <c r="R79" s="34" t="s">
        <v>492</v>
      </c>
      <c r="S79" s="451"/>
      <c r="T79" s="28" t="s">
        <v>23</v>
      </c>
      <c r="V79" s="475">
        <v>1</v>
      </c>
      <c r="W79" s="475" t="str">
        <f>IF($AC$79="","",$W$72)</f>
        <v/>
      </c>
      <c r="X79" s="476" t="str">
        <f>IF($AC$79="","",$X$72)</f>
        <v/>
      </c>
      <c r="Y79" s="477" t="str">
        <f>IF($X$79="","",$Y$72)</f>
        <v/>
      </c>
      <c r="Z79" s="477" t="str">
        <f>IF($X$79="","",$Z$72)</f>
        <v/>
      </c>
      <c r="AA79" s="477" t="str">
        <f>IF($AC$79="","",ROW($A$79)-ROW($A$72))</f>
        <v/>
      </c>
      <c r="AB79" s="478"/>
      <c r="AC79" s="34"/>
      <c r="AD79" s="356"/>
      <c r="AE79" s="18"/>
      <c r="AF79" s="19"/>
      <c r="AG79" s="480" t="str">
        <f t="shared" si="4"/>
        <v/>
      </c>
      <c r="AH79" s="481" t="str">
        <f t="shared" si="5"/>
        <v/>
      </c>
      <c r="AI79" s="477" t="str">
        <f>IF($AC$79="","",IFERROR(INDEX($AZ$74:$AZ$119,MATCH($AH$79,$AY$74:$AY$119,0)),"AUTRE"))</f>
        <v/>
      </c>
      <c r="AJ79" s="482" t="str">
        <f>IF($AC$79="","",IFERROR(INDEX($BA$74:$BA$119,MATCH($AH$79,$AY$74:$AY$119,0)),1))</f>
        <v/>
      </c>
      <c r="AK79" s="482" t="str">
        <f t="shared" si="6"/>
        <v/>
      </c>
      <c r="AL79" s="477" t="str">
        <f>IF($AC$79="","",IFERROR(INDEX($BB$74:$BB$119,MATCH($AH$79,$AY$74:$AY$119,0)),$AH$79))</f>
        <v/>
      </c>
      <c r="AM79" s="483" t="str">
        <f t="shared" si="7"/>
        <v/>
      </c>
      <c r="AN79" s="484" t="str">
        <f t="shared" si="15"/>
        <v/>
      </c>
      <c r="AO79" s="473" t="str">
        <f t="shared" si="8"/>
        <v/>
      </c>
      <c r="AP79" s="473" t="str">
        <f t="shared" si="9"/>
        <v/>
      </c>
      <c r="AQ79" s="473" t="str">
        <f t="shared" si="10"/>
        <v/>
      </c>
      <c r="AR79" s="473" t="str">
        <f t="shared" si="11"/>
        <v/>
      </c>
      <c r="AS79" s="473" t="str">
        <f t="shared" si="12"/>
        <v/>
      </c>
      <c r="AT79" s="473" t="str">
        <f t="shared" si="13"/>
        <v/>
      </c>
      <c r="AU79" s="473" t="str">
        <f t="shared" si="14"/>
        <v/>
      </c>
      <c r="AY79" s="29" t="s">
        <v>9</v>
      </c>
      <c r="AZ79" s="488" t="s">
        <v>37</v>
      </c>
      <c r="BA79" s="489">
        <v>1</v>
      </c>
      <c r="BB79" s="419" t="s">
        <v>9</v>
      </c>
      <c r="BD79" s="279">
        <v>1</v>
      </c>
      <c r="BG79" s="271"/>
      <c r="BH79" s="271"/>
      <c r="BI79" s="271"/>
      <c r="BJ79" s="271"/>
      <c r="BK79" s="271"/>
      <c r="BL79" s="271"/>
    </row>
    <row r="80" spans="1:111" ht="21" customHeight="1" x14ac:dyDescent="0.25">
      <c r="R80" s="34" t="s">
        <v>458</v>
      </c>
      <c r="S80" s="451"/>
      <c r="T80" s="28" t="s">
        <v>24</v>
      </c>
      <c r="V80" s="475">
        <v>1</v>
      </c>
      <c r="W80" s="475" t="str">
        <f>IF($AC$80="","",$W$72)</f>
        <v/>
      </c>
      <c r="X80" s="476" t="str">
        <f>IF($AC$80="","",$X$72)</f>
        <v/>
      </c>
      <c r="Y80" s="477" t="str">
        <f>IF($X$80="","",$Y$72)</f>
        <v/>
      </c>
      <c r="Z80" s="477" t="str">
        <f>IF($X$80="","",$Z$72)</f>
        <v/>
      </c>
      <c r="AA80" s="477" t="str">
        <f>IF($AC$80="","",ROW($A$80)-ROW($A$72))</f>
        <v/>
      </c>
      <c r="AB80" s="478"/>
      <c r="AC80" s="34"/>
      <c r="AD80" s="356"/>
      <c r="AE80" s="18"/>
      <c r="AF80" s="19"/>
      <c r="AG80" s="480" t="str">
        <f t="shared" si="4"/>
        <v/>
      </c>
      <c r="AH80" s="481" t="str">
        <f t="shared" si="5"/>
        <v/>
      </c>
      <c r="AI80" s="477" t="str">
        <f>IF($AC$80="","",IFERROR(INDEX($AZ$74:$AZ$119,MATCH($AH$80,$AY$74:$AY$119,0)),"AUTRE"))</f>
        <v/>
      </c>
      <c r="AJ80" s="482" t="str">
        <f>IF($AC$80="","",IFERROR(INDEX($BA$74:$BA$119,MATCH($AH$80,$AY$74:$AY$119,0)),1))</f>
        <v/>
      </c>
      <c r="AK80" s="482" t="str">
        <f t="shared" si="6"/>
        <v/>
      </c>
      <c r="AL80" s="477" t="str">
        <f>IF($AC$80="","",IFERROR(INDEX($BB$74:$BB$119,MATCH($AH$80,$AY$74:$AY$119,0)),$AH$80))</f>
        <v/>
      </c>
      <c r="AM80" s="483" t="str">
        <f t="shared" si="7"/>
        <v/>
      </c>
      <c r="AN80" s="484" t="str">
        <f t="shared" si="15"/>
        <v/>
      </c>
      <c r="AO80" s="473" t="str">
        <f t="shared" si="8"/>
        <v/>
      </c>
      <c r="AP80" s="473" t="str">
        <f t="shared" si="9"/>
        <v/>
      </c>
      <c r="AQ80" s="473" t="str">
        <f t="shared" si="10"/>
        <v/>
      </c>
      <c r="AR80" s="473" t="str">
        <f t="shared" si="11"/>
        <v/>
      </c>
      <c r="AS80" s="473" t="str">
        <f t="shared" si="12"/>
        <v/>
      </c>
      <c r="AT80" s="473" t="str">
        <f t="shared" si="13"/>
        <v/>
      </c>
      <c r="AU80" s="473" t="str">
        <f t="shared" si="14"/>
        <v/>
      </c>
      <c r="AY80" s="30" t="s">
        <v>10</v>
      </c>
      <c r="AZ80" s="488" t="s">
        <v>37</v>
      </c>
      <c r="BA80" s="489">
        <v>0.1</v>
      </c>
      <c r="BB80" s="419" t="s">
        <v>9</v>
      </c>
      <c r="BD80" s="279">
        <v>1</v>
      </c>
      <c r="BG80" s="271"/>
      <c r="BH80" s="271"/>
      <c r="BI80" s="271"/>
      <c r="BJ80" s="271"/>
      <c r="BK80" s="271"/>
      <c r="BL80" s="271"/>
    </row>
    <row r="81" spans="18:64" ht="21" customHeight="1" x14ac:dyDescent="0.25">
      <c r="R81" s="490"/>
      <c r="S81" s="451"/>
      <c r="T81" s="29" t="s">
        <v>9</v>
      </c>
      <c r="V81" s="475">
        <v>1</v>
      </c>
      <c r="W81" s="475" t="str">
        <f>IF($AC$81="","",$W$72)</f>
        <v/>
      </c>
      <c r="X81" s="476" t="str">
        <f>IF($AC$81="","",$X$72)</f>
        <v/>
      </c>
      <c r="Y81" s="477" t="str">
        <f>IF($X$81="","",$Y$72)</f>
        <v/>
      </c>
      <c r="Z81" s="477" t="str">
        <f>IF($X$81="","",$Z$72)</f>
        <v/>
      </c>
      <c r="AA81" s="477" t="str">
        <f>IF($AC$81="","",ROW($A$81)-ROW($A$72))</f>
        <v/>
      </c>
      <c r="AB81" s="478"/>
      <c r="AC81" s="34"/>
      <c r="AD81" s="356"/>
      <c r="AE81" s="18"/>
      <c r="AF81" s="19"/>
      <c r="AG81" s="480" t="str">
        <f t="shared" si="4"/>
        <v/>
      </c>
      <c r="AH81" s="481" t="str">
        <f t="shared" si="5"/>
        <v/>
      </c>
      <c r="AI81" s="477" t="str">
        <f>IF($AC$81="","",IFERROR(INDEX($AZ$74:$AZ$119,MATCH($AH$81,$AY$74:$AY$119,0)),"AUTRE"))</f>
        <v/>
      </c>
      <c r="AJ81" s="482" t="str">
        <f>IF($AC$81="","",IFERROR(INDEX($BA$74:$BA$119,MATCH($AH$81,$AY$74:$AY$119,0)),1))</f>
        <v/>
      </c>
      <c r="AK81" s="482" t="str">
        <f t="shared" si="6"/>
        <v/>
      </c>
      <c r="AL81" s="477" t="str">
        <f>IF($AC$81="","",IFERROR(INDEX($BB$74:$BB$119,MATCH($AH$81,$AY$74:$AY$119,0)),$AH$81))</f>
        <v/>
      </c>
      <c r="AM81" s="483" t="str">
        <f t="shared" si="7"/>
        <v/>
      </c>
      <c r="AN81" s="484" t="str">
        <f t="shared" si="15"/>
        <v/>
      </c>
      <c r="AO81" s="473" t="str">
        <f t="shared" si="8"/>
        <v/>
      </c>
      <c r="AP81" s="473" t="str">
        <f t="shared" si="9"/>
        <v/>
      </c>
      <c r="AQ81" s="473" t="str">
        <f t="shared" si="10"/>
        <v/>
      </c>
      <c r="AR81" s="473" t="str">
        <f t="shared" si="11"/>
        <v/>
      </c>
      <c r="AS81" s="473" t="str">
        <f t="shared" si="12"/>
        <v/>
      </c>
      <c r="AT81" s="473" t="str">
        <f t="shared" si="13"/>
        <v/>
      </c>
      <c r="AU81" s="473" t="str">
        <f t="shared" si="14"/>
        <v/>
      </c>
      <c r="AY81" s="30" t="s">
        <v>11</v>
      </c>
      <c r="AZ81" s="488" t="s">
        <v>37</v>
      </c>
      <c r="BA81" s="489">
        <v>0.01</v>
      </c>
      <c r="BB81" s="419" t="s">
        <v>9</v>
      </c>
      <c r="BD81" s="279">
        <v>1</v>
      </c>
      <c r="BG81" s="271"/>
      <c r="BH81" s="271"/>
      <c r="BI81" s="271"/>
      <c r="BJ81" s="271"/>
      <c r="BK81" s="271"/>
      <c r="BL81" s="271"/>
    </row>
    <row r="82" spans="18:64" ht="21" customHeight="1" x14ac:dyDescent="0.25">
      <c r="R82" s="25" t="s">
        <v>6119</v>
      </c>
      <c r="S82" s="451"/>
      <c r="T82" s="30" t="s">
        <v>10</v>
      </c>
      <c r="V82" s="475">
        <v>1</v>
      </c>
      <c r="W82" s="475" t="str">
        <f>IF($AC$82="","",$W$72)</f>
        <v/>
      </c>
      <c r="X82" s="476" t="str">
        <f>IF($AC$82="","",$X$72)</f>
        <v/>
      </c>
      <c r="Y82" s="477" t="str">
        <f>IF($X$82="","",$Y$72)</f>
        <v/>
      </c>
      <c r="Z82" s="477" t="str">
        <f>IF($X$82="","",$Z$72)</f>
        <v/>
      </c>
      <c r="AA82" s="477" t="str">
        <f>IF($AC$82="","",ROW($A$82)-ROW($A$72))</f>
        <v/>
      </c>
      <c r="AB82" s="478"/>
      <c r="AC82" s="34"/>
      <c r="AD82" s="356"/>
      <c r="AE82" s="18"/>
      <c r="AF82" s="19"/>
      <c r="AG82" s="480" t="str">
        <f t="shared" si="4"/>
        <v/>
      </c>
      <c r="AH82" s="481" t="str">
        <f t="shared" si="5"/>
        <v/>
      </c>
      <c r="AI82" s="477" t="str">
        <f>IF($AC$82="","",IFERROR(INDEX($AZ$74:$AZ$119,MATCH($AH$82,$AY$74:$AY$119,0)),"AUTRE"))</f>
        <v/>
      </c>
      <c r="AJ82" s="482" t="str">
        <f>IF($AC$82="","",IFERROR(INDEX($BA$74:$BA$119,MATCH($AH$82,$AY$74:$AY$119,0)),1))</f>
        <v/>
      </c>
      <c r="AK82" s="482" t="str">
        <f t="shared" si="6"/>
        <v/>
      </c>
      <c r="AL82" s="477" t="str">
        <f>IF($AC$82="","",IFERROR(INDEX($BB$74:$BB$119,MATCH($AH$82,$AY$74:$AY$119,0)),$AH$82))</f>
        <v/>
      </c>
      <c r="AM82" s="483" t="str">
        <f t="shared" si="7"/>
        <v/>
      </c>
      <c r="AN82" s="484" t="str">
        <f t="shared" si="15"/>
        <v/>
      </c>
      <c r="AO82" s="473" t="str">
        <f t="shared" si="8"/>
        <v/>
      </c>
      <c r="AP82" s="473" t="str">
        <f t="shared" si="9"/>
        <v/>
      </c>
      <c r="AQ82" s="473" t="str">
        <f t="shared" si="10"/>
        <v/>
      </c>
      <c r="AR82" s="473" t="str">
        <f t="shared" si="11"/>
        <v/>
      </c>
      <c r="AS82" s="473" t="str">
        <f t="shared" si="12"/>
        <v/>
      </c>
      <c r="AT82" s="473" t="str">
        <f t="shared" si="13"/>
        <v/>
      </c>
      <c r="AU82" s="473" t="str">
        <f t="shared" si="14"/>
        <v/>
      </c>
      <c r="AY82" s="30" t="s">
        <v>12</v>
      </c>
      <c r="AZ82" s="488" t="s">
        <v>37</v>
      </c>
      <c r="BA82" s="489">
        <v>1E-3</v>
      </c>
      <c r="BB82" s="419" t="s">
        <v>9</v>
      </c>
      <c r="BD82" s="279">
        <v>1</v>
      </c>
      <c r="BG82" s="271"/>
      <c r="BH82" s="271"/>
      <c r="BI82" s="271"/>
      <c r="BJ82" s="271"/>
      <c r="BK82" s="271"/>
      <c r="BL82" s="271"/>
    </row>
    <row r="83" spans="18:64" ht="21" customHeight="1" x14ac:dyDescent="0.25">
      <c r="R83" s="34" t="s">
        <v>6120</v>
      </c>
      <c r="S83" s="451"/>
      <c r="T83" s="30" t="s">
        <v>11</v>
      </c>
      <c r="V83" s="475">
        <v>1</v>
      </c>
      <c r="W83" s="475" t="str">
        <f>IF($AC$83="","",$W$72)</f>
        <v/>
      </c>
      <c r="X83" s="476" t="str">
        <f>IF($AC$83="","",$X$72)</f>
        <v/>
      </c>
      <c r="Y83" s="477" t="str">
        <f>IF($X$83="","",$Y$72)</f>
        <v/>
      </c>
      <c r="Z83" s="477" t="str">
        <f>IF($X$83="","",$Z$72)</f>
        <v/>
      </c>
      <c r="AA83" s="477" t="str">
        <f>IF($AC$83="","",ROW($A$83)-ROW($A$72))</f>
        <v/>
      </c>
      <c r="AB83" s="478"/>
      <c r="AC83" s="34"/>
      <c r="AD83" s="356"/>
      <c r="AE83" s="18"/>
      <c r="AF83" s="19"/>
      <c r="AG83" s="480" t="str">
        <f t="shared" si="4"/>
        <v/>
      </c>
      <c r="AH83" s="481" t="str">
        <f t="shared" si="5"/>
        <v/>
      </c>
      <c r="AI83" s="477" t="str">
        <f>IF($AC$83="","",IFERROR(INDEX($AZ$74:$AZ$119,MATCH($AH$83,$AY$74:$AY$119,0)),"AUTRE"))</f>
        <v/>
      </c>
      <c r="AJ83" s="482" t="str">
        <f>IF($AC$83="","",IFERROR(INDEX($BA$74:$BA$119,MATCH($AH$83,$AY$74:$AY$119,0)),1))</f>
        <v/>
      </c>
      <c r="AK83" s="482" t="str">
        <f t="shared" si="6"/>
        <v/>
      </c>
      <c r="AL83" s="477" t="str">
        <f>IF($AC$83="","",IFERROR(INDEX($BB$74:$BB$119,MATCH($AH$83,$AY$74:$AY$119,0)),$AH$83))</f>
        <v/>
      </c>
      <c r="AM83" s="483" t="str">
        <f t="shared" si="7"/>
        <v/>
      </c>
      <c r="AN83" s="484" t="str">
        <f t="shared" si="15"/>
        <v/>
      </c>
      <c r="AO83" s="473" t="str">
        <f t="shared" si="8"/>
        <v/>
      </c>
      <c r="AP83" s="473" t="str">
        <f t="shared" si="9"/>
        <v/>
      </c>
      <c r="AQ83" s="473" t="str">
        <f t="shared" si="10"/>
        <v/>
      </c>
      <c r="AR83" s="473" t="str">
        <f t="shared" si="11"/>
        <v/>
      </c>
      <c r="AS83" s="473" t="str">
        <f t="shared" si="12"/>
        <v/>
      </c>
      <c r="AT83" s="473" t="str">
        <f t="shared" si="13"/>
        <v/>
      </c>
      <c r="AU83" s="473" t="str">
        <f t="shared" si="14"/>
        <v/>
      </c>
      <c r="AY83" s="31" t="s">
        <v>16</v>
      </c>
      <c r="AZ83" s="488" t="s">
        <v>37</v>
      </c>
      <c r="BA83" s="489">
        <v>0.5</v>
      </c>
      <c r="BB83" s="419" t="s">
        <v>9</v>
      </c>
      <c r="BD83" s="279">
        <v>1</v>
      </c>
      <c r="BG83" s="271"/>
      <c r="BH83" s="271"/>
      <c r="BI83" s="271"/>
      <c r="BJ83" s="271"/>
      <c r="BK83" s="271"/>
      <c r="BL83" s="271"/>
    </row>
    <row r="84" spans="18:64" ht="21" customHeight="1" x14ac:dyDescent="0.25">
      <c r="R84" s="34" t="s">
        <v>6121</v>
      </c>
      <c r="S84" s="451"/>
      <c r="T84" s="30" t="s">
        <v>12</v>
      </c>
      <c r="V84" s="475">
        <v>1</v>
      </c>
      <c r="W84" s="475" t="str">
        <f>IF($AC$84="","",$W$72)</f>
        <v/>
      </c>
      <c r="X84" s="476" t="str">
        <f>IF($AC$84="","",$X$72)</f>
        <v/>
      </c>
      <c r="Y84" s="477" t="str">
        <f>IF($X$84="","",$Y$72)</f>
        <v/>
      </c>
      <c r="Z84" s="477" t="str">
        <f>IF($X$84="","",$Z$72)</f>
        <v/>
      </c>
      <c r="AA84" s="477" t="str">
        <f>IF($AC$84="","",ROW($A$84)-ROW($A$72))</f>
        <v/>
      </c>
      <c r="AB84" s="478"/>
      <c r="AC84" s="34"/>
      <c r="AD84" s="356"/>
      <c r="AE84" s="18"/>
      <c r="AF84" s="19"/>
      <c r="AG84" s="480" t="str">
        <f t="shared" si="4"/>
        <v/>
      </c>
      <c r="AH84" s="481" t="str">
        <f t="shared" si="5"/>
        <v/>
      </c>
      <c r="AI84" s="477" t="str">
        <f>IF($AC$84="","",IFERROR(INDEX($AZ$74:$AZ$119,MATCH($AH$84,$AY$74:$AY$119,0)),"AUTRE"))</f>
        <v/>
      </c>
      <c r="AJ84" s="482" t="str">
        <f>IF($AC$84="","",IFERROR(INDEX($BA$74:$BA$119,MATCH($AH$84,$AY$74:$AY$119,0)),1))</f>
        <v/>
      </c>
      <c r="AK84" s="482" t="str">
        <f t="shared" si="6"/>
        <v/>
      </c>
      <c r="AL84" s="477" t="str">
        <f>IF($AC$84="","",IFERROR(INDEX($BB$74:$BB$119,MATCH($AH$84,$AY$74:$AY$119,0)),$AH$84))</f>
        <v/>
      </c>
      <c r="AM84" s="483" t="str">
        <f t="shared" si="7"/>
        <v/>
      </c>
      <c r="AN84" s="484" t="str">
        <f t="shared" si="15"/>
        <v/>
      </c>
      <c r="AO84" s="473" t="str">
        <f t="shared" si="8"/>
        <v/>
      </c>
      <c r="AP84" s="473" t="str">
        <f t="shared" si="9"/>
        <v/>
      </c>
      <c r="AQ84" s="473" t="str">
        <f t="shared" si="10"/>
        <v/>
      </c>
      <c r="AR84" s="473" t="str">
        <f t="shared" si="11"/>
        <v/>
      </c>
      <c r="AS84" s="473" t="str">
        <f t="shared" si="12"/>
        <v/>
      </c>
      <c r="AT84" s="473" t="str">
        <f t="shared" si="13"/>
        <v/>
      </c>
      <c r="AU84" s="473" t="str">
        <f t="shared" si="14"/>
        <v/>
      </c>
      <c r="AY84" s="31" t="s">
        <v>17</v>
      </c>
      <c r="AZ84" s="488" t="s">
        <v>37</v>
      </c>
      <c r="BA84" s="489">
        <v>0.25</v>
      </c>
      <c r="BB84" s="419" t="s">
        <v>9</v>
      </c>
      <c r="BD84" s="279">
        <v>1</v>
      </c>
      <c r="BG84" s="271"/>
      <c r="BH84" s="271"/>
      <c r="BI84" s="271"/>
      <c r="BJ84" s="271"/>
      <c r="BK84" s="271"/>
      <c r="BL84" s="271"/>
    </row>
    <row r="85" spans="18:64" ht="21" customHeight="1" x14ac:dyDescent="0.25">
      <c r="R85" s="34" t="s">
        <v>6122</v>
      </c>
      <c r="S85" s="451"/>
      <c r="T85" s="31" t="s">
        <v>16</v>
      </c>
      <c r="V85" s="475">
        <v>1</v>
      </c>
      <c r="W85" s="475" t="str">
        <f>IF($AC$85="","",$W$72)</f>
        <v/>
      </c>
      <c r="X85" s="476" t="str">
        <f>IF($AC$85="","",$X$72)</f>
        <v/>
      </c>
      <c r="Y85" s="477" t="str">
        <f>IF($X$85="","",$Y$72)</f>
        <v/>
      </c>
      <c r="Z85" s="477" t="str">
        <f>IF($X$85="","",$Z$72)</f>
        <v/>
      </c>
      <c r="AA85" s="477" t="str">
        <f>IF($AC$85="","",ROW($A$85)-ROW($A$72))</f>
        <v/>
      </c>
      <c r="AB85" s="478"/>
      <c r="AC85" s="34"/>
      <c r="AD85" s="356"/>
      <c r="AE85" s="18"/>
      <c r="AF85" s="19"/>
      <c r="AG85" s="480" t="str">
        <f t="shared" si="4"/>
        <v/>
      </c>
      <c r="AH85" s="481" t="str">
        <f t="shared" si="5"/>
        <v/>
      </c>
      <c r="AI85" s="477" t="str">
        <f>IF($AC$85="","",IFERROR(INDEX($AZ$74:$AZ$119,MATCH($AH$85,$AY$74:$AY$119,0)),"AUTRE"))</f>
        <v/>
      </c>
      <c r="AJ85" s="482" t="str">
        <f>IF($AC$85="","",IFERROR(INDEX($BA$74:$BA$119,MATCH($AH$85,$AY$74:$AY$119,0)),1))</f>
        <v/>
      </c>
      <c r="AK85" s="482" t="str">
        <f t="shared" si="6"/>
        <v/>
      </c>
      <c r="AL85" s="477" t="str">
        <f>IF($AC$85="","",IFERROR(INDEX($BB$74:$BB$119,MATCH($AH$85,$AY$74:$AY$119,0)),$AH$85))</f>
        <v/>
      </c>
      <c r="AM85" s="483" t="str">
        <f t="shared" si="7"/>
        <v/>
      </c>
      <c r="AN85" s="484" t="str">
        <f t="shared" si="15"/>
        <v/>
      </c>
      <c r="AO85" s="473" t="str">
        <f t="shared" si="8"/>
        <v/>
      </c>
      <c r="AP85" s="473" t="str">
        <f t="shared" si="9"/>
        <v/>
      </c>
      <c r="AQ85" s="473" t="str">
        <f t="shared" si="10"/>
        <v/>
      </c>
      <c r="AR85" s="473" t="str">
        <f t="shared" si="11"/>
        <v/>
      </c>
      <c r="AS85" s="473" t="str">
        <f t="shared" si="12"/>
        <v/>
      </c>
      <c r="AT85" s="473" t="str">
        <f t="shared" si="13"/>
        <v/>
      </c>
      <c r="AU85" s="473" t="str">
        <f t="shared" si="14"/>
        <v/>
      </c>
      <c r="AY85" s="31" t="s">
        <v>18</v>
      </c>
      <c r="AZ85" s="488" t="s">
        <v>37</v>
      </c>
      <c r="BA85" s="489">
        <v>0.75</v>
      </c>
      <c r="BB85" s="419" t="s">
        <v>9</v>
      </c>
      <c r="BD85" s="279">
        <v>1</v>
      </c>
      <c r="BG85" s="271"/>
      <c r="BH85" s="271"/>
      <c r="BI85" s="271"/>
      <c r="BJ85" s="271"/>
      <c r="BK85" s="271"/>
      <c r="BL85" s="271"/>
    </row>
    <row r="86" spans="18:64" ht="21" customHeight="1" x14ac:dyDescent="0.25">
      <c r="R86" s="34" t="s">
        <v>6123</v>
      </c>
      <c r="S86" s="451"/>
      <c r="T86" s="31" t="s">
        <v>17</v>
      </c>
      <c r="V86" s="475">
        <v>1</v>
      </c>
      <c r="W86" s="475" t="str">
        <f>IF($AC$86="","",$W$72)</f>
        <v/>
      </c>
      <c r="X86" s="476" t="str">
        <f>IF($AC$86="","",$X$72)</f>
        <v/>
      </c>
      <c r="Y86" s="477" t="str">
        <f>IF($X$86="","",$Y$72)</f>
        <v/>
      </c>
      <c r="Z86" s="477" t="str">
        <f>IF($X$86="","",$Z$72)</f>
        <v/>
      </c>
      <c r="AA86" s="477" t="str">
        <f>IF($AC$86="","",ROW($A$86)-ROW($A$72))</f>
        <v/>
      </c>
      <c r="AB86" s="478"/>
      <c r="AC86" s="34"/>
      <c r="AD86" s="356"/>
      <c r="AE86" s="18"/>
      <c r="AF86" s="19"/>
      <c r="AG86" s="480" t="str">
        <f t="shared" si="4"/>
        <v/>
      </c>
      <c r="AH86" s="481" t="str">
        <f t="shared" si="5"/>
        <v/>
      </c>
      <c r="AI86" s="477" t="str">
        <f>IF($AC$86="","",IFERROR(INDEX($AZ$74:$AZ$119,MATCH($AH$86,$AY$74:$AY$119,0)),"AUTRE"))</f>
        <v/>
      </c>
      <c r="AJ86" s="482" t="str">
        <f>IF($AC$86="","",IFERROR(INDEX($BA$74:$BA$119,MATCH($AH$86,$AY$74:$AY$119,0)),1))</f>
        <v/>
      </c>
      <c r="AK86" s="482" t="str">
        <f t="shared" si="6"/>
        <v/>
      </c>
      <c r="AL86" s="477" t="str">
        <f>IF($AC$86="","",IFERROR(INDEX($BB$74:$BB$119,MATCH($AH$86,$AY$74:$AY$119,0)),$AH$86))</f>
        <v/>
      </c>
      <c r="AM86" s="483" t="str">
        <f t="shared" si="7"/>
        <v/>
      </c>
      <c r="AN86" s="484" t="str">
        <f t="shared" si="15"/>
        <v/>
      </c>
      <c r="AO86" s="473" t="str">
        <f t="shared" si="8"/>
        <v/>
      </c>
      <c r="AP86" s="473" t="str">
        <f t="shared" si="9"/>
        <v/>
      </c>
      <c r="AQ86" s="473" t="str">
        <f t="shared" si="10"/>
        <v/>
      </c>
      <c r="AR86" s="473" t="str">
        <f t="shared" si="11"/>
        <v/>
      </c>
      <c r="AS86" s="473" t="str">
        <f t="shared" si="12"/>
        <v/>
      </c>
      <c r="AT86" s="473" t="str">
        <f t="shared" si="13"/>
        <v/>
      </c>
      <c r="AU86" s="473" t="str">
        <f t="shared" si="14"/>
        <v/>
      </c>
      <c r="AY86" s="31" t="s">
        <v>19</v>
      </c>
      <c r="AZ86" s="488" t="s">
        <v>37</v>
      </c>
      <c r="BA86" s="489">
        <v>0.33333333300000001</v>
      </c>
      <c r="BB86" s="419" t="s">
        <v>9</v>
      </c>
      <c r="BD86" s="279">
        <v>1</v>
      </c>
      <c r="BG86" s="271"/>
      <c r="BH86" s="271"/>
      <c r="BI86" s="271"/>
      <c r="BJ86" s="271"/>
      <c r="BK86" s="271"/>
      <c r="BL86" s="271"/>
    </row>
    <row r="87" spans="18:64" ht="21" customHeight="1" x14ac:dyDescent="0.25">
      <c r="R87" s="34" t="s">
        <v>6124</v>
      </c>
      <c r="S87" s="451"/>
      <c r="T87" s="31" t="s">
        <v>18</v>
      </c>
      <c r="V87" s="475">
        <v>1</v>
      </c>
      <c r="W87" s="475" t="str">
        <f>IF($AC$87="","",$W$72)</f>
        <v/>
      </c>
      <c r="X87" s="476" t="str">
        <f>IF($AC$87="","",$X$72)</f>
        <v/>
      </c>
      <c r="Y87" s="477" t="str">
        <f>IF($X$87="","",$Y$72)</f>
        <v/>
      </c>
      <c r="Z87" s="477" t="str">
        <f>IF($X$87="","",$Z$72)</f>
        <v/>
      </c>
      <c r="AA87" s="477" t="str">
        <f>IF($AC$87="","",ROW($A$87)-ROW($A$72))</f>
        <v/>
      </c>
      <c r="AB87" s="478"/>
      <c r="AC87" s="34"/>
      <c r="AD87" s="356"/>
      <c r="AE87" s="18"/>
      <c r="AF87" s="19"/>
      <c r="AG87" s="480" t="str">
        <f t="shared" si="4"/>
        <v/>
      </c>
      <c r="AH87" s="481" t="str">
        <f t="shared" si="5"/>
        <v/>
      </c>
      <c r="AI87" s="477" t="str">
        <f>IF($AC$87="","",IFERROR(INDEX($AZ$74:$AZ$119,MATCH($AH$87,$AY$74:$AY$119,0)),"AUTRE"))</f>
        <v/>
      </c>
      <c r="AJ87" s="482" t="str">
        <f>IF($AC$87="","",IFERROR(INDEX($BA$74:$BA$119,MATCH($AH$87,$AY$74:$AY$119,0)),1))</f>
        <v/>
      </c>
      <c r="AK87" s="482" t="str">
        <f t="shared" si="6"/>
        <v/>
      </c>
      <c r="AL87" s="477" t="str">
        <f>IF($AC$87="","",IFERROR(INDEX($BB$74:$BB$119,MATCH($AH$87,$AY$74:$AY$119,0)),$AH$87))</f>
        <v/>
      </c>
      <c r="AM87" s="483" t="str">
        <f t="shared" si="7"/>
        <v/>
      </c>
      <c r="AN87" s="484" t="str">
        <f t="shared" si="15"/>
        <v/>
      </c>
      <c r="AO87" s="473" t="str">
        <f t="shared" si="8"/>
        <v/>
      </c>
      <c r="AP87" s="473" t="str">
        <f t="shared" si="9"/>
        <v/>
      </c>
      <c r="AQ87" s="473" t="str">
        <f t="shared" si="10"/>
        <v/>
      </c>
      <c r="AR87" s="473" t="str">
        <f t="shared" si="11"/>
        <v/>
      </c>
      <c r="AS87" s="473" t="str">
        <f t="shared" si="12"/>
        <v/>
      </c>
      <c r="AT87" s="473" t="str">
        <f t="shared" si="13"/>
        <v/>
      </c>
      <c r="AU87" s="473" t="str">
        <f t="shared" si="14"/>
        <v/>
      </c>
      <c r="AY87" s="31" t="s">
        <v>211</v>
      </c>
      <c r="AZ87" s="488" t="s">
        <v>37</v>
      </c>
      <c r="BA87" s="489">
        <v>0.66666666699999999</v>
      </c>
      <c r="BB87" s="419" t="s">
        <v>9</v>
      </c>
      <c r="BD87" s="279">
        <v>1</v>
      </c>
      <c r="BG87" s="271"/>
      <c r="BH87" s="271"/>
      <c r="BI87" s="271"/>
      <c r="BJ87" s="271"/>
      <c r="BK87" s="271"/>
      <c r="BL87" s="271"/>
    </row>
    <row r="88" spans="18:64" ht="21" customHeight="1" x14ac:dyDescent="0.25">
      <c r="R88" s="34" t="s">
        <v>6125</v>
      </c>
      <c r="S88" s="451"/>
      <c r="T88" s="31" t="s">
        <v>19</v>
      </c>
      <c r="V88" s="475">
        <v>1</v>
      </c>
      <c r="W88" s="475" t="str">
        <f>IF($AC$88="","",$W$72)</f>
        <v/>
      </c>
      <c r="X88" s="476" t="str">
        <f>IF($AC$88="","",$X$72)</f>
        <v/>
      </c>
      <c r="Y88" s="477" t="str">
        <f>IF($X$88="","",$Y$72)</f>
        <v/>
      </c>
      <c r="Z88" s="477" t="str">
        <f>IF($X$88="","",$Z$72)</f>
        <v/>
      </c>
      <c r="AA88" s="477" t="str">
        <f>IF($AC$88="","",ROW($A$88)-ROW($A$72))</f>
        <v/>
      </c>
      <c r="AB88" s="478"/>
      <c r="AC88" s="34"/>
      <c r="AD88" s="356"/>
      <c r="AE88" s="18"/>
      <c r="AF88" s="19"/>
      <c r="AG88" s="480" t="str">
        <f t="shared" si="4"/>
        <v/>
      </c>
      <c r="AH88" s="481" t="str">
        <f t="shared" si="5"/>
        <v/>
      </c>
      <c r="AI88" s="477" t="str">
        <f>IF($AC$88="","",IFERROR(INDEX($AZ$74:$AZ$119,MATCH($AH$88,$AY$74:$AY$119,0)),"AUTRE"))</f>
        <v/>
      </c>
      <c r="AJ88" s="482" t="str">
        <f>IF($AC$88="","",IFERROR(INDEX($BA$74:$BA$119,MATCH($AH$88,$AY$74:$AY$119,0)),1))</f>
        <v/>
      </c>
      <c r="AK88" s="482" t="str">
        <f t="shared" si="6"/>
        <v/>
      </c>
      <c r="AL88" s="477" t="str">
        <f>IF($AC$88="","",IFERROR(INDEX($BB$74:$BB$119,MATCH($AH$88,$AY$74:$AY$119,0)),$AH$88))</f>
        <v/>
      </c>
      <c r="AM88" s="483" t="str">
        <f t="shared" si="7"/>
        <v/>
      </c>
      <c r="AN88" s="484" t="str">
        <f t="shared" si="15"/>
        <v/>
      </c>
      <c r="AO88" s="473" t="str">
        <f t="shared" si="8"/>
        <v/>
      </c>
      <c r="AP88" s="473" t="str">
        <f t="shared" si="9"/>
        <v/>
      </c>
      <c r="AQ88" s="473" t="str">
        <f t="shared" si="10"/>
        <v/>
      </c>
      <c r="AR88" s="473" t="str">
        <f t="shared" si="11"/>
        <v/>
      </c>
      <c r="AS88" s="473" t="str">
        <f t="shared" si="12"/>
        <v/>
      </c>
      <c r="AT88" s="473" t="str">
        <f t="shared" si="13"/>
        <v/>
      </c>
      <c r="AU88" s="473" t="str">
        <f t="shared" si="14"/>
        <v/>
      </c>
      <c r="AY88" s="31" t="s">
        <v>20</v>
      </c>
      <c r="AZ88" s="488" t="s">
        <v>37</v>
      </c>
      <c r="BA88" s="489">
        <v>0.2</v>
      </c>
      <c r="BB88" s="419" t="s">
        <v>9</v>
      </c>
      <c r="BD88" s="279">
        <v>1</v>
      </c>
      <c r="BG88" s="271"/>
      <c r="BH88" s="271"/>
      <c r="BI88" s="271"/>
      <c r="BJ88" s="271"/>
      <c r="BK88" s="271"/>
      <c r="BL88" s="271"/>
    </row>
    <row r="89" spans="18:64" ht="21" customHeight="1" x14ac:dyDescent="0.25">
      <c r="R89" s="34" t="s">
        <v>6126</v>
      </c>
      <c r="S89" s="451"/>
      <c r="T89" s="31" t="s">
        <v>211</v>
      </c>
      <c r="V89" s="475">
        <v>1</v>
      </c>
      <c r="W89" s="475" t="str">
        <f>IF($AC$89="","",$W$72)</f>
        <v/>
      </c>
      <c r="X89" s="476" t="str">
        <f>IF($AC$89="","",$X$72)</f>
        <v/>
      </c>
      <c r="Y89" s="477" t="str">
        <f>IF($X$89="","",$Y$72)</f>
        <v/>
      </c>
      <c r="Z89" s="477" t="str">
        <f>IF($X$89="","",$Z$72)</f>
        <v/>
      </c>
      <c r="AA89" s="477" t="str">
        <f>IF($AC$89="","",ROW($A$89)-ROW($A$72))</f>
        <v/>
      </c>
      <c r="AB89" s="478"/>
      <c r="AC89" s="34"/>
      <c r="AD89" s="356"/>
      <c r="AE89" s="18"/>
      <c r="AF89" s="19"/>
      <c r="AG89" s="480" t="str">
        <f t="shared" si="4"/>
        <v/>
      </c>
      <c r="AH89" s="481" t="str">
        <f t="shared" si="5"/>
        <v/>
      </c>
      <c r="AI89" s="477" t="str">
        <f>IF($AC$89="","",IFERROR(INDEX($AZ$74:$AZ$119,MATCH($AH$89,$AY$74:$AY$119,0)),"AUTRE"))</f>
        <v/>
      </c>
      <c r="AJ89" s="482" t="str">
        <f>IF($AC$89="","",IFERROR(INDEX($BA$74:$BA$119,MATCH($AH$89,$AY$74:$AY$119,0)),1))</f>
        <v/>
      </c>
      <c r="AK89" s="482" t="str">
        <f t="shared" si="6"/>
        <v/>
      </c>
      <c r="AL89" s="477" t="str">
        <f>IF($AC$89="","",IFERROR(INDEX($BB$74:$BB$119,MATCH($AH$89,$AY$74:$AY$119,0)),$AH$89))</f>
        <v/>
      </c>
      <c r="AM89" s="483" t="str">
        <f t="shared" si="7"/>
        <v/>
      </c>
      <c r="AN89" s="484" t="str">
        <f t="shared" si="15"/>
        <v/>
      </c>
      <c r="AO89" s="473" t="str">
        <f t="shared" si="8"/>
        <v/>
      </c>
      <c r="AP89" s="473" t="str">
        <f t="shared" si="9"/>
        <v/>
      </c>
      <c r="AQ89" s="473" t="str">
        <f t="shared" si="10"/>
        <v/>
      </c>
      <c r="AR89" s="473" t="str">
        <f t="shared" si="11"/>
        <v/>
      </c>
      <c r="AS89" s="473" t="str">
        <f t="shared" si="12"/>
        <v/>
      </c>
      <c r="AT89" s="473" t="str">
        <f t="shared" si="13"/>
        <v/>
      </c>
      <c r="AU89" s="473" t="str">
        <f t="shared" si="14"/>
        <v/>
      </c>
      <c r="AY89" s="31" t="s">
        <v>304</v>
      </c>
      <c r="AZ89" s="488" t="s">
        <v>37</v>
      </c>
      <c r="BA89" s="489">
        <v>0.125</v>
      </c>
      <c r="BB89" s="419" t="s">
        <v>9</v>
      </c>
      <c r="BC89" s="271"/>
      <c r="BD89" s="279">
        <v>1</v>
      </c>
      <c r="BG89" s="271"/>
      <c r="BH89" s="271"/>
      <c r="BI89" s="271"/>
      <c r="BJ89" s="271"/>
      <c r="BK89" s="271"/>
      <c r="BL89" s="271"/>
    </row>
    <row r="90" spans="18:64" ht="21" customHeight="1" x14ac:dyDescent="0.25">
      <c r="R90" s="34" t="s">
        <v>6127</v>
      </c>
      <c r="S90" s="451"/>
      <c r="T90" s="31" t="s">
        <v>20</v>
      </c>
      <c r="V90" s="475">
        <v>1</v>
      </c>
      <c r="W90" s="475" t="str">
        <f>IF($AC$90="","",$W$72)</f>
        <v/>
      </c>
      <c r="X90" s="476" t="str">
        <f>IF($AC$90="","",$X$72)</f>
        <v/>
      </c>
      <c r="Y90" s="477" t="str">
        <f>IF($X$90="","",$Y$72)</f>
        <v/>
      </c>
      <c r="Z90" s="477" t="str">
        <f>IF($X$90="","",$Z$72)</f>
        <v/>
      </c>
      <c r="AA90" s="477" t="str">
        <f>IF($AC$90="","",ROW($A$90)-ROW($A$72))</f>
        <v/>
      </c>
      <c r="AB90" s="478"/>
      <c r="AC90" s="34"/>
      <c r="AD90" s="356"/>
      <c r="AE90" s="18"/>
      <c r="AF90" s="19"/>
      <c r="AG90" s="480" t="str">
        <f t="shared" si="4"/>
        <v/>
      </c>
      <c r="AH90" s="481" t="str">
        <f t="shared" si="5"/>
        <v/>
      </c>
      <c r="AI90" s="477" t="str">
        <f>IF($AC$90="","",IFERROR(INDEX($AZ$74:$AZ$119,MATCH($AH$90,$AY$74:$AY$119,0)),"AUTRE"))</f>
        <v/>
      </c>
      <c r="AJ90" s="482" t="str">
        <f>IF($AC$90="","",IFERROR(INDEX($BA$74:$BA$119,MATCH($AH$90,$AY$74:$AY$119,0)),1))</f>
        <v/>
      </c>
      <c r="AK90" s="482" t="str">
        <f t="shared" si="6"/>
        <v/>
      </c>
      <c r="AL90" s="477" t="str">
        <f>IF($AC$90="","",IFERROR(INDEX($BB$74:$BB$119,MATCH($AH$90,$AY$74:$AY$119,0)),$AH$90))</f>
        <v/>
      </c>
      <c r="AM90" s="483" t="str">
        <f t="shared" si="7"/>
        <v/>
      </c>
      <c r="AN90" s="484" t="str">
        <f t="shared" si="15"/>
        <v/>
      </c>
      <c r="AO90" s="473" t="str">
        <f t="shared" si="8"/>
        <v/>
      </c>
      <c r="AP90" s="473" t="str">
        <f t="shared" si="9"/>
        <v/>
      </c>
      <c r="AQ90" s="473" t="str">
        <f t="shared" si="10"/>
        <v/>
      </c>
      <c r="AR90" s="473" t="str">
        <f t="shared" si="11"/>
        <v/>
      </c>
      <c r="AS90" s="473" t="str">
        <f t="shared" si="12"/>
        <v/>
      </c>
      <c r="AT90" s="473" t="str">
        <f t="shared" si="13"/>
        <v/>
      </c>
      <c r="AU90" s="473" t="str">
        <f t="shared" si="14"/>
        <v/>
      </c>
      <c r="AY90" s="31" t="s">
        <v>352</v>
      </c>
      <c r="AZ90" s="488" t="s">
        <v>37</v>
      </c>
      <c r="BA90" s="489">
        <v>0.125</v>
      </c>
      <c r="BB90" s="419" t="s">
        <v>9</v>
      </c>
      <c r="BC90" s="271"/>
      <c r="BD90" s="279">
        <v>1</v>
      </c>
      <c r="BG90" s="271"/>
      <c r="BH90" s="271"/>
      <c r="BI90" s="271"/>
      <c r="BJ90" s="271"/>
      <c r="BK90" s="271"/>
      <c r="BL90" s="271"/>
    </row>
    <row r="91" spans="18:64" ht="21" customHeight="1" x14ac:dyDescent="0.25">
      <c r="R91" s="25" t="s">
        <v>6128</v>
      </c>
      <c r="S91" s="451"/>
      <c r="T91" s="31" t="s">
        <v>304</v>
      </c>
      <c r="V91" s="475">
        <v>1</v>
      </c>
      <c r="W91" s="475" t="str">
        <f>IF($AC$91="","",$W$72)</f>
        <v/>
      </c>
      <c r="X91" s="476" t="str">
        <f>IF($AC$91="","",$X$72)</f>
        <v/>
      </c>
      <c r="Y91" s="477" t="str">
        <f>IF($X$91="","",$Y$72)</f>
        <v/>
      </c>
      <c r="Z91" s="477" t="str">
        <f>IF($X$91="","",$Z$72)</f>
        <v/>
      </c>
      <c r="AA91" s="477" t="str">
        <f>IF($AC$91="","",ROW($A$91)-ROW($A$72))</f>
        <v/>
      </c>
      <c r="AB91" s="478"/>
      <c r="AC91" s="34"/>
      <c r="AD91" s="356"/>
      <c r="AE91" s="18"/>
      <c r="AF91" s="19"/>
      <c r="AG91" s="480" t="str">
        <f t="shared" si="4"/>
        <v/>
      </c>
      <c r="AH91" s="481" t="str">
        <f t="shared" si="5"/>
        <v/>
      </c>
      <c r="AI91" s="477" t="str">
        <f>IF($AC$91="","",IFERROR(INDEX($AZ$74:$AZ$119,MATCH($AH$91,$AY$74:$AY$119,0)),"AUTRE"))</f>
        <v/>
      </c>
      <c r="AJ91" s="482" t="str">
        <f>IF($AC$91="","",IFERROR(INDEX($BA$74:$BA$119,MATCH($AH$91,$AY$74:$AY$119,0)),1))</f>
        <v/>
      </c>
      <c r="AK91" s="482" t="str">
        <f t="shared" si="6"/>
        <v/>
      </c>
      <c r="AL91" s="477" t="str">
        <f>IF($AC$91="","",IFERROR(INDEX($BB$74:$BB$119,MATCH($AH$91,$AY$74:$AY$119,0)),$AH$91))</f>
        <v/>
      </c>
      <c r="AM91" s="483" t="str">
        <f t="shared" si="7"/>
        <v/>
      </c>
      <c r="AN91" s="484" t="str">
        <f t="shared" si="15"/>
        <v/>
      </c>
      <c r="AO91" s="473" t="str">
        <f t="shared" si="8"/>
        <v/>
      </c>
      <c r="AP91" s="473" t="str">
        <f t="shared" si="9"/>
        <v/>
      </c>
      <c r="AQ91" s="473" t="str">
        <f t="shared" si="10"/>
        <v/>
      </c>
      <c r="AR91" s="473" t="str">
        <f t="shared" si="11"/>
        <v/>
      </c>
      <c r="AS91" s="473" t="str">
        <f t="shared" si="12"/>
        <v/>
      </c>
      <c r="AT91" s="473" t="str">
        <f t="shared" si="13"/>
        <v/>
      </c>
      <c r="AU91" s="473" t="str">
        <f t="shared" si="14"/>
        <v/>
      </c>
      <c r="AY91" s="31" t="s">
        <v>27</v>
      </c>
      <c r="AZ91" s="488" t="s">
        <v>37</v>
      </c>
      <c r="BA91" s="489">
        <v>5.0000000000000001E-3</v>
      </c>
      <c r="BB91" s="419" t="s">
        <v>9</v>
      </c>
      <c r="BC91" s="271"/>
      <c r="BD91" s="279">
        <v>1</v>
      </c>
      <c r="BG91" s="271"/>
      <c r="BH91" s="271"/>
      <c r="BI91" s="271"/>
      <c r="BJ91" s="271"/>
      <c r="BK91" s="271"/>
      <c r="BL91" s="271"/>
    </row>
    <row r="92" spans="18:64" ht="21" customHeight="1" x14ac:dyDescent="0.25">
      <c r="R92" s="34" t="s">
        <v>474</v>
      </c>
      <c r="S92" s="451"/>
      <c r="T92" s="31" t="s">
        <v>352</v>
      </c>
      <c r="V92" s="475">
        <v>1</v>
      </c>
      <c r="W92" s="475" t="str">
        <f>IF($AC$92="","",$W$72)</f>
        <v/>
      </c>
      <c r="X92" s="476" t="str">
        <f>IF($AC$92="","",$X$72)</f>
        <v/>
      </c>
      <c r="Y92" s="477" t="str">
        <f>IF($X$92="","",$Y$72)</f>
        <v/>
      </c>
      <c r="Z92" s="477" t="str">
        <f>IF($X$92="","",$Z$72)</f>
        <v/>
      </c>
      <c r="AA92" s="477" t="str">
        <f>IF($AC$92="","",ROW($A$92)-ROW($A$72))</f>
        <v/>
      </c>
      <c r="AB92" s="478"/>
      <c r="AC92" s="34"/>
      <c r="AD92" s="356"/>
      <c r="AE92" s="18"/>
      <c r="AF92" s="19"/>
      <c r="AG92" s="480" t="str">
        <f t="shared" si="4"/>
        <v/>
      </c>
      <c r="AH92" s="481" t="str">
        <f t="shared" si="5"/>
        <v/>
      </c>
      <c r="AI92" s="477" t="str">
        <f>IF($AC$92="","",IFERROR(INDEX($AZ$74:$AZ$119,MATCH($AH$92,$AY$74:$AY$119,0)),"AUTRE"))</f>
        <v/>
      </c>
      <c r="AJ92" s="482" t="str">
        <f>IF($AC$92="","",IFERROR(INDEX($BA$74:$BA$119,MATCH($AH$92,$AY$74:$AY$119,0)),1))</f>
        <v/>
      </c>
      <c r="AK92" s="482" t="str">
        <f t="shared" si="6"/>
        <v/>
      </c>
      <c r="AL92" s="477" t="str">
        <f>IF($AC$92="","",IFERROR(INDEX($BB$74:$BB$119,MATCH($AH$92,$AY$74:$AY$119,0)),$AH$92))</f>
        <v/>
      </c>
      <c r="AM92" s="483" t="str">
        <f t="shared" si="7"/>
        <v/>
      </c>
      <c r="AN92" s="484" t="str">
        <f t="shared" si="15"/>
        <v/>
      </c>
      <c r="AO92" s="473" t="str">
        <f t="shared" si="8"/>
        <v/>
      </c>
      <c r="AP92" s="473" t="str">
        <f t="shared" si="9"/>
        <v/>
      </c>
      <c r="AQ92" s="473" t="str">
        <f t="shared" si="10"/>
        <v/>
      </c>
      <c r="AR92" s="473" t="str">
        <f t="shared" si="11"/>
        <v/>
      </c>
      <c r="AS92" s="473" t="str">
        <f t="shared" si="12"/>
        <v/>
      </c>
      <c r="AT92" s="473" t="str">
        <f t="shared" si="13"/>
        <v/>
      </c>
      <c r="AU92" s="473" t="str">
        <f t="shared" si="14"/>
        <v/>
      </c>
      <c r="AY92" s="31" t="s">
        <v>28</v>
      </c>
      <c r="AZ92" s="488" t="s">
        <v>37</v>
      </c>
      <c r="BA92" s="489">
        <v>5.0000000000000001E-3</v>
      </c>
      <c r="BB92" s="419" t="s">
        <v>9</v>
      </c>
      <c r="BC92" s="271"/>
      <c r="BD92" s="279">
        <v>1</v>
      </c>
      <c r="BG92" s="271"/>
      <c r="BH92" s="271"/>
      <c r="BI92" s="271"/>
      <c r="BJ92" s="271"/>
      <c r="BK92" s="271"/>
      <c r="BL92" s="271"/>
    </row>
    <row r="93" spans="18:64" ht="21" customHeight="1" x14ac:dyDescent="0.25">
      <c r="R93" s="34" t="s">
        <v>490</v>
      </c>
      <c r="S93" s="451"/>
      <c r="T93" s="31" t="s">
        <v>25</v>
      </c>
      <c r="V93" s="475">
        <v>1</v>
      </c>
      <c r="W93" s="475" t="str">
        <f>IF($AC$93="","",$W$72)</f>
        <v/>
      </c>
      <c r="X93" s="476" t="str">
        <f>IF($AC$93="","",$X$72)</f>
        <v/>
      </c>
      <c r="Y93" s="477" t="str">
        <f>IF($X$93="","",$Y$72)</f>
        <v/>
      </c>
      <c r="Z93" s="477" t="str">
        <f>IF($X$93="","",$Z$72)</f>
        <v/>
      </c>
      <c r="AA93" s="477" t="str">
        <f>IF($AC$93="","",ROW($A$93)-ROW($A$72))</f>
        <v/>
      </c>
      <c r="AB93" s="478"/>
      <c r="AC93" s="34"/>
      <c r="AD93" s="356"/>
      <c r="AE93" s="18"/>
      <c r="AF93" s="19"/>
      <c r="AG93" s="480" t="str">
        <f t="shared" si="4"/>
        <v/>
      </c>
      <c r="AH93" s="481" t="str">
        <f t="shared" si="5"/>
        <v/>
      </c>
      <c r="AI93" s="477" t="str">
        <f>IF($AC$93="","",IFERROR(INDEX($AZ$74:$AZ$119,MATCH($AH$93,$AY$74:$AY$119,0)),"AUTRE"))</f>
        <v/>
      </c>
      <c r="AJ93" s="482" t="str">
        <f>IF($AC$93="","",IFERROR(INDEX($BA$74:$BA$119,MATCH($AH$93,$AY$74:$AY$119,0)),1))</f>
        <v/>
      </c>
      <c r="AK93" s="482" t="str">
        <f t="shared" si="6"/>
        <v/>
      </c>
      <c r="AL93" s="477" t="str">
        <f>IF($AC$93="","",IFERROR(INDEX($BB$74:$BB$119,MATCH($AH$93,$AY$74:$AY$119,0)),$AH$93))</f>
        <v/>
      </c>
      <c r="AM93" s="483" t="str">
        <f t="shared" si="7"/>
        <v/>
      </c>
      <c r="AN93" s="484" t="str">
        <f t="shared" si="15"/>
        <v/>
      </c>
      <c r="AO93" s="473" t="str">
        <f t="shared" si="8"/>
        <v/>
      </c>
      <c r="AP93" s="473" t="str">
        <f t="shared" si="9"/>
        <v/>
      </c>
      <c r="AQ93" s="473" t="str">
        <f t="shared" si="10"/>
        <v/>
      </c>
      <c r="AR93" s="473" t="str">
        <f t="shared" si="11"/>
        <v/>
      </c>
      <c r="AS93" s="473" t="str">
        <f t="shared" si="12"/>
        <v/>
      </c>
      <c r="AT93" s="473" t="str">
        <f t="shared" si="13"/>
        <v/>
      </c>
      <c r="AU93" s="473" t="str">
        <f t="shared" si="14"/>
        <v/>
      </c>
      <c r="AY93" s="31" t="s">
        <v>29</v>
      </c>
      <c r="AZ93" s="488" t="s">
        <v>37</v>
      </c>
      <c r="BA93" s="489">
        <v>1.4999999999999999E-2</v>
      </c>
      <c r="BB93" s="419" t="s">
        <v>9</v>
      </c>
      <c r="BC93" s="271"/>
      <c r="BD93" s="279">
        <v>1</v>
      </c>
      <c r="BG93" s="271"/>
      <c r="BH93" s="271"/>
      <c r="BI93" s="271"/>
      <c r="BJ93" s="271"/>
      <c r="BK93" s="271"/>
      <c r="BL93" s="271"/>
    </row>
    <row r="94" spans="18:64" ht="21" customHeight="1" x14ac:dyDescent="0.25">
      <c r="R94" s="34" t="s">
        <v>6129</v>
      </c>
      <c r="S94" s="451"/>
      <c r="T94" s="31" t="s">
        <v>26</v>
      </c>
      <c r="V94" s="475">
        <v>1</v>
      </c>
      <c r="W94" s="475" t="str">
        <f>IF($AC$94="","",$W$72)</f>
        <v/>
      </c>
      <c r="X94" s="476" t="str">
        <f>IF($AC$94="","",$X$72)</f>
        <v/>
      </c>
      <c r="Y94" s="477" t="str">
        <f>IF($X$94="","",$Y$72)</f>
        <v/>
      </c>
      <c r="Z94" s="477" t="str">
        <f>IF($X$94="","",$Z$72)</f>
        <v/>
      </c>
      <c r="AA94" s="477" t="str">
        <f>IF($AC$94="","",ROW($A$94)-ROW($A$72))</f>
        <v/>
      </c>
      <c r="AB94" s="478"/>
      <c r="AC94" s="34"/>
      <c r="AD94" s="356"/>
      <c r="AE94" s="18"/>
      <c r="AF94" s="19"/>
      <c r="AG94" s="480" t="str">
        <f t="shared" si="4"/>
        <v/>
      </c>
      <c r="AH94" s="481" t="str">
        <f t="shared" si="5"/>
        <v/>
      </c>
      <c r="AI94" s="477" t="str">
        <f>IF($AC$94="","",IFERROR(INDEX($AZ$74:$AZ$119,MATCH($AH$94,$AY$74:$AY$119,0)),"AUTRE"))</f>
        <v/>
      </c>
      <c r="AJ94" s="482" t="str">
        <f>IF($AC$94="","",IFERROR(INDEX($BA$74:$BA$119,MATCH($AH$94,$AY$74:$AY$119,0)),1))</f>
        <v/>
      </c>
      <c r="AK94" s="482" t="str">
        <f t="shared" si="6"/>
        <v/>
      </c>
      <c r="AL94" s="477" t="str">
        <f>IF($AC$94="","",IFERROR(INDEX($BB$74:$BB$119,MATCH($AH$94,$AY$74:$AY$119,0)),$AH$94))</f>
        <v/>
      </c>
      <c r="AM94" s="483" t="str">
        <f t="shared" si="7"/>
        <v/>
      </c>
      <c r="AN94" s="484" t="str">
        <f t="shared" si="15"/>
        <v/>
      </c>
      <c r="AO94" s="473" t="str">
        <f t="shared" si="8"/>
        <v/>
      </c>
      <c r="AP94" s="473" t="str">
        <f t="shared" si="9"/>
        <v/>
      </c>
      <c r="AQ94" s="473" t="str">
        <f t="shared" si="10"/>
        <v/>
      </c>
      <c r="AR94" s="473" t="str">
        <f t="shared" si="11"/>
        <v/>
      </c>
      <c r="AS94" s="473" t="str">
        <f t="shared" si="12"/>
        <v/>
      </c>
      <c r="AT94" s="473" t="str">
        <f t="shared" si="13"/>
        <v/>
      </c>
      <c r="AU94" s="473" t="str">
        <f t="shared" si="14"/>
        <v/>
      </c>
      <c r="AY94" s="31" t="s">
        <v>30</v>
      </c>
      <c r="AZ94" s="488" t="s">
        <v>37</v>
      </c>
      <c r="BA94" s="489">
        <v>0.1</v>
      </c>
      <c r="BB94" s="419" t="s">
        <v>9</v>
      </c>
      <c r="BC94" s="271"/>
      <c r="BD94" s="279">
        <v>1</v>
      </c>
      <c r="BG94" s="271"/>
      <c r="BH94" s="271"/>
      <c r="BI94" s="271"/>
      <c r="BJ94" s="271"/>
      <c r="BK94" s="271"/>
      <c r="BL94" s="271"/>
    </row>
    <row r="95" spans="18:64" ht="21" customHeight="1" x14ac:dyDescent="0.25">
      <c r="R95" s="34" t="s">
        <v>478</v>
      </c>
      <c r="S95" s="451"/>
      <c r="T95" s="31" t="s">
        <v>27</v>
      </c>
      <c r="V95" s="475">
        <v>1</v>
      </c>
      <c r="W95" s="475" t="str">
        <f>IF($AC$95="","",$W$72)</f>
        <v/>
      </c>
      <c r="X95" s="476" t="str">
        <f>IF($AC$95="","",$X$72)</f>
        <v/>
      </c>
      <c r="Y95" s="477" t="str">
        <f>IF($X$95="","",$Y$72)</f>
        <v/>
      </c>
      <c r="Z95" s="477" t="str">
        <f>IF($X$95="","",$Z$72)</f>
        <v/>
      </c>
      <c r="AA95" s="477" t="str">
        <f>IF($AC$95="","",ROW($A$95)-ROW($A$72))</f>
        <v/>
      </c>
      <c r="AB95" s="478"/>
      <c r="AC95" s="34"/>
      <c r="AD95" s="356"/>
      <c r="AE95" s="18"/>
      <c r="AF95" s="19"/>
      <c r="AG95" s="480" t="str">
        <f t="shared" si="4"/>
        <v/>
      </c>
      <c r="AH95" s="481" t="str">
        <f t="shared" si="5"/>
        <v/>
      </c>
      <c r="AI95" s="477" t="str">
        <f>IF($AC$95="","",IFERROR(INDEX($AZ$74:$AZ$119,MATCH($AH$95,$AY$74:$AY$119,0)),"AUTRE"))</f>
        <v/>
      </c>
      <c r="AJ95" s="482" t="str">
        <f>IF($AC$95="","",IFERROR(INDEX($BA$74:$BA$119,MATCH($AH$95,$AY$74:$AY$119,0)),1))</f>
        <v/>
      </c>
      <c r="AK95" s="482" t="str">
        <f t="shared" si="6"/>
        <v/>
      </c>
      <c r="AL95" s="477" t="str">
        <f>IF($AC$95="","",IFERROR(INDEX($BB$74:$BB$119,MATCH($AH$95,$AY$74:$AY$119,0)),$AH$95))</f>
        <v/>
      </c>
      <c r="AM95" s="483" t="str">
        <f t="shared" si="7"/>
        <v/>
      </c>
      <c r="AN95" s="484" t="str">
        <f t="shared" si="15"/>
        <v/>
      </c>
      <c r="AO95" s="473" t="str">
        <f t="shared" si="8"/>
        <v/>
      </c>
      <c r="AP95" s="473" t="str">
        <f t="shared" si="9"/>
        <v/>
      </c>
      <c r="AQ95" s="473" t="str">
        <f t="shared" si="10"/>
        <v/>
      </c>
      <c r="AR95" s="473" t="str">
        <f t="shared" si="11"/>
        <v/>
      </c>
      <c r="AS95" s="473" t="str">
        <f t="shared" si="12"/>
        <v/>
      </c>
      <c r="AT95" s="473" t="str">
        <f t="shared" si="13"/>
        <v/>
      </c>
      <c r="AU95" s="473" t="str">
        <f t="shared" si="14"/>
        <v/>
      </c>
      <c r="AY95" s="32" t="s">
        <v>33</v>
      </c>
      <c r="AZ95" s="488" t="s">
        <v>38</v>
      </c>
      <c r="BA95" s="489">
        <v>1</v>
      </c>
      <c r="BB95" s="419" t="s">
        <v>8035</v>
      </c>
      <c r="BC95" s="271"/>
      <c r="BD95" s="279">
        <v>1</v>
      </c>
      <c r="BG95" s="271"/>
      <c r="BH95" s="271"/>
      <c r="BI95" s="271"/>
      <c r="BJ95" s="271"/>
      <c r="BK95" s="271"/>
      <c r="BL95" s="271"/>
    </row>
    <row r="96" spans="18:64" ht="21" customHeight="1" x14ac:dyDescent="0.25">
      <c r="R96" s="34" t="s">
        <v>6130</v>
      </c>
      <c r="S96" s="451"/>
      <c r="T96" s="31" t="s">
        <v>28</v>
      </c>
      <c r="V96" s="475">
        <v>1</v>
      </c>
      <c r="W96" s="475" t="str">
        <f>IF($AC$96="","",$W$72)</f>
        <v/>
      </c>
      <c r="X96" s="476" t="str">
        <f>IF($AC$96="","",$X$72)</f>
        <v/>
      </c>
      <c r="Y96" s="477" t="str">
        <f>IF($X$96="","",$Y$72)</f>
        <v/>
      </c>
      <c r="Z96" s="477" t="str">
        <f>IF($X$96="","",$Z$72)</f>
        <v/>
      </c>
      <c r="AA96" s="477" t="str">
        <f>IF($AC$96="","",ROW($A$96)-ROW($A$72))</f>
        <v/>
      </c>
      <c r="AB96" s="478"/>
      <c r="AC96" s="34"/>
      <c r="AD96" s="356"/>
      <c r="AE96" s="18"/>
      <c r="AF96" s="19"/>
      <c r="AG96" s="480" t="str">
        <f t="shared" si="4"/>
        <v/>
      </c>
      <c r="AH96" s="481" t="str">
        <f t="shared" si="5"/>
        <v/>
      </c>
      <c r="AI96" s="477" t="str">
        <f>IF($AC$96="","",IFERROR(INDEX($AZ$74:$AZ$119,MATCH($AH$96,$AY$74:$AY$119,0)),"AUTRE"))</f>
        <v/>
      </c>
      <c r="AJ96" s="482" t="str">
        <f>IF($AC$96="","",IFERROR(INDEX($BA$74:$BA$119,MATCH($AH$96,$AY$74:$AY$119,0)),1))</f>
        <v/>
      </c>
      <c r="AK96" s="482" t="str">
        <f t="shared" si="6"/>
        <v/>
      </c>
      <c r="AL96" s="477" t="str">
        <f>IF($AC$96="","",IFERROR(INDEX($BB$74:$BB$119,MATCH($AH$96,$AY$74:$AY$119,0)),$AH$96))</f>
        <v/>
      </c>
      <c r="AM96" s="483" t="str">
        <f t="shared" si="7"/>
        <v/>
      </c>
      <c r="AN96" s="484" t="str">
        <f t="shared" si="15"/>
        <v/>
      </c>
      <c r="AO96" s="473" t="str">
        <f t="shared" si="8"/>
        <v/>
      </c>
      <c r="AP96" s="473" t="str">
        <f t="shared" si="9"/>
        <v/>
      </c>
      <c r="AQ96" s="473" t="str">
        <f t="shared" si="10"/>
        <v/>
      </c>
      <c r="AR96" s="473" t="str">
        <f t="shared" si="11"/>
        <v/>
      </c>
      <c r="AS96" s="473" t="str">
        <f t="shared" si="12"/>
        <v/>
      </c>
      <c r="AT96" s="473" t="str">
        <f t="shared" si="13"/>
        <v/>
      </c>
      <c r="AU96" s="473" t="str">
        <f t="shared" si="14"/>
        <v/>
      </c>
      <c r="AY96" s="32" t="s">
        <v>8125</v>
      </c>
      <c r="AZ96" s="488" t="s">
        <v>38</v>
      </c>
      <c r="BA96" s="489">
        <v>1</v>
      </c>
      <c r="BB96" s="419" t="s">
        <v>8126</v>
      </c>
      <c r="BC96" s="271"/>
      <c r="BD96" s="279">
        <v>1</v>
      </c>
      <c r="BG96" s="271"/>
      <c r="BH96" s="271"/>
      <c r="BI96" s="271"/>
      <c r="BJ96" s="271"/>
      <c r="BK96" s="271"/>
      <c r="BL96" s="271"/>
    </row>
    <row r="97" spans="18:64" ht="21" customHeight="1" x14ac:dyDescent="0.25">
      <c r="R97" s="34" t="s">
        <v>486</v>
      </c>
      <c r="S97" s="451"/>
      <c r="T97" s="31" t="s">
        <v>29</v>
      </c>
      <c r="V97" s="475">
        <v>1</v>
      </c>
      <c r="W97" s="475" t="str">
        <f>IF($AC$97="","",$W$72)</f>
        <v/>
      </c>
      <c r="X97" s="476" t="str">
        <f>IF($AC$97="","",$X$72)</f>
        <v/>
      </c>
      <c r="Y97" s="477" t="str">
        <f>IF($X$97="","",$Y$72)</f>
        <v/>
      </c>
      <c r="Z97" s="477" t="str">
        <f>IF($X$97="","",$Z$72)</f>
        <v/>
      </c>
      <c r="AA97" s="477" t="str">
        <f>IF($AC$97="","",ROW($A$97)-ROW($A$72))</f>
        <v/>
      </c>
      <c r="AB97" s="478"/>
      <c r="AC97" s="34"/>
      <c r="AD97" s="356"/>
      <c r="AE97" s="18"/>
      <c r="AF97" s="19"/>
      <c r="AG97" s="480" t="str">
        <f t="shared" si="4"/>
        <v/>
      </c>
      <c r="AH97" s="481" t="str">
        <f t="shared" si="5"/>
        <v/>
      </c>
      <c r="AI97" s="477" t="str">
        <f>IF($AC$97="","",IFERROR(INDEX($AZ$74:$AZ$119,MATCH($AH$97,$AY$74:$AY$119,0)),"AUTRE"))</f>
        <v/>
      </c>
      <c r="AJ97" s="482" t="str">
        <f>IF($AC$97="","",IFERROR(INDEX($BA$74:$BA$119,MATCH($AH$97,$AY$74:$AY$119,0)),1))</f>
        <v/>
      </c>
      <c r="AK97" s="482" t="str">
        <f t="shared" si="6"/>
        <v/>
      </c>
      <c r="AL97" s="477" t="str">
        <f>IF($AC$97="","",IFERROR(INDEX($BB$74:$BB$119,MATCH($AH$97,$AY$74:$AY$119,0)),$AH$97))</f>
        <v/>
      </c>
      <c r="AM97" s="483" t="str">
        <f t="shared" si="7"/>
        <v/>
      </c>
      <c r="AN97" s="484" t="str">
        <f t="shared" si="15"/>
        <v/>
      </c>
      <c r="AO97" s="473" t="str">
        <f t="shared" si="8"/>
        <v/>
      </c>
      <c r="AP97" s="473" t="str">
        <f t="shared" si="9"/>
        <v/>
      </c>
      <c r="AQ97" s="473" t="str">
        <f t="shared" si="10"/>
        <v/>
      </c>
      <c r="AR97" s="473" t="str">
        <f t="shared" si="11"/>
        <v/>
      </c>
      <c r="AS97" s="473" t="str">
        <f t="shared" si="12"/>
        <v/>
      </c>
      <c r="AT97" s="473" t="str">
        <f t="shared" si="13"/>
        <v/>
      </c>
      <c r="AU97" s="473" t="str">
        <f t="shared" si="14"/>
        <v/>
      </c>
      <c r="AY97" s="32" t="s">
        <v>8127</v>
      </c>
      <c r="AZ97" s="488" t="s">
        <v>38</v>
      </c>
      <c r="BA97" s="489">
        <v>1</v>
      </c>
      <c r="BB97" s="419" t="s">
        <v>8128</v>
      </c>
      <c r="BC97" s="271"/>
      <c r="BD97" s="279">
        <v>1</v>
      </c>
      <c r="BG97" s="271"/>
      <c r="BH97" s="271"/>
      <c r="BI97" s="271"/>
      <c r="BJ97" s="271"/>
      <c r="BK97" s="271"/>
      <c r="BL97" s="271"/>
    </row>
    <row r="98" spans="18:64" ht="21" customHeight="1" x14ac:dyDescent="0.25">
      <c r="R98" s="34" t="s">
        <v>479</v>
      </c>
      <c r="S98" s="451"/>
      <c r="T98" s="31" t="s">
        <v>30</v>
      </c>
      <c r="V98" s="475">
        <v>1</v>
      </c>
      <c r="W98" s="475" t="str">
        <f>IF($AC$98="","",$W$72)</f>
        <v/>
      </c>
      <c r="X98" s="476" t="str">
        <f>IF($AC$98="","",$X$72)</f>
        <v/>
      </c>
      <c r="Y98" s="477" t="str">
        <f>IF($X$98="","",$Y$72)</f>
        <v/>
      </c>
      <c r="Z98" s="477" t="str">
        <f>IF($X$98="","",$Z$72)</f>
        <v/>
      </c>
      <c r="AA98" s="477" t="str">
        <f>IF($AC$98="","",ROW($A$98)-ROW($A$72))</f>
        <v/>
      </c>
      <c r="AB98" s="478"/>
      <c r="AC98" s="34"/>
      <c r="AD98" s="356"/>
      <c r="AE98" s="18"/>
      <c r="AF98" s="19"/>
      <c r="AG98" s="480" t="str">
        <f t="shared" si="4"/>
        <v/>
      </c>
      <c r="AH98" s="481" t="str">
        <f t="shared" si="5"/>
        <v/>
      </c>
      <c r="AI98" s="477" t="str">
        <f>IF($AC$98="","",IFERROR(INDEX($AZ$74:$AZ$119,MATCH($AH$98,$AY$74:$AY$119,0)),"AUTRE"))</f>
        <v/>
      </c>
      <c r="AJ98" s="482" t="str">
        <f>IF($AC$98="","",IFERROR(INDEX($BA$74:$BA$119,MATCH($AH$98,$AY$74:$AY$119,0)),1))</f>
        <v/>
      </c>
      <c r="AK98" s="482" t="str">
        <f t="shared" si="6"/>
        <v/>
      </c>
      <c r="AL98" s="477" t="str">
        <f>IF($AC$98="","",IFERROR(INDEX($BB$74:$BB$119,MATCH($AH$98,$AY$74:$AY$119,0)),$AH$98))</f>
        <v/>
      </c>
      <c r="AM98" s="483" t="str">
        <f t="shared" si="7"/>
        <v/>
      </c>
      <c r="AN98" s="484" t="str">
        <f t="shared" si="15"/>
        <v/>
      </c>
      <c r="AO98" s="473" t="str">
        <f t="shared" si="8"/>
        <v/>
      </c>
      <c r="AP98" s="473" t="str">
        <f t="shared" si="9"/>
        <v/>
      </c>
      <c r="AQ98" s="473" t="str">
        <f t="shared" si="10"/>
        <v/>
      </c>
      <c r="AR98" s="473" t="str">
        <f t="shared" si="11"/>
        <v/>
      </c>
      <c r="AS98" s="473" t="str">
        <f t="shared" si="12"/>
        <v/>
      </c>
      <c r="AT98" s="473" t="str">
        <f t="shared" si="13"/>
        <v/>
      </c>
      <c r="AU98" s="473" t="str">
        <f t="shared" si="14"/>
        <v/>
      </c>
      <c r="AY98" s="32" t="s">
        <v>320</v>
      </c>
      <c r="AZ98" s="488" t="s">
        <v>38</v>
      </c>
      <c r="BA98" s="489">
        <v>1</v>
      </c>
      <c r="BB98" s="419" t="s">
        <v>321</v>
      </c>
      <c r="BC98" s="271"/>
      <c r="BD98" s="279">
        <v>1</v>
      </c>
      <c r="BG98" s="271"/>
      <c r="BH98" s="271"/>
      <c r="BI98" s="271"/>
      <c r="BJ98" s="271"/>
      <c r="BK98" s="271"/>
      <c r="BL98" s="271"/>
    </row>
    <row r="99" spans="18:64" ht="21" customHeight="1" x14ac:dyDescent="0.25">
      <c r="R99" s="34" t="s">
        <v>6131</v>
      </c>
      <c r="S99" s="451"/>
      <c r="T99" s="31" t="s">
        <v>31</v>
      </c>
      <c r="V99" s="475">
        <v>1</v>
      </c>
      <c r="W99" s="475" t="str">
        <f>IF($AC$99="","",$W$72)</f>
        <v/>
      </c>
      <c r="X99" s="476" t="str">
        <f>IF($AC$99="","",$X$72)</f>
        <v/>
      </c>
      <c r="Y99" s="477" t="str">
        <f>IF($X$99="","",$Y$72)</f>
        <v/>
      </c>
      <c r="Z99" s="477" t="str">
        <f>IF($X$99="","",$Z$72)</f>
        <v/>
      </c>
      <c r="AA99" s="477" t="str">
        <f>IF($AC$99="","",ROW($A$99)-ROW($A$72))</f>
        <v/>
      </c>
      <c r="AB99" s="478"/>
      <c r="AC99" s="34"/>
      <c r="AD99" s="356"/>
      <c r="AE99" s="18"/>
      <c r="AF99" s="19"/>
      <c r="AG99" s="480" t="str">
        <f t="shared" si="4"/>
        <v/>
      </c>
      <c r="AH99" s="481" t="str">
        <f t="shared" si="5"/>
        <v/>
      </c>
      <c r="AI99" s="477" t="str">
        <f>IF($AC$99="","",IFERROR(INDEX($AZ$74:$AZ$119,MATCH($AH$99,$AY$74:$AY$119,0)),"AUTRE"))</f>
        <v/>
      </c>
      <c r="AJ99" s="482" t="str">
        <f>IF($AC$99="","",IFERROR(INDEX($BA$74:$BA$119,MATCH($AH$99,$AY$74:$AY$119,0)),1))</f>
        <v/>
      </c>
      <c r="AK99" s="482" t="str">
        <f t="shared" si="6"/>
        <v/>
      </c>
      <c r="AL99" s="477" t="str">
        <f>IF($AC$99="","",IFERROR(INDEX($BB$74:$BB$119,MATCH($AH$99,$AY$74:$AY$119,0)),$AH$99))</f>
        <v/>
      </c>
      <c r="AM99" s="483" t="str">
        <f t="shared" si="7"/>
        <v/>
      </c>
      <c r="AN99" s="484" t="str">
        <f t="shared" si="15"/>
        <v/>
      </c>
      <c r="AO99" s="473" t="str">
        <f t="shared" si="8"/>
        <v/>
      </c>
      <c r="AP99" s="473" t="str">
        <f t="shared" si="9"/>
        <v/>
      </c>
      <c r="AQ99" s="473" t="str">
        <f t="shared" si="10"/>
        <v/>
      </c>
      <c r="AR99" s="473" t="str">
        <f t="shared" si="11"/>
        <v/>
      </c>
      <c r="AS99" s="473" t="str">
        <f t="shared" si="12"/>
        <v/>
      </c>
      <c r="AT99" s="473" t="str">
        <f t="shared" si="13"/>
        <v/>
      </c>
      <c r="AU99" s="473" t="str">
        <f t="shared" si="14"/>
        <v/>
      </c>
      <c r="AY99" s="32" t="s">
        <v>318</v>
      </c>
      <c r="AZ99" s="488" t="s">
        <v>38</v>
      </c>
      <c r="BA99" s="489">
        <v>1</v>
      </c>
      <c r="BB99" s="419" t="s">
        <v>319</v>
      </c>
      <c r="BC99" s="271"/>
      <c r="BD99" s="279">
        <v>1</v>
      </c>
      <c r="BG99" s="271"/>
      <c r="BH99" s="271"/>
      <c r="BI99" s="271"/>
      <c r="BJ99" s="271"/>
      <c r="BK99" s="271"/>
      <c r="BL99" s="271"/>
    </row>
    <row r="100" spans="18:64" ht="21" customHeight="1" x14ac:dyDescent="0.25">
      <c r="R100" s="34" t="s">
        <v>485</v>
      </c>
      <c r="S100" s="451"/>
      <c r="T100" s="32" t="s">
        <v>33</v>
      </c>
      <c r="V100" s="475">
        <v>1</v>
      </c>
      <c r="W100" s="475" t="str">
        <f>IF($AC$100="","",$W$72)</f>
        <v/>
      </c>
      <c r="X100" s="476" t="str">
        <f>IF($AC$100="","",$X$72)</f>
        <v/>
      </c>
      <c r="Y100" s="477" t="str">
        <f>IF($X$100="","",$Y$72)</f>
        <v/>
      </c>
      <c r="Z100" s="477" t="str">
        <f>IF($X$100="","",$Z$72)</f>
        <v/>
      </c>
      <c r="AA100" s="477" t="str">
        <f>IF($AC$100="","",ROW($A$100)-ROW($A$72))</f>
        <v/>
      </c>
      <c r="AB100" s="478"/>
      <c r="AC100" s="34"/>
      <c r="AD100" s="356"/>
      <c r="AE100" s="18"/>
      <c r="AF100" s="19"/>
      <c r="AG100" s="480" t="str">
        <f t="shared" si="4"/>
        <v/>
      </c>
      <c r="AH100" s="481" t="str">
        <f t="shared" si="5"/>
        <v/>
      </c>
      <c r="AI100" s="477" t="str">
        <f>IF($AC$100="","",IFERROR(INDEX($AZ$74:$AZ$119,MATCH($AH$100,$AY$74:$AY$119,0)),"AUTRE"))</f>
        <v/>
      </c>
      <c r="AJ100" s="482" t="str">
        <f>IF($AC$100="","",IFERROR(INDEX($BA$74:$BA$119,MATCH($AH$100,$AY$74:$AY$119,0)),1))</f>
        <v/>
      </c>
      <c r="AK100" s="482" t="str">
        <f t="shared" si="6"/>
        <v/>
      </c>
      <c r="AL100" s="477" t="str">
        <f>IF($AC$100="","",IFERROR(INDEX($BB$74:$BB$119,MATCH($AH$100,$AY$74:$AY$119,0)),$AH$100))</f>
        <v/>
      </c>
      <c r="AM100" s="483" t="str">
        <f t="shared" si="7"/>
        <v/>
      </c>
      <c r="AN100" s="484" t="str">
        <f t="shared" si="15"/>
        <v/>
      </c>
      <c r="AO100" s="473" t="str">
        <f t="shared" si="8"/>
        <v/>
      </c>
      <c r="AP100" s="473" t="str">
        <f t="shared" si="9"/>
        <v/>
      </c>
      <c r="AQ100" s="473" t="str">
        <f t="shared" si="10"/>
        <v/>
      </c>
      <c r="AR100" s="473" t="str">
        <f t="shared" si="11"/>
        <v/>
      </c>
      <c r="AS100" s="473" t="str">
        <f t="shared" si="12"/>
        <v/>
      </c>
      <c r="AT100" s="473" t="str">
        <f t="shared" si="13"/>
        <v/>
      </c>
      <c r="AU100" s="473" t="str">
        <f t="shared" si="14"/>
        <v/>
      </c>
      <c r="AY100" s="32" t="s">
        <v>316</v>
      </c>
      <c r="AZ100" s="488" t="s">
        <v>38</v>
      </c>
      <c r="BA100" s="489">
        <v>1</v>
      </c>
      <c r="BB100" s="419" t="s">
        <v>317</v>
      </c>
      <c r="BC100" s="271"/>
      <c r="BD100" s="279">
        <v>1</v>
      </c>
      <c r="BG100" s="271"/>
      <c r="BH100" s="271"/>
      <c r="BI100" s="271"/>
      <c r="BJ100" s="271"/>
      <c r="BK100" s="271"/>
      <c r="BL100" s="271"/>
    </row>
    <row r="101" spans="18:64" ht="21" customHeight="1" x14ac:dyDescent="0.25">
      <c r="R101" s="34" t="s">
        <v>6132</v>
      </c>
      <c r="S101" s="451"/>
      <c r="T101" s="32" t="s">
        <v>8125</v>
      </c>
      <c r="V101" s="475">
        <v>1</v>
      </c>
      <c r="W101" s="475" t="str">
        <f>IF($AC$101="","",$W$72)</f>
        <v/>
      </c>
      <c r="X101" s="476" t="str">
        <f>IF($AC$101="","",$X$72)</f>
        <v/>
      </c>
      <c r="Y101" s="477" t="str">
        <f>IF($X$101="","",$Y$72)</f>
        <v/>
      </c>
      <c r="Z101" s="477" t="str">
        <f>IF($X$101="","",$Z$72)</f>
        <v/>
      </c>
      <c r="AA101" s="477" t="str">
        <f>IF($AC$101="","",ROW($A$101)-ROW($A$72))</f>
        <v/>
      </c>
      <c r="AB101" s="478"/>
      <c r="AC101" s="34"/>
      <c r="AD101" s="356"/>
      <c r="AE101" s="18"/>
      <c r="AF101" s="19"/>
      <c r="AG101" s="480" t="str">
        <f t="shared" si="4"/>
        <v/>
      </c>
      <c r="AH101" s="481" t="str">
        <f t="shared" si="5"/>
        <v/>
      </c>
      <c r="AI101" s="477" t="str">
        <f>IF($AC$101="","",IFERROR(INDEX($AZ$74:$AZ$119,MATCH($AH$101,$AY$74:$AY$119,0)),"AUTRE"))</f>
        <v/>
      </c>
      <c r="AJ101" s="482" t="str">
        <f>IF($AC$101="","",IFERROR(INDEX($BA$74:$BA$119,MATCH($AH$101,$AY$74:$AY$119,0)),1))</f>
        <v/>
      </c>
      <c r="AK101" s="482" t="str">
        <f t="shared" si="6"/>
        <v/>
      </c>
      <c r="AL101" s="477" t="str">
        <f>IF($AC$101="","",IFERROR(INDEX($BB$74:$BB$119,MATCH($AH$101,$AY$74:$AY$119,0)),$AH$101))</f>
        <v/>
      </c>
      <c r="AM101" s="483" t="str">
        <f t="shared" si="7"/>
        <v/>
      </c>
      <c r="AN101" s="484" t="str">
        <f t="shared" si="15"/>
        <v/>
      </c>
      <c r="AO101" s="473" t="str">
        <f t="shared" si="8"/>
        <v/>
      </c>
      <c r="AP101" s="473" t="str">
        <f t="shared" si="9"/>
        <v/>
      </c>
      <c r="AQ101" s="473" t="str">
        <f t="shared" si="10"/>
        <v/>
      </c>
      <c r="AR101" s="473" t="str">
        <f t="shared" si="11"/>
        <v/>
      </c>
      <c r="AS101" s="473" t="str">
        <f t="shared" si="12"/>
        <v/>
      </c>
      <c r="AT101" s="473" t="str">
        <f t="shared" si="13"/>
        <v/>
      </c>
      <c r="AU101" s="473" t="str">
        <f t="shared" si="14"/>
        <v/>
      </c>
      <c r="AY101" s="32" t="s">
        <v>313</v>
      </c>
      <c r="AZ101" s="488" t="s">
        <v>38</v>
      </c>
      <c r="BA101" s="489">
        <v>1</v>
      </c>
      <c r="BB101" s="419" t="s">
        <v>314</v>
      </c>
      <c r="BC101" s="271"/>
      <c r="BD101" s="279">
        <v>1</v>
      </c>
      <c r="BG101" s="271"/>
      <c r="BH101" s="271"/>
      <c r="BI101" s="271"/>
      <c r="BJ101" s="271"/>
      <c r="BK101" s="271"/>
      <c r="BL101" s="271"/>
    </row>
    <row r="102" spans="18:64" ht="21" customHeight="1" x14ac:dyDescent="0.25">
      <c r="R102" s="25" t="s">
        <v>6133</v>
      </c>
      <c r="S102" s="451"/>
      <c r="T102" s="32" t="s">
        <v>8127</v>
      </c>
      <c r="V102" s="475">
        <v>1</v>
      </c>
      <c r="W102" s="475" t="str">
        <f>IF($AC$102="","",$W$72)</f>
        <v/>
      </c>
      <c r="X102" s="476" t="str">
        <f>IF($AC$102="","",$X$72)</f>
        <v/>
      </c>
      <c r="Y102" s="477" t="str">
        <f>IF($X$102="","",$Y$72)</f>
        <v/>
      </c>
      <c r="Z102" s="477" t="str">
        <f>IF($X$102="","",$Z$72)</f>
        <v/>
      </c>
      <c r="AA102" s="477" t="str">
        <f>IF($AC$102="","",ROW($A$102)-ROW($A$72))</f>
        <v/>
      </c>
      <c r="AB102" s="478"/>
      <c r="AC102" s="34"/>
      <c r="AD102" s="356"/>
      <c r="AE102" s="18"/>
      <c r="AF102" s="19"/>
      <c r="AG102" s="480" t="str">
        <f t="shared" si="4"/>
        <v/>
      </c>
      <c r="AH102" s="481" t="str">
        <f t="shared" si="5"/>
        <v/>
      </c>
      <c r="AI102" s="477" t="str">
        <f>IF($AC$102="","",IFERROR(INDEX($AZ$74:$AZ$119,MATCH($AH$102,$AY$74:$AY$119,0)),"AUTRE"))</f>
        <v/>
      </c>
      <c r="AJ102" s="482" t="str">
        <f>IF($AC$102="","",IFERROR(INDEX($BA$74:$BA$119,MATCH($AH$102,$AY$74:$AY$119,0)),1))</f>
        <v/>
      </c>
      <c r="AK102" s="482" t="str">
        <f t="shared" si="6"/>
        <v/>
      </c>
      <c r="AL102" s="477" t="str">
        <f>IF($AC$102="","",IFERROR(INDEX($BB$74:$BB$119,MATCH($AH$102,$AY$74:$AY$119,0)),$AH$102))</f>
        <v/>
      </c>
      <c r="AM102" s="483" t="str">
        <f t="shared" si="7"/>
        <v/>
      </c>
      <c r="AN102" s="484" t="str">
        <f t="shared" si="15"/>
        <v/>
      </c>
      <c r="AO102" s="473" t="str">
        <f t="shared" si="8"/>
        <v/>
      </c>
      <c r="AP102" s="473" t="str">
        <f t="shared" si="9"/>
        <v/>
      </c>
      <c r="AQ102" s="473" t="str">
        <f t="shared" si="10"/>
        <v/>
      </c>
      <c r="AR102" s="473" t="str">
        <f t="shared" si="11"/>
        <v/>
      </c>
      <c r="AS102" s="473" t="str">
        <f t="shared" si="12"/>
        <v/>
      </c>
      <c r="AT102" s="473" t="str">
        <f t="shared" si="13"/>
        <v/>
      </c>
      <c r="AU102" s="473" t="str">
        <f t="shared" si="14"/>
        <v/>
      </c>
      <c r="AY102" s="32" t="s">
        <v>307</v>
      </c>
      <c r="AZ102" s="488" t="s">
        <v>38</v>
      </c>
      <c r="BA102" s="489">
        <v>1</v>
      </c>
      <c r="BB102" s="419" t="s">
        <v>308</v>
      </c>
      <c r="BC102" s="271"/>
      <c r="BD102" s="279">
        <v>1</v>
      </c>
      <c r="BG102" s="271"/>
      <c r="BH102" s="271"/>
      <c r="BI102" s="271"/>
      <c r="BJ102" s="271"/>
      <c r="BK102" s="271"/>
      <c r="BL102" s="271"/>
    </row>
    <row r="103" spans="18:64" ht="21" customHeight="1" x14ac:dyDescent="0.25">
      <c r="R103" s="34" t="s">
        <v>476</v>
      </c>
      <c r="S103" s="451"/>
      <c r="T103" s="32" t="s">
        <v>320</v>
      </c>
      <c r="V103" s="475">
        <v>1</v>
      </c>
      <c r="W103" s="475" t="str">
        <f>IF($AC$103="","",$W$72)</f>
        <v/>
      </c>
      <c r="X103" s="476" t="str">
        <f>IF($AC$103="","",$X$72)</f>
        <v/>
      </c>
      <c r="Y103" s="477" t="str">
        <f>IF($X$103="","",$Y$72)</f>
        <v/>
      </c>
      <c r="Z103" s="477" t="str">
        <f>IF($X$103="","",$Z$72)</f>
        <v/>
      </c>
      <c r="AA103" s="477" t="str">
        <f>IF($AC$103="","",ROW($A$103)-ROW($A$72))</f>
        <v/>
      </c>
      <c r="AB103" s="478"/>
      <c r="AC103" s="34"/>
      <c r="AD103" s="356"/>
      <c r="AE103" s="18"/>
      <c r="AF103" s="19"/>
      <c r="AG103" s="480" t="str">
        <f t="shared" si="4"/>
        <v/>
      </c>
      <c r="AH103" s="481" t="str">
        <f t="shared" si="5"/>
        <v/>
      </c>
      <c r="AI103" s="477" t="str">
        <f>IF($AC$103="","",IFERROR(INDEX($AZ$74:$AZ$119,MATCH($AH$103,$AY$74:$AY$119,0)),"AUTRE"))</f>
        <v/>
      </c>
      <c r="AJ103" s="482" t="str">
        <f>IF($AC$103="","",IFERROR(INDEX($BA$74:$BA$119,MATCH($AH$103,$AY$74:$AY$119,0)),1))</f>
        <v/>
      </c>
      <c r="AK103" s="482" t="str">
        <f t="shared" si="6"/>
        <v/>
      </c>
      <c r="AL103" s="477" t="str">
        <f>IF($AC$103="","",IFERROR(INDEX($BB$74:$BB$119,MATCH($AH$103,$AY$74:$AY$119,0)),$AH$103))</f>
        <v/>
      </c>
      <c r="AM103" s="483" t="str">
        <f t="shared" si="7"/>
        <v/>
      </c>
      <c r="AN103" s="484" t="str">
        <f t="shared" si="15"/>
        <v/>
      </c>
      <c r="AO103" s="473" t="str">
        <f t="shared" si="8"/>
        <v/>
      </c>
      <c r="AP103" s="473" t="str">
        <f t="shared" si="9"/>
        <v/>
      </c>
      <c r="AQ103" s="473" t="str">
        <f t="shared" si="10"/>
        <v/>
      </c>
      <c r="AR103" s="473" t="str">
        <f t="shared" si="11"/>
        <v/>
      </c>
      <c r="AS103" s="473" t="str">
        <f t="shared" si="12"/>
        <v/>
      </c>
      <c r="AT103" s="473" t="str">
        <f t="shared" si="13"/>
        <v/>
      </c>
      <c r="AU103" s="473" t="str">
        <f t="shared" si="14"/>
        <v/>
      </c>
      <c r="AY103" s="32" t="s">
        <v>322</v>
      </c>
      <c r="AZ103" s="488" t="s">
        <v>38</v>
      </c>
      <c r="BA103" s="489">
        <v>1</v>
      </c>
      <c r="BB103" s="419" t="s">
        <v>323</v>
      </c>
      <c r="BC103" s="271"/>
      <c r="BD103" s="279">
        <v>1</v>
      </c>
      <c r="BG103" s="271"/>
      <c r="BH103" s="271"/>
      <c r="BI103" s="271"/>
      <c r="BJ103" s="271"/>
      <c r="BK103" s="271"/>
      <c r="BL103" s="271"/>
    </row>
    <row r="104" spans="18:64" ht="21" customHeight="1" x14ac:dyDescent="0.25">
      <c r="R104" s="34" t="s">
        <v>468</v>
      </c>
      <c r="S104" s="451"/>
      <c r="T104" s="32" t="s">
        <v>318</v>
      </c>
      <c r="V104" s="475">
        <v>1</v>
      </c>
      <c r="W104" s="475" t="str">
        <f>IF($AC$104="","",$W$72)</f>
        <v>N° 01</v>
      </c>
      <c r="X104" s="476" t="str">
        <f>IF($AC$104="","",$X$72)</f>
        <v>CAVIAR D'AUBERGINE</v>
      </c>
      <c r="Y104" s="477">
        <f>IF($X$104="","",$Y$72)</f>
        <v>18</v>
      </c>
      <c r="Z104" s="477">
        <f>IF($X$104="","",$Z$72)</f>
        <v>100</v>
      </c>
      <c r="AA104" s="477">
        <f>IF($AC$104="","",ROW($A$104)-ROW($A$72))</f>
        <v>32</v>
      </c>
      <c r="AB104" s="478"/>
      <c r="AC104" s="34" t="s">
        <v>457</v>
      </c>
      <c r="AD104" s="356"/>
      <c r="AE104" s="18">
        <v>1</v>
      </c>
      <c r="AF104" s="33" t="s">
        <v>460</v>
      </c>
      <c r="AG104" s="480">
        <f t="shared" si="4"/>
        <v>1</v>
      </c>
      <c r="AH104" s="481" t="str">
        <f t="shared" si="5"/>
        <v>GRILLE(S)</v>
      </c>
      <c r="AI104" s="477" t="str">
        <f>IF($AC$104="","",IFERROR(INDEX($AZ$74:$AZ$119,MATCH($AH$104,$AY$74:$AY$119,0)),"AUTRE"))</f>
        <v>AUTRE</v>
      </c>
      <c r="AJ104" s="482">
        <f>IF($AC$104="","",IFERROR(INDEX($BA$74:$BA$119,MATCH($AH$104,$AY$74:$AY$119,0)),1))</f>
        <v>1</v>
      </c>
      <c r="AK104" s="482">
        <f t="shared" si="6"/>
        <v>1</v>
      </c>
      <c r="AL104" s="477" t="str">
        <f>IF($AC$104="","",IFERROR(INDEX($BB$74:$BB$119,MATCH($AH$104,$AY$74:$AY$119,0)),$AH$104))</f>
        <v>grille(s)</v>
      </c>
      <c r="AM104" s="483" t="str">
        <f t="shared" si="7"/>
        <v>OK</v>
      </c>
      <c r="AN104" s="484">
        <f t="shared" si="15"/>
        <v>1</v>
      </c>
      <c r="AO104" s="473" t="str">
        <f t="shared" si="8"/>
        <v/>
      </c>
      <c r="AP104" s="473" t="str">
        <f t="shared" si="9"/>
        <v/>
      </c>
      <c r="AQ104" s="473" t="str">
        <f t="shared" si="10"/>
        <v/>
      </c>
      <c r="AR104" s="473" t="str">
        <f t="shared" si="11"/>
        <v/>
      </c>
      <c r="AS104" s="473" t="str">
        <f t="shared" si="12"/>
        <v/>
      </c>
      <c r="AT104" s="473" t="str">
        <f t="shared" si="13"/>
        <v/>
      </c>
      <c r="AU104" s="473" t="str">
        <f t="shared" si="14"/>
        <v/>
      </c>
      <c r="AY104" s="32" t="s">
        <v>305</v>
      </c>
      <c r="AZ104" s="488" t="s">
        <v>38</v>
      </c>
      <c r="BA104" s="489">
        <v>1</v>
      </c>
      <c r="BB104" s="419" t="s">
        <v>306</v>
      </c>
      <c r="BC104" s="271"/>
      <c r="BD104" s="279">
        <v>1</v>
      </c>
      <c r="BG104" s="271"/>
      <c r="BH104" s="271"/>
      <c r="BI104" s="271"/>
      <c r="BJ104" s="271"/>
      <c r="BK104" s="271"/>
      <c r="BL104" s="271"/>
    </row>
    <row r="105" spans="18:64" ht="21" customHeight="1" x14ac:dyDescent="0.25">
      <c r="R105" s="34" t="s">
        <v>473</v>
      </c>
      <c r="S105" s="451"/>
      <c r="T105" s="32" t="s">
        <v>316</v>
      </c>
      <c r="V105" s="475">
        <v>1</v>
      </c>
      <c r="W105" s="475" t="str">
        <f>IF($AC$105="","",$W$72)</f>
        <v>N° 01</v>
      </c>
      <c r="X105" s="476" t="str">
        <f>IF($AC$105="","",$X$72)</f>
        <v>CAVIAR D'AUBERGINE</v>
      </c>
      <c r="Y105" s="477">
        <f>IF($X$105="","",$Y$72)</f>
        <v>18</v>
      </c>
      <c r="Z105" s="477">
        <f>IF($X$105="","",$Z$72)</f>
        <v>100</v>
      </c>
      <c r="AA105" s="477">
        <f>IF($AC$105="","",ROW($A$105)-ROW($A$72))</f>
        <v>33</v>
      </c>
      <c r="AB105" s="478"/>
      <c r="AC105" s="34" t="s">
        <v>458</v>
      </c>
      <c r="AD105" s="356"/>
      <c r="AE105" s="18">
        <v>1</v>
      </c>
      <c r="AF105" s="33" t="s">
        <v>461</v>
      </c>
      <c r="AG105" s="480">
        <f t="shared" si="4"/>
        <v>1</v>
      </c>
      <c r="AH105" s="481" t="str">
        <f t="shared" si="5"/>
        <v>BAC(S)</v>
      </c>
      <c r="AI105" s="477" t="str">
        <f>IF($AC$105="","",IFERROR(INDEX($AZ$74:$AZ$119,MATCH($AH$105,$AY$74:$AY$119,0)),"AUTRE"))</f>
        <v>AUTRE</v>
      </c>
      <c r="AJ105" s="482">
        <f>IF($AC$105="","",IFERROR(INDEX($BA$74:$BA$119,MATCH($AH$105,$AY$74:$AY$119,0)),1))</f>
        <v>1</v>
      </c>
      <c r="AK105" s="482">
        <f t="shared" si="6"/>
        <v>1</v>
      </c>
      <c r="AL105" s="477" t="str">
        <f>IF($AC$105="","",IFERROR(INDEX($BB$74:$BB$119,MATCH($AH$105,$AY$74:$AY$119,0)),$AH$105))</f>
        <v>bac(s)</v>
      </c>
      <c r="AM105" s="483" t="str">
        <f t="shared" si="7"/>
        <v>OK</v>
      </c>
      <c r="AN105" s="484">
        <f t="shared" si="15"/>
        <v>1</v>
      </c>
      <c r="AO105" s="473" t="str">
        <f t="shared" si="8"/>
        <v/>
      </c>
      <c r="AP105" s="473" t="str">
        <f t="shared" si="9"/>
        <v/>
      </c>
      <c r="AQ105" s="473" t="str">
        <f t="shared" si="10"/>
        <v/>
      </c>
      <c r="AR105" s="473" t="str">
        <f t="shared" si="11"/>
        <v/>
      </c>
      <c r="AS105" s="473" t="str">
        <f t="shared" si="12"/>
        <v/>
      </c>
      <c r="AT105" s="473" t="str">
        <f t="shared" si="13"/>
        <v/>
      </c>
      <c r="AU105" s="473" t="str">
        <f t="shared" si="14"/>
        <v/>
      </c>
      <c r="AY105" s="32" t="s">
        <v>8129</v>
      </c>
      <c r="AZ105" s="488" t="s">
        <v>38</v>
      </c>
      <c r="BA105" s="489">
        <v>1</v>
      </c>
      <c r="BB105" s="419" t="s">
        <v>8130</v>
      </c>
      <c r="BC105" s="271"/>
      <c r="BD105" s="279">
        <v>1</v>
      </c>
      <c r="BG105" s="271"/>
      <c r="BH105" s="271"/>
      <c r="BI105" s="271"/>
      <c r="BJ105" s="271"/>
      <c r="BK105" s="271"/>
      <c r="BL105" s="271"/>
    </row>
    <row r="106" spans="18:64" ht="21" customHeight="1" x14ac:dyDescent="0.25">
      <c r="R106" s="34" t="s">
        <v>497</v>
      </c>
      <c r="S106" s="451"/>
      <c r="T106" s="32" t="s">
        <v>313</v>
      </c>
      <c r="V106" s="475">
        <v>1</v>
      </c>
      <c r="W106" s="475" t="str">
        <f>IF($AC$106="","",$W$72)</f>
        <v>N° 01</v>
      </c>
      <c r="X106" s="476" t="str">
        <f>IF($AC$106="","",$X$72)</f>
        <v>CAVIAR D'AUBERGINE</v>
      </c>
      <c r="Y106" s="477">
        <f>IF($X$106="","",$Y$72)</f>
        <v>18</v>
      </c>
      <c r="Z106" s="477">
        <f>IF($X$106="","",$Z$72)</f>
        <v>100</v>
      </c>
      <c r="AA106" s="477">
        <f>IF($AC$106="","",ROW($A$106)-ROW($A$72))</f>
        <v>34</v>
      </c>
      <c r="AB106" s="478"/>
      <c r="AC106" s="34" t="s">
        <v>459</v>
      </c>
      <c r="AD106" s="356"/>
      <c r="AE106" s="18">
        <v>2</v>
      </c>
      <c r="AF106" s="33" t="s">
        <v>461</v>
      </c>
      <c r="AG106" s="491">
        <f t="shared" si="4"/>
        <v>2</v>
      </c>
      <c r="AH106" s="481" t="str">
        <f t="shared" si="5"/>
        <v>BAC(S)</v>
      </c>
      <c r="AI106" s="477" t="str">
        <f>IF($AC$106="","",IFERROR(INDEX($AZ$74:$AZ$119,MATCH($AH$106,$AY$74:$AY$119,0)),"AUTRE"))</f>
        <v>AUTRE</v>
      </c>
      <c r="AJ106" s="482">
        <f>IF($AC$106="","",IFERROR(INDEX($BA$74:$BA$119,MATCH($AH$106,$AY$74:$AY$119,0)),1))</f>
        <v>1</v>
      </c>
      <c r="AK106" s="482">
        <f t="shared" si="6"/>
        <v>2</v>
      </c>
      <c r="AL106" s="477" t="str">
        <f>IF($AC$106="","",IFERROR(INDEX($BB$74:$BB$119,MATCH($AH$106,$AY$74:$AY$119,0)),$AH$106))</f>
        <v>bac(s)</v>
      </c>
      <c r="AM106" s="483" t="str">
        <f t="shared" si="7"/>
        <v>OK</v>
      </c>
      <c r="AN106" s="484">
        <f t="shared" si="15"/>
        <v>2</v>
      </c>
      <c r="AO106" s="473" t="str">
        <f t="shared" si="8"/>
        <v/>
      </c>
      <c r="AP106" s="473" t="str">
        <f t="shared" si="9"/>
        <v/>
      </c>
      <c r="AQ106" s="473" t="str">
        <f t="shared" si="10"/>
        <v/>
      </c>
      <c r="AR106" s="473" t="str">
        <f t="shared" si="11"/>
        <v/>
      </c>
      <c r="AS106" s="473" t="str">
        <f t="shared" si="12"/>
        <v/>
      </c>
      <c r="AT106" s="473" t="str">
        <f t="shared" si="13"/>
        <v/>
      </c>
      <c r="AU106" s="473" t="str">
        <f t="shared" si="14"/>
        <v/>
      </c>
      <c r="AY106" s="32" t="s">
        <v>8131</v>
      </c>
      <c r="AZ106" s="488" t="s">
        <v>38</v>
      </c>
      <c r="BA106" s="489">
        <v>1</v>
      </c>
      <c r="BB106" s="419" t="s">
        <v>8132</v>
      </c>
      <c r="BC106" s="271"/>
      <c r="BD106" s="279">
        <v>1</v>
      </c>
      <c r="BE106" s="271"/>
      <c r="BF106" s="271"/>
      <c r="BG106" s="271"/>
      <c r="BH106" s="271"/>
      <c r="BI106" s="271"/>
      <c r="BJ106" s="271"/>
      <c r="BK106" s="271"/>
      <c r="BL106" s="271"/>
    </row>
    <row r="107" spans="18:64" ht="30" customHeight="1" x14ac:dyDescent="0.25">
      <c r="R107" s="34" t="s">
        <v>470</v>
      </c>
      <c r="S107" s="451"/>
      <c r="T107" s="32" t="s">
        <v>307</v>
      </c>
      <c r="V107" s="453" t="s">
        <v>324</v>
      </c>
      <c r="W107" s="453" t="s">
        <v>7912</v>
      </c>
      <c r="X107" s="453" t="s">
        <v>326</v>
      </c>
      <c r="Y107" s="453" t="s">
        <v>327</v>
      </c>
      <c r="Z107" s="454" t="s">
        <v>7930</v>
      </c>
      <c r="AA107" s="453" t="s">
        <v>7937</v>
      </c>
      <c r="AB107" s="455" t="s">
        <v>39</v>
      </c>
      <c r="AC107" s="455" t="s">
        <v>338</v>
      </c>
      <c r="AD107" s="455" t="s">
        <v>8114</v>
      </c>
      <c r="AE107" s="455" t="s">
        <v>339</v>
      </c>
      <c r="AF107" s="455" t="s">
        <v>7997</v>
      </c>
      <c r="AG107" s="453" t="s">
        <v>8018</v>
      </c>
      <c r="AH107" s="453" t="s">
        <v>8023</v>
      </c>
      <c r="AI107" s="453" t="s">
        <v>330</v>
      </c>
      <c r="AJ107" s="453" t="s">
        <v>8031</v>
      </c>
      <c r="AK107" s="453" t="s">
        <v>8037</v>
      </c>
      <c r="AL107" s="453" t="s">
        <v>8041</v>
      </c>
      <c r="AM107" s="453" t="s">
        <v>343</v>
      </c>
      <c r="AN107" s="457" t="s">
        <v>8115</v>
      </c>
      <c r="AO107" s="457" t="s">
        <v>8116</v>
      </c>
      <c r="AP107" s="656" t="s">
        <v>8117</v>
      </c>
      <c r="AQ107" s="656"/>
      <c r="AR107" s="656"/>
      <c r="AS107" s="656"/>
      <c r="AT107" s="656"/>
      <c r="AU107" s="657"/>
      <c r="AY107" s="32" t="s">
        <v>309</v>
      </c>
      <c r="AZ107" s="488" t="s">
        <v>38</v>
      </c>
      <c r="BA107" s="489">
        <v>1</v>
      </c>
      <c r="BB107" s="419" t="s">
        <v>310</v>
      </c>
      <c r="BC107" s="271"/>
      <c r="BD107" s="279">
        <v>1</v>
      </c>
      <c r="BE107" s="271"/>
      <c r="BF107" s="271"/>
      <c r="BG107" s="271"/>
      <c r="BH107" s="271"/>
      <c r="BI107" s="271"/>
      <c r="BJ107" s="271"/>
      <c r="BK107" s="271"/>
      <c r="BL107" s="271"/>
    </row>
    <row r="108" spans="18:64" ht="30" customHeight="1" x14ac:dyDescent="0.25">
      <c r="R108" s="34" t="s">
        <v>477</v>
      </c>
      <c r="S108" s="451"/>
      <c r="T108" s="32" t="s">
        <v>322</v>
      </c>
      <c r="V108" s="459">
        <v>2</v>
      </c>
      <c r="W108" s="12" t="s">
        <v>57</v>
      </c>
      <c r="X108" s="492" t="s">
        <v>56</v>
      </c>
      <c r="Y108" s="15">
        <v>19</v>
      </c>
      <c r="Z108" s="463">
        <v>100</v>
      </c>
      <c r="AA108" s="464">
        <v>0</v>
      </c>
      <c r="AB108" s="493"/>
      <c r="AC108" s="494" t="s">
        <v>411</v>
      </c>
      <c r="AD108" s="495"/>
      <c r="AE108" s="13">
        <v>10</v>
      </c>
      <c r="AF108" s="14" t="s">
        <v>7</v>
      </c>
      <c r="AG108" s="467">
        <f t="shared" ref="AG108:AG142" si="16">IF($AC108="","",IF(LEN($AN108&amp;"")=0,"",$AN108))</f>
        <v>10</v>
      </c>
      <c r="AH108" s="468" t="str">
        <f t="shared" ref="AH108:AH142" si="17">IF($AC108="","",IF($AF108&lt;&gt;"",UPPER(TRIM(SUBSTITUTE(SUBSTITUTE($AF108&amp;"",CHAR(160)," ")," "," "))),$AP108))</f>
        <v>KG</v>
      </c>
      <c r="AI108" s="469" t="str">
        <f>IF($AC$108="","",IFERROR(INDEX($AZ$74:$AZ$119,MATCH($AH$108,$AY$74:$AY$119,0)),"AUTRE"))</f>
        <v>MASSE</v>
      </c>
      <c r="AJ108" s="470">
        <f>IF($AC$108="","",IFERROR(INDEX($BA$74:$BA$119,MATCH($AH$108,$AY$74:$AY$119,0)),1))</f>
        <v>1</v>
      </c>
      <c r="AK108" s="470">
        <f t="shared" ref="AK108:AK142" si="18">IF(OR(AG108="",AJ108=""),"",AG108*AJ108)</f>
        <v>10</v>
      </c>
      <c r="AL108" s="469" t="str">
        <f>IF($AC$108="","",IFERROR(INDEX($BB$74:$BB$119,MATCH($AH$108,$AY$74:$AY$119,0)),$AH$108))</f>
        <v>kg</v>
      </c>
      <c r="AM108" s="471" t="str">
        <f t="shared" ref="AM108:AM142" si="19">IF($AC108="","",IF($AH108="QT. SUFFISANTE","OK",IF($AG108="","TEXTE",IF(NOT(ISNUMBER($AG108)),"QUANTITÉ À CONTRÔLER",IF(COUNTIF($AY$74:$AY$119,$AH108)=0,"UNITÉ À CONTRÔLER","OK")))))</f>
        <v>OK</v>
      </c>
      <c r="AN108" s="474">
        <f t="shared" ref="AN108:AN142" si="20">IF($AE108&lt;&gt;"",$AE108,IF($AD108="","",IF(ISNUMBER($AD108),$AD108,IF($AO108="QT",0,IF($AO108="","",IFERROR(IF(ISNUMBER(SEARCH("/",$AO108)),VALUE(TRIM(LEFT($AO108,SEARCH("/",$AO108)-1)))/VALUE(TRIM(MID($AO108,SEARCH("/",$AO108)+1,99))),VALUE(SUBSTITUTE($AO108,".",","))),""))))))</f>
        <v>10</v>
      </c>
      <c r="AO108" s="473" t="str">
        <f t="shared" ref="AO108:AO142" si="21">IF($AD108="","",IF(ISNUMBER($AD108),$AD108,IF(OR(LEFT($AQ108,3)="QT.",LEFT($AQ108,4)="QUAN"),"QT",IF($AR108=999,$AQ108,TRIM(LEFT($AQ108,$AR108-1))))))</f>
        <v/>
      </c>
      <c r="AP108" s="473" t="str">
        <f t="shared" ref="AP108:AP142" si="22">IF($AD108="","",IF(ISNUMBER($AD108),"",IF(OR(LEFT($AQ108,3)="QT.",LEFT($AQ108,4)="QUAN"),"QT. SUFFISANTE",IF($AO108="","",TRIM(MID($AQ108,LEN($AO108&amp;"")+1,999))))))</f>
        <v/>
      </c>
      <c r="AQ108" s="473" t="str">
        <f t="shared" ref="AQ108:AQ142" si="23">IF($AD108="","",UPPER(TRIM(SUBSTITUTE(SUBSTITUTE($AD108&amp;"",CHAR(160)," ")," "," "))))</f>
        <v/>
      </c>
      <c r="AR108" s="473" t="str">
        <f t="shared" ref="AR108:AR142" si="24">IF($AQ108="","",MIN($AS108,$AT108,$AU108))</f>
        <v/>
      </c>
      <c r="AS108" s="473" t="str">
        <f t="shared" ref="AS108:AS142" si="25">IF($AQ108="","",MIN(IFERROR(SEARCH("A",$AQ108),999),IFERROR(SEARCH("B",$AQ108),999),IFERROR(SEARCH("C",$AQ108),999),IFERROR(SEARCH("D",$AQ108),999),IFERROR(SEARCH("E",$AQ108),999),IFERROR(SEARCH("F",$AQ108),999),IFERROR(SEARCH("G",$AQ108),999),IFERROR(SEARCH("H",$AQ108),999),IFERROR(SEARCH("I",$AQ108),999)))</f>
        <v/>
      </c>
      <c r="AT108" s="473" t="str">
        <f t="shared" ref="AT108:AT142" si="26">IF($AQ108="","",MIN(IFERROR(SEARCH("J",$AQ108),999),IFERROR(SEARCH("K",$AQ108),999),IFERROR(SEARCH("L",$AQ108),999),IFERROR(SEARCH("M",$AQ108),999),IFERROR(SEARCH("N",$AQ108),999),IFERROR(SEARCH("O",$AQ108),999),IFERROR(SEARCH("P",$AQ108),999),IFERROR(SEARCH("Q",$AQ108),999),IFERROR(SEARCH("R",$AQ108),999)))</f>
        <v/>
      </c>
      <c r="AU108" s="473" t="str">
        <f t="shared" ref="AU108:AU142" si="27">IF($AQ108="","",MIN(IFERROR(SEARCH("S",$AQ108),999),IFERROR(SEARCH("T",$AQ108),999),IFERROR(SEARCH("U",$AQ108),999),IFERROR(SEARCH("V",$AQ108),999),IFERROR(SEARCH("W",$AQ108),999),IFERROR(SEARCH("X",$AQ108),999),IFERROR(SEARCH("Y",$AQ108),999),IFERROR(SEARCH("Z",$AQ108),999)))</f>
        <v/>
      </c>
      <c r="AY108" s="32" t="s">
        <v>311</v>
      </c>
      <c r="AZ108" s="488" t="s">
        <v>38</v>
      </c>
      <c r="BA108" s="489">
        <v>1</v>
      </c>
      <c r="BB108" s="419" t="s">
        <v>312</v>
      </c>
      <c r="BC108" s="271"/>
      <c r="BD108" s="279">
        <v>1</v>
      </c>
      <c r="BE108" s="271"/>
      <c r="BF108" s="271"/>
      <c r="BG108" s="271"/>
      <c r="BH108" s="271"/>
      <c r="BI108" s="271"/>
      <c r="BJ108" s="271"/>
      <c r="BK108" s="271"/>
      <c r="BL108" s="271"/>
    </row>
    <row r="109" spans="18:64" ht="21" customHeight="1" x14ac:dyDescent="0.25">
      <c r="S109" s="451"/>
      <c r="T109" s="32" t="s">
        <v>305</v>
      </c>
      <c r="V109" s="475">
        <f>$V$108</f>
        <v>2</v>
      </c>
      <c r="W109" s="475" t="str">
        <f>IF($AC$109="","",$W$108)</f>
        <v>N° 02</v>
      </c>
      <c r="X109" s="476" t="str">
        <f>IF($AC$109="","",$X$108)</f>
        <v>CHIQUETAILLE DE MORUE A L'AVOCAT</v>
      </c>
      <c r="Y109" s="477">
        <f>IF($X$109="","",$Y$108)</f>
        <v>19</v>
      </c>
      <c r="Z109" s="477">
        <f>IF($X$109="","",$Z$108)</f>
        <v>100</v>
      </c>
      <c r="AA109" s="477">
        <f>IF($AC$109="","",ROW($A$109)-ROW($A$108))</f>
        <v>1</v>
      </c>
      <c r="AB109" s="478"/>
      <c r="AC109" s="34" t="s">
        <v>48</v>
      </c>
      <c r="AD109" s="356"/>
      <c r="AE109" s="18">
        <v>120</v>
      </c>
      <c r="AF109" s="5" t="s">
        <v>8</v>
      </c>
      <c r="AG109" s="480">
        <f t="shared" si="16"/>
        <v>120</v>
      </c>
      <c r="AH109" s="481" t="str">
        <f t="shared" si="17"/>
        <v>G</v>
      </c>
      <c r="AI109" s="477" t="str">
        <f>IF($AC$109="","",IFERROR(INDEX($AZ$74:$AZ$119,MATCH($AH$109,$AY$74:$AY$119,0)),"AUTRE"))</f>
        <v>MASSE</v>
      </c>
      <c r="AJ109" s="482">
        <f>IF($AC$109="","",IFERROR(INDEX($BA$74:$BA$119,MATCH($AH$109,$AY$74:$AY$119,0)),1))</f>
        <v>1E-3</v>
      </c>
      <c r="AK109" s="482">
        <f t="shared" si="18"/>
        <v>0.12</v>
      </c>
      <c r="AL109" s="477" t="str">
        <f>IF($AC$109="","",IFERROR(INDEX($BB$74:$BB$119,MATCH($AH$109,$AY$74:$AY$119,0)),$AH$109))</f>
        <v>kg</v>
      </c>
      <c r="AM109" s="483" t="str">
        <f t="shared" si="19"/>
        <v>OK</v>
      </c>
      <c r="AN109" s="484">
        <f t="shared" si="20"/>
        <v>120</v>
      </c>
      <c r="AO109" s="473" t="str">
        <f t="shared" si="21"/>
        <v/>
      </c>
      <c r="AP109" s="473" t="str">
        <f t="shared" si="22"/>
        <v/>
      </c>
      <c r="AQ109" s="473" t="str">
        <f t="shared" si="23"/>
        <v/>
      </c>
      <c r="AR109" s="473" t="str">
        <f t="shared" si="24"/>
        <v/>
      </c>
      <c r="AS109" s="473" t="str">
        <f t="shared" si="25"/>
        <v/>
      </c>
      <c r="AT109" s="473" t="str">
        <f t="shared" si="26"/>
        <v/>
      </c>
      <c r="AU109" s="473" t="str">
        <f t="shared" si="27"/>
        <v/>
      </c>
      <c r="AY109" s="32" t="s">
        <v>8135</v>
      </c>
      <c r="AZ109" s="488" t="s">
        <v>38</v>
      </c>
      <c r="BA109" s="489">
        <v>1</v>
      </c>
      <c r="BB109" s="419" t="s">
        <v>8136</v>
      </c>
      <c r="BC109" s="271"/>
      <c r="BD109" s="279">
        <v>1</v>
      </c>
      <c r="BE109" s="271"/>
      <c r="BF109" s="271"/>
      <c r="BG109" s="271"/>
      <c r="BH109" s="271"/>
      <c r="BI109" s="271"/>
      <c r="BJ109" s="271"/>
      <c r="BK109" s="271"/>
      <c r="BL109" s="271"/>
    </row>
    <row r="110" spans="18:64" ht="21" customHeight="1" x14ac:dyDescent="0.25">
      <c r="R110" s="25" t="s">
        <v>6134</v>
      </c>
      <c r="S110" s="451"/>
      <c r="T110" s="32" t="s">
        <v>309</v>
      </c>
      <c r="V110" s="475">
        <v>2</v>
      </c>
      <c r="W110" s="475" t="str">
        <f>IF($AC$110="","",$W$108)</f>
        <v>N° 02</v>
      </c>
      <c r="X110" s="476" t="str">
        <f>IF($AC$110="","",$X$108)</f>
        <v>CHIQUETAILLE DE MORUE A L'AVOCAT</v>
      </c>
      <c r="Y110" s="477">
        <f>IF($X$110="","",$Y$108)</f>
        <v>19</v>
      </c>
      <c r="Z110" s="477">
        <f>IF($X$110="","",$Z$108)</f>
        <v>100</v>
      </c>
      <c r="AA110" s="477">
        <f>IF($AC$110="","",ROW($A$110)-ROW($A$108))</f>
        <v>2</v>
      </c>
      <c r="AB110" s="478"/>
      <c r="AC110" s="34" t="s">
        <v>49</v>
      </c>
      <c r="AD110" s="356"/>
      <c r="AE110" s="9" t="s">
        <v>33</v>
      </c>
      <c r="AF110" s="19"/>
      <c r="AG110" s="480" t="str">
        <f t="shared" si="16"/>
        <v>QT. SUFFISANTE</v>
      </c>
      <c r="AH110" s="481" t="str">
        <f t="shared" si="17"/>
        <v/>
      </c>
      <c r="AI110" s="477" t="str">
        <f>IF($AC$110="","",IFERROR(INDEX($AZ$74:$AZ$119,MATCH($AH$110,$AY$74:$AY$119,0)),"AUTRE"))</f>
        <v>AUTRE</v>
      </c>
      <c r="AJ110" s="482">
        <f>IF($AC$110="","",IFERROR(INDEX($BA$74:$BA$119,MATCH($AH$110,$AY$74:$AY$119,0)),1))</f>
        <v>1</v>
      </c>
      <c r="AK110" s="482" t="e">
        <f t="shared" si="18"/>
        <v>#VALUE!</v>
      </c>
      <c r="AL110" s="477" t="str">
        <f>IF($AC$110="","",IFERROR(INDEX($BB$74:$BB$119,MATCH($AH$110,$AY$74:$AY$119,0)),$AH$110))</f>
        <v/>
      </c>
      <c r="AM110" s="483" t="str">
        <f t="shared" si="19"/>
        <v>QUANTITÉ À CONTRÔLER</v>
      </c>
      <c r="AN110" s="484" t="str">
        <f t="shared" si="20"/>
        <v>QT. SUFFISANTE</v>
      </c>
      <c r="AO110" s="473" t="str">
        <f t="shared" si="21"/>
        <v/>
      </c>
      <c r="AP110" s="473" t="str">
        <f t="shared" si="22"/>
        <v/>
      </c>
      <c r="AQ110" s="473" t="str">
        <f t="shared" si="23"/>
        <v/>
      </c>
      <c r="AR110" s="473" t="str">
        <f t="shared" si="24"/>
        <v/>
      </c>
      <c r="AS110" s="473" t="str">
        <f t="shared" si="25"/>
        <v/>
      </c>
      <c r="AT110" s="473" t="str">
        <f t="shared" si="26"/>
        <v/>
      </c>
      <c r="AU110" s="473" t="str">
        <f t="shared" si="27"/>
        <v/>
      </c>
      <c r="AY110" s="32" t="s">
        <v>8137</v>
      </c>
      <c r="AZ110" s="488" t="s">
        <v>38</v>
      </c>
      <c r="BA110" s="489">
        <v>1</v>
      </c>
      <c r="BB110" s="419" t="s">
        <v>8138</v>
      </c>
      <c r="BC110" s="271"/>
      <c r="BD110" s="279">
        <v>1</v>
      </c>
      <c r="BE110" s="271"/>
      <c r="BF110" s="271"/>
      <c r="BG110" s="271"/>
      <c r="BH110" s="271"/>
      <c r="BI110" s="271"/>
      <c r="BJ110" s="271"/>
      <c r="BK110" s="271"/>
      <c r="BL110" s="271"/>
    </row>
    <row r="111" spans="18:64" ht="21" customHeight="1" x14ac:dyDescent="0.25">
      <c r="R111" s="34" t="s">
        <v>481</v>
      </c>
      <c r="S111" s="451"/>
      <c r="T111" s="32" t="s">
        <v>311</v>
      </c>
      <c r="V111" s="475">
        <v>2</v>
      </c>
      <c r="W111" s="475" t="str">
        <f>IF($AC$111="","",$W$108)</f>
        <v>N° 02</v>
      </c>
      <c r="X111" s="476" t="str">
        <f>IF($AC$111="","",$X$108)</f>
        <v>CHIQUETAILLE DE MORUE A L'AVOCAT</v>
      </c>
      <c r="Y111" s="477">
        <f>IF($X$111="","",$Y$108)</f>
        <v>19</v>
      </c>
      <c r="Z111" s="477">
        <f>IF($X$111="","",$Z$108)</f>
        <v>100</v>
      </c>
      <c r="AA111" s="477">
        <f>IF($AC$111="","",ROW($A$111)-ROW($A$108))</f>
        <v>3</v>
      </c>
      <c r="AB111" s="478"/>
      <c r="AC111" s="34" t="s">
        <v>50</v>
      </c>
      <c r="AD111" s="356"/>
      <c r="AE111" s="18">
        <v>6</v>
      </c>
      <c r="AF111" s="9" t="s">
        <v>315</v>
      </c>
      <c r="AG111" s="480">
        <f t="shared" si="16"/>
        <v>6</v>
      </c>
      <c r="AH111" s="481" t="str">
        <f t="shared" si="17"/>
        <v>BOTTE(S)</v>
      </c>
      <c r="AI111" s="477" t="str">
        <f>IF($AC$111="","",IFERROR(INDEX($AZ$74:$AZ$119,MATCH($AH$111,$AY$74:$AY$119,0)),"AUTRE"))</f>
        <v>AUTRE</v>
      </c>
      <c r="AJ111" s="482">
        <f>IF($AC$111="","",IFERROR(INDEX($BA$74:$BA$119,MATCH($AH$111,$AY$74:$AY$119,0)),1))</f>
        <v>1</v>
      </c>
      <c r="AK111" s="482">
        <f t="shared" si="18"/>
        <v>6</v>
      </c>
      <c r="AL111" s="477" t="str">
        <f>IF($AC$111="","",IFERROR(INDEX($BB$74:$BB$119,MATCH($AH$111,$AY$74:$AY$119,0)),$AH$111))</f>
        <v>BOTTE(S)</v>
      </c>
      <c r="AM111" s="483" t="str">
        <f t="shared" si="19"/>
        <v>UNITÉ À CONTRÔLER</v>
      </c>
      <c r="AN111" s="484">
        <f t="shared" si="20"/>
        <v>6</v>
      </c>
      <c r="AO111" s="473" t="str">
        <f t="shared" si="21"/>
        <v/>
      </c>
      <c r="AP111" s="473" t="str">
        <f t="shared" si="22"/>
        <v/>
      </c>
      <c r="AQ111" s="473" t="str">
        <f t="shared" si="23"/>
        <v/>
      </c>
      <c r="AR111" s="473" t="str">
        <f t="shared" si="24"/>
        <v/>
      </c>
      <c r="AS111" s="473" t="str">
        <f t="shared" si="25"/>
        <v/>
      </c>
      <c r="AT111" s="473" t="str">
        <f t="shared" si="26"/>
        <v/>
      </c>
      <c r="AU111" s="473" t="str">
        <f t="shared" si="27"/>
        <v/>
      </c>
      <c r="AY111" s="32" t="s">
        <v>8139</v>
      </c>
      <c r="AZ111" s="488" t="s">
        <v>38</v>
      </c>
      <c r="BA111" s="489">
        <v>1</v>
      </c>
      <c r="BB111" s="419" t="s">
        <v>8140</v>
      </c>
      <c r="BC111" s="271"/>
      <c r="BD111" s="279">
        <v>1</v>
      </c>
      <c r="BE111" s="271"/>
      <c r="BF111" s="271"/>
      <c r="BG111" s="271"/>
      <c r="BH111" s="271"/>
      <c r="BI111" s="271"/>
      <c r="BJ111" s="271"/>
      <c r="BK111" s="271"/>
      <c r="BL111" s="271"/>
    </row>
    <row r="112" spans="18:64" ht="21" customHeight="1" x14ac:dyDescent="0.25">
      <c r="R112" s="34" t="s">
        <v>475</v>
      </c>
      <c r="S112" s="451"/>
      <c r="T112" s="32" t="s">
        <v>8135</v>
      </c>
      <c r="V112" s="475">
        <v>2</v>
      </c>
      <c r="W112" s="475" t="str">
        <f>IF($AC$112="","",$W$108)</f>
        <v>N° 02</v>
      </c>
      <c r="X112" s="476" t="str">
        <f>IF($AC$112="","",$X$108)</f>
        <v>CHIQUETAILLE DE MORUE A L'AVOCAT</v>
      </c>
      <c r="Y112" s="477">
        <f>IF($X$112="","",$Y$108)</f>
        <v>19</v>
      </c>
      <c r="Z112" s="477">
        <f>IF($X$112="","",$Z$108)</f>
        <v>100</v>
      </c>
      <c r="AA112" s="477">
        <f>IF($AC$112="","",ROW($A$112)-ROW($A$108))</f>
        <v>4</v>
      </c>
      <c r="AB112" s="478"/>
      <c r="AC112" s="34" t="s">
        <v>51</v>
      </c>
      <c r="AD112" s="356"/>
      <c r="AE112" s="18">
        <v>6</v>
      </c>
      <c r="AF112" s="9" t="s">
        <v>309</v>
      </c>
      <c r="AG112" s="480">
        <f t="shared" si="16"/>
        <v>6</v>
      </c>
      <c r="AH112" s="481" t="str">
        <f t="shared" si="17"/>
        <v>PIÈCE(S)</v>
      </c>
      <c r="AI112" s="477" t="str">
        <f>IF($AC$112="","",IFERROR(INDEX($AZ$74:$AZ$119,MATCH($AH$112,$AY$74:$AY$119,0)),"AUTRE"))</f>
        <v>AUTRE</v>
      </c>
      <c r="AJ112" s="482">
        <f>IF($AC$112="","",IFERROR(INDEX($BA$74:$BA$119,MATCH($AH$112,$AY$74:$AY$119,0)),1))</f>
        <v>1</v>
      </c>
      <c r="AK112" s="482">
        <f t="shared" si="18"/>
        <v>6</v>
      </c>
      <c r="AL112" s="477" t="str">
        <f>IF($AC$112="","",IFERROR(INDEX($BB$74:$BB$119,MATCH($AH$112,$AY$74:$AY$119,0)),$AH$112))</f>
        <v>pièce(s)</v>
      </c>
      <c r="AM112" s="483" t="str">
        <f t="shared" si="19"/>
        <v>OK</v>
      </c>
      <c r="AN112" s="484">
        <f t="shared" si="20"/>
        <v>6</v>
      </c>
      <c r="AO112" s="473" t="str">
        <f t="shared" si="21"/>
        <v/>
      </c>
      <c r="AP112" s="473" t="str">
        <f t="shared" si="22"/>
        <v/>
      </c>
      <c r="AQ112" s="473" t="str">
        <f t="shared" si="23"/>
        <v/>
      </c>
      <c r="AR112" s="473" t="str">
        <f t="shared" si="24"/>
        <v/>
      </c>
      <c r="AS112" s="473" t="str">
        <f t="shared" si="25"/>
        <v/>
      </c>
      <c r="AT112" s="473" t="str">
        <f t="shared" si="26"/>
        <v/>
      </c>
      <c r="AU112" s="473" t="str">
        <f t="shared" si="27"/>
        <v/>
      </c>
      <c r="AY112" s="32" t="s">
        <v>8141</v>
      </c>
      <c r="AZ112" s="488" t="s">
        <v>38</v>
      </c>
      <c r="BA112" s="489">
        <v>1</v>
      </c>
      <c r="BB112" s="419" t="s">
        <v>8142</v>
      </c>
      <c r="BC112" s="271"/>
      <c r="BD112" s="279">
        <v>1</v>
      </c>
      <c r="BE112" s="271"/>
      <c r="BF112" s="271"/>
      <c r="BG112" s="271"/>
      <c r="BH112" s="271"/>
      <c r="BI112" s="271"/>
      <c r="BJ112" s="271"/>
      <c r="BK112" s="271"/>
      <c r="BL112" s="271"/>
    </row>
    <row r="113" spans="18:64" ht="21" customHeight="1" x14ac:dyDescent="0.25">
      <c r="R113" s="34" t="s">
        <v>457</v>
      </c>
      <c r="S113" s="451"/>
      <c r="T113" s="497" t="s">
        <v>462</v>
      </c>
      <c r="V113" s="475">
        <v>2</v>
      </c>
      <c r="W113" s="475" t="str">
        <f>IF($AC$113="","",$W$108)</f>
        <v>N° 02</v>
      </c>
      <c r="X113" s="476" t="str">
        <f>IF($AC$113="","",$X$108)</f>
        <v>CHIQUETAILLE DE MORUE A L'AVOCAT</v>
      </c>
      <c r="Y113" s="477">
        <f>IF($X$113="","",$Y$108)</f>
        <v>19</v>
      </c>
      <c r="Z113" s="477">
        <f>IF($X$113="","",$Z$108)</f>
        <v>100</v>
      </c>
      <c r="AA113" s="477">
        <f>IF($AC$113="","",ROW($A$113)-ROW($A$108))</f>
        <v>5</v>
      </c>
      <c r="AB113" s="478"/>
      <c r="AC113" s="34" t="s">
        <v>52</v>
      </c>
      <c r="AD113" s="356"/>
      <c r="AE113" s="18">
        <v>1</v>
      </c>
      <c r="AF113" s="8" t="s">
        <v>16</v>
      </c>
      <c r="AG113" s="480">
        <f t="shared" si="16"/>
        <v>1</v>
      </c>
      <c r="AH113" s="481" t="str">
        <f t="shared" si="17"/>
        <v>DEMI/L</v>
      </c>
      <c r="AI113" s="477" t="str">
        <f>IF($AC$113="","",IFERROR(INDEX($AZ$74:$AZ$119,MATCH($AH$113,$AY$74:$AY$119,0)),"AUTRE"))</f>
        <v>VOLUME</v>
      </c>
      <c r="AJ113" s="482">
        <f>IF($AC$113="","",IFERROR(INDEX($BA$74:$BA$119,MATCH($AH$113,$AY$74:$AY$119,0)),1))</f>
        <v>0.5</v>
      </c>
      <c r="AK113" s="482">
        <f t="shared" si="18"/>
        <v>0.5</v>
      </c>
      <c r="AL113" s="477" t="str">
        <f>IF($AC$113="","",IFERROR(INDEX($BB$74:$BB$119,MATCH($AH$113,$AY$74:$AY$119,0)),$AH$113))</f>
        <v>L</v>
      </c>
      <c r="AM113" s="483" t="str">
        <f t="shared" si="19"/>
        <v>OK</v>
      </c>
      <c r="AN113" s="484">
        <f t="shared" si="20"/>
        <v>1</v>
      </c>
      <c r="AO113" s="473" t="str">
        <f t="shared" si="21"/>
        <v/>
      </c>
      <c r="AP113" s="473" t="str">
        <f t="shared" si="22"/>
        <v/>
      </c>
      <c r="AQ113" s="473" t="str">
        <f t="shared" si="23"/>
        <v/>
      </c>
      <c r="AR113" s="473" t="str">
        <f t="shared" si="24"/>
        <v/>
      </c>
      <c r="AS113" s="473" t="str">
        <f t="shared" si="25"/>
        <v/>
      </c>
      <c r="AT113" s="473" t="str">
        <f t="shared" si="26"/>
        <v/>
      </c>
      <c r="AU113" s="473" t="str">
        <f t="shared" si="27"/>
        <v/>
      </c>
      <c r="AY113" s="32" t="s">
        <v>8143</v>
      </c>
      <c r="AZ113" s="488" t="s">
        <v>38</v>
      </c>
      <c r="BA113" s="489">
        <v>1</v>
      </c>
      <c r="BB113" s="419" t="s">
        <v>8144</v>
      </c>
      <c r="BC113" s="271"/>
      <c r="BD113" s="279">
        <v>1</v>
      </c>
      <c r="BE113" s="271"/>
      <c r="BF113" s="271"/>
      <c r="BG113" s="271"/>
      <c r="BH113" s="271"/>
      <c r="BI113" s="271"/>
      <c r="BJ113" s="271"/>
      <c r="BK113" s="271"/>
      <c r="BL113" s="271"/>
    </row>
    <row r="114" spans="18:64" ht="21" customHeight="1" x14ac:dyDescent="0.25">
      <c r="R114" s="34" t="s">
        <v>482</v>
      </c>
      <c r="S114" s="451"/>
      <c r="T114" s="497" t="s">
        <v>463</v>
      </c>
      <c r="V114" s="475">
        <v>2</v>
      </c>
      <c r="W114" s="475" t="str">
        <f>IF($AC$114="","",$W$108)</f>
        <v>N° 02</v>
      </c>
      <c r="X114" s="476" t="str">
        <f>IF($AC$114="","",$X$108)</f>
        <v>CHIQUETAILLE DE MORUE A L'AVOCAT</v>
      </c>
      <c r="Y114" s="477">
        <f>IF($X$114="","",$Y$108)</f>
        <v>19</v>
      </c>
      <c r="Z114" s="477">
        <f>IF($X$114="","",$Z$108)</f>
        <v>100</v>
      </c>
      <c r="AA114" s="477">
        <f>IF($AC$114="","",ROW($A$114)-ROW($A$108))</f>
        <v>6</v>
      </c>
      <c r="AB114" s="478"/>
      <c r="AC114" s="34" t="s">
        <v>53</v>
      </c>
      <c r="AD114" s="356"/>
      <c r="AE114" s="18">
        <v>500</v>
      </c>
      <c r="AF114" s="5" t="s">
        <v>8</v>
      </c>
      <c r="AG114" s="480">
        <f t="shared" si="16"/>
        <v>500</v>
      </c>
      <c r="AH114" s="481" t="str">
        <f t="shared" si="17"/>
        <v>G</v>
      </c>
      <c r="AI114" s="477" t="str">
        <f>IF($AC$114="","",IFERROR(INDEX($AZ$74:$AZ$119,MATCH($AH$114,$AY$74:$AY$119,0)),"AUTRE"))</f>
        <v>MASSE</v>
      </c>
      <c r="AJ114" s="482">
        <f>IF($AC$114="","",IFERROR(INDEX($BA$74:$BA$119,MATCH($AH$114,$AY$74:$AY$119,0)),1))</f>
        <v>1E-3</v>
      </c>
      <c r="AK114" s="482">
        <f t="shared" si="18"/>
        <v>0.5</v>
      </c>
      <c r="AL114" s="477" t="str">
        <f>IF($AC$114="","",IFERROR(INDEX($BB$74:$BB$119,MATCH($AH$114,$AY$74:$AY$119,0)),$AH$114))</f>
        <v>kg</v>
      </c>
      <c r="AM114" s="483" t="str">
        <f t="shared" si="19"/>
        <v>OK</v>
      </c>
      <c r="AN114" s="484">
        <f t="shared" si="20"/>
        <v>500</v>
      </c>
      <c r="AO114" s="473" t="str">
        <f t="shared" si="21"/>
        <v/>
      </c>
      <c r="AP114" s="473" t="str">
        <f t="shared" si="22"/>
        <v/>
      </c>
      <c r="AQ114" s="473" t="str">
        <f t="shared" si="23"/>
        <v/>
      </c>
      <c r="AR114" s="473" t="str">
        <f t="shared" si="24"/>
        <v/>
      </c>
      <c r="AS114" s="473" t="str">
        <f t="shared" si="25"/>
        <v/>
      </c>
      <c r="AT114" s="473" t="str">
        <f t="shared" si="26"/>
        <v/>
      </c>
      <c r="AU114" s="473" t="str">
        <f t="shared" si="27"/>
        <v/>
      </c>
      <c r="AY114" s="497" t="s">
        <v>8145</v>
      </c>
      <c r="AZ114" s="488" t="s">
        <v>38</v>
      </c>
      <c r="BA114" s="489">
        <v>1</v>
      </c>
      <c r="BB114" s="419" t="s">
        <v>8146</v>
      </c>
      <c r="BC114" s="271"/>
      <c r="BD114" s="279">
        <v>1</v>
      </c>
      <c r="BE114" s="271"/>
      <c r="BF114" s="271"/>
      <c r="BG114" s="271"/>
      <c r="BH114" s="271"/>
      <c r="BI114" s="271"/>
      <c r="BJ114" s="271"/>
      <c r="BK114" s="271"/>
      <c r="BL114" s="271"/>
    </row>
    <row r="115" spans="18:64" ht="21" customHeight="1" x14ac:dyDescent="0.25">
      <c r="R115" s="34" t="s">
        <v>496</v>
      </c>
      <c r="S115" s="451"/>
      <c r="T115" s="497" t="s">
        <v>8147</v>
      </c>
      <c r="V115" s="475">
        <v>2</v>
      </c>
      <c r="W115" s="475" t="str">
        <f>IF($AC$115="","",$W$108)</f>
        <v>N° 02</v>
      </c>
      <c r="X115" s="476" t="str">
        <f>IF($AC$115="","",$X$108)</f>
        <v>CHIQUETAILLE DE MORUE A L'AVOCAT</v>
      </c>
      <c r="Y115" s="477">
        <f>IF($X$115="","",$Y$108)</f>
        <v>19</v>
      </c>
      <c r="Z115" s="477">
        <f>IF($X$115="","",$Z$108)</f>
        <v>100</v>
      </c>
      <c r="AA115" s="477">
        <f>IF($AC$115="","",ROW($A$115)-ROW($A$108))</f>
        <v>7</v>
      </c>
      <c r="AB115" s="478"/>
      <c r="AC115" s="34" t="s">
        <v>45</v>
      </c>
      <c r="AD115" s="356"/>
      <c r="AE115" s="18">
        <v>200</v>
      </c>
      <c r="AF115" s="5" t="s">
        <v>8</v>
      </c>
      <c r="AG115" s="480">
        <f t="shared" si="16"/>
        <v>200</v>
      </c>
      <c r="AH115" s="481" t="str">
        <f t="shared" si="17"/>
        <v>G</v>
      </c>
      <c r="AI115" s="477" t="str">
        <f>IF($AC$115="","",IFERROR(INDEX($AZ$74:$AZ$119,MATCH($AH$115,$AY$74:$AY$119,0)),"AUTRE"))</f>
        <v>MASSE</v>
      </c>
      <c r="AJ115" s="482">
        <f>IF($AC$115="","",IFERROR(INDEX($BA$74:$BA$119,MATCH($AH$115,$AY$74:$AY$119,0)),1))</f>
        <v>1E-3</v>
      </c>
      <c r="AK115" s="482">
        <f t="shared" si="18"/>
        <v>0.2</v>
      </c>
      <c r="AL115" s="477" t="str">
        <f>IF($AC$115="","",IFERROR(INDEX($BB$74:$BB$119,MATCH($AH$115,$AY$74:$AY$119,0)),$AH$115))</f>
        <v>kg</v>
      </c>
      <c r="AM115" s="483" t="str">
        <f t="shared" si="19"/>
        <v>OK</v>
      </c>
      <c r="AN115" s="484">
        <f t="shared" si="20"/>
        <v>200</v>
      </c>
      <c r="AO115" s="473" t="str">
        <f t="shared" si="21"/>
        <v/>
      </c>
      <c r="AP115" s="473" t="str">
        <f t="shared" si="22"/>
        <v/>
      </c>
      <c r="AQ115" s="473" t="str">
        <f t="shared" si="23"/>
        <v/>
      </c>
      <c r="AR115" s="473" t="str">
        <f t="shared" si="24"/>
        <v/>
      </c>
      <c r="AS115" s="473" t="str">
        <f t="shared" si="25"/>
        <v/>
      </c>
      <c r="AT115" s="473" t="str">
        <f t="shared" si="26"/>
        <v/>
      </c>
      <c r="AU115" s="473" t="str">
        <f t="shared" si="27"/>
        <v/>
      </c>
      <c r="AY115" s="497" t="s">
        <v>462</v>
      </c>
      <c r="AZ115" s="488" t="s">
        <v>38</v>
      </c>
      <c r="BA115" s="489">
        <v>1</v>
      </c>
      <c r="BB115" s="419" t="s">
        <v>461</v>
      </c>
      <c r="BC115" s="271"/>
      <c r="BD115" s="279">
        <v>1</v>
      </c>
      <c r="BE115" s="271"/>
      <c r="BF115" s="271"/>
      <c r="BG115" s="271"/>
      <c r="BH115" s="271"/>
      <c r="BI115" s="271"/>
      <c r="BJ115" s="271"/>
      <c r="BK115" s="271"/>
      <c r="BL115" s="271"/>
    </row>
    <row r="116" spans="18:64" ht="21" customHeight="1" x14ac:dyDescent="0.25">
      <c r="R116" s="34" t="s">
        <v>483</v>
      </c>
      <c r="S116" s="451"/>
      <c r="T116" s="497" t="s">
        <v>465</v>
      </c>
      <c r="V116" s="475">
        <v>2</v>
      </c>
      <c r="W116" s="475" t="str">
        <f>IF($AC$116="","",$W$108)</f>
        <v>N° 02</v>
      </c>
      <c r="X116" s="476" t="str">
        <f>IF($AC$116="","",$X$108)</f>
        <v>CHIQUETAILLE DE MORUE A L'AVOCAT</v>
      </c>
      <c r="Y116" s="477">
        <f>IF($X$116="","",$Y$108)</f>
        <v>19</v>
      </c>
      <c r="Z116" s="477">
        <f>IF($X$116="","",$Z$108)</f>
        <v>100</v>
      </c>
      <c r="AA116" s="477">
        <f>IF($AC$116="","",ROW($A$116)-ROW($A$108))</f>
        <v>8</v>
      </c>
      <c r="AB116" s="478"/>
      <c r="AC116" s="34" t="s">
        <v>42</v>
      </c>
      <c r="AD116" s="356"/>
      <c r="AE116" s="18">
        <v>1</v>
      </c>
      <c r="AF116" s="6" t="s">
        <v>9</v>
      </c>
      <c r="AG116" s="480">
        <f t="shared" si="16"/>
        <v>1</v>
      </c>
      <c r="AH116" s="481" t="str">
        <f t="shared" si="17"/>
        <v>L</v>
      </c>
      <c r="AI116" s="477" t="str">
        <f>IF($AC$116="","",IFERROR(INDEX($AZ$74:$AZ$119,MATCH($AH$116,$AY$74:$AY$119,0)),"AUTRE"))</f>
        <v>VOLUME</v>
      </c>
      <c r="AJ116" s="482">
        <f>IF($AC$116="","",IFERROR(INDEX($BA$74:$BA$119,MATCH($AH$116,$AY$74:$AY$119,0)),1))</f>
        <v>1</v>
      </c>
      <c r="AK116" s="482">
        <f t="shared" si="18"/>
        <v>1</v>
      </c>
      <c r="AL116" s="477" t="str">
        <f>IF($AC$116="","",IFERROR(INDEX($BB$74:$BB$119,MATCH($AH$116,$AY$74:$AY$119,0)),$AH$116))</f>
        <v>L</v>
      </c>
      <c r="AM116" s="483" t="str">
        <f t="shared" si="19"/>
        <v>OK</v>
      </c>
      <c r="AN116" s="484">
        <f t="shared" si="20"/>
        <v>1</v>
      </c>
      <c r="AO116" s="473" t="str">
        <f t="shared" si="21"/>
        <v/>
      </c>
      <c r="AP116" s="473" t="str">
        <f t="shared" si="22"/>
        <v/>
      </c>
      <c r="AQ116" s="473" t="str">
        <f t="shared" si="23"/>
        <v/>
      </c>
      <c r="AR116" s="473" t="str">
        <f t="shared" si="24"/>
        <v/>
      </c>
      <c r="AS116" s="473" t="str">
        <f t="shared" si="25"/>
        <v/>
      </c>
      <c r="AT116" s="473" t="str">
        <f t="shared" si="26"/>
        <v/>
      </c>
      <c r="AU116" s="473" t="str">
        <f t="shared" si="27"/>
        <v/>
      </c>
      <c r="AY116" s="497" t="s">
        <v>463</v>
      </c>
      <c r="AZ116" s="488" t="s">
        <v>38</v>
      </c>
      <c r="BA116" s="489">
        <v>1</v>
      </c>
      <c r="BB116" s="419" t="s">
        <v>464</v>
      </c>
      <c r="BC116" s="271"/>
      <c r="BD116" s="279">
        <v>1</v>
      </c>
      <c r="BE116" s="271"/>
      <c r="BF116" s="271"/>
      <c r="BG116" s="271"/>
      <c r="BH116" s="271"/>
      <c r="BI116" s="271"/>
      <c r="BJ116" s="271"/>
      <c r="BK116" s="271"/>
      <c r="BL116" s="271"/>
    </row>
    <row r="117" spans="18:64" ht="21" customHeight="1" x14ac:dyDescent="0.25">
      <c r="R117" s="34" t="s">
        <v>493</v>
      </c>
      <c r="S117" s="451"/>
      <c r="T117" s="497" t="s">
        <v>466</v>
      </c>
      <c r="V117" s="475">
        <v>2</v>
      </c>
      <c r="W117" s="475" t="str">
        <f>IF($AC$117="","",$W$108)</f>
        <v/>
      </c>
      <c r="X117" s="476" t="str">
        <f>IF($AC$117="","",$X$108)</f>
        <v/>
      </c>
      <c r="Y117" s="477" t="str">
        <f>IF($X$117="","",$Y$108)</f>
        <v/>
      </c>
      <c r="Z117" s="477" t="str">
        <f>IF($X$117="","",$Z$108)</f>
        <v/>
      </c>
      <c r="AA117" s="477" t="str">
        <f>IF($AC$117="","",ROW($A$117)-ROW($A$108))</f>
        <v/>
      </c>
      <c r="AB117" s="478"/>
      <c r="AC117" s="34"/>
      <c r="AD117" s="356"/>
      <c r="AE117" s="18"/>
      <c r="AF117" s="19"/>
      <c r="AG117" s="480" t="str">
        <f t="shared" si="16"/>
        <v/>
      </c>
      <c r="AH117" s="481" t="str">
        <f t="shared" si="17"/>
        <v/>
      </c>
      <c r="AI117" s="477" t="str">
        <f>IF($AC$117="","",IFERROR(INDEX($AZ$74:$AZ$119,MATCH($AH$117,$AY$74:$AY$119,0)),"AUTRE"))</f>
        <v/>
      </c>
      <c r="AJ117" s="482" t="str">
        <f>IF($AC$117="","",IFERROR(INDEX($BA$74:$BA$119,MATCH($AH$117,$AY$74:$AY$119,0)),1))</f>
        <v/>
      </c>
      <c r="AK117" s="482" t="str">
        <f t="shared" si="18"/>
        <v/>
      </c>
      <c r="AL117" s="477" t="str">
        <f>IF($AC$117="","",IFERROR(INDEX($BB$74:$BB$119,MATCH($AH$117,$AY$74:$AY$119,0)),$AH$117))</f>
        <v/>
      </c>
      <c r="AM117" s="483" t="str">
        <f t="shared" si="19"/>
        <v/>
      </c>
      <c r="AN117" s="484" t="str">
        <f t="shared" si="20"/>
        <v/>
      </c>
      <c r="AO117" s="473" t="str">
        <f t="shared" si="21"/>
        <v/>
      </c>
      <c r="AP117" s="473" t="str">
        <f t="shared" si="22"/>
        <v/>
      </c>
      <c r="AQ117" s="473" t="str">
        <f t="shared" si="23"/>
        <v/>
      </c>
      <c r="AR117" s="473" t="str">
        <f t="shared" si="24"/>
        <v/>
      </c>
      <c r="AS117" s="473" t="str">
        <f t="shared" si="25"/>
        <v/>
      </c>
      <c r="AT117" s="473" t="str">
        <f t="shared" si="26"/>
        <v/>
      </c>
      <c r="AU117" s="473" t="str">
        <f t="shared" si="27"/>
        <v/>
      </c>
      <c r="AY117" s="497" t="s">
        <v>8147</v>
      </c>
      <c r="AZ117" s="488" t="s">
        <v>38</v>
      </c>
      <c r="BA117" s="489">
        <v>1</v>
      </c>
      <c r="BB117" s="419" t="s">
        <v>8148</v>
      </c>
      <c r="BC117" s="271"/>
      <c r="BD117" s="279">
        <v>1</v>
      </c>
      <c r="BE117" s="271"/>
      <c r="BF117" s="271"/>
      <c r="BG117" s="271"/>
      <c r="BH117" s="271"/>
      <c r="BI117" s="271"/>
      <c r="BJ117" s="271"/>
      <c r="BK117" s="271"/>
      <c r="BL117" s="271"/>
    </row>
    <row r="118" spans="18:64" ht="21" customHeight="1" x14ac:dyDescent="0.25">
      <c r="R118" s="34" t="s">
        <v>494</v>
      </c>
      <c r="S118" s="451"/>
      <c r="T118" s="440" t="s">
        <v>8110</v>
      </c>
      <c r="V118" s="475">
        <v>2</v>
      </c>
      <c r="W118" s="475" t="str">
        <f>IF($AC$118="","",$W$108)</f>
        <v>N° 02</v>
      </c>
      <c r="X118" s="476" t="str">
        <f>IF($AC$118="","",$X$108)</f>
        <v>CHIQUETAILLE DE MORUE A L'AVOCAT</v>
      </c>
      <c r="Y118" s="477">
        <f>IF($X$118="","",$Y$108)</f>
        <v>19</v>
      </c>
      <c r="Z118" s="477">
        <f>IF($X$118="","",$Z$108)</f>
        <v>100</v>
      </c>
      <c r="AA118" s="477">
        <f>IF($AC$118="","",ROW($A$118)-ROW($A$108))</f>
        <v>10</v>
      </c>
      <c r="AB118" s="478"/>
      <c r="AC118" s="34" t="s">
        <v>54</v>
      </c>
      <c r="AD118" s="356"/>
      <c r="AE118" s="18">
        <v>2</v>
      </c>
      <c r="AF118" s="3" t="s">
        <v>7</v>
      </c>
      <c r="AG118" s="480">
        <f t="shared" si="16"/>
        <v>2</v>
      </c>
      <c r="AH118" s="481" t="str">
        <f t="shared" si="17"/>
        <v>KG</v>
      </c>
      <c r="AI118" s="477" t="str">
        <f>IF($AC$118="","",IFERROR(INDEX($AZ$74:$AZ$119,MATCH($AH$118,$AY$74:$AY$119,0)),"AUTRE"))</f>
        <v>MASSE</v>
      </c>
      <c r="AJ118" s="482">
        <f>IF($AC$118="","",IFERROR(INDEX($BA$74:$BA$119,MATCH($AH$118,$AY$74:$AY$119,0)),1))</f>
        <v>1</v>
      </c>
      <c r="AK118" s="482">
        <f t="shared" si="18"/>
        <v>2</v>
      </c>
      <c r="AL118" s="477" t="str">
        <f>IF($AC$118="","",IFERROR(INDEX($BB$74:$BB$119,MATCH($AH$118,$AY$74:$AY$119,0)),$AH$118))</f>
        <v>kg</v>
      </c>
      <c r="AM118" s="483" t="str">
        <f t="shared" si="19"/>
        <v>OK</v>
      </c>
      <c r="AN118" s="484">
        <f t="shared" si="20"/>
        <v>2</v>
      </c>
      <c r="AO118" s="473" t="str">
        <f t="shared" si="21"/>
        <v/>
      </c>
      <c r="AP118" s="473" t="str">
        <f t="shared" si="22"/>
        <v/>
      </c>
      <c r="AQ118" s="473" t="str">
        <f t="shared" si="23"/>
        <v/>
      </c>
      <c r="AR118" s="473" t="str">
        <f t="shared" si="24"/>
        <v/>
      </c>
      <c r="AS118" s="473" t="str">
        <f t="shared" si="25"/>
        <v/>
      </c>
      <c r="AT118" s="473" t="str">
        <f t="shared" si="26"/>
        <v/>
      </c>
      <c r="AU118" s="473" t="str">
        <f t="shared" si="27"/>
        <v/>
      </c>
      <c r="AY118" s="497" t="s">
        <v>465</v>
      </c>
      <c r="AZ118" s="488" t="s">
        <v>38</v>
      </c>
      <c r="BA118" s="489">
        <v>1</v>
      </c>
      <c r="BB118" s="419" t="s">
        <v>460</v>
      </c>
      <c r="BC118" s="271"/>
      <c r="BD118" s="279">
        <v>1</v>
      </c>
      <c r="BE118" s="271"/>
      <c r="BF118" s="271"/>
      <c r="BG118" s="271"/>
      <c r="BH118" s="271"/>
      <c r="BI118" s="271"/>
      <c r="BJ118" s="271"/>
      <c r="BK118" s="271"/>
      <c r="BL118" s="271"/>
    </row>
    <row r="119" spans="18:64" ht="21" customHeight="1" x14ac:dyDescent="0.25">
      <c r="S119" s="451"/>
      <c r="T119" s="452" t="s">
        <v>8113</v>
      </c>
      <c r="V119" s="475">
        <v>2</v>
      </c>
      <c r="W119" s="475" t="str">
        <f>IF($AC$119="","",$W$108)</f>
        <v>N° 02</v>
      </c>
      <c r="X119" s="476" t="str">
        <f>IF($AC$119="","",$X$108)</f>
        <v>CHIQUETAILLE DE MORUE A L'AVOCAT</v>
      </c>
      <c r="Y119" s="477">
        <f>IF($X$119="","",$Y$108)</f>
        <v>19</v>
      </c>
      <c r="Z119" s="477">
        <f>IF($X$119="","",$Z$108)</f>
        <v>100</v>
      </c>
      <c r="AA119" s="477">
        <f>IF($AC$119="","",ROW($A$119)-ROW($A$108))</f>
        <v>11</v>
      </c>
      <c r="AB119" s="478"/>
      <c r="AC119" s="34" t="s">
        <v>55</v>
      </c>
      <c r="AD119" s="356"/>
      <c r="AE119" s="18">
        <v>50</v>
      </c>
      <c r="AF119" s="9" t="s">
        <v>309</v>
      </c>
      <c r="AG119" s="480">
        <f t="shared" si="16"/>
        <v>50</v>
      </c>
      <c r="AH119" s="481" t="str">
        <f t="shared" si="17"/>
        <v>PIÈCE(S)</v>
      </c>
      <c r="AI119" s="477" t="str">
        <f>IF($AC$119="","",IFERROR(INDEX($AZ$74:$AZ$119,MATCH($AH$119,$AY$74:$AY$119,0)),"AUTRE"))</f>
        <v>AUTRE</v>
      </c>
      <c r="AJ119" s="482">
        <f>IF($AC$119="","",IFERROR(INDEX($BA$74:$BA$119,MATCH($AH$119,$AY$74:$AY$119,0)),1))</f>
        <v>1</v>
      </c>
      <c r="AK119" s="482">
        <f t="shared" si="18"/>
        <v>50</v>
      </c>
      <c r="AL119" s="477" t="str">
        <f>IF($AC$119="","",IFERROR(INDEX($BB$74:$BB$119,MATCH($AH$119,$AY$74:$AY$119,0)),$AH$119))</f>
        <v>pièce(s)</v>
      </c>
      <c r="AM119" s="483" t="str">
        <f t="shared" si="19"/>
        <v>OK</v>
      </c>
      <c r="AN119" s="484">
        <f t="shared" si="20"/>
        <v>50</v>
      </c>
      <c r="AO119" s="473" t="str">
        <f t="shared" si="21"/>
        <v/>
      </c>
      <c r="AP119" s="473" t="str">
        <f t="shared" si="22"/>
        <v/>
      </c>
      <c r="AQ119" s="473" t="str">
        <f t="shared" si="23"/>
        <v/>
      </c>
      <c r="AR119" s="473" t="str">
        <f t="shared" si="24"/>
        <v/>
      </c>
      <c r="AS119" s="473" t="str">
        <f t="shared" si="25"/>
        <v/>
      </c>
      <c r="AT119" s="473" t="str">
        <f t="shared" si="26"/>
        <v/>
      </c>
      <c r="AU119" s="473" t="str">
        <f t="shared" si="27"/>
        <v/>
      </c>
      <c r="AY119" s="497" t="s">
        <v>466</v>
      </c>
      <c r="AZ119" s="488" t="s">
        <v>38</v>
      </c>
      <c r="BA119" s="489">
        <v>1</v>
      </c>
      <c r="BB119" s="419" t="s">
        <v>467</v>
      </c>
      <c r="BC119" s="271"/>
      <c r="BD119" s="279">
        <v>1</v>
      </c>
      <c r="BE119" s="271"/>
      <c r="BF119" s="271"/>
      <c r="BG119" s="271"/>
      <c r="BH119" s="271"/>
      <c r="BI119" s="271"/>
      <c r="BJ119" s="271"/>
      <c r="BK119" s="271"/>
      <c r="BL119" s="271"/>
    </row>
    <row r="120" spans="18:64" ht="21" customHeight="1" x14ac:dyDescent="0.25">
      <c r="R120" s="25" t="s">
        <v>6115</v>
      </c>
      <c r="S120" s="451"/>
      <c r="T120" s="14" t="s">
        <v>7</v>
      </c>
      <c r="V120" s="475">
        <v>2</v>
      </c>
      <c r="W120" s="475" t="str">
        <f>IF($AC$120="","",$W$108)</f>
        <v/>
      </c>
      <c r="X120" s="476" t="str">
        <f>IF($AC$120="","",$X$108)</f>
        <v/>
      </c>
      <c r="Y120" s="477" t="str">
        <f>IF($X$120="","",$Y$108)</f>
        <v/>
      </c>
      <c r="Z120" s="477" t="str">
        <f>IF($X$120="","",$Z$108)</f>
        <v/>
      </c>
      <c r="AA120" s="477" t="str">
        <f>IF($AC$120="","",ROW($A$120)-ROW($A$108))</f>
        <v/>
      </c>
      <c r="AB120" s="478"/>
      <c r="AC120" s="34"/>
      <c r="AD120" s="356"/>
      <c r="AE120" s="18"/>
      <c r="AF120" s="19"/>
      <c r="AG120" s="480" t="str">
        <f t="shared" si="16"/>
        <v/>
      </c>
      <c r="AH120" s="481" t="str">
        <f t="shared" si="17"/>
        <v/>
      </c>
      <c r="AI120" s="477" t="str">
        <f>IF($AC$120="","",IFERROR(INDEX($AZ$74:$AZ$119,MATCH($AH$120,$AY$74:$AY$119,0)),"AUTRE"))</f>
        <v/>
      </c>
      <c r="AJ120" s="482" t="str">
        <f>IF($AC$120="","",IFERROR(INDEX($BA$74:$BA$119,MATCH($AH$120,$AY$74:$AY$119,0)),1))</f>
        <v/>
      </c>
      <c r="AK120" s="482" t="str">
        <f t="shared" si="18"/>
        <v/>
      </c>
      <c r="AL120" s="477" t="str">
        <f>IF($AC$120="","",IFERROR(INDEX($BB$74:$BB$119,MATCH($AH$120,$AY$74:$AY$119,0)),$AH$120))</f>
        <v/>
      </c>
      <c r="AM120" s="483" t="str">
        <f t="shared" si="19"/>
        <v/>
      </c>
      <c r="AN120" s="484" t="str">
        <f t="shared" si="20"/>
        <v/>
      </c>
      <c r="AO120" s="473" t="str">
        <f t="shared" si="21"/>
        <v/>
      </c>
      <c r="AP120" s="473" t="str">
        <f t="shared" si="22"/>
        <v/>
      </c>
      <c r="AQ120" s="473" t="str">
        <f t="shared" si="23"/>
        <v/>
      </c>
      <c r="AR120" s="473" t="str">
        <f t="shared" si="24"/>
        <v/>
      </c>
      <c r="AS120" s="473" t="str">
        <f t="shared" si="25"/>
        <v/>
      </c>
      <c r="AT120" s="473" t="str">
        <f t="shared" si="26"/>
        <v/>
      </c>
      <c r="AU120" s="473" t="str">
        <f t="shared" si="27"/>
        <v/>
      </c>
      <c r="AY120" s="498"/>
      <c r="AZ120" s="498"/>
      <c r="BA120" s="498"/>
      <c r="BB120" s="448" t="str">
        <f>ADDRESS(ROW(),COLUMN(),4)</f>
        <v>BB120</v>
      </c>
      <c r="BC120" s="271"/>
      <c r="BD120" s="279">
        <v>1</v>
      </c>
      <c r="BE120" s="271"/>
      <c r="BF120" s="271"/>
      <c r="BG120" s="271"/>
      <c r="BH120" s="271"/>
      <c r="BI120" s="271"/>
      <c r="BJ120" s="271"/>
      <c r="BK120" s="271"/>
      <c r="BL120" s="271"/>
    </row>
    <row r="121" spans="18:64" ht="21" customHeight="1" x14ac:dyDescent="0.25">
      <c r="R121" s="34" t="s">
        <v>471</v>
      </c>
      <c r="S121" s="451"/>
      <c r="T121" s="27" t="s">
        <v>8</v>
      </c>
      <c r="V121" s="475">
        <v>2</v>
      </c>
      <c r="W121" s="475" t="str">
        <f>IF($AC$121="","",$W$108)</f>
        <v/>
      </c>
      <c r="X121" s="476" t="str">
        <f>IF($AC$121="","",$X$108)</f>
        <v/>
      </c>
      <c r="Y121" s="477" t="str">
        <f>IF($X$121="","",$Y$108)</f>
        <v/>
      </c>
      <c r="Z121" s="477" t="str">
        <f>IF($X$121="","",$Z$108)</f>
        <v/>
      </c>
      <c r="AA121" s="477" t="str">
        <f>IF($AC$121="","",ROW($A$121)-ROW($A$108))</f>
        <v/>
      </c>
      <c r="AB121" s="478"/>
      <c r="AC121" s="34"/>
      <c r="AD121" s="356"/>
      <c r="AE121" s="18"/>
      <c r="AF121" s="19"/>
      <c r="AG121" s="480" t="str">
        <f t="shared" si="16"/>
        <v/>
      </c>
      <c r="AH121" s="481" t="str">
        <f t="shared" si="17"/>
        <v/>
      </c>
      <c r="AI121" s="477" t="str">
        <f>IF($AC$121="","",IFERROR(INDEX($AZ$74:$AZ$119,MATCH($AH$121,$AY$74:$AY$119,0)),"AUTRE"))</f>
        <v/>
      </c>
      <c r="AJ121" s="482" t="str">
        <f>IF($AC$121="","",IFERROR(INDEX($BA$74:$BA$119,MATCH($AH$121,$AY$74:$AY$119,0)),1))</f>
        <v/>
      </c>
      <c r="AK121" s="482" t="str">
        <f t="shared" si="18"/>
        <v/>
      </c>
      <c r="AL121" s="477" t="str">
        <f>IF($AC$121="","",IFERROR(INDEX($BB$74:$BB$119,MATCH($AH$121,$AY$74:$AY$119,0)),$AH$121))</f>
        <v/>
      </c>
      <c r="AM121" s="483" t="str">
        <f t="shared" si="19"/>
        <v/>
      </c>
      <c r="AN121" s="484" t="str">
        <f t="shared" si="20"/>
        <v/>
      </c>
      <c r="AO121" s="473" t="str">
        <f t="shared" si="21"/>
        <v/>
      </c>
      <c r="AP121" s="473" t="str">
        <f t="shared" si="22"/>
        <v/>
      </c>
      <c r="AQ121" s="473" t="str">
        <f t="shared" si="23"/>
        <v/>
      </c>
      <c r="AR121" s="473" t="str">
        <f t="shared" si="24"/>
        <v/>
      </c>
      <c r="AS121" s="473" t="str">
        <f t="shared" si="25"/>
        <v/>
      </c>
      <c r="AT121" s="473" t="str">
        <f t="shared" si="26"/>
        <v/>
      </c>
      <c r="AU121" s="473" t="str">
        <f t="shared" si="27"/>
        <v/>
      </c>
      <c r="AY121" s="271"/>
      <c r="AZ121" s="14" t="s">
        <v>7</v>
      </c>
      <c r="BA121" s="25" t="s">
        <v>6115</v>
      </c>
      <c r="BB121" s="499"/>
      <c r="BC121" s="271"/>
      <c r="BD121" s="279">
        <v>1</v>
      </c>
      <c r="BE121" s="271"/>
      <c r="BF121" s="271"/>
      <c r="BG121" s="271"/>
      <c r="BH121" s="271"/>
      <c r="BI121" s="271"/>
      <c r="BJ121" s="271"/>
      <c r="BK121" s="271"/>
      <c r="BL121" s="271"/>
    </row>
    <row r="122" spans="18:64" ht="21" customHeight="1" x14ac:dyDescent="0.25">
      <c r="R122" s="34" t="s">
        <v>472</v>
      </c>
      <c r="S122" s="451"/>
      <c r="T122" s="28" t="s">
        <v>13</v>
      </c>
      <c r="V122" s="475">
        <v>2</v>
      </c>
      <c r="W122" s="475" t="str">
        <f>IF($AC$122="","",$W$108)</f>
        <v/>
      </c>
      <c r="X122" s="476" t="str">
        <f>IF($AC$122="","",$X$108)</f>
        <v/>
      </c>
      <c r="Y122" s="477" t="str">
        <f>IF($X$122="","",$Y$108)</f>
        <v/>
      </c>
      <c r="Z122" s="477" t="str">
        <f>IF($X$122="","",$Z$108)</f>
        <v/>
      </c>
      <c r="AA122" s="477" t="str">
        <f>IF($AC$122="","",ROW($A$122)-ROW($A$108))</f>
        <v/>
      </c>
      <c r="AB122" s="478"/>
      <c r="AC122" s="34"/>
      <c r="AD122" s="356"/>
      <c r="AE122" s="18"/>
      <c r="AF122" s="19"/>
      <c r="AG122" s="480" t="str">
        <f t="shared" si="16"/>
        <v/>
      </c>
      <c r="AH122" s="481" t="str">
        <f t="shared" si="17"/>
        <v/>
      </c>
      <c r="AI122" s="477" t="str">
        <f>IF($AC$122="","",IFERROR(INDEX($AZ$74:$AZ$119,MATCH($AH$122,$AY$74:$AY$119,0)),"AUTRE"))</f>
        <v/>
      </c>
      <c r="AJ122" s="482" t="str">
        <f>IF($AC$122="","",IFERROR(INDEX($BA$74:$BA$119,MATCH($AH$122,$AY$74:$AY$119,0)),1))</f>
        <v/>
      </c>
      <c r="AK122" s="482" t="str">
        <f t="shared" si="18"/>
        <v/>
      </c>
      <c r="AL122" s="477" t="str">
        <f>IF($AC$122="","",IFERROR(INDEX($BB$74:$BB$119,MATCH($AH$122,$AY$74:$AY$119,0)),$AH$122))</f>
        <v/>
      </c>
      <c r="AM122" s="483" t="str">
        <f t="shared" si="19"/>
        <v/>
      </c>
      <c r="AN122" s="484" t="str">
        <f t="shared" si="20"/>
        <v/>
      </c>
      <c r="AO122" s="473" t="str">
        <f t="shared" si="21"/>
        <v/>
      </c>
      <c r="AP122" s="473" t="str">
        <f t="shared" si="22"/>
        <v/>
      </c>
      <c r="AQ122" s="473" t="str">
        <f t="shared" si="23"/>
        <v/>
      </c>
      <c r="AR122" s="473" t="str">
        <f t="shared" si="24"/>
        <v/>
      </c>
      <c r="AS122" s="473" t="str">
        <f t="shared" si="25"/>
        <v/>
      </c>
      <c r="AT122" s="473" t="str">
        <f t="shared" si="26"/>
        <v/>
      </c>
      <c r="AU122" s="473" t="str">
        <f t="shared" si="27"/>
        <v/>
      </c>
      <c r="AZ122" s="27" t="s">
        <v>8</v>
      </c>
      <c r="BA122" s="34" t="s">
        <v>471</v>
      </c>
      <c r="BB122" s="500"/>
      <c r="BC122" s="271"/>
      <c r="BD122" s="279">
        <v>1</v>
      </c>
      <c r="BE122" s="271"/>
      <c r="BF122" s="271"/>
      <c r="BG122" s="271"/>
      <c r="BH122" s="271"/>
      <c r="BI122" s="271"/>
      <c r="BJ122" s="271"/>
      <c r="BK122" s="271"/>
      <c r="BL122" s="271"/>
    </row>
    <row r="123" spans="18:64" ht="21" customHeight="1" x14ac:dyDescent="0.25">
      <c r="R123" s="34" t="s">
        <v>6112</v>
      </c>
      <c r="S123" s="451"/>
      <c r="T123" s="28" t="s">
        <v>14</v>
      </c>
      <c r="V123" s="475">
        <v>2</v>
      </c>
      <c r="W123" s="475" t="str">
        <f>IF($AC$123="","",$W$108)</f>
        <v/>
      </c>
      <c r="X123" s="476" t="str">
        <f>IF($AC$123="","",$X$108)</f>
        <v/>
      </c>
      <c r="Y123" s="477" t="str">
        <f>IF($X$123="","",$Y$108)</f>
        <v/>
      </c>
      <c r="Z123" s="477" t="str">
        <f>IF($X$123="","",$Z$108)</f>
        <v/>
      </c>
      <c r="AA123" s="477" t="str">
        <f>IF($AC$123="","",ROW($A$123)-ROW($A$108))</f>
        <v/>
      </c>
      <c r="AB123" s="478"/>
      <c r="AC123" s="34"/>
      <c r="AD123" s="356"/>
      <c r="AE123" s="18"/>
      <c r="AF123" s="19"/>
      <c r="AG123" s="480" t="str">
        <f t="shared" si="16"/>
        <v/>
      </c>
      <c r="AH123" s="481" t="str">
        <f t="shared" si="17"/>
        <v/>
      </c>
      <c r="AI123" s="477" t="str">
        <f>IF($AC$123="","",IFERROR(INDEX($AZ$74:$AZ$119,MATCH($AH$123,$AY$74:$AY$119,0)),"AUTRE"))</f>
        <v/>
      </c>
      <c r="AJ123" s="482" t="str">
        <f>IF($AC$123="","",IFERROR(INDEX($BA$74:$BA$119,MATCH($AH$123,$AY$74:$AY$119,0)),1))</f>
        <v/>
      </c>
      <c r="AK123" s="482" t="str">
        <f t="shared" si="18"/>
        <v/>
      </c>
      <c r="AL123" s="477" t="str">
        <f>IF($AC$123="","",IFERROR(INDEX($BB$74:$BB$119,MATCH($AH$123,$AY$74:$AY$119,0)),$AH$123))</f>
        <v/>
      </c>
      <c r="AM123" s="483" t="str">
        <f t="shared" si="19"/>
        <v/>
      </c>
      <c r="AN123" s="484" t="str">
        <f t="shared" si="20"/>
        <v/>
      </c>
      <c r="AO123" s="473" t="str">
        <f t="shared" si="21"/>
        <v/>
      </c>
      <c r="AP123" s="473" t="str">
        <f t="shared" si="22"/>
        <v/>
      </c>
      <c r="AQ123" s="473" t="str">
        <f t="shared" si="23"/>
        <v/>
      </c>
      <c r="AR123" s="473" t="str">
        <f t="shared" si="24"/>
        <v/>
      </c>
      <c r="AS123" s="473" t="str">
        <f t="shared" si="25"/>
        <v/>
      </c>
      <c r="AT123" s="473" t="str">
        <f t="shared" si="26"/>
        <v/>
      </c>
      <c r="AU123" s="473" t="str">
        <f t="shared" si="27"/>
        <v/>
      </c>
      <c r="AZ123" s="28" t="s">
        <v>13</v>
      </c>
      <c r="BA123" s="34" t="s">
        <v>472</v>
      </c>
      <c r="BB123" s="500"/>
      <c r="BC123" s="271"/>
      <c r="BD123" s="279">
        <v>1</v>
      </c>
      <c r="BE123" s="271"/>
      <c r="BF123" s="271"/>
      <c r="BG123" s="271"/>
      <c r="BH123" s="271"/>
      <c r="BI123" s="271"/>
      <c r="BJ123" s="271"/>
      <c r="BK123" s="271"/>
      <c r="BL123" s="271"/>
    </row>
    <row r="124" spans="18:64" ht="21" customHeight="1" x14ac:dyDescent="0.25">
      <c r="R124" s="25" t="s">
        <v>6116</v>
      </c>
      <c r="S124" s="451"/>
      <c r="T124" s="28" t="s">
        <v>15</v>
      </c>
      <c r="V124" s="475">
        <v>2</v>
      </c>
      <c r="W124" s="475" t="str">
        <f>IF($AC$124="","",$W$108)</f>
        <v/>
      </c>
      <c r="X124" s="476" t="str">
        <f>IF($AC$124="","",$X$108)</f>
        <v/>
      </c>
      <c r="Y124" s="477" t="str">
        <f>IF($X$124="","",$Y$108)</f>
        <v/>
      </c>
      <c r="Z124" s="477" t="str">
        <f>IF($X$124="","",$Z$108)</f>
        <v/>
      </c>
      <c r="AA124" s="477" t="str">
        <f>IF($AC$124="","",ROW($A$124)-ROW($A$108))</f>
        <v/>
      </c>
      <c r="AB124" s="478"/>
      <c r="AC124" s="34"/>
      <c r="AD124" s="356"/>
      <c r="AE124" s="18"/>
      <c r="AF124" s="19"/>
      <c r="AG124" s="480" t="str">
        <f t="shared" si="16"/>
        <v/>
      </c>
      <c r="AH124" s="481" t="str">
        <f t="shared" si="17"/>
        <v/>
      </c>
      <c r="AI124" s="477" t="str">
        <f>IF($AC$124="","",IFERROR(INDEX($AZ$74:$AZ$119,MATCH($AH$124,$AY$74:$AY$119,0)),"AUTRE"))</f>
        <v/>
      </c>
      <c r="AJ124" s="482" t="str">
        <f>IF($AC$124="","",IFERROR(INDEX($BA$74:$BA$119,MATCH($AH$124,$AY$74:$AY$119,0)),1))</f>
        <v/>
      </c>
      <c r="AK124" s="482" t="str">
        <f t="shared" si="18"/>
        <v/>
      </c>
      <c r="AL124" s="477" t="str">
        <f>IF($AC$124="","",IFERROR(INDEX($BB$74:$BB$119,MATCH($AH$124,$AY$74:$AY$119,0)),$AH$124))</f>
        <v/>
      </c>
      <c r="AM124" s="483" t="str">
        <f t="shared" si="19"/>
        <v/>
      </c>
      <c r="AN124" s="484" t="str">
        <f t="shared" si="20"/>
        <v/>
      </c>
      <c r="AO124" s="473" t="str">
        <f t="shared" si="21"/>
        <v/>
      </c>
      <c r="AP124" s="473" t="str">
        <f t="shared" si="22"/>
        <v/>
      </c>
      <c r="AQ124" s="473" t="str">
        <f t="shared" si="23"/>
        <v/>
      </c>
      <c r="AR124" s="473" t="str">
        <f t="shared" si="24"/>
        <v/>
      </c>
      <c r="AS124" s="473" t="str">
        <f t="shared" si="25"/>
        <v/>
      </c>
      <c r="AT124" s="473" t="str">
        <f t="shared" si="26"/>
        <v/>
      </c>
      <c r="AU124" s="473" t="str">
        <f t="shared" si="27"/>
        <v/>
      </c>
      <c r="AZ124" s="28" t="s">
        <v>14</v>
      </c>
      <c r="BA124" s="34" t="s">
        <v>6112</v>
      </c>
      <c r="BB124" s="500"/>
      <c r="BC124" s="271"/>
      <c r="BD124" s="279">
        <v>1</v>
      </c>
      <c r="BE124" s="271"/>
      <c r="BF124" s="271"/>
      <c r="BG124" s="271"/>
      <c r="BH124" s="271"/>
      <c r="BI124" s="271"/>
      <c r="BJ124" s="271"/>
      <c r="BK124" s="271"/>
      <c r="BL124" s="271"/>
    </row>
    <row r="125" spans="18:64" ht="21" customHeight="1" x14ac:dyDescent="0.25">
      <c r="R125" s="34" t="s">
        <v>6117</v>
      </c>
      <c r="S125" s="451"/>
      <c r="T125" s="28" t="s">
        <v>21</v>
      </c>
      <c r="V125" s="475">
        <v>2</v>
      </c>
      <c r="W125" s="475" t="str">
        <f>IF($AC$125="","",$W$108)</f>
        <v/>
      </c>
      <c r="X125" s="476" t="str">
        <f>IF($AC$125="","",$X$108)</f>
        <v/>
      </c>
      <c r="Y125" s="477" t="str">
        <f>IF($X$125="","",$Y$108)</f>
        <v/>
      </c>
      <c r="Z125" s="477" t="str">
        <f>IF($X$125="","",$Z$108)</f>
        <v/>
      </c>
      <c r="AA125" s="477" t="str">
        <f>IF($AC$125="","",ROW($A$125)-ROW($A$108))</f>
        <v/>
      </c>
      <c r="AB125" s="478"/>
      <c r="AC125" s="34"/>
      <c r="AD125" s="356"/>
      <c r="AE125" s="18"/>
      <c r="AF125" s="19"/>
      <c r="AG125" s="480" t="str">
        <f t="shared" si="16"/>
        <v/>
      </c>
      <c r="AH125" s="481" t="str">
        <f t="shared" si="17"/>
        <v/>
      </c>
      <c r="AI125" s="477" t="str">
        <f>IF($AC$125="","",IFERROR(INDEX($AZ$74:$AZ$119,MATCH($AH$125,$AY$74:$AY$119,0)),"AUTRE"))</f>
        <v/>
      </c>
      <c r="AJ125" s="482" t="str">
        <f>IF($AC$125="","",IFERROR(INDEX($BA$74:$BA$119,MATCH($AH$125,$AY$74:$AY$119,0)),1))</f>
        <v/>
      </c>
      <c r="AK125" s="482" t="str">
        <f t="shared" si="18"/>
        <v/>
      </c>
      <c r="AL125" s="477" t="str">
        <f>IF($AC$125="","",IFERROR(INDEX($BB$74:$BB$119,MATCH($AH$125,$AY$74:$AY$119,0)),$AH$125))</f>
        <v/>
      </c>
      <c r="AM125" s="483" t="str">
        <f t="shared" si="19"/>
        <v/>
      </c>
      <c r="AN125" s="484" t="str">
        <f t="shared" si="20"/>
        <v/>
      </c>
      <c r="AO125" s="473" t="str">
        <f t="shared" si="21"/>
        <v/>
      </c>
      <c r="AP125" s="473" t="str">
        <f t="shared" si="22"/>
        <v/>
      </c>
      <c r="AQ125" s="473" t="str">
        <f t="shared" si="23"/>
        <v/>
      </c>
      <c r="AR125" s="473" t="str">
        <f t="shared" si="24"/>
        <v/>
      </c>
      <c r="AS125" s="473" t="str">
        <f t="shared" si="25"/>
        <v/>
      </c>
      <c r="AT125" s="473" t="str">
        <f t="shared" si="26"/>
        <v/>
      </c>
      <c r="AU125" s="473" t="str">
        <f t="shared" si="27"/>
        <v/>
      </c>
      <c r="AZ125" s="28" t="s">
        <v>15</v>
      </c>
      <c r="BA125" s="25" t="s">
        <v>6116</v>
      </c>
      <c r="BB125" s="500"/>
      <c r="BC125" s="271"/>
      <c r="BD125" s="279">
        <v>1</v>
      </c>
      <c r="BE125" s="271"/>
      <c r="BF125" s="271"/>
      <c r="BG125" s="271"/>
      <c r="BH125" s="271"/>
      <c r="BI125" s="271"/>
      <c r="BJ125" s="271"/>
      <c r="BK125" s="271"/>
      <c r="BL125" s="271"/>
    </row>
    <row r="126" spans="18:64" ht="21" customHeight="1" x14ac:dyDescent="0.25">
      <c r="R126" s="34" t="s">
        <v>469</v>
      </c>
      <c r="S126" s="451"/>
      <c r="T126" s="28" t="s">
        <v>22</v>
      </c>
      <c r="V126" s="475">
        <v>2</v>
      </c>
      <c r="W126" s="475" t="str">
        <f>IF($AC$126="","",$W$108)</f>
        <v/>
      </c>
      <c r="X126" s="476" t="str">
        <f>IF($AC$126="","",$X$108)</f>
        <v/>
      </c>
      <c r="Y126" s="477" t="str">
        <f>IF($X$126="","",$Y$108)</f>
        <v/>
      </c>
      <c r="Z126" s="477" t="str">
        <f>IF($X$126="","",$Z$108)</f>
        <v/>
      </c>
      <c r="AA126" s="477" t="str">
        <f>IF($AC$126="","",ROW($A$126)-ROW($A$108))</f>
        <v/>
      </c>
      <c r="AB126" s="478"/>
      <c r="AC126" s="34"/>
      <c r="AD126" s="356"/>
      <c r="AE126" s="18"/>
      <c r="AF126" s="19"/>
      <c r="AG126" s="480" t="str">
        <f t="shared" si="16"/>
        <v/>
      </c>
      <c r="AH126" s="481" t="str">
        <f t="shared" si="17"/>
        <v/>
      </c>
      <c r="AI126" s="477" t="str">
        <f>IF($AC$126="","",IFERROR(INDEX($AZ$74:$AZ$119,MATCH($AH$126,$AY$74:$AY$119,0)),"AUTRE"))</f>
        <v/>
      </c>
      <c r="AJ126" s="482" t="str">
        <f>IF($AC$126="","",IFERROR(INDEX($BA$74:$BA$119,MATCH($AH$126,$AY$74:$AY$119,0)),1))</f>
        <v/>
      </c>
      <c r="AK126" s="482" t="str">
        <f t="shared" si="18"/>
        <v/>
      </c>
      <c r="AL126" s="477" t="str">
        <f>IF($AC$126="","",IFERROR(INDEX($BB$74:$BB$119,MATCH($AH$126,$AY$74:$AY$119,0)),$AH$126))</f>
        <v/>
      </c>
      <c r="AM126" s="483" t="str">
        <f t="shared" si="19"/>
        <v/>
      </c>
      <c r="AN126" s="484" t="str">
        <f t="shared" si="20"/>
        <v/>
      </c>
      <c r="AO126" s="473" t="str">
        <f t="shared" si="21"/>
        <v/>
      </c>
      <c r="AP126" s="473" t="str">
        <f t="shared" si="22"/>
        <v/>
      </c>
      <c r="AQ126" s="473" t="str">
        <f t="shared" si="23"/>
        <v/>
      </c>
      <c r="AR126" s="473" t="str">
        <f t="shared" si="24"/>
        <v/>
      </c>
      <c r="AS126" s="473" t="str">
        <f t="shared" si="25"/>
        <v/>
      </c>
      <c r="AT126" s="473" t="str">
        <f t="shared" si="26"/>
        <v/>
      </c>
      <c r="AU126" s="473" t="str">
        <f t="shared" si="27"/>
        <v/>
      </c>
      <c r="AZ126" s="29" t="s">
        <v>9</v>
      </c>
      <c r="BA126" s="34" t="s">
        <v>6117</v>
      </c>
      <c r="BB126" s="500"/>
      <c r="BC126" s="271"/>
      <c r="BD126" s="279">
        <v>1</v>
      </c>
      <c r="BE126" s="271"/>
      <c r="BF126" s="271"/>
      <c r="BG126" s="271"/>
      <c r="BH126" s="271"/>
      <c r="BI126" s="271"/>
      <c r="BJ126" s="271"/>
      <c r="BK126" s="271"/>
      <c r="BL126" s="271"/>
    </row>
    <row r="127" spans="18:64" ht="21" customHeight="1" x14ac:dyDescent="0.25">
      <c r="R127" s="34" t="s">
        <v>6118</v>
      </c>
      <c r="S127" s="451"/>
      <c r="T127" s="28" t="s">
        <v>23</v>
      </c>
      <c r="V127" s="475">
        <v>2</v>
      </c>
      <c r="W127" s="475" t="str">
        <f>IF($AC$127="","",$W$108)</f>
        <v/>
      </c>
      <c r="X127" s="476" t="str">
        <f>IF($AC$127="","",$X$108)</f>
        <v/>
      </c>
      <c r="Y127" s="477" t="str">
        <f>IF($X$127="","",$Y$108)</f>
        <v/>
      </c>
      <c r="Z127" s="477" t="str">
        <f>IF($X$127="","",$Z$108)</f>
        <v/>
      </c>
      <c r="AA127" s="477" t="str">
        <f>IF($AC$127="","",ROW($A$127)-ROW($A$108))</f>
        <v/>
      </c>
      <c r="AB127" s="478"/>
      <c r="AC127" s="34"/>
      <c r="AD127" s="356"/>
      <c r="AE127" s="18"/>
      <c r="AF127" s="19"/>
      <c r="AG127" s="480" t="str">
        <f t="shared" si="16"/>
        <v/>
      </c>
      <c r="AH127" s="481" t="str">
        <f t="shared" si="17"/>
        <v/>
      </c>
      <c r="AI127" s="477" t="str">
        <f>IF($AC$127="","",IFERROR(INDEX($AZ$74:$AZ$119,MATCH($AH$127,$AY$74:$AY$119,0)),"AUTRE"))</f>
        <v/>
      </c>
      <c r="AJ127" s="482" t="str">
        <f>IF($AC$127="","",IFERROR(INDEX($BA$74:$BA$119,MATCH($AH$127,$AY$74:$AY$119,0)),1))</f>
        <v/>
      </c>
      <c r="AK127" s="482" t="str">
        <f t="shared" si="18"/>
        <v/>
      </c>
      <c r="AL127" s="477" t="str">
        <f>IF($AC$127="","",IFERROR(INDEX($BB$74:$BB$119,MATCH($AH$127,$AY$74:$AY$119,0)),$AH$127))</f>
        <v/>
      </c>
      <c r="AM127" s="483" t="str">
        <f t="shared" si="19"/>
        <v/>
      </c>
      <c r="AN127" s="484" t="str">
        <f t="shared" si="20"/>
        <v/>
      </c>
      <c r="AO127" s="473" t="str">
        <f t="shared" si="21"/>
        <v/>
      </c>
      <c r="AP127" s="473" t="str">
        <f t="shared" si="22"/>
        <v/>
      </c>
      <c r="AQ127" s="473" t="str">
        <f t="shared" si="23"/>
        <v/>
      </c>
      <c r="AR127" s="473" t="str">
        <f t="shared" si="24"/>
        <v/>
      </c>
      <c r="AS127" s="473" t="str">
        <f t="shared" si="25"/>
        <v/>
      </c>
      <c r="AT127" s="473" t="str">
        <f t="shared" si="26"/>
        <v/>
      </c>
      <c r="AU127" s="473" t="str">
        <f t="shared" si="27"/>
        <v/>
      </c>
      <c r="AZ127" s="30" t="s">
        <v>10</v>
      </c>
      <c r="BA127" s="34" t="s">
        <v>469</v>
      </c>
      <c r="BB127" s="500"/>
      <c r="BC127" s="271"/>
      <c r="BD127" s="279">
        <v>1</v>
      </c>
      <c r="BE127" s="271"/>
      <c r="BF127" s="271"/>
      <c r="BG127" s="271"/>
      <c r="BH127" s="271"/>
      <c r="BI127" s="271"/>
      <c r="BJ127" s="271"/>
      <c r="BK127" s="271"/>
      <c r="BL127" s="271"/>
    </row>
    <row r="128" spans="18:64" ht="21" customHeight="1" x14ac:dyDescent="0.25">
      <c r="R128" s="34" t="s">
        <v>492</v>
      </c>
      <c r="S128" s="451"/>
      <c r="T128" s="28" t="s">
        <v>24</v>
      </c>
      <c r="V128" s="475">
        <v>2</v>
      </c>
      <c r="W128" s="475" t="str">
        <f>IF($AC$128="","",$W$108)</f>
        <v/>
      </c>
      <c r="X128" s="476" t="str">
        <f>IF($AC$128="","",$X$108)</f>
        <v/>
      </c>
      <c r="Y128" s="477" t="str">
        <f>IF($X$128="","",$Y$108)</f>
        <v/>
      </c>
      <c r="Z128" s="477" t="str">
        <f>IF($X$128="","",$Z$108)</f>
        <v/>
      </c>
      <c r="AA128" s="477" t="str">
        <f>IF($AC$128="","",ROW($A$128)-ROW($A$108))</f>
        <v/>
      </c>
      <c r="AB128" s="478"/>
      <c r="AC128" s="34"/>
      <c r="AD128" s="356"/>
      <c r="AE128" s="18"/>
      <c r="AF128" s="19"/>
      <c r="AG128" s="480" t="str">
        <f t="shared" si="16"/>
        <v/>
      </c>
      <c r="AH128" s="481" t="str">
        <f t="shared" si="17"/>
        <v/>
      </c>
      <c r="AI128" s="477" t="str">
        <f>IF($AC$128="","",IFERROR(INDEX($AZ$74:$AZ$119,MATCH($AH$128,$AY$74:$AY$119,0)),"AUTRE"))</f>
        <v/>
      </c>
      <c r="AJ128" s="482" t="str">
        <f>IF($AC$128="","",IFERROR(INDEX($BA$74:$BA$119,MATCH($AH$128,$AY$74:$AY$119,0)),1))</f>
        <v/>
      </c>
      <c r="AK128" s="482" t="str">
        <f t="shared" si="18"/>
        <v/>
      </c>
      <c r="AL128" s="477" t="str">
        <f>IF($AC$128="","",IFERROR(INDEX($BB$74:$BB$119,MATCH($AH$128,$AY$74:$AY$119,0)),$AH$128))</f>
        <v/>
      </c>
      <c r="AM128" s="483" t="str">
        <f t="shared" si="19"/>
        <v/>
      </c>
      <c r="AN128" s="484" t="str">
        <f t="shared" si="20"/>
        <v/>
      </c>
      <c r="AO128" s="473" t="str">
        <f t="shared" si="21"/>
        <v/>
      </c>
      <c r="AP128" s="473" t="str">
        <f t="shared" si="22"/>
        <v/>
      </c>
      <c r="AQ128" s="473" t="str">
        <f t="shared" si="23"/>
        <v/>
      </c>
      <c r="AR128" s="473" t="str">
        <f t="shared" si="24"/>
        <v/>
      </c>
      <c r="AS128" s="473" t="str">
        <f t="shared" si="25"/>
        <v/>
      </c>
      <c r="AT128" s="473" t="str">
        <f t="shared" si="26"/>
        <v/>
      </c>
      <c r="AU128" s="473" t="str">
        <f t="shared" si="27"/>
        <v/>
      </c>
      <c r="AZ128" s="30" t="s">
        <v>11</v>
      </c>
      <c r="BA128" s="34" t="s">
        <v>6118</v>
      </c>
      <c r="BB128" s="500"/>
      <c r="BC128" s="271"/>
      <c r="BD128" s="279">
        <v>1</v>
      </c>
      <c r="BE128" s="271"/>
      <c r="BF128" s="271"/>
      <c r="BG128" s="271"/>
      <c r="BH128" s="271"/>
      <c r="BI128" s="271"/>
      <c r="BJ128" s="271"/>
      <c r="BK128" s="271"/>
      <c r="BL128" s="271"/>
    </row>
    <row r="129" spans="18:64" ht="21" customHeight="1" x14ac:dyDescent="0.25">
      <c r="R129" s="34" t="s">
        <v>458</v>
      </c>
      <c r="S129" s="451"/>
      <c r="T129" s="29" t="s">
        <v>9</v>
      </c>
      <c r="V129" s="475">
        <v>2</v>
      </c>
      <c r="W129" s="475" t="str">
        <f>IF($AC$129="","",$W$108)</f>
        <v/>
      </c>
      <c r="X129" s="476" t="str">
        <f>IF($AC$129="","",$X$108)</f>
        <v/>
      </c>
      <c r="Y129" s="477" t="str">
        <f>IF($X$129="","",$Y$108)</f>
        <v/>
      </c>
      <c r="Z129" s="477" t="str">
        <f>IF($X$129="","",$Z$108)</f>
        <v/>
      </c>
      <c r="AA129" s="477" t="str">
        <f>IF($AC$129="","",ROW($A$129)-ROW($A$108))</f>
        <v/>
      </c>
      <c r="AB129" s="478"/>
      <c r="AC129" s="34"/>
      <c r="AD129" s="356"/>
      <c r="AE129" s="18"/>
      <c r="AF129" s="19"/>
      <c r="AG129" s="480" t="str">
        <f t="shared" si="16"/>
        <v/>
      </c>
      <c r="AH129" s="481" t="str">
        <f t="shared" si="17"/>
        <v/>
      </c>
      <c r="AI129" s="477" t="str">
        <f>IF($AC$129="","",IFERROR(INDEX($AZ$74:$AZ$119,MATCH($AH$129,$AY$74:$AY$119,0)),"AUTRE"))</f>
        <v/>
      </c>
      <c r="AJ129" s="482" t="str">
        <f>IF($AC$129="","",IFERROR(INDEX($BA$74:$BA$119,MATCH($AH$129,$AY$74:$AY$119,0)),1))</f>
        <v/>
      </c>
      <c r="AK129" s="482" t="str">
        <f t="shared" si="18"/>
        <v/>
      </c>
      <c r="AL129" s="477" t="str">
        <f>IF($AC$129="","",IFERROR(INDEX($BB$74:$BB$119,MATCH($AH$129,$AY$74:$AY$119,0)),$AH$129))</f>
        <v/>
      </c>
      <c r="AM129" s="483" t="str">
        <f t="shared" si="19"/>
        <v/>
      </c>
      <c r="AN129" s="484" t="str">
        <f t="shared" si="20"/>
        <v/>
      </c>
      <c r="AO129" s="473" t="str">
        <f t="shared" si="21"/>
        <v/>
      </c>
      <c r="AP129" s="473" t="str">
        <f t="shared" si="22"/>
        <v/>
      </c>
      <c r="AQ129" s="473" t="str">
        <f t="shared" si="23"/>
        <v/>
      </c>
      <c r="AR129" s="473" t="str">
        <f t="shared" si="24"/>
        <v/>
      </c>
      <c r="AS129" s="473" t="str">
        <f t="shared" si="25"/>
        <v/>
      </c>
      <c r="AT129" s="473" t="str">
        <f t="shared" si="26"/>
        <v/>
      </c>
      <c r="AU129" s="473" t="str">
        <f t="shared" si="27"/>
        <v/>
      </c>
      <c r="AZ129" s="30" t="s">
        <v>12</v>
      </c>
      <c r="BA129" s="34" t="s">
        <v>492</v>
      </c>
      <c r="BB129" s="500"/>
      <c r="BC129" s="271"/>
      <c r="BD129" s="279">
        <v>1</v>
      </c>
      <c r="BE129" s="271"/>
      <c r="BF129" s="271"/>
      <c r="BG129" s="271"/>
      <c r="BH129" s="271"/>
      <c r="BI129" s="271"/>
      <c r="BJ129" s="271"/>
      <c r="BK129" s="271"/>
      <c r="BL129" s="271"/>
    </row>
    <row r="130" spans="18:64" ht="21" customHeight="1" x14ac:dyDescent="0.25">
      <c r="R130" s="490"/>
      <c r="S130" s="451"/>
      <c r="T130" s="30" t="s">
        <v>10</v>
      </c>
      <c r="V130" s="475">
        <v>2</v>
      </c>
      <c r="W130" s="475" t="str">
        <f>IF($AC$130="","",$W$108)</f>
        <v/>
      </c>
      <c r="X130" s="476" t="str">
        <f>IF($AC$130="","",$X$108)</f>
        <v/>
      </c>
      <c r="Y130" s="477" t="str">
        <f>IF($X$130="","",$Y$108)</f>
        <v/>
      </c>
      <c r="Z130" s="477" t="str">
        <f>IF($X$130="","",$Z$108)</f>
        <v/>
      </c>
      <c r="AA130" s="477" t="str">
        <f>IF($AC$130="","",ROW($A$130)-ROW($A$108))</f>
        <v/>
      </c>
      <c r="AB130" s="478"/>
      <c r="AC130" s="34"/>
      <c r="AD130" s="356"/>
      <c r="AE130" s="18"/>
      <c r="AF130" s="19"/>
      <c r="AG130" s="480" t="str">
        <f t="shared" si="16"/>
        <v/>
      </c>
      <c r="AH130" s="481" t="str">
        <f t="shared" si="17"/>
        <v/>
      </c>
      <c r="AI130" s="477" t="str">
        <f>IF($AC$130="","",IFERROR(INDEX($AZ$74:$AZ$119,MATCH($AH$130,$AY$74:$AY$119,0)),"AUTRE"))</f>
        <v/>
      </c>
      <c r="AJ130" s="482" t="str">
        <f>IF($AC$130="","",IFERROR(INDEX($BA$74:$BA$119,MATCH($AH$130,$AY$74:$AY$119,0)),1))</f>
        <v/>
      </c>
      <c r="AK130" s="482" t="str">
        <f t="shared" si="18"/>
        <v/>
      </c>
      <c r="AL130" s="477" t="str">
        <f>IF($AC$130="","",IFERROR(INDEX($BB$74:$BB$119,MATCH($AH$130,$AY$74:$AY$119,0)),$AH$130))</f>
        <v/>
      </c>
      <c r="AM130" s="483" t="str">
        <f t="shared" si="19"/>
        <v/>
      </c>
      <c r="AN130" s="484" t="str">
        <f t="shared" si="20"/>
        <v/>
      </c>
      <c r="AO130" s="473" t="str">
        <f t="shared" si="21"/>
        <v/>
      </c>
      <c r="AP130" s="473" t="str">
        <f t="shared" si="22"/>
        <v/>
      </c>
      <c r="AQ130" s="473" t="str">
        <f t="shared" si="23"/>
        <v/>
      </c>
      <c r="AR130" s="473" t="str">
        <f t="shared" si="24"/>
        <v/>
      </c>
      <c r="AS130" s="473" t="str">
        <f t="shared" si="25"/>
        <v/>
      </c>
      <c r="AT130" s="473" t="str">
        <f t="shared" si="26"/>
        <v/>
      </c>
      <c r="AU130" s="473" t="str">
        <f t="shared" si="27"/>
        <v/>
      </c>
      <c r="AZ130" s="31" t="s">
        <v>16</v>
      </c>
      <c r="BA130" s="34" t="s">
        <v>458</v>
      </c>
      <c r="BB130" s="500"/>
      <c r="BC130" s="271"/>
      <c r="BD130" s="279">
        <v>1</v>
      </c>
      <c r="BE130" s="271"/>
      <c r="BF130" s="271"/>
      <c r="BG130" s="271"/>
      <c r="BH130" s="271"/>
      <c r="BI130" s="271"/>
      <c r="BJ130" s="271"/>
      <c r="BK130" s="271"/>
      <c r="BL130" s="271"/>
    </row>
    <row r="131" spans="18:64" ht="21" customHeight="1" x14ac:dyDescent="0.25">
      <c r="R131" s="25" t="s">
        <v>6119</v>
      </c>
      <c r="S131" s="451"/>
      <c r="T131" s="30" t="s">
        <v>11</v>
      </c>
      <c r="V131" s="475">
        <v>2</v>
      </c>
      <c r="W131" s="475" t="str">
        <f>IF($AC$131="","",$W$108)</f>
        <v/>
      </c>
      <c r="X131" s="476" t="str">
        <f>IF($AC$131="","",$X$108)</f>
        <v/>
      </c>
      <c r="Y131" s="477" t="str">
        <f>IF($X$131="","",$Y$108)</f>
        <v/>
      </c>
      <c r="Z131" s="477" t="str">
        <f>IF($X$131="","",$Z$108)</f>
        <v/>
      </c>
      <c r="AA131" s="477" t="str">
        <f>IF($AC$131="","",ROW($A$131)-ROW($A$108))</f>
        <v/>
      </c>
      <c r="AB131" s="478"/>
      <c r="AC131" s="34"/>
      <c r="AD131" s="356"/>
      <c r="AE131" s="18"/>
      <c r="AF131" s="19"/>
      <c r="AG131" s="480" t="str">
        <f t="shared" si="16"/>
        <v/>
      </c>
      <c r="AH131" s="481" t="str">
        <f t="shared" si="17"/>
        <v/>
      </c>
      <c r="AI131" s="477" t="str">
        <f>IF($AC$131="","",IFERROR(INDEX($AZ$74:$AZ$119,MATCH($AH$131,$AY$74:$AY$119,0)),"AUTRE"))</f>
        <v/>
      </c>
      <c r="AJ131" s="482" t="str">
        <f>IF($AC$131="","",IFERROR(INDEX($BA$74:$BA$119,MATCH($AH$131,$AY$74:$AY$119,0)),1))</f>
        <v/>
      </c>
      <c r="AK131" s="482" t="str">
        <f t="shared" si="18"/>
        <v/>
      </c>
      <c r="AL131" s="477" t="str">
        <f>IF($AC$131="","",IFERROR(INDEX($BB$74:$BB$119,MATCH($AH$131,$AY$74:$AY$119,0)),$AH$131))</f>
        <v/>
      </c>
      <c r="AM131" s="483" t="str">
        <f t="shared" si="19"/>
        <v/>
      </c>
      <c r="AN131" s="484" t="str">
        <f t="shared" si="20"/>
        <v/>
      </c>
      <c r="AO131" s="473" t="str">
        <f t="shared" si="21"/>
        <v/>
      </c>
      <c r="AP131" s="473" t="str">
        <f t="shared" si="22"/>
        <v/>
      </c>
      <c r="AQ131" s="473" t="str">
        <f t="shared" si="23"/>
        <v/>
      </c>
      <c r="AR131" s="473" t="str">
        <f t="shared" si="24"/>
        <v/>
      </c>
      <c r="AS131" s="473" t="str">
        <f t="shared" si="25"/>
        <v/>
      </c>
      <c r="AT131" s="473" t="str">
        <f t="shared" si="26"/>
        <v/>
      </c>
      <c r="AU131" s="473" t="str">
        <f t="shared" si="27"/>
        <v/>
      </c>
      <c r="AZ131" s="31" t="s">
        <v>17</v>
      </c>
      <c r="BA131" s="490"/>
      <c r="BB131" s="500"/>
      <c r="BC131" s="271"/>
      <c r="BD131" s="279">
        <v>1</v>
      </c>
      <c r="BE131" s="271"/>
      <c r="BF131" s="271"/>
      <c r="BG131" s="271"/>
      <c r="BH131" s="271"/>
      <c r="BI131" s="271"/>
      <c r="BJ131" s="271"/>
      <c r="BK131" s="271"/>
      <c r="BL131" s="271"/>
    </row>
    <row r="132" spans="18:64" ht="21" customHeight="1" x14ac:dyDescent="0.25">
      <c r="R132" s="34" t="s">
        <v>6120</v>
      </c>
      <c r="S132" s="451"/>
      <c r="T132" s="30" t="s">
        <v>12</v>
      </c>
      <c r="V132" s="475">
        <v>2</v>
      </c>
      <c r="W132" s="475" t="str">
        <f>IF($AC$132="","",$W$108)</f>
        <v/>
      </c>
      <c r="X132" s="476" t="str">
        <f>IF($AC$132="","",$X$108)</f>
        <v/>
      </c>
      <c r="Y132" s="477" t="str">
        <f>IF($X$132="","",$Y$108)</f>
        <v/>
      </c>
      <c r="Z132" s="477" t="str">
        <f>IF($X$132="","",$Z$108)</f>
        <v/>
      </c>
      <c r="AA132" s="477" t="str">
        <f>IF($AC$132="","",ROW($A$132)-ROW($A$108))</f>
        <v/>
      </c>
      <c r="AB132" s="478"/>
      <c r="AC132" s="34"/>
      <c r="AD132" s="356"/>
      <c r="AE132" s="18"/>
      <c r="AF132" s="19"/>
      <c r="AG132" s="480" t="str">
        <f t="shared" si="16"/>
        <v/>
      </c>
      <c r="AH132" s="481" t="str">
        <f t="shared" si="17"/>
        <v/>
      </c>
      <c r="AI132" s="477" t="str">
        <f>IF($AC$132="","",IFERROR(INDEX($AZ$74:$AZ$119,MATCH($AH$132,$AY$74:$AY$119,0)),"AUTRE"))</f>
        <v/>
      </c>
      <c r="AJ132" s="482" t="str">
        <f>IF($AC$132="","",IFERROR(INDEX($BA$74:$BA$119,MATCH($AH$132,$AY$74:$AY$119,0)),1))</f>
        <v/>
      </c>
      <c r="AK132" s="482" t="str">
        <f t="shared" si="18"/>
        <v/>
      </c>
      <c r="AL132" s="477" t="str">
        <f>IF($AC$132="","",IFERROR(INDEX($BB$74:$BB$119,MATCH($AH$132,$AY$74:$AY$119,0)),$AH$132))</f>
        <v/>
      </c>
      <c r="AM132" s="483" t="str">
        <f t="shared" si="19"/>
        <v/>
      </c>
      <c r="AN132" s="484" t="str">
        <f t="shared" si="20"/>
        <v/>
      </c>
      <c r="AO132" s="473" t="str">
        <f t="shared" si="21"/>
        <v/>
      </c>
      <c r="AP132" s="473" t="str">
        <f t="shared" si="22"/>
        <v/>
      </c>
      <c r="AQ132" s="473" t="str">
        <f t="shared" si="23"/>
        <v/>
      </c>
      <c r="AR132" s="473" t="str">
        <f t="shared" si="24"/>
        <v/>
      </c>
      <c r="AS132" s="473" t="str">
        <f t="shared" si="25"/>
        <v/>
      </c>
      <c r="AT132" s="473" t="str">
        <f t="shared" si="26"/>
        <v/>
      </c>
      <c r="AU132" s="473" t="str">
        <f t="shared" si="27"/>
        <v/>
      </c>
      <c r="AZ132" s="31" t="s">
        <v>18</v>
      </c>
      <c r="BA132" s="25" t="s">
        <v>6119</v>
      </c>
      <c r="BB132" s="500"/>
      <c r="BC132" s="271"/>
      <c r="BD132" s="279">
        <v>1</v>
      </c>
      <c r="BE132" s="271"/>
      <c r="BF132" s="271"/>
      <c r="BG132" s="271"/>
      <c r="BH132" s="271"/>
      <c r="BI132" s="271"/>
      <c r="BJ132" s="271"/>
      <c r="BK132" s="271"/>
      <c r="BL132" s="271"/>
    </row>
    <row r="133" spans="18:64" ht="21" customHeight="1" x14ac:dyDescent="0.25">
      <c r="R133" s="34" t="s">
        <v>6121</v>
      </c>
      <c r="S133" s="451"/>
      <c r="T133" s="31" t="s">
        <v>16</v>
      </c>
      <c r="V133" s="475">
        <v>2</v>
      </c>
      <c r="W133" s="475" t="str">
        <f>IF($AC$133="","",$W$108)</f>
        <v/>
      </c>
      <c r="X133" s="476" t="str">
        <f>IF($AC$133="","",$X$108)</f>
        <v/>
      </c>
      <c r="Y133" s="477" t="str">
        <f>IF($X$133="","",$Y$108)</f>
        <v/>
      </c>
      <c r="Z133" s="477" t="str">
        <f>IF($X$133="","",$Z$108)</f>
        <v/>
      </c>
      <c r="AA133" s="477" t="str">
        <f>IF($AC$133="","",ROW($A$133)-ROW($A$108))</f>
        <v/>
      </c>
      <c r="AB133" s="478"/>
      <c r="AC133" s="34"/>
      <c r="AD133" s="356"/>
      <c r="AE133" s="18"/>
      <c r="AF133" s="19"/>
      <c r="AG133" s="480" t="str">
        <f t="shared" si="16"/>
        <v/>
      </c>
      <c r="AH133" s="481" t="str">
        <f t="shared" si="17"/>
        <v/>
      </c>
      <c r="AI133" s="477" t="str">
        <f>IF($AC$133="","",IFERROR(INDEX($AZ$74:$AZ$119,MATCH($AH$133,$AY$74:$AY$119,0)),"AUTRE"))</f>
        <v/>
      </c>
      <c r="AJ133" s="482" t="str">
        <f>IF($AC$133="","",IFERROR(INDEX($BA$74:$BA$119,MATCH($AH$133,$AY$74:$AY$119,0)),1))</f>
        <v/>
      </c>
      <c r="AK133" s="482" t="str">
        <f t="shared" si="18"/>
        <v/>
      </c>
      <c r="AL133" s="477" t="str">
        <f>IF($AC$133="","",IFERROR(INDEX($BB$74:$BB$119,MATCH($AH$133,$AY$74:$AY$119,0)),$AH$133))</f>
        <v/>
      </c>
      <c r="AM133" s="483" t="str">
        <f t="shared" si="19"/>
        <v/>
      </c>
      <c r="AN133" s="484" t="str">
        <f t="shared" si="20"/>
        <v/>
      </c>
      <c r="AO133" s="473" t="str">
        <f t="shared" si="21"/>
        <v/>
      </c>
      <c r="AP133" s="473" t="str">
        <f t="shared" si="22"/>
        <v/>
      </c>
      <c r="AQ133" s="473" t="str">
        <f t="shared" si="23"/>
        <v/>
      </c>
      <c r="AR133" s="473" t="str">
        <f t="shared" si="24"/>
        <v/>
      </c>
      <c r="AS133" s="473" t="str">
        <f t="shared" si="25"/>
        <v/>
      </c>
      <c r="AT133" s="473" t="str">
        <f t="shared" si="26"/>
        <v/>
      </c>
      <c r="AU133" s="473" t="str">
        <f t="shared" si="27"/>
        <v/>
      </c>
      <c r="AZ133" s="31" t="s">
        <v>19</v>
      </c>
      <c r="BA133" s="34" t="s">
        <v>6120</v>
      </c>
      <c r="BB133" s="500"/>
      <c r="BC133" s="271"/>
      <c r="BD133" s="279">
        <v>1</v>
      </c>
      <c r="BE133" s="271"/>
      <c r="BF133" s="271"/>
      <c r="BG133" s="271"/>
      <c r="BH133" s="271"/>
      <c r="BI133" s="271"/>
      <c r="BJ133" s="271"/>
      <c r="BK133" s="271"/>
      <c r="BL133" s="271"/>
    </row>
    <row r="134" spans="18:64" ht="21" customHeight="1" x14ac:dyDescent="0.25">
      <c r="R134" s="34" t="s">
        <v>6122</v>
      </c>
      <c r="S134" s="451"/>
      <c r="T134" s="31" t="s">
        <v>17</v>
      </c>
      <c r="V134" s="475">
        <v>2</v>
      </c>
      <c r="W134" s="475" t="str">
        <f>IF($AC$134="","",$W$108)</f>
        <v/>
      </c>
      <c r="X134" s="476" t="str">
        <f>IF($AC$134="","",$X$108)</f>
        <v/>
      </c>
      <c r="Y134" s="477" t="str">
        <f>IF($X$134="","",$Y$108)</f>
        <v/>
      </c>
      <c r="Z134" s="477" t="str">
        <f>IF($X$134="","",$Z$108)</f>
        <v/>
      </c>
      <c r="AA134" s="477" t="str">
        <f>IF($AC$134="","",ROW($A$134)-ROW($A$108))</f>
        <v/>
      </c>
      <c r="AB134" s="478"/>
      <c r="AC134" s="34"/>
      <c r="AD134" s="356"/>
      <c r="AE134" s="18"/>
      <c r="AF134" s="19"/>
      <c r="AG134" s="480" t="str">
        <f t="shared" si="16"/>
        <v/>
      </c>
      <c r="AH134" s="481" t="str">
        <f t="shared" si="17"/>
        <v/>
      </c>
      <c r="AI134" s="477" t="str">
        <f>IF($AC$134="","",IFERROR(INDEX($AZ$74:$AZ$119,MATCH($AH$134,$AY$74:$AY$119,0)),"AUTRE"))</f>
        <v/>
      </c>
      <c r="AJ134" s="482" t="str">
        <f>IF($AC$134="","",IFERROR(INDEX($BA$74:$BA$119,MATCH($AH$134,$AY$74:$AY$119,0)),1))</f>
        <v/>
      </c>
      <c r="AK134" s="482" t="str">
        <f t="shared" si="18"/>
        <v/>
      </c>
      <c r="AL134" s="477" t="str">
        <f>IF($AC$134="","",IFERROR(INDEX($BB$74:$BB$119,MATCH($AH$134,$AY$74:$AY$119,0)),$AH$134))</f>
        <v/>
      </c>
      <c r="AM134" s="483" t="str">
        <f t="shared" si="19"/>
        <v/>
      </c>
      <c r="AN134" s="484" t="str">
        <f t="shared" si="20"/>
        <v/>
      </c>
      <c r="AO134" s="473" t="str">
        <f t="shared" si="21"/>
        <v/>
      </c>
      <c r="AP134" s="473" t="str">
        <f t="shared" si="22"/>
        <v/>
      </c>
      <c r="AQ134" s="473" t="str">
        <f t="shared" si="23"/>
        <v/>
      </c>
      <c r="AR134" s="473" t="str">
        <f t="shared" si="24"/>
        <v/>
      </c>
      <c r="AS134" s="473" t="str">
        <f t="shared" si="25"/>
        <v/>
      </c>
      <c r="AT134" s="473" t="str">
        <f t="shared" si="26"/>
        <v/>
      </c>
      <c r="AU134" s="473" t="str">
        <f t="shared" si="27"/>
        <v/>
      </c>
      <c r="AZ134" s="31" t="s">
        <v>211</v>
      </c>
      <c r="BA134" s="34" t="s">
        <v>6121</v>
      </c>
      <c r="BB134" s="500"/>
      <c r="BC134" s="271"/>
      <c r="BD134" s="279">
        <v>1</v>
      </c>
      <c r="BE134" s="271"/>
      <c r="BF134" s="271"/>
      <c r="BG134" s="271"/>
      <c r="BH134" s="271"/>
      <c r="BI134" s="271"/>
      <c r="BJ134" s="271"/>
      <c r="BK134" s="271"/>
      <c r="BL134" s="271"/>
    </row>
    <row r="135" spans="18:64" ht="21" customHeight="1" x14ac:dyDescent="0.25">
      <c r="R135" s="34" t="s">
        <v>6123</v>
      </c>
      <c r="S135" s="451"/>
      <c r="T135" s="31" t="s">
        <v>18</v>
      </c>
      <c r="V135" s="475">
        <v>2</v>
      </c>
      <c r="W135" s="475" t="str">
        <f>IF($AC$135="","",$W$108)</f>
        <v/>
      </c>
      <c r="X135" s="476" t="str">
        <f>IF($AC$135="","",$X$108)</f>
        <v/>
      </c>
      <c r="Y135" s="477" t="str">
        <f>IF($X$135="","",$Y$108)</f>
        <v/>
      </c>
      <c r="Z135" s="477" t="str">
        <f>IF($X$135="","",$Z$108)</f>
        <v/>
      </c>
      <c r="AA135" s="477" t="str">
        <f>IF($AC$135="","",ROW($A$135)-ROW($A$108))</f>
        <v/>
      </c>
      <c r="AB135" s="478"/>
      <c r="AC135" s="34"/>
      <c r="AD135" s="356"/>
      <c r="AE135" s="18"/>
      <c r="AF135" s="19"/>
      <c r="AG135" s="480" t="str">
        <f t="shared" si="16"/>
        <v/>
      </c>
      <c r="AH135" s="481" t="str">
        <f t="shared" si="17"/>
        <v/>
      </c>
      <c r="AI135" s="477" t="str">
        <f>IF($AC$135="","",IFERROR(INDEX($AZ$74:$AZ$119,MATCH($AH$135,$AY$74:$AY$119,0)),"AUTRE"))</f>
        <v/>
      </c>
      <c r="AJ135" s="482" t="str">
        <f>IF($AC$135="","",IFERROR(INDEX($BA$74:$BA$119,MATCH($AH$135,$AY$74:$AY$119,0)),1))</f>
        <v/>
      </c>
      <c r="AK135" s="482" t="str">
        <f t="shared" si="18"/>
        <v/>
      </c>
      <c r="AL135" s="477" t="str">
        <f>IF($AC$135="","",IFERROR(INDEX($BB$74:$BB$119,MATCH($AH$135,$AY$74:$AY$119,0)),$AH$135))</f>
        <v/>
      </c>
      <c r="AM135" s="483" t="str">
        <f t="shared" si="19"/>
        <v/>
      </c>
      <c r="AN135" s="484" t="str">
        <f t="shared" si="20"/>
        <v/>
      </c>
      <c r="AO135" s="473" t="str">
        <f t="shared" si="21"/>
        <v/>
      </c>
      <c r="AP135" s="473" t="str">
        <f t="shared" si="22"/>
        <v/>
      </c>
      <c r="AQ135" s="473" t="str">
        <f t="shared" si="23"/>
        <v/>
      </c>
      <c r="AR135" s="473" t="str">
        <f t="shared" si="24"/>
        <v/>
      </c>
      <c r="AS135" s="473" t="str">
        <f t="shared" si="25"/>
        <v/>
      </c>
      <c r="AT135" s="473" t="str">
        <f t="shared" si="26"/>
        <v/>
      </c>
      <c r="AU135" s="473" t="str">
        <f t="shared" si="27"/>
        <v/>
      </c>
      <c r="AZ135" s="31" t="s">
        <v>20</v>
      </c>
      <c r="BA135" s="34" t="s">
        <v>6122</v>
      </c>
      <c r="BB135" s="500"/>
      <c r="BC135" s="271"/>
      <c r="BD135" s="279">
        <v>1</v>
      </c>
      <c r="BE135" s="271"/>
      <c r="BF135" s="271"/>
      <c r="BG135" s="271"/>
      <c r="BH135" s="271"/>
      <c r="BI135" s="271"/>
      <c r="BJ135" s="271"/>
      <c r="BK135" s="271"/>
      <c r="BL135" s="271"/>
    </row>
    <row r="136" spans="18:64" ht="21" customHeight="1" x14ac:dyDescent="0.25">
      <c r="R136" s="34" t="s">
        <v>6124</v>
      </c>
      <c r="S136" s="451"/>
      <c r="T136" s="31" t="s">
        <v>19</v>
      </c>
      <c r="V136" s="475">
        <v>2</v>
      </c>
      <c r="W136" s="475" t="str">
        <f>IF($AC$136="","",$W$108)</f>
        <v/>
      </c>
      <c r="X136" s="476" t="str">
        <f>IF($AC$136="","",$X$108)</f>
        <v/>
      </c>
      <c r="Y136" s="477" t="str">
        <f>IF($X$136="","",$Y$108)</f>
        <v/>
      </c>
      <c r="Z136" s="477" t="str">
        <f>IF($X$136="","",$Z$108)</f>
        <v/>
      </c>
      <c r="AA136" s="477" t="str">
        <f>IF($AC$136="","",ROW($A$136)-ROW($A$108))</f>
        <v/>
      </c>
      <c r="AB136" s="478"/>
      <c r="AC136" s="34"/>
      <c r="AD136" s="356"/>
      <c r="AE136" s="18"/>
      <c r="AF136" s="19"/>
      <c r="AG136" s="480" t="str">
        <f t="shared" si="16"/>
        <v/>
      </c>
      <c r="AH136" s="481" t="str">
        <f t="shared" si="17"/>
        <v/>
      </c>
      <c r="AI136" s="477" t="str">
        <f>IF($AC$136="","",IFERROR(INDEX($AZ$74:$AZ$119,MATCH($AH$136,$AY$74:$AY$119,0)),"AUTRE"))</f>
        <v/>
      </c>
      <c r="AJ136" s="482" t="str">
        <f>IF($AC$136="","",IFERROR(INDEX($BA$74:$BA$119,MATCH($AH$136,$AY$74:$AY$119,0)),1))</f>
        <v/>
      </c>
      <c r="AK136" s="482" t="str">
        <f t="shared" si="18"/>
        <v/>
      </c>
      <c r="AL136" s="477" t="str">
        <f>IF($AC$136="","",IFERROR(INDEX($BB$74:$BB$119,MATCH($AH$136,$AY$74:$AY$119,0)),$AH$136))</f>
        <v/>
      </c>
      <c r="AM136" s="483" t="str">
        <f t="shared" si="19"/>
        <v/>
      </c>
      <c r="AN136" s="484" t="str">
        <f t="shared" si="20"/>
        <v/>
      </c>
      <c r="AO136" s="473" t="str">
        <f t="shared" si="21"/>
        <v/>
      </c>
      <c r="AP136" s="473" t="str">
        <f t="shared" si="22"/>
        <v/>
      </c>
      <c r="AQ136" s="473" t="str">
        <f t="shared" si="23"/>
        <v/>
      </c>
      <c r="AR136" s="473" t="str">
        <f t="shared" si="24"/>
        <v/>
      </c>
      <c r="AS136" s="473" t="str">
        <f t="shared" si="25"/>
        <v/>
      </c>
      <c r="AT136" s="473" t="str">
        <f t="shared" si="26"/>
        <v/>
      </c>
      <c r="AU136" s="473" t="str">
        <f t="shared" si="27"/>
        <v/>
      </c>
      <c r="AZ136" s="31" t="s">
        <v>304</v>
      </c>
      <c r="BA136" s="34" t="s">
        <v>6123</v>
      </c>
      <c r="BB136" s="500"/>
      <c r="BC136" s="271"/>
      <c r="BD136" s="279">
        <v>1</v>
      </c>
      <c r="BE136" s="271"/>
      <c r="BF136" s="271"/>
      <c r="BG136" s="271"/>
      <c r="BH136" s="271"/>
      <c r="BI136" s="271"/>
      <c r="BJ136" s="271"/>
      <c r="BK136" s="271"/>
      <c r="BL136" s="271"/>
    </row>
    <row r="137" spans="18:64" ht="21" customHeight="1" x14ac:dyDescent="0.25">
      <c r="R137" s="34" t="s">
        <v>6125</v>
      </c>
      <c r="S137" s="451"/>
      <c r="T137" s="31" t="s">
        <v>211</v>
      </c>
      <c r="V137" s="475">
        <v>2</v>
      </c>
      <c r="W137" s="475" t="str">
        <f>IF($AC$137="","",$W$108)</f>
        <v/>
      </c>
      <c r="X137" s="476" t="str">
        <f>IF($AC$137="","",$X$108)</f>
        <v/>
      </c>
      <c r="Y137" s="477" t="str">
        <f>IF($X$137="","",$Y$108)</f>
        <v/>
      </c>
      <c r="Z137" s="477" t="str">
        <f>IF($X$137="","",$Z$108)</f>
        <v/>
      </c>
      <c r="AA137" s="477" t="str">
        <f>IF($AC$137="","",ROW($A$137)-ROW($A$108))</f>
        <v/>
      </c>
      <c r="AB137" s="478"/>
      <c r="AC137" s="34"/>
      <c r="AD137" s="356"/>
      <c r="AE137" s="18"/>
      <c r="AF137" s="19"/>
      <c r="AG137" s="480" t="str">
        <f t="shared" si="16"/>
        <v/>
      </c>
      <c r="AH137" s="481" t="str">
        <f t="shared" si="17"/>
        <v/>
      </c>
      <c r="AI137" s="477" t="str">
        <f>IF($AC$137="","",IFERROR(INDEX($AZ$74:$AZ$119,MATCH($AH$137,$AY$74:$AY$119,0)),"AUTRE"))</f>
        <v/>
      </c>
      <c r="AJ137" s="482" t="str">
        <f>IF($AC$137="","",IFERROR(INDEX($BA$74:$BA$119,MATCH($AH$137,$AY$74:$AY$119,0)),1))</f>
        <v/>
      </c>
      <c r="AK137" s="482" t="str">
        <f t="shared" si="18"/>
        <v/>
      </c>
      <c r="AL137" s="477" t="str">
        <f>IF($AC$137="","",IFERROR(INDEX($BB$74:$BB$119,MATCH($AH$137,$AY$74:$AY$119,0)),$AH$137))</f>
        <v/>
      </c>
      <c r="AM137" s="483" t="str">
        <f t="shared" si="19"/>
        <v/>
      </c>
      <c r="AN137" s="484" t="str">
        <f t="shared" si="20"/>
        <v/>
      </c>
      <c r="AO137" s="473" t="str">
        <f t="shared" si="21"/>
        <v/>
      </c>
      <c r="AP137" s="473" t="str">
        <f t="shared" si="22"/>
        <v/>
      </c>
      <c r="AQ137" s="473" t="str">
        <f t="shared" si="23"/>
        <v/>
      </c>
      <c r="AR137" s="473" t="str">
        <f t="shared" si="24"/>
        <v/>
      </c>
      <c r="AS137" s="473" t="str">
        <f t="shared" si="25"/>
        <v/>
      </c>
      <c r="AT137" s="473" t="str">
        <f t="shared" si="26"/>
        <v/>
      </c>
      <c r="AU137" s="473" t="str">
        <f t="shared" si="27"/>
        <v/>
      </c>
      <c r="AY137" s="497" t="s">
        <v>8145</v>
      </c>
      <c r="AZ137" s="31" t="s">
        <v>352</v>
      </c>
      <c r="BA137" s="34" t="s">
        <v>6124</v>
      </c>
      <c r="BB137" s="500"/>
      <c r="BC137" s="271"/>
      <c r="BD137" s="279">
        <v>1</v>
      </c>
      <c r="BE137" s="271"/>
      <c r="BF137" s="271"/>
      <c r="BG137" s="271"/>
      <c r="BH137" s="271"/>
      <c r="BI137" s="271"/>
      <c r="BJ137" s="271"/>
      <c r="BK137" s="271"/>
      <c r="BL137" s="271"/>
    </row>
    <row r="138" spans="18:64" ht="21" customHeight="1" x14ac:dyDescent="0.25">
      <c r="R138" s="34" t="s">
        <v>6126</v>
      </c>
      <c r="S138" s="451"/>
      <c r="T138" s="31" t="s">
        <v>20</v>
      </c>
      <c r="V138" s="475">
        <v>2</v>
      </c>
      <c r="W138" s="475" t="str">
        <f>IF($AC$138="","",$W$108)</f>
        <v/>
      </c>
      <c r="X138" s="476" t="str">
        <f>IF($AC$138="","",$X$108)</f>
        <v/>
      </c>
      <c r="Y138" s="477" t="str">
        <f>IF($X$138="","",$Y$108)</f>
        <v/>
      </c>
      <c r="Z138" s="477" t="str">
        <f>IF($X$138="","",$Z$108)</f>
        <v/>
      </c>
      <c r="AA138" s="477" t="str">
        <f>IF($AC$138="","",ROW($A$138)-ROW($A$108))</f>
        <v/>
      </c>
      <c r="AB138" s="478"/>
      <c r="AC138" s="34"/>
      <c r="AD138" s="356"/>
      <c r="AE138" s="18"/>
      <c r="AF138" s="19"/>
      <c r="AG138" s="480" t="str">
        <f t="shared" si="16"/>
        <v/>
      </c>
      <c r="AH138" s="481" t="str">
        <f t="shared" si="17"/>
        <v/>
      </c>
      <c r="AI138" s="477" t="str">
        <f>IF($AC$138="","",IFERROR(INDEX($AZ$74:$AZ$119,MATCH($AH$138,$AY$74:$AY$119,0)),"AUTRE"))</f>
        <v/>
      </c>
      <c r="AJ138" s="482" t="str">
        <f>IF($AC$138="","",IFERROR(INDEX($BA$74:$BA$119,MATCH($AH$138,$AY$74:$AY$119,0)),1))</f>
        <v/>
      </c>
      <c r="AK138" s="482" t="str">
        <f t="shared" si="18"/>
        <v/>
      </c>
      <c r="AL138" s="477" t="str">
        <f>IF($AC$138="","",IFERROR(INDEX($BB$74:$BB$119,MATCH($AH$138,$AY$74:$AY$119,0)),$AH$138))</f>
        <v/>
      </c>
      <c r="AM138" s="483" t="str">
        <f t="shared" si="19"/>
        <v/>
      </c>
      <c r="AN138" s="484" t="str">
        <f t="shared" si="20"/>
        <v/>
      </c>
      <c r="AO138" s="473" t="str">
        <f t="shared" si="21"/>
        <v/>
      </c>
      <c r="AP138" s="473" t="str">
        <f t="shared" si="22"/>
        <v/>
      </c>
      <c r="AQ138" s="473" t="str">
        <f t="shared" si="23"/>
        <v/>
      </c>
      <c r="AR138" s="473" t="str">
        <f t="shared" si="24"/>
        <v/>
      </c>
      <c r="AS138" s="473" t="str">
        <f t="shared" si="25"/>
        <v/>
      </c>
      <c r="AT138" s="473" t="str">
        <f t="shared" si="26"/>
        <v/>
      </c>
      <c r="AU138" s="473" t="str">
        <f t="shared" si="27"/>
        <v/>
      </c>
      <c r="AY138" s="497" t="s">
        <v>462</v>
      </c>
      <c r="AZ138" s="31" t="s">
        <v>27</v>
      </c>
      <c r="BA138" s="34" t="s">
        <v>6125</v>
      </c>
      <c r="BB138" s="500"/>
      <c r="BC138" s="271"/>
      <c r="BD138" s="279">
        <v>1</v>
      </c>
      <c r="BE138" s="271"/>
      <c r="BF138" s="271"/>
      <c r="BG138" s="271"/>
      <c r="BH138" s="271"/>
      <c r="BI138" s="271"/>
      <c r="BJ138" s="271"/>
      <c r="BK138" s="271"/>
      <c r="BL138" s="271"/>
    </row>
    <row r="139" spans="18:64" ht="21" customHeight="1" x14ac:dyDescent="0.25">
      <c r="R139" s="34" t="s">
        <v>6127</v>
      </c>
      <c r="S139" s="451"/>
      <c r="T139" s="31" t="s">
        <v>304</v>
      </c>
      <c r="V139" s="475">
        <v>2</v>
      </c>
      <c r="W139" s="475" t="str">
        <f>IF($AC$139="","",$W$108)</f>
        <v/>
      </c>
      <c r="X139" s="476" t="str">
        <f>IF($AC$139="","",$X$108)</f>
        <v/>
      </c>
      <c r="Y139" s="477" t="str">
        <f>IF($X$139="","",$Y$108)</f>
        <v/>
      </c>
      <c r="Z139" s="477" t="str">
        <f>IF($X$139="","",$Z$108)</f>
        <v/>
      </c>
      <c r="AA139" s="477" t="str">
        <f>IF($AC$139="","",ROW($A$139)-ROW($A$108))</f>
        <v/>
      </c>
      <c r="AB139" s="478"/>
      <c r="AC139" s="34"/>
      <c r="AD139" s="356"/>
      <c r="AE139" s="18"/>
      <c r="AF139" s="19"/>
      <c r="AG139" s="480" t="str">
        <f t="shared" si="16"/>
        <v/>
      </c>
      <c r="AH139" s="481" t="str">
        <f t="shared" si="17"/>
        <v/>
      </c>
      <c r="AI139" s="477" t="str">
        <f>IF($AC$139="","",IFERROR(INDEX($AZ$74:$AZ$119,MATCH($AH$139,$AY$74:$AY$119,0)),"AUTRE"))</f>
        <v/>
      </c>
      <c r="AJ139" s="482" t="str">
        <f>IF($AC$139="","",IFERROR(INDEX($BA$74:$BA$119,MATCH($AH$139,$AY$74:$AY$119,0)),1))</f>
        <v/>
      </c>
      <c r="AK139" s="482" t="str">
        <f t="shared" si="18"/>
        <v/>
      </c>
      <c r="AL139" s="477" t="str">
        <f>IF($AC$139="","",IFERROR(INDEX($BB$74:$BB$119,MATCH($AH$139,$AY$74:$AY$119,0)),$AH$139))</f>
        <v/>
      </c>
      <c r="AM139" s="483" t="str">
        <f t="shared" si="19"/>
        <v/>
      </c>
      <c r="AN139" s="484" t="str">
        <f t="shared" si="20"/>
        <v/>
      </c>
      <c r="AO139" s="473" t="str">
        <f t="shared" si="21"/>
        <v/>
      </c>
      <c r="AP139" s="473" t="str">
        <f t="shared" si="22"/>
        <v/>
      </c>
      <c r="AQ139" s="473" t="str">
        <f t="shared" si="23"/>
        <v/>
      </c>
      <c r="AR139" s="473" t="str">
        <f t="shared" si="24"/>
        <v/>
      </c>
      <c r="AS139" s="473" t="str">
        <f t="shared" si="25"/>
        <v/>
      </c>
      <c r="AT139" s="473" t="str">
        <f t="shared" si="26"/>
        <v/>
      </c>
      <c r="AU139" s="473" t="str">
        <f t="shared" si="27"/>
        <v/>
      </c>
      <c r="AY139" s="497" t="s">
        <v>463</v>
      </c>
      <c r="AZ139" s="31" t="s">
        <v>28</v>
      </c>
      <c r="BA139" s="34" t="s">
        <v>6126</v>
      </c>
      <c r="BB139" s="500"/>
      <c r="BC139" s="271"/>
      <c r="BD139" s="279">
        <v>1</v>
      </c>
      <c r="BE139" s="271"/>
      <c r="BF139" s="271"/>
      <c r="BG139" s="271"/>
      <c r="BH139" s="271"/>
      <c r="BI139" s="271"/>
      <c r="BJ139" s="271"/>
      <c r="BK139" s="271"/>
      <c r="BL139" s="271"/>
    </row>
    <row r="140" spans="18:64" ht="21" customHeight="1" x14ac:dyDescent="0.25">
      <c r="R140" s="25" t="s">
        <v>6128</v>
      </c>
      <c r="S140" s="451"/>
      <c r="T140" s="31" t="s">
        <v>352</v>
      </c>
      <c r="V140" s="475">
        <v>2</v>
      </c>
      <c r="W140" s="475" t="str">
        <f>IF($AC$140="","",$W$108)</f>
        <v/>
      </c>
      <c r="X140" s="476" t="str">
        <f>IF($AC$140="","",$X$108)</f>
        <v/>
      </c>
      <c r="Y140" s="477" t="str">
        <f>IF($X$140="","",$Y$108)</f>
        <v/>
      </c>
      <c r="Z140" s="477" t="str">
        <f>IF($X$140="","",$Z$108)</f>
        <v/>
      </c>
      <c r="AA140" s="477" t="str">
        <f>IF($AC$140="","",ROW($A$140)-ROW($A$108))</f>
        <v/>
      </c>
      <c r="AB140" s="478"/>
      <c r="AC140" s="34"/>
      <c r="AD140" s="356"/>
      <c r="AE140" s="18"/>
      <c r="AF140" s="19"/>
      <c r="AG140" s="480" t="str">
        <f t="shared" si="16"/>
        <v/>
      </c>
      <c r="AH140" s="481" t="str">
        <f t="shared" si="17"/>
        <v/>
      </c>
      <c r="AI140" s="477" t="str">
        <f>IF($AC$140="","",IFERROR(INDEX($AZ$74:$AZ$119,MATCH($AH$140,$AY$74:$AY$119,0)),"AUTRE"))</f>
        <v/>
      </c>
      <c r="AJ140" s="482" t="str">
        <f>IF($AC$140="","",IFERROR(INDEX($BA$74:$BA$119,MATCH($AH$140,$AY$74:$AY$119,0)),1))</f>
        <v/>
      </c>
      <c r="AK140" s="482" t="str">
        <f t="shared" si="18"/>
        <v/>
      </c>
      <c r="AL140" s="477" t="str">
        <f>IF($AC$140="","",IFERROR(INDEX($BB$74:$BB$119,MATCH($AH$140,$AY$74:$AY$119,0)),$AH$140))</f>
        <v/>
      </c>
      <c r="AM140" s="483" t="str">
        <f t="shared" si="19"/>
        <v/>
      </c>
      <c r="AN140" s="484" t="str">
        <f t="shared" si="20"/>
        <v/>
      </c>
      <c r="AO140" s="473" t="str">
        <f t="shared" si="21"/>
        <v/>
      </c>
      <c r="AP140" s="473" t="str">
        <f t="shared" si="22"/>
        <v/>
      </c>
      <c r="AQ140" s="473" t="str">
        <f t="shared" si="23"/>
        <v/>
      </c>
      <c r="AR140" s="473" t="str">
        <f t="shared" si="24"/>
        <v/>
      </c>
      <c r="AS140" s="473" t="str">
        <f t="shared" si="25"/>
        <v/>
      </c>
      <c r="AT140" s="473" t="str">
        <f t="shared" si="26"/>
        <v/>
      </c>
      <c r="AU140" s="473" t="str">
        <f t="shared" si="27"/>
        <v/>
      </c>
      <c r="AY140" s="497" t="s">
        <v>8147</v>
      </c>
      <c r="AZ140" s="31" t="s">
        <v>29</v>
      </c>
      <c r="BA140" s="34" t="s">
        <v>6127</v>
      </c>
      <c r="BB140" s="500"/>
      <c r="BC140" s="271"/>
      <c r="BD140" s="279">
        <v>1</v>
      </c>
      <c r="BE140" s="271"/>
      <c r="BF140" s="271"/>
      <c r="BG140" s="271"/>
      <c r="BH140" s="271"/>
      <c r="BI140" s="271"/>
      <c r="BJ140" s="271"/>
      <c r="BK140" s="271"/>
      <c r="BL140" s="271"/>
    </row>
    <row r="141" spans="18:64" ht="21" customHeight="1" x14ac:dyDescent="0.25">
      <c r="R141" s="34" t="s">
        <v>474</v>
      </c>
      <c r="S141" s="451"/>
      <c r="T141" s="31" t="s">
        <v>25</v>
      </c>
      <c r="V141" s="475">
        <v>2</v>
      </c>
      <c r="W141" s="475" t="str">
        <f>IF($AC$141="","",$W$108)</f>
        <v>N° 02</v>
      </c>
      <c r="X141" s="476" t="str">
        <f>IF($AC$141="","",$X$108)</f>
        <v>CHIQUETAILLE DE MORUE A L'AVOCAT</v>
      </c>
      <c r="Y141" s="477">
        <f>IF($X$141="","",$Y$108)</f>
        <v>19</v>
      </c>
      <c r="Z141" s="477">
        <f>IF($X$141="","",$Z$108)</f>
        <v>100</v>
      </c>
      <c r="AA141" s="477">
        <f>IF($AC$141="","",ROW($A$141)-ROW($A$108))</f>
        <v>33</v>
      </c>
      <c r="AB141" s="478"/>
      <c r="AC141" s="34" t="s">
        <v>468</v>
      </c>
      <c r="AD141" s="356"/>
      <c r="AE141" s="18">
        <v>5</v>
      </c>
      <c r="AF141" s="33" t="s">
        <v>462</v>
      </c>
      <c r="AG141" s="480">
        <f t="shared" si="16"/>
        <v>5</v>
      </c>
      <c r="AH141" s="481" t="str">
        <f t="shared" si="17"/>
        <v>BAC(S)</v>
      </c>
      <c r="AI141" s="477" t="str">
        <f>IF($AC$141="","",IFERROR(INDEX($AZ$74:$AZ$119,MATCH($AH$141,$AY$74:$AY$119,0)),"AUTRE"))</f>
        <v>AUTRE</v>
      </c>
      <c r="AJ141" s="482">
        <f>IF($AC$141="","",IFERROR(INDEX($BA$74:$BA$119,MATCH($AH$141,$AY$74:$AY$119,0)),1))</f>
        <v>1</v>
      </c>
      <c r="AK141" s="482">
        <f t="shared" si="18"/>
        <v>5</v>
      </c>
      <c r="AL141" s="477" t="str">
        <f>IF($AC$141="","",IFERROR(INDEX($BB$74:$BB$119,MATCH($AH$141,$AY$74:$AY$119,0)),$AH$141))</f>
        <v>bac(s)</v>
      </c>
      <c r="AM141" s="483" t="str">
        <f t="shared" si="19"/>
        <v>OK</v>
      </c>
      <c r="AN141" s="484">
        <f t="shared" si="20"/>
        <v>5</v>
      </c>
      <c r="AO141" s="473" t="str">
        <f t="shared" si="21"/>
        <v/>
      </c>
      <c r="AP141" s="473" t="str">
        <f t="shared" si="22"/>
        <v/>
      </c>
      <c r="AQ141" s="473" t="str">
        <f t="shared" si="23"/>
        <v/>
      </c>
      <c r="AR141" s="473" t="str">
        <f t="shared" si="24"/>
        <v/>
      </c>
      <c r="AS141" s="473" t="str">
        <f t="shared" si="25"/>
        <v/>
      </c>
      <c r="AT141" s="473" t="str">
        <f t="shared" si="26"/>
        <v/>
      </c>
      <c r="AU141" s="473" t="str">
        <f t="shared" si="27"/>
        <v/>
      </c>
      <c r="AY141" s="497" t="s">
        <v>465</v>
      </c>
      <c r="AZ141" s="31" t="s">
        <v>30</v>
      </c>
      <c r="BA141" s="25" t="s">
        <v>6128</v>
      </c>
      <c r="BB141" s="500"/>
      <c r="BC141" s="271"/>
      <c r="BD141" s="279">
        <v>1</v>
      </c>
      <c r="BE141" s="271"/>
      <c r="BF141" s="271"/>
      <c r="BG141" s="271"/>
      <c r="BH141" s="271"/>
      <c r="BI141" s="271"/>
      <c r="BJ141" s="271"/>
      <c r="BK141" s="271"/>
      <c r="BL141" s="271"/>
    </row>
    <row r="142" spans="18:64" ht="21" customHeight="1" x14ac:dyDescent="0.25">
      <c r="R142" s="34" t="s">
        <v>490</v>
      </c>
      <c r="S142" s="451"/>
      <c r="T142" s="31" t="s">
        <v>26</v>
      </c>
      <c r="V142" s="475">
        <v>2</v>
      </c>
      <c r="W142" s="475" t="str">
        <f>IF($AC$142="","",$W$108)</f>
        <v>N° 02</v>
      </c>
      <c r="X142" s="476" t="str">
        <f>IF($AC$142="","",$X$108)</f>
        <v>CHIQUETAILLE DE MORUE A L'AVOCAT</v>
      </c>
      <c r="Y142" s="477">
        <f>IF($X$142="","",$Y$108)</f>
        <v>19</v>
      </c>
      <c r="Z142" s="477">
        <f>IF($X$142="","",$Z$108)</f>
        <v>100</v>
      </c>
      <c r="AA142" s="477">
        <f>IF($AC$142="","",ROW($A$142)-ROW($A$108))</f>
        <v>34</v>
      </c>
      <c r="AB142" s="478"/>
      <c r="AC142" s="34" t="s">
        <v>458</v>
      </c>
      <c r="AD142" s="356"/>
      <c r="AE142" s="18">
        <v>1</v>
      </c>
      <c r="AF142" s="33" t="s">
        <v>462</v>
      </c>
      <c r="AG142" s="491">
        <f t="shared" si="16"/>
        <v>1</v>
      </c>
      <c r="AH142" s="481" t="str">
        <f t="shared" si="17"/>
        <v>BAC(S)</v>
      </c>
      <c r="AI142" s="477" t="str">
        <f>IF($AC$142="","",IFERROR(INDEX($AZ$74:$AZ$119,MATCH($AH$142,$AY$74:$AY$119,0)),"AUTRE"))</f>
        <v>AUTRE</v>
      </c>
      <c r="AJ142" s="482">
        <f>IF($AC$142="","",IFERROR(INDEX($BA$74:$BA$119,MATCH($AH$142,$AY$74:$AY$119,0)),1))</f>
        <v>1</v>
      </c>
      <c r="AK142" s="482">
        <f t="shared" si="18"/>
        <v>1</v>
      </c>
      <c r="AL142" s="477" t="str">
        <f>IF($AC$142="","",IFERROR(INDEX($BB$74:$BB$119,MATCH($AH$142,$AY$74:$AY$119,0)),$AH$142))</f>
        <v>bac(s)</v>
      </c>
      <c r="AM142" s="483" t="str">
        <f t="shared" si="19"/>
        <v>OK</v>
      </c>
      <c r="AN142" s="484">
        <f t="shared" si="20"/>
        <v>1</v>
      </c>
      <c r="AO142" s="473" t="str">
        <f t="shared" si="21"/>
        <v/>
      </c>
      <c r="AP142" s="473" t="str">
        <f t="shared" si="22"/>
        <v/>
      </c>
      <c r="AQ142" s="473" t="str">
        <f t="shared" si="23"/>
        <v/>
      </c>
      <c r="AR142" s="473" t="str">
        <f t="shared" si="24"/>
        <v/>
      </c>
      <c r="AS142" s="473" t="str">
        <f t="shared" si="25"/>
        <v/>
      </c>
      <c r="AT142" s="473" t="str">
        <f t="shared" si="26"/>
        <v/>
      </c>
      <c r="AU142" s="473" t="str">
        <f t="shared" si="27"/>
        <v/>
      </c>
      <c r="AY142" s="497" t="s">
        <v>466</v>
      </c>
      <c r="AZ142" s="32" t="s">
        <v>33</v>
      </c>
      <c r="BA142" s="34" t="s">
        <v>474</v>
      </c>
      <c r="BB142" s="500"/>
      <c r="BC142" s="271"/>
      <c r="BD142" s="279">
        <v>1</v>
      </c>
      <c r="BE142" s="271"/>
      <c r="BF142" s="271"/>
      <c r="BG142" s="271"/>
      <c r="BH142" s="271"/>
      <c r="BI142" s="271"/>
      <c r="BJ142" s="271"/>
      <c r="BK142" s="271"/>
      <c r="BL142" s="271"/>
    </row>
    <row r="143" spans="18:64" ht="30" customHeight="1" x14ac:dyDescent="0.25">
      <c r="R143" s="34" t="s">
        <v>6129</v>
      </c>
      <c r="S143" s="451"/>
      <c r="T143" s="31" t="s">
        <v>27</v>
      </c>
      <c r="V143" s="453" t="s">
        <v>324</v>
      </c>
      <c r="W143" s="453" t="s">
        <v>7912</v>
      </c>
      <c r="X143" s="453" t="s">
        <v>326</v>
      </c>
      <c r="Y143" s="453" t="s">
        <v>327</v>
      </c>
      <c r="Z143" s="453" t="s">
        <v>7930</v>
      </c>
      <c r="AA143" s="453" t="s">
        <v>7937</v>
      </c>
      <c r="AB143" s="455" t="s">
        <v>39</v>
      </c>
      <c r="AC143" s="455" t="s">
        <v>338</v>
      </c>
      <c r="AD143" s="455" t="s">
        <v>8114</v>
      </c>
      <c r="AE143" s="455" t="s">
        <v>339</v>
      </c>
      <c r="AF143" s="455" t="s">
        <v>7997</v>
      </c>
      <c r="AG143" s="453" t="s">
        <v>8018</v>
      </c>
      <c r="AH143" s="453" t="s">
        <v>8023</v>
      </c>
      <c r="AI143" s="453" t="s">
        <v>330</v>
      </c>
      <c r="AJ143" s="453" t="s">
        <v>8031</v>
      </c>
      <c r="AK143" s="453" t="s">
        <v>8037</v>
      </c>
      <c r="AL143" s="453" t="s">
        <v>8041</v>
      </c>
      <c r="AM143" s="453" t="s">
        <v>343</v>
      </c>
      <c r="AN143" s="457" t="s">
        <v>8115</v>
      </c>
      <c r="AO143" s="457" t="s">
        <v>8116</v>
      </c>
      <c r="AP143" s="656" t="s">
        <v>8117</v>
      </c>
      <c r="AQ143" s="656"/>
      <c r="AR143" s="656"/>
      <c r="AS143" s="656"/>
      <c r="AT143" s="656"/>
      <c r="AU143" s="657"/>
      <c r="AZ143" s="32" t="s">
        <v>8125</v>
      </c>
      <c r="BA143" s="34" t="s">
        <v>490</v>
      </c>
      <c r="BB143" s="500"/>
      <c r="BC143" s="271"/>
      <c r="BD143" s="279">
        <v>1</v>
      </c>
      <c r="BE143" s="271"/>
      <c r="BF143" s="271"/>
      <c r="BG143" s="271"/>
      <c r="BH143" s="271"/>
      <c r="BI143" s="271"/>
      <c r="BJ143" s="271"/>
      <c r="BK143" s="271"/>
      <c r="BL143" s="271"/>
    </row>
    <row r="144" spans="18:64" ht="30" customHeight="1" x14ac:dyDescent="0.25">
      <c r="R144" s="34" t="s">
        <v>478</v>
      </c>
      <c r="S144" s="451"/>
      <c r="T144" s="31" t="s">
        <v>28</v>
      </c>
      <c r="V144" s="459">
        <v>3</v>
      </c>
      <c r="W144" s="460" t="s">
        <v>63</v>
      </c>
      <c r="X144" s="461" t="s">
        <v>62</v>
      </c>
      <c r="Y144" s="462">
        <v>20</v>
      </c>
      <c r="Z144" s="463">
        <v>100</v>
      </c>
      <c r="AA144" s="464">
        <f>IF($AC$396="","",ROW($A$396)-ROW($A$396))</f>
        <v>0</v>
      </c>
      <c r="AB144" s="461"/>
      <c r="AC144" s="465" t="s">
        <v>58</v>
      </c>
      <c r="AD144" s="390"/>
      <c r="AE144" s="13">
        <v>5</v>
      </c>
      <c r="AF144" s="14" t="s">
        <v>7</v>
      </c>
      <c r="AG144" s="467">
        <f t="shared" ref="AG144:AG178" si="28">IF($AC144="","",IF(LEN($AN144&amp;"")=0,"",$AN144))</f>
        <v>5</v>
      </c>
      <c r="AH144" s="468" t="str">
        <f t="shared" ref="AH144:AH178" si="29">IF($AC144="","",IF($AF144&lt;&gt;"",UPPER(TRIM(SUBSTITUTE(SUBSTITUTE($AF144&amp;"",CHAR(160)," ")," "," "))),$AP144))</f>
        <v>KG</v>
      </c>
      <c r="AI144" s="469" t="str">
        <f>IF($AC$144="","",IFERROR(INDEX($AZ$74:$AZ$119,MATCH($AH$144,$AY$74:$AY$119,0)),"AUTRE"))</f>
        <v>MASSE</v>
      </c>
      <c r="AJ144" s="470">
        <f>IF($AC$144="","",IFERROR(INDEX($BA$74:$BA$119,MATCH($AH$144,$AY$74:$AY$119,0)),1))</f>
        <v>1</v>
      </c>
      <c r="AK144" s="470">
        <f t="shared" ref="AK144:AK178" si="30">IF(OR(AG144="",AJ144=""),"",AG144*AJ144)</f>
        <v>5</v>
      </c>
      <c r="AL144" s="469" t="str">
        <f>IF($AC$144="","",IFERROR(INDEX($BB$74:$BB$119,MATCH($AH$144,$AY$74:$AY$119,0)),$AH$144))</f>
        <v>kg</v>
      </c>
      <c r="AM144" s="471" t="str">
        <f t="shared" ref="AM144:AM178" si="31">IF($AC144="","",IF($AH144="QT. SUFFISANTE","OK",IF($AG144="","TEXTE",IF(NOT(ISNUMBER($AG144)),"QUANTITÉ À CONTRÔLER",IF(COUNTIF($AY$74:$AY$119,$AH144)=0,"UNITÉ À CONTRÔLER","OK")))))</f>
        <v>OK</v>
      </c>
      <c r="AN144" s="474">
        <f t="shared" ref="AN144:AN178" si="32">IF($AE144&lt;&gt;"",$AE144,IF($AD144="","",IF(ISNUMBER($AD144),$AD144,IF($AO144="QT",0,IF($AO144="","",IFERROR(IF(ISNUMBER(SEARCH("/",$AO144)),VALUE(TRIM(LEFT($AO144,SEARCH("/",$AO144)-1)))/VALUE(TRIM(MID($AO144,SEARCH("/",$AO144)+1,99))),VALUE(SUBSTITUTE($AO144,".",","))),""))))))</f>
        <v>5</v>
      </c>
      <c r="AO144" s="473" t="str">
        <f t="shared" ref="AO144:AO178" si="33">IF($AD144="","",IF(ISNUMBER($AD144),$AD144,IF(OR(LEFT($AQ144,3)="QT.",LEFT($AQ144,4)="QUAN"),"QT",IF($AR144=999,$AQ144,TRIM(LEFT($AQ144,$AR144-1))))))</f>
        <v/>
      </c>
      <c r="AP144" s="473" t="str">
        <f t="shared" ref="AP144:AP178" si="34">IF($AD144="","",IF(ISNUMBER($AD144),"",IF(OR(LEFT($AQ144,3)="QT.",LEFT($AQ144,4)="QUAN"),"QT. SUFFISANTE",IF($AO144="","",TRIM(MID($AQ144,LEN($AO144&amp;"")+1,999))))))</f>
        <v/>
      </c>
      <c r="AQ144" s="473" t="str">
        <f t="shared" ref="AQ144:AQ178" si="35">IF($AD144="","",UPPER(TRIM(SUBSTITUTE(SUBSTITUTE($AD144&amp;"",CHAR(160)," ")," "," "))))</f>
        <v/>
      </c>
      <c r="AR144" s="473" t="str">
        <f t="shared" ref="AR144:AR178" si="36">IF($AQ144="","",MIN($AS144,$AT144,$AU144))</f>
        <v/>
      </c>
      <c r="AS144" s="473" t="str">
        <f t="shared" ref="AS144:AS178" si="37">IF($AQ144="","",MIN(IFERROR(SEARCH("A",$AQ144),999),IFERROR(SEARCH("B",$AQ144),999),IFERROR(SEARCH("C",$AQ144),999),IFERROR(SEARCH("D",$AQ144),999),IFERROR(SEARCH("E",$AQ144),999),IFERROR(SEARCH("F",$AQ144),999),IFERROR(SEARCH("G",$AQ144),999),IFERROR(SEARCH("H",$AQ144),999),IFERROR(SEARCH("I",$AQ144),999)))</f>
        <v/>
      </c>
      <c r="AT144" s="473" t="str">
        <f t="shared" ref="AT144:AT178" si="38">IF($AQ144="","",MIN(IFERROR(SEARCH("J",$AQ144),999),IFERROR(SEARCH("K",$AQ144),999),IFERROR(SEARCH("L",$AQ144),999),IFERROR(SEARCH("M",$AQ144),999),IFERROR(SEARCH("N",$AQ144),999),IFERROR(SEARCH("O",$AQ144),999),IFERROR(SEARCH("P",$AQ144),999),IFERROR(SEARCH("Q",$AQ144),999),IFERROR(SEARCH("R",$AQ144),999)))</f>
        <v/>
      </c>
      <c r="AU144" s="473" t="str">
        <f t="shared" ref="AU144:AU178" si="39">IF($AQ144="","",MIN(IFERROR(SEARCH("S",$AQ144),999),IFERROR(SEARCH("T",$AQ144),999),IFERROR(SEARCH("U",$AQ144),999),IFERROR(SEARCH("V",$AQ144),999),IFERROR(SEARCH("W",$AQ144),999),IFERROR(SEARCH("X",$AQ144),999),IFERROR(SEARCH("Y",$AQ144),999),IFERROR(SEARCH("Z",$AQ144),999)))</f>
        <v/>
      </c>
      <c r="AZ144" s="32" t="s">
        <v>8127</v>
      </c>
      <c r="BA144" s="34" t="s">
        <v>6129</v>
      </c>
      <c r="BB144" s="500"/>
      <c r="BC144" s="271"/>
      <c r="BD144" s="279">
        <v>1</v>
      </c>
      <c r="BE144" s="271"/>
      <c r="BF144" s="271"/>
      <c r="BG144" s="271"/>
      <c r="BH144" s="271"/>
      <c r="BI144" s="271"/>
      <c r="BJ144" s="271"/>
      <c r="BK144" s="271"/>
      <c r="BL144" s="271"/>
    </row>
    <row r="145" spans="18:64" ht="21" customHeight="1" x14ac:dyDescent="0.25">
      <c r="R145" s="34" t="s">
        <v>6130</v>
      </c>
      <c r="S145" s="451"/>
      <c r="T145" s="31" t="s">
        <v>29</v>
      </c>
      <c r="V145" s="475">
        <f>$V$144</f>
        <v>3</v>
      </c>
      <c r="W145" s="475" t="str">
        <f>IF($AC$145="","",$W$144)</f>
        <v>N° 03</v>
      </c>
      <c r="X145" s="476" t="str">
        <f>IF($AC$145="","",$X$144)</f>
        <v>CREME DE POIS CHICHES (HOMOS)</v>
      </c>
      <c r="Y145" s="477">
        <f>IF($X$145="","",$Y$144)</f>
        <v>20</v>
      </c>
      <c r="Z145" s="477">
        <f>IF($X$145="","",$Z$144)</f>
        <v>100</v>
      </c>
      <c r="AA145" s="477">
        <f>IF($AC$145="","",ROW($A$145)-ROW($A$144))</f>
        <v>1</v>
      </c>
      <c r="AB145" s="478"/>
      <c r="AC145" s="34" t="s">
        <v>409</v>
      </c>
      <c r="AD145" s="356"/>
      <c r="AE145" s="18">
        <v>1</v>
      </c>
      <c r="AF145" s="3" t="s">
        <v>7</v>
      </c>
      <c r="AG145" s="480">
        <f t="shared" si="28"/>
        <v>1</v>
      </c>
      <c r="AH145" s="481" t="str">
        <f t="shared" si="29"/>
        <v>KG</v>
      </c>
      <c r="AI145" s="477" t="str">
        <f>IF($AC$145="","",IFERROR(INDEX($AZ$74:$AZ$119,MATCH($AH$145,$AY$74:$AY$119,0)),"AUTRE"))</f>
        <v>MASSE</v>
      </c>
      <c r="AJ145" s="482">
        <f>IF($AC$145="","",IFERROR(INDEX($BA$74:$BA$119,MATCH($AH$145,$AY$74:$AY$119,0)),1))</f>
        <v>1</v>
      </c>
      <c r="AK145" s="482">
        <f t="shared" si="30"/>
        <v>1</v>
      </c>
      <c r="AL145" s="477" t="str">
        <f>IF($AC$145="","",IFERROR(INDEX($BB$74:$BB$119,MATCH($AH$145,$AY$74:$AY$119,0)),$AH$145))</f>
        <v>kg</v>
      </c>
      <c r="AM145" s="483" t="str">
        <f t="shared" si="31"/>
        <v>OK</v>
      </c>
      <c r="AN145" s="484">
        <f t="shared" si="32"/>
        <v>1</v>
      </c>
      <c r="AO145" s="473" t="str">
        <f t="shared" si="33"/>
        <v/>
      </c>
      <c r="AP145" s="473" t="str">
        <f t="shared" si="34"/>
        <v/>
      </c>
      <c r="AQ145" s="473" t="str">
        <f t="shared" si="35"/>
        <v/>
      </c>
      <c r="AR145" s="473" t="str">
        <f t="shared" si="36"/>
        <v/>
      </c>
      <c r="AS145" s="473" t="str">
        <f t="shared" si="37"/>
        <v/>
      </c>
      <c r="AT145" s="473" t="str">
        <f t="shared" si="38"/>
        <v/>
      </c>
      <c r="AU145" s="473" t="str">
        <f t="shared" si="39"/>
        <v/>
      </c>
      <c r="AZ145" s="32" t="s">
        <v>320</v>
      </c>
      <c r="BA145" s="34" t="s">
        <v>478</v>
      </c>
      <c r="BB145" s="500"/>
      <c r="BC145" s="271"/>
      <c r="BD145" s="279">
        <v>1</v>
      </c>
      <c r="BE145" s="271"/>
      <c r="BF145" s="271"/>
      <c r="BG145" s="271"/>
      <c r="BH145" s="271"/>
      <c r="BI145" s="271"/>
      <c r="BJ145" s="271"/>
      <c r="BK145" s="271"/>
      <c r="BL145" s="271"/>
    </row>
    <row r="146" spans="18:64" ht="21" customHeight="1" x14ac:dyDescent="0.25">
      <c r="R146" s="34" t="s">
        <v>486</v>
      </c>
      <c r="S146" s="451"/>
      <c r="T146" s="31" t="s">
        <v>30</v>
      </c>
      <c r="V146" s="475">
        <v>3</v>
      </c>
      <c r="W146" s="475" t="str">
        <f>IF($AC$146="","",$W$144)</f>
        <v>N° 03</v>
      </c>
      <c r="X146" s="476" t="str">
        <f>IF($AC$146="","",$X$144)</f>
        <v>CREME DE POIS CHICHES (HOMOS)</v>
      </c>
      <c r="Y146" s="477">
        <f>IF($X$146="","",$Y$144)</f>
        <v>20</v>
      </c>
      <c r="Z146" s="477">
        <f>IF($X$146="","",$Z$144)</f>
        <v>100</v>
      </c>
      <c r="AA146" s="477">
        <f>IF($AC$146="","",ROW($A$146)-ROW($A$144))</f>
        <v>2</v>
      </c>
      <c r="AB146" s="478"/>
      <c r="AC146" s="34" t="s">
        <v>360</v>
      </c>
      <c r="AD146" s="356"/>
      <c r="AE146" s="9" t="s">
        <v>33</v>
      </c>
      <c r="AF146" s="19"/>
      <c r="AG146" s="480" t="str">
        <f t="shared" si="28"/>
        <v>QT. SUFFISANTE</v>
      </c>
      <c r="AH146" s="481" t="str">
        <f t="shared" si="29"/>
        <v/>
      </c>
      <c r="AI146" s="477" t="str">
        <f>IF($AC$146="","",IFERROR(INDEX($AZ$74:$AZ$119,MATCH($AH$146,$AY$74:$AY$119,0)),"AUTRE"))</f>
        <v>AUTRE</v>
      </c>
      <c r="AJ146" s="482">
        <f>IF($AC$146="","",IFERROR(INDEX($BA$74:$BA$119,MATCH($AH$146,$AY$74:$AY$119,0)),1))</f>
        <v>1</v>
      </c>
      <c r="AK146" s="482" t="e">
        <f t="shared" si="30"/>
        <v>#VALUE!</v>
      </c>
      <c r="AL146" s="477" t="str">
        <f>IF($AC$146="","",IFERROR(INDEX($BB$74:$BB$119,MATCH($AH$146,$AY$74:$AY$119,0)),$AH$146))</f>
        <v/>
      </c>
      <c r="AM146" s="483" t="str">
        <f t="shared" si="31"/>
        <v>QUANTITÉ À CONTRÔLER</v>
      </c>
      <c r="AN146" s="484" t="str">
        <f t="shared" si="32"/>
        <v>QT. SUFFISANTE</v>
      </c>
      <c r="AO146" s="473" t="str">
        <f t="shared" si="33"/>
        <v/>
      </c>
      <c r="AP146" s="473" t="str">
        <f t="shared" si="34"/>
        <v/>
      </c>
      <c r="AQ146" s="473" t="str">
        <f t="shared" si="35"/>
        <v/>
      </c>
      <c r="AR146" s="473" t="str">
        <f t="shared" si="36"/>
        <v/>
      </c>
      <c r="AS146" s="473" t="str">
        <f t="shared" si="37"/>
        <v/>
      </c>
      <c r="AT146" s="473" t="str">
        <f t="shared" si="38"/>
        <v/>
      </c>
      <c r="AU146" s="473" t="str">
        <f t="shared" si="39"/>
        <v/>
      </c>
      <c r="AZ146" s="32" t="s">
        <v>318</v>
      </c>
      <c r="BA146" s="34" t="s">
        <v>6130</v>
      </c>
      <c r="BB146" s="500"/>
      <c r="BC146" s="271"/>
      <c r="BD146" s="279">
        <v>1</v>
      </c>
      <c r="BE146" s="271"/>
      <c r="BF146" s="271"/>
      <c r="BG146" s="271"/>
      <c r="BH146" s="271"/>
      <c r="BI146" s="271"/>
      <c r="BJ146" s="271"/>
      <c r="BK146" s="271"/>
      <c r="BL146" s="271"/>
    </row>
    <row r="147" spans="18:64" ht="21" customHeight="1" x14ac:dyDescent="0.25">
      <c r="R147" s="34" t="s">
        <v>479</v>
      </c>
      <c r="S147" s="451"/>
      <c r="T147" s="31" t="s">
        <v>31</v>
      </c>
      <c r="V147" s="475">
        <v>3</v>
      </c>
      <c r="W147" s="475" t="str">
        <f>IF($AC$147="","",$W$144)</f>
        <v>N° 03</v>
      </c>
      <c r="X147" s="476" t="str">
        <f>IF($AC$147="","",$X$144)</f>
        <v>CREME DE POIS CHICHES (HOMOS)</v>
      </c>
      <c r="Y147" s="477">
        <f>IF($X$147="","",$Y$144)</f>
        <v>20</v>
      </c>
      <c r="Z147" s="477">
        <f>IF($X$147="","",$Z$144)</f>
        <v>100</v>
      </c>
      <c r="AA147" s="477">
        <f>IF($AC$147="","",ROW($A$147)-ROW($A$144))</f>
        <v>3</v>
      </c>
      <c r="AB147" s="478"/>
      <c r="AC147" s="34" t="s">
        <v>59</v>
      </c>
      <c r="AD147" s="356"/>
      <c r="AE147" s="18">
        <v>1</v>
      </c>
      <c r="AF147" s="6" t="s">
        <v>9</v>
      </c>
      <c r="AG147" s="480">
        <f t="shared" si="28"/>
        <v>1</v>
      </c>
      <c r="AH147" s="481" t="str">
        <f t="shared" si="29"/>
        <v>L</v>
      </c>
      <c r="AI147" s="477" t="str">
        <f>IF($AC$147="","",IFERROR(INDEX($AZ$74:$AZ$119,MATCH($AH$147,$AY$74:$AY$119,0)),"AUTRE"))</f>
        <v>VOLUME</v>
      </c>
      <c r="AJ147" s="482">
        <f>IF($AC$147="","",IFERROR(INDEX($BA$74:$BA$119,MATCH($AH$147,$AY$74:$AY$119,0)),1))</f>
        <v>1</v>
      </c>
      <c r="AK147" s="482">
        <f t="shared" si="30"/>
        <v>1</v>
      </c>
      <c r="AL147" s="477" t="str">
        <f>IF($AC$147="","",IFERROR(INDEX($BB$74:$BB$119,MATCH($AH$147,$AY$74:$AY$119,0)),$AH$147))</f>
        <v>L</v>
      </c>
      <c r="AM147" s="483" t="str">
        <f t="shared" si="31"/>
        <v>OK</v>
      </c>
      <c r="AN147" s="484">
        <f t="shared" si="32"/>
        <v>1</v>
      </c>
      <c r="AO147" s="473" t="str">
        <f t="shared" si="33"/>
        <v/>
      </c>
      <c r="AP147" s="473" t="str">
        <f t="shared" si="34"/>
        <v/>
      </c>
      <c r="AQ147" s="473" t="str">
        <f t="shared" si="35"/>
        <v/>
      </c>
      <c r="AR147" s="473" t="str">
        <f t="shared" si="36"/>
        <v/>
      </c>
      <c r="AS147" s="473" t="str">
        <f t="shared" si="37"/>
        <v/>
      </c>
      <c r="AT147" s="473" t="str">
        <f t="shared" si="38"/>
        <v/>
      </c>
      <c r="AU147" s="473" t="str">
        <f t="shared" si="39"/>
        <v/>
      </c>
      <c r="AZ147" s="32" t="s">
        <v>316</v>
      </c>
      <c r="BA147" s="34" t="s">
        <v>486</v>
      </c>
      <c r="BB147" s="500"/>
      <c r="BC147" s="271"/>
      <c r="BD147" s="279">
        <v>1</v>
      </c>
      <c r="BE147" s="271"/>
      <c r="BF147" s="271"/>
      <c r="BG147" s="271"/>
      <c r="BH147" s="271"/>
      <c r="BI147" s="271"/>
      <c r="BJ147" s="271"/>
      <c r="BK147" s="271"/>
      <c r="BL147" s="271"/>
    </row>
    <row r="148" spans="18:64" ht="21" customHeight="1" x14ac:dyDescent="0.25">
      <c r="R148" s="34" t="s">
        <v>6131</v>
      </c>
      <c r="S148" s="451"/>
      <c r="T148" s="32" t="s">
        <v>33</v>
      </c>
      <c r="V148" s="475">
        <v>3</v>
      </c>
      <c r="W148" s="475" t="str">
        <f>IF($AC$148="","",$W$144)</f>
        <v>N° 03</v>
      </c>
      <c r="X148" s="476" t="str">
        <f>IF($AC$148="","",$X$144)</f>
        <v>CREME DE POIS CHICHES (HOMOS)</v>
      </c>
      <c r="Y148" s="477">
        <f>IF($X$148="","",$Y$144)</f>
        <v>20</v>
      </c>
      <c r="Z148" s="477">
        <f>IF($X$148="","",$Z$144)</f>
        <v>100</v>
      </c>
      <c r="AA148" s="477">
        <f>IF($AC$148="","",ROW($A$148)-ROW($A$144))</f>
        <v>4</v>
      </c>
      <c r="AB148" s="478"/>
      <c r="AC148" s="34" t="s">
        <v>41</v>
      </c>
      <c r="AD148" s="356"/>
      <c r="AE148" s="18">
        <v>100</v>
      </c>
      <c r="AF148" s="5" t="s">
        <v>8</v>
      </c>
      <c r="AG148" s="480">
        <f t="shared" si="28"/>
        <v>100</v>
      </c>
      <c r="AH148" s="481" t="str">
        <f t="shared" si="29"/>
        <v>G</v>
      </c>
      <c r="AI148" s="477" t="str">
        <f>IF($AC$148="","",IFERROR(INDEX($AZ$74:$AZ$119,MATCH($AH$148,$AY$74:$AY$119,0)),"AUTRE"))</f>
        <v>MASSE</v>
      </c>
      <c r="AJ148" s="482">
        <f>IF($AC$148="","",IFERROR(INDEX($BA$74:$BA$119,MATCH($AH$148,$AY$74:$AY$119,0)),1))</f>
        <v>1E-3</v>
      </c>
      <c r="AK148" s="482">
        <f t="shared" si="30"/>
        <v>0.1</v>
      </c>
      <c r="AL148" s="477" t="str">
        <f>IF($AC$148="","",IFERROR(INDEX($BB$74:$BB$119,MATCH($AH$148,$AY$74:$AY$119,0)),$AH$148))</f>
        <v>kg</v>
      </c>
      <c r="AM148" s="483" t="str">
        <f t="shared" si="31"/>
        <v>OK</v>
      </c>
      <c r="AN148" s="484">
        <f t="shared" si="32"/>
        <v>100</v>
      </c>
      <c r="AO148" s="473" t="str">
        <f t="shared" si="33"/>
        <v/>
      </c>
      <c r="AP148" s="473" t="str">
        <f t="shared" si="34"/>
        <v/>
      </c>
      <c r="AQ148" s="473" t="str">
        <f t="shared" si="35"/>
        <v/>
      </c>
      <c r="AR148" s="473" t="str">
        <f t="shared" si="36"/>
        <v/>
      </c>
      <c r="AS148" s="473" t="str">
        <f t="shared" si="37"/>
        <v/>
      </c>
      <c r="AT148" s="473" t="str">
        <f t="shared" si="38"/>
        <v/>
      </c>
      <c r="AU148" s="473" t="str">
        <f t="shared" si="39"/>
        <v/>
      </c>
      <c r="AZ148" s="32" t="s">
        <v>313</v>
      </c>
      <c r="BA148" s="34" t="s">
        <v>479</v>
      </c>
      <c r="BB148" s="500"/>
      <c r="BC148" s="271"/>
      <c r="BD148" s="279">
        <v>1</v>
      </c>
      <c r="BE148" s="271"/>
      <c r="BF148" s="271"/>
      <c r="BG148" s="271"/>
      <c r="BH148" s="271"/>
      <c r="BI148" s="271"/>
      <c r="BJ148" s="271"/>
      <c r="BK148" s="271"/>
      <c r="BL148" s="271"/>
    </row>
    <row r="149" spans="18:64" ht="21" customHeight="1" x14ac:dyDescent="0.25">
      <c r="R149" s="34" t="s">
        <v>485</v>
      </c>
      <c r="S149" s="451"/>
      <c r="T149" s="32" t="s">
        <v>8125</v>
      </c>
      <c r="V149" s="475">
        <v>3</v>
      </c>
      <c r="W149" s="475" t="str">
        <f>IF($AC$149="","",$W$144)</f>
        <v>N° 03</v>
      </c>
      <c r="X149" s="476" t="str">
        <f>IF($AC$149="","",$X$144)</f>
        <v>CREME DE POIS CHICHES (HOMOS)</v>
      </c>
      <c r="Y149" s="477">
        <f>IF($X$149="","",$Y$144)</f>
        <v>20</v>
      </c>
      <c r="Z149" s="477">
        <f>IF($X$149="","",$Z$144)</f>
        <v>100</v>
      </c>
      <c r="AA149" s="477">
        <f>IF($AC$149="","",ROW($A$149)-ROW($A$144))</f>
        <v>5</v>
      </c>
      <c r="AB149" s="478"/>
      <c r="AC149" s="34" t="s">
        <v>60</v>
      </c>
      <c r="AD149" s="356"/>
      <c r="AE149" s="9" t="s">
        <v>33</v>
      </c>
      <c r="AF149" s="19"/>
      <c r="AG149" s="480" t="str">
        <f t="shared" si="28"/>
        <v>QT. SUFFISANTE</v>
      </c>
      <c r="AH149" s="481" t="str">
        <f t="shared" si="29"/>
        <v/>
      </c>
      <c r="AI149" s="477" t="str">
        <f>IF($AC$149="","",IFERROR(INDEX($AZ$74:$AZ$119,MATCH($AH$149,$AY$74:$AY$119,0)),"AUTRE"))</f>
        <v>AUTRE</v>
      </c>
      <c r="AJ149" s="482">
        <f>IF($AC$149="","",IFERROR(INDEX($BA$74:$BA$119,MATCH($AH$149,$AY$74:$AY$119,0)),1))</f>
        <v>1</v>
      </c>
      <c r="AK149" s="482" t="e">
        <f t="shared" si="30"/>
        <v>#VALUE!</v>
      </c>
      <c r="AL149" s="477" t="str">
        <f>IF($AC$149="","",IFERROR(INDEX($BB$74:$BB$119,MATCH($AH$149,$AY$74:$AY$119,0)),$AH$149))</f>
        <v/>
      </c>
      <c r="AM149" s="483" t="str">
        <f t="shared" si="31"/>
        <v>QUANTITÉ À CONTRÔLER</v>
      </c>
      <c r="AN149" s="484" t="str">
        <f t="shared" si="32"/>
        <v>QT. SUFFISANTE</v>
      </c>
      <c r="AO149" s="473" t="str">
        <f t="shared" si="33"/>
        <v/>
      </c>
      <c r="AP149" s="473" t="str">
        <f t="shared" si="34"/>
        <v/>
      </c>
      <c r="AQ149" s="473" t="str">
        <f t="shared" si="35"/>
        <v/>
      </c>
      <c r="AR149" s="473" t="str">
        <f t="shared" si="36"/>
        <v/>
      </c>
      <c r="AS149" s="473" t="str">
        <f t="shared" si="37"/>
        <v/>
      </c>
      <c r="AT149" s="473" t="str">
        <f t="shared" si="38"/>
        <v/>
      </c>
      <c r="AU149" s="473" t="str">
        <f t="shared" si="39"/>
        <v/>
      </c>
      <c r="AZ149" s="32" t="s">
        <v>307</v>
      </c>
      <c r="BA149" s="34" t="s">
        <v>6131</v>
      </c>
      <c r="BB149" s="500"/>
      <c r="BC149" s="271"/>
      <c r="BD149" s="279">
        <v>1</v>
      </c>
      <c r="BE149" s="271"/>
      <c r="BF149" s="271"/>
      <c r="BG149" s="271"/>
      <c r="BH149" s="271"/>
      <c r="BI149" s="271"/>
      <c r="BJ149" s="271"/>
      <c r="BK149" s="271"/>
      <c r="BL149" s="271"/>
    </row>
    <row r="150" spans="18:64" ht="21" customHeight="1" x14ac:dyDescent="0.25">
      <c r="R150" s="34" t="s">
        <v>6132</v>
      </c>
      <c r="S150" s="451"/>
      <c r="T150" s="32" t="s">
        <v>8127</v>
      </c>
      <c r="V150" s="475">
        <v>3</v>
      </c>
      <c r="W150" s="475" t="str">
        <f>IF($AC$150="","",$W$144)</f>
        <v>N° 03</v>
      </c>
      <c r="X150" s="476" t="str">
        <f>IF($AC$150="","",$X$144)</f>
        <v>CREME DE POIS CHICHES (HOMOS)</v>
      </c>
      <c r="Y150" s="477">
        <f>IF($X$150="","",$Y$144)</f>
        <v>20</v>
      </c>
      <c r="Z150" s="477">
        <f>IF($X$150="","",$Z$144)</f>
        <v>100</v>
      </c>
      <c r="AA150" s="477">
        <f>IF($AC$150="","",ROW($A$150)-ROW($A$144))</f>
        <v>6</v>
      </c>
      <c r="AB150" s="478"/>
      <c r="AC150" s="34" t="s">
        <v>61</v>
      </c>
      <c r="AD150" s="356"/>
      <c r="AE150" s="9" t="s">
        <v>33</v>
      </c>
      <c r="AF150" s="19"/>
      <c r="AG150" s="480" t="str">
        <f t="shared" si="28"/>
        <v>QT. SUFFISANTE</v>
      </c>
      <c r="AH150" s="481" t="str">
        <f t="shared" si="29"/>
        <v/>
      </c>
      <c r="AI150" s="477" t="str">
        <f>IF($AC$150="","",IFERROR(INDEX($AZ$74:$AZ$119,MATCH($AH$150,$AY$74:$AY$119,0)),"AUTRE"))</f>
        <v>AUTRE</v>
      </c>
      <c r="AJ150" s="482">
        <f>IF($AC$150="","",IFERROR(INDEX($BA$74:$BA$119,MATCH($AH$150,$AY$74:$AY$119,0)),1))</f>
        <v>1</v>
      </c>
      <c r="AK150" s="482" t="e">
        <f t="shared" si="30"/>
        <v>#VALUE!</v>
      </c>
      <c r="AL150" s="477" t="str">
        <f>IF($AC$150="","",IFERROR(INDEX($BB$74:$BB$119,MATCH($AH$150,$AY$74:$AY$119,0)),$AH$150))</f>
        <v/>
      </c>
      <c r="AM150" s="483" t="str">
        <f t="shared" si="31"/>
        <v>QUANTITÉ À CONTRÔLER</v>
      </c>
      <c r="AN150" s="484" t="str">
        <f t="shared" si="32"/>
        <v>QT. SUFFISANTE</v>
      </c>
      <c r="AO150" s="473" t="str">
        <f t="shared" si="33"/>
        <v/>
      </c>
      <c r="AP150" s="473" t="str">
        <f t="shared" si="34"/>
        <v/>
      </c>
      <c r="AQ150" s="473" t="str">
        <f t="shared" si="35"/>
        <v/>
      </c>
      <c r="AR150" s="473" t="str">
        <f t="shared" si="36"/>
        <v/>
      </c>
      <c r="AS150" s="473" t="str">
        <f t="shared" si="37"/>
        <v/>
      </c>
      <c r="AT150" s="473" t="str">
        <f t="shared" si="38"/>
        <v/>
      </c>
      <c r="AU150" s="473" t="str">
        <f t="shared" si="39"/>
        <v/>
      </c>
      <c r="AZ150" s="32" t="s">
        <v>322</v>
      </c>
      <c r="BA150" s="34" t="s">
        <v>485</v>
      </c>
      <c r="BB150" s="500"/>
      <c r="BC150" s="271"/>
      <c r="BD150" s="279">
        <v>1</v>
      </c>
      <c r="BE150" s="271"/>
      <c r="BF150" s="271"/>
      <c r="BG150" s="271"/>
      <c r="BH150" s="271"/>
      <c r="BI150" s="271"/>
      <c r="BJ150" s="271"/>
      <c r="BK150" s="271"/>
      <c r="BL150" s="271"/>
    </row>
    <row r="151" spans="18:64" ht="21" customHeight="1" x14ac:dyDescent="0.25">
      <c r="R151" s="25" t="s">
        <v>6133</v>
      </c>
      <c r="S151" s="451"/>
      <c r="T151" s="32" t="s">
        <v>320</v>
      </c>
      <c r="V151" s="475">
        <v>3</v>
      </c>
      <c r="W151" s="475" t="str">
        <f>IF($AC$151="","",$W$144)</f>
        <v>N° 03</v>
      </c>
      <c r="X151" s="476" t="str">
        <f>IF($AC$151="","",$X$144)</f>
        <v>CREME DE POIS CHICHES (HOMOS)</v>
      </c>
      <c r="Y151" s="477">
        <f>IF($X$151="","",$Y$144)</f>
        <v>20</v>
      </c>
      <c r="Z151" s="477">
        <f>IF($X$151="","",$Z$144)</f>
        <v>100</v>
      </c>
      <c r="AA151" s="477">
        <f>IF($AC$151="","",ROW($A$151)-ROW($A$144))</f>
        <v>7</v>
      </c>
      <c r="AB151" s="478"/>
      <c r="AC151" s="34" t="s">
        <v>42</v>
      </c>
      <c r="AD151" s="356"/>
      <c r="AE151" s="18">
        <v>1</v>
      </c>
      <c r="AF151" s="8" t="s">
        <v>17</v>
      </c>
      <c r="AG151" s="480">
        <f t="shared" si="28"/>
        <v>1</v>
      </c>
      <c r="AH151" s="481" t="str">
        <f t="shared" si="29"/>
        <v>QUART/L</v>
      </c>
      <c r="AI151" s="477" t="str">
        <f>IF($AC$151="","",IFERROR(INDEX($AZ$74:$AZ$119,MATCH($AH$151,$AY$74:$AY$119,0)),"AUTRE"))</f>
        <v>VOLUME</v>
      </c>
      <c r="AJ151" s="482">
        <f>IF($AC$151="","",IFERROR(INDEX($BA$74:$BA$119,MATCH($AH$151,$AY$74:$AY$119,0)),1))</f>
        <v>0.25</v>
      </c>
      <c r="AK151" s="482">
        <f t="shared" si="30"/>
        <v>0.25</v>
      </c>
      <c r="AL151" s="477" t="str">
        <f>IF($AC$151="","",IFERROR(INDEX($BB$74:$BB$119,MATCH($AH$151,$AY$74:$AY$119,0)),$AH$151))</f>
        <v>L</v>
      </c>
      <c r="AM151" s="483" t="str">
        <f t="shared" si="31"/>
        <v>OK</v>
      </c>
      <c r="AN151" s="484">
        <f t="shared" si="32"/>
        <v>1</v>
      </c>
      <c r="AO151" s="473" t="str">
        <f t="shared" si="33"/>
        <v/>
      </c>
      <c r="AP151" s="473" t="str">
        <f t="shared" si="34"/>
        <v/>
      </c>
      <c r="AQ151" s="473" t="str">
        <f t="shared" si="35"/>
        <v/>
      </c>
      <c r="AR151" s="473" t="str">
        <f t="shared" si="36"/>
        <v/>
      </c>
      <c r="AS151" s="473" t="str">
        <f t="shared" si="37"/>
        <v/>
      </c>
      <c r="AT151" s="473" t="str">
        <f t="shared" si="38"/>
        <v/>
      </c>
      <c r="AU151" s="473" t="str">
        <f t="shared" si="39"/>
        <v/>
      </c>
      <c r="AZ151" s="32" t="s">
        <v>305</v>
      </c>
      <c r="BA151" s="34" t="s">
        <v>6132</v>
      </c>
      <c r="BB151" s="500"/>
      <c r="BC151" s="271"/>
      <c r="BD151" s="279">
        <v>1</v>
      </c>
      <c r="BE151" s="271"/>
      <c r="BF151" s="271"/>
      <c r="BG151" s="271"/>
      <c r="BH151" s="271"/>
      <c r="BI151" s="271"/>
      <c r="BJ151" s="271"/>
      <c r="BK151" s="271"/>
      <c r="BL151" s="271"/>
    </row>
    <row r="152" spans="18:64" ht="21" customHeight="1" x14ac:dyDescent="0.25">
      <c r="R152" s="34" t="s">
        <v>476</v>
      </c>
      <c r="S152" s="451"/>
      <c r="T152" s="32" t="s">
        <v>318</v>
      </c>
      <c r="V152" s="475">
        <v>3</v>
      </c>
      <c r="W152" s="475" t="str">
        <f>IF($AC$152="","",$W$144)</f>
        <v>N° 03</v>
      </c>
      <c r="X152" s="476" t="str">
        <f>IF($AC$152="","",$X$144)</f>
        <v>CREME DE POIS CHICHES (HOMOS)</v>
      </c>
      <c r="Y152" s="477">
        <f>IF($X$152="","",$Y$144)</f>
        <v>20</v>
      </c>
      <c r="Z152" s="477">
        <f>IF($X$152="","",$Z$144)</f>
        <v>100</v>
      </c>
      <c r="AA152" s="477">
        <f>IF($AC$152="","",ROW($A$152)-ROW($A$144))</f>
        <v>8</v>
      </c>
      <c r="AB152" s="478"/>
      <c r="AC152" s="34" t="s">
        <v>45</v>
      </c>
      <c r="AD152" s="356"/>
      <c r="AE152" s="18">
        <v>1</v>
      </c>
      <c r="AF152" s="9" t="s">
        <v>315</v>
      </c>
      <c r="AG152" s="480">
        <f t="shared" si="28"/>
        <v>1</v>
      </c>
      <c r="AH152" s="481" t="str">
        <f t="shared" si="29"/>
        <v>BOTTE(S)</v>
      </c>
      <c r="AI152" s="477" t="str">
        <f>IF($AC$152="","",IFERROR(INDEX($AZ$74:$AZ$119,MATCH($AH$152,$AY$74:$AY$119,0)),"AUTRE"))</f>
        <v>AUTRE</v>
      </c>
      <c r="AJ152" s="482">
        <f>IF($AC$152="","",IFERROR(INDEX($BA$74:$BA$119,MATCH($AH$152,$AY$74:$AY$119,0)),1))</f>
        <v>1</v>
      </c>
      <c r="AK152" s="482">
        <f t="shared" si="30"/>
        <v>1</v>
      </c>
      <c r="AL152" s="477" t="str">
        <f>IF($AC$152="","",IFERROR(INDEX($BB$74:$BB$119,MATCH($AH$152,$AY$74:$AY$119,0)),$AH$152))</f>
        <v>BOTTE(S)</v>
      </c>
      <c r="AM152" s="483" t="str">
        <f t="shared" si="31"/>
        <v>UNITÉ À CONTRÔLER</v>
      </c>
      <c r="AN152" s="484">
        <f t="shared" si="32"/>
        <v>1</v>
      </c>
      <c r="AO152" s="473" t="str">
        <f t="shared" si="33"/>
        <v/>
      </c>
      <c r="AP152" s="473" t="str">
        <f t="shared" si="34"/>
        <v/>
      </c>
      <c r="AQ152" s="473" t="str">
        <f t="shared" si="35"/>
        <v/>
      </c>
      <c r="AR152" s="473" t="str">
        <f t="shared" si="36"/>
        <v/>
      </c>
      <c r="AS152" s="473" t="str">
        <f t="shared" si="37"/>
        <v/>
      </c>
      <c r="AT152" s="473" t="str">
        <f t="shared" si="38"/>
        <v/>
      </c>
      <c r="AU152" s="473" t="str">
        <f t="shared" si="39"/>
        <v/>
      </c>
      <c r="AZ152" s="32" t="s">
        <v>8129</v>
      </c>
      <c r="BA152" s="25" t="s">
        <v>6133</v>
      </c>
      <c r="BB152" s="500"/>
      <c r="BC152" s="271"/>
      <c r="BD152" s="279">
        <v>1</v>
      </c>
      <c r="BE152" s="271"/>
      <c r="BF152" s="271"/>
      <c r="BG152" s="271"/>
      <c r="BH152" s="271"/>
      <c r="BI152" s="271"/>
      <c r="BJ152" s="271"/>
      <c r="BK152" s="271"/>
      <c r="BL152" s="271"/>
    </row>
    <row r="153" spans="18:64" ht="21" customHeight="1" x14ac:dyDescent="0.25">
      <c r="R153" s="34" t="s">
        <v>468</v>
      </c>
      <c r="S153" s="451"/>
      <c r="T153" s="32" t="s">
        <v>316</v>
      </c>
      <c r="V153" s="475">
        <v>3</v>
      </c>
      <c r="W153" s="475" t="str">
        <f>IF($AC$153="","",$W$144)</f>
        <v/>
      </c>
      <c r="X153" s="476" t="str">
        <f>IF($AC$153="","",$X$144)</f>
        <v/>
      </c>
      <c r="Y153" s="477" t="str">
        <f>IF($X$153="","",$Y$144)</f>
        <v/>
      </c>
      <c r="Z153" s="477" t="str">
        <f>IF($X$153="","",$Z$144)</f>
        <v/>
      </c>
      <c r="AA153" s="477" t="str">
        <f>IF($AC$153="","",ROW($A$153)-ROW($A$144))</f>
        <v/>
      </c>
      <c r="AB153" s="478"/>
      <c r="AC153" s="34"/>
      <c r="AD153" s="356"/>
      <c r="AE153" s="18"/>
      <c r="AF153" s="19"/>
      <c r="AG153" s="480" t="str">
        <f t="shared" si="28"/>
        <v/>
      </c>
      <c r="AH153" s="481" t="str">
        <f t="shared" si="29"/>
        <v/>
      </c>
      <c r="AI153" s="477" t="str">
        <f>IF($AC$153="","",IFERROR(INDEX($AZ$74:$AZ$119,MATCH($AH$153,$AY$74:$AY$119,0)),"AUTRE"))</f>
        <v/>
      </c>
      <c r="AJ153" s="482" t="str">
        <f>IF($AC$153="","",IFERROR(INDEX($BA$74:$BA$119,MATCH($AH$153,$AY$74:$AY$119,0)),1))</f>
        <v/>
      </c>
      <c r="AK153" s="482" t="str">
        <f t="shared" si="30"/>
        <v/>
      </c>
      <c r="AL153" s="477" t="str">
        <f>IF($AC$153="","",IFERROR(INDEX($BB$74:$BB$119,MATCH($AH$153,$AY$74:$AY$119,0)),$AH$153))</f>
        <v/>
      </c>
      <c r="AM153" s="483" t="str">
        <f t="shared" si="31"/>
        <v/>
      </c>
      <c r="AN153" s="484" t="str">
        <f t="shared" si="32"/>
        <v/>
      </c>
      <c r="AO153" s="473" t="str">
        <f t="shared" si="33"/>
        <v/>
      </c>
      <c r="AP153" s="473" t="str">
        <f t="shared" si="34"/>
        <v/>
      </c>
      <c r="AQ153" s="473" t="str">
        <f t="shared" si="35"/>
        <v/>
      </c>
      <c r="AR153" s="473" t="str">
        <f t="shared" si="36"/>
        <v/>
      </c>
      <c r="AS153" s="473" t="str">
        <f t="shared" si="37"/>
        <v/>
      </c>
      <c r="AT153" s="473" t="str">
        <f t="shared" si="38"/>
        <v/>
      </c>
      <c r="AU153" s="473" t="str">
        <f t="shared" si="39"/>
        <v/>
      </c>
      <c r="AZ153" s="32" t="s">
        <v>8131</v>
      </c>
      <c r="BA153" s="34" t="s">
        <v>476</v>
      </c>
      <c r="BB153" s="500"/>
      <c r="BC153" s="271"/>
      <c r="BD153" s="279">
        <v>1</v>
      </c>
      <c r="BE153" s="271"/>
      <c r="BF153" s="271"/>
      <c r="BG153" s="271"/>
      <c r="BH153" s="271"/>
      <c r="BI153" s="271"/>
      <c r="BJ153" s="271"/>
      <c r="BK153" s="271"/>
      <c r="BL153" s="271"/>
    </row>
    <row r="154" spans="18:64" ht="21" customHeight="1" x14ac:dyDescent="0.25">
      <c r="R154" s="34" t="s">
        <v>473</v>
      </c>
      <c r="S154" s="451"/>
      <c r="T154" s="32" t="s">
        <v>313</v>
      </c>
      <c r="V154" s="475">
        <v>3</v>
      </c>
      <c r="W154" s="475" t="str">
        <f>IF($AC$154="","",$W$144)</f>
        <v/>
      </c>
      <c r="X154" s="476" t="str">
        <f>IF($AC$154="","",$X$144)</f>
        <v/>
      </c>
      <c r="Y154" s="477" t="str">
        <f>IF($X$154="","",$Y$144)</f>
        <v/>
      </c>
      <c r="Z154" s="477" t="str">
        <f>IF($X$154="","",$Z$144)</f>
        <v/>
      </c>
      <c r="AA154" s="477" t="str">
        <f>IF($AC$154="","",ROW($A$154)-ROW($A$144))</f>
        <v/>
      </c>
      <c r="AB154" s="478"/>
      <c r="AC154" s="34"/>
      <c r="AD154" s="356"/>
      <c r="AE154" s="18"/>
      <c r="AF154" s="19"/>
      <c r="AG154" s="480" t="str">
        <f t="shared" si="28"/>
        <v/>
      </c>
      <c r="AH154" s="481" t="str">
        <f t="shared" si="29"/>
        <v/>
      </c>
      <c r="AI154" s="477" t="str">
        <f>IF($AC$154="","",IFERROR(INDEX($AZ$74:$AZ$119,MATCH($AH$154,$AY$74:$AY$119,0)),"AUTRE"))</f>
        <v/>
      </c>
      <c r="AJ154" s="482" t="str">
        <f>IF($AC$154="","",IFERROR(INDEX($BA$74:$BA$119,MATCH($AH$154,$AY$74:$AY$119,0)),1))</f>
        <v/>
      </c>
      <c r="AK154" s="482" t="str">
        <f t="shared" si="30"/>
        <v/>
      </c>
      <c r="AL154" s="477" t="str">
        <f>IF($AC$154="","",IFERROR(INDEX($BB$74:$BB$119,MATCH($AH$154,$AY$74:$AY$119,0)),$AH$154))</f>
        <v/>
      </c>
      <c r="AM154" s="483" t="str">
        <f t="shared" si="31"/>
        <v/>
      </c>
      <c r="AN154" s="484" t="str">
        <f t="shared" si="32"/>
        <v/>
      </c>
      <c r="AO154" s="473" t="str">
        <f t="shared" si="33"/>
        <v/>
      </c>
      <c r="AP154" s="473" t="str">
        <f t="shared" si="34"/>
        <v/>
      </c>
      <c r="AQ154" s="473" t="str">
        <f t="shared" si="35"/>
        <v/>
      </c>
      <c r="AR154" s="473" t="str">
        <f t="shared" si="36"/>
        <v/>
      </c>
      <c r="AS154" s="473" t="str">
        <f t="shared" si="37"/>
        <v/>
      </c>
      <c r="AT154" s="473" t="str">
        <f t="shared" si="38"/>
        <v/>
      </c>
      <c r="AU154" s="473" t="str">
        <f t="shared" si="39"/>
        <v/>
      </c>
      <c r="AZ154" s="32" t="s">
        <v>309</v>
      </c>
      <c r="BA154" s="34" t="s">
        <v>468</v>
      </c>
      <c r="BB154" s="500"/>
      <c r="BC154" s="271"/>
      <c r="BD154" s="279">
        <v>1</v>
      </c>
      <c r="BE154" s="271"/>
      <c r="BF154" s="271"/>
      <c r="BG154" s="271"/>
      <c r="BH154" s="271"/>
      <c r="BI154" s="271"/>
      <c r="BJ154" s="271"/>
      <c r="BK154" s="271"/>
      <c r="BL154" s="271"/>
    </row>
    <row r="155" spans="18:64" ht="21" customHeight="1" x14ac:dyDescent="0.25">
      <c r="R155" s="34" t="s">
        <v>497</v>
      </c>
      <c r="S155" s="451"/>
      <c r="T155" s="32" t="s">
        <v>307</v>
      </c>
      <c r="V155" s="475">
        <v>3</v>
      </c>
      <c r="W155" s="475" t="str">
        <f>IF($AC$155="","",$W$144)</f>
        <v/>
      </c>
      <c r="X155" s="476" t="str">
        <f>IF($AC$155="","",$X$144)</f>
        <v/>
      </c>
      <c r="Y155" s="477" t="str">
        <f>IF($X$155="","",$Y$144)</f>
        <v/>
      </c>
      <c r="Z155" s="477" t="str">
        <f>IF($X$155="","",$Z$144)</f>
        <v/>
      </c>
      <c r="AA155" s="477" t="str">
        <f>IF($AC$155="","",ROW($A$155)-ROW($A$144))</f>
        <v/>
      </c>
      <c r="AB155" s="478"/>
      <c r="AC155" s="34"/>
      <c r="AD155" s="356"/>
      <c r="AE155" s="18"/>
      <c r="AF155" s="19"/>
      <c r="AG155" s="480" t="str">
        <f t="shared" si="28"/>
        <v/>
      </c>
      <c r="AH155" s="481" t="str">
        <f t="shared" si="29"/>
        <v/>
      </c>
      <c r="AI155" s="477" t="str">
        <f>IF($AC$155="","",IFERROR(INDEX($AZ$74:$AZ$119,MATCH($AH$155,$AY$74:$AY$119,0)),"AUTRE"))</f>
        <v/>
      </c>
      <c r="AJ155" s="482" t="str">
        <f>IF($AC$155="","",IFERROR(INDEX($BA$74:$BA$119,MATCH($AH$155,$AY$74:$AY$119,0)),1))</f>
        <v/>
      </c>
      <c r="AK155" s="482" t="str">
        <f t="shared" si="30"/>
        <v/>
      </c>
      <c r="AL155" s="477" t="str">
        <f>IF($AC$155="","",IFERROR(INDEX($BB$74:$BB$119,MATCH($AH$155,$AY$74:$AY$119,0)),$AH$155))</f>
        <v/>
      </c>
      <c r="AM155" s="483" t="str">
        <f t="shared" si="31"/>
        <v/>
      </c>
      <c r="AN155" s="484" t="str">
        <f t="shared" si="32"/>
        <v/>
      </c>
      <c r="AO155" s="473" t="str">
        <f t="shared" si="33"/>
        <v/>
      </c>
      <c r="AP155" s="473" t="str">
        <f t="shared" si="34"/>
        <v/>
      </c>
      <c r="AQ155" s="473" t="str">
        <f t="shared" si="35"/>
        <v/>
      </c>
      <c r="AR155" s="473" t="str">
        <f t="shared" si="36"/>
        <v/>
      </c>
      <c r="AS155" s="473" t="str">
        <f t="shared" si="37"/>
        <v/>
      </c>
      <c r="AT155" s="473" t="str">
        <f t="shared" si="38"/>
        <v/>
      </c>
      <c r="AU155" s="473" t="str">
        <f t="shared" si="39"/>
        <v/>
      </c>
      <c r="AZ155" s="32" t="s">
        <v>311</v>
      </c>
      <c r="BA155" s="34" t="s">
        <v>473</v>
      </c>
      <c r="BB155" s="500"/>
      <c r="BC155" s="271"/>
      <c r="BD155" s="279">
        <v>1</v>
      </c>
      <c r="BE155" s="271"/>
      <c r="BF155" s="271"/>
      <c r="BG155" s="271"/>
      <c r="BH155" s="271"/>
      <c r="BI155" s="271"/>
      <c r="BJ155" s="271"/>
      <c r="BK155" s="271"/>
      <c r="BL155" s="271"/>
    </row>
    <row r="156" spans="18:64" ht="21" customHeight="1" x14ac:dyDescent="0.25">
      <c r="R156" s="34" t="s">
        <v>470</v>
      </c>
      <c r="S156" s="451"/>
      <c r="T156" s="32" t="s">
        <v>322</v>
      </c>
      <c r="V156" s="475">
        <v>3</v>
      </c>
      <c r="W156" s="475" t="str">
        <f>IF($AC$156="","",$W$144)</f>
        <v/>
      </c>
      <c r="X156" s="476" t="str">
        <f>IF($AC$156="","",$X$144)</f>
        <v/>
      </c>
      <c r="Y156" s="477" t="str">
        <f>IF($X$156="","",$Y$144)</f>
        <v/>
      </c>
      <c r="Z156" s="477" t="str">
        <f>IF($X$156="","",$Z$144)</f>
        <v/>
      </c>
      <c r="AA156" s="477" t="str">
        <f>IF($AC$156="","",ROW($A$156)-ROW($A$144))</f>
        <v/>
      </c>
      <c r="AB156" s="478"/>
      <c r="AC156" s="34"/>
      <c r="AD156" s="356"/>
      <c r="AE156" s="18"/>
      <c r="AF156" s="19"/>
      <c r="AG156" s="480" t="str">
        <f t="shared" si="28"/>
        <v/>
      </c>
      <c r="AH156" s="481" t="str">
        <f t="shared" si="29"/>
        <v/>
      </c>
      <c r="AI156" s="477" t="str">
        <f>IF($AC$156="","",IFERROR(INDEX($AZ$74:$AZ$119,MATCH($AH$156,$AY$74:$AY$119,0)),"AUTRE"))</f>
        <v/>
      </c>
      <c r="AJ156" s="482" t="str">
        <f>IF($AC$156="","",IFERROR(INDEX($BA$74:$BA$119,MATCH($AH$156,$AY$74:$AY$119,0)),1))</f>
        <v/>
      </c>
      <c r="AK156" s="482" t="str">
        <f t="shared" si="30"/>
        <v/>
      </c>
      <c r="AL156" s="477" t="str">
        <f>IF($AC$156="","",IFERROR(INDEX($BB$74:$BB$119,MATCH($AH$156,$AY$74:$AY$119,0)),$AH$156))</f>
        <v/>
      </c>
      <c r="AM156" s="483" t="str">
        <f t="shared" si="31"/>
        <v/>
      </c>
      <c r="AN156" s="484" t="str">
        <f t="shared" si="32"/>
        <v/>
      </c>
      <c r="AO156" s="473" t="str">
        <f t="shared" si="33"/>
        <v/>
      </c>
      <c r="AP156" s="473" t="str">
        <f t="shared" si="34"/>
        <v/>
      </c>
      <c r="AQ156" s="473" t="str">
        <f t="shared" si="35"/>
        <v/>
      </c>
      <c r="AR156" s="473" t="str">
        <f t="shared" si="36"/>
        <v/>
      </c>
      <c r="AS156" s="473" t="str">
        <f t="shared" si="37"/>
        <v/>
      </c>
      <c r="AT156" s="473" t="str">
        <f t="shared" si="38"/>
        <v/>
      </c>
      <c r="AU156" s="473" t="str">
        <f t="shared" si="39"/>
        <v/>
      </c>
      <c r="AZ156" s="32" t="s">
        <v>8135</v>
      </c>
      <c r="BA156" s="34" t="s">
        <v>497</v>
      </c>
      <c r="BB156" s="500"/>
      <c r="BC156" s="271"/>
      <c r="BD156" s="279">
        <v>1</v>
      </c>
      <c r="BE156" s="271"/>
      <c r="BF156" s="271"/>
      <c r="BG156" s="271"/>
      <c r="BH156" s="271"/>
      <c r="BI156" s="271"/>
      <c r="BJ156" s="271"/>
      <c r="BK156" s="271"/>
      <c r="BL156" s="271"/>
    </row>
    <row r="157" spans="18:64" ht="21" customHeight="1" x14ac:dyDescent="0.25">
      <c r="R157" s="34" t="s">
        <v>477</v>
      </c>
      <c r="S157" s="451"/>
      <c r="T157" s="32" t="s">
        <v>305</v>
      </c>
      <c r="V157" s="475">
        <v>3</v>
      </c>
      <c r="W157" s="475" t="str">
        <f>IF($AC$157="","",$W$144)</f>
        <v/>
      </c>
      <c r="X157" s="476" t="str">
        <f>IF($AC$157="","",$X$144)</f>
        <v/>
      </c>
      <c r="Y157" s="477" t="str">
        <f>IF($X$157="","",$Y$144)</f>
        <v/>
      </c>
      <c r="Z157" s="477" t="str">
        <f>IF($X$157="","",$Z$144)</f>
        <v/>
      </c>
      <c r="AA157" s="477" t="str">
        <f>IF($AC$157="","",ROW($A$157)-ROW($A$144))</f>
        <v/>
      </c>
      <c r="AB157" s="478"/>
      <c r="AC157" s="34"/>
      <c r="AD157" s="356"/>
      <c r="AE157" s="18"/>
      <c r="AF157" s="19"/>
      <c r="AG157" s="480" t="str">
        <f t="shared" si="28"/>
        <v/>
      </c>
      <c r="AH157" s="481" t="str">
        <f t="shared" si="29"/>
        <v/>
      </c>
      <c r="AI157" s="477" t="str">
        <f>IF($AC$157="","",IFERROR(INDEX($AZ$74:$AZ$119,MATCH($AH$157,$AY$74:$AY$119,0)),"AUTRE"))</f>
        <v/>
      </c>
      <c r="AJ157" s="482" t="str">
        <f>IF($AC$157="","",IFERROR(INDEX($BA$74:$BA$119,MATCH($AH$157,$AY$74:$AY$119,0)),1))</f>
        <v/>
      </c>
      <c r="AK157" s="482" t="str">
        <f t="shared" si="30"/>
        <v/>
      </c>
      <c r="AL157" s="477" t="str">
        <f>IF($AC$157="","",IFERROR(INDEX($BB$74:$BB$119,MATCH($AH$157,$AY$74:$AY$119,0)),$AH$157))</f>
        <v/>
      </c>
      <c r="AM157" s="483" t="str">
        <f t="shared" si="31"/>
        <v/>
      </c>
      <c r="AN157" s="484" t="str">
        <f t="shared" si="32"/>
        <v/>
      </c>
      <c r="AO157" s="473" t="str">
        <f t="shared" si="33"/>
        <v/>
      </c>
      <c r="AP157" s="473" t="str">
        <f t="shared" si="34"/>
        <v/>
      </c>
      <c r="AQ157" s="473" t="str">
        <f t="shared" si="35"/>
        <v/>
      </c>
      <c r="AR157" s="473" t="str">
        <f t="shared" si="36"/>
        <v/>
      </c>
      <c r="AS157" s="473" t="str">
        <f t="shared" si="37"/>
        <v/>
      </c>
      <c r="AT157" s="473" t="str">
        <f t="shared" si="38"/>
        <v/>
      </c>
      <c r="AU157" s="473" t="str">
        <f t="shared" si="39"/>
        <v/>
      </c>
      <c r="AZ157" s="32" t="s">
        <v>8137</v>
      </c>
      <c r="BA157" s="34" t="s">
        <v>470</v>
      </c>
      <c r="BB157" s="500"/>
      <c r="BC157" s="271"/>
      <c r="BD157" s="279">
        <v>1</v>
      </c>
      <c r="BE157" s="271"/>
      <c r="BF157" s="271"/>
      <c r="BG157" s="271"/>
      <c r="BH157" s="271"/>
      <c r="BI157" s="271"/>
      <c r="BJ157" s="271"/>
      <c r="BK157" s="271"/>
      <c r="BL157" s="271"/>
    </row>
    <row r="158" spans="18:64" ht="21" customHeight="1" x14ac:dyDescent="0.25">
      <c r="S158" s="451"/>
      <c r="T158" s="32" t="s">
        <v>309</v>
      </c>
      <c r="V158" s="475">
        <v>3</v>
      </c>
      <c r="W158" s="475" t="str">
        <f>IF($AC$158="","",$W$144)</f>
        <v/>
      </c>
      <c r="X158" s="476" t="str">
        <f>IF($AC$158="","",$X$144)</f>
        <v/>
      </c>
      <c r="Y158" s="477" t="str">
        <f>IF($X$158="","",$Y$144)</f>
        <v/>
      </c>
      <c r="Z158" s="477" t="str">
        <f>IF($X$158="","",$Z$144)</f>
        <v/>
      </c>
      <c r="AA158" s="477" t="str">
        <f>IF($AC$158="","",ROW($A$158)-ROW($A$144))</f>
        <v/>
      </c>
      <c r="AB158" s="478"/>
      <c r="AC158" s="34"/>
      <c r="AD158" s="356"/>
      <c r="AE158" s="18"/>
      <c r="AF158" s="19"/>
      <c r="AG158" s="480" t="str">
        <f t="shared" si="28"/>
        <v/>
      </c>
      <c r="AH158" s="481" t="str">
        <f t="shared" si="29"/>
        <v/>
      </c>
      <c r="AI158" s="477" t="str">
        <f>IF($AC$158="","",IFERROR(INDEX($AZ$74:$AZ$119,MATCH($AH$158,$AY$74:$AY$119,0)),"AUTRE"))</f>
        <v/>
      </c>
      <c r="AJ158" s="482" t="str">
        <f>IF($AC$158="","",IFERROR(INDEX($BA$74:$BA$119,MATCH($AH$158,$AY$74:$AY$119,0)),1))</f>
        <v/>
      </c>
      <c r="AK158" s="482" t="str">
        <f t="shared" si="30"/>
        <v/>
      </c>
      <c r="AL158" s="477" t="str">
        <f>IF($AC$158="","",IFERROR(INDEX($BB$74:$BB$119,MATCH($AH$158,$AY$74:$AY$119,0)),$AH$158))</f>
        <v/>
      </c>
      <c r="AM158" s="483" t="str">
        <f t="shared" si="31"/>
        <v/>
      </c>
      <c r="AN158" s="484" t="str">
        <f t="shared" si="32"/>
        <v/>
      </c>
      <c r="AO158" s="473" t="str">
        <f t="shared" si="33"/>
        <v/>
      </c>
      <c r="AP158" s="473" t="str">
        <f t="shared" si="34"/>
        <v/>
      </c>
      <c r="AQ158" s="473" t="str">
        <f t="shared" si="35"/>
        <v/>
      </c>
      <c r="AR158" s="473" t="str">
        <f t="shared" si="36"/>
        <v/>
      </c>
      <c r="AS158" s="473" t="str">
        <f t="shared" si="37"/>
        <v/>
      </c>
      <c r="AT158" s="473" t="str">
        <f t="shared" si="38"/>
        <v/>
      </c>
      <c r="AU158" s="473" t="str">
        <f t="shared" si="39"/>
        <v/>
      </c>
      <c r="AZ158" s="32" t="s">
        <v>8139</v>
      </c>
      <c r="BA158" s="34" t="s">
        <v>477</v>
      </c>
      <c r="BB158" s="500"/>
      <c r="BC158" s="271"/>
      <c r="BD158" s="279">
        <v>1</v>
      </c>
      <c r="BE158" s="271"/>
      <c r="BF158" s="271"/>
      <c r="BG158" s="271"/>
      <c r="BH158" s="271"/>
      <c r="BI158" s="271"/>
      <c r="BJ158" s="271"/>
      <c r="BK158" s="271"/>
      <c r="BL158" s="271"/>
    </row>
    <row r="159" spans="18:64" ht="21" customHeight="1" x14ac:dyDescent="0.25">
      <c r="R159" s="25" t="s">
        <v>6134</v>
      </c>
      <c r="S159" s="451"/>
      <c r="T159" s="32" t="s">
        <v>311</v>
      </c>
      <c r="V159" s="475">
        <v>3</v>
      </c>
      <c r="W159" s="475" t="str">
        <f>IF($AC$159="","",$W$144)</f>
        <v/>
      </c>
      <c r="X159" s="476" t="str">
        <f>IF($AC$159="","",$X$144)</f>
        <v/>
      </c>
      <c r="Y159" s="477" t="str">
        <f>IF($X$159="","",$Y$144)</f>
        <v/>
      </c>
      <c r="Z159" s="477" t="str">
        <f>IF($X$159="","",$Z$144)</f>
        <v/>
      </c>
      <c r="AA159" s="477" t="str">
        <f>IF($AC$159="","",ROW($A$159)-ROW($A$144))</f>
        <v/>
      </c>
      <c r="AB159" s="478"/>
      <c r="AC159" s="34"/>
      <c r="AD159" s="356"/>
      <c r="AE159" s="18"/>
      <c r="AF159" s="19"/>
      <c r="AG159" s="480" t="str">
        <f t="shared" si="28"/>
        <v/>
      </c>
      <c r="AH159" s="481" t="str">
        <f t="shared" si="29"/>
        <v/>
      </c>
      <c r="AI159" s="477" t="str">
        <f>IF($AC$159="","",IFERROR(INDEX($AZ$74:$AZ$119,MATCH($AH$159,$AY$74:$AY$119,0)),"AUTRE"))</f>
        <v/>
      </c>
      <c r="AJ159" s="482" t="str">
        <f>IF($AC$159="","",IFERROR(INDEX($BA$74:$BA$119,MATCH($AH$159,$AY$74:$AY$119,0)),1))</f>
        <v/>
      </c>
      <c r="AK159" s="482" t="str">
        <f t="shared" si="30"/>
        <v/>
      </c>
      <c r="AL159" s="477" t="str">
        <f>IF($AC$159="","",IFERROR(INDEX($BB$74:$BB$119,MATCH($AH$159,$AY$74:$AY$119,0)),$AH$159))</f>
        <v/>
      </c>
      <c r="AM159" s="483" t="str">
        <f t="shared" si="31"/>
        <v/>
      </c>
      <c r="AN159" s="484" t="str">
        <f t="shared" si="32"/>
        <v/>
      </c>
      <c r="AO159" s="473" t="str">
        <f t="shared" si="33"/>
        <v/>
      </c>
      <c r="AP159" s="473" t="str">
        <f t="shared" si="34"/>
        <v/>
      </c>
      <c r="AQ159" s="473" t="str">
        <f t="shared" si="35"/>
        <v/>
      </c>
      <c r="AR159" s="473" t="str">
        <f t="shared" si="36"/>
        <v/>
      </c>
      <c r="AS159" s="473" t="str">
        <f t="shared" si="37"/>
        <v/>
      </c>
      <c r="AT159" s="473" t="str">
        <f t="shared" si="38"/>
        <v/>
      </c>
      <c r="AU159" s="473" t="str">
        <f t="shared" si="39"/>
        <v/>
      </c>
      <c r="AZ159" s="32" t="s">
        <v>8141</v>
      </c>
      <c r="BB159" s="500"/>
      <c r="BC159" s="271"/>
      <c r="BD159" s="279">
        <v>1</v>
      </c>
      <c r="BE159" s="271"/>
      <c r="BF159" s="271"/>
      <c r="BG159" s="271"/>
      <c r="BH159" s="271"/>
      <c r="BI159" s="271"/>
      <c r="BJ159" s="271"/>
      <c r="BK159" s="271"/>
      <c r="BL159" s="271"/>
    </row>
    <row r="160" spans="18:64" ht="21" customHeight="1" x14ac:dyDescent="0.25">
      <c r="R160" s="34" t="s">
        <v>481</v>
      </c>
      <c r="S160" s="451"/>
      <c r="T160" s="32" t="s">
        <v>8135</v>
      </c>
      <c r="V160" s="475">
        <v>3</v>
      </c>
      <c r="W160" s="475" t="str">
        <f>IF($AC$160="","",$W$144)</f>
        <v/>
      </c>
      <c r="X160" s="476" t="str">
        <f>IF($AC$160="","",$X$144)</f>
        <v/>
      </c>
      <c r="Y160" s="477" t="str">
        <f>IF($X$160="","",$Y$144)</f>
        <v/>
      </c>
      <c r="Z160" s="477" t="str">
        <f>IF($X$160="","",$Z$144)</f>
        <v/>
      </c>
      <c r="AA160" s="477" t="str">
        <f>IF($AC$160="","",ROW($A$160)-ROW($A$144))</f>
        <v/>
      </c>
      <c r="AB160" s="478"/>
      <c r="AC160" s="34"/>
      <c r="AD160" s="356"/>
      <c r="AE160" s="18"/>
      <c r="AF160" s="19"/>
      <c r="AG160" s="480" t="str">
        <f t="shared" si="28"/>
        <v/>
      </c>
      <c r="AH160" s="481" t="str">
        <f t="shared" si="29"/>
        <v/>
      </c>
      <c r="AI160" s="477" t="str">
        <f>IF($AC$160="","",IFERROR(INDEX($AZ$74:$AZ$119,MATCH($AH$160,$AY$74:$AY$119,0)),"AUTRE"))</f>
        <v/>
      </c>
      <c r="AJ160" s="482" t="str">
        <f>IF($AC$160="","",IFERROR(INDEX($BA$74:$BA$119,MATCH($AH$160,$AY$74:$AY$119,0)),1))</f>
        <v/>
      </c>
      <c r="AK160" s="482" t="str">
        <f t="shared" si="30"/>
        <v/>
      </c>
      <c r="AL160" s="477" t="str">
        <f>IF($AC$160="","",IFERROR(INDEX($BB$74:$BB$119,MATCH($AH$160,$AY$74:$AY$119,0)),$AH$160))</f>
        <v/>
      </c>
      <c r="AM160" s="483" t="str">
        <f t="shared" si="31"/>
        <v/>
      </c>
      <c r="AN160" s="484" t="str">
        <f t="shared" si="32"/>
        <v/>
      </c>
      <c r="AO160" s="473" t="str">
        <f t="shared" si="33"/>
        <v/>
      </c>
      <c r="AP160" s="473" t="str">
        <f t="shared" si="34"/>
        <v/>
      </c>
      <c r="AQ160" s="473" t="str">
        <f t="shared" si="35"/>
        <v/>
      </c>
      <c r="AR160" s="473" t="str">
        <f t="shared" si="36"/>
        <v/>
      </c>
      <c r="AS160" s="473" t="str">
        <f t="shared" si="37"/>
        <v/>
      </c>
      <c r="AT160" s="473" t="str">
        <f t="shared" si="38"/>
        <v/>
      </c>
      <c r="AU160" s="473" t="str">
        <f t="shared" si="39"/>
        <v/>
      </c>
      <c r="AZ160" s="32" t="s">
        <v>8143</v>
      </c>
      <c r="BA160" s="25" t="s">
        <v>6134</v>
      </c>
      <c r="BB160" s="500"/>
      <c r="BC160" s="271"/>
      <c r="BD160" s="279">
        <v>1</v>
      </c>
      <c r="BE160" s="271"/>
      <c r="BF160" s="271"/>
      <c r="BG160" s="271"/>
      <c r="BH160" s="271"/>
      <c r="BI160" s="271"/>
      <c r="BJ160" s="271"/>
      <c r="BK160" s="271"/>
      <c r="BL160" s="271"/>
    </row>
    <row r="161" spans="18:64" ht="21" customHeight="1" x14ac:dyDescent="0.25">
      <c r="R161" s="34" t="s">
        <v>475</v>
      </c>
      <c r="S161" s="451"/>
      <c r="T161" s="497" t="s">
        <v>462</v>
      </c>
      <c r="V161" s="475">
        <v>3</v>
      </c>
      <c r="W161" s="475" t="str">
        <f>IF($AC$161="","",$W$144)</f>
        <v/>
      </c>
      <c r="X161" s="476" t="str">
        <f>IF($AC$161="","",$X$144)</f>
        <v/>
      </c>
      <c r="Y161" s="477" t="str">
        <f>IF($X$161="","",$Y$144)</f>
        <v/>
      </c>
      <c r="Z161" s="477" t="str">
        <f>IF($X$161="","",$Z$144)</f>
        <v/>
      </c>
      <c r="AA161" s="477" t="str">
        <f>IF($AC$161="","",ROW($A$161)-ROW($A$144))</f>
        <v/>
      </c>
      <c r="AB161" s="478"/>
      <c r="AC161" s="34"/>
      <c r="AD161" s="356"/>
      <c r="AE161" s="18"/>
      <c r="AF161" s="19"/>
      <c r="AG161" s="480" t="str">
        <f t="shared" si="28"/>
        <v/>
      </c>
      <c r="AH161" s="481" t="str">
        <f t="shared" si="29"/>
        <v/>
      </c>
      <c r="AI161" s="477" t="str">
        <f>IF($AC$161="","",IFERROR(INDEX($AZ$74:$AZ$119,MATCH($AH$161,$AY$74:$AY$119,0)),"AUTRE"))</f>
        <v/>
      </c>
      <c r="AJ161" s="482" t="str">
        <f>IF($AC$161="","",IFERROR(INDEX($BA$74:$BA$119,MATCH($AH$161,$AY$74:$AY$119,0)),1))</f>
        <v/>
      </c>
      <c r="AK161" s="482" t="str">
        <f t="shared" si="30"/>
        <v/>
      </c>
      <c r="AL161" s="477" t="str">
        <f>IF($AC$161="","",IFERROR(INDEX($BB$74:$BB$119,MATCH($AH$161,$AY$74:$AY$119,0)),$AH$161))</f>
        <v/>
      </c>
      <c r="AM161" s="483" t="str">
        <f t="shared" si="31"/>
        <v/>
      </c>
      <c r="AN161" s="484" t="str">
        <f t="shared" si="32"/>
        <v/>
      </c>
      <c r="AO161" s="473" t="str">
        <f t="shared" si="33"/>
        <v/>
      </c>
      <c r="AP161" s="473" t="str">
        <f t="shared" si="34"/>
        <v/>
      </c>
      <c r="AQ161" s="473" t="str">
        <f t="shared" si="35"/>
        <v/>
      </c>
      <c r="AR161" s="473" t="str">
        <f t="shared" si="36"/>
        <v/>
      </c>
      <c r="AS161" s="473" t="str">
        <f t="shared" si="37"/>
        <v/>
      </c>
      <c r="AT161" s="473" t="str">
        <f t="shared" si="38"/>
        <v/>
      </c>
      <c r="AU161" s="473" t="str">
        <f t="shared" si="39"/>
        <v/>
      </c>
      <c r="AZ161" s="497" t="s">
        <v>8145</v>
      </c>
      <c r="BA161" s="34" t="s">
        <v>481</v>
      </c>
      <c r="BB161" s="500"/>
      <c r="BC161" s="271"/>
      <c r="BD161" s="279">
        <v>1</v>
      </c>
      <c r="BE161" s="271"/>
      <c r="BF161" s="271"/>
      <c r="BG161" s="271"/>
      <c r="BH161" s="271"/>
      <c r="BI161" s="271"/>
      <c r="BJ161" s="271"/>
      <c r="BK161" s="271"/>
      <c r="BL161" s="271"/>
    </row>
    <row r="162" spans="18:64" ht="21" customHeight="1" x14ac:dyDescent="0.25">
      <c r="R162" s="34" t="s">
        <v>457</v>
      </c>
      <c r="S162" s="451"/>
      <c r="T162" s="497" t="s">
        <v>463</v>
      </c>
      <c r="V162" s="475">
        <v>3</v>
      </c>
      <c r="W162" s="475" t="str">
        <f>IF($AC$162="","",$W$144)</f>
        <v/>
      </c>
      <c r="X162" s="476" t="str">
        <f>IF($AC$162="","",$X$144)</f>
        <v/>
      </c>
      <c r="Y162" s="477" t="str">
        <f>IF($X$162="","",$Y$144)</f>
        <v/>
      </c>
      <c r="Z162" s="477" t="str">
        <f>IF($X$162="","",$Z$144)</f>
        <v/>
      </c>
      <c r="AA162" s="477" t="str">
        <f>IF($AC$162="","",ROW($A$162)-ROW($A$144))</f>
        <v/>
      </c>
      <c r="AB162" s="478"/>
      <c r="AC162" s="34"/>
      <c r="AD162" s="356"/>
      <c r="AE162" s="18"/>
      <c r="AF162" s="19"/>
      <c r="AG162" s="480" t="str">
        <f t="shared" si="28"/>
        <v/>
      </c>
      <c r="AH162" s="481" t="str">
        <f t="shared" si="29"/>
        <v/>
      </c>
      <c r="AI162" s="477" t="str">
        <f>IF($AC$162="","",IFERROR(INDEX($AZ$74:$AZ$119,MATCH($AH$162,$AY$74:$AY$119,0)),"AUTRE"))</f>
        <v/>
      </c>
      <c r="AJ162" s="482" t="str">
        <f>IF($AC$162="","",IFERROR(INDEX($BA$74:$BA$119,MATCH($AH$162,$AY$74:$AY$119,0)),1))</f>
        <v/>
      </c>
      <c r="AK162" s="482" t="str">
        <f t="shared" si="30"/>
        <v/>
      </c>
      <c r="AL162" s="477" t="str">
        <f>IF($AC$162="","",IFERROR(INDEX($BB$74:$BB$119,MATCH($AH$162,$AY$74:$AY$119,0)),$AH$162))</f>
        <v/>
      </c>
      <c r="AM162" s="483" t="str">
        <f t="shared" si="31"/>
        <v/>
      </c>
      <c r="AN162" s="484" t="str">
        <f t="shared" si="32"/>
        <v/>
      </c>
      <c r="AO162" s="473" t="str">
        <f t="shared" si="33"/>
        <v/>
      </c>
      <c r="AP162" s="473" t="str">
        <f t="shared" si="34"/>
        <v/>
      </c>
      <c r="AQ162" s="473" t="str">
        <f t="shared" si="35"/>
        <v/>
      </c>
      <c r="AR162" s="473" t="str">
        <f t="shared" si="36"/>
        <v/>
      </c>
      <c r="AS162" s="473" t="str">
        <f t="shared" si="37"/>
        <v/>
      </c>
      <c r="AT162" s="473" t="str">
        <f t="shared" si="38"/>
        <v/>
      </c>
      <c r="AU162" s="473" t="str">
        <f t="shared" si="39"/>
        <v/>
      </c>
      <c r="AZ162" s="497" t="s">
        <v>462</v>
      </c>
      <c r="BA162" s="34" t="s">
        <v>475</v>
      </c>
      <c r="BB162" s="500"/>
      <c r="BC162" s="271"/>
      <c r="BD162" s="279">
        <v>1</v>
      </c>
      <c r="BE162" s="271"/>
      <c r="BF162" s="271"/>
      <c r="BG162" s="271"/>
      <c r="BH162" s="271"/>
      <c r="BI162" s="271"/>
      <c r="BJ162" s="271"/>
      <c r="BK162" s="271"/>
      <c r="BL162" s="271"/>
    </row>
    <row r="163" spans="18:64" ht="21" customHeight="1" x14ac:dyDescent="0.25">
      <c r="R163" s="34" t="s">
        <v>482</v>
      </c>
      <c r="S163" s="451"/>
      <c r="T163" s="497" t="s">
        <v>8147</v>
      </c>
      <c r="V163" s="475">
        <v>3</v>
      </c>
      <c r="W163" s="475" t="str">
        <f>IF($AC$163="","",$W$144)</f>
        <v/>
      </c>
      <c r="X163" s="476" t="str">
        <f>IF($AC$163="","",$X$144)</f>
        <v/>
      </c>
      <c r="Y163" s="477" t="str">
        <f>IF($X$163="","",$Y$144)</f>
        <v/>
      </c>
      <c r="Z163" s="477" t="str">
        <f>IF($X$163="","",$Z$144)</f>
        <v/>
      </c>
      <c r="AA163" s="477" t="str">
        <f>IF($AC$163="","",ROW($A$163)-ROW($A$144))</f>
        <v/>
      </c>
      <c r="AB163" s="478"/>
      <c r="AC163" s="34"/>
      <c r="AD163" s="356"/>
      <c r="AE163" s="18"/>
      <c r="AF163" s="19"/>
      <c r="AG163" s="480" t="str">
        <f t="shared" si="28"/>
        <v/>
      </c>
      <c r="AH163" s="481" t="str">
        <f t="shared" si="29"/>
        <v/>
      </c>
      <c r="AI163" s="477" t="str">
        <f>IF($AC$163="","",IFERROR(INDEX($AZ$74:$AZ$119,MATCH($AH$163,$AY$74:$AY$119,0)),"AUTRE"))</f>
        <v/>
      </c>
      <c r="AJ163" s="482" t="str">
        <f>IF($AC$163="","",IFERROR(INDEX($BA$74:$BA$119,MATCH($AH$163,$AY$74:$AY$119,0)),1))</f>
        <v/>
      </c>
      <c r="AK163" s="482" t="str">
        <f t="shared" si="30"/>
        <v/>
      </c>
      <c r="AL163" s="477" t="str">
        <f>IF($AC$163="","",IFERROR(INDEX($BB$74:$BB$119,MATCH($AH$163,$AY$74:$AY$119,0)),$AH$163))</f>
        <v/>
      </c>
      <c r="AM163" s="483" t="str">
        <f t="shared" si="31"/>
        <v/>
      </c>
      <c r="AN163" s="484" t="str">
        <f t="shared" si="32"/>
        <v/>
      </c>
      <c r="AO163" s="473" t="str">
        <f t="shared" si="33"/>
        <v/>
      </c>
      <c r="AP163" s="473" t="str">
        <f t="shared" si="34"/>
        <v/>
      </c>
      <c r="AQ163" s="473" t="str">
        <f t="shared" si="35"/>
        <v/>
      </c>
      <c r="AR163" s="473" t="str">
        <f t="shared" si="36"/>
        <v/>
      </c>
      <c r="AS163" s="473" t="str">
        <f t="shared" si="37"/>
        <v/>
      </c>
      <c r="AT163" s="473" t="str">
        <f t="shared" si="38"/>
        <v/>
      </c>
      <c r="AU163" s="473" t="str">
        <f t="shared" si="39"/>
        <v/>
      </c>
      <c r="AZ163" s="497" t="s">
        <v>463</v>
      </c>
      <c r="BA163" s="34" t="s">
        <v>457</v>
      </c>
      <c r="BB163" s="500"/>
      <c r="BC163" s="271"/>
      <c r="BD163" s="279">
        <v>1</v>
      </c>
      <c r="BE163" s="271"/>
      <c r="BF163" s="271"/>
      <c r="BG163" s="271"/>
      <c r="BH163" s="271"/>
      <c r="BI163" s="271"/>
      <c r="BJ163" s="271"/>
      <c r="BK163" s="271"/>
      <c r="BL163" s="271"/>
    </row>
    <row r="164" spans="18:64" ht="21" customHeight="1" x14ac:dyDescent="0.25">
      <c r="R164" s="34" t="s">
        <v>496</v>
      </c>
      <c r="S164" s="451"/>
      <c r="T164" s="497" t="s">
        <v>465</v>
      </c>
      <c r="V164" s="475">
        <v>3</v>
      </c>
      <c r="W164" s="475" t="str">
        <f>IF($AC$164="","",$W$144)</f>
        <v/>
      </c>
      <c r="X164" s="476" t="str">
        <f>IF($AC$164="","",$X$144)</f>
        <v/>
      </c>
      <c r="Y164" s="477" t="str">
        <f>IF($X$164="","",$Y$144)</f>
        <v/>
      </c>
      <c r="Z164" s="477" t="str">
        <f>IF($X$164="","",$Z$144)</f>
        <v/>
      </c>
      <c r="AA164" s="477" t="str">
        <f>IF($AC$164="","",ROW($A$164)-ROW($A$144))</f>
        <v/>
      </c>
      <c r="AB164" s="478"/>
      <c r="AC164" s="34"/>
      <c r="AD164" s="356"/>
      <c r="AE164" s="18"/>
      <c r="AF164" s="19"/>
      <c r="AG164" s="480" t="str">
        <f t="shared" si="28"/>
        <v/>
      </c>
      <c r="AH164" s="481" t="str">
        <f t="shared" si="29"/>
        <v/>
      </c>
      <c r="AI164" s="477" t="str">
        <f>IF($AC$164="","",IFERROR(INDEX($AZ$74:$AZ$119,MATCH($AH$164,$AY$74:$AY$119,0)),"AUTRE"))</f>
        <v/>
      </c>
      <c r="AJ164" s="482" t="str">
        <f>IF($AC$164="","",IFERROR(INDEX($BA$74:$BA$119,MATCH($AH$164,$AY$74:$AY$119,0)),1))</f>
        <v/>
      </c>
      <c r="AK164" s="482" t="str">
        <f t="shared" si="30"/>
        <v/>
      </c>
      <c r="AL164" s="477" t="str">
        <f>IF($AC$164="","",IFERROR(INDEX($BB$74:$BB$119,MATCH($AH$164,$AY$74:$AY$119,0)),$AH$164))</f>
        <v/>
      </c>
      <c r="AM164" s="483" t="str">
        <f t="shared" si="31"/>
        <v/>
      </c>
      <c r="AN164" s="484" t="str">
        <f t="shared" si="32"/>
        <v/>
      </c>
      <c r="AO164" s="473" t="str">
        <f t="shared" si="33"/>
        <v/>
      </c>
      <c r="AP164" s="473" t="str">
        <f t="shared" si="34"/>
        <v/>
      </c>
      <c r="AQ164" s="473" t="str">
        <f t="shared" si="35"/>
        <v/>
      </c>
      <c r="AR164" s="473" t="str">
        <f t="shared" si="36"/>
        <v/>
      </c>
      <c r="AS164" s="473" t="str">
        <f t="shared" si="37"/>
        <v/>
      </c>
      <c r="AT164" s="473" t="str">
        <f t="shared" si="38"/>
        <v/>
      </c>
      <c r="AU164" s="473" t="str">
        <f t="shared" si="39"/>
        <v/>
      </c>
      <c r="AZ164" s="497" t="s">
        <v>8147</v>
      </c>
      <c r="BA164" s="34" t="s">
        <v>482</v>
      </c>
      <c r="BB164" s="500"/>
      <c r="BC164" s="271"/>
      <c r="BD164" s="279">
        <v>1</v>
      </c>
      <c r="BE164" s="271"/>
      <c r="BF164" s="271"/>
      <c r="BG164" s="271"/>
      <c r="BH164" s="271"/>
      <c r="BI164" s="271"/>
      <c r="BJ164" s="271"/>
      <c r="BK164" s="271"/>
      <c r="BL164" s="271"/>
    </row>
    <row r="165" spans="18:64" ht="21" customHeight="1" x14ac:dyDescent="0.25">
      <c r="R165" s="34" t="s">
        <v>483</v>
      </c>
      <c r="S165" s="451"/>
      <c r="T165" s="497" t="s">
        <v>466</v>
      </c>
      <c r="V165" s="475">
        <v>3</v>
      </c>
      <c r="W165" s="475" t="str">
        <f>IF($AC$165="","",$W$144)</f>
        <v/>
      </c>
      <c r="X165" s="476" t="str">
        <f>IF($AC$165="","",$X$144)</f>
        <v/>
      </c>
      <c r="Y165" s="477" t="str">
        <f>IF($X$165="","",$Y$144)</f>
        <v/>
      </c>
      <c r="Z165" s="477" t="str">
        <f>IF($X$165="","",$Z$144)</f>
        <v/>
      </c>
      <c r="AA165" s="477" t="str">
        <f>IF($AC$165="","",ROW($A$165)-ROW($A$144))</f>
        <v/>
      </c>
      <c r="AB165" s="478"/>
      <c r="AC165" s="34"/>
      <c r="AD165" s="356"/>
      <c r="AE165" s="18"/>
      <c r="AF165" s="19"/>
      <c r="AG165" s="480" t="str">
        <f t="shared" si="28"/>
        <v/>
      </c>
      <c r="AH165" s="481" t="str">
        <f t="shared" si="29"/>
        <v/>
      </c>
      <c r="AI165" s="477" t="str">
        <f>IF($AC$165="","",IFERROR(INDEX($AZ$74:$AZ$119,MATCH($AH$165,$AY$74:$AY$119,0)),"AUTRE"))</f>
        <v/>
      </c>
      <c r="AJ165" s="482" t="str">
        <f>IF($AC$165="","",IFERROR(INDEX($BA$74:$BA$119,MATCH($AH$165,$AY$74:$AY$119,0)),1))</f>
        <v/>
      </c>
      <c r="AK165" s="482" t="str">
        <f t="shared" si="30"/>
        <v/>
      </c>
      <c r="AL165" s="477" t="str">
        <f>IF($AC$165="","",IFERROR(INDEX($BB$74:$BB$119,MATCH($AH$165,$AY$74:$AY$119,0)),$AH$165))</f>
        <v/>
      </c>
      <c r="AM165" s="483" t="str">
        <f t="shared" si="31"/>
        <v/>
      </c>
      <c r="AN165" s="484" t="str">
        <f t="shared" si="32"/>
        <v/>
      </c>
      <c r="AO165" s="473" t="str">
        <f t="shared" si="33"/>
        <v/>
      </c>
      <c r="AP165" s="473" t="str">
        <f t="shared" si="34"/>
        <v/>
      </c>
      <c r="AQ165" s="473" t="str">
        <f t="shared" si="35"/>
        <v/>
      </c>
      <c r="AR165" s="473" t="str">
        <f t="shared" si="36"/>
        <v/>
      </c>
      <c r="AS165" s="473" t="str">
        <f t="shared" si="37"/>
        <v/>
      </c>
      <c r="AT165" s="473" t="str">
        <f t="shared" si="38"/>
        <v/>
      </c>
      <c r="AU165" s="473" t="str">
        <f t="shared" si="39"/>
        <v/>
      </c>
      <c r="AZ165" s="497" t="s">
        <v>465</v>
      </c>
      <c r="BA165" s="34" t="s">
        <v>496</v>
      </c>
      <c r="BB165" s="500"/>
      <c r="BC165" s="271"/>
      <c r="BD165" s="279">
        <v>1</v>
      </c>
      <c r="BE165" s="271"/>
      <c r="BF165" s="271"/>
      <c r="BG165" s="271"/>
      <c r="BH165" s="271"/>
      <c r="BI165" s="271"/>
      <c r="BJ165" s="271"/>
      <c r="BK165" s="271"/>
      <c r="BL165" s="271"/>
    </row>
    <row r="166" spans="18:64" ht="21" customHeight="1" x14ac:dyDescent="0.25">
      <c r="R166" s="34" t="s">
        <v>493</v>
      </c>
      <c r="S166" s="451"/>
      <c r="T166" s="440" t="s">
        <v>8110</v>
      </c>
      <c r="V166" s="475">
        <v>3</v>
      </c>
      <c r="W166" s="475" t="str">
        <f>IF($AC$166="","",$W$144)</f>
        <v/>
      </c>
      <c r="X166" s="476" t="str">
        <f>IF($AC$166="","",$X$144)</f>
        <v/>
      </c>
      <c r="Y166" s="477" t="str">
        <f>IF($X$166="","",$Y$144)</f>
        <v/>
      </c>
      <c r="Z166" s="477" t="str">
        <f>IF($X$166="","",$Z$144)</f>
        <v/>
      </c>
      <c r="AA166" s="477" t="str">
        <f>IF($AC$166="","",ROW($A$166)-ROW($A$144))</f>
        <v/>
      </c>
      <c r="AB166" s="478"/>
      <c r="AC166" s="34"/>
      <c r="AD166" s="356"/>
      <c r="AE166" s="18"/>
      <c r="AF166" s="19"/>
      <c r="AG166" s="480" t="str">
        <f t="shared" si="28"/>
        <v/>
      </c>
      <c r="AH166" s="481" t="str">
        <f t="shared" si="29"/>
        <v/>
      </c>
      <c r="AI166" s="477" t="str">
        <f>IF($AC$166="","",IFERROR(INDEX($AZ$74:$AZ$119,MATCH($AH$166,$AY$74:$AY$119,0)),"AUTRE"))</f>
        <v/>
      </c>
      <c r="AJ166" s="482" t="str">
        <f>IF($AC$166="","",IFERROR(INDEX($BA$74:$BA$119,MATCH($AH$166,$AY$74:$AY$119,0)),1))</f>
        <v/>
      </c>
      <c r="AK166" s="482" t="str">
        <f t="shared" si="30"/>
        <v/>
      </c>
      <c r="AL166" s="477" t="str">
        <f>IF($AC$166="","",IFERROR(INDEX($BB$74:$BB$119,MATCH($AH$166,$AY$74:$AY$119,0)),$AH$166))</f>
        <v/>
      </c>
      <c r="AM166" s="483" t="str">
        <f t="shared" si="31"/>
        <v/>
      </c>
      <c r="AN166" s="484" t="str">
        <f t="shared" si="32"/>
        <v/>
      </c>
      <c r="AO166" s="473" t="str">
        <f t="shared" si="33"/>
        <v/>
      </c>
      <c r="AP166" s="473" t="str">
        <f t="shared" si="34"/>
        <v/>
      </c>
      <c r="AQ166" s="473" t="str">
        <f t="shared" si="35"/>
        <v/>
      </c>
      <c r="AR166" s="473" t="str">
        <f t="shared" si="36"/>
        <v/>
      </c>
      <c r="AS166" s="473" t="str">
        <f t="shared" si="37"/>
        <v/>
      </c>
      <c r="AT166" s="473" t="str">
        <f t="shared" si="38"/>
        <v/>
      </c>
      <c r="AU166" s="473" t="str">
        <f t="shared" si="39"/>
        <v/>
      </c>
      <c r="AZ166" s="497" t="s">
        <v>466</v>
      </c>
      <c r="BA166" s="34" t="s">
        <v>483</v>
      </c>
      <c r="BB166" s="500"/>
      <c r="BC166" s="271"/>
      <c r="BD166" s="279">
        <v>1</v>
      </c>
      <c r="BE166" s="271"/>
      <c r="BF166" s="271"/>
      <c r="BG166" s="271"/>
      <c r="BH166" s="271"/>
      <c r="BI166" s="271"/>
      <c r="BJ166" s="271"/>
      <c r="BK166" s="271"/>
      <c r="BL166" s="271"/>
    </row>
    <row r="167" spans="18:64" ht="21" customHeight="1" x14ac:dyDescent="0.25">
      <c r="R167" s="34" t="s">
        <v>494</v>
      </c>
      <c r="S167" s="451"/>
      <c r="T167" s="452" t="s">
        <v>8113</v>
      </c>
      <c r="V167" s="475">
        <v>3</v>
      </c>
      <c r="W167" s="475" t="str">
        <f>IF($AC$167="","",$W$144)</f>
        <v/>
      </c>
      <c r="X167" s="476" t="str">
        <f>IF($AC$167="","",$X$144)</f>
        <v/>
      </c>
      <c r="Y167" s="477" t="str">
        <f>IF($X$167="","",$Y$144)</f>
        <v/>
      </c>
      <c r="Z167" s="477" t="str">
        <f>IF($X$167="","",$Z$144)</f>
        <v/>
      </c>
      <c r="AA167" s="477" t="str">
        <f>IF($AC$167="","",ROW($A$167)-ROW($A$144))</f>
        <v/>
      </c>
      <c r="AB167" s="478"/>
      <c r="AC167" s="34"/>
      <c r="AD167" s="356"/>
      <c r="AE167" s="18"/>
      <c r="AF167" s="19"/>
      <c r="AG167" s="480" t="str">
        <f t="shared" si="28"/>
        <v/>
      </c>
      <c r="AH167" s="481" t="str">
        <f t="shared" si="29"/>
        <v/>
      </c>
      <c r="AI167" s="477" t="str">
        <f>IF($AC$167="","",IFERROR(INDEX($AZ$74:$AZ$119,MATCH($AH$167,$AY$74:$AY$119,0)),"AUTRE"))</f>
        <v/>
      </c>
      <c r="AJ167" s="482" t="str">
        <f>IF($AC$167="","",IFERROR(INDEX($BA$74:$BA$119,MATCH($AH$167,$AY$74:$AY$119,0)),1))</f>
        <v/>
      </c>
      <c r="AK167" s="482" t="str">
        <f t="shared" si="30"/>
        <v/>
      </c>
      <c r="AL167" s="477" t="str">
        <f>IF($AC$167="","",IFERROR(INDEX($BB$74:$BB$119,MATCH($AH$167,$AY$74:$AY$119,0)),$AH$167))</f>
        <v/>
      </c>
      <c r="AM167" s="483" t="str">
        <f t="shared" si="31"/>
        <v/>
      </c>
      <c r="AN167" s="484" t="str">
        <f t="shared" si="32"/>
        <v/>
      </c>
      <c r="AO167" s="473" t="str">
        <f t="shared" si="33"/>
        <v/>
      </c>
      <c r="AP167" s="473" t="str">
        <f t="shared" si="34"/>
        <v/>
      </c>
      <c r="AQ167" s="473" t="str">
        <f t="shared" si="35"/>
        <v/>
      </c>
      <c r="AR167" s="473" t="str">
        <f t="shared" si="36"/>
        <v/>
      </c>
      <c r="AS167" s="473" t="str">
        <f t="shared" si="37"/>
        <v/>
      </c>
      <c r="AT167" s="473" t="str">
        <f t="shared" si="38"/>
        <v/>
      </c>
      <c r="AU167" s="473" t="str">
        <f t="shared" si="39"/>
        <v/>
      </c>
      <c r="AZ167" s="14" t="s">
        <v>7</v>
      </c>
      <c r="BA167" s="34" t="s">
        <v>493</v>
      </c>
      <c r="BB167" s="500"/>
      <c r="BC167" s="271"/>
      <c r="BD167" s="279">
        <v>1</v>
      </c>
      <c r="BE167" s="271"/>
      <c r="BF167" s="271"/>
      <c r="BG167" s="271"/>
      <c r="BH167" s="271"/>
      <c r="BI167" s="271"/>
      <c r="BJ167" s="271"/>
      <c r="BK167" s="271"/>
      <c r="BL167" s="271"/>
    </row>
    <row r="168" spans="18:64" ht="21" customHeight="1" x14ac:dyDescent="0.25">
      <c r="S168" s="451"/>
      <c r="T168" s="14" t="s">
        <v>7</v>
      </c>
      <c r="V168" s="475">
        <v>3</v>
      </c>
      <c r="W168" s="475" t="str">
        <f>IF($AC$168="","",$W$144)</f>
        <v/>
      </c>
      <c r="X168" s="476" t="str">
        <f>IF($AC$168="","",$X$144)</f>
        <v/>
      </c>
      <c r="Y168" s="477" t="str">
        <f>IF($X$168="","",$Y$144)</f>
        <v/>
      </c>
      <c r="Z168" s="477" t="str">
        <f>IF($X$168="","",$Z$144)</f>
        <v/>
      </c>
      <c r="AA168" s="477" t="str">
        <f>IF($AC$168="","",ROW($A$168)-ROW($A$144))</f>
        <v/>
      </c>
      <c r="AB168" s="478"/>
      <c r="AC168" s="34"/>
      <c r="AD168" s="356"/>
      <c r="AE168" s="18"/>
      <c r="AF168" s="19"/>
      <c r="AG168" s="480" t="str">
        <f t="shared" si="28"/>
        <v/>
      </c>
      <c r="AH168" s="481" t="str">
        <f t="shared" si="29"/>
        <v/>
      </c>
      <c r="AI168" s="477" t="str">
        <f>IF($AC$168="","",IFERROR(INDEX($AZ$74:$AZ$119,MATCH($AH$168,$AY$74:$AY$119,0)),"AUTRE"))</f>
        <v/>
      </c>
      <c r="AJ168" s="482" t="str">
        <f>IF($AC$168="","",IFERROR(INDEX($BA$74:$BA$119,MATCH($AH$168,$AY$74:$AY$119,0)),1))</f>
        <v/>
      </c>
      <c r="AK168" s="482" t="str">
        <f t="shared" si="30"/>
        <v/>
      </c>
      <c r="AL168" s="477" t="str">
        <f>IF($AC$168="","",IFERROR(INDEX($BB$74:$BB$119,MATCH($AH$168,$AY$74:$AY$119,0)),$AH$168))</f>
        <v/>
      </c>
      <c r="AM168" s="483" t="str">
        <f t="shared" si="31"/>
        <v/>
      </c>
      <c r="AN168" s="484" t="str">
        <f t="shared" si="32"/>
        <v/>
      </c>
      <c r="AO168" s="473" t="str">
        <f t="shared" si="33"/>
        <v/>
      </c>
      <c r="AP168" s="473" t="str">
        <f t="shared" si="34"/>
        <v/>
      </c>
      <c r="AQ168" s="473" t="str">
        <f t="shared" si="35"/>
        <v/>
      </c>
      <c r="AR168" s="473" t="str">
        <f t="shared" si="36"/>
        <v/>
      </c>
      <c r="AS168" s="473" t="str">
        <f t="shared" si="37"/>
        <v/>
      </c>
      <c r="AT168" s="473" t="str">
        <f t="shared" si="38"/>
        <v/>
      </c>
      <c r="AU168" s="473" t="str">
        <f t="shared" si="39"/>
        <v/>
      </c>
      <c r="AZ168" s="27" t="s">
        <v>8</v>
      </c>
      <c r="BA168" s="34" t="s">
        <v>494</v>
      </c>
      <c r="BB168" s="500"/>
      <c r="BC168" s="271"/>
      <c r="BD168" s="279">
        <v>1</v>
      </c>
      <c r="BE168" s="271"/>
      <c r="BF168" s="271"/>
      <c r="BG168" s="271"/>
      <c r="BH168" s="271"/>
      <c r="BI168" s="271"/>
      <c r="BJ168" s="271"/>
      <c r="BK168" s="271"/>
      <c r="BL168" s="271"/>
    </row>
    <row r="169" spans="18:64" ht="21" customHeight="1" x14ac:dyDescent="0.25">
      <c r="R169" s="25" t="s">
        <v>6115</v>
      </c>
      <c r="S169" s="451"/>
      <c r="T169" s="27" t="s">
        <v>8</v>
      </c>
      <c r="V169" s="475">
        <v>3</v>
      </c>
      <c r="W169" s="475" t="str">
        <f>IF($AC$169="","",$W$144)</f>
        <v/>
      </c>
      <c r="X169" s="476" t="str">
        <f>IF($AC$169="","",$X$144)</f>
        <v/>
      </c>
      <c r="Y169" s="477" t="str">
        <f>IF($X$169="","",$Y$144)</f>
        <v/>
      </c>
      <c r="Z169" s="477" t="str">
        <f>IF($X$169="","",$Z$144)</f>
        <v/>
      </c>
      <c r="AA169" s="477" t="str">
        <f>IF($AC$169="","",ROW($A$169)-ROW($A$144))</f>
        <v/>
      </c>
      <c r="AB169" s="478"/>
      <c r="AC169" s="34"/>
      <c r="AD169" s="356"/>
      <c r="AE169" s="18"/>
      <c r="AF169" s="19"/>
      <c r="AG169" s="480" t="str">
        <f t="shared" si="28"/>
        <v/>
      </c>
      <c r="AH169" s="481" t="str">
        <f t="shared" si="29"/>
        <v/>
      </c>
      <c r="AI169" s="477" t="str">
        <f>IF($AC$169="","",IFERROR(INDEX($AZ$74:$AZ$119,MATCH($AH$169,$AY$74:$AY$119,0)),"AUTRE"))</f>
        <v/>
      </c>
      <c r="AJ169" s="482" t="str">
        <f>IF($AC$169="","",IFERROR(INDEX($BA$74:$BA$119,MATCH($AH$169,$AY$74:$AY$119,0)),1))</f>
        <v/>
      </c>
      <c r="AK169" s="482" t="str">
        <f t="shared" si="30"/>
        <v/>
      </c>
      <c r="AL169" s="477" t="str">
        <f>IF($AC$169="","",IFERROR(INDEX($BB$74:$BB$119,MATCH($AH$169,$AY$74:$AY$119,0)),$AH$169))</f>
        <v/>
      </c>
      <c r="AM169" s="483" t="str">
        <f t="shared" si="31"/>
        <v/>
      </c>
      <c r="AN169" s="484" t="str">
        <f t="shared" si="32"/>
        <v/>
      </c>
      <c r="AO169" s="473" t="str">
        <f t="shared" si="33"/>
        <v/>
      </c>
      <c r="AP169" s="473" t="str">
        <f t="shared" si="34"/>
        <v/>
      </c>
      <c r="AQ169" s="473" t="str">
        <f t="shared" si="35"/>
        <v/>
      </c>
      <c r="AR169" s="473" t="str">
        <f t="shared" si="36"/>
        <v/>
      </c>
      <c r="AS169" s="473" t="str">
        <f t="shared" si="37"/>
        <v/>
      </c>
      <c r="AT169" s="473" t="str">
        <f t="shared" si="38"/>
        <v/>
      </c>
      <c r="AU169" s="473" t="str">
        <f t="shared" si="39"/>
        <v/>
      </c>
      <c r="AZ169" s="28" t="s">
        <v>13</v>
      </c>
      <c r="BB169" s="500"/>
      <c r="BC169" s="271"/>
      <c r="BD169" s="279">
        <v>1</v>
      </c>
      <c r="BE169" s="271"/>
      <c r="BF169" s="271"/>
      <c r="BG169" s="271"/>
      <c r="BH169" s="271"/>
      <c r="BI169" s="271"/>
      <c r="BJ169" s="271"/>
      <c r="BK169" s="271"/>
      <c r="BL169" s="271"/>
    </row>
    <row r="170" spans="18:64" ht="21" customHeight="1" x14ac:dyDescent="0.25">
      <c r="R170" s="34" t="s">
        <v>471</v>
      </c>
      <c r="S170" s="451"/>
      <c r="T170" s="28" t="s">
        <v>13</v>
      </c>
      <c r="V170" s="475">
        <v>3</v>
      </c>
      <c r="W170" s="475" t="str">
        <f>IF($AC$170="","",$W$144)</f>
        <v/>
      </c>
      <c r="X170" s="476" t="str">
        <f>IF($AC$170="","",$X$144)</f>
        <v/>
      </c>
      <c r="Y170" s="477" t="str">
        <f>IF($X$170="","",$Y$144)</f>
        <v/>
      </c>
      <c r="Z170" s="477" t="str">
        <f>IF($X$170="","",$Z$144)</f>
        <v/>
      </c>
      <c r="AA170" s="477" t="str">
        <f>IF($AC$170="","",ROW($A$170)-ROW($A$144))</f>
        <v/>
      </c>
      <c r="AB170" s="478"/>
      <c r="AC170" s="34"/>
      <c r="AD170" s="356"/>
      <c r="AE170" s="18"/>
      <c r="AF170" s="19"/>
      <c r="AG170" s="480" t="str">
        <f t="shared" si="28"/>
        <v/>
      </c>
      <c r="AH170" s="481" t="str">
        <f t="shared" si="29"/>
        <v/>
      </c>
      <c r="AI170" s="477" t="str">
        <f>IF($AC$170="","",IFERROR(INDEX($AZ$74:$AZ$119,MATCH($AH$170,$AY$74:$AY$119,0)),"AUTRE"))</f>
        <v/>
      </c>
      <c r="AJ170" s="482" t="str">
        <f>IF($AC$170="","",IFERROR(INDEX($BA$74:$BA$119,MATCH($AH$170,$AY$74:$AY$119,0)),1))</f>
        <v/>
      </c>
      <c r="AK170" s="482" t="str">
        <f t="shared" si="30"/>
        <v/>
      </c>
      <c r="AL170" s="477" t="str">
        <f>IF($AC$170="","",IFERROR(INDEX($BB$74:$BB$119,MATCH($AH$170,$AY$74:$AY$119,0)),$AH$170))</f>
        <v/>
      </c>
      <c r="AM170" s="483" t="str">
        <f t="shared" si="31"/>
        <v/>
      </c>
      <c r="AN170" s="484" t="str">
        <f t="shared" si="32"/>
        <v/>
      </c>
      <c r="AO170" s="473" t="str">
        <f t="shared" si="33"/>
        <v/>
      </c>
      <c r="AP170" s="473" t="str">
        <f t="shared" si="34"/>
        <v/>
      </c>
      <c r="AQ170" s="473" t="str">
        <f t="shared" si="35"/>
        <v/>
      </c>
      <c r="AR170" s="473" t="str">
        <f t="shared" si="36"/>
        <v/>
      </c>
      <c r="AS170" s="473" t="str">
        <f t="shared" si="37"/>
        <v/>
      </c>
      <c r="AT170" s="473" t="str">
        <f t="shared" si="38"/>
        <v/>
      </c>
      <c r="AU170" s="473" t="str">
        <f t="shared" si="39"/>
        <v/>
      </c>
      <c r="AZ170" s="28" t="s">
        <v>14</v>
      </c>
      <c r="BA170" s="25" t="s">
        <v>6115</v>
      </c>
      <c r="BB170" s="500"/>
      <c r="BC170" s="271"/>
      <c r="BD170" s="279">
        <v>1</v>
      </c>
      <c r="BE170" s="271"/>
      <c r="BF170" s="271"/>
      <c r="BG170" s="271"/>
      <c r="BH170" s="271"/>
      <c r="BI170" s="271"/>
      <c r="BJ170" s="271"/>
      <c r="BK170" s="271"/>
      <c r="BL170" s="271"/>
    </row>
    <row r="171" spans="18:64" ht="21" customHeight="1" x14ac:dyDescent="0.25">
      <c r="R171" s="34" t="s">
        <v>472</v>
      </c>
      <c r="S171" s="451"/>
      <c r="T171" s="28" t="s">
        <v>14</v>
      </c>
      <c r="V171" s="475">
        <v>3</v>
      </c>
      <c r="W171" s="475" t="str">
        <f>IF($AC$171="","",$W$144)</f>
        <v/>
      </c>
      <c r="X171" s="476" t="str">
        <f>IF($AC$171="","",$X$144)</f>
        <v/>
      </c>
      <c r="Y171" s="477" t="str">
        <f>IF($X$171="","",$Y$144)</f>
        <v/>
      </c>
      <c r="Z171" s="477" t="str">
        <f>IF($X$171="","",$Z$144)</f>
        <v/>
      </c>
      <c r="AA171" s="477" t="str">
        <f>IF($AC$171="","",ROW($A$171)-ROW($A$144))</f>
        <v/>
      </c>
      <c r="AB171" s="478"/>
      <c r="AC171" s="34"/>
      <c r="AD171" s="356"/>
      <c r="AE171" s="18"/>
      <c r="AF171" s="19"/>
      <c r="AG171" s="480" t="str">
        <f t="shared" si="28"/>
        <v/>
      </c>
      <c r="AH171" s="481" t="str">
        <f t="shared" si="29"/>
        <v/>
      </c>
      <c r="AI171" s="477" t="str">
        <f>IF($AC$171="","",IFERROR(INDEX($AZ$74:$AZ$119,MATCH($AH$171,$AY$74:$AY$119,0)),"AUTRE"))</f>
        <v/>
      </c>
      <c r="AJ171" s="482" t="str">
        <f>IF($AC$171="","",IFERROR(INDEX($BA$74:$BA$119,MATCH($AH$171,$AY$74:$AY$119,0)),1))</f>
        <v/>
      </c>
      <c r="AK171" s="482" t="str">
        <f t="shared" si="30"/>
        <v/>
      </c>
      <c r="AL171" s="477" t="str">
        <f>IF($AC$171="","",IFERROR(INDEX($BB$74:$BB$119,MATCH($AH$171,$AY$74:$AY$119,0)),$AH$171))</f>
        <v/>
      </c>
      <c r="AM171" s="483" t="str">
        <f t="shared" si="31"/>
        <v/>
      </c>
      <c r="AN171" s="484" t="str">
        <f t="shared" si="32"/>
        <v/>
      </c>
      <c r="AO171" s="473" t="str">
        <f t="shared" si="33"/>
        <v/>
      </c>
      <c r="AP171" s="473" t="str">
        <f t="shared" si="34"/>
        <v/>
      </c>
      <c r="AQ171" s="473" t="str">
        <f t="shared" si="35"/>
        <v/>
      </c>
      <c r="AR171" s="473" t="str">
        <f t="shared" si="36"/>
        <v/>
      </c>
      <c r="AS171" s="473" t="str">
        <f t="shared" si="37"/>
        <v/>
      </c>
      <c r="AT171" s="473" t="str">
        <f t="shared" si="38"/>
        <v/>
      </c>
      <c r="AU171" s="473" t="str">
        <f t="shared" si="39"/>
        <v/>
      </c>
      <c r="AZ171" s="28" t="s">
        <v>15</v>
      </c>
      <c r="BA171" s="34" t="s">
        <v>471</v>
      </c>
      <c r="BB171" s="500"/>
      <c r="BC171" s="271"/>
      <c r="BD171" s="279">
        <v>1</v>
      </c>
      <c r="BE171" s="271"/>
      <c r="BF171" s="271"/>
      <c r="BG171" s="271"/>
      <c r="BH171" s="271"/>
      <c r="BI171" s="271"/>
      <c r="BJ171" s="271"/>
      <c r="BK171" s="271"/>
      <c r="BL171" s="271"/>
    </row>
    <row r="172" spans="18:64" ht="21" customHeight="1" x14ac:dyDescent="0.25">
      <c r="R172" s="34" t="s">
        <v>6112</v>
      </c>
      <c r="S172" s="451"/>
      <c r="T172" s="28" t="s">
        <v>15</v>
      </c>
      <c r="V172" s="475">
        <v>3</v>
      </c>
      <c r="W172" s="475" t="str">
        <f>IF($AC$172="","",$W$144)</f>
        <v/>
      </c>
      <c r="X172" s="476" t="str">
        <f>IF($AC$172="","",$X$144)</f>
        <v/>
      </c>
      <c r="Y172" s="477" t="str">
        <f>IF($X$172="","",$Y$144)</f>
        <v/>
      </c>
      <c r="Z172" s="477" t="str">
        <f>IF($X$172="","",$Z$144)</f>
        <v/>
      </c>
      <c r="AA172" s="477" t="str">
        <f>IF($AC$172="","",ROW($A$172)-ROW($A$144))</f>
        <v/>
      </c>
      <c r="AB172" s="478"/>
      <c r="AC172" s="34"/>
      <c r="AD172" s="356"/>
      <c r="AE172" s="18"/>
      <c r="AF172" s="19"/>
      <c r="AG172" s="480" t="str">
        <f t="shared" si="28"/>
        <v/>
      </c>
      <c r="AH172" s="481" t="str">
        <f t="shared" si="29"/>
        <v/>
      </c>
      <c r="AI172" s="477" t="str">
        <f>IF($AC$172="","",IFERROR(INDEX($AZ$74:$AZ$119,MATCH($AH$172,$AY$74:$AY$119,0)),"AUTRE"))</f>
        <v/>
      </c>
      <c r="AJ172" s="482" t="str">
        <f>IF($AC$172="","",IFERROR(INDEX($BA$74:$BA$119,MATCH($AH$172,$AY$74:$AY$119,0)),1))</f>
        <v/>
      </c>
      <c r="AK172" s="482" t="str">
        <f t="shared" si="30"/>
        <v/>
      </c>
      <c r="AL172" s="477" t="str">
        <f>IF($AC$172="","",IFERROR(INDEX($BB$74:$BB$119,MATCH($AH$172,$AY$74:$AY$119,0)),$AH$172))</f>
        <v/>
      </c>
      <c r="AM172" s="483" t="str">
        <f t="shared" si="31"/>
        <v/>
      </c>
      <c r="AN172" s="484" t="str">
        <f t="shared" si="32"/>
        <v/>
      </c>
      <c r="AO172" s="473" t="str">
        <f t="shared" si="33"/>
        <v/>
      </c>
      <c r="AP172" s="473" t="str">
        <f t="shared" si="34"/>
        <v/>
      </c>
      <c r="AQ172" s="473" t="str">
        <f t="shared" si="35"/>
        <v/>
      </c>
      <c r="AR172" s="473" t="str">
        <f t="shared" si="36"/>
        <v/>
      </c>
      <c r="AS172" s="473" t="str">
        <f t="shared" si="37"/>
        <v/>
      </c>
      <c r="AT172" s="473" t="str">
        <f t="shared" si="38"/>
        <v/>
      </c>
      <c r="AU172" s="473" t="str">
        <f t="shared" si="39"/>
        <v/>
      </c>
      <c r="AY172" s="271"/>
      <c r="AZ172" s="29" t="s">
        <v>9</v>
      </c>
      <c r="BA172" s="34" t="s">
        <v>472</v>
      </c>
      <c r="BB172" s="499"/>
      <c r="BC172" s="271"/>
      <c r="BD172" s="279">
        <v>1</v>
      </c>
      <c r="BE172" s="271"/>
      <c r="BF172" s="271"/>
      <c r="BG172" s="271"/>
      <c r="BH172" s="271"/>
      <c r="BI172" s="271"/>
      <c r="BJ172" s="271"/>
      <c r="BK172" s="271"/>
      <c r="BL172" s="271"/>
    </row>
    <row r="173" spans="18:64" ht="21" customHeight="1" x14ac:dyDescent="0.25">
      <c r="R173" s="25" t="s">
        <v>6116</v>
      </c>
      <c r="S173" s="451"/>
      <c r="T173" s="28" t="s">
        <v>21</v>
      </c>
      <c r="V173" s="475">
        <v>3</v>
      </c>
      <c r="W173" s="475" t="str">
        <f>IF($AC$173="","",$W$144)</f>
        <v/>
      </c>
      <c r="X173" s="476" t="str">
        <f>IF($AC$173="","",$X$144)</f>
        <v/>
      </c>
      <c r="Y173" s="477" t="str">
        <f>IF($X$173="","",$Y$144)</f>
        <v/>
      </c>
      <c r="Z173" s="477" t="str">
        <f>IF($X$173="","",$Z$144)</f>
        <v/>
      </c>
      <c r="AA173" s="477" t="str">
        <f>IF($AC$173="","",ROW($A$173)-ROW($A$144))</f>
        <v/>
      </c>
      <c r="AB173" s="478"/>
      <c r="AC173" s="34"/>
      <c r="AD173" s="356"/>
      <c r="AE173" s="18"/>
      <c r="AF173" s="19"/>
      <c r="AG173" s="480" t="str">
        <f t="shared" si="28"/>
        <v/>
      </c>
      <c r="AH173" s="481" t="str">
        <f t="shared" si="29"/>
        <v/>
      </c>
      <c r="AI173" s="477" t="str">
        <f>IF($AC$173="","",IFERROR(INDEX($AZ$74:$AZ$119,MATCH($AH$173,$AY$74:$AY$119,0)),"AUTRE"))</f>
        <v/>
      </c>
      <c r="AJ173" s="482" t="str">
        <f>IF($AC$173="","",IFERROR(INDEX($BA$74:$BA$119,MATCH($AH$173,$AY$74:$AY$119,0)),1))</f>
        <v/>
      </c>
      <c r="AK173" s="482" t="str">
        <f t="shared" si="30"/>
        <v/>
      </c>
      <c r="AL173" s="477" t="str">
        <f>IF($AC$173="","",IFERROR(INDEX($BB$74:$BB$119,MATCH($AH$173,$AY$74:$AY$119,0)),$AH$173))</f>
        <v/>
      </c>
      <c r="AM173" s="483" t="str">
        <f t="shared" si="31"/>
        <v/>
      </c>
      <c r="AN173" s="484" t="str">
        <f t="shared" si="32"/>
        <v/>
      </c>
      <c r="AO173" s="473" t="str">
        <f t="shared" si="33"/>
        <v/>
      </c>
      <c r="AP173" s="473" t="str">
        <f t="shared" si="34"/>
        <v/>
      </c>
      <c r="AQ173" s="473" t="str">
        <f t="shared" si="35"/>
        <v/>
      </c>
      <c r="AR173" s="473" t="str">
        <f t="shared" si="36"/>
        <v/>
      </c>
      <c r="AS173" s="473" t="str">
        <f t="shared" si="37"/>
        <v/>
      </c>
      <c r="AT173" s="473" t="str">
        <f t="shared" si="38"/>
        <v/>
      </c>
      <c r="AU173" s="473" t="str">
        <f t="shared" si="39"/>
        <v/>
      </c>
      <c r="AY173" s="497" t="s">
        <v>8145</v>
      </c>
      <c r="AZ173" s="30" t="s">
        <v>10</v>
      </c>
      <c r="BA173" s="34" t="s">
        <v>6112</v>
      </c>
      <c r="BB173" s="499"/>
      <c r="BC173" s="271"/>
      <c r="BD173" s="279">
        <v>1</v>
      </c>
      <c r="BE173" s="271"/>
      <c r="BF173" s="271"/>
      <c r="BG173" s="271"/>
      <c r="BH173" s="271"/>
      <c r="BI173" s="271"/>
      <c r="BJ173" s="271"/>
      <c r="BK173" s="271"/>
      <c r="BL173" s="271"/>
    </row>
    <row r="174" spans="18:64" ht="21" customHeight="1" x14ac:dyDescent="0.25">
      <c r="R174" s="34" t="s">
        <v>6117</v>
      </c>
      <c r="S174" s="451"/>
      <c r="T174" s="28" t="s">
        <v>22</v>
      </c>
      <c r="V174" s="475">
        <v>3</v>
      </c>
      <c r="W174" s="475" t="str">
        <f>IF($AC$174="","",$W$144)</f>
        <v/>
      </c>
      <c r="X174" s="476" t="str">
        <f>IF($AC$174="","",$X$144)</f>
        <v/>
      </c>
      <c r="Y174" s="477" t="str">
        <f>IF($X$174="","",$Y$144)</f>
        <v/>
      </c>
      <c r="Z174" s="477" t="str">
        <f>IF($X$174="","",$Z$144)</f>
        <v/>
      </c>
      <c r="AA174" s="477" t="str">
        <f>IF($AC$174="","",ROW($A$174)-ROW($A$144))</f>
        <v/>
      </c>
      <c r="AB174" s="478"/>
      <c r="AC174" s="34"/>
      <c r="AD174" s="356"/>
      <c r="AE174" s="18"/>
      <c r="AF174" s="19"/>
      <c r="AG174" s="480" t="str">
        <f t="shared" si="28"/>
        <v/>
      </c>
      <c r="AH174" s="481" t="str">
        <f t="shared" si="29"/>
        <v/>
      </c>
      <c r="AI174" s="477" t="str">
        <f>IF($AC$174="","",IFERROR(INDEX($AZ$74:$AZ$119,MATCH($AH$174,$AY$74:$AY$119,0)),"AUTRE"))</f>
        <v/>
      </c>
      <c r="AJ174" s="482" t="str">
        <f>IF($AC$174="","",IFERROR(INDEX($BA$74:$BA$119,MATCH($AH$174,$AY$74:$AY$119,0)),1))</f>
        <v/>
      </c>
      <c r="AK174" s="482" t="str">
        <f t="shared" si="30"/>
        <v/>
      </c>
      <c r="AL174" s="477" t="str">
        <f>IF($AC$174="","",IFERROR(INDEX($BB$74:$BB$119,MATCH($AH$174,$AY$74:$AY$119,0)),$AH$174))</f>
        <v/>
      </c>
      <c r="AM174" s="483" t="str">
        <f t="shared" si="31"/>
        <v/>
      </c>
      <c r="AN174" s="484" t="str">
        <f t="shared" si="32"/>
        <v/>
      </c>
      <c r="AO174" s="473" t="str">
        <f t="shared" si="33"/>
        <v/>
      </c>
      <c r="AP174" s="473" t="str">
        <f t="shared" si="34"/>
        <v/>
      </c>
      <c r="AQ174" s="473" t="str">
        <f t="shared" si="35"/>
        <v/>
      </c>
      <c r="AR174" s="473" t="str">
        <f t="shared" si="36"/>
        <v/>
      </c>
      <c r="AS174" s="473" t="str">
        <f t="shared" si="37"/>
        <v/>
      </c>
      <c r="AT174" s="473" t="str">
        <f t="shared" si="38"/>
        <v/>
      </c>
      <c r="AU174" s="473" t="str">
        <f t="shared" si="39"/>
        <v/>
      </c>
      <c r="AY174" s="497" t="s">
        <v>462</v>
      </c>
      <c r="AZ174" s="30" t="s">
        <v>11</v>
      </c>
      <c r="BA174" s="25" t="s">
        <v>6116</v>
      </c>
      <c r="BB174" s="499"/>
      <c r="BC174" s="271"/>
      <c r="BD174" s="279">
        <v>1</v>
      </c>
      <c r="BE174" s="271"/>
      <c r="BF174" s="271"/>
      <c r="BG174" s="271"/>
      <c r="BH174" s="271"/>
      <c r="BI174" s="271"/>
      <c r="BJ174" s="271"/>
      <c r="BK174" s="271"/>
      <c r="BL174" s="271"/>
    </row>
    <row r="175" spans="18:64" ht="21" customHeight="1" x14ac:dyDescent="0.25">
      <c r="R175" s="34" t="s">
        <v>469</v>
      </c>
      <c r="S175" s="451"/>
      <c r="T175" s="28" t="s">
        <v>23</v>
      </c>
      <c r="V175" s="475">
        <v>3</v>
      </c>
      <c r="W175" s="475" t="str">
        <f>IF($AC$175="","",$W$144)</f>
        <v/>
      </c>
      <c r="X175" s="476" t="str">
        <f>IF($AC$175="","",$X$144)</f>
        <v/>
      </c>
      <c r="Y175" s="477" t="str">
        <f>IF($X$175="","",$Y$144)</f>
        <v/>
      </c>
      <c r="Z175" s="477" t="str">
        <f>IF($X$175="","",$Z$144)</f>
        <v/>
      </c>
      <c r="AA175" s="477" t="str">
        <f>IF($AC$175="","",ROW($A$175)-ROW($A$144))</f>
        <v/>
      </c>
      <c r="AB175" s="478"/>
      <c r="AC175" s="34"/>
      <c r="AD175" s="356"/>
      <c r="AE175" s="18"/>
      <c r="AF175" s="19"/>
      <c r="AG175" s="480" t="str">
        <f t="shared" si="28"/>
        <v/>
      </c>
      <c r="AH175" s="481" t="str">
        <f t="shared" si="29"/>
        <v/>
      </c>
      <c r="AI175" s="477" t="str">
        <f>IF($AC$175="","",IFERROR(INDEX($AZ$74:$AZ$119,MATCH($AH$175,$AY$74:$AY$119,0)),"AUTRE"))</f>
        <v/>
      </c>
      <c r="AJ175" s="482" t="str">
        <f>IF($AC$175="","",IFERROR(INDEX($BA$74:$BA$119,MATCH($AH$175,$AY$74:$AY$119,0)),1))</f>
        <v/>
      </c>
      <c r="AK175" s="482" t="str">
        <f t="shared" si="30"/>
        <v/>
      </c>
      <c r="AL175" s="477" t="str">
        <f>IF($AC$175="","",IFERROR(INDEX($BB$74:$BB$119,MATCH($AH$175,$AY$74:$AY$119,0)),$AH$175))</f>
        <v/>
      </c>
      <c r="AM175" s="483" t="str">
        <f t="shared" si="31"/>
        <v/>
      </c>
      <c r="AN175" s="484" t="str">
        <f t="shared" si="32"/>
        <v/>
      </c>
      <c r="AO175" s="473" t="str">
        <f t="shared" si="33"/>
        <v/>
      </c>
      <c r="AP175" s="473" t="str">
        <f t="shared" si="34"/>
        <v/>
      </c>
      <c r="AQ175" s="473" t="str">
        <f t="shared" si="35"/>
        <v/>
      </c>
      <c r="AR175" s="473" t="str">
        <f t="shared" si="36"/>
        <v/>
      </c>
      <c r="AS175" s="473" t="str">
        <f t="shared" si="37"/>
        <v/>
      </c>
      <c r="AT175" s="473" t="str">
        <f t="shared" si="38"/>
        <v/>
      </c>
      <c r="AU175" s="473" t="str">
        <f t="shared" si="39"/>
        <v/>
      </c>
      <c r="AY175" s="497" t="s">
        <v>463</v>
      </c>
      <c r="AZ175" s="30" t="s">
        <v>12</v>
      </c>
      <c r="BA175" s="34" t="s">
        <v>6117</v>
      </c>
      <c r="BB175" s="499"/>
      <c r="BC175" s="271"/>
      <c r="BD175" s="279">
        <v>1</v>
      </c>
      <c r="BE175" s="271"/>
      <c r="BF175" s="271"/>
      <c r="BG175" s="271"/>
      <c r="BH175" s="271"/>
      <c r="BI175" s="271"/>
      <c r="BJ175" s="271"/>
      <c r="BK175" s="271"/>
      <c r="BL175" s="271"/>
    </row>
    <row r="176" spans="18:64" ht="21" customHeight="1" x14ac:dyDescent="0.25">
      <c r="R176" s="34" t="s">
        <v>6118</v>
      </c>
      <c r="S176" s="451"/>
      <c r="T176" s="28" t="s">
        <v>24</v>
      </c>
      <c r="V176" s="475">
        <v>3</v>
      </c>
      <c r="W176" s="475" t="str">
        <f>IF($AC$176="","",$W$144)</f>
        <v/>
      </c>
      <c r="X176" s="476" t="str">
        <f>IF($AC$176="","",$X$144)</f>
        <v/>
      </c>
      <c r="Y176" s="477" t="str">
        <f>IF($X$176="","",$Y$144)</f>
        <v/>
      </c>
      <c r="Z176" s="477" t="str">
        <f>IF($X$176="","",$Z$144)</f>
        <v/>
      </c>
      <c r="AA176" s="477" t="str">
        <f>IF($AC$176="","",ROW($A$176)-ROW($A$144))</f>
        <v/>
      </c>
      <c r="AB176" s="478"/>
      <c r="AC176" s="34"/>
      <c r="AD176" s="356"/>
      <c r="AE176" s="18"/>
      <c r="AF176" s="19"/>
      <c r="AG176" s="480" t="str">
        <f t="shared" si="28"/>
        <v/>
      </c>
      <c r="AH176" s="481" t="str">
        <f t="shared" si="29"/>
        <v/>
      </c>
      <c r="AI176" s="477" t="str">
        <f>IF($AC$176="","",IFERROR(INDEX($AZ$74:$AZ$119,MATCH($AH$176,$AY$74:$AY$119,0)),"AUTRE"))</f>
        <v/>
      </c>
      <c r="AJ176" s="482" t="str">
        <f>IF($AC$176="","",IFERROR(INDEX($BA$74:$BA$119,MATCH($AH$176,$AY$74:$AY$119,0)),1))</f>
        <v/>
      </c>
      <c r="AK176" s="482" t="str">
        <f t="shared" si="30"/>
        <v/>
      </c>
      <c r="AL176" s="477" t="str">
        <f>IF($AC$176="","",IFERROR(INDEX($BB$74:$BB$119,MATCH($AH$176,$AY$74:$AY$119,0)),$AH$176))</f>
        <v/>
      </c>
      <c r="AM176" s="483" t="str">
        <f t="shared" si="31"/>
        <v/>
      </c>
      <c r="AN176" s="484" t="str">
        <f t="shared" si="32"/>
        <v/>
      </c>
      <c r="AO176" s="473" t="str">
        <f t="shared" si="33"/>
        <v/>
      </c>
      <c r="AP176" s="473" t="str">
        <f t="shared" si="34"/>
        <v/>
      </c>
      <c r="AQ176" s="473" t="str">
        <f t="shared" si="35"/>
        <v/>
      </c>
      <c r="AR176" s="473" t="str">
        <f t="shared" si="36"/>
        <v/>
      </c>
      <c r="AS176" s="473" t="str">
        <f t="shared" si="37"/>
        <v/>
      </c>
      <c r="AT176" s="473" t="str">
        <f t="shared" si="38"/>
        <v/>
      </c>
      <c r="AU176" s="473" t="str">
        <f t="shared" si="39"/>
        <v/>
      </c>
      <c r="AY176" s="497" t="s">
        <v>8147</v>
      </c>
      <c r="AZ176" s="31" t="s">
        <v>16</v>
      </c>
      <c r="BA176" s="34" t="s">
        <v>469</v>
      </c>
      <c r="BB176" s="499"/>
      <c r="BC176" s="271"/>
      <c r="BD176" s="279">
        <v>1</v>
      </c>
      <c r="BE176" s="271"/>
      <c r="BF176" s="271"/>
      <c r="BG176" s="271"/>
      <c r="BH176" s="271"/>
      <c r="BI176" s="271"/>
      <c r="BJ176" s="271"/>
      <c r="BK176" s="271"/>
      <c r="BL176" s="271"/>
    </row>
    <row r="177" spans="18:64" ht="21" customHeight="1" x14ac:dyDescent="0.25">
      <c r="R177" s="34" t="s">
        <v>492</v>
      </c>
      <c r="S177" s="451"/>
      <c r="T177" s="29" t="s">
        <v>9</v>
      </c>
      <c r="V177" s="475">
        <v>3</v>
      </c>
      <c r="W177" s="475" t="str">
        <f>IF($AC$177="","",$W$144)</f>
        <v/>
      </c>
      <c r="X177" s="476" t="str">
        <f>IF($AC$177="","",$X$144)</f>
        <v/>
      </c>
      <c r="Y177" s="477" t="str">
        <f>IF($X$177="","",$Y$144)</f>
        <v/>
      </c>
      <c r="Z177" s="477" t="str">
        <f>IF($X$177="","",$Z$144)</f>
        <v/>
      </c>
      <c r="AA177" s="477" t="str">
        <f>IF($AC$177="","",ROW($A$177)-ROW($A$144))</f>
        <v/>
      </c>
      <c r="AB177" s="478"/>
      <c r="AC177" s="34"/>
      <c r="AD177" s="356"/>
      <c r="AE177" s="18"/>
      <c r="AF177" s="19"/>
      <c r="AG177" s="480" t="str">
        <f t="shared" si="28"/>
        <v/>
      </c>
      <c r="AH177" s="481" t="str">
        <f t="shared" si="29"/>
        <v/>
      </c>
      <c r="AI177" s="477" t="str">
        <f>IF($AC$177="","",IFERROR(INDEX($AZ$74:$AZ$119,MATCH($AH$177,$AY$74:$AY$119,0)),"AUTRE"))</f>
        <v/>
      </c>
      <c r="AJ177" s="482" t="str">
        <f>IF($AC$177="","",IFERROR(INDEX($BA$74:$BA$119,MATCH($AH$177,$AY$74:$AY$119,0)),1))</f>
        <v/>
      </c>
      <c r="AK177" s="482" t="str">
        <f t="shared" si="30"/>
        <v/>
      </c>
      <c r="AL177" s="477" t="str">
        <f>IF($AC$177="","",IFERROR(INDEX($BB$74:$BB$119,MATCH($AH$177,$AY$74:$AY$119,0)),$AH$177))</f>
        <v/>
      </c>
      <c r="AM177" s="483" t="str">
        <f t="shared" si="31"/>
        <v/>
      </c>
      <c r="AN177" s="484" t="str">
        <f t="shared" si="32"/>
        <v/>
      </c>
      <c r="AO177" s="473" t="str">
        <f t="shared" si="33"/>
        <v/>
      </c>
      <c r="AP177" s="473" t="str">
        <f t="shared" si="34"/>
        <v/>
      </c>
      <c r="AQ177" s="473" t="str">
        <f t="shared" si="35"/>
        <v/>
      </c>
      <c r="AR177" s="473" t="str">
        <f t="shared" si="36"/>
        <v/>
      </c>
      <c r="AS177" s="473" t="str">
        <f t="shared" si="37"/>
        <v/>
      </c>
      <c r="AT177" s="473" t="str">
        <f t="shared" si="38"/>
        <v/>
      </c>
      <c r="AU177" s="473" t="str">
        <f t="shared" si="39"/>
        <v/>
      </c>
      <c r="AY177" s="497" t="s">
        <v>465</v>
      </c>
      <c r="AZ177" s="31" t="s">
        <v>17</v>
      </c>
      <c r="BA177" s="34" t="s">
        <v>6118</v>
      </c>
      <c r="BB177" s="499"/>
      <c r="BC177" s="271"/>
      <c r="BD177" s="279">
        <v>1</v>
      </c>
      <c r="BE177" s="271"/>
      <c r="BF177" s="271"/>
      <c r="BG177" s="271"/>
      <c r="BH177" s="271"/>
      <c r="BI177" s="271"/>
      <c r="BJ177" s="271"/>
      <c r="BK177" s="271"/>
      <c r="BL177" s="271"/>
    </row>
    <row r="178" spans="18:64" ht="21" customHeight="1" x14ac:dyDescent="0.25">
      <c r="R178" s="34" t="s">
        <v>458</v>
      </c>
      <c r="S178" s="451"/>
      <c r="T178" s="30" t="s">
        <v>10</v>
      </c>
      <c r="V178" s="475">
        <v>3</v>
      </c>
      <c r="W178" s="475" t="str">
        <f>IF($AC$178="","",$W$144)</f>
        <v/>
      </c>
      <c r="X178" s="476" t="str">
        <f>IF($AC$178="","",$X$144)</f>
        <v/>
      </c>
      <c r="Y178" s="477" t="str">
        <f>IF($X$178="","",$Y$144)</f>
        <v/>
      </c>
      <c r="Z178" s="477" t="str">
        <f>IF($X$178="","",$Z$144)</f>
        <v/>
      </c>
      <c r="AA178" s="477" t="str">
        <f>IF($AC$178="","",ROW($A$178)-ROW($A$144))</f>
        <v/>
      </c>
      <c r="AB178" s="478"/>
      <c r="AC178" s="34"/>
      <c r="AD178" s="356"/>
      <c r="AE178" s="18"/>
      <c r="AF178" s="24"/>
      <c r="AG178" s="491" t="str">
        <f t="shared" si="28"/>
        <v/>
      </c>
      <c r="AH178" s="481" t="str">
        <f t="shared" si="29"/>
        <v/>
      </c>
      <c r="AI178" s="477" t="str">
        <f>IF($AC$178="","",IFERROR(INDEX($AZ$74:$AZ$119,MATCH($AH$178,$AY$74:$AY$119,0)),"AUTRE"))</f>
        <v/>
      </c>
      <c r="AJ178" s="482" t="str">
        <f>IF($AC$178="","",IFERROR(INDEX($BA$74:$BA$119,MATCH($AH$178,$AY$74:$AY$119,0)),1))</f>
        <v/>
      </c>
      <c r="AK178" s="482" t="str">
        <f t="shared" si="30"/>
        <v/>
      </c>
      <c r="AL178" s="477" t="str">
        <f>IF($AC$178="","",IFERROR(INDEX($BB$74:$BB$119,MATCH($AH$178,$AY$74:$AY$119,0)),$AH$178))</f>
        <v/>
      </c>
      <c r="AM178" s="483" t="str">
        <f t="shared" si="31"/>
        <v/>
      </c>
      <c r="AN178" s="484" t="str">
        <f t="shared" si="32"/>
        <v/>
      </c>
      <c r="AO178" s="473" t="str">
        <f t="shared" si="33"/>
        <v/>
      </c>
      <c r="AP178" s="473" t="str">
        <f t="shared" si="34"/>
        <v/>
      </c>
      <c r="AQ178" s="473" t="str">
        <f t="shared" si="35"/>
        <v/>
      </c>
      <c r="AR178" s="473" t="str">
        <f t="shared" si="36"/>
        <v/>
      </c>
      <c r="AS178" s="473" t="str">
        <f t="shared" si="37"/>
        <v/>
      </c>
      <c r="AT178" s="473" t="str">
        <f t="shared" si="38"/>
        <v/>
      </c>
      <c r="AU178" s="473" t="str">
        <f t="shared" si="39"/>
        <v/>
      </c>
      <c r="AY178" s="497" t="s">
        <v>466</v>
      </c>
      <c r="AZ178" s="31" t="s">
        <v>18</v>
      </c>
      <c r="BA178" s="34" t="s">
        <v>492</v>
      </c>
      <c r="BB178" s="499"/>
      <c r="BC178" s="271"/>
      <c r="BD178" s="279">
        <v>1</v>
      </c>
      <c r="BE178" s="271"/>
      <c r="BF178" s="271"/>
      <c r="BG178" s="271"/>
      <c r="BH178" s="271"/>
      <c r="BI178" s="271"/>
      <c r="BJ178" s="271"/>
      <c r="BK178" s="271"/>
      <c r="BL178" s="271"/>
    </row>
    <row r="179" spans="18:64" ht="30" customHeight="1" x14ac:dyDescent="0.25">
      <c r="R179" s="490"/>
      <c r="S179" s="451"/>
      <c r="T179" s="30" t="s">
        <v>11</v>
      </c>
      <c r="V179" s="453" t="s">
        <v>324</v>
      </c>
      <c r="W179" s="453" t="s">
        <v>7912</v>
      </c>
      <c r="X179" s="453" t="s">
        <v>326</v>
      </c>
      <c r="Y179" s="453" t="s">
        <v>327</v>
      </c>
      <c r="Z179" s="454" t="s">
        <v>7930</v>
      </c>
      <c r="AA179" s="453" t="s">
        <v>7937</v>
      </c>
      <c r="AB179" s="455" t="s">
        <v>39</v>
      </c>
      <c r="AC179" s="455" t="s">
        <v>338</v>
      </c>
      <c r="AD179" s="455" t="s">
        <v>8114</v>
      </c>
      <c r="AE179" s="455" t="s">
        <v>339</v>
      </c>
      <c r="AF179" s="455" t="s">
        <v>7997</v>
      </c>
      <c r="AG179" s="453" t="s">
        <v>8018</v>
      </c>
      <c r="AH179" s="453" t="s">
        <v>8023</v>
      </c>
      <c r="AI179" s="453" t="s">
        <v>330</v>
      </c>
      <c r="AJ179" s="453" t="s">
        <v>8031</v>
      </c>
      <c r="AK179" s="453" t="s">
        <v>8037</v>
      </c>
      <c r="AL179" s="453" t="s">
        <v>8041</v>
      </c>
      <c r="AM179" s="453" t="s">
        <v>343</v>
      </c>
      <c r="AN179" s="457" t="s">
        <v>8115</v>
      </c>
      <c r="AO179" s="457" t="s">
        <v>8116</v>
      </c>
      <c r="AP179" s="656" t="s">
        <v>8117</v>
      </c>
      <c r="AQ179" s="656"/>
      <c r="AR179" s="656"/>
      <c r="AS179" s="656"/>
      <c r="AT179" s="656"/>
      <c r="AU179" s="657"/>
      <c r="AZ179" s="31" t="s">
        <v>19</v>
      </c>
      <c r="BA179" s="34" t="s">
        <v>458</v>
      </c>
      <c r="BB179" s="499"/>
      <c r="BC179" s="271"/>
      <c r="BD179" s="279">
        <v>1</v>
      </c>
      <c r="BE179" s="271"/>
      <c r="BF179" s="271"/>
      <c r="BG179" s="271"/>
      <c r="BH179" s="271"/>
      <c r="BI179" s="271"/>
      <c r="BJ179" s="271"/>
      <c r="BK179" s="271"/>
      <c r="BL179" s="271"/>
    </row>
    <row r="180" spans="18:64" ht="30" customHeight="1" x14ac:dyDescent="0.25">
      <c r="R180" s="25" t="s">
        <v>6119</v>
      </c>
      <c r="S180" s="451"/>
      <c r="T180" s="30" t="s">
        <v>12</v>
      </c>
      <c r="V180" s="459">
        <v>4</v>
      </c>
      <c r="W180" s="460" t="s">
        <v>8190</v>
      </c>
      <c r="X180" s="461" t="s">
        <v>64</v>
      </c>
      <c r="Y180" s="462">
        <v>21</v>
      </c>
      <c r="Z180" s="463">
        <v>100</v>
      </c>
      <c r="AA180" s="464">
        <f>IF($AC$396="","",ROW($A$396)-ROW($A$396))</f>
        <v>0</v>
      </c>
      <c r="AB180" s="461"/>
      <c r="AC180" s="465" t="s">
        <v>410</v>
      </c>
      <c r="AD180" s="390"/>
      <c r="AE180" s="13">
        <v>7</v>
      </c>
      <c r="AF180" s="14" t="s">
        <v>7</v>
      </c>
      <c r="AG180" s="467">
        <f t="shared" ref="AG180:AG214" si="40">IF($AC180="","",IF(LEN($AN180&amp;"")=0,"",$AN180))</f>
        <v>7</v>
      </c>
      <c r="AH180" s="468" t="str">
        <f t="shared" ref="AH180:AH214" si="41">IF($AC180="","",IF($AF180&lt;&gt;"",UPPER(TRIM(SUBSTITUTE(SUBSTITUTE($AF180&amp;"",CHAR(160)," ")," "," "))),$AP180))</f>
        <v>KG</v>
      </c>
      <c r="AI180" s="469" t="str">
        <f>IF($AC$180="","",IFERROR(INDEX($AZ$74:$AZ$119,MATCH($AH$180,$AY$74:$AY$119,0)),"AUTRE"))</f>
        <v>MASSE</v>
      </c>
      <c r="AJ180" s="470">
        <f>IF($AC$180="","",IFERROR(INDEX($BA$74:$BA$119,MATCH($AH$180,$AY$74:$AY$119,0)),1))</f>
        <v>1</v>
      </c>
      <c r="AK180" s="470">
        <f t="shared" ref="AK180:AK214" si="42">IF(OR(AG180="",AJ180=""),"",AG180*AJ180)</f>
        <v>7</v>
      </c>
      <c r="AL180" s="469" t="str">
        <f>IF($AC$180="","",IFERROR(INDEX($BB$74:$BB$119,MATCH($AH$180,$AY$74:$AY$119,0)),$AH$180))</f>
        <v>kg</v>
      </c>
      <c r="AM180" s="471" t="str">
        <f t="shared" ref="AM180:AM214" si="43">IF($AC180="","",IF($AH180="QT. SUFFISANTE","OK",IF($AG180="","TEXTE",IF(NOT(ISNUMBER($AG180)),"QUANTITÉ À CONTRÔLER",IF(COUNTIF($AY$74:$AY$119,$AH180)=0,"UNITÉ À CONTRÔLER","OK")))))</f>
        <v>OK</v>
      </c>
      <c r="AN180" s="474">
        <f t="shared" ref="AN180:AN214" si="44">IF($AE180&lt;&gt;"",$AE180,IF($AD180="","",IF(ISNUMBER($AD180),$AD180,IF($AO180="QT",0,IF($AO180="","",IFERROR(IF(ISNUMBER(SEARCH("/",$AO180)),VALUE(TRIM(LEFT($AO180,SEARCH("/",$AO180)-1)))/VALUE(TRIM(MID($AO180,SEARCH("/",$AO180)+1,99))),VALUE(SUBSTITUTE($AO180,".",","))),""))))))</f>
        <v>7</v>
      </c>
      <c r="AO180" s="473" t="str">
        <f t="shared" ref="AO180:AO214" si="45">IF($AD180="","",IF(ISNUMBER($AD180),$AD180,IF(OR(LEFT($AQ180,3)="QT.",LEFT($AQ180,4)="QUAN"),"QT",IF($AR180=999,$AQ180,TRIM(LEFT($AQ180,$AR180-1))))))</f>
        <v/>
      </c>
      <c r="AP180" s="473" t="str">
        <f t="shared" ref="AP180:AP214" si="46">IF($AD180="","",IF(ISNUMBER($AD180),"",IF(OR(LEFT($AQ180,3)="QT.",LEFT($AQ180,4)="QUAN"),"QT. SUFFISANTE",IF($AO180="","",TRIM(MID($AQ180,LEN($AO180&amp;"")+1,999))))))</f>
        <v/>
      </c>
      <c r="AQ180" s="473" t="str">
        <f t="shared" ref="AQ180:AQ214" si="47">IF($AD180="","",UPPER(TRIM(SUBSTITUTE(SUBSTITUTE($AD180&amp;"",CHAR(160)," ")," "," "))))</f>
        <v/>
      </c>
      <c r="AR180" s="473" t="str">
        <f t="shared" ref="AR180:AR214" si="48">IF($AQ180="","",MIN($AS180,$AT180,$AU180))</f>
        <v/>
      </c>
      <c r="AS180" s="473" t="str">
        <f t="shared" ref="AS180:AS214" si="49">IF($AQ180="","",MIN(IFERROR(SEARCH("A",$AQ180),999),IFERROR(SEARCH("B",$AQ180),999),IFERROR(SEARCH("C",$AQ180),999),IFERROR(SEARCH("D",$AQ180),999),IFERROR(SEARCH("E",$AQ180),999),IFERROR(SEARCH("F",$AQ180),999),IFERROR(SEARCH("G",$AQ180),999),IFERROR(SEARCH("H",$AQ180),999),IFERROR(SEARCH("I",$AQ180),999)))</f>
        <v/>
      </c>
      <c r="AT180" s="473" t="str">
        <f t="shared" ref="AT180:AT214" si="50">IF($AQ180="","",MIN(IFERROR(SEARCH("J",$AQ180),999),IFERROR(SEARCH("K",$AQ180),999),IFERROR(SEARCH("L",$AQ180),999),IFERROR(SEARCH("M",$AQ180),999),IFERROR(SEARCH("N",$AQ180),999),IFERROR(SEARCH("O",$AQ180),999),IFERROR(SEARCH("P",$AQ180),999),IFERROR(SEARCH("Q",$AQ180),999),IFERROR(SEARCH("R",$AQ180),999)))</f>
        <v/>
      </c>
      <c r="AU180" s="473" t="str">
        <f t="shared" ref="AU180:AU214" si="51">IF($AQ180="","",MIN(IFERROR(SEARCH("S",$AQ180),999),IFERROR(SEARCH("T",$AQ180),999),IFERROR(SEARCH("U",$AQ180),999),IFERROR(SEARCH("V",$AQ180),999),IFERROR(SEARCH("W",$AQ180),999),IFERROR(SEARCH("X",$AQ180),999),IFERROR(SEARCH("Y",$AQ180),999),IFERROR(SEARCH("Z",$AQ180),999)))</f>
        <v/>
      </c>
      <c r="AZ180" s="31" t="s">
        <v>211</v>
      </c>
      <c r="BA180" s="490"/>
      <c r="BB180" s="499"/>
      <c r="BC180" s="271"/>
      <c r="BD180" s="279">
        <v>1</v>
      </c>
      <c r="BE180" s="271"/>
      <c r="BF180" s="271"/>
      <c r="BG180" s="271"/>
      <c r="BH180" s="271"/>
      <c r="BI180" s="271"/>
      <c r="BJ180" s="271"/>
      <c r="BK180" s="271"/>
      <c r="BL180" s="271"/>
    </row>
    <row r="181" spans="18:64" ht="21" customHeight="1" x14ac:dyDescent="0.25">
      <c r="R181" s="34" t="s">
        <v>6120</v>
      </c>
      <c r="S181" s="451"/>
      <c r="T181" s="31" t="s">
        <v>16</v>
      </c>
      <c r="V181" s="475">
        <f>$V$180</f>
        <v>4</v>
      </c>
      <c r="W181" s="475" t="str">
        <f>IF($AC$181="","",$W$180)</f>
        <v>N° 04</v>
      </c>
      <c r="X181" s="476" t="str">
        <f>IF($AC$181="","",$X$180)</f>
        <v>FROMAGE FRAIS AUX HERBES</v>
      </c>
      <c r="Y181" s="477">
        <f>IF($X$181="","",$Y$180)</f>
        <v>21</v>
      </c>
      <c r="Z181" s="477">
        <f>IF($X$181="","",$Z$180)</f>
        <v>100</v>
      </c>
      <c r="AA181" s="477">
        <f>IF($AC$181="","",ROW($A$181)-ROW($A$180))</f>
        <v>1</v>
      </c>
      <c r="AB181" s="478"/>
      <c r="AC181" s="34" t="s">
        <v>372</v>
      </c>
      <c r="AD181" s="356"/>
      <c r="AE181" s="18">
        <v>500</v>
      </c>
      <c r="AF181" s="5" t="s">
        <v>8</v>
      </c>
      <c r="AG181" s="480">
        <f t="shared" si="40"/>
        <v>500</v>
      </c>
      <c r="AH181" s="481" t="str">
        <f t="shared" si="41"/>
        <v>G</v>
      </c>
      <c r="AI181" s="477" t="str">
        <f>IF($AC$181="","",IFERROR(INDEX($AZ$74:$AZ$119,MATCH($AH$181,$AY$74:$AY$119,0)),"AUTRE"))</f>
        <v>MASSE</v>
      </c>
      <c r="AJ181" s="482">
        <f>IF($AC$181="","",IFERROR(INDEX($BA$74:$BA$119,MATCH($AH$181,$AY$74:$AY$119,0)),1))</f>
        <v>1E-3</v>
      </c>
      <c r="AK181" s="482">
        <f t="shared" si="42"/>
        <v>0.5</v>
      </c>
      <c r="AL181" s="477" t="str">
        <f>IF($AC$181="","",IFERROR(INDEX($BB$74:$BB$119,MATCH($AH$181,$AY$74:$AY$119,0)),$AH$181))</f>
        <v>kg</v>
      </c>
      <c r="AM181" s="483" t="str">
        <f t="shared" si="43"/>
        <v>OK</v>
      </c>
      <c r="AN181" s="484">
        <f t="shared" si="44"/>
        <v>500</v>
      </c>
      <c r="AO181" s="473" t="str">
        <f t="shared" si="45"/>
        <v/>
      </c>
      <c r="AP181" s="473" t="str">
        <f t="shared" si="46"/>
        <v/>
      </c>
      <c r="AQ181" s="473" t="str">
        <f t="shared" si="47"/>
        <v/>
      </c>
      <c r="AR181" s="473" t="str">
        <f t="shared" si="48"/>
        <v/>
      </c>
      <c r="AS181" s="473" t="str">
        <f t="shared" si="49"/>
        <v/>
      </c>
      <c r="AT181" s="473" t="str">
        <f t="shared" si="50"/>
        <v/>
      </c>
      <c r="AU181" s="473" t="str">
        <f t="shared" si="51"/>
        <v/>
      </c>
      <c r="AZ181" s="31" t="s">
        <v>20</v>
      </c>
      <c r="BA181" s="25" t="s">
        <v>6119</v>
      </c>
      <c r="BB181" s="499"/>
      <c r="BC181" s="271"/>
      <c r="BD181" s="279">
        <v>1</v>
      </c>
      <c r="BE181" s="271"/>
      <c r="BF181" s="271"/>
      <c r="BG181" s="271"/>
      <c r="BH181" s="271"/>
      <c r="BI181" s="271"/>
      <c r="BJ181" s="271"/>
      <c r="BK181" s="271"/>
      <c r="BL181" s="271"/>
    </row>
    <row r="182" spans="18:64" ht="21" customHeight="1" x14ac:dyDescent="0.25">
      <c r="R182" s="34" t="s">
        <v>6121</v>
      </c>
      <c r="S182" s="451"/>
      <c r="T182" s="31" t="s">
        <v>17</v>
      </c>
      <c r="V182" s="475">
        <v>4</v>
      </c>
      <c r="W182" s="475" t="str">
        <f>IF($AC$182="","",$W$180)</f>
        <v>N° 04</v>
      </c>
      <c r="X182" s="476" t="str">
        <f>IF($AC$182="","",$X$180)</f>
        <v>FROMAGE FRAIS AUX HERBES</v>
      </c>
      <c r="Y182" s="477">
        <f>IF($X$182="","",$Y$180)</f>
        <v>21</v>
      </c>
      <c r="Z182" s="477">
        <f>IF($X$182="","",$Z$180)</f>
        <v>100</v>
      </c>
      <c r="AA182" s="477">
        <f>IF($AC$182="","",ROW($A$182)-ROW($A$180))</f>
        <v>2</v>
      </c>
      <c r="AB182" s="478"/>
      <c r="AC182" s="34" t="s">
        <v>48</v>
      </c>
      <c r="AD182" s="356"/>
      <c r="AE182" s="18">
        <v>150</v>
      </c>
      <c r="AF182" s="5" t="s">
        <v>8</v>
      </c>
      <c r="AG182" s="480">
        <f t="shared" si="40"/>
        <v>150</v>
      </c>
      <c r="AH182" s="481" t="str">
        <f t="shared" si="41"/>
        <v>G</v>
      </c>
      <c r="AI182" s="477" t="str">
        <f>IF($AC$182="","",IFERROR(INDEX($AZ$74:$AZ$119,MATCH($AH$182,$AY$74:$AY$119,0)),"AUTRE"))</f>
        <v>MASSE</v>
      </c>
      <c r="AJ182" s="482">
        <f>IF($AC$182="","",IFERROR(INDEX($BA$74:$BA$119,MATCH($AH$182,$AY$74:$AY$119,0)),1))</f>
        <v>1E-3</v>
      </c>
      <c r="AK182" s="482">
        <f t="shared" si="42"/>
        <v>0.15</v>
      </c>
      <c r="AL182" s="477" t="str">
        <f>IF($AC$182="","",IFERROR(INDEX($BB$74:$BB$119,MATCH($AH$182,$AY$74:$AY$119,0)),$AH$182))</f>
        <v>kg</v>
      </c>
      <c r="AM182" s="483" t="str">
        <f t="shared" si="43"/>
        <v>OK</v>
      </c>
      <c r="AN182" s="484">
        <f t="shared" si="44"/>
        <v>150</v>
      </c>
      <c r="AO182" s="473" t="str">
        <f t="shared" si="45"/>
        <v/>
      </c>
      <c r="AP182" s="473" t="str">
        <f t="shared" si="46"/>
        <v/>
      </c>
      <c r="AQ182" s="473" t="str">
        <f t="shared" si="47"/>
        <v/>
      </c>
      <c r="AR182" s="473" t="str">
        <f t="shared" si="48"/>
        <v/>
      </c>
      <c r="AS182" s="473" t="str">
        <f t="shared" si="49"/>
        <v/>
      </c>
      <c r="AT182" s="473" t="str">
        <f t="shared" si="50"/>
        <v/>
      </c>
      <c r="AU182" s="473" t="str">
        <f t="shared" si="51"/>
        <v/>
      </c>
      <c r="AZ182" s="31" t="s">
        <v>304</v>
      </c>
      <c r="BA182" s="34" t="s">
        <v>6120</v>
      </c>
      <c r="BB182" s="499"/>
      <c r="BC182" s="271"/>
      <c r="BD182" s="279">
        <v>1</v>
      </c>
      <c r="BE182" s="271"/>
      <c r="BF182" s="271"/>
      <c r="BG182" s="271"/>
      <c r="BH182" s="271"/>
      <c r="BI182" s="271"/>
      <c r="BJ182" s="271"/>
      <c r="BK182" s="271"/>
      <c r="BL182" s="271"/>
    </row>
    <row r="183" spans="18:64" ht="21" customHeight="1" x14ac:dyDescent="0.25">
      <c r="R183" s="34" t="s">
        <v>6122</v>
      </c>
      <c r="S183" s="451"/>
      <c r="T183" s="31" t="s">
        <v>18</v>
      </c>
      <c r="V183" s="475">
        <v>4</v>
      </c>
      <c r="W183" s="475" t="str">
        <f>IF($AC$183="","",$W$180)</f>
        <v>N° 04</v>
      </c>
      <c r="X183" s="476" t="str">
        <f>IF($AC$183="","",$X$180)</f>
        <v>FROMAGE FRAIS AUX HERBES</v>
      </c>
      <c r="Y183" s="477">
        <f>IF($X$183="","",$Y$180)</f>
        <v>21</v>
      </c>
      <c r="Z183" s="477">
        <f>IF($X$183="","",$Z$180)</f>
        <v>100</v>
      </c>
      <c r="AA183" s="477">
        <f>IF($AC$183="","",ROW($A$183)-ROW($A$180))</f>
        <v>3</v>
      </c>
      <c r="AB183" s="478"/>
      <c r="AC183" s="34" t="s">
        <v>65</v>
      </c>
      <c r="AD183" s="356"/>
      <c r="AE183" s="18">
        <v>2</v>
      </c>
      <c r="AF183" s="9" t="s">
        <v>315</v>
      </c>
      <c r="AG183" s="480">
        <f t="shared" si="40"/>
        <v>2</v>
      </c>
      <c r="AH183" s="481" t="str">
        <f t="shared" si="41"/>
        <v>BOTTE(S)</v>
      </c>
      <c r="AI183" s="477" t="str">
        <f>IF($AC$183="","",IFERROR(INDEX($AZ$74:$AZ$119,MATCH($AH$183,$AY$74:$AY$119,0)),"AUTRE"))</f>
        <v>AUTRE</v>
      </c>
      <c r="AJ183" s="482">
        <f>IF($AC$183="","",IFERROR(INDEX($BA$74:$BA$119,MATCH($AH$183,$AY$74:$AY$119,0)),1))</f>
        <v>1</v>
      </c>
      <c r="AK183" s="482">
        <f t="shared" si="42"/>
        <v>2</v>
      </c>
      <c r="AL183" s="477" t="str">
        <f>IF($AC$183="","",IFERROR(INDEX($BB$74:$BB$119,MATCH($AH$183,$AY$74:$AY$119,0)),$AH$183))</f>
        <v>BOTTE(S)</v>
      </c>
      <c r="AM183" s="483" t="str">
        <f t="shared" si="43"/>
        <v>UNITÉ À CONTRÔLER</v>
      </c>
      <c r="AN183" s="484">
        <f t="shared" si="44"/>
        <v>2</v>
      </c>
      <c r="AO183" s="473" t="str">
        <f t="shared" si="45"/>
        <v/>
      </c>
      <c r="AP183" s="473" t="str">
        <f t="shared" si="46"/>
        <v/>
      </c>
      <c r="AQ183" s="473" t="str">
        <f t="shared" si="47"/>
        <v/>
      </c>
      <c r="AR183" s="473" t="str">
        <f t="shared" si="48"/>
        <v/>
      </c>
      <c r="AS183" s="473" t="str">
        <f t="shared" si="49"/>
        <v/>
      </c>
      <c r="AT183" s="473" t="str">
        <f t="shared" si="50"/>
        <v/>
      </c>
      <c r="AU183" s="473" t="str">
        <f t="shared" si="51"/>
        <v/>
      </c>
      <c r="AZ183" s="31" t="s">
        <v>352</v>
      </c>
      <c r="BA183" s="34" t="s">
        <v>6121</v>
      </c>
      <c r="BB183" s="499"/>
      <c r="BC183" s="271"/>
      <c r="BD183" s="279">
        <v>1</v>
      </c>
      <c r="BE183" s="271"/>
      <c r="BF183" s="271"/>
      <c r="BG183" s="271"/>
      <c r="BH183" s="271"/>
      <c r="BI183" s="271"/>
      <c r="BJ183" s="271"/>
      <c r="BK183" s="271"/>
      <c r="BL183" s="271"/>
    </row>
    <row r="184" spans="18:64" ht="21" customHeight="1" x14ac:dyDescent="0.25">
      <c r="R184" s="34" t="s">
        <v>6123</v>
      </c>
      <c r="S184" s="451"/>
      <c r="T184" s="31" t="s">
        <v>19</v>
      </c>
      <c r="V184" s="475">
        <v>4</v>
      </c>
      <c r="W184" s="475" t="str">
        <f>IF($AC$184="","",$W$180)</f>
        <v>N° 04</v>
      </c>
      <c r="X184" s="476" t="str">
        <f>IF($AC$184="","",$X$180)</f>
        <v>FROMAGE FRAIS AUX HERBES</v>
      </c>
      <c r="Y184" s="477">
        <f>IF($X$184="","",$Y$180)</f>
        <v>21</v>
      </c>
      <c r="Z184" s="477">
        <f>IF($X$184="","",$Z$180)</f>
        <v>100</v>
      </c>
      <c r="AA184" s="477">
        <f>IF($AC$184="","",ROW($A$184)-ROW($A$180))</f>
        <v>4</v>
      </c>
      <c r="AB184" s="478"/>
      <c r="AC184" s="34" t="s">
        <v>66</v>
      </c>
      <c r="AD184" s="356"/>
      <c r="AE184" s="18">
        <v>25</v>
      </c>
      <c r="AF184" s="5" t="s">
        <v>8</v>
      </c>
      <c r="AG184" s="480">
        <f t="shared" si="40"/>
        <v>25</v>
      </c>
      <c r="AH184" s="481" t="str">
        <f t="shared" si="41"/>
        <v>G</v>
      </c>
      <c r="AI184" s="477" t="str">
        <f>IF($AC$184="","",IFERROR(INDEX($AZ$74:$AZ$119,MATCH($AH$184,$AY$74:$AY$119,0)),"AUTRE"))</f>
        <v>MASSE</v>
      </c>
      <c r="AJ184" s="482">
        <f>IF($AC$184="","",IFERROR(INDEX($BA$74:$BA$119,MATCH($AH$184,$AY$74:$AY$119,0)),1))</f>
        <v>1E-3</v>
      </c>
      <c r="AK184" s="482">
        <f t="shared" si="42"/>
        <v>2.5000000000000001E-2</v>
      </c>
      <c r="AL184" s="477" t="str">
        <f>IF($AC$184="","",IFERROR(INDEX($BB$74:$BB$119,MATCH($AH$184,$AY$74:$AY$119,0)),$AH$184))</f>
        <v>kg</v>
      </c>
      <c r="AM184" s="483" t="str">
        <f t="shared" si="43"/>
        <v>OK</v>
      </c>
      <c r="AN184" s="484">
        <f t="shared" si="44"/>
        <v>25</v>
      </c>
      <c r="AO184" s="473" t="str">
        <f t="shared" si="45"/>
        <v/>
      </c>
      <c r="AP184" s="473" t="str">
        <f t="shared" si="46"/>
        <v/>
      </c>
      <c r="AQ184" s="473" t="str">
        <f t="shared" si="47"/>
        <v/>
      </c>
      <c r="AR184" s="473" t="str">
        <f t="shared" si="48"/>
        <v/>
      </c>
      <c r="AS184" s="473" t="str">
        <f t="shared" si="49"/>
        <v/>
      </c>
      <c r="AT184" s="473" t="str">
        <f t="shared" si="50"/>
        <v/>
      </c>
      <c r="AU184" s="473" t="str">
        <f t="shared" si="51"/>
        <v/>
      </c>
      <c r="AZ184" s="31" t="s">
        <v>27</v>
      </c>
      <c r="BA184" s="34" t="s">
        <v>6122</v>
      </c>
      <c r="BB184" s="499"/>
      <c r="BC184" s="271"/>
      <c r="BD184" s="279">
        <v>1</v>
      </c>
      <c r="BE184" s="271"/>
      <c r="BF184" s="271"/>
      <c r="BG184" s="271"/>
      <c r="BH184" s="271"/>
      <c r="BI184" s="271"/>
      <c r="BJ184" s="271"/>
      <c r="BK184" s="271"/>
      <c r="BL184" s="271"/>
    </row>
    <row r="185" spans="18:64" ht="21" customHeight="1" x14ac:dyDescent="0.25">
      <c r="R185" s="34" t="s">
        <v>6124</v>
      </c>
      <c r="S185" s="451"/>
      <c r="T185" s="31" t="s">
        <v>211</v>
      </c>
      <c r="V185" s="475">
        <v>4</v>
      </c>
      <c r="W185" s="475" t="str">
        <f>IF($AC$185="","",$W$180)</f>
        <v>N° 04</v>
      </c>
      <c r="X185" s="476" t="str">
        <f>IF($AC$185="","",$X$180)</f>
        <v>FROMAGE FRAIS AUX HERBES</v>
      </c>
      <c r="Y185" s="477">
        <f>IF($X$185="","",$Y$180)</f>
        <v>21</v>
      </c>
      <c r="Z185" s="477">
        <f>IF($X$185="","",$Z$180)</f>
        <v>100</v>
      </c>
      <c r="AA185" s="477">
        <f>IF($AC$185="","",ROW($A$185)-ROW($A$180))</f>
        <v>5</v>
      </c>
      <c r="AB185" s="478"/>
      <c r="AC185" s="34" t="s">
        <v>45</v>
      </c>
      <c r="AD185" s="356"/>
      <c r="AE185" s="18">
        <v>50</v>
      </c>
      <c r="AF185" s="5" t="s">
        <v>8</v>
      </c>
      <c r="AG185" s="480">
        <f t="shared" si="40"/>
        <v>50</v>
      </c>
      <c r="AH185" s="481" t="str">
        <f t="shared" si="41"/>
        <v>G</v>
      </c>
      <c r="AI185" s="477" t="str">
        <f>IF($AC$185="","",IFERROR(INDEX($AZ$74:$AZ$119,MATCH($AH$185,$AY$74:$AY$119,0)),"AUTRE"))</f>
        <v>MASSE</v>
      </c>
      <c r="AJ185" s="482">
        <f>IF($AC$185="","",IFERROR(INDEX($BA$74:$BA$119,MATCH($AH$185,$AY$74:$AY$119,0)),1))</f>
        <v>1E-3</v>
      </c>
      <c r="AK185" s="482">
        <f t="shared" si="42"/>
        <v>0.05</v>
      </c>
      <c r="AL185" s="477" t="str">
        <f>IF($AC$185="","",IFERROR(INDEX($BB$74:$BB$119,MATCH($AH$185,$AY$74:$AY$119,0)),$AH$185))</f>
        <v>kg</v>
      </c>
      <c r="AM185" s="483" t="str">
        <f t="shared" si="43"/>
        <v>OK</v>
      </c>
      <c r="AN185" s="484">
        <f t="shared" si="44"/>
        <v>50</v>
      </c>
      <c r="AO185" s="473" t="str">
        <f t="shared" si="45"/>
        <v/>
      </c>
      <c r="AP185" s="473" t="str">
        <f t="shared" si="46"/>
        <v/>
      </c>
      <c r="AQ185" s="473" t="str">
        <f t="shared" si="47"/>
        <v/>
      </c>
      <c r="AR185" s="473" t="str">
        <f t="shared" si="48"/>
        <v/>
      </c>
      <c r="AS185" s="473" t="str">
        <f t="shared" si="49"/>
        <v/>
      </c>
      <c r="AT185" s="473" t="str">
        <f t="shared" si="50"/>
        <v/>
      </c>
      <c r="AU185" s="473" t="str">
        <f t="shared" si="51"/>
        <v/>
      </c>
      <c r="AZ185" s="31" t="s">
        <v>28</v>
      </c>
      <c r="BA185" s="34" t="s">
        <v>6123</v>
      </c>
      <c r="BB185" s="499"/>
      <c r="BC185" s="271"/>
      <c r="BD185" s="279">
        <v>1</v>
      </c>
      <c r="BE185" s="271"/>
      <c r="BF185" s="271"/>
      <c r="BG185" s="271"/>
      <c r="BH185" s="271"/>
      <c r="BI185" s="271"/>
      <c r="BJ185" s="271"/>
      <c r="BK185" s="271"/>
      <c r="BL185" s="271"/>
    </row>
    <row r="186" spans="18:64" ht="21" customHeight="1" x14ac:dyDescent="0.25">
      <c r="R186" s="34" t="s">
        <v>6125</v>
      </c>
      <c r="S186" s="451"/>
      <c r="T186" s="31" t="s">
        <v>20</v>
      </c>
      <c r="V186" s="475">
        <v>4</v>
      </c>
      <c r="W186" s="475" t="str">
        <f>IF($AC$186="","",$W$180)</f>
        <v>N° 04</v>
      </c>
      <c r="X186" s="476" t="str">
        <f>IF($AC$186="","",$X$180)</f>
        <v>FROMAGE FRAIS AUX HERBES</v>
      </c>
      <c r="Y186" s="477">
        <f>IF($X$186="","",$Y$180)</f>
        <v>21</v>
      </c>
      <c r="Z186" s="477">
        <f>IF($X$186="","",$Z$180)</f>
        <v>100</v>
      </c>
      <c r="AA186" s="477">
        <f>IF($AC$186="","",ROW($A$186)-ROW($A$180))</f>
        <v>6</v>
      </c>
      <c r="AB186" s="478"/>
      <c r="AC186" s="34" t="s">
        <v>67</v>
      </c>
      <c r="AD186" s="356"/>
      <c r="AE186" s="18">
        <v>50</v>
      </c>
      <c r="AF186" s="5" t="s">
        <v>8</v>
      </c>
      <c r="AG186" s="480">
        <f t="shared" si="40"/>
        <v>50</v>
      </c>
      <c r="AH186" s="481" t="str">
        <f t="shared" si="41"/>
        <v>G</v>
      </c>
      <c r="AI186" s="477" t="str">
        <f>IF($AC$186="","",IFERROR(INDEX($AZ$74:$AZ$119,MATCH($AH$186,$AY$74:$AY$119,0)),"AUTRE"))</f>
        <v>MASSE</v>
      </c>
      <c r="AJ186" s="482">
        <f>IF($AC$186="","",IFERROR(INDEX($BA$74:$BA$119,MATCH($AH$186,$AY$74:$AY$119,0)),1))</f>
        <v>1E-3</v>
      </c>
      <c r="AK186" s="482">
        <f t="shared" si="42"/>
        <v>0.05</v>
      </c>
      <c r="AL186" s="477" t="str">
        <f>IF($AC$186="","",IFERROR(INDEX($BB$74:$BB$119,MATCH($AH$186,$AY$74:$AY$119,0)),$AH$186))</f>
        <v>kg</v>
      </c>
      <c r="AM186" s="483" t="str">
        <f t="shared" si="43"/>
        <v>OK</v>
      </c>
      <c r="AN186" s="484">
        <f t="shared" si="44"/>
        <v>50</v>
      </c>
      <c r="AO186" s="473" t="str">
        <f t="shared" si="45"/>
        <v/>
      </c>
      <c r="AP186" s="473" t="str">
        <f t="shared" si="46"/>
        <v/>
      </c>
      <c r="AQ186" s="473" t="str">
        <f t="shared" si="47"/>
        <v/>
      </c>
      <c r="AR186" s="473" t="str">
        <f t="shared" si="48"/>
        <v/>
      </c>
      <c r="AS186" s="473" t="str">
        <f t="shared" si="49"/>
        <v/>
      </c>
      <c r="AT186" s="473" t="str">
        <f t="shared" si="50"/>
        <v/>
      </c>
      <c r="AU186" s="473" t="str">
        <f t="shared" si="51"/>
        <v/>
      </c>
      <c r="AZ186" s="31" t="s">
        <v>29</v>
      </c>
      <c r="BA186" s="34" t="s">
        <v>6124</v>
      </c>
      <c r="BB186" s="499"/>
      <c r="BC186" s="271"/>
      <c r="BD186" s="279">
        <v>1</v>
      </c>
      <c r="BE186" s="271"/>
      <c r="BF186" s="271"/>
      <c r="BG186" s="271"/>
      <c r="BH186" s="271"/>
      <c r="BI186" s="271"/>
      <c r="BJ186" s="271"/>
      <c r="BK186" s="271"/>
      <c r="BL186" s="271"/>
    </row>
    <row r="187" spans="18:64" ht="21" customHeight="1" x14ac:dyDescent="0.25">
      <c r="R187" s="34" t="s">
        <v>6126</v>
      </c>
      <c r="S187" s="451"/>
      <c r="T187" s="31" t="s">
        <v>304</v>
      </c>
      <c r="V187" s="475">
        <v>4</v>
      </c>
      <c r="W187" s="475" t="str">
        <f>IF($AC$187="","",$W$180)</f>
        <v>N° 04</v>
      </c>
      <c r="X187" s="476" t="str">
        <f>IF($AC$187="","",$X$180)</f>
        <v>FROMAGE FRAIS AUX HERBES</v>
      </c>
      <c r="Y187" s="477">
        <f>IF($X$187="","",$Y$180)</f>
        <v>21</v>
      </c>
      <c r="Z187" s="477">
        <f>IF($X$187="","",$Z$180)</f>
        <v>100</v>
      </c>
      <c r="AA187" s="477">
        <f>IF($AC$187="","",ROW($A$187)-ROW($A$180))</f>
        <v>7</v>
      </c>
      <c r="AB187" s="478"/>
      <c r="AC187" s="34" t="s">
        <v>68</v>
      </c>
      <c r="AD187" s="356"/>
      <c r="AE187" s="18">
        <v>15</v>
      </c>
      <c r="AF187" s="5" t="s">
        <v>8</v>
      </c>
      <c r="AG187" s="480">
        <f t="shared" si="40"/>
        <v>15</v>
      </c>
      <c r="AH187" s="481" t="str">
        <f t="shared" si="41"/>
        <v>G</v>
      </c>
      <c r="AI187" s="477" t="str">
        <f>IF($AC$187="","",IFERROR(INDEX($AZ$74:$AZ$119,MATCH($AH$187,$AY$74:$AY$119,0)),"AUTRE"))</f>
        <v>MASSE</v>
      </c>
      <c r="AJ187" s="482">
        <f>IF($AC$187="","",IFERROR(INDEX($BA$74:$BA$119,MATCH($AH$187,$AY$74:$AY$119,0)),1))</f>
        <v>1E-3</v>
      </c>
      <c r="AK187" s="482">
        <f t="shared" si="42"/>
        <v>1.4999999999999999E-2</v>
      </c>
      <c r="AL187" s="477" t="str">
        <f>IF($AC$187="","",IFERROR(INDEX($BB$74:$BB$119,MATCH($AH$187,$AY$74:$AY$119,0)),$AH$187))</f>
        <v>kg</v>
      </c>
      <c r="AM187" s="483" t="str">
        <f t="shared" si="43"/>
        <v>OK</v>
      </c>
      <c r="AN187" s="484">
        <f t="shared" si="44"/>
        <v>15</v>
      </c>
      <c r="AO187" s="473" t="str">
        <f t="shared" si="45"/>
        <v/>
      </c>
      <c r="AP187" s="473" t="str">
        <f t="shared" si="46"/>
        <v/>
      </c>
      <c r="AQ187" s="473" t="str">
        <f t="shared" si="47"/>
        <v/>
      </c>
      <c r="AR187" s="473" t="str">
        <f t="shared" si="48"/>
        <v/>
      </c>
      <c r="AS187" s="473" t="str">
        <f t="shared" si="49"/>
        <v/>
      </c>
      <c r="AT187" s="473" t="str">
        <f t="shared" si="50"/>
        <v/>
      </c>
      <c r="AU187" s="473" t="str">
        <f t="shared" si="51"/>
        <v/>
      </c>
      <c r="AZ187" s="31" t="s">
        <v>30</v>
      </c>
      <c r="BA187" s="34" t="s">
        <v>6125</v>
      </c>
      <c r="BB187" s="499"/>
      <c r="BC187" s="271"/>
      <c r="BD187" s="279">
        <v>1</v>
      </c>
      <c r="BE187" s="271"/>
      <c r="BF187" s="271"/>
      <c r="BG187" s="271"/>
      <c r="BH187" s="271"/>
      <c r="BI187" s="271"/>
      <c r="BJ187" s="271"/>
      <c r="BK187" s="271"/>
      <c r="BL187" s="271"/>
    </row>
    <row r="188" spans="18:64" ht="21" customHeight="1" x14ac:dyDescent="0.25">
      <c r="R188" s="34" t="s">
        <v>6127</v>
      </c>
      <c r="S188" s="451"/>
      <c r="T188" s="31" t="s">
        <v>352</v>
      </c>
      <c r="V188" s="475">
        <v>4</v>
      </c>
      <c r="W188" s="475" t="str">
        <f>IF($AC$188="","",$W$180)</f>
        <v>N° 04</v>
      </c>
      <c r="X188" s="476" t="str">
        <f>IF($AC$188="","",$X$180)</f>
        <v>FROMAGE FRAIS AUX HERBES</v>
      </c>
      <c r="Y188" s="477">
        <f>IF($X$188="","",$Y$180)</f>
        <v>21</v>
      </c>
      <c r="Z188" s="477">
        <f>IF($X$188="","",$Z$180)</f>
        <v>100</v>
      </c>
      <c r="AA188" s="477">
        <f>IF($AC$188="","",ROW($A$188)-ROW($A$180))</f>
        <v>8</v>
      </c>
      <c r="AB188" s="478"/>
      <c r="AC188" s="34" t="s">
        <v>61</v>
      </c>
      <c r="AD188" s="356"/>
      <c r="AE188" s="18">
        <v>3</v>
      </c>
      <c r="AF188" s="5" t="s">
        <v>8</v>
      </c>
      <c r="AG188" s="480">
        <f t="shared" si="40"/>
        <v>3</v>
      </c>
      <c r="AH188" s="481" t="str">
        <f t="shared" si="41"/>
        <v>G</v>
      </c>
      <c r="AI188" s="477" t="str">
        <f>IF($AC$188="","",IFERROR(INDEX($AZ$74:$AZ$119,MATCH($AH$188,$AY$74:$AY$119,0)),"AUTRE"))</f>
        <v>MASSE</v>
      </c>
      <c r="AJ188" s="482">
        <f>IF($AC$188="","",IFERROR(INDEX($BA$74:$BA$119,MATCH($AH$188,$AY$74:$AY$119,0)),1))</f>
        <v>1E-3</v>
      </c>
      <c r="AK188" s="482">
        <f t="shared" si="42"/>
        <v>3.0000000000000001E-3</v>
      </c>
      <c r="AL188" s="477" t="str">
        <f>IF($AC$188="","",IFERROR(INDEX($BB$74:$BB$119,MATCH($AH$188,$AY$74:$AY$119,0)),$AH$188))</f>
        <v>kg</v>
      </c>
      <c r="AM188" s="483" t="str">
        <f t="shared" si="43"/>
        <v>OK</v>
      </c>
      <c r="AN188" s="484">
        <f t="shared" si="44"/>
        <v>3</v>
      </c>
      <c r="AO188" s="473" t="str">
        <f t="shared" si="45"/>
        <v/>
      </c>
      <c r="AP188" s="473" t="str">
        <f t="shared" si="46"/>
        <v/>
      </c>
      <c r="AQ188" s="473" t="str">
        <f t="shared" si="47"/>
        <v/>
      </c>
      <c r="AR188" s="473" t="str">
        <f t="shared" si="48"/>
        <v/>
      </c>
      <c r="AS188" s="473" t="str">
        <f t="shared" si="49"/>
        <v/>
      </c>
      <c r="AT188" s="473" t="str">
        <f t="shared" si="50"/>
        <v/>
      </c>
      <c r="AU188" s="473" t="str">
        <f t="shared" si="51"/>
        <v/>
      </c>
      <c r="AZ188" s="32" t="s">
        <v>33</v>
      </c>
      <c r="BA188" s="34" t="s">
        <v>6126</v>
      </c>
      <c r="BB188" s="499"/>
      <c r="BC188" s="271"/>
      <c r="BD188" s="279">
        <v>1</v>
      </c>
      <c r="BE188" s="271"/>
      <c r="BF188" s="271"/>
      <c r="BG188" s="271"/>
      <c r="BH188" s="271"/>
      <c r="BI188" s="271"/>
      <c r="BJ188" s="271"/>
      <c r="BK188" s="271"/>
      <c r="BL188" s="271"/>
    </row>
    <row r="189" spans="18:64" ht="21" customHeight="1" x14ac:dyDescent="0.25">
      <c r="R189" s="25" t="s">
        <v>6128</v>
      </c>
      <c r="S189" s="451"/>
      <c r="T189" s="31" t="s">
        <v>25</v>
      </c>
      <c r="V189" s="475">
        <v>4</v>
      </c>
      <c r="W189" s="475" t="str">
        <f>IF($AC$189="","",$W$180)</f>
        <v>N° 04</v>
      </c>
      <c r="X189" s="476" t="str">
        <f>IF($AC$189="","",$X$180)</f>
        <v>FROMAGE FRAIS AUX HERBES</v>
      </c>
      <c r="Y189" s="477">
        <f>IF($X$189="","",$Y$180)</f>
        <v>21</v>
      </c>
      <c r="Z189" s="477">
        <f>IF($X$189="","",$Z$180)</f>
        <v>100</v>
      </c>
      <c r="AA189" s="477">
        <f>IF($AC$189="","",ROW($A$189)-ROW($A$180))</f>
        <v>9</v>
      </c>
      <c r="AB189" s="478"/>
      <c r="AC189" s="34" t="s">
        <v>69</v>
      </c>
      <c r="AD189" s="356"/>
      <c r="AE189" s="9" t="s">
        <v>33</v>
      </c>
      <c r="AF189" s="19"/>
      <c r="AG189" s="480" t="str">
        <f t="shared" si="40"/>
        <v>QT. SUFFISANTE</v>
      </c>
      <c r="AH189" s="481" t="str">
        <f t="shared" si="41"/>
        <v/>
      </c>
      <c r="AI189" s="477" t="str">
        <f>IF($AC$189="","",IFERROR(INDEX($AZ$74:$AZ$119,MATCH($AH$189,$AY$74:$AY$119,0)),"AUTRE"))</f>
        <v>AUTRE</v>
      </c>
      <c r="AJ189" s="482">
        <f>IF($AC$189="","",IFERROR(INDEX($BA$74:$BA$119,MATCH($AH$189,$AY$74:$AY$119,0)),1))</f>
        <v>1</v>
      </c>
      <c r="AK189" s="482" t="e">
        <f t="shared" si="42"/>
        <v>#VALUE!</v>
      </c>
      <c r="AL189" s="477" t="str">
        <f>IF($AC$189="","",IFERROR(INDEX($BB$74:$BB$119,MATCH($AH$189,$AY$74:$AY$119,0)),$AH$189))</f>
        <v/>
      </c>
      <c r="AM189" s="483" t="str">
        <f t="shared" si="43"/>
        <v>QUANTITÉ À CONTRÔLER</v>
      </c>
      <c r="AN189" s="484" t="str">
        <f t="shared" si="44"/>
        <v>QT. SUFFISANTE</v>
      </c>
      <c r="AO189" s="473" t="str">
        <f t="shared" si="45"/>
        <v/>
      </c>
      <c r="AP189" s="473" t="str">
        <f t="shared" si="46"/>
        <v/>
      </c>
      <c r="AQ189" s="473" t="str">
        <f t="shared" si="47"/>
        <v/>
      </c>
      <c r="AR189" s="473" t="str">
        <f t="shared" si="48"/>
        <v/>
      </c>
      <c r="AS189" s="473" t="str">
        <f t="shared" si="49"/>
        <v/>
      </c>
      <c r="AT189" s="473" t="str">
        <f t="shared" si="50"/>
        <v/>
      </c>
      <c r="AU189" s="473" t="str">
        <f t="shared" si="51"/>
        <v/>
      </c>
      <c r="AZ189" s="32" t="s">
        <v>8125</v>
      </c>
      <c r="BA189" s="34" t="s">
        <v>6127</v>
      </c>
      <c r="BB189" s="499"/>
      <c r="BC189" s="271"/>
      <c r="BD189" s="279">
        <v>1</v>
      </c>
      <c r="BE189" s="271"/>
      <c r="BF189" s="271"/>
      <c r="BG189" s="271"/>
      <c r="BH189" s="271"/>
      <c r="BI189" s="271"/>
      <c r="BJ189" s="271"/>
      <c r="BK189" s="271"/>
      <c r="BL189" s="271"/>
    </row>
    <row r="190" spans="18:64" ht="21" customHeight="1" x14ac:dyDescent="0.25">
      <c r="R190" s="34" t="s">
        <v>474</v>
      </c>
      <c r="S190" s="451"/>
      <c r="T190" s="31" t="s">
        <v>26</v>
      </c>
      <c r="V190" s="475">
        <v>4</v>
      </c>
      <c r="W190" s="475" t="str">
        <f>IF($AC$190="","",$W$180)</f>
        <v/>
      </c>
      <c r="X190" s="476" t="str">
        <f>IF($AC$190="","",$X$180)</f>
        <v/>
      </c>
      <c r="Y190" s="477" t="str">
        <f>IF($X$190="","",$Y$180)</f>
        <v/>
      </c>
      <c r="Z190" s="477" t="str">
        <f>IF($X$190="","",$Z$180)</f>
        <v/>
      </c>
      <c r="AA190" s="477" t="str">
        <f>IF($AC$190="","",ROW($A$190)-ROW($A$180))</f>
        <v/>
      </c>
      <c r="AB190" s="478"/>
      <c r="AC190" s="34"/>
      <c r="AD190" s="356"/>
      <c r="AE190" s="18"/>
      <c r="AF190" s="19"/>
      <c r="AG190" s="480" t="str">
        <f t="shared" si="40"/>
        <v/>
      </c>
      <c r="AH190" s="481" t="str">
        <f t="shared" si="41"/>
        <v/>
      </c>
      <c r="AI190" s="477" t="str">
        <f>IF($AC$190="","",IFERROR(INDEX($AZ$74:$AZ$119,MATCH($AH$190,$AY$74:$AY$119,0)),"AUTRE"))</f>
        <v/>
      </c>
      <c r="AJ190" s="482" t="str">
        <f>IF($AC$190="","",IFERROR(INDEX($BA$74:$BA$119,MATCH($AH$190,$AY$74:$AY$119,0)),1))</f>
        <v/>
      </c>
      <c r="AK190" s="482" t="str">
        <f t="shared" si="42"/>
        <v/>
      </c>
      <c r="AL190" s="477" t="str">
        <f>IF($AC$190="","",IFERROR(INDEX($BB$74:$BB$119,MATCH($AH$190,$AY$74:$AY$119,0)),$AH$190))</f>
        <v/>
      </c>
      <c r="AM190" s="483" t="str">
        <f t="shared" si="43"/>
        <v/>
      </c>
      <c r="AN190" s="484" t="str">
        <f t="shared" si="44"/>
        <v/>
      </c>
      <c r="AO190" s="473" t="str">
        <f t="shared" si="45"/>
        <v/>
      </c>
      <c r="AP190" s="473" t="str">
        <f t="shared" si="46"/>
        <v/>
      </c>
      <c r="AQ190" s="473" t="str">
        <f t="shared" si="47"/>
        <v/>
      </c>
      <c r="AR190" s="473" t="str">
        <f t="shared" si="48"/>
        <v/>
      </c>
      <c r="AS190" s="473" t="str">
        <f t="shared" si="49"/>
        <v/>
      </c>
      <c r="AT190" s="473" t="str">
        <f t="shared" si="50"/>
        <v/>
      </c>
      <c r="AU190" s="473" t="str">
        <f t="shared" si="51"/>
        <v/>
      </c>
      <c r="AZ190" s="32" t="s">
        <v>8127</v>
      </c>
      <c r="BA190" s="25" t="s">
        <v>6128</v>
      </c>
      <c r="BB190" s="499"/>
      <c r="BC190" s="271"/>
      <c r="BD190" s="279">
        <v>1</v>
      </c>
      <c r="BE190" s="271"/>
      <c r="BF190" s="271"/>
      <c r="BG190" s="271"/>
      <c r="BH190" s="271"/>
      <c r="BI190" s="271"/>
      <c r="BJ190" s="271"/>
      <c r="BK190" s="271"/>
      <c r="BL190" s="271"/>
    </row>
    <row r="191" spans="18:64" ht="21" customHeight="1" x14ac:dyDescent="0.25">
      <c r="R191" s="34" t="s">
        <v>490</v>
      </c>
      <c r="S191" s="451"/>
      <c r="T191" s="31" t="s">
        <v>27</v>
      </c>
      <c r="V191" s="475">
        <v>4</v>
      </c>
      <c r="W191" s="475" t="str">
        <f>IF($AC$191="","",$W$180)</f>
        <v/>
      </c>
      <c r="X191" s="476" t="str">
        <f>IF($AC$191="","",$X$180)</f>
        <v/>
      </c>
      <c r="Y191" s="477" t="str">
        <f>IF($X$191="","",$Y$180)</f>
        <v/>
      </c>
      <c r="Z191" s="477" t="str">
        <f>IF($X$191="","",$Z$180)</f>
        <v/>
      </c>
      <c r="AA191" s="477" t="str">
        <f>IF($AC$191="","",ROW($A$191)-ROW($A$180))</f>
        <v/>
      </c>
      <c r="AB191" s="478"/>
      <c r="AC191" s="34"/>
      <c r="AD191" s="356"/>
      <c r="AE191" s="18"/>
      <c r="AF191" s="19"/>
      <c r="AG191" s="480" t="str">
        <f t="shared" si="40"/>
        <v/>
      </c>
      <c r="AH191" s="481" t="str">
        <f t="shared" si="41"/>
        <v/>
      </c>
      <c r="AI191" s="477" t="str">
        <f>IF($AC$191="","",IFERROR(INDEX($AZ$74:$AZ$119,MATCH($AH$191,$AY$74:$AY$119,0)),"AUTRE"))</f>
        <v/>
      </c>
      <c r="AJ191" s="482" t="str">
        <f>IF($AC$191="","",IFERROR(INDEX($BA$74:$BA$119,MATCH($AH$191,$AY$74:$AY$119,0)),1))</f>
        <v/>
      </c>
      <c r="AK191" s="482" t="str">
        <f t="shared" si="42"/>
        <v/>
      </c>
      <c r="AL191" s="477" t="str">
        <f>IF($AC$191="","",IFERROR(INDEX($BB$74:$BB$119,MATCH($AH$191,$AY$74:$AY$119,0)),$AH$191))</f>
        <v/>
      </c>
      <c r="AM191" s="483" t="str">
        <f t="shared" si="43"/>
        <v/>
      </c>
      <c r="AN191" s="484" t="str">
        <f t="shared" si="44"/>
        <v/>
      </c>
      <c r="AO191" s="473" t="str">
        <f t="shared" si="45"/>
        <v/>
      </c>
      <c r="AP191" s="473" t="str">
        <f t="shared" si="46"/>
        <v/>
      </c>
      <c r="AQ191" s="473" t="str">
        <f t="shared" si="47"/>
        <v/>
      </c>
      <c r="AR191" s="473" t="str">
        <f t="shared" si="48"/>
        <v/>
      </c>
      <c r="AS191" s="473" t="str">
        <f t="shared" si="49"/>
        <v/>
      </c>
      <c r="AT191" s="473" t="str">
        <f t="shared" si="50"/>
        <v/>
      </c>
      <c r="AU191" s="473" t="str">
        <f t="shared" si="51"/>
        <v/>
      </c>
      <c r="AZ191" s="32" t="s">
        <v>320</v>
      </c>
      <c r="BA191" s="34" t="s">
        <v>474</v>
      </c>
      <c r="BB191" s="499"/>
      <c r="BC191" s="271"/>
      <c r="BD191" s="279">
        <v>1</v>
      </c>
      <c r="BE191" s="271"/>
      <c r="BF191" s="271"/>
      <c r="BG191" s="271"/>
      <c r="BH191" s="271"/>
      <c r="BI191" s="271"/>
      <c r="BJ191" s="271"/>
      <c r="BK191" s="271"/>
      <c r="BL191" s="271"/>
    </row>
    <row r="192" spans="18:64" ht="21" customHeight="1" x14ac:dyDescent="0.25">
      <c r="R192" s="34" t="s">
        <v>6129</v>
      </c>
      <c r="S192" s="451"/>
      <c r="T192" s="31" t="s">
        <v>28</v>
      </c>
      <c r="V192" s="475">
        <v>4</v>
      </c>
      <c r="W192" s="475" t="str">
        <f>IF($AC$192="","",$W$180)</f>
        <v/>
      </c>
      <c r="X192" s="476" t="str">
        <f>IF($AC$192="","",$X$180)</f>
        <v/>
      </c>
      <c r="Y192" s="477" t="str">
        <f>IF($X$192="","",$Y$180)</f>
        <v/>
      </c>
      <c r="Z192" s="477" t="str">
        <f>IF($X$192="","",$Z$180)</f>
        <v/>
      </c>
      <c r="AA192" s="477" t="str">
        <f>IF($AC$192="","",ROW($A$192)-ROW($A$180))</f>
        <v/>
      </c>
      <c r="AB192" s="478"/>
      <c r="AC192" s="34"/>
      <c r="AD192" s="356"/>
      <c r="AE192" s="18"/>
      <c r="AF192" s="19"/>
      <c r="AG192" s="480" t="str">
        <f t="shared" si="40"/>
        <v/>
      </c>
      <c r="AH192" s="481" t="str">
        <f t="shared" si="41"/>
        <v/>
      </c>
      <c r="AI192" s="477" t="str">
        <f>IF($AC$192="","",IFERROR(INDEX($AZ$74:$AZ$119,MATCH($AH$192,$AY$74:$AY$119,0)),"AUTRE"))</f>
        <v/>
      </c>
      <c r="AJ192" s="482" t="str">
        <f>IF($AC$192="","",IFERROR(INDEX($BA$74:$BA$119,MATCH($AH$192,$AY$74:$AY$119,0)),1))</f>
        <v/>
      </c>
      <c r="AK192" s="482" t="str">
        <f t="shared" si="42"/>
        <v/>
      </c>
      <c r="AL192" s="477" t="str">
        <f>IF($AC$192="","",IFERROR(INDEX($BB$74:$BB$119,MATCH($AH$192,$AY$74:$AY$119,0)),$AH$192))</f>
        <v/>
      </c>
      <c r="AM192" s="483" t="str">
        <f t="shared" si="43"/>
        <v/>
      </c>
      <c r="AN192" s="484" t="str">
        <f t="shared" si="44"/>
        <v/>
      </c>
      <c r="AO192" s="473" t="str">
        <f t="shared" si="45"/>
        <v/>
      </c>
      <c r="AP192" s="473" t="str">
        <f t="shared" si="46"/>
        <v/>
      </c>
      <c r="AQ192" s="473" t="str">
        <f t="shared" si="47"/>
        <v/>
      </c>
      <c r="AR192" s="473" t="str">
        <f t="shared" si="48"/>
        <v/>
      </c>
      <c r="AS192" s="473" t="str">
        <f t="shared" si="49"/>
        <v/>
      </c>
      <c r="AT192" s="473" t="str">
        <f t="shared" si="50"/>
        <v/>
      </c>
      <c r="AU192" s="473" t="str">
        <f t="shared" si="51"/>
        <v/>
      </c>
      <c r="AZ192" s="32" t="s">
        <v>318</v>
      </c>
      <c r="BA192" s="34" t="s">
        <v>490</v>
      </c>
      <c r="BB192" s="499"/>
      <c r="BC192" s="271"/>
      <c r="BD192" s="279">
        <v>1</v>
      </c>
      <c r="BE192" s="271"/>
      <c r="BF192" s="271"/>
      <c r="BG192" s="271"/>
      <c r="BH192" s="271"/>
      <c r="BI192" s="271"/>
      <c r="BJ192" s="271"/>
      <c r="BK192" s="271"/>
      <c r="BL192" s="271"/>
    </row>
    <row r="193" spans="18:64" ht="21" customHeight="1" x14ac:dyDescent="0.25">
      <c r="R193" s="34" t="s">
        <v>478</v>
      </c>
      <c r="S193" s="451"/>
      <c r="T193" s="31" t="s">
        <v>29</v>
      </c>
      <c r="V193" s="475">
        <v>4</v>
      </c>
      <c r="W193" s="475" t="str">
        <f>IF($AC$193="","",$W$180)</f>
        <v/>
      </c>
      <c r="X193" s="476" t="str">
        <f>IF($AC$193="","",$X$180)</f>
        <v/>
      </c>
      <c r="Y193" s="477" t="str">
        <f>IF($X$193="","",$Y$180)</f>
        <v/>
      </c>
      <c r="Z193" s="477" t="str">
        <f>IF($X$193="","",$Z$180)</f>
        <v/>
      </c>
      <c r="AA193" s="477" t="str">
        <f>IF($AC$193="","",ROW($A$193)-ROW($A$180))</f>
        <v/>
      </c>
      <c r="AB193" s="478"/>
      <c r="AC193" s="34"/>
      <c r="AD193" s="356"/>
      <c r="AE193" s="18"/>
      <c r="AF193" s="19"/>
      <c r="AG193" s="480" t="str">
        <f t="shared" si="40"/>
        <v/>
      </c>
      <c r="AH193" s="481" t="str">
        <f t="shared" si="41"/>
        <v/>
      </c>
      <c r="AI193" s="477" t="str">
        <f>IF($AC$193="","",IFERROR(INDEX($AZ$74:$AZ$119,MATCH($AH$193,$AY$74:$AY$119,0)),"AUTRE"))</f>
        <v/>
      </c>
      <c r="AJ193" s="482" t="str">
        <f>IF($AC$193="","",IFERROR(INDEX($BA$74:$BA$119,MATCH($AH$193,$AY$74:$AY$119,0)),1))</f>
        <v/>
      </c>
      <c r="AK193" s="482" t="str">
        <f t="shared" si="42"/>
        <v/>
      </c>
      <c r="AL193" s="477" t="str">
        <f>IF($AC$193="","",IFERROR(INDEX($BB$74:$BB$119,MATCH($AH$193,$AY$74:$AY$119,0)),$AH$193))</f>
        <v/>
      </c>
      <c r="AM193" s="483" t="str">
        <f t="shared" si="43"/>
        <v/>
      </c>
      <c r="AN193" s="484" t="str">
        <f t="shared" si="44"/>
        <v/>
      </c>
      <c r="AO193" s="473" t="str">
        <f t="shared" si="45"/>
        <v/>
      </c>
      <c r="AP193" s="473" t="str">
        <f t="shared" si="46"/>
        <v/>
      </c>
      <c r="AQ193" s="473" t="str">
        <f t="shared" si="47"/>
        <v/>
      </c>
      <c r="AR193" s="473" t="str">
        <f t="shared" si="48"/>
        <v/>
      </c>
      <c r="AS193" s="473" t="str">
        <f t="shared" si="49"/>
        <v/>
      </c>
      <c r="AT193" s="473" t="str">
        <f t="shared" si="50"/>
        <v/>
      </c>
      <c r="AU193" s="473" t="str">
        <f t="shared" si="51"/>
        <v/>
      </c>
      <c r="AZ193" s="32" t="s">
        <v>316</v>
      </c>
      <c r="BA193" s="34" t="s">
        <v>6129</v>
      </c>
      <c r="BB193" s="499"/>
      <c r="BC193" s="271"/>
      <c r="BD193" s="279">
        <v>1</v>
      </c>
      <c r="BE193" s="271"/>
      <c r="BF193" s="271"/>
      <c r="BG193" s="271"/>
      <c r="BH193" s="271"/>
      <c r="BI193" s="271"/>
      <c r="BJ193" s="271"/>
      <c r="BK193" s="271"/>
      <c r="BL193" s="271"/>
    </row>
    <row r="194" spans="18:64" ht="21" customHeight="1" x14ac:dyDescent="0.25">
      <c r="R194" s="34" t="s">
        <v>6130</v>
      </c>
      <c r="S194" s="451"/>
      <c r="T194" s="31" t="s">
        <v>30</v>
      </c>
      <c r="V194" s="475">
        <v>4</v>
      </c>
      <c r="W194" s="475" t="str">
        <f>IF($AC$194="","",$W$180)</f>
        <v/>
      </c>
      <c r="X194" s="476" t="str">
        <f>IF($AC$194="","",$X$180)</f>
        <v/>
      </c>
      <c r="Y194" s="477" t="str">
        <f>IF($X$194="","",$Y$180)</f>
        <v/>
      </c>
      <c r="Z194" s="477" t="str">
        <f>IF($X$194="","",$Z$180)</f>
        <v/>
      </c>
      <c r="AA194" s="477" t="str">
        <f>IF($AC$194="","",ROW($A$194)-ROW($A$180))</f>
        <v/>
      </c>
      <c r="AB194" s="478"/>
      <c r="AC194" s="34"/>
      <c r="AD194" s="356"/>
      <c r="AE194" s="18"/>
      <c r="AF194" s="19"/>
      <c r="AG194" s="480" t="str">
        <f t="shared" si="40"/>
        <v/>
      </c>
      <c r="AH194" s="481" t="str">
        <f t="shared" si="41"/>
        <v/>
      </c>
      <c r="AI194" s="477" t="str">
        <f>IF($AC$194="","",IFERROR(INDEX($AZ$74:$AZ$119,MATCH($AH$194,$AY$74:$AY$119,0)),"AUTRE"))</f>
        <v/>
      </c>
      <c r="AJ194" s="482" t="str">
        <f>IF($AC$194="","",IFERROR(INDEX($BA$74:$BA$119,MATCH($AH$194,$AY$74:$AY$119,0)),1))</f>
        <v/>
      </c>
      <c r="AK194" s="482" t="str">
        <f t="shared" si="42"/>
        <v/>
      </c>
      <c r="AL194" s="477" t="str">
        <f>IF($AC$194="","",IFERROR(INDEX($BB$74:$BB$119,MATCH($AH$194,$AY$74:$AY$119,0)),$AH$194))</f>
        <v/>
      </c>
      <c r="AM194" s="483" t="str">
        <f t="shared" si="43"/>
        <v/>
      </c>
      <c r="AN194" s="484" t="str">
        <f t="shared" si="44"/>
        <v/>
      </c>
      <c r="AO194" s="473" t="str">
        <f t="shared" si="45"/>
        <v/>
      </c>
      <c r="AP194" s="473" t="str">
        <f t="shared" si="46"/>
        <v/>
      </c>
      <c r="AQ194" s="473" t="str">
        <f t="shared" si="47"/>
        <v/>
      </c>
      <c r="AR194" s="473" t="str">
        <f t="shared" si="48"/>
        <v/>
      </c>
      <c r="AS194" s="473" t="str">
        <f t="shared" si="49"/>
        <v/>
      </c>
      <c r="AT194" s="473" t="str">
        <f t="shared" si="50"/>
        <v/>
      </c>
      <c r="AU194" s="473" t="str">
        <f t="shared" si="51"/>
        <v/>
      </c>
      <c r="AZ194" s="32" t="s">
        <v>313</v>
      </c>
      <c r="BA194" s="34" t="s">
        <v>478</v>
      </c>
      <c r="BB194" s="499"/>
      <c r="BC194" s="271"/>
      <c r="BD194" s="279">
        <v>1</v>
      </c>
      <c r="BE194" s="271"/>
      <c r="BF194" s="271"/>
      <c r="BG194" s="271"/>
      <c r="BH194" s="271"/>
      <c r="BI194" s="271"/>
      <c r="BJ194" s="271"/>
      <c r="BK194" s="271"/>
      <c r="BL194" s="271"/>
    </row>
    <row r="195" spans="18:64" ht="21" customHeight="1" x14ac:dyDescent="0.25">
      <c r="R195" s="34" t="s">
        <v>486</v>
      </c>
      <c r="S195" s="451"/>
      <c r="T195" s="31" t="s">
        <v>31</v>
      </c>
      <c r="V195" s="475">
        <v>4</v>
      </c>
      <c r="W195" s="475" t="str">
        <f>IF($AC$195="","",$W$180)</f>
        <v/>
      </c>
      <c r="X195" s="476" t="str">
        <f>IF($AC$195="","",$X$180)</f>
        <v/>
      </c>
      <c r="Y195" s="477" t="str">
        <f>IF($X$195="","",$Y$180)</f>
        <v/>
      </c>
      <c r="Z195" s="477" t="str">
        <f>IF($X$195="","",$Z$180)</f>
        <v/>
      </c>
      <c r="AA195" s="477" t="str">
        <f>IF($AC$195="","",ROW($A$195)-ROW($A$180))</f>
        <v/>
      </c>
      <c r="AB195" s="478"/>
      <c r="AC195" s="34"/>
      <c r="AD195" s="356"/>
      <c r="AE195" s="18"/>
      <c r="AF195" s="19"/>
      <c r="AG195" s="480" t="str">
        <f t="shared" si="40"/>
        <v/>
      </c>
      <c r="AH195" s="481" t="str">
        <f t="shared" si="41"/>
        <v/>
      </c>
      <c r="AI195" s="477" t="str">
        <f>IF($AC$195="","",IFERROR(INDEX($AZ$74:$AZ$119,MATCH($AH$195,$AY$74:$AY$119,0)),"AUTRE"))</f>
        <v/>
      </c>
      <c r="AJ195" s="482" t="str">
        <f>IF($AC$195="","",IFERROR(INDEX($BA$74:$BA$119,MATCH($AH$195,$AY$74:$AY$119,0)),1))</f>
        <v/>
      </c>
      <c r="AK195" s="482" t="str">
        <f t="shared" si="42"/>
        <v/>
      </c>
      <c r="AL195" s="477" t="str">
        <f>IF($AC$195="","",IFERROR(INDEX($BB$74:$BB$119,MATCH($AH$195,$AY$74:$AY$119,0)),$AH$195))</f>
        <v/>
      </c>
      <c r="AM195" s="483" t="str">
        <f t="shared" si="43"/>
        <v/>
      </c>
      <c r="AN195" s="484" t="str">
        <f t="shared" si="44"/>
        <v/>
      </c>
      <c r="AO195" s="473" t="str">
        <f t="shared" si="45"/>
        <v/>
      </c>
      <c r="AP195" s="473" t="str">
        <f t="shared" si="46"/>
        <v/>
      </c>
      <c r="AQ195" s="473" t="str">
        <f t="shared" si="47"/>
        <v/>
      </c>
      <c r="AR195" s="473" t="str">
        <f t="shared" si="48"/>
        <v/>
      </c>
      <c r="AS195" s="473" t="str">
        <f t="shared" si="49"/>
        <v/>
      </c>
      <c r="AT195" s="473" t="str">
        <f t="shared" si="50"/>
        <v/>
      </c>
      <c r="AU195" s="473" t="str">
        <f t="shared" si="51"/>
        <v/>
      </c>
      <c r="AZ195" s="32" t="s">
        <v>307</v>
      </c>
      <c r="BA195" s="34" t="s">
        <v>6130</v>
      </c>
      <c r="BB195" s="499"/>
      <c r="BC195" s="271"/>
      <c r="BD195" s="279">
        <v>1</v>
      </c>
      <c r="BE195" s="271"/>
      <c r="BF195" s="271"/>
      <c r="BG195" s="271"/>
      <c r="BH195" s="271"/>
      <c r="BI195" s="271"/>
      <c r="BJ195" s="271"/>
      <c r="BK195" s="271"/>
      <c r="BL195" s="271"/>
    </row>
    <row r="196" spans="18:64" ht="21" customHeight="1" x14ac:dyDescent="0.25">
      <c r="R196" s="34" t="s">
        <v>479</v>
      </c>
      <c r="S196" s="451"/>
      <c r="T196" s="32" t="s">
        <v>33</v>
      </c>
      <c r="V196" s="475">
        <v>4</v>
      </c>
      <c r="W196" s="475" t="str">
        <f>IF($AC$196="","",$W$180)</f>
        <v/>
      </c>
      <c r="X196" s="476" t="str">
        <f>IF($AC$196="","",$X$180)</f>
        <v/>
      </c>
      <c r="Y196" s="477" t="str">
        <f>IF($X$196="","",$Y$180)</f>
        <v/>
      </c>
      <c r="Z196" s="477" t="str">
        <f>IF($X$196="","",$Z$180)</f>
        <v/>
      </c>
      <c r="AA196" s="477" t="str">
        <f>IF($AC$196="","",ROW($A$196)-ROW($A$180))</f>
        <v/>
      </c>
      <c r="AB196" s="478"/>
      <c r="AC196" s="34"/>
      <c r="AD196" s="356"/>
      <c r="AE196" s="18"/>
      <c r="AF196" s="19"/>
      <c r="AG196" s="480" t="str">
        <f t="shared" si="40"/>
        <v/>
      </c>
      <c r="AH196" s="481" t="str">
        <f t="shared" si="41"/>
        <v/>
      </c>
      <c r="AI196" s="477" t="str">
        <f>IF($AC$196="","",IFERROR(INDEX($AZ$74:$AZ$119,MATCH($AH$196,$AY$74:$AY$119,0)),"AUTRE"))</f>
        <v/>
      </c>
      <c r="AJ196" s="482" t="str">
        <f>IF($AC$196="","",IFERROR(INDEX($BA$74:$BA$119,MATCH($AH$196,$AY$74:$AY$119,0)),1))</f>
        <v/>
      </c>
      <c r="AK196" s="482" t="str">
        <f t="shared" si="42"/>
        <v/>
      </c>
      <c r="AL196" s="477" t="str">
        <f>IF($AC$196="","",IFERROR(INDEX($BB$74:$BB$119,MATCH($AH$196,$AY$74:$AY$119,0)),$AH$196))</f>
        <v/>
      </c>
      <c r="AM196" s="483" t="str">
        <f t="shared" si="43"/>
        <v/>
      </c>
      <c r="AN196" s="484" t="str">
        <f t="shared" si="44"/>
        <v/>
      </c>
      <c r="AO196" s="473" t="str">
        <f t="shared" si="45"/>
        <v/>
      </c>
      <c r="AP196" s="473" t="str">
        <f t="shared" si="46"/>
        <v/>
      </c>
      <c r="AQ196" s="473" t="str">
        <f t="shared" si="47"/>
        <v/>
      </c>
      <c r="AR196" s="473" t="str">
        <f t="shared" si="48"/>
        <v/>
      </c>
      <c r="AS196" s="473" t="str">
        <f t="shared" si="49"/>
        <v/>
      </c>
      <c r="AT196" s="473" t="str">
        <f t="shared" si="50"/>
        <v/>
      </c>
      <c r="AU196" s="473" t="str">
        <f t="shared" si="51"/>
        <v/>
      </c>
      <c r="AZ196" s="32" t="s">
        <v>322</v>
      </c>
      <c r="BA196" s="34" t="s">
        <v>486</v>
      </c>
      <c r="BB196" s="499"/>
      <c r="BC196" s="271"/>
      <c r="BD196" s="279">
        <v>1</v>
      </c>
      <c r="BE196" s="271"/>
      <c r="BF196" s="271"/>
      <c r="BG196" s="271"/>
      <c r="BH196" s="271"/>
      <c r="BI196" s="271"/>
      <c r="BJ196" s="271"/>
      <c r="BK196" s="271"/>
      <c r="BL196" s="271"/>
    </row>
    <row r="197" spans="18:64" ht="21" customHeight="1" x14ac:dyDescent="0.25">
      <c r="R197" s="34" t="s">
        <v>6131</v>
      </c>
      <c r="S197" s="451"/>
      <c r="T197" s="32" t="s">
        <v>8125</v>
      </c>
      <c r="V197" s="475">
        <v>4</v>
      </c>
      <c r="W197" s="475" t="str">
        <f>IF($AC$197="","",$W$180)</f>
        <v/>
      </c>
      <c r="X197" s="476" t="str">
        <f>IF($AC$197="","",$X$180)</f>
        <v/>
      </c>
      <c r="Y197" s="477" t="str">
        <f>IF($X$197="","",$Y$180)</f>
        <v/>
      </c>
      <c r="Z197" s="477" t="str">
        <f>IF($X$197="","",$Z$180)</f>
        <v/>
      </c>
      <c r="AA197" s="477" t="str">
        <f>IF($AC$197="","",ROW($A$197)-ROW($A$180))</f>
        <v/>
      </c>
      <c r="AB197" s="478"/>
      <c r="AC197" s="34"/>
      <c r="AD197" s="356"/>
      <c r="AE197" s="18"/>
      <c r="AF197" s="19"/>
      <c r="AG197" s="480" t="str">
        <f t="shared" si="40"/>
        <v/>
      </c>
      <c r="AH197" s="481" t="str">
        <f t="shared" si="41"/>
        <v/>
      </c>
      <c r="AI197" s="477" t="str">
        <f>IF($AC$197="","",IFERROR(INDEX($AZ$74:$AZ$119,MATCH($AH$197,$AY$74:$AY$119,0)),"AUTRE"))</f>
        <v/>
      </c>
      <c r="AJ197" s="482" t="str">
        <f>IF($AC$197="","",IFERROR(INDEX($BA$74:$BA$119,MATCH($AH$197,$AY$74:$AY$119,0)),1))</f>
        <v/>
      </c>
      <c r="AK197" s="482" t="str">
        <f t="shared" si="42"/>
        <v/>
      </c>
      <c r="AL197" s="477" t="str">
        <f>IF($AC$197="","",IFERROR(INDEX($BB$74:$BB$119,MATCH($AH$197,$AY$74:$AY$119,0)),$AH$197))</f>
        <v/>
      </c>
      <c r="AM197" s="483" t="str">
        <f t="shared" si="43"/>
        <v/>
      </c>
      <c r="AN197" s="484" t="str">
        <f t="shared" si="44"/>
        <v/>
      </c>
      <c r="AO197" s="473" t="str">
        <f t="shared" si="45"/>
        <v/>
      </c>
      <c r="AP197" s="473" t="str">
        <f t="shared" si="46"/>
        <v/>
      </c>
      <c r="AQ197" s="473" t="str">
        <f t="shared" si="47"/>
        <v/>
      </c>
      <c r="AR197" s="473" t="str">
        <f t="shared" si="48"/>
        <v/>
      </c>
      <c r="AS197" s="473" t="str">
        <f t="shared" si="49"/>
        <v/>
      </c>
      <c r="AT197" s="473" t="str">
        <f t="shared" si="50"/>
        <v/>
      </c>
      <c r="AU197" s="473" t="str">
        <f t="shared" si="51"/>
        <v/>
      </c>
      <c r="AZ197" s="32" t="s">
        <v>305</v>
      </c>
      <c r="BA197" s="34" t="s">
        <v>479</v>
      </c>
      <c r="BB197" s="499"/>
      <c r="BC197" s="271"/>
      <c r="BD197" s="279">
        <v>1</v>
      </c>
      <c r="BE197" s="271"/>
      <c r="BF197" s="271"/>
      <c r="BG197" s="271"/>
      <c r="BH197" s="271"/>
      <c r="BI197" s="271"/>
      <c r="BJ197" s="271"/>
      <c r="BK197" s="271"/>
      <c r="BL197" s="271"/>
    </row>
    <row r="198" spans="18:64" ht="21" customHeight="1" x14ac:dyDescent="0.25">
      <c r="R198" s="34" t="s">
        <v>485</v>
      </c>
      <c r="S198" s="451"/>
      <c r="T198" s="32" t="s">
        <v>8127</v>
      </c>
      <c r="V198" s="475">
        <v>4</v>
      </c>
      <c r="W198" s="475" t="str">
        <f>IF($AC$198="","",$W$180)</f>
        <v/>
      </c>
      <c r="X198" s="476" t="str">
        <f>IF($AC$198="","",$X$180)</f>
        <v/>
      </c>
      <c r="Y198" s="477" t="str">
        <f>IF($X$198="","",$Y$180)</f>
        <v/>
      </c>
      <c r="Z198" s="477" t="str">
        <f>IF($X$198="","",$Z$180)</f>
        <v/>
      </c>
      <c r="AA198" s="477" t="str">
        <f>IF($AC$198="","",ROW($A$198)-ROW($A$180))</f>
        <v/>
      </c>
      <c r="AB198" s="478"/>
      <c r="AC198" s="34"/>
      <c r="AD198" s="356"/>
      <c r="AE198" s="18"/>
      <c r="AF198" s="19"/>
      <c r="AG198" s="480" t="str">
        <f t="shared" si="40"/>
        <v/>
      </c>
      <c r="AH198" s="481" t="str">
        <f t="shared" si="41"/>
        <v/>
      </c>
      <c r="AI198" s="477" t="str">
        <f>IF($AC$198="","",IFERROR(INDEX($AZ$74:$AZ$119,MATCH($AH$198,$AY$74:$AY$119,0)),"AUTRE"))</f>
        <v/>
      </c>
      <c r="AJ198" s="482" t="str">
        <f>IF($AC$198="","",IFERROR(INDEX($BA$74:$BA$119,MATCH($AH$198,$AY$74:$AY$119,0)),1))</f>
        <v/>
      </c>
      <c r="AK198" s="482" t="str">
        <f t="shared" si="42"/>
        <v/>
      </c>
      <c r="AL198" s="477" t="str">
        <f>IF($AC$198="","",IFERROR(INDEX($BB$74:$BB$119,MATCH($AH$198,$AY$74:$AY$119,0)),$AH$198))</f>
        <v/>
      </c>
      <c r="AM198" s="483" t="str">
        <f t="shared" si="43"/>
        <v/>
      </c>
      <c r="AN198" s="484" t="str">
        <f t="shared" si="44"/>
        <v/>
      </c>
      <c r="AO198" s="473" t="str">
        <f t="shared" si="45"/>
        <v/>
      </c>
      <c r="AP198" s="473" t="str">
        <f t="shared" si="46"/>
        <v/>
      </c>
      <c r="AQ198" s="473" t="str">
        <f t="shared" si="47"/>
        <v/>
      </c>
      <c r="AR198" s="473" t="str">
        <f t="shared" si="48"/>
        <v/>
      </c>
      <c r="AS198" s="473" t="str">
        <f t="shared" si="49"/>
        <v/>
      </c>
      <c r="AT198" s="473" t="str">
        <f t="shared" si="50"/>
        <v/>
      </c>
      <c r="AU198" s="473" t="str">
        <f t="shared" si="51"/>
        <v/>
      </c>
      <c r="AZ198" s="32" t="s">
        <v>8129</v>
      </c>
      <c r="BA198" s="34" t="s">
        <v>6131</v>
      </c>
      <c r="BB198" s="499"/>
      <c r="BC198" s="271"/>
      <c r="BD198" s="279">
        <v>1</v>
      </c>
      <c r="BE198" s="271"/>
      <c r="BF198" s="271"/>
      <c r="BG198" s="271"/>
      <c r="BH198" s="271"/>
      <c r="BI198" s="271"/>
      <c r="BJ198" s="271"/>
      <c r="BK198" s="271"/>
      <c r="BL198" s="271"/>
    </row>
    <row r="199" spans="18:64" ht="21" customHeight="1" x14ac:dyDescent="0.25">
      <c r="R199" s="34" t="s">
        <v>6132</v>
      </c>
      <c r="S199" s="451"/>
      <c r="T199" s="32" t="s">
        <v>320</v>
      </c>
      <c r="V199" s="475">
        <v>4</v>
      </c>
      <c r="W199" s="475" t="str">
        <f>IF($AC$199="","",$W$180)</f>
        <v/>
      </c>
      <c r="X199" s="476" t="str">
        <f>IF($AC$199="","",$X$180)</f>
        <v/>
      </c>
      <c r="Y199" s="477" t="str">
        <f>IF($X$199="","",$Y$180)</f>
        <v/>
      </c>
      <c r="Z199" s="477" t="str">
        <f>IF($X$199="","",$Z$180)</f>
        <v/>
      </c>
      <c r="AA199" s="477" t="str">
        <f>IF($AC$199="","",ROW($A$199)-ROW($A$180))</f>
        <v/>
      </c>
      <c r="AB199" s="478"/>
      <c r="AC199" s="34"/>
      <c r="AD199" s="356"/>
      <c r="AE199" s="18"/>
      <c r="AF199" s="19"/>
      <c r="AG199" s="480" t="str">
        <f t="shared" si="40"/>
        <v/>
      </c>
      <c r="AH199" s="481" t="str">
        <f t="shared" si="41"/>
        <v/>
      </c>
      <c r="AI199" s="477" t="str">
        <f>IF($AC$199="","",IFERROR(INDEX($AZ$74:$AZ$119,MATCH($AH$199,$AY$74:$AY$119,0)),"AUTRE"))</f>
        <v/>
      </c>
      <c r="AJ199" s="482" t="str">
        <f>IF($AC$199="","",IFERROR(INDEX($BA$74:$BA$119,MATCH($AH$199,$AY$74:$AY$119,0)),1))</f>
        <v/>
      </c>
      <c r="AK199" s="482" t="str">
        <f t="shared" si="42"/>
        <v/>
      </c>
      <c r="AL199" s="477" t="str">
        <f>IF($AC$199="","",IFERROR(INDEX($BB$74:$BB$119,MATCH($AH$199,$AY$74:$AY$119,0)),$AH$199))</f>
        <v/>
      </c>
      <c r="AM199" s="483" t="str">
        <f t="shared" si="43"/>
        <v/>
      </c>
      <c r="AN199" s="484" t="str">
        <f t="shared" si="44"/>
        <v/>
      </c>
      <c r="AO199" s="473" t="str">
        <f t="shared" si="45"/>
        <v/>
      </c>
      <c r="AP199" s="473" t="str">
        <f t="shared" si="46"/>
        <v/>
      </c>
      <c r="AQ199" s="473" t="str">
        <f t="shared" si="47"/>
        <v/>
      </c>
      <c r="AR199" s="473" t="str">
        <f t="shared" si="48"/>
        <v/>
      </c>
      <c r="AS199" s="473" t="str">
        <f t="shared" si="49"/>
        <v/>
      </c>
      <c r="AT199" s="473" t="str">
        <f t="shared" si="50"/>
        <v/>
      </c>
      <c r="AU199" s="473" t="str">
        <f t="shared" si="51"/>
        <v/>
      </c>
      <c r="AZ199" s="32" t="s">
        <v>8131</v>
      </c>
      <c r="BA199" s="34" t="s">
        <v>485</v>
      </c>
      <c r="BB199" s="499"/>
      <c r="BC199" s="271"/>
      <c r="BD199" s="279">
        <v>1</v>
      </c>
      <c r="BE199" s="271"/>
      <c r="BF199" s="271"/>
      <c r="BG199" s="271"/>
      <c r="BH199" s="271"/>
      <c r="BI199" s="271"/>
      <c r="BJ199" s="271"/>
      <c r="BK199" s="271"/>
      <c r="BL199" s="271"/>
    </row>
    <row r="200" spans="18:64" ht="21" customHeight="1" x14ac:dyDescent="0.25">
      <c r="R200" s="25" t="s">
        <v>6133</v>
      </c>
      <c r="S200" s="451"/>
      <c r="T200" s="32" t="s">
        <v>318</v>
      </c>
      <c r="V200" s="475">
        <v>4</v>
      </c>
      <c r="W200" s="475" t="str">
        <f>IF($AC$200="","",$W$180)</f>
        <v/>
      </c>
      <c r="X200" s="476" t="str">
        <f>IF($AC$200="","",$X$180)</f>
        <v/>
      </c>
      <c r="Y200" s="477" t="str">
        <f>IF($X$200="","",$Y$180)</f>
        <v/>
      </c>
      <c r="Z200" s="477" t="str">
        <f>IF($X$200="","",$Z$180)</f>
        <v/>
      </c>
      <c r="AA200" s="477" t="str">
        <f>IF($AC$200="","",ROW($A$200)-ROW($A$180))</f>
        <v/>
      </c>
      <c r="AB200" s="478"/>
      <c r="AC200" s="34"/>
      <c r="AD200" s="356"/>
      <c r="AE200" s="18"/>
      <c r="AF200" s="19"/>
      <c r="AG200" s="480" t="str">
        <f t="shared" si="40"/>
        <v/>
      </c>
      <c r="AH200" s="481" t="str">
        <f t="shared" si="41"/>
        <v/>
      </c>
      <c r="AI200" s="477" t="str">
        <f>IF($AC$200="","",IFERROR(INDEX($AZ$74:$AZ$119,MATCH($AH$200,$AY$74:$AY$119,0)),"AUTRE"))</f>
        <v/>
      </c>
      <c r="AJ200" s="482" t="str">
        <f>IF($AC$200="","",IFERROR(INDEX($BA$74:$BA$119,MATCH($AH$200,$AY$74:$AY$119,0)),1))</f>
        <v/>
      </c>
      <c r="AK200" s="482" t="str">
        <f t="shared" si="42"/>
        <v/>
      </c>
      <c r="AL200" s="477" t="str">
        <f>IF($AC$200="","",IFERROR(INDEX($BB$74:$BB$119,MATCH($AH$200,$AY$74:$AY$119,0)),$AH$200))</f>
        <v/>
      </c>
      <c r="AM200" s="483" t="str">
        <f t="shared" si="43"/>
        <v/>
      </c>
      <c r="AN200" s="484" t="str">
        <f t="shared" si="44"/>
        <v/>
      </c>
      <c r="AO200" s="473" t="str">
        <f t="shared" si="45"/>
        <v/>
      </c>
      <c r="AP200" s="473" t="str">
        <f t="shared" si="46"/>
        <v/>
      </c>
      <c r="AQ200" s="473" t="str">
        <f t="shared" si="47"/>
        <v/>
      </c>
      <c r="AR200" s="473" t="str">
        <f t="shared" si="48"/>
        <v/>
      </c>
      <c r="AS200" s="473" t="str">
        <f t="shared" si="49"/>
        <v/>
      </c>
      <c r="AT200" s="473" t="str">
        <f t="shared" si="50"/>
        <v/>
      </c>
      <c r="AU200" s="473" t="str">
        <f t="shared" si="51"/>
        <v/>
      </c>
      <c r="AZ200" s="32" t="s">
        <v>309</v>
      </c>
      <c r="BA200" s="34" t="s">
        <v>6132</v>
      </c>
      <c r="BB200" s="499"/>
      <c r="BC200" s="271"/>
      <c r="BD200" s="279">
        <v>1</v>
      </c>
      <c r="BE200" s="271"/>
      <c r="BF200" s="271"/>
      <c r="BG200" s="271"/>
      <c r="BH200" s="271"/>
      <c r="BI200" s="271"/>
      <c r="BJ200" s="271"/>
      <c r="BK200" s="271"/>
      <c r="BL200" s="271"/>
    </row>
    <row r="201" spans="18:64" ht="21" customHeight="1" x14ac:dyDescent="0.25">
      <c r="R201" s="34" t="s">
        <v>476</v>
      </c>
      <c r="S201" s="451"/>
      <c r="T201" s="32" t="s">
        <v>316</v>
      </c>
      <c r="V201" s="475">
        <v>4</v>
      </c>
      <c r="W201" s="475" t="str">
        <f>IF($AC$201="","",$W$180)</f>
        <v/>
      </c>
      <c r="X201" s="476" t="str">
        <f>IF($AC$201="","",$X$180)</f>
        <v/>
      </c>
      <c r="Y201" s="477" t="str">
        <f>IF($X$201="","",$Y$180)</f>
        <v/>
      </c>
      <c r="Z201" s="477" t="str">
        <f>IF($X$201="","",$Z$180)</f>
        <v/>
      </c>
      <c r="AA201" s="477" t="str">
        <f>IF($AC$201="","",ROW($A$201)-ROW($A$180))</f>
        <v/>
      </c>
      <c r="AB201" s="478"/>
      <c r="AC201" s="34"/>
      <c r="AD201" s="356"/>
      <c r="AE201" s="18"/>
      <c r="AF201" s="19"/>
      <c r="AG201" s="480" t="str">
        <f t="shared" si="40"/>
        <v/>
      </c>
      <c r="AH201" s="481" t="str">
        <f t="shared" si="41"/>
        <v/>
      </c>
      <c r="AI201" s="477" t="str">
        <f>IF($AC$201="","",IFERROR(INDEX($AZ$74:$AZ$119,MATCH($AH$201,$AY$74:$AY$119,0)),"AUTRE"))</f>
        <v/>
      </c>
      <c r="AJ201" s="482" t="str">
        <f>IF($AC$201="","",IFERROR(INDEX($BA$74:$BA$119,MATCH($AH$201,$AY$74:$AY$119,0)),1))</f>
        <v/>
      </c>
      <c r="AK201" s="482" t="str">
        <f t="shared" si="42"/>
        <v/>
      </c>
      <c r="AL201" s="477" t="str">
        <f>IF($AC$201="","",IFERROR(INDEX($BB$74:$BB$119,MATCH($AH$201,$AY$74:$AY$119,0)),$AH$201))</f>
        <v/>
      </c>
      <c r="AM201" s="483" t="str">
        <f t="shared" si="43"/>
        <v/>
      </c>
      <c r="AN201" s="484" t="str">
        <f t="shared" si="44"/>
        <v/>
      </c>
      <c r="AO201" s="473" t="str">
        <f t="shared" si="45"/>
        <v/>
      </c>
      <c r="AP201" s="473" t="str">
        <f t="shared" si="46"/>
        <v/>
      </c>
      <c r="AQ201" s="473" t="str">
        <f t="shared" si="47"/>
        <v/>
      </c>
      <c r="AR201" s="473" t="str">
        <f t="shared" si="48"/>
        <v/>
      </c>
      <c r="AS201" s="473" t="str">
        <f t="shared" si="49"/>
        <v/>
      </c>
      <c r="AT201" s="473" t="str">
        <f t="shared" si="50"/>
        <v/>
      </c>
      <c r="AU201" s="473" t="str">
        <f t="shared" si="51"/>
        <v/>
      </c>
      <c r="AZ201" s="32" t="s">
        <v>311</v>
      </c>
      <c r="BA201" s="25" t="s">
        <v>6133</v>
      </c>
      <c r="BB201" s="499"/>
      <c r="BC201" s="271"/>
      <c r="BD201" s="279">
        <v>1</v>
      </c>
      <c r="BE201" s="271"/>
      <c r="BF201" s="271"/>
      <c r="BG201" s="271"/>
      <c r="BH201" s="271"/>
      <c r="BI201" s="271"/>
      <c r="BJ201" s="271"/>
      <c r="BK201" s="271"/>
      <c r="BL201" s="271"/>
    </row>
    <row r="202" spans="18:64" ht="21" customHeight="1" x14ac:dyDescent="0.25">
      <c r="R202" s="34" t="s">
        <v>468</v>
      </c>
      <c r="S202" s="451"/>
      <c r="T202" s="32" t="s">
        <v>313</v>
      </c>
      <c r="V202" s="475">
        <v>4</v>
      </c>
      <c r="W202" s="475" t="str">
        <f>IF($AC$202="","",$W$180)</f>
        <v/>
      </c>
      <c r="X202" s="476" t="str">
        <f>IF($AC$202="","",$X$180)</f>
        <v/>
      </c>
      <c r="Y202" s="477" t="str">
        <f>IF($X$202="","",$Y$180)</f>
        <v/>
      </c>
      <c r="Z202" s="477" t="str">
        <f>IF($X$202="","",$Z$180)</f>
        <v/>
      </c>
      <c r="AA202" s="477" t="str">
        <f>IF($AC$202="","",ROW($A$202)-ROW($A$180))</f>
        <v/>
      </c>
      <c r="AB202" s="478"/>
      <c r="AC202" s="34"/>
      <c r="AD202" s="356"/>
      <c r="AE202" s="18"/>
      <c r="AF202" s="19"/>
      <c r="AG202" s="480" t="str">
        <f t="shared" si="40"/>
        <v/>
      </c>
      <c r="AH202" s="481" t="str">
        <f t="shared" si="41"/>
        <v/>
      </c>
      <c r="AI202" s="477" t="str">
        <f>IF($AC$202="","",IFERROR(INDEX($AZ$74:$AZ$119,MATCH($AH$202,$AY$74:$AY$119,0)),"AUTRE"))</f>
        <v/>
      </c>
      <c r="AJ202" s="482" t="str">
        <f>IF($AC$202="","",IFERROR(INDEX($BA$74:$BA$119,MATCH($AH$202,$AY$74:$AY$119,0)),1))</f>
        <v/>
      </c>
      <c r="AK202" s="482" t="str">
        <f t="shared" si="42"/>
        <v/>
      </c>
      <c r="AL202" s="477" t="str">
        <f>IF($AC$202="","",IFERROR(INDEX($BB$74:$BB$119,MATCH($AH$202,$AY$74:$AY$119,0)),$AH$202))</f>
        <v/>
      </c>
      <c r="AM202" s="483" t="str">
        <f t="shared" si="43"/>
        <v/>
      </c>
      <c r="AN202" s="484" t="str">
        <f t="shared" si="44"/>
        <v/>
      </c>
      <c r="AO202" s="473" t="str">
        <f t="shared" si="45"/>
        <v/>
      </c>
      <c r="AP202" s="473" t="str">
        <f t="shared" si="46"/>
        <v/>
      </c>
      <c r="AQ202" s="473" t="str">
        <f t="shared" si="47"/>
        <v/>
      </c>
      <c r="AR202" s="473" t="str">
        <f t="shared" si="48"/>
        <v/>
      </c>
      <c r="AS202" s="473" t="str">
        <f t="shared" si="49"/>
        <v/>
      </c>
      <c r="AT202" s="473" t="str">
        <f t="shared" si="50"/>
        <v/>
      </c>
      <c r="AU202" s="473" t="str">
        <f t="shared" si="51"/>
        <v/>
      </c>
      <c r="AZ202" s="32" t="s">
        <v>8135</v>
      </c>
      <c r="BA202" s="34" t="s">
        <v>476</v>
      </c>
      <c r="BB202" s="499"/>
      <c r="BC202" s="271"/>
      <c r="BD202" s="279">
        <v>1</v>
      </c>
      <c r="BE202" s="271"/>
      <c r="BF202" s="271"/>
      <c r="BG202" s="271"/>
      <c r="BH202" s="271"/>
      <c r="BI202" s="271"/>
      <c r="BJ202" s="271"/>
      <c r="BK202" s="271"/>
      <c r="BL202" s="271"/>
    </row>
    <row r="203" spans="18:64" ht="21" customHeight="1" x14ac:dyDescent="0.25">
      <c r="R203" s="34" t="s">
        <v>473</v>
      </c>
      <c r="S203" s="451"/>
      <c r="T203" s="32" t="s">
        <v>307</v>
      </c>
      <c r="V203" s="475">
        <v>4</v>
      </c>
      <c r="W203" s="475" t="str">
        <f>IF($AC$203="","",$W$180)</f>
        <v/>
      </c>
      <c r="X203" s="476" t="str">
        <f>IF($AC$203="","",$X$180)</f>
        <v/>
      </c>
      <c r="Y203" s="477" t="str">
        <f>IF($X$203="","",$Y$180)</f>
        <v/>
      </c>
      <c r="Z203" s="477" t="str">
        <f>IF($X$203="","",$Z$180)</f>
        <v/>
      </c>
      <c r="AA203" s="477" t="str">
        <f>IF($AC$203="","",ROW($A$203)-ROW($A$180))</f>
        <v/>
      </c>
      <c r="AB203" s="478"/>
      <c r="AC203" s="34"/>
      <c r="AD203" s="356"/>
      <c r="AE203" s="18"/>
      <c r="AF203" s="19"/>
      <c r="AG203" s="480" t="str">
        <f t="shared" si="40"/>
        <v/>
      </c>
      <c r="AH203" s="481" t="str">
        <f t="shared" si="41"/>
        <v/>
      </c>
      <c r="AI203" s="477" t="str">
        <f>IF($AC$203="","",IFERROR(INDEX($AZ$74:$AZ$119,MATCH($AH$203,$AY$74:$AY$119,0)),"AUTRE"))</f>
        <v/>
      </c>
      <c r="AJ203" s="482" t="str">
        <f>IF($AC$203="","",IFERROR(INDEX($BA$74:$BA$119,MATCH($AH$203,$AY$74:$AY$119,0)),1))</f>
        <v/>
      </c>
      <c r="AK203" s="482" t="str">
        <f t="shared" si="42"/>
        <v/>
      </c>
      <c r="AL203" s="477" t="str">
        <f>IF($AC$203="","",IFERROR(INDEX($BB$74:$BB$119,MATCH($AH$203,$AY$74:$AY$119,0)),$AH$203))</f>
        <v/>
      </c>
      <c r="AM203" s="483" t="str">
        <f t="shared" si="43"/>
        <v/>
      </c>
      <c r="AN203" s="484" t="str">
        <f t="shared" si="44"/>
        <v/>
      </c>
      <c r="AO203" s="473" t="str">
        <f t="shared" si="45"/>
        <v/>
      </c>
      <c r="AP203" s="473" t="str">
        <f t="shared" si="46"/>
        <v/>
      </c>
      <c r="AQ203" s="473" t="str">
        <f t="shared" si="47"/>
        <v/>
      </c>
      <c r="AR203" s="473" t="str">
        <f t="shared" si="48"/>
        <v/>
      </c>
      <c r="AS203" s="473" t="str">
        <f t="shared" si="49"/>
        <v/>
      </c>
      <c r="AT203" s="473" t="str">
        <f t="shared" si="50"/>
        <v/>
      </c>
      <c r="AU203" s="473" t="str">
        <f t="shared" si="51"/>
        <v/>
      </c>
      <c r="AZ203" s="32" t="s">
        <v>8137</v>
      </c>
      <c r="BA203" s="34" t="s">
        <v>468</v>
      </c>
      <c r="BB203" s="499"/>
      <c r="BC203" s="271"/>
      <c r="BD203" s="279">
        <v>1</v>
      </c>
      <c r="BE203" s="271"/>
      <c r="BF203" s="271"/>
      <c r="BG203" s="271"/>
      <c r="BH203" s="271"/>
      <c r="BI203" s="271"/>
      <c r="BJ203" s="271"/>
      <c r="BK203" s="271"/>
      <c r="BL203" s="271"/>
    </row>
    <row r="204" spans="18:64" ht="21" customHeight="1" x14ac:dyDescent="0.25">
      <c r="R204" s="34" t="s">
        <v>497</v>
      </c>
      <c r="S204" s="451"/>
      <c r="T204" s="32" t="s">
        <v>322</v>
      </c>
      <c r="V204" s="475">
        <v>4</v>
      </c>
      <c r="W204" s="475" t="str">
        <f>IF($AC$204="","",$W$180)</f>
        <v/>
      </c>
      <c r="X204" s="476" t="str">
        <f>IF($AC$204="","",$X$180)</f>
        <v/>
      </c>
      <c r="Y204" s="477" t="str">
        <f>IF($X$204="","",$Y$180)</f>
        <v/>
      </c>
      <c r="Z204" s="477" t="str">
        <f>IF($X$204="","",$Z$180)</f>
        <v/>
      </c>
      <c r="AA204" s="477" t="str">
        <f>IF($AC$204="","",ROW($A$204)-ROW($A$180))</f>
        <v/>
      </c>
      <c r="AB204" s="478"/>
      <c r="AC204" s="34"/>
      <c r="AD204" s="356"/>
      <c r="AE204" s="18"/>
      <c r="AF204" s="19"/>
      <c r="AG204" s="480" t="str">
        <f t="shared" si="40"/>
        <v/>
      </c>
      <c r="AH204" s="481" t="str">
        <f t="shared" si="41"/>
        <v/>
      </c>
      <c r="AI204" s="477" t="str">
        <f>IF($AC$204="","",IFERROR(INDEX($AZ$74:$AZ$119,MATCH($AH$204,$AY$74:$AY$119,0)),"AUTRE"))</f>
        <v/>
      </c>
      <c r="AJ204" s="482" t="str">
        <f>IF($AC$204="","",IFERROR(INDEX($BA$74:$BA$119,MATCH($AH$204,$AY$74:$AY$119,0)),1))</f>
        <v/>
      </c>
      <c r="AK204" s="482" t="str">
        <f t="shared" si="42"/>
        <v/>
      </c>
      <c r="AL204" s="477" t="str">
        <f>IF($AC$204="","",IFERROR(INDEX($BB$74:$BB$119,MATCH($AH$204,$AY$74:$AY$119,0)),$AH$204))</f>
        <v/>
      </c>
      <c r="AM204" s="483" t="str">
        <f t="shared" si="43"/>
        <v/>
      </c>
      <c r="AN204" s="484" t="str">
        <f t="shared" si="44"/>
        <v/>
      </c>
      <c r="AO204" s="473" t="str">
        <f t="shared" si="45"/>
        <v/>
      </c>
      <c r="AP204" s="473" t="str">
        <f t="shared" si="46"/>
        <v/>
      </c>
      <c r="AQ204" s="473" t="str">
        <f t="shared" si="47"/>
        <v/>
      </c>
      <c r="AR204" s="473" t="str">
        <f t="shared" si="48"/>
        <v/>
      </c>
      <c r="AS204" s="473" t="str">
        <f t="shared" si="49"/>
        <v/>
      </c>
      <c r="AT204" s="473" t="str">
        <f t="shared" si="50"/>
        <v/>
      </c>
      <c r="AU204" s="473" t="str">
        <f t="shared" si="51"/>
        <v/>
      </c>
      <c r="AZ204" s="32" t="s">
        <v>8139</v>
      </c>
      <c r="BA204" s="34" t="s">
        <v>473</v>
      </c>
      <c r="BB204" s="499"/>
      <c r="BC204" s="271"/>
      <c r="BD204" s="279">
        <v>1</v>
      </c>
      <c r="BE204" s="271"/>
      <c r="BF204" s="271"/>
      <c r="BG204" s="271"/>
      <c r="BH204" s="271"/>
      <c r="BI204" s="271"/>
      <c r="BJ204" s="271"/>
      <c r="BK204" s="271"/>
      <c r="BL204" s="271"/>
    </row>
    <row r="205" spans="18:64" ht="21" customHeight="1" x14ac:dyDescent="0.25">
      <c r="R205" s="34" t="s">
        <v>470</v>
      </c>
      <c r="S205" s="451"/>
      <c r="T205" s="32" t="s">
        <v>305</v>
      </c>
      <c r="V205" s="475">
        <v>4</v>
      </c>
      <c r="W205" s="475" t="str">
        <f>IF($AC$205="","",$W$180)</f>
        <v/>
      </c>
      <c r="X205" s="476" t="str">
        <f>IF($AC$205="","",$X$180)</f>
        <v/>
      </c>
      <c r="Y205" s="477" t="str">
        <f>IF($X$205="","",$Y$180)</f>
        <v/>
      </c>
      <c r="Z205" s="477" t="str">
        <f>IF($X$205="","",$Z$180)</f>
        <v/>
      </c>
      <c r="AA205" s="477" t="str">
        <f>IF($AC$205="","",ROW($A$205)-ROW($A$180))</f>
        <v/>
      </c>
      <c r="AB205" s="478"/>
      <c r="AC205" s="34"/>
      <c r="AD205" s="356"/>
      <c r="AE205" s="18"/>
      <c r="AF205" s="19"/>
      <c r="AG205" s="480" t="str">
        <f t="shared" si="40"/>
        <v/>
      </c>
      <c r="AH205" s="481" t="str">
        <f t="shared" si="41"/>
        <v/>
      </c>
      <c r="AI205" s="477" t="str">
        <f>IF($AC$205="","",IFERROR(INDEX($AZ$74:$AZ$119,MATCH($AH$205,$AY$74:$AY$119,0)),"AUTRE"))</f>
        <v/>
      </c>
      <c r="AJ205" s="482" t="str">
        <f>IF($AC$205="","",IFERROR(INDEX($BA$74:$BA$119,MATCH($AH$205,$AY$74:$AY$119,0)),1))</f>
        <v/>
      </c>
      <c r="AK205" s="482" t="str">
        <f t="shared" si="42"/>
        <v/>
      </c>
      <c r="AL205" s="477" t="str">
        <f>IF($AC$205="","",IFERROR(INDEX($BB$74:$BB$119,MATCH($AH$205,$AY$74:$AY$119,0)),$AH$205))</f>
        <v/>
      </c>
      <c r="AM205" s="483" t="str">
        <f t="shared" si="43"/>
        <v/>
      </c>
      <c r="AN205" s="484" t="str">
        <f t="shared" si="44"/>
        <v/>
      </c>
      <c r="AO205" s="473" t="str">
        <f t="shared" si="45"/>
        <v/>
      </c>
      <c r="AP205" s="473" t="str">
        <f t="shared" si="46"/>
        <v/>
      </c>
      <c r="AQ205" s="473" t="str">
        <f t="shared" si="47"/>
        <v/>
      </c>
      <c r="AR205" s="473" t="str">
        <f t="shared" si="48"/>
        <v/>
      </c>
      <c r="AS205" s="473" t="str">
        <f t="shared" si="49"/>
        <v/>
      </c>
      <c r="AT205" s="473" t="str">
        <f t="shared" si="50"/>
        <v/>
      </c>
      <c r="AU205" s="473" t="str">
        <f t="shared" si="51"/>
        <v/>
      </c>
      <c r="AZ205" s="32" t="s">
        <v>8141</v>
      </c>
      <c r="BA205" s="34" t="s">
        <v>497</v>
      </c>
      <c r="BB205" s="499"/>
      <c r="BC205" s="271"/>
      <c r="BD205" s="279">
        <v>1</v>
      </c>
      <c r="BE205" s="271"/>
      <c r="BF205" s="271"/>
      <c r="BG205" s="271"/>
      <c r="BH205" s="271"/>
      <c r="BI205" s="271"/>
      <c r="BJ205" s="271"/>
      <c r="BK205" s="271"/>
      <c r="BL205" s="271"/>
    </row>
    <row r="206" spans="18:64" ht="21" customHeight="1" x14ac:dyDescent="0.25">
      <c r="R206" s="34" t="s">
        <v>477</v>
      </c>
      <c r="S206" s="451"/>
      <c r="T206" s="32" t="s">
        <v>309</v>
      </c>
      <c r="V206" s="475">
        <v>4</v>
      </c>
      <c r="W206" s="475" t="str">
        <f>IF($AC$206="","",$W$180)</f>
        <v/>
      </c>
      <c r="X206" s="476" t="str">
        <f>IF($AC$206="","",$X$180)</f>
        <v/>
      </c>
      <c r="Y206" s="477" t="str">
        <f>IF($X$206="","",$Y$180)</f>
        <v/>
      </c>
      <c r="Z206" s="477" t="str">
        <f>IF($X$206="","",$Z$180)</f>
        <v/>
      </c>
      <c r="AA206" s="477" t="str">
        <f>IF($AC$206="","",ROW($A$206)-ROW($A$180))</f>
        <v/>
      </c>
      <c r="AB206" s="478"/>
      <c r="AC206" s="34"/>
      <c r="AD206" s="356"/>
      <c r="AE206" s="18"/>
      <c r="AF206" s="19"/>
      <c r="AG206" s="480" t="str">
        <f t="shared" si="40"/>
        <v/>
      </c>
      <c r="AH206" s="481" t="str">
        <f t="shared" si="41"/>
        <v/>
      </c>
      <c r="AI206" s="477" t="str">
        <f>IF($AC$206="","",IFERROR(INDEX($AZ$74:$AZ$119,MATCH($AH$206,$AY$74:$AY$119,0)),"AUTRE"))</f>
        <v/>
      </c>
      <c r="AJ206" s="482" t="str">
        <f>IF($AC$206="","",IFERROR(INDEX($BA$74:$BA$119,MATCH($AH$206,$AY$74:$AY$119,0)),1))</f>
        <v/>
      </c>
      <c r="AK206" s="482" t="str">
        <f t="shared" si="42"/>
        <v/>
      </c>
      <c r="AL206" s="477" t="str">
        <f>IF($AC$206="","",IFERROR(INDEX($BB$74:$BB$119,MATCH($AH$206,$AY$74:$AY$119,0)),$AH$206))</f>
        <v/>
      </c>
      <c r="AM206" s="483" t="str">
        <f t="shared" si="43"/>
        <v/>
      </c>
      <c r="AN206" s="484" t="str">
        <f t="shared" si="44"/>
        <v/>
      </c>
      <c r="AO206" s="473" t="str">
        <f t="shared" si="45"/>
        <v/>
      </c>
      <c r="AP206" s="473" t="str">
        <f t="shared" si="46"/>
        <v/>
      </c>
      <c r="AQ206" s="473" t="str">
        <f t="shared" si="47"/>
        <v/>
      </c>
      <c r="AR206" s="473" t="str">
        <f t="shared" si="48"/>
        <v/>
      </c>
      <c r="AS206" s="473" t="str">
        <f t="shared" si="49"/>
        <v/>
      </c>
      <c r="AT206" s="473" t="str">
        <f t="shared" si="50"/>
        <v/>
      </c>
      <c r="AU206" s="473" t="str">
        <f t="shared" si="51"/>
        <v/>
      </c>
      <c r="AZ206" s="32" t="s">
        <v>8143</v>
      </c>
      <c r="BA206" s="34" t="s">
        <v>470</v>
      </c>
      <c r="BB206" s="499"/>
      <c r="BC206" s="271"/>
      <c r="BD206" s="279">
        <v>1</v>
      </c>
      <c r="BE206" s="271"/>
      <c r="BF206" s="271"/>
      <c r="BG206" s="271"/>
      <c r="BH206" s="271"/>
      <c r="BI206" s="271"/>
      <c r="BJ206" s="271"/>
      <c r="BK206" s="271"/>
      <c r="BL206" s="271"/>
    </row>
    <row r="207" spans="18:64" ht="21" customHeight="1" x14ac:dyDescent="0.25">
      <c r="S207" s="451"/>
      <c r="T207" s="32" t="s">
        <v>311</v>
      </c>
      <c r="V207" s="475">
        <v>4</v>
      </c>
      <c r="W207" s="475" t="str">
        <f>IF($AC$207="","",$W$180)</f>
        <v/>
      </c>
      <c r="X207" s="476" t="str">
        <f>IF($AC$207="","",$X$180)</f>
        <v/>
      </c>
      <c r="Y207" s="477" t="str">
        <f>IF($X$207="","",$Y$180)</f>
        <v/>
      </c>
      <c r="Z207" s="477" t="str">
        <f>IF($X$207="","",$Z$180)</f>
        <v/>
      </c>
      <c r="AA207" s="477" t="str">
        <f>IF($AC$207="","",ROW($A$207)-ROW($A$180))</f>
        <v/>
      </c>
      <c r="AB207" s="478"/>
      <c r="AC207" s="34"/>
      <c r="AD207" s="356"/>
      <c r="AE207" s="18"/>
      <c r="AF207" s="19"/>
      <c r="AG207" s="480" t="str">
        <f t="shared" si="40"/>
        <v/>
      </c>
      <c r="AH207" s="481" t="str">
        <f t="shared" si="41"/>
        <v/>
      </c>
      <c r="AI207" s="477" t="str">
        <f>IF($AC$207="","",IFERROR(INDEX($AZ$74:$AZ$119,MATCH($AH$207,$AY$74:$AY$119,0)),"AUTRE"))</f>
        <v/>
      </c>
      <c r="AJ207" s="482" t="str">
        <f>IF($AC$207="","",IFERROR(INDEX($BA$74:$BA$119,MATCH($AH$207,$AY$74:$AY$119,0)),1))</f>
        <v/>
      </c>
      <c r="AK207" s="482" t="str">
        <f t="shared" si="42"/>
        <v/>
      </c>
      <c r="AL207" s="477" t="str">
        <f>IF($AC$207="","",IFERROR(INDEX($BB$74:$BB$119,MATCH($AH$207,$AY$74:$AY$119,0)),$AH$207))</f>
        <v/>
      </c>
      <c r="AM207" s="483" t="str">
        <f t="shared" si="43"/>
        <v/>
      </c>
      <c r="AN207" s="484" t="str">
        <f t="shared" si="44"/>
        <v/>
      </c>
      <c r="AO207" s="473" t="str">
        <f t="shared" si="45"/>
        <v/>
      </c>
      <c r="AP207" s="473" t="str">
        <f t="shared" si="46"/>
        <v/>
      </c>
      <c r="AQ207" s="473" t="str">
        <f t="shared" si="47"/>
        <v/>
      </c>
      <c r="AR207" s="473" t="str">
        <f t="shared" si="48"/>
        <v/>
      </c>
      <c r="AS207" s="473" t="str">
        <f t="shared" si="49"/>
        <v/>
      </c>
      <c r="AT207" s="473" t="str">
        <f t="shared" si="50"/>
        <v/>
      </c>
      <c r="AU207" s="473" t="str">
        <f t="shared" si="51"/>
        <v/>
      </c>
      <c r="AZ207" s="497" t="s">
        <v>8145</v>
      </c>
      <c r="BA207" s="34" t="s">
        <v>477</v>
      </c>
      <c r="BB207" s="499"/>
      <c r="BC207" s="271"/>
      <c r="BD207" s="279">
        <v>1</v>
      </c>
      <c r="BE207" s="271"/>
      <c r="BF207" s="271"/>
      <c r="BG207" s="271"/>
      <c r="BH207" s="271"/>
      <c r="BI207" s="271"/>
      <c r="BJ207" s="271"/>
      <c r="BK207" s="271"/>
      <c r="BL207" s="271"/>
    </row>
    <row r="208" spans="18:64" ht="21" customHeight="1" x14ac:dyDescent="0.25">
      <c r="R208" s="25" t="s">
        <v>6134</v>
      </c>
      <c r="S208" s="451"/>
      <c r="T208" s="32" t="s">
        <v>8135</v>
      </c>
      <c r="V208" s="475">
        <v>4</v>
      </c>
      <c r="W208" s="475" t="str">
        <f>IF($AC$208="","",$W$180)</f>
        <v/>
      </c>
      <c r="X208" s="476" t="str">
        <f>IF($AC$208="","",$X$180)</f>
        <v/>
      </c>
      <c r="Y208" s="477" t="str">
        <f>IF($X$208="","",$Y$180)</f>
        <v/>
      </c>
      <c r="Z208" s="477" t="str">
        <f>IF($X$208="","",$Z$180)</f>
        <v/>
      </c>
      <c r="AA208" s="477" t="str">
        <f>IF($AC$208="","",ROW($A$208)-ROW($A$180))</f>
        <v/>
      </c>
      <c r="AB208" s="478"/>
      <c r="AC208" s="34"/>
      <c r="AD208" s="356"/>
      <c r="AE208" s="18"/>
      <c r="AF208" s="19"/>
      <c r="AG208" s="480" t="str">
        <f t="shared" si="40"/>
        <v/>
      </c>
      <c r="AH208" s="481" t="str">
        <f t="shared" si="41"/>
        <v/>
      </c>
      <c r="AI208" s="477" t="str">
        <f>IF($AC$208="","",IFERROR(INDEX($AZ$74:$AZ$119,MATCH($AH$208,$AY$74:$AY$119,0)),"AUTRE"))</f>
        <v/>
      </c>
      <c r="AJ208" s="482" t="str">
        <f>IF($AC$208="","",IFERROR(INDEX($BA$74:$BA$119,MATCH($AH$208,$AY$74:$AY$119,0)),1))</f>
        <v/>
      </c>
      <c r="AK208" s="482" t="str">
        <f t="shared" si="42"/>
        <v/>
      </c>
      <c r="AL208" s="477" t="str">
        <f>IF($AC$208="","",IFERROR(INDEX($BB$74:$BB$119,MATCH($AH$208,$AY$74:$AY$119,0)),$AH$208))</f>
        <v/>
      </c>
      <c r="AM208" s="483" t="str">
        <f t="shared" si="43"/>
        <v/>
      </c>
      <c r="AN208" s="484" t="str">
        <f t="shared" si="44"/>
        <v/>
      </c>
      <c r="AO208" s="473" t="str">
        <f t="shared" si="45"/>
        <v/>
      </c>
      <c r="AP208" s="473" t="str">
        <f t="shared" si="46"/>
        <v/>
      </c>
      <c r="AQ208" s="473" t="str">
        <f t="shared" si="47"/>
        <v/>
      </c>
      <c r="AR208" s="473" t="str">
        <f t="shared" si="48"/>
        <v/>
      </c>
      <c r="AS208" s="473" t="str">
        <f t="shared" si="49"/>
        <v/>
      </c>
      <c r="AT208" s="473" t="str">
        <f t="shared" si="50"/>
        <v/>
      </c>
      <c r="AU208" s="473" t="str">
        <f t="shared" si="51"/>
        <v/>
      </c>
      <c r="AY208" s="271"/>
      <c r="AZ208" s="497" t="s">
        <v>462</v>
      </c>
      <c r="BB208" s="499"/>
      <c r="BC208" s="271"/>
      <c r="BD208" s="279">
        <v>1</v>
      </c>
      <c r="BE208" s="271"/>
      <c r="BF208" s="271"/>
      <c r="BG208" s="271"/>
      <c r="BH208" s="271"/>
      <c r="BI208" s="271"/>
      <c r="BJ208" s="271"/>
      <c r="BK208" s="271"/>
      <c r="BL208" s="271"/>
    </row>
    <row r="209" spans="18:64" ht="21" customHeight="1" x14ac:dyDescent="0.25">
      <c r="R209" s="34" t="s">
        <v>481</v>
      </c>
      <c r="S209" s="451"/>
      <c r="T209" s="497" t="s">
        <v>462</v>
      </c>
      <c r="V209" s="475">
        <v>4</v>
      </c>
      <c r="W209" s="475" t="str">
        <f>IF($AC$209="","",$W$180)</f>
        <v/>
      </c>
      <c r="X209" s="476" t="str">
        <f>IF($AC$209="","",$X$180)</f>
        <v/>
      </c>
      <c r="Y209" s="477" t="str">
        <f>IF($X$209="","",$Y$180)</f>
        <v/>
      </c>
      <c r="Z209" s="477" t="str">
        <f>IF($X$209="","",$Z$180)</f>
        <v/>
      </c>
      <c r="AA209" s="477" t="str">
        <f>IF($AC$209="","",ROW($A$209)-ROW($A$180))</f>
        <v/>
      </c>
      <c r="AB209" s="478"/>
      <c r="AC209" s="34"/>
      <c r="AD209" s="356"/>
      <c r="AE209" s="18"/>
      <c r="AF209" s="19"/>
      <c r="AG209" s="480" t="str">
        <f t="shared" si="40"/>
        <v/>
      </c>
      <c r="AH209" s="481" t="str">
        <f t="shared" si="41"/>
        <v/>
      </c>
      <c r="AI209" s="477" t="str">
        <f>IF($AC$209="","",IFERROR(INDEX($AZ$74:$AZ$119,MATCH($AH$209,$AY$74:$AY$119,0)),"AUTRE"))</f>
        <v/>
      </c>
      <c r="AJ209" s="482" t="str">
        <f>IF($AC$209="","",IFERROR(INDEX($BA$74:$BA$119,MATCH($AH$209,$AY$74:$AY$119,0)),1))</f>
        <v/>
      </c>
      <c r="AK209" s="482" t="str">
        <f t="shared" si="42"/>
        <v/>
      </c>
      <c r="AL209" s="477" t="str">
        <f>IF($AC$209="","",IFERROR(INDEX($BB$74:$BB$119,MATCH($AH$209,$AY$74:$AY$119,0)),$AH$209))</f>
        <v/>
      </c>
      <c r="AM209" s="483" t="str">
        <f t="shared" si="43"/>
        <v/>
      </c>
      <c r="AN209" s="484" t="str">
        <f t="shared" si="44"/>
        <v/>
      </c>
      <c r="AO209" s="473" t="str">
        <f t="shared" si="45"/>
        <v/>
      </c>
      <c r="AP209" s="473" t="str">
        <f t="shared" si="46"/>
        <v/>
      </c>
      <c r="AQ209" s="473" t="str">
        <f t="shared" si="47"/>
        <v/>
      </c>
      <c r="AR209" s="473" t="str">
        <f t="shared" si="48"/>
        <v/>
      </c>
      <c r="AS209" s="473" t="str">
        <f t="shared" si="49"/>
        <v/>
      </c>
      <c r="AT209" s="473" t="str">
        <f t="shared" si="50"/>
        <v/>
      </c>
      <c r="AU209" s="473" t="str">
        <f t="shared" si="51"/>
        <v/>
      </c>
      <c r="AY209" s="497" t="s">
        <v>8145</v>
      </c>
      <c r="AZ209" s="497" t="s">
        <v>463</v>
      </c>
      <c r="BA209" s="25" t="s">
        <v>6134</v>
      </c>
      <c r="BB209" s="499"/>
      <c r="BC209" s="271"/>
      <c r="BD209" s="279">
        <v>1</v>
      </c>
      <c r="BE209" s="271"/>
      <c r="BF209" s="271"/>
      <c r="BG209" s="271"/>
      <c r="BH209" s="271"/>
      <c r="BI209" s="271"/>
      <c r="BJ209" s="271"/>
      <c r="BK209" s="271"/>
      <c r="BL209" s="271"/>
    </row>
    <row r="210" spans="18:64" ht="21" customHeight="1" x14ac:dyDescent="0.25">
      <c r="R210" s="34" t="s">
        <v>475</v>
      </c>
      <c r="S210" s="451"/>
      <c r="T210" s="497" t="s">
        <v>463</v>
      </c>
      <c r="V210" s="475">
        <v>4</v>
      </c>
      <c r="W210" s="475" t="str">
        <f>IF($AC$210="","",$W$180)</f>
        <v/>
      </c>
      <c r="X210" s="476" t="str">
        <f>IF($AC$210="","",$X$180)</f>
        <v/>
      </c>
      <c r="Y210" s="477" t="str">
        <f>IF($X$210="","",$Y$180)</f>
        <v/>
      </c>
      <c r="Z210" s="477" t="str">
        <f>IF($X$210="","",$Z$180)</f>
        <v/>
      </c>
      <c r="AA210" s="477" t="str">
        <f>IF($AC$210="","",ROW($A$210)-ROW($A$180))</f>
        <v/>
      </c>
      <c r="AB210" s="478"/>
      <c r="AC210" s="34"/>
      <c r="AD210" s="356"/>
      <c r="AE210" s="18"/>
      <c r="AF210" s="19"/>
      <c r="AG210" s="480" t="str">
        <f t="shared" si="40"/>
        <v/>
      </c>
      <c r="AH210" s="481" t="str">
        <f t="shared" si="41"/>
        <v/>
      </c>
      <c r="AI210" s="477" t="str">
        <f>IF($AC$210="","",IFERROR(INDEX($AZ$74:$AZ$119,MATCH($AH$210,$AY$74:$AY$119,0)),"AUTRE"))</f>
        <v/>
      </c>
      <c r="AJ210" s="482" t="str">
        <f>IF($AC$210="","",IFERROR(INDEX($BA$74:$BA$119,MATCH($AH$210,$AY$74:$AY$119,0)),1))</f>
        <v/>
      </c>
      <c r="AK210" s="482" t="str">
        <f t="shared" si="42"/>
        <v/>
      </c>
      <c r="AL210" s="477" t="str">
        <f>IF($AC$210="","",IFERROR(INDEX($BB$74:$BB$119,MATCH($AH$210,$AY$74:$AY$119,0)),$AH$210))</f>
        <v/>
      </c>
      <c r="AM210" s="483" t="str">
        <f t="shared" si="43"/>
        <v/>
      </c>
      <c r="AN210" s="484" t="str">
        <f t="shared" si="44"/>
        <v/>
      </c>
      <c r="AO210" s="473" t="str">
        <f t="shared" si="45"/>
        <v/>
      </c>
      <c r="AP210" s="473" t="str">
        <f t="shared" si="46"/>
        <v/>
      </c>
      <c r="AQ210" s="473" t="str">
        <f t="shared" si="47"/>
        <v/>
      </c>
      <c r="AR210" s="473" t="str">
        <f t="shared" si="48"/>
        <v/>
      </c>
      <c r="AS210" s="473" t="str">
        <f t="shared" si="49"/>
        <v/>
      </c>
      <c r="AT210" s="473" t="str">
        <f t="shared" si="50"/>
        <v/>
      </c>
      <c r="AU210" s="473" t="str">
        <f t="shared" si="51"/>
        <v/>
      </c>
      <c r="AY210" s="497" t="s">
        <v>462</v>
      </c>
      <c r="AZ210" s="497" t="s">
        <v>8147</v>
      </c>
      <c r="BA210" s="34" t="s">
        <v>481</v>
      </c>
      <c r="BB210" s="499"/>
      <c r="BC210" s="271"/>
      <c r="BD210" s="279">
        <v>1</v>
      </c>
      <c r="BE210" s="271"/>
      <c r="BF210" s="271"/>
      <c r="BG210" s="271"/>
      <c r="BH210" s="271"/>
      <c r="BI210" s="271"/>
      <c r="BJ210" s="271"/>
      <c r="BK210" s="271"/>
      <c r="BL210" s="271"/>
    </row>
    <row r="211" spans="18:64" ht="21" customHeight="1" x14ac:dyDescent="0.25">
      <c r="R211" s="34" t="s">
        <v>457</v>
      </c>
      <c r="S211" s="451"/>
      <c r="T211" s="497" t="s">
        <v>8147</v>
      </c>
      <c r="V211" s="475">
        <v>4</v>
      </c>
      <c r="W211" s="475" t="str">
        <f>IF($AC$211="","",$W$180)</f>
        <v/>
      </c>
      <c r="X211" s="476" t="str">
        <f>IF($AC$211="","",$X$180)</f>
        <v/>
      </c>
      <c r="Y211" s="477" t="str">
        <f>IF($X$211="","",$Y$180)</f>
        <v/>
      </c>
      <c r="Z211" s="477" t="str">
        <f>IF($X$211="","",$Z$180)</f>
        <v/>
      </c>
      <c r="AA211" s="477" t="str">
        <f>IF($AC$211="","",ROW($A$211)-ROW($A$180))</f>
        <v/>
      </c>
      <c r="AB211" s="478"/>
      <c r="AC211" s="34"/>
      <c r="AD211" s="356"/>
      <c r="AE211" s="18"/>
      <c r="AF211" s="19"/>
      <c r="AG211" s="480" t="str">
        <f t="shared" si="40"/>
        <v/>
      </c>
      <c r="AH211" s="481" t="str">
        <f t="shared" si="41"/>
        <v/>
      </c>
      <c r="AI211" s="477" t="str">
        <f>IF($AC$211="","",IFERROR(INDEX($AZ$74:$AZ$119,MATCH($AH$211,$AY$74:$AY$119,0)),"AUTRE"))</f>
        <v/>
      </c>
      <c r="AJ211" s="482" t="str">
        <f>IF($AC$211="","",IFERROR(INDEX($BA$74:$BA$119,MATCH($AH$211,$AY$74:$AY$119,0)),1))</f>
        <v/>
      </c>
      <c r="AK211" s="482" t="str">
        <f t="shared" si="42"/>
        <v/>
      </c>
      <c r="AL211" s="477" t="str">
        <f>IF($AC$211="","",IFERROR(INDEX($BB$74:$BB$119,MATCH($AH$211,$AY$74:$AY$119,0)),$AH$211))</f>
        <v/>
      </c>
      <c r="AM211" s="483" t="str">
        <f t="shared" si="43"/>
        <v/>
      </c>
      <c r="AN211" s="484" t="str">
        <f t="shared" si="44"/>
        <v/>
      </c>
      <c r="AO211" s="473" t="str">
        <f t="shared" si="45"/>
        <v/>
      </c>
      <c r="AP211" s="473" t="str">
        <f t="shared" si="46"/>
        <v/>
      </c>
      <c r="AQ211" s="473" t="str">
        <f t="shared" si="47"/>
        <v/>
      </c>
      <c r="AR211" s="473" t="str">
        <f t="shared" si="48"/>
        <v/>
      </c>
      <c r="AS211" s="473" t="str">
        <f t="shared" si="49"/>
        <v/>
      </c>
      <c r="AT211" s="473" t="str">
        <f t="shared" si="50"/>
        <v/>
      </c>
      <c r="AU211" s="473" t="str">
        <f t="shared" si="51"/>
        <v/>
      </c>
      <c r="AY211" s="497" t="s">
        <v>463</v>
      </c>
      <c r="AZ211" s="497" t="s">
        <v>465</v>
      </c>
      <c r="BA211" s="34" t="s">
        <v>475</v>
      </c>
      <c r="BB211" s="499"/>
      <c r="BC211" s="271"/>
      <c r="BD211" s="279">
        <v>1</v>
      </c>
      <c r="BE211" s="271"/>
      <c r="BF211" s="271"/>
      <c r="BG211" s="271"/>
      <c r="BH211" s="271"/>
      <c r="BI211" s="271"/>
      <c r="BJ211" s="271"/>
      <c r="BK211" s="271"/>
      <c r="BL211" s="271"/>
    </row>
    <row r="212" spans="18:64" ht="21" customHeight="1" x14ac:dyDescent="0.25">
      <c r="R212" s="34" t="s">
        <v>482</v>
      </c>
      <c r="S212" s="451"/>
      <c r="T212" s="497" t="s">
        <v>465</v>
      </c>
      <c r="V212" s="475">
        <v>4</v>
      </c>
      <c r="W212" s="475" t="str">
        <f>IF($AC$212="","",$W$180)</f>
        <v/>
      </c>
      <c r="X212" s="476" t="str">
        <f>IF($AC$212="","",$X$180)</f>
        <v/>
      </c>
      <c r="Y212" s="477" t="str">
        <f>IF($X$212="","",$Y$180)</f>
        <v/>
      </c>
      <c r="Z212" s="477" t="str">
        <f>IF($X$212="","",$Z$180)</f>
        <v/>
      </c>
      <c r="AA212" s="477" t="str">
        <f>IF($AC$212="","",ROW($A$212)-ROW($A$180))</f>
        <v/>
      </c>
      <c r="AB212" s="478"/>
      <c r="AC212" s="34"/>
      <c r="AD212" s="356"/>
      <c r="AE212" s="18"/>
      <c r="AF212" s="19"/>
      <c r="AG212" s="480" t="str">
        <f t="shared" si="40"/>
        <v/>
      </c>
      <c r="AH212" s="481" t="str">
        <f t="shared" si="41"/>
        <v/>
      </c>
      <c r="AI212" s="477" t="str">
        <f>IF($AC$212="","",IFERROR(INDEX($AZ$74:$AZ$119,MATCH($AH$212,$AY$74:$AY$119,0)),"AUTRE"))</f>
        <v/>
      </c>
      <c r="AJ212" s="482" t="str">
        <f>IF($AC$212="","",IFERROR(INDEX($BA$74:$BA$119,MATCH($AH$212,$AY$74:$AY$119,0)),1))</f>
        <v/>
      </c>
      <c r="AK212" s="482" t="str">
        <f t="shared" si="42"/>
        <v/>
      </c>
      <c r="AL212" s="477" t="str">
        <f>IF($AC$212="","",IFERROR(INDEX($BB$74:$BB$119,MATCH($AH$212,$AY$74:$AY$119,0)),$AH$212))</f>
        <v/>
      </c>
      <c r="AM212" s="483" t="str">
        <f t="shared" si="43"/>
        <v/>
      </c>
      <c r="AN212" s="484" t="str">
        <f t="shared" si="44"/>
        <v/>
      </c>
      <c r="AO212" s="473" t="str">
        <f t="shared" si="45"/>
        <v/>
      </c>
      <c r="AP212" s="473" t="str">
        <f t="shared" si="46"/>
        <v/>
      </c>
      <c r="AQ212" s="473" t="str">
        <f t="shared" si="47"/>
        <v/>
      </c>
      <c r="AR212" s="473" t="str">
        <f t="shared" si="48"/>
        <v/>
      </c>
      <c r="AS212" s="473" t="str">
        <f t="shared" si="49"/>
        <v/>
      </c>
      <c r="AT212" s="473" t="str">
        <f t="shared" si="50"/>
        <v/>
      </c>
      <c r="AU212" s="473" t="str">
        <f t="shared" si="51"/>
        <v/>
      </c>
      <c r="AY212" s="497" t="s">
        <v>8147</v>
      </c>
      <c r="AZ212" s="497" t="s">
        <v>466</v>
      </c>
      <c r="BA212" s="34" t="s">
        <v>457</v>
      </c>
      <c r="BB212" s="499"/>
      <c r="BC212" s="271"/>
      <c r="BD212" s="279">
        <v>1</v>
      </c>
      <c r="BE212" s="271"/>
      <c r="BF212" s="271"/>
      <c r="BG212" s="271"/>
      <c r="BH212" s="271"/>
      <c r="BI212" s="271"/>
      <c r="BJ212" s="271"/>
      <c r="BK212" s="271"/>
      <c r="BL212" s="271"/>
    </row>
    <row r="213" spans="18:64" ht="21" customHeight="1" x14ac:dyDescent="0.25">
      <c r="R213" s="34" t="s">
        <v>496</v>
      </c>
      <c r="S213" s="451"/>
      <c r="T213" s="497" t="s">
        <v>466</v>
      </c>
      <c r="V213" s="475">
        <v>4</v>
      </c>
      <c r="W213" s="475" t="str">
        <f>IF($AC$213="","",$W$180)</f>
        <v/>
      </c>
      <c r="X213" s="476" t="str">
        <f>IF($AC$213="","",$X$180)</f>
        <v/>
      </c>
      <c r="Y213" s="477" t="str">
        <f>IF($X$213="","",$Y$180)</f>
        <v/>
      </c>
      <c r="Z213" s="477" t="str">
        <f>IF($X$213="","",$Z$180)</f>
        <v/>
      </c>
      <c r="AA213" s="477" t="str">
        <f>IF($AC$213="","",ROW($A$213)-ROW($A$180))</f>
        <v/>
      </c>
      <c r="AB213" s="478"/>
      <c r="AC213" s="34"/>
      <c r="AD213" s="356"/>
      <c r="AE213" s="18"/>
      <c r="AF213" s="19"/>
      <c r="AG213" s="480" t="str">
        <f t="shared" si="40"/>
        <v/>
      </c>
      <c r="AH213" s="481" t="str">
        <f t="shared" si="41"/>
        <v/>
      </c>
      <c r="AI213" s="477" t="str">
        <f>IF($AC$213="","",IFERROR(INDEX($AZ$74:$AZ$119,MATCH($AH$213,$AY$74:$AY$119,0)),"AUTRE"))</f>
        <v/>
      </c>
      <c r="AJ213" s="482" t="str">
        <f>IF($AC$213="","",IFERROR(INDEX($BA$74:$BA$119,MATCH($AH$213,$AY$74:$AY$119,0)),1))</f>
        <v/>
      </c>
      <c r="AK213" s="482" t="str">
        <f t="shared" si="42"/>
        <v/>
      </c>
      <c r="AL213" s="477" t="str">
        <f>IF($AC$213="","",IFERROR(INDEX($BB$74:$BB$119,MATCH($AH$213,$AY$74:$AY$119,0)),$AH$213))</f>
        <v/>
      </c>
      <c r="AM213" s="483" t="str">
        <f t="shared" si="43"/>
        <v/>
      </c>
      <c r="AN213" s="484" t="str">
        <f t="shared" si="44"/>
        <v/>
      </c>
      <c r="AO213" s="473" t="str">
        <f t="shared" si="45"/>
        <v/>
      </c>
      <c r="AP213" s="473" t="str">
        <f t="shared" si="46"/>
        <v/>
      </c>
      <c r="AQ213" s="473" t="str">
        <f t="shared" si="47"/>
        <v/>
      </c>
      <c r="AR213" s="473" t="str">
        <f t="shared" si="48"/>
        <v/>
      </c>
      <c r="AS213" s="473" t="str">
        <f t="shared" si="49"/>
        <v/>
      </c>
      <c r="AT213" s="473" t="str">
        <f t="shared" si="50"/>
        <v/>
      </c>
      <c r="AU213" s="473" t="str">
        <f t="shared" si="51"/>
        <v/>
      </c>
      <c r="AY213" s="497" t="s">
        <v>465</v>
      </c>
      <c r="AZ213" s="14" t="s">
        <v>7</v>
      </c>
      <c r="BA213" s="34" t="s">
        <v>482</v>
      </c>
      <c r="BB213" s="499"/>
      <c r="BC213" s="271"/>
      <c r="BD213" s="279">
        <v>1</v>
      </c>
      <c r="BE213" s="271"/>
      <c r="BF213" s="271"/>
      <c r="BG213" s="271"/>
      <c r="BH213" s="271"/>
      <c r="BI213" s="271"/>
      <c r="BJ213" s="271"/>
      <c r="BK213" s="271"/>
      <c r="BL213" s="271"/>
    </row>
    <row r="214" spans="18:64" ht="21" customHeight="1" x14ac:dyDescent="0.25">
      <c r="R214" s="34" t="s">
        <v>483</v>
      </c>
      <c r="S214" s="451"/>
      <c r="T214" s="440" t="s">
        <v>8110</v>
      </c>
      <c r="V214" s="475">
        <v>4</v>
      </c>
      <c r="W214" s="475" t="str">
        <f>IF($AC$214="","",$W$180)</f>
        <v/>
      </c>
      <c r="X214" s="476" t="str">
        <f>IF($AC$214="","",$X$180)</f>
        <v/>
      </c>
      <c r="Y214" s="477" t="str">
        <f>IF($X$214="","",$Y$180)</f>
        <v/>
      </c>
      <c r="Z214" s="477" t="str">
        <f>IF($X$214="","",$Z$180)</f>
        <v/>
      </c>
      <c r="AA214" s="477" t="str">
        <f>IF($AC$214="","",ROW($A$214)-ROW($A$180))</f>
        <v/>
      </c>
      <c r="AB214" s="478"/>
      <c r="AC214" s="34"/>
      <c r="AD214" s="356"/>
      <c r="AE214" s="18"/>
      <c r="AF214" s="24"/>
      <c r="AG214" s="491" t="str">
        <f t="shared" si="40"/>
        <v/>
      </c>
      <c r="AH214" s="481" t="str">
        <f t="shared" si="41"/>
        <v/>
      </c>
      <c r="AI214" s="477" t="str">
        <f>IF($AC$214="","",IFERROR(INDEX($AZ$74:$AZ$119,MATCH($AH$214,$AY$74:$AY$119,0)),"AUTRE"))</f>
        <v/>
      </c>
      <c r="AJ214" s="482" t="str">
        <f>IF($AC$214="","",IFERROR(INDEX($BA$74:$BA$119,MATCH($AH$214,$AY$74:$AY$119,0)),1))</f>
        <v/>
      </c>
      <c r="AK214" s="482" t="str">
        <f t="shared" si="42"/>
        <v/>
      </c>
      <c r="AL214" s="477" t="str">
        <f>IF($AC$214="","",IFERROR(INDEX($BB$74:$BB$119,MATCH($AH$214,$AY$74:$AY$119,0)),$AH$214))</f>
        <v/>
      </c>
      <c r="AM214" s="483" t="str">
        <f t="shared" si="43"/>
        <v/>
      </c>
      <c r="AN214" s="484" t="str">
        <f t="shared" si="44"/>
        <v/>
      </c>
      <c r="AO214" s="473" t="str">
        <f t="shared" si="45"/>
        <v/>
      </c>
      <c r="AP214" s="473" t="str">
        <f t="shared" si="46"/>
        <v/>
      </c>
      <c r="AQ214" s="473" t="str">
        <f t="shared" si="47"/>
        <v/>
      </c>
      <c r="AR214" s="473" t="str">
        <f t="shared" si="48"/>
        <v/>
      </c>
      <c r="AS214" s="473" t="str">
        <f t="shared" si="49"/>
        <v/>
      </c>
      <c r="AT214" s="473" t="str">
        <f t="shared" si="50"/>
        <v/>
      </c>
      <c r="AU214" s="473" t="str">
        <f t="shared" si="51"/>
        <v/>
      </c>
      <c r="AY214" s="497" t="s">
        <v>466</v>
      </c>
      <c r="AZ214" s="27" t="s">
        <v>8</v>
      </c>
      <c r="BA214" s="34" t="s">
        <v>496</v>
      </c>
      <c r="BB214" s="499"/>
      <c r="BC214" s="271"/>
      <c r="BD214" s="279">
        <v>1</v>
      </c>
      <c r="BE214" s="271"/>
      <c r="BF214" s="271"/>
      <c r="BG214" s="271"/>
      <c r="BH214" s="271"/>
      <c r="BI214" s="271"/>
      <c r="BJ214" s="271"/>
      <c r="BK214" s="271"/>
      <c r="BL214" s="271"/>
    </row>
    <row r="215" spans="18:64" ht="30" customHeight="1" x14ac:dyDescent="0.25">
      <c r="R215" s="34" t="s">
        <v>493</v>
      </c>
      <c r="S215" s="451"/>
      <c r="T215" s="452" t="s">
        <v>8113</v>
      </c>
      <c r="V215" s="453" t="s">
        <v>324</v>
      </c>
      <c r="W215" s="453" t="s">
        <v>7912</v>
      </c>
      <c r="X215" s="453" t="s">
        <v>326</v>
      </c>
      <c r="Y215" s="453" t="s">
        <v>327</v>
      </c>
      <c r="Z215" s="454" t="s">
        <v>7930</v>
      </c>
      <c r="AA215" s="453" t="s">
        <v>7937</v>
      </c>
      <c r="AB215" s="455" t="s">
        <v>39</v>
      </c>
      <c r="AC215" s="455" t="s">
        <v>338</v>
      </c>
      <c r="AD215" s="455" t="s">
        <v>8114</v>
      </c>
      <c r="AE215" s="455" t="s">
        <v>339</v>
      </c>
      <c r="AF215" s="455" t="s">
        <v>7997</v>
      </c>
      <c r="AG215" s="453" t="s">
        <v>8018</v>
      </c>
      <c r="AH215" s="453" t="s">
        <v>8023</v>
      </c>
      <c r="AI215" s="453" t="s">
        <v>330</v>
      </c>
      <c r="AJ215" s="453" t="s">
        <v>8031</v>
      </c>
      <c r="AK215" s="453" t="s">
        <v>8037</v>
      </c>
      <c r="AL215" s="453" t="s">
        <v>8041</v>
      </c>
      <c r="AM215" s="453" t="s">
        <v>343</v>
      </c>
      <c r="AN215" s="457" t="s">
        <v>8115</v>
      </c>
      <c r="AO215" s="457" t="s">
        <v>8116</v>
      </c>
      <c r="AP215" s="656" t="s">
        <v>8117</v>
      </c>
      <c r="AQ215" s="656"/>
      <c r="AR215" s="656"/>
      <c r="AS215" s="656"/>
      <c r="AT215" s="656"/>
      <c r="AU215" s="657"/>
      <c r="AZ215" s="28" t="s">
        <v>13</v>
      </c>
      <c r="BA215" s="34" t="s">
        <v>483</v>
      </c>
      <c r="BB215" s="499"/>
      <c r="BC215" s="271"/>
      <c r="BD215" s="279">
        <v>1</v>
      </c>
      <c r="BE215" s="271"/>
      <c r="BF215" s="271"/>
      <c r="BG215" s="271"/>
      <c r="BH215" s="271"/>
      <c r="BI215" s="271"/>
      <c r="BJ215" s="271"/>
      <c r="BK215" s="271"/>
      <c r="BL215" s="271"/>
    </row>
    <row r="216" spans="18:64" ht="30" customHeight="1" x14ac:dyDescent="0.25">
      <c r="R216" s="34" t="s">
        <v>494</v>
      </c>
      <c r="S216" s="451"/>
      <c r="T216" s="14" t="s">
        <v>7</v>
      </c>
      <c r="V216" s="459">
        <v>5</v>
      </c>
      <c r="W216" s="460" t="s">
        <v>71</v>
      </c>
      <c r="X216" s="461" t="s">
        <v>70</v>
      </c>
      <c r="Y216" s="462">
        <v>22</v>
      </c>
      <c r="Z216" s="463">
        <v>100</v>
      </c>
      <c r="AA216" s="464">
        <f>IF($AC$396="","",ROW($A$396)-ROW($A$396))</f>
        <v>0</v>
      </c>
      <c r="AB216" s="461"/>
      <c r="AC216" s="465" t="s">
        <v>55</v>
      </c>
      <c r="AD216" s="390"/>
      <c r="AE216" s="13">
        <v>75</v>
      </c>
      <c r="AF216" s="23" t="s">
        <v>309</v>
      </c>
      <c r="AG216" s="467">
        <f t="shared" ref="AG216:AG250" si="52">IF($AC216="","",IF(LEN($AN216&amp;"")=0,"",$AN216))</f>
        <v>75</v>
      </c>
      <c r="AH216" s="468" t="str">
        <f t="shared" ref="AH216:AH250" si="53">IF($AC216="","",IF($AF216&lt;&gt;"",UPPER(TRIM(SUBSTITUTE(SUBSTITUTE($AF216&amp;"",CHAR(160)," ")," "," "))),$AP216))</f>
        <v>PIÈCE(S)</v>
      </c>
      <c r="AI216" s="469" t="str">
        <f>IF($AC$216="","",IFERROR(INDEX($AZ$74:$AZ$119,MATCH($AH$216,$AY$74:$AY$119,0)),"AUTRE"))</f>
        <v>AUTRE</v>
      </c>
      <c r="AJ216" s="470">
        <f>IF($AC$216="","",IFERROR(INDEX($BA$74:$BA$119,MATCH($AH$216,$AY$74:$AY$119,0)),1))</f>
        <v>1</v>
      </c>
      <c r="AK216" s="470">
        <f t="shared" ref="AK216:AK250" si="54">IF(OR(AG216="",AJ216=""),"",AG216*AJ216)</f>
        <v>75</v>
      </c>
      <c r="AL216" s="469" t="str">
        <f>IF($AC$216="","",IFERROR(INDEX($BB$74:$BB$119,MATCH($AH$216,$AY$74:$AY$119,0)),$AH$216))</f>
        <v>pièce(s)</v>
      </c>
      <c r="AM216" s="471" t="str">
        <f t="shared" ref="AM216:AM250" si="55">IF($AC216="","",IF($AH216="QT. SUFFISANTE","OK",IF($AG216="","TEXTE",IF(NOT(ISNUMBER($AG216)),"QUANTITÉ À CONTRÔLER",IF(COUNTIF($AY$74:$AY$119,$AH216)=0,"UNITÉ À CONTRÔLER","OK")))))</f>
        <v>OK</v>
      </c>
      <c r="AN216" s="474">
        <f t="shared" ref="AN216:AN250" si="56">IF($AE216&lt;&gt;"",$AE216,IF($AD216="","",IF(ISNUMBER($AD216),$AD216,IF($AO216="QT",0,IF($AO216="","",IFERROR(IF(ISNUMBER(SEARCH("/",$AO216)),VALUE(TRIM(LEFT($AO216,SEARCH("/",$AO216)-1)))/VALUE(TRIM(MID($AO216,SEARCH("/",$AO216)+1,99))),VALUE(SUBSTITUTE($AO216,".",","))),""))))))</f>
        <v>75</v>
      </c>
      <c r="AO216" s="473" t="str">
        <f t="shared" ref="AO216:AO250" si="57">IF($AD216="","",IF(ISNUMBER($AD216),$AD216,IF(OR(LEFT($AQ216,3)="QT.",LEFT($AQ216,4)="QUAN"),"QT",IF($AR216=999,$AQ216,TRIM(LEFT($AQ216,$AR216-1))))))</f>
        <v/>
      </c>
      <c r="AP216" s="473" t="str">
        <f t="shared" ref="AP216:AP250" si="58">IF($AD216="","",IF(ISNUMBER($AD216),"",IF(OR(LEFT($AQ216,3)="QT.",LEFT($AQ216,4)="QUAN"),"QT. SUFFISANTE",IF($AO216="","",TRIM(MID($AQ216,LEN($AO216&amp;"")+1,999))))))</f>
        <v/>
      </c>
      <c r="AQ216" s="473" t="str">
        <f t="shared" ref="AQ216:AQ250" si="59">IF($AD216="","",UPPER(TRIM(SUBSTITUTE(SUBSTITUTE($AD216&amp;"",CHAR(160)," ")," "," "))))</f>
        <v/>
      </c>
      <c r="AR216" s="473" t="str">
        <f t="shared" ref="AR216:AR250" si="60">IF($AQ216="","",MIN($AS216,$AT216,$AU216))</f>
        <v/>
      </c>
      <c r="AS216" s="473" t="str">
        <f t="shared" ref="AS216:AS250" si="61">IF($AQ216="","",MIN(IFERROR(SEARCH("A",$AQ216),999),IFERROR(SEARCH("B",$AQ216),999),IFERROR(SEARCH("C",$AQ216),999),IFERROR(SEARCH("D",$AQ216),999),IFERROR(SEARCH("E",$AQ216),999),IFERROR(SEARCH("F",$AQ216),999),IFERROR(SEARCH("G",$AQ216),999),IFERROR(SEARCH("H",$AQ216),999),IFERROR(SEARCH("I",$AQ216),999)))</f>
        <v/>
      </c>
      <c r="AT216" s="473" t="str">
        <f t="shared" ref="AT216:AT250" si="62">IF($AQ216="","",MIN(IFERROR(SEARCH("J",$AQ216),999),IFERROR(SEARCH("K",$AQ216),999),IFERROR(SEARCH("L",$AQ216),999),IFERROR(SEARCH("M",$AQ216),999),IFERROR(SEARCH("N",$AQ216),999),IFERROR(SEARCH("O",$AQ216),999),IFERROR(SEARCH("P",$AQ216),999),IFERROR(SEARCH("Q",$AQ216),999),IFERROR(SEARCH("R",$AQ216),999)))</f>
        <v/>
      </c>
      <c r="AU216" s="473" t="str">
        <f t="shared" ref="AU216:AU250" si="63">IF($AQ216="","",MIN(IFERROR(SEARCH("S",$AQ216),999),IFERROR(SEARCH("T",$AQ216),999),IFERROR(SEARCH("U",$AQ216),999),IFERROR(SEARCH("V",$AQ216),999),IFERROR(SEARCH("W",$AQ216),999),IFERROR(SEARCH("X",$AQ216),999),IFERROR(SEARCH("Y",$AQ216),999),IFERROR(SEARCH("Z",$AQ216),999)))</f>
        <v/>
      </c>
      <c r="AZ216" s="28" t="s">
        <v>14</v>
      </c>
      <c r="BA216" s="34" t="s">
        <v>493</v>
      </c>
      <c r="BB216" s="499"/>
      <c r="BC216" s="271"/>
      <c r="BD216" s="279">
        <v>1</v>
      </c>
      <c r="BE216" s="271"/>
      <c r="BF216" s="271"/>
      <c r="BG216" s="271"/>
      <c r="BH216" s="271"/>
      <c r="BI216" s="271"/>
      <c r="BJ216" s="271"/>
      <c r="BK216" s="271"/>
      <c r="BL216" s="271"/>
    </row>
    <row r="217" spans="18:64" ht="21" customHeight="1" x14ac:dyDescent="0.25">
      <c r="S217" s="451"/>
      <c r="T217" s="27" t="s">
        <v>8</v>
      </c>
      <c r="V217" s="475">
        <f>$V$216</f>
        <v>5</v>
      </c>
      <c r="W217" s="475" t="str">
        <f>IF($AC$217="","",$W$216)</f>
        <v>N° 05</v>
      </c>
      <c r="X217" s="476" t="str">
        <f>IF($AC$217="","",$X$216)</f>
        <v>GUACAMOLE</v>
      </c>
      <c r="Y217" s="477">
        <f>IF($X$217="","",$Y$216)</f>
        <v>22</v>
      </c>
      <c r="Z217" s="477">
        <f>IF($X$217="","",$Z$216)</f>
        <v>100</v>
      </c>
      <c r="AA217" s="477">
        <f>IF($AC$217="","",ROW($A$217)-ROW($A$216))</f>
        <v>1</v>
      </c>
      <c r="AB217" s="478"/>
      <c r="AC217" s="34" t="s">
        <v>72</v>
      </c>
      <c r="AD217" s="356"/>
      <c r="AE217" s="18">
        <v>2</v>
      </c>
      <c r="AF217" s="3" t="s">
        <v>7</v>
      </c>
      <c r="AG217" s="480">
        <f t="shared" si="52"/>
        <v>2</v>
      </c>
      <c r="AH217" s="481" t="str">
        <f t="shared" si="53"/>
        <v>KG</v>
      </c>
      <c r="AI217" s="477" t="str">
        <f>IF($AC$217="","",IFERROR(INDEX($AZ$74:$AZ$119,MATCH($AH$217,$AY$74:$AY$119,0)),"AUTRE"))</f>
        <v>MASSE</v>
      </c>
      <c r="AJ217" s="482">
        <f>IF($AC$217="","",IFERROR(INDEX($BA$74:$BA$119,MATCH($AH$217,$AY$74:$AY$119,0)),1))</f>
        <v>1</v>
      </c>
      <c r="AK217" s="482">
        <f t="shared" si="54"/>
        <v>2</v>
      </c>
      <c r="AL217" s="477" t="str">
        <f>IF($AC$217="","",IFERROR(INDEX($BB$74:$BB$119,MATCH($AH$217,$AY$74:$AY$119,0)),$AH$217))</f>
        <v>kg</v>
      </c>
      <c r="AM217" s="483" t="str">
        <f t="shared" si="55"/>
        <v>OK</v>
      </c>
      <c r="AN217" s="484">
        <f t="shared" si="56"/>
        <v>2</v>
      </c>
      <c r="AO217" s="473" t="str">
        <f t="shared" si="57"/>
        <v/>
      </c>
      <c r="AP217" s="473" t="str">
        <f t="shared" si="58"/>
        <v/>
      </c>
      <c r="AQ217" s="473" t="str">
        <f t="shared" si="59"/>
        <v/>
      </c>
      <c r="AR217" s="473" t="str">
        <f t="shared" si="60"/>
        <v/>
      </c>
      <c r="AS217" s="473" t="str">
        <f t="shared" si="61"/>
        <v/>
      </c>
      <c r="AT217" s="473" t="str">
        <f t="shared" si="62"/>
        <v/>
      </c>
      <c r="AU217" s="473" t="str">
        <f t="shared" si="63"/>
        <v/>
      </c>
      <c r="AZ217" s="28" t="s">
        <v>15</v>
      </c>
      <c r="BA217" s="34" t="s">
        <v>494</v>
      </c>
      <c r="BB217" s="499"/>
      <c r="BC217" s="271"/>
      <c r="BD217" s="279">
        <v>1</v>
      </c>
      <c r="BE217" s="271"/>
      <c r="BF217" s="271"/>
      <c r="BG217" s="271"/>
      <c r="BH217" s="271"/>
      <c r="BI217" s="271"/>
      <c r="BJ217" s="271"/>
      <c r="BK217" s="271"/>
      <c r="BL217" s="271"/>
    </row>
    <row r="218" spans="18:64" ht="21" customHeight="1" x14ac:dyDescent="0.25">
      <c r="R218" s="25" t="s">
        <v>6115</v>
      </c>
      <c r="S218" s="451"/>
      <c r="T218" s="28" t="s">
        <v>13</v>
      </c>
      <c r="V218" s="475">
        <v>5</v>
      </c>
      <c r="W218" s="475" t="str">
        <f>IF($AC$218="","",$W$216)</f>
        <v>N° 05</v>
      </c>
      <c r="X218" s="476" t="str">
        <f>IF($AC$218="","",$X$216)</f>
        <v>GUACAMOLE</v>
      </c>
      <c r="Y218" s="477">
        <f>IF($X$218="","",$Y$216)</f>
        <v>22</v>
      </c>
      <c r="Z218" s="477">
        <f>IF($X$218="","",$Z$216)</f>
        <v>100</v>
      </c>
      <c r="AA218" s="477">
        <f>IF($AC$218="","",ROW($A$218)-ROW($A$216))</f>
        <v>2</v>
      </c>
      <c r="AB218" s="478"/>
      <c r="AC218" s="34" t="s">
        <v>48</v>
      </c>
      <c r="AD218" s="356"/>
      <c r="AE218" s="18">
        <v>150</v>
      </c>
      <c r="AF218" s="5" t="s">
        <v>8</v>
      </c>
      <c r="AG218" s="480">
        <f t="shared" si="52"/>
        <v>150</v>
      </c>
      <c r="AH218" s="481" t="str">
        <f t="shared" si="53"/>
        <v>G</v>
      </c>
      <c r="AI218" s="477" t="str">
        <f>IF($AC$218="","",IFERROR(INDEX($AZ$74:$AZ$119,MATCH($AH$218,$AY$74:$AY$119,0)),"AUTRE"))</f>
        <v>MASSE</v>
      </c>
      <c r="AJ218" s="482">
        <f>IF($AC$218="","",IFERROR(INDEX($BA$74:$BA$119,MATCH($AH$218,$AY$74:$AY$119,0)),1))</f>
        <v>1E-3</v>
      </c>
      <c r="AK218" s="482">
        <f t="shared" si="54"/>
        <v>0.15</v>
      </c>
      <c r="AL218" s="477" t="str">
        <f>IF($AC$218="","",IFERROR(INDEX($BB$74:$BB$119,MATCH($AH$218,$AY$74:$AY$119,0)),$AH$218))</f>
        <v>kg</v>
      </c>
      <c r="AM218" s="483" t="str">
        <f t="shared" si="55"/>
        <v>OK</v>
      </c>
      <c r="AN218" s="484">
        <f t="shared" si="56"/>
        <v>150</v>
      </c>
      <c r="AO218" s="473" t="str">
        <f t="shared" si="57"/>
        <v/>
      </c>
      <c r="AP218" s="473" t="str">
        <f t="shared" si="58"/>
        <v/>
      </c>
      <c r="AQ218" s="473" t="str">
        <f t="shared" si="59"/>
        <v/>
      </c>
      <c r="AR218" s="473" t="str">
        <f t="shared" si="60"/>
        <v/>
      </c>
      <c r="AS218" s="473" t="str">
        <f t="shared" si="61"/>
        <v/>
      </c>
      <c r="AT218" s="473" t="str">
        <f t="shared" si="62"/>
        <v/>
      </c>
      <c r="AU218" s="473" t="str">
        <f t="shared" si="63"/>
        <v/>
      </c>
      <c r="AZ218" s="29" t="s">
        <v>9</v>
      </c>
      <c r="BB218" s="499"/>
      <c r="BC218" s="271"/>
      <c r="BD218" s="279">
        <v>1</v>
      </c>
      <c r="BE218" s="271"/>
      <c r="BF218" s="271"/>
      <c r="BG218" s="271"/>
      <c r="BH218" s="271"/>
      <c r="BI218" s="271"/>
      <c r="BJ218" s="271"/>
      <c r="BK218" s="271"/>
      <c r="BL218" s="271"/>
    </row>
    <row r="219" spans="18:64" ht="21" customHeight="1" x14ac:dyDescent="0.25">
      <c r="R219" s="34" t="s">
        <v>471</v>
      </c>
      <c r="S219" s="451"/>
      <c r="T219" s="28" t="s">
        <v>14</v>
      </c>
      <c r="V219" s="475">
        <v>5</v>
      </c>
      <c r="W219" s="475" t="str">
        <f>IF($AC$219="","",$W$216)</f>
        <v>N° 05</v>
      </c>
      <c r="X219" s="476" t="str">
        <f>IF($AC$219="","",$X$216)</f>
        <v>GUACAMOLE</v>
      </c>
      <c r="Y219" s="477">
        <f>IF($X$219="","",$Y$216)</f>
        <v>22</v>
      </c>
      <c r="Z219" s="477">
        <f>IF($X$219="","",$Z$216)</f>
        <v>100</v>
      </c>
      <c r="AA219" s="477">
        <f>IF($AC$219="","",ROW($A$219)-ROW($A$216))</f>
        <v>3</v>
      </c>
      <c r="AB219" s="478"/>
      <c r="AC219" s="34" t="s">
        <v>73</v>
      </c>
      <c r="AD219" s="356"/>
      <c r="AE219" s="18">
        <v>2</v>
      </c>
      <c r="AF219" s="3" t="s">
        <v>7</v>
      </c>
      <c r="AG219" s="480">
        <f t="shared" si="52"/>
        <v>2</v>
      </c>
      <c r="AH219" s="481" t="str">
        <f t="shared" si="53"/>
        <v>KG</v>
      </c>
      <c r="AI219" s="477" t="str">
        <f>IF($AC$219="","",IFERROR(INDEX($AZ$74:$AZ$119,MATCH($AH$219,$AY$74:$AY$119,0)),"AUTRE"))</f>
        <v>MASSE</v>
      </c>
      <c r="AJ219" s="482">
        <f>IF($AC$219="","",IFERROR(INDEX($BA$74:$BA$119,MATCH($AH$219,$AY$74:$AY$119,0)),1))</f>
        <v>1</v>
      </c>
      <c r="AK219" s="482">
        <f t="shared" si="54"/>
        <v>2</v>
      </c>
      <c r="AL219" s="477" t="str">
        <f>IF($AC$219="","",IFERROR(INDEX($BB$74:$BB$119,MATCH($AH$219,$AY$74:$AY$119,0)),$AH$219))</f>
        <v>kg</v>
      </c>
      <c r="AM219" s="483" t="str">
        <f t="shared" si="55"/>
        <v>OK</v>
      </c>
      <c r="AN219" s="484">
        <f t="shared" si="56"/>
        <v>2</v>
      </c>
      <c r="AO219" s="473" t="str">
        <f t="shared" si="57"/>
        <v/>
      </c>
      <c r="AP219" s="473" t="str">
        <f t="shared" si="58"/>
        <v/>
      </c>
      <c r="AQ219" s="473" t="str">
        <f t="shared" si="59"/>
        <v/>
      </c>
      <c r="AR219" s="473" t="str">
        <f t="shared" si="60"/>
        <v/>
      </c>
      <c r="AS219" s="473" t="str">
        <f t="shared" si="61"/>
        <v/>
      </c>
      <c r="AT219" s="473" t="str">
        <f t="shared" si="62"/>
        <v/>
      </c>
      <c r="AU219" s="473" t="str">
        <f t="shared" si="63"/>
        <v/>
      </c>
      <c r="AZ219" s="30" t="s">
        <v>10</v>
      </c>
      <c r="BA219" s="25" t="s">
        <v>6115</v>
      </c>
      <c r="BB219" s="499"/>
      <c r="BC219" s="271"/>
      <c r="BD219" s="279">
        <v>1</v>
      </c>
      <c r="BE219" s="271"/>
      <c r="BF219" s="271"/>
      <c r="BG219" s="271"/>
      <c r="BH219" s="271"/>
      <c r="BI219" s="271"/>
      <c r="BJ219" s="271"/>
      <c r="BK219" s="271"/>
      <c r="BL219" s="271"/>
    </row>
    <row r="220" spans="18:64" ht="21" customHeight="1" x14ac:dyDescent="0.25">
      <c r="R220" s="34" t="s">
        <v>472</v>
      </c>
      <c r="S220" s="451"/>
      <c r="T220" s="28" t="s">
        <v>15</v>
      </c>
      <c r="V220" s="475">
        <v>5</v>
      </c>
      <c r="W220" s="475" t="str">
        <f>IF($AC$220="","",$W$216)</f>
        <v>N° 05</v>
      </c>
      <c r="X220" s="476" t="str">
        <f>IF($AC$220="","",$X$216)</f>
        <v>GUACAMOLE</v>
      </c>
      <c r="Y220" s="477">
        <f>IF($X$220="","",$Y$216)</f>
        <v>22</v>
      </c>
      <c r="Z220" s="477">
        <f>IF($X$220="","",$Z$216)</f>
        <v>100</v>
      </c>
      <c r="AA220" s="477">
        <f>IF($AC$220="","",ROW($A$220)-ROW($A$216))</f>
        <v>4</v>
      </c>
      <c r="AB220" s="478"/>
      <c r="AC220" s="34" t="s">
        <v>74</v>
      </c>
      <c r="AD220" s="356"/>
      <c r="AE220" s="18">
        <v>1</v>
      </c>
      <c r="AF220" s="8" t="s">
        <v>17</v>
      </c>
      <c r="AG220" s="480">
        <f t="shared" si="52"/>
        <v>1</v>
      </c>
      <c r="AH220" s="481" t="str">
        <f t="shared" si="53"/>
        <v>QUART/L</v>
      </c>
      <c r="AI220" s="477" t="str">
        <f>IF($AC$220="","",IFERROR(INDEX($AZ$74:$AZ$119,MATCH($AH$220,$AY$74:$AY$119,0)),"AUTRE"))</f>
        <v>VOLUME</v>
      </c>
      <c r="AJ220" s="482">
        <f>IF($AC$220="","",IFERROR(INDEX($BA$74:$BA$119,MATCH($AH$220,$AY$74:$AY$119,0)),1))</f>
        <v>0.25</v>
      </c>
      <c r="AK220" s="482">
        <f t="shared" si="54"/>
        <v>0.25</v>
      </c>
      <c r="AL220" s="477" t="str">
        <f>IF($AC$220="","",IFERROR(INDEX($BB$74:$BB$119,MATCH($AH$220,$AY$74:$AY$119,0)),$AH$220))</f>
        <v>L</v>
      </c>
      <c r="AM220" s="483" t="str">
        <f t="shared" si="55"/>
        <v>OK</v>
      </c>
      <c r="AN220" s="484">
        <f t="shared" si="56"/>
        <v>1</v>
      </c>
      <c r="AO220" s="473" t="str">
        <f t="shared" si="57"/>
        <v/>
      </c>
      <c r="AP220" s="473" t="str">
        <f t="shared" si="58"/>
        <v/>
      </c>
      <c r="AQ220" s="473" t="str">
        <f t="shared" si="59"/>
        <v/>
      </c>
      <c r="AR220" s="473" t="str">
        <f t="shared" si="60"/>
        <v/>
      </c>
      <c r="AS220" s="473" t="str">
        <f t="shared" si="61"/>
        <v/>
      </c>
      <c r="AT220" s="473" t="str">
        <f t="shared" si="62"/>
        <v/>
      </c>
      <c r="AU220" s="473" t="str">
        <f t="shared" si="63"/>
        <v/>
      </c>
      <c r="AZ220" s="30" t="s">
        <v>11</v>
      </c>
      <c r="BA220" s="34" t="s">
        <v>471</v>
      </c>
      <c r="BB220" s="499"/>
      <c r="BC220" s="271"/>
      <c r="BD220" s="279">
        <v>1</v>
      </c>
      <c r="BE220" s="271"/>
      <c r="BF220" s="271"/>
      <c r="BG220" s="271"/>
      <c r="BH220" s="271"/>
      <c r="BI220" s="271"/>
      <c r="BJ220" s="271"/>
      <c r="BK220" s="271"/>
      <c r="BL220" s="271"/>
    </row>
    <row r="221" spans="18:64" ht="21" customHeight="1" x14ac:dyDescent="0.25">
      <c r="R221" s="34" t="s">
        <v>6112</v>
      </c>
      <c r="S221" s="451"/>
      <c r="T221" s="28" t="s">
        <v>21</v>
      </c>
      <c r="V221" s="475">
        <v>5</v>
      </c>
      <c r="W221" s="475" t="str">
        <f>IF($AC$221="","",$W$216)</f>
        <v>N° 05</v>
      </c>
      <c r="X221" s="476" t="str">
        <f>IF($AC$221="","",$X$216)</f>
        <v>GUACAMOLE</v>
      </c>
      <c r="Y221" s="477">
        <f>IF($X$221="","",$Y$216)</f>
        <v>22</v>
      </c>
      <c r="Z221" s="477">
        <f>IF($X$221="","",$Z$216)</f>
        <v>100</v>
      </c>
      <c r="AA221" s="477">
        <f>IF($AC$221="","",ROW($A$221)-ROW($A$216))</f>
        <v>5</v>
      </c>
      <c r="AB221" s="478"/>
      <c r="AC221" s="34" t="s">
        <v>67</v>
      </c>
      <c r="AD221" s="356"/>
      <c r="AE221" s="18">
        <v>40</v>
      </c>
      <c r="AF221" s="5" t="s">
        <v>8</v>
      </c>
      <c r="AG221" s="480">
        <f t="shared" si="52"/>
        <v>40</v>
      </c>
      <c r="AH221" s="481" t="str">
        <f t="shared" si="53"/>
        <v>G</v>
      </c>
      <c r="AI221" s="477" t="str">
        <f>IF($AC$221="","",IFERROR(INDEX($AZ$74:$AZ$119,MATCH($AH$221,$AY$74:$AY$119,0)),"AUTRE"))</f>
        <v>MASSE</v>
      </c>
      <c r="AJ221" s="482">
        <f>IF($AC$221="","",IFERROR(INDEX($BA$74:$BA$119,MATCH($AH$221,$AY$74:$AY$119,0)),1))</f>
        <v>1E-3</v>
      </c>
      <c r="AK221" s="482">
        <f t="shared" si="54"/>
        <v>0.04</v>
      </c>
      <c r="AL221" s="477" t="str">
        <f>IF($AC$221="","",IFERROR(INDEX($BB$74:$BB$119,MATCH($AH$221,$AY$74:$AY$119,0)),$AH$221))</f>
        <v>kg</v>
      </c>
      <c r="AM221" s="483" t="str">
        <f t="shared" si="55"/>
        <v>OK</v>
      </c>
      <c r="AN221" s="484">
        <f t="shared" si="56"/>
        <v>40</v>
      </c>
      <c r="AO221" s="473" t="str">
        <f t="shared" si="57"/>
        <v/>
      </c>
      <c r="AP221" s="473" t="str">
        <f t="shared" si="58"/>
        <v/>
      </c>
      <c r="AQ221" s="473" t="str">
        <f t="shared" si="59"/>
        <v/>
      </c>
      <c r="AR221" s="473" t="str">
        <f t="shared" si="60"/>
        <v/>
      </c>
      <c r="AS221" s="473" t="str">
        <f t="shared" si="61"/>
        <v/>
      </c>
      <c r="AT221" s="473" t="str">
        <f t="shared" si="62"/>
        <v/>
      </c>
      <c r="AU221" s="473" t="str">
        <f t="shared" si="63"/>
        <v/>
      </c>
      <c r="AZ221" s="30" t="s">
        <v>12</v>
      </c>
      <c r="BA221" s="34" t="s">
        <v>472</v>
      </c>
      <c r="BB221" s="499"/>
      <c r="BC221" s="271"/>
      <c r="BD221" s="279">
        <v>1</v>
      </c>
      <c r="BE221" s="271"/>
      <c r="BF221" s="271"/>
      <c r="BG221" s="271"/>
      <c r="BH221" s="271"/>
      <c r="BI221" s="271"/>
      <c r="BJ221" s="271"/>
      <c r="BK221" s="271"/>
      <c r="BL221" s="271"/>
    </row>
    <row r="222" spans="18:64" ht="21" customHeight="1" x14ac:dyDescent="0.25">
      <c r="R222" s="25" t="s">
        <v>6116</v>
      </c>
      <c r="S222" s="451"/>
      <c r="T222" s="28" t="s">
        <v>22</v>
      </c>
      <c r="V222" s="475">
        <v>5</v>
      </c>
      <c r="W222" s="475" t="str">
        <f>IF($AC$222="","",$W$216)</f>
        <v>N° 05</v>
      </c>
      <c r="X222" s="476" t="str">
        <f>IF($AC$222="","",$X$216)</f>
        <v>GUACAMOLE</v>
      </c>
      <c r="Y222" s="477">
        <f>IF($X$222="","",$Y$216)</f>
        <v>22</v>
      </c>
      <c r="Z222" s="477">
        <f>IF($X$222="","",$Z$216)</f>
        <v>100</v>
      </c>
      <c r="AA222" s="477">
        <f>IF($AC$222="","",ROW($A$222)-ROW($A$216))</f>
        <v>6</v>
      </c>
      <c r="AB222" s="478"/>
      <c r="AC222" s="34" t="s">
        <v>75</v>
      </c>
      <c r="AD222" s="356"/>
      <c r="AE222" s="9" t="s">
        <v>33</v>
      </c>
      <c r="AF222" s="19"/>
      <c r="AG222" s="480" t="str">
        <f t="shared" si="52"/>
        <v>QT. SUFFISANTE</v>
      </c>
      <c r="AH222" s="481" t="str">
        <f t="shared" si="53"/>
        <v/>
      </c>
      <c r="AI222" s="477" t="str">
        <f>IF($AC$222="","",IFERROR(INDEX($AZ$74:$AZ$119,MATCH($AH$222,$AY$74:$AY$119,0)),"AUTRE"))</f>
        <v>AUTRE</v>
      </c>
      <c r="AJ222" s="482">
        <f>IF($AC$222="","",IFERROR(INDEX($BA$74:$BA$119,MATCH($AH$222,$AY$74:$AY$119,0)),1))</f>
        <v>1</v>
      </c>
      <c r="AK222" s="482" t="e">
        <f t="shared" si="54"/>
        <v>#VALUE!</v>
      </c>
      <c r="AL222" s="477" t="str">
        <f>IF($AC$222="","",IFERROR(INDEX($BB$74:$BB$119,MATCH($AH$222,$AY$74:$AY$119,0)),$AH$222))</f>
        <v/>
      </c>
      <c r="AM222" s="483" t="str">
        <f t="shared" si="55"/>
        <v>QUANTITÉ À CONTRÔLER</v>
      </c>
      <c r="AN222" s="484" t="str">
        <f t="shared" si="56"/>
        <v>QT. SUFFISANTE</v>
      </c>
      <c r="AO222" s="473" t="str">
        <f t="shared" si="57"/>
        <v/>
      </c>
      <c r="AP222" s="473" t="str">
        <f t="shared" si="58"/>
        <v/>
      </c>
      <c r="AQ222" s="473" t="str">
        <f t="shared" si="59"/>
        <v/>
      </c>
      <c r="AR222" s="473" t="str">
        <f t="shared" si="60"/>
        <v/>
      </c>
      <c r="AS222" s="473" t="str">
        <f t="shared" si="61"/>
        <v/>
      </c>
      <c r="AT222" s="473" t="str">
        <f t="shared" si="62"/>
        <v/>
      </c>
      <c r="AU222" s="473" t="str">
        <f t="shared" si="63"/>
        <v/>
      </c>
      <c r="AZ222" s="31" t="s">
        <v>16</v>
      </c>
      <c r="BA222" s="34" t="s">
        <v>6112</v>
      </c>
      <c r="BB222" s="499"/>
      <c r="BC222" s="271"/>
      <c r="BD222" s="279">
        <v>1</v>
      </c>
      <c r="BE222" s="271"/>
      <c r="BF222" s="271"/>
      <c r="BG222" s="271"/>
      <c r="BH222" s="271"/>
      <c r="BI222" s="271"/>
      <c r="BJ222" s="271"/>
      <c r="BK222" s="271"/>
      <c r="BL222" s="271"/>
    </row>
    <row r="223" spans="18:64" ht="21" customHeight="1" x14ac:dyDescent="0.25">
      <c r="R223" s="34" t="s">
        <v>6117</v>
      </c>
      <c r="S223" s="451"/>
      <c r="T223" s="28" t="s">
        <v>23</v>
      </c>
      <c r="V223" s="475">
        <v>5</v>
      </c>
      <c r="W223" s="475" t="str">
        <f>IF($AC$223="","",$W$216)</f>
        <v>N° 05</v>
      </c>
      <c r="X223" s="476" t="str">
        <f>IF($AC$223="","",$X$216)</f>
        <v>GUACAMOLE</v>
      </c>
      <c r="Y223" s="477">
        <f>IF($X$223="","",$Y$216)</f>
        <v>22</v>
      </c>
      <c r="Z223" s="477">
        <f>IF($X$223="","",$Z$216)</f>
        <v>100</v>
      </c>
      <c r="AA223" s="477">
        <f>IF($AC$223="","",ROW($A$223)-ROW($A$216))</f>
        <v>7</v>
      </c>
      <c r="AB223" s="478"/>
      <c r="AC223" s="34" t="s">
        <v>76</v>
      </c>
      <c r="AD223" s="356"/>
      <c r="AE223" s="9" t="s">
        <v>33</v>
      </c>
      <c r="AF223" s="19"/>
      <c r="AG223" s="480" t="str">
        <f t="shared" si="52"/>
        <v>QT. SUFFISANTE</v>
      </c>
      <c r="AH223" s="481" t="str">
        <f t="shared" si="53"/>
        <v/>
      </c>
      <c r="AI223" s="477" t="str">
        <f>IF($AC$223="","",IFERROR(INDEX($AZ$74:$AZ$119,MATCH($AH$223,$AY$74:$AY$119,0)),"AUTRE"))</f>
        <v>AUTRE</v>
      </c>
      <c r="AJ223" s="482">
        <f>IF($AC$223="","",IFERROR(INDEX($BA$74:$BA$119,MATCH($AH$223,$AY$74:$AY$119,0)),1))</f>
        <v>1</v>
      </c>
      <c r="AK223" s="482" t="e">
        <f t="shared" si="54"/>
        <v>#VALUE!</v>
      </c>
      <c r="AL223" s="477" t="str">
        <f>IF($AC$223="","",IFERROR(INDEX($BB$74:$BB$119,MATCH($AH$223,$AY$74:$AY$119,0)),$AH$223))</f>
        <v/>
      </c>
      <c r="AM223" s="483" t="str">
        <f t="shared" si="55"/>
        <v>QUANTITÉ À CONTRÔLER</v>
      </c>
      <c r="AN223" s="484" t="str">
        <f t="shared" si="56"/>
        <v>QT. SUFFISANTE</v>
      </c>
      <c r="AO223" s="473" t="str">
        <f t="shared" si="57"/>
        <v/>
      </c>
      <c r="AP223" s="473" t="str">
        <f t="shared" si="58"/>
        <v/>
      </c>
      <c r="AQ223" s="473" t="str">
        <f t="shared" si="59"/>
        <v/>
      </c>
      <c r="AR223" s="473" t="str">
        <f t="shared" si="60"/>
        <v/>
      </c>
      <c r="AS223" s="473" t="str">
        <f t="shared" si="61"/>
        <v/>
      </c>
      <c r="AT223" s="473" t="str">
        <f t="shared" si="62"/>
        <v/>
      </c>
      <c r="AU223" s="473" t="str">
        <f t="shared" si="63"/>
        <v/>
      </c>
      <c r="AZ223" s="31" t="s">
        <v>17</v>
      </c>
      <c r="BA223" s="25" t="s">
        <v>6116</v>
      </c>
      <c r="BB223" s="499"/>
      <c r="BC223" s="271"/>
      <c r="BD223" s="279">
        <v>1</v>
      </c>
      <c r="BE223" s="271"/>
      <c r="BF223" s="271"/>
      <c r="BG223" s="271"/>
      <c r="BH223" s="271"/>
      <c r="BI223" s="271"/>
      <c r="BJ223" s="271"/>
      <c r="BK223" s="271"/>
      <c r="BL223" s="271"/>
    </row>
    <row r="224" spans="18:64" ht="21" customHeight="1" x14ac:dyDescent="0.25">
      <c r="R224" s="34" t="s">
        <v>469</v>
      </c>
      <c r="S224" s="451"/>
      <c r="T224" s="28" t="s">
        <v>24</v>
      </c>
      <c r="V224" s="475">
        <v>5</v>
      </c>
      <c r="W224" s="475" t="str">
        <f>IF($AC$224="","",$W$216)</f>
        <v>N° 05</v>
      </c>
      <c r="X224" s="476" t="str">
        <f>IF($AC$224="","",$X$216)</f>
        <v>GUACAMOLE</v>
      </c>
      <c r="Y224" s="477">
        <f>IF($X$224="","",$Y$216)</f>
        <v>22</v>
      </c>
      <c r="Z224" s="477">
        <f>IF($X$224="","",$Z$216)</f>
        <v>100</v>
      </c>
      <c r="AA224" s="477">
        <f>IF($AC$224="","",ROW($A$224)-ROW($A$216))</f>
        <v>8</v>
      </c>
      <c r="AB224" s="478"/>
      <c r="AC224" s="34" t="s">
        <v>77</v>
      </c>
      <c r="AD224" s="356"/>
      <c r="AE224" s="9" t="s">
        <v>33</v>
      </c>
      <c r="AF224" s="19"/>
      <c r="AG224" s="480" t="str">
        <f t="shared" si="52"/>
        <v>QT. SUFFISANTE</v>
      </c>
      <c r="AH224" s="481" t="str">
        <f t="shared" si="53"/>
        <v/>
      </c>
      <c r="AI224" s="477" t="str">
        <f>IF($AC$224="","",IFERROR(INDEX($AZ$74:$AZ$119,MATCH($AH$224,$AY$74:$AY$119,0)),"AUTRE"))</f>
        <v>AUTRE</v>
      </c>
      <c r="AJ224" s="482">
        <f>IF($AC$224="","",IFERROR(INDEX($BA$74:$BA$119,MATCH($AH$224,$AY$74:$AY$119,0)),1))</f>
        <v>1</v>
      </c>
      <c r="AK224" s="482" t="e">
        <f t="shared" si="54"/>
        <v>#VALUE!</v>
      </c>
      <c r="AL224" s="477" t="str">
        <f>IF($AC$224="","",IFERROR(INDEX($BB$74:$BB$119,MATCH($AH$224,$AY$74:$AY$119,0)),$AH$224))</f>
        <v/>
      </c>
      <c r="AM224" s="483" t="str">
        <f t="shared" si="55"/>
        <v>QUANTITÉ À CONTRÔLER</v>
      </c>
      <c r="AN224" s="484" t="str">
        <f t="shared" si="56"/>
        <v>QT. SUFFISANTE</v>
      </c>
      <c r="AO224" s="473" t="str">
        <f t="shared" si="57"/>
        <v/>
      </c>
      <c r="AP224" s="473" t="str">
        <f t="shared" si="58"/>
        <v/>
      </c>
      <c r="AQ224" s="473" t="str">
        <f t="shared" si="59"/>
        <v/>
      </c>
      <c r="AR224" s="473" t="str">
        <f t="shared" si="60"/>
        <v/>
      </c>
      <c r="AS224" s="473" t="str">
        <f t="shared" si="61"/>
        <v/>
      </c>
      <c r="AT224" s="473" t="str">
        <f t="shared" si="62"/>
        <v/>
      </c>
      <c r="AU224" s="473" t="str">
        <f t="shared" si="63"/>
        <v/>
      </c>
      <c r="AZ224" s="31" t="s">
        <v>18</v>
      </c>
      <c r="BA224" s="34" t="s">
        <v>6117</v>
      </c>
      <c r="BB224" s="499"/>
      <c r="BC224" s="271"/>
      <c r="BD224" s="279">
        <v>1</v>
      </c>
      <c r="BE224" s="271"/>
      <c r="BF224" s="271"/>
      <c r="BG224" s="271"/>
      <c r="BH224" s="271"/>
      <c r="BI224" s="271"/>
      <c r="BJ224" s="271"/>
      <c r="BK224" s="271"/>
      <c r="BL224" s="271"/>
    </row>
    <row r="225" spans="18:64" ht="21" customHeight="1" x14ac:dyDescent="0.25">
      <c r="R225" s="34" t="s">
        <v>6118</v>
      </c>
      <c r="S225" s="451"/>
      <c r="T225" s="29" t="s">
        <v>9</v>
      </c>
      <c r="V225" s="475">
        <v>5</v>
      </c>
      <c r="W225" s="475" t="str">
        <f>IF($AC$225="","",$W$216)</f>
        <v/>
      </c>
      <c r="X225" s="476" t="str">
        <f>IF($AC$225="","",$X$216)</f>
        <v/>
      </c>
      <c r="Y225" s="477" t="str">
        <f>IF($X$225="","",$Y$216)</f>
        <v/>
      </c>
      <c r="Z225" s="477" t="str">
        <f>IF($X$225="","",$Z$216)</f>
        <v/>
      </c>
      <c r="AA225" s="477" t="str">
        <f>IF($AC$225="","",ROW($A$225)-ROW($A$216))</f>
        <v/>
      </c>
      <c r="AB225" s="478"/>
      <c r="AC225" s="34"/>
      <c r="AD225" s="356"/>
      <c r="AE225" s="18"/>
      <c r="AF225" s="19"/>
      <c r="AG225" s="480" t="str">
        <f t="shared" si="52"/>
        <v/>
      </c>
      <c r="AH225" s="481" t="str">
        <f t="shared" si="53"/>
        <v/>
      </c>
      <c r="AI225" s="477" t="str">
        <f>IF($AC$225="","",IFERROR(INDEX($AZ$74:$AZ$119,MATCH($AH$225,$AY$74:$AY$119,0)),"AUTRE"))</f>
        <v/>
      </c>
      <c r="AJ225" s="482" t="str">
        <f>IF($AC$225="","",IFERROR(INDEX($BA$74:$BA$119,MATCH($AH$225,$AY$74:$AY$119,0)),1))</f>
        <v/>
      </c>
      <c r="AK225" s="482" t="str">
        <f t="shared" si="54"/>
        <v/>
      </c>
      <c r="AL225" s="477" t="str">
        <f>IF($AC$225="","",IFERROR(INDEX($BB$74:$BB$119,MATCH($AH$225,$AY$74:$AY$119,0)),$AH$225))</f>
        <v/>
      </c>
      <c r="AM225" s="483" t="str">
        <f t="shared" si="55"/>
        <v/>
      </c>
      <c r="AN225" s="484" t="str">
        <f t="shared" si="56"/>
        <v/>
      </c>
      <c r="AO225" s="473" t="str">
        <f t="shared" si="57"/>
        <v/>
      </c>
      <c r="AP225" s="473" t="str">
        <f t="shared" si="58"/>
        <v/>
      </c>
      <c r="AQ225" s="473" t="str">
        <f t="shared" si="59"/>
        <v/>
      </c>
      <c r="AR225" s="473" t="str">
        <f t="shared" si="60"/>
        <v/>
      </c>
      <c r="AS225" s="473" t="str">
        <f t="shared" si="61"/>
        <v/>
      </c>
      <c r="AT225" s="473" t="str">
        <f t="shared" si="62"/>
        <v/>
      </c>
      <c r="AU225" s="473" t="str">
        <f t="shared" si="63"/>
        <v/>
      </c>
      <c r="AZ225" s="31" t="s">
        <v>19</v>
      </c>
      <c r="BA225" s="34" t="s">
        <v>469</v>
      </c>
      <c r="BB225" s="499"/>
      <c r="BC225" s="271"/>
      <c r="BD225" s="279">
        <v>1</v>
      </c>
      <c r="BE225" s="271"/>
      <c r="BF225" s="271"/>
      <c r="BG225" s="271"/>
      <c r="BH225" s="271"/>
      <c r="BI225" s="271"/>
      <c r="BJ225" s="271"/>
      <c r="BK225" s="271"/>
      <c r="BL225" s="271"/>
    </row>
    <row r="226" spans="18:64" ht="21" customHeight="1" x14ac:dyDescent="0.25">
      <c r="R226" s="34" t="s">
        <v>492</v>
      </c>
      <c r="S226" s="451"/>
      <c r="T226" s="30" t="s">
        <v>10</v>
      </c>
      <c r="V226" s="475">
        <v>5</v>
      </c>
      <c r="W226" s="475" t="str">
        <f>IF($AC$226="","",$W$216)</f>
        <v/>
      </c>
      <c r="X226" s="476" t="str">
        <f>IF($AC$226="","",$X$216)</f>
        <v/>
      </c>
      <c r="Y226" s="477" t="str">
        <f>IF($X$226="","",$Y$216)</f>
        <v/>
      </c>
      <c r="Z226" s="477" t="str">
        <f>IF($X$226="","",$Z$216)</f>
        <v/>
      </c>
      <c r="AA226" s="477" t="str">
        <f>IF($AC$226="","",ROW($A$226)-ROW($A$216))</f>
        <v/>
      </c>
      <c r="AB226" s="478"/>
      <c r="AC226" s="34"/>
      <c r="AD226" s="356"/>
      <c r="AE226" s="18"/>
      <c r="AF226" s="19"/>
      <c r="AG226" s="480" t="str">
        <f t="shared" si="52"/>
        <v/>
      </c>
      <c r="AH226" s="481" t="str">
        <f t="shared" si="53"/>
        <v/>
      </c>
      <c r="AI226" s="477" t="str">
        <f>IF($AC$226="","",IFERROR(INDEX($AZ$74:$AZ$119,MATCH($AH$226,$AY$74:$AY$119,0)),"AUTRE"))</f>
        <v/>
      </c>
      <c r="AJ226" s="482" t="str">
        <f>IF($AC$226="","",IFERROR(INDEX($BA$74:$BA$119,MATCH($AH$226,$AY$74:$AY$119,0)),1))</f>
        <v/>
      </c>
      <c r="AK226" s="482" t="str">
        <f t="shared" si="54"/>
        <v/>
      </c>
      <c r="AL226" s="477" t="str">
        <f>IF($AC$226="","",IFERROR(INDEX($BB$74:$BB$119,MATCH($AH$226,$AY$74:$AY$119,0)),$AH$226))</f>
        <v/>
      </c>
      <c r="AM226" s="483" t="str">
        <f t="shared" si="55"/>
        <v/>
      </c>
      <c r="AN226" s="484" t="str">
        <f t="shared" si="56"/>
        <v/>
      </c>
      <c r="AO226" s="473" t="str">
        <f t="shared" si="57"/>
        <v/>
      </c>
      <c r="AP226" s="473" t="str">
        <f t="shared" si="58"/>
        <v/>
      </c>
      <c r="AQ226" s="473" t="str">
        <f t="shared" si="59"/>
        <v/>
      </c>
      <c r="AR226" s="473" t="str">
        <f t="shared" si="60"/>
        <v/>
      </c>
      <c r="AS226" s="473" t="str">
        <f t="shared" si="61"/>
        <v/>
      </c>
      <c r="AT226" s="473" t="str">
        <f t="shared" si="62"/>
        <v/>
      </c>
      <c r="AU226" s="473" t="str">
        <f t="shared" si="63"/>
        <v/>
      </c>
      <c r="AZ226" s="31" t="s">
        <v>211</v>
      </c>
      <c r="BA226" s="34" t="s">
        <v>6118</v>
      </c>
      <c r="BB226" s="499"/>
      <c r="BC226" s="271"/>
      <c r="BD226" s="279">
        <v>1</v>
      </c>
      <c r="BE226" s="271"/>
      <c r="BF226" s="271"/>
      <c r="BG226" s="271"/>
      <c r="BH226" s="271"/>
      <c r="BI226" s="271"/>
      <c r="BJ226" s="271"/>
      <c r="BK226" s="271"/>
      <c r="BL226" s="271"/>
    </row>
    <row r="227" spans="18:64" ht="21" customHeight="1" x14ac:dyDescent="0.25">
      <c r="R227" s="34" t="s">
        <v>458</v>
      </c>
      <c r="S227" s="451"/>
      <c r="T227" s="30" t="s">
        <v>11</v>
      </c>
      <c r="V227" s="475">
        <v>5</v>
      </c>
      <c r="W227" s="475" t="str">
        <f>IF($AC$227="","",$W$216)</f>
        <v/>
      </c>
      <c r="X227" s="476" t="str">
        <f>IF($AC$227="","",$X$216)</f>
        <v/>
      </c>
      <c r="Y227" s="477" t="str">
        <f>IF($X$227="","",$Y$216)</f>
        <v/>
      </c>
      <c r="Z227" s="477" t="str">
        <f>IF($X$227="","",$Z$216)</f>
        <v/>
      </c>
      <c r="AA227" s="477" t="str">
        <f>IF($AC$227="","",ROW($A$227)-ROW($A$216))</f>
        <v/>
      </c>
      <c r="AB227" s="478"/>
      <c r="AC227" s="34"/>
      <c r="AD227" s="356"/>
      <c r="AE227" s="18"/>
      <c r="AF227" s="19"/>
      <c r="AG227" s="480" t="str">
        <f t="shared" si="52"/>
        <v/>
      </c>
      <c r="AH227" s="481" t="str">
        <f t="shared" si="53"/>
        <v/>
      </c>
      <c r="AI227" s="477" t="str">
        <f>IF($AC$227="","",IFERROR(INDEX($AZ$74:$AZ$119,MATCH($AH$227,$AY$74:$AY$119,0)),"AUTRE"))</f>
        <v/>
      </c>
      <c r="AJ227" s="482" t="str">
        <f>IF($AC$227="","",IFERROR(INDEX($BA$74:$BA$119,MATCH($AH$227,$AY$74:$AY$119,0)),1))</f>
        <v/>
      </c>
      <c r="AK227" s="482" t="str">
        <f t="shared" si="54"/>
        <v/>
      </c>
      <c r="AL227" s="477" t="str">
        <f>IF($AC$227="","",IFERROR(INDEX($BB$74:$BB$119,MATCH($AH$227,$AY$74:$AY$119,0)),$AH$227))</f>
        <v/>
      </c>
      <c r="AM227" s="483" t="str">
        <f t="shared" si="55"/>
        <v/>
      </c>
      <c r="AN227" s="484" t="str">
        <f t="shared" si="56"/>
        <v/>
      </c>
      <c r="AO227" s="473" t="str">
        <f t="shared" si="57"/>
        <v/>
      </c>
      <c r="AP227" s="473" t="str">
        <f t="shared" si="58"/>
        <v/>
      </c>
      <c r="AQ227" s="473" t="str">
        <f t="shared" si="59"/>
        <v/>
      </c>
      <c r="AR227" s="473" t="str">
        <f t="shared" si="60"/>
        <v/>
      </c>
      <c r="AS227" s="473" t="str">
        <f t="shared" si="61"/>
        <v/>
      </c>
      <c r="AT227" s="473" t="str">
        <f t="shared" si="62"/>
        <v/>
      </c>
      <c r="AU227" s="473" t="str">
        <f t="shared" si="63"/>
        <v/>
      </c>
      <c r="AZ227" s="31" t="s">
        <v>20</v>
      </c>
      <c r="BA227" s="34" t="s">
        <v>492</v>
      </c>
      <c r="BB227" s="499"/>
      <c r="BC227" s="271"/>
      <c r="BD227" s="279">
        <v>1</v>
      </c>
      <c r="BE227" s="271"/>
      <c r="BF227" s="271"/>
      <c r="BG227" s="271"/>
      <c r="BH227" s="271"/>
      <c r="BI227" s="271"/>
      <c r="BJ227" s="271"/>
      <c r="BK227" s="271"/>
      <c r="BL227" s="271"/>
    </row>
    <row r="228" spans="18:64" ht="21" customHeight="1" x14ac:dyDescent="0.25">
      <c r="R228" s="490"/>
      <c r="S228" s="451"/>
      <c r="T228" s="30" t="s">
        <v>12</v>
      </c>
      <c r="V228" s="475">
        <v>5</v>
      </c>
      <c r="W228" s="475" t="str">
        <f>IF($AC$228="","",$W$216)</f>
        <v/>
      </c>
      <c r="X228" s="476" t="str">
        <f>IF($AC$228="","",$X$216)</f>
        <v/>
      </c>
      <c r="Y228" s="477" t="str">
        <f>IF($X$228="","",$Y$216)</f>
        <v/>
      </c>
      <c r="Z228" s="477" t="str">
        <f>IF($X$228="","",$Z$216)</f>
        <v/>
      </c>
      <c r="AA228" s="477" t="str">
        <f>IF($AC$228="","",ROW($A$228)-ROW($A$216))</f>
        <v/>
      </c>
      <c r="AB228" s="478"/>
      <c r="AC228" s="34"/>
      <c r="AD228" s="356"/>
      <c r="AE228" s="18"/>
      <c r="AF228" s="19"/>
      <c r="AG228" s="480" t="str">
        <f t="shared" si="52"/>
        <v/>
      </c>
      <c r="AH228" s="481" t="str">
        <f t="shared" si="53"/>
        <v/>
      </c>
      <c r="AI228" s="477" t="str">
        <f>IF($AC$228="","",IFERROR(INDEX($AZ$74:$AZ$119,MATCH($AH$228,$AY$74:$AY$119,0)),"AUTRE"))</f>
        <v/>
      </c>
      <c r="AJ228" s="482" t="str">
        <f>IF($AC$228="","",IFERROR(INDEX($BA$74:$BA$119,MATCH($AH$228,$AY$74:$AY$119,0)),1))</f>
        <v/>
      </c>
      <c r="AK228" s="482" t="str">
        <f t="shared" si="54"/>
        <v/>
      </c>
      <c r="AL228" s="477" t="str">
        <f>IF($AC$228="","",IFERROR(INDEX($BB$74:$BB$119,MATCH($AH$228,$AY$74:$AY$119,0)),$AH$228))</f>
        <v/>
      </c>
      <c r="AM228" s="483" t="str">
        <f t="shared" si="55"/>
        <v/>
      </c>
      <c r="AN228" s="484" t="str">
        <f t="shared" si="56"/>
        <v/>
      </c>
      <c r="AO228" s="473" t="str">
        <f t="shared" si="57"/>
        <v/>
      </c>
      <c r="AP228" s="473" t="str">
        <f t="shared" si="58"/>
        <v/>
      </c>
      <c r="AQ228" s="473" t="str">
        <f t="shared" si="59"/>
        <v/>
      </c>
      <c r="AR228" s="473" t="str">
        <f t="shared" si="60"/>
        <v/>
      </c>
      <c r="AS228" s="473" t="str">
        <f t="shared" si="61"/>
        <v/>
      </c>
      <c r="AT228" s="473" t="str">
        <f t="shared" si="62"/>
        <v/>
      </c>
      <c r="AU228" s="473" t="str">
        <f t="shared" si="63"/>
        <v/>
      </c>
      <c r="AZ228" s="31" t="s">
        <v>304</v>
      </c>
      <c r="BA228" s="34" t="s">
        <v>458</v>
      </c>
      <c r="BB228" s="499"/>
      <c r="BC228" s="271"/>
      <c r="BD228" s="279">
        <v>1</v>
      </c>
      <c r="BE228" s="271"/>
      <c r="BF228" s="271"/>
      <c r="BG228" s="271"/>
      <c r="BH228" s="271"/>
      <c r="BI228" s="271"/>
      <c r="BJ228" s="271"/>
      <c r="BK228" s="271"/>
      <c r="BL228" s="271"/>
    </row>
    <row r="229" spans="18:64" ht="21" customHeight="1" x14ac:dyDescent="0.25">
      <c r="R229" s="25" t="s">
        <v>6119</v>
      </c>
      <c r="S229" s="451"/>
      <c r="T229" s="31" t="s">
        <v>16</v>
      </c>
      <c r="V229" s="475">
        <v>5</v>
      </c>
      <c r="W229" s="475" t="str">
        <f>IF($AC$229="","",$W$216)</f>
        <v/>
      </c>
      <c r="X229" s="476" t="str">
        <f>IF($AC$229="","",$X$216)</f>
        <v/>
      </c>
      <c r="Y229" s="477" t="str">
        <f>IF($X$229="","",$Y$216)</f>
        <v/>
      </c>
      <c r="Z229" s="477" t="str">
        <f>IF($X$229="","",$Z$216)</f>
        <v/>
      </c>
      <c r="AA229" s="477" t="str">
        <f>IF($AC$229="","",ROW($A$229)-ROW($A$216))</f>
        <v/>
      </c>
      <c r="AB229" s="478"/>
      <c r="AC229" s="34"/>
      <c r="AD229" s="356"/>
      <c r="AE229" s="18"/>
      <c r="AF229" s="19"/>
      <c r="AG229" s="480" t="str">
        <f t="shared" si="52"/>
        <v/>
      </c>
      <c r="AH229" s="481" t="str">
        <f t="shared" si="53"/>
        <v/>
      </c>
      <c r="AI229" s="477" t="str">
        <f>IF($AC$229="","",IFERROR(INDEX($AZ$74:$AZ$119,MATCH($AH$229,$AY$74:$AY$119,0)),"AUTRE"))</f>
        <v/>
      </c>
      <c r="AJ229" s="482" t="str">
        <f>IF($AC$229="","",IFERROR(INDEX($BA$74:$BA$119,MATCH($AH$229,$AY$74:$AY$119,0)),1))</f>
        <v/>
      </c>
      <c r="AK229" s="482" t="str">
        <f t="shared" si="54"/>
        <v/>
      </c>
      <c r="AL229" s="477" t="str">
        <f>IF($AC$229="","",IFERROR(INDEX($BB$74:$BB$119,MATCH($AH$229,$AY$74:$AY$119,0)),$AH$229))</f>
        <v/>
      </c>
      <c r="AM229" s="483" t="str">
        <f t="shared" si="55"/>
        <v/>
      </c>
      <c r="AN229" s="484" t="str">
        <f t="shared" si="56"/>
        <v/>
      </c>
      <c r="AO229" s="473" t="str">
        <f t="shared" si="57"/>
        <v/>
      </c>
      <c r="AP229" s="473" t="str">
        <f t="shared" si="58"/>
        <v/>
      </c>
      <c r="AQ229" s="473" t="str">
        <f t="shared" si="59"/>
        <v/>
      </c>
      <c r="AR229" s="473" t="str">
        <f t="shared" si="60"/>
        <v/>
      </c>
      <c r="AS229" s="473" t="str">
        <f t="shared" si="61"/>
        <v/>
      </c>
      <c r="AT229" s="473" t="str">
        <f t="shared" si="62"/>
        <v/>
      </c>
      <c r="AU229" s="473" t="str">
        <f t="shared" si="63"/>
        <v/>
      </c>
      <c r="AZ229" s="31" t="s">
        <v>352</v>
      </c>
      <c r="BA229" s="490"/>
      <c r="BB229" s="499"/>
      <c r="BC229" s="271"/>
      <c r="BD229" s="279">
        <v>1</v>
      </c>
      <c r="BE229" s="271"/>
      <c r="BF229" s="271"/>
      <c r="BG229" s="271"/>
      <c r="BH229" s="271"/>
      <c r="BI229" s="271"/>
      <c r="BJ229" s="271"/>
      <c r="BK229" s="271"/>
      <c r="BL229" s="271"/>
    </row>
    <row r="230" spans="18:64" ht="21" customHeight="1" x14ac:dyDescent="0.25">
      <c r="R230" s="34" t="s">
        <v>6120</v>
      </c>
      <c r="S230" s="451"/>
      <c r="T230" s="31" t="s">
        <v>17</v>
      </c>
      <c r="V230" s="475">
        <v>5</v>
      </c>
      <c r="W230" s="475" t="str">
        <f>IF($AC$230="","",$W$216)</f>
        <v/>
      </c>
      <c r="X230" s="476" t="str">
        <f>IF($AC$230="","",$X$216)</f>
        <v/>
      </c>
      <c r="Y230" s="477" t="str">
        <f>IF($X$230="","",$Y$216)</f>
        <v/>
      </c>
      <c r="Z230" s="477" t="str">
        <f>IF($X$230="","",$Z$216)</f>
        <v/>
      </c>
      <c r="AA230" s="477" t="str">
        <f>IF($AC$230="","",ROW($A$230)-ROW($A$216))</f>
        <v/>
      </c>
      <c r="AB230" s="478"/>
      <c r="AC230" s="34"/>
      <c r="AD230" s="356"/>
      <c r="AE230" s="18"/>
      <c r="AF230" s="19"/>
      <c r="AG230" s="480" t="str">
        <f t="shared" si="52"/>
        <v/>
      </c>
      <c r="AH230" s="481" t="str">
        <f t="shared" si="53"/>
        <v/>
      </c>
      <c r="AI230" s="477" t="str">
        <f>IF($AC$230="","",IFERROR(INDEX($AZ$74:$AZ$119,MATCH($AH$230,$AY$74:$AY$119,0)),"AUTRE"))</f>
        <v/>
      </c>
      <c r="AJ230" s="482" t="str">
        <f>IF($AC$230="","",IFERROR(INDEX($BA$74:$BA$119,MATCH($AH$230,$AY$74:$AY$119,0)),1))</f>
        <v/>
      </c>
      <c r="AK230" s="482" t="str">
        <f t="shared" si="54"/>
        <v/>
      </c>
      <c r="AL230" s="477" t="str">
        <f>IF($AC$230="","",IFERROR(INDEX($BB$74:$BB$119,MATCH($AH$230,$AY$74:$AY$119,0)),$AH$230))</f>
        <v/>
      </c>
      <c r="AM230" s="483" t="str">
        <f t="shared" si="55"/>
        <v/>
      </c>
      <c r="AN230" s="484" t="str">
        <f t="shared" si="56"/>
        <v/>
      </c>
      <c r="AO230" s="473" t="str">
        <f t="shared" si="57"/>
        <v/>
      </c>
      <c r="AP230" s="473" t="str">
        <f t="shared" si="58"/>
        <v/>
      </c>
      <c r="AQ230" s="473" t="str">
        <f t="shared" si="59"/>
        <v/>
      </c>
      <c r="AR230" s="473" t="str">
        <f t="shared" si="60"/>
        <v/>
      </c>
      <c r="AS230" s="473" t="str">
        <f t="shared" si="61"/>
        <v/>
      </c>
      <c r="AT230" s="473" t="str">
        <f t="shared" si="62"/>
        <v/>
      </c>
      <c r="AU230" s="473" t="str">
        <f t="shared" si="63"/>
        <v/>
      </c>
      <c r="AZ230" s="31" t="s">
        <v>27</v>
      </c>
      <c r="BA230" s="25" t="s">
        <v>6119</v>
      </c>
      <c r="BB230" s="499"/>
      <c r="BC230" s="271"/>
      <c r="BD230" s="279">
        <v>1</v>
      </c>
      <c r="BE230" s="271"/>
      <c r="BF230" s="271"/>
      <c r="BG230" s="271"/>
      <c r="BH230" s="271"/>
      <c r="BI230" s="271"/>
      <c r="BJ230" s="271"/>
      <c r="BK230" s="271"/>
      <c r="BL230" s="271"/>
    </row>
    <row r="231" spans="18:64" ht="21" customHeight="1" x14ac:dyDescent="0.25">
      <c r="R231" s="34" t="s">
        <v>6121</v>
      </c>
      <c r="S231" s="451"/>
      <c r="T231" s="31" t="s">
        <v>18</v>
      </c>
      <c r="V231" s="475">
        <v>5</v>
      </c>
      <c r="W231" s="475" t="str">
        <f>IF($AC$231="","",$W$216)</f>
        <v/>
      </c>
      <c r="X231" s="476" t="str">
        <f>IF($AC$231="","",$X$216)</f>
        <v/>
      </c>
      <c r="Y231" s="477" t="str">
        <f>IF($X$231="","",$Y$216)</f>
        <v/>
      </c>
      <c r="Z231" s="477" t="str">
        <f>IF($X$231="","",$Z$216)</f>
        <v/>
      </c>
      <c r="AA231" s="477" t="str">
        <f>IF($AC$231="","",ROW($A$231)-ROW($A$216))</f>
        <v/>
      </c>
      <c r="AB231" s="478"/>
      <c r="AC231" s="34"/>
      <c r="AD231" s="356"/>
      <c r="AE231" s="18"/>
      <c r="AF231" s="19"/>
      <c r="AG231" s="480" t="str">
        <f t="shared" si="52"/>
        <v/>
      </c>
      <c r="AH231" s="481" t="str">
        <f t="shared" si="53"/>
        <v/>
      </c>
      <c r="AI231" s="477" t="str">
        <f>IF($AC$231="","",IFERROR(INDEX($AZ$74:$AZ$119,MATCH($AH$231,$AY$74:$AY$119,0)),"AUTRE"))</f>
        <v/>
      </c>
      <c r="AJ231" s="482" t="str">
        <f>IF($AC$231="","",IFERROR(INDEX($BA$74:$BA$119,MATCH($AH$231,$AY$74:$AY$119,0)),1))</f>
        <v/>
      </c>
      <c r="AK231" s="482" t="str">
        <f t="shared" si="54"/>
        <v/>
      </c>
      <c r="AL231" s="477" t="str">
        <f>IF($AC$231="","",IFERROR(INDEX($BB$74:$BB$119,MATCH($AH$231,$AY$74:$AY$119,0)),$AH$231))</f>
        <v/>
      </c>
      <c r="AM231" s="483" t="str">
        <f t="shared" si="55"/>
        <v/>
      </c>
      <c r="AN231" s="484" t="str">
        <f t="shared" si="56"/>
        <v/>
      </c>
      <c r="AO231" s="473" t="str">
        <f t="shared" si="57"/>
        <v/>
      </c>
      <c r="AP231" s="473" t="str">
        <f t="shared" si="58"/>
        <v/>
      </c>
      <c r="AQ231" s="473" t="str">
        <f t="shared" si="59"/>
        <v/>
      </c>
      <c r="AR231" s="473" t="str">
        <f t="shared" si="60"/>
        <v/>
      </c>
      <c r="AS231" s="473" t="str">
        <f t="shared" si="61"/>
        <v/>
      </c>
      <c r="AT231" s="473" t="str">
        <f t="shared" si="62"/>
        <v/>
      </c>
      <c r="AU231" s="473" t="str">
        <f t="shared" si="63"/>
        <v/>
      </c>
      <c r="AZ231" s="31" t="s">
        <v>28</v>
      </c>
      <c r="BA231" s="34" t="s">
        <v>6120</v>
      </c>
      <c r="BB231" s="499"/>
      <c r="BC231" s="271"/>
      <c r="BD231" s="279">
        <v>1</v>
      </c>
      <c r="BE231" s="271"/>
      <c r="BF231" s="271"/>
      <c r="BG231" s="271"/>
      <c r="BH231" s="271"/>
      <c r="BI231" s="271"/>
      <c r="BJ231" s="271"/>
      <c r="BK231" s="271"/>
      <c r="BL231" s="271"/>
    </row>
    <row r="232" spans="18:64" ht="21" customHeight="1" x14ac:dyDescent="0.25">
      <c r="R232" s="34" t="s">
        <v>6122</v>
      </c>
      <c r="S232" s="451"/>
      <c r="T232" s="31" t="s">
        <v>19</v>
      </c>
      <c r="V232" s="475">
        <v>5</v>
      </c>
      <c r="W232" s="475" t="str">
        <f>IF($AC$232="","",$W$216)</f>
        <v/>
      </c>
      <c r="X232" s="476" t="str">
        <f>IF($AC$232="","",$X$216)</f>
        <v/>
      </c>
      <c r="Y232" s="477" t="str">
        <f>IF($X$232="","",$Y$216)</f>
        <v/>
      </c>
      <c r="Z232" s="477" t="str">
        <f>IF($X$232="","",$Z$216)</f>
        <v/>
      </c>
      <c r="AA232" s="477" t="str">
        <f>IF($AC$232="","",ROW($A$232)-ROW($A$216))</f>
        <v/>
      </c>
      <c r="AB232" s="478"/>
      <c r="AC232" s="34"/>
      <c r="AD232" s="356"/>
      <c r="AE232" s="18"/>
      <c r="AF232" s="19"/>
      <c r="AG232" s="480" t="str">
        <f t="shared" si="52"/>
        <v/>
      </c>
      <c r="AH232" s="481" t="str">
        <f t="shared" si="53"/>
        <v/>
      </c>
      <c r="AI232" s="477" t="str">
        <f>IF($AC$232="","",IFERROR(INDEX($AZ$74:$AZ$119,MATCH($AH$232,$AY$74:$AY$119,0)),"AUTRE"))</f>
        <v/>
      </c>
      <c r="AJ232" s="482" t="str">
        <f>IF($AC$232="","",IFERROR(INDEX($BA$74:$BA$119,MATCH($AH$232,$AY$74:$AY$119,0)),1))</f>
        <v/>
      </c>
      <c r="AK232" s="482" t="str">
        <f t="shared" si="54"/>
        <v/>
      </c>
      <c r="AL232" s="477" t="str">
        <f>IF($AC$232="","",IFERROR(INDEX($BB$74:$BB$119,MATCH($AH$232,$AY$74:$AY$119,0)),$AH$232))</f>
        <v/>
      </c>
      <c r="AM232" s="483" t="str">
        <f t="shared" si="55"/>
        <v/>
      </c>
      <c r="AN232" s="484" t="str">
        <f t="shared" si="56"/>
        <v/>
      </c>
      <c r="AO232" s="473" t="str">
        <f t="shared" si="57"/>
        <v/>
      </c>
      <c r="AP232" s="473" t="str">
        <f t="shared" si="58"/>
        <v/>
      </c>
      <c r="AQ232" s="473" t="str">
        <f t="shared" si="59"/>
        <v/>
      </c>
      <c r="AR232" s="473" t="str">
        <f t="shared" si="60"/>
        <v/>
      </c>
      <c r="AS232" s="473" t="str">
        <f t="shared" si="61"/>
        <v/>
      </c>
      <c r="AT232" s="473" t="str">
        <f t="shared" si="62"/>
        <v/>
      </c>
      <c r="AU232" s="473" t="str">
        <f t="shared" si="63"/>
        <v/>
      </c>
      <c r="AZ232" s="31" t="s">
        <v>29</v>
      </c>
      <c r="BA232" s="34" t="s">
        <v>6121</v>
      </c>
      <c r="BB232" s="499"/>
      <c r="BC232" s="271"/>
      <c r="BD232" s="279">
        <v>1</v>
      </c>
      <c r="BE232" s="271"/>
      <c r="BF232" s="271"/>
      <c r="BG232" s="271"/>
      <c r="BH232" s="271"/>
      <c r="BI232" s="271"/>
      <c r="BJ232" s="271"/>
      <c r="BK232" s="271"/>
      <c r="BL232" s="271"/>
    </row>
    <row r="233" spans="18:64" ht="21" customHeight="1" x14ac:dyDescent="0.25">
      <c r="R233" s="34" t="s">
        <v>6123</v>
      </c>
      <c r="S233" s="451"/>
      <c r="T233" s="31" t="s">
        <v>211</v>
      </c>
      <c r="V233" s="475">
        <v>5</v>
      </c>
      <c r="W233" s="475" t="str">
        <f>IF($AC$233="","",$W$216)</f>
        <v/>
      </c>
      <c r="X233" s="476" t="str">
        <f>IF($AC$233="","",$X$216)</f>
        <v/>
      </c>
      <c r="Y233" s="477" t="str">
        <f>IF($X$233="","",$Y$216)</f>
        <v/>
      </c>
      <c r="Z233" s="477" t="str">
        <f>IF($X$233="","",$Z$216)</f>
        <v/>
      </c>
      <c r="AA233" s="477" t="str">
        <f>IF($AC$233="","",ROW($A$233)-ROW($A$216))</f>
        <v/>
      </c>
      <c r="AB233" s="478"/>
      <c r="AC233" s="34"/>
      <c r="AD233" s="356"/>
      <c r="AE233" s="18"/>
      <c r="AF233" s="19"/>
      <c r="AG233" s="480" t="str">
        <f t="shared" si="52"/>
        <v/>
      </c>
      <c r="AH233" s="481" t="str">
        <f t="shared" si="53"/>
        <v/>
      </c>
      <c r="AI233" s="477" t="str">
        <f>IF($AC$233="","",IFERROR(INDEX($AZ$74:$AZ$119,MATCH($AH$233,$AY$74:$AY$119,0)),"AUTRE"))</f>
        <v/>
      </c>
      <c r="AJ233" s="482" t="str">
        <f>IF($AC$233="","",IFERROR(INDEX($BA$74:$BA$119,MATCH($AH$233,$AY$74:$AY$119,0)),1))</f>
        <v/>
      </c>
      <c r="AK233" s="482" t="str">
        <f t="shared" si="54"/>
        <v/>
      </c>
      <c r="AL233" s="477" t="str">
        <f>IF($AC$233="","",IFERROR(INDEX($BB$74:$BB$119,MATCH($AH$233,$AY$74:$AY$119,0)),$AH$233))</f>
        <v/>
      </c>
      <c r="AM233" s="483" t="str">
        <f t="shared" si="55"/>
        <v/>
      </c>
      <c r="AN233" s="484" t="str">
        <f t="shared" si="56"/>
        <v/>
      </c>
      <c r="AO233" s="473" t="str">
        <f t="shared" si="57"/>
        <v/>
      </c>
      <c r="AP233" s="473" t="str">
        <f t="shared" si="58"/>
        <v/>
      </c>
      <c r="AQ233" s="473" t="str">
        <f t="shared" si="59"/>
        <v/>
      </c>
      <c r="AR233" s="473" t="str">
        <f t="shared" si="60"/>
        <v/>
      </c>
      <c r="AS233" s="473" t="str">
        <f t="shared" si="61"/>
        <v/>
      </c>
      <c r="AT233" s="473" t="str">
        <f t="shared" si="62"/>
        <v/>
      </c>
      <c r="AU233" s="473" t="str">
        <f t="shared" si="63"/>
        <v/>
      </c>
      <c r="AZ233" s="31" t="s">
        <v>30</v>
      </c>
      <c r="BA233" s="34" t="s">
        <v>6122</v>
      </c>
      <c r="BB233" s="499"/>
      <c r="BC233" s="271"/>
      <c r="BD233" s="279">
        <v>1</v>
      </c>
      <c r="BE233" s="271"/>
      <c r="BF233" s="271"/>
      <c r="BG233" s="271"/>
      <c r="BH233" s="271"/>
      <c r="BI233" s="271"/>
      <c r="BJ233" s="271"/>
      <c r="BK233" s="271"/>
      <c r="BL233" s="271"/>
    </row>
    <row r="234" spans="18:64" ht="21" customHeight="1" x14ac:dyDescent="0.25">
      <c r="R234" s="34" t="s">
        <v>6124</v>
      </c>
      <c r="S234" s="451"/>
      <c r="T234" s="31" t="s">
        <v>20</v>
      </c>
      <c r="V234" s="475">
        <v>5</v>
      </c>
      <c r="W234" s="475" t="str">
        <f>IF($AC$234="","",$W$216)</f>
        <v/>
      </c>
      <c r="X234" s="476" t="str">
        <f>IF($AC$234="","",$X$216)</f>
        <v/>
      </c>
      <c r="Y234" s="477" t="str">
        <f>IF($X$234="","",$Y$216)</f>
        <v/>
      </c>
      <c r="Z234" s="477" t="str">
        <f>IF($X$234="","",$Z$216)</f>
        <v/>
      </c>
      <c r="AA234" s="477" t="str">
        <f>IF($AC$234="","",ROW($A$234)-ROW($A$216))</f>
        <v/>
      </c>
      <c r="AB234" s="478"/>
      <c r="AC234" s="34"/>
      <c r="AD234" s="356"/>
      <c r="AE234" s="18"/>
      <c r="AF234" s="19"/>
      <c r="AG234" s="480" t="str">
        <f t="shared" si="52"/>
        <v/>
      </c>
      <c r="AH234" s="481" t="str">
        <f t="shared" si="53"/>
        <v/>
      </c>
      <c r="AI234" s="477" t="str">
        <f>IF($AC$234="","",IFERROR(INDEX($AZ$74:$AZ$119,MATCH($AH$234,$AY$74:$AY$119,0)),"AUTRE"))</f>
        <v/>
      </c>
      <c r="AJ234" s="482" t="str">
        <f>IF($AC$234="","",IFERROR(INDEX($BA$74:$BA$119,MATCH($AH$234,$AY$74:$AY$119,0)),1))</f>
        <v/>
      </c>
      <c r="AK234" s="482" t="str">
        <f t="shared" si="54"/>
        <v/>
      </c>
      <c r="AL234" s="477" t="str">
        <f>IF($AC$234="","",IFERROR(INDEX($BB$74:$BB$119,MATCH($AH$234,$AY$74:$AY$119,0)),$AH$234))</f>
        <v/>
      </c>
      <c r="AM234" s="483" t="str">
        <f t="shared" si="55"/>
        <v/>
      </c>
      <c r="AN234" s="484" t="str">
        <f t="shared" si="56"/>
        <v/>
      </c>
      <c r="AO234" s="473" t="str">
        <f t="shared" si="57"/>
        <v/>
      </c>
      <c r="AP234" s="473" t="str">
        <f t="shared" si="58"/>
        <v/>
      </c>
      <c r="AQ234" s="473" t="str">
        <f t="shared" si="59"/>
        <v/>
      </c>
      <c r="AR234" s="473" t="str">
        <f t="shared" si="60"/>
        <v/>
      </c>
      <c r="AS234" s="473" t="str">
        <f t="shared" si="61"/>
        <v/>
      </c>
      <c r="AT234" s="473" t="str">
        <f t="shared" si="62"/>
        <v/>
      </c>
      <c r="AU234" s="473" t="str">
        <f t="shared" si="63"/>
        <v/>
      </c>
      <c r="AZ234" s="32" t="s">
        <v>33</v>
      </c>
      <c r="BA234" s="34" t="s">
        <v>6123</v>
      </c>
      <c r="BB234" s="499"/>
      <c r="BC234" s="271"/>
      <c r="BD234" s="279">
        <v>1</v>
      </c>
      <c r="BE234" s="271"/>
      <c r="BF234" s="271"/>
      <c r="BG234" s="271"/>
      <c r="BH234" s="271"/>
      <c r="BI234" s="271"/>
      <c r="BJ234" s="271"/>
      <c r="BK234" s="271"/>
      <c r="BL234" s="271"/>
    </row>
    <row r="235" spans="18:64" ht="21" customHeight="1" x14ac:dyDescent="0.25">
      <c r="R235" s="34" t="s">
        <v>6125</v>
      </c>
      <c r="S235" s="451"/>
      <c r="T235" s="31" t="s">
        <v>304</v>
      </c>
      <c r="V235" s="475">
        <v>5</v>
      </c>
      <c r="W235" s="475" t="str">
        <f>IF($AC$235="","",$W$216)</f>
        <v/>
      </c>
      <c r="X235" s="476" t="str">
        <f>IF($AC$235="","",$X$216)</f>
        <v/>
      </c>
      <c r="Y235" s="477" t="str">
        <f>IF($X$235="","",$Y$216)</f>
        <v/>
      </c>
      <c r="Z235" s="477" t="str">
        <f>IF($X$235="","",$Z$216)</f>
        <v/>
      </c>
      <c r="AA235" s="477" t="str">
        <f>IF($AC$235="","",ROW($A$235)-ROW($A$216))</f>
        <v/>
      </c>
      <c r="AB235" s="478"/>
      <c r="AC235" s="34"/>
      <c r="AD235" s="356"/>
      <c r="AE235" s="18"/>
      <c r="AF235" s="19"/>
      <c r="AG235" s="480" t="str">
        <f t="shared" si="52"/>
        <v/>
      </c>
      <c r="AH235" s="481" t="str">
        <f t="shared" si="53"/>
        <v/>
      </c>
      <c r="AI235" s="477" t="str">
        <f>IF($AC$235="","",IFERROR(INDEX($AZ$74:$AZ$119,MATCH($AH$235,$AY$74:$AY$119,0)),"AUTRE"))</f>
        <v/>
      </c>
      <c r="AJ235" s="482" t="str">
        <f>IF($AC$235="","",IFERROR(INDEX($BA$74:$BA$119,MATCH($AH$235,$AY$74:$AY$119,0)),1))</f>
        <v/>
      </c>
      <c r="AK235" s="482" t="str">
        <f t="shared" si="54"/>
        <v/>
      </c>
      <c r="AL235" s="477" t="str">
        <f>IF($AC$235="","",IFERROR(INDEX($BB$74:$BB$119,MATCH($AH$235,$AY$74:$AY$119,0)),$AH$235))</f>
        <v/>
      </c>
      <c r="AM235" s="483" t="str">
        <f t="shared" si="55"/>
        <v/>
      </c>
      <c r="AN235" s="484" t="str">
        <f t="shared" si="56"/>
        <v/>
      </c>
      <c r="AO235" s="473" t="str">
        <f t="shared" si="57"/>
        <v/>
      </c>
      <c r="AP235" s="473" t="str">
        <f t="shared" si="58"/>
        <v/>
      </c>
      <c r="AQ235" s="473" t="str">
        <f t="shared" si="59"/>
        <v/>
      </c>
      <c r="AR235" s="473" t="str">
        <f t="shared" si="60"/>
        <v/>
      </c>
      <c r="AS235" s="473" t="str">
        <f t="shared" si="61"/>
        <v/>
      </c>
      <c r="AT235" s="473" t="str">
        <f t="shared" si="62"/>
        <v/>
      </c>
      <c r="AU235" s="473" t="str">
        <f t="shared" si="63"/>
        <v/>
      </c>
      <c r="AZ235" s="32" t="s">
        <v>8125</v>
      </c>
      <c r="BA235" s="34" t="s">
        <v>6124</v>
      </c>
      <c r="BB235" s="499"/>
      <c r="BC235" s="271"/>
      <c r="BD235" s="279">
        <v>1</v>
      </c>
      <c r="BE235" s="271"/>
      <c r="BF235" s="271"/>
      <c r="BG235" s="271"/>
      <c r="BH235" s="271"/>
      <c r="BI235" s="271"/>
      <c r="BJ235" s="271"/>
      <c r="BK235" s="271"/>
      <c r="BL235" s="271"/>
    </row>
    <row r="236" spans="18:64" ht="21" customHeight="1" x14ac:dyDescent="0.25">
      <c r="R236" s="34" t="s">
        <v>6126</v>
      </c>
      <c r="S236" s="451"/>
      <c r="T236" s="31" t="s">
        <v>352</v>
      </c>
      <c r="V236" s="475">
        <v>5</v>
      </c>
      <c r="W236" s="475" t="str">
        <f>IF($AC$236="","",$W$216)</f>
        <v/>
      </c>
      <c r="X236" s="476" t="str">
        <f>IF($AC$236="","",$X$216)</f>
        <v/>
      </c>
      <c r="Y236" s="477" t="str">
        <f>IF($X$236="","",$Y$216)</f>
        <v/>
      </c>
      <c r="Z236" s="477" t="str">
        <f>IF($X$236="","",$Z$216)</f>
        <v/>
      </c>
      <c r="AA236" s="477" t="str">
        <f>IF($AC$236="","",ROW($A$236)-ROW($A$216))</f>
        <v/>
      </c>
      <c r="AB236" s="478"/>
      <c r="AC236" s="34"/>
      <c r="AD236" s="356"/>
      <c r="AE236" s="18"/>
      <c r="AF236" s="19"/>
      <c r="AG236" s="480" t="str">
        <f t="shared" si="52"/>
        <v/>
      </c>
      <c r="AH236" s="481" t="str">
        <f t="shared" si="53"/>
        <v/>
      </c>
      <c r="AI236" s="477" t="str">
        <f>IF($AC$236="","",IFERROR(INDEX($AZ$74:$AZ$119,MATCH($AH$236,$AY$74:$AY$119,0)),"AUTRE"))</f>
        <v/>
      </c>
      <c r="AJ236" s="482" t="str">
        <f>IF($AC$236="","",IFERROR(INDEX($BA$74:$BA$119,MATCH($AH$236,$AY$74:$AY$119,0)),1))</f>
        <v/>
      </c>
      <c r="AK236" s="482" t="str">
        <f t="shared" si="54"/>
        <v/>
      </c>
      <c r="AL236" s="477" t="str">
        <f>IF($AC$236="","",IFERROR(INDEX($BB$74:$BB$119,MATCH($AH$236,$AY$74:$AY$119,0)),$AH$236))</f>
        <v/>
      </c>
      <c r="AM236" s="483" t="str">
        <f t="shared" si="55"/>
        <v/>
      </c>
      <c r="AN236" s="484" t="str">
        <f t="shared" si="56"/>
        <v/>
      </c>
      <c r="AO236" s="473" t="str">
        <f t="shared" si="57"/>
        <v/>
      </c>
      <c r="AP236" s="473" t="str">
        <f t="shared" si="58"/>
        <v/>
      </c>
      <c r="AQ236" s="473" t="str">
        <f t="shared" si="59"/>
        <v/>
      </c>
      <c r="AR236" s="473" t="str">
        <f t="shared" si="60"/>
        <v/>
      </c>
      <c r="AS236" s="473" t="str">
        <f t="shared" si="61"/>
        <v/>
      </c>
      <c r="AT236" s="473" t="str">
        <f t="shared" si="62"/>
        <v/>
      </c>
      <c r="AU236" s="473" t="str">
        <f t="shared" si="63"/>
        <v/>
      </c>
      <c r="AZ236" s="32" t="s">
        <v>8127</v>
      </c>
      <c r="BA236" s="34" t="s">
        <v>6125</v>
      </c>
      <c r="BB236" s="499"/>
      <c r="BC236" s="271"/>
      <c r="BD236" s="279">
        <v>1</v>
      </c>
      <c r="BE236" s="271"/>
      <c r="BF236" s="271"/>
      <c r="BG236" s="271"/>
      <c r="BH236" s="271"/>
      <c r="BI236" s="271"/>
      <c r="BJ236" s="271"/>
      <c r="BK236" s="271"/>
      <c r="BL236" s="271"/>
    </row>
    <row r="237" spans="18:64" ht="21" customHeight="1" x14ac:dyDescent="0.25">
      <c r="R237" s="34" t="s">
        <v>6127</v>
      </c>
      <c r="S237" s="451"/>
      <c r="T237" s="31" t="s">
        <v>25</v>
      </c>
      <c r="V237" s="475">
        <v>5</v>
      </c>
      <c r="W237" s="475" t="str">
        <f>IF($AC$237="","",$W$216)</f>
        <v/>
      </c>
      <c r="X237" s="476" t="str">
        <f>IF($AC$237="","",$X$216)</f>
        <v/>
      </c>
      <c r="Y237" s="477" t="str">
        <f>IF($X$237="","",$Y$216)</f>
        <v/>
      </c>
      <c r="Z237" s="477" t="str">
        <f>IF($X$237="","",$Z$216)</f>
        <v/>
      </c>
      <c r="AA237" s="477" t="str">
        <f>IF($AC$237="","",ROW($A$237)-ROW($A$216))</f>
        <v/>
      </c>
      <c r="AB237" s="478"/>
      <c r="AC237" s="34"/>
      <c r="AD237" s="356"/>
      <c r="AE237" s="18"/>
      <c r="AF237" s="19"/>
      <c r="AG237" s="480" t="str">
        <f t="shared" si="52"/>
        <v/>
      </c>
      <c r="AH237" s="481" t="str">
        <f t="shared" si="53"/>
        <v/>
      </c>
      <c r="AI237" s="477" t="str">
        <f>IF($AC$237="","",IFERROR(INDEX($AZ$74:$AZ$119,MATCH($AH$237,$AY$74:$AY$119,0)),"AUTRE"))</f>
        <v/>
      </c>
      <c r="AJ237" s="482" t="str">
        <f>IF($AC$237="","",IFERROR(INDEX($BA$74:$BA$119,MATCH($AH$237,$AY$74:$AY$119,0)),1))</f>
        <v/>
      </c>
      <c r="AK237" s="482" t="str">
        <f t="shared" si="54"/>
        <v/>
      </c>
      <c r="AL237" s="477" t="str">
        <f>IF($AC$237="","",IFERROR(INDEX($BB$74:$BB$119,MATCH($AH$237,$AY$74:$AY$119,0)),$AH$237))</f>
        <v/>
      </c>
      <c r="AM237" s="483" t="str">
        <f t="shared" si="55"/>
        <v/>
      </c>
      <c r="AN237" s="484" t="str">
        <f t="shared" si="56"/>
        <v/>
      </c>
      <c r="AO237" s="473" t="str">
        <f t="shared" si="57"/>
        <v/>
      </c>
      <c r="AP237" s="473" t="str">
        <f t="shared" si="58"/>
        <v/>
      </c>
      <c r="AQ237" s="473" t="str">
        <f t="shared" si="59"/>
        <v/>
      </c>
      <c r="AR237" s="473" t="str">
        <f t="shared" si="60"/>
        <v/>
      </c>
      <c r="AS237" s="473" t="str">
        <f t="shared" si="61"/>
        <v/>
      </c>
      <c r="AT237" s="473" t="str">
        <f t="shared" si="62"/>
        <v/>
      </c>
      <c r="AU237" s="473" t="str">
        <f t="shared" si="63"/>
        <v/>
      </c>
      <c r="AZ237" s="32" t="s">
        <v>320</v>
      </c>
      <c r="BA237" s="34" t="s">
        <v>6126</v>
      </c>
      <c r="BB237" s="499"/>
      <c r="BC237" s="271"/>
      <c r="BD237" s="279">
        <v>1</v>
      </c>
      <c r="BE237" s="271"/>
      <c r="BF237" s="271"/>
      <c r="BG237" s="271"/>
      <c r="BH237" s="271"/>
      <c r="BI237" s="271"/>
      <c r="BJ237" s="271"/>
      <c r="BK237" s="271"/>
      <c r="BL237" s="271"/>
    </row>
    <row r="238" spans="18:64" ht="21" customHeight="1" x14ac:dyDescent="0.25">
      <c r="R238" s="25" t="s">
        <v>6128</v>
      </c>
      <c r="S238" s="451"/>
      <c r="T238" s="31" t="s">
        <v>26</v>
      </c>
      <c r="V238" s="475">
        <v>5</v>
      </c>
      <c r="W238" s="475" t="str">
        <f>IF($AC$238="","",$W$216)</f>
        <v/>
      </c>
      <c r="X238" s="476" t="str">
        <f>IF($AC$238="","",$X$216)</f>
        <v/>
      </c>
      <c r="Y238" s="477" t="str">
        <f>IF($X$238="","",$Y$216)</f>
        <v/>
      </c>
      <c r="Z238" s="477" t="str">
        <f>IF($X$238="","",$Z$216)</f>
        <v/>
      </c>
      <c r="AA238" s="477" t="str">
        <f>IF($AC$238="","",ROW($A$238)-ROW($A$216))</f>
        <v/>
      </c>
      <c r="AB238" s="478"/>
      <c r="AC238" s="34"/>
      <c r="AD238" s="356"/>
      <c r="AE238" s="18"/>
      <c r="AF238" s="19"/>
      <c r="AG238" s="480" t="str">
        <f t="shared" si="52"/>
        <v/>
      </c>
      <c r="AH238" s="481" t="str">
        <f t="shared" si="53"/>
        <v/>
      </c>
      <c r="AI238" s="477" t="str">
        <f>IF($AC$238="","",IFERROR(INDEX($AZ$74:$AZ$119,MATCH($AH$238,$AY$74:$AY$119,0)),"AUTRE"))</f>
        <v/>
      </c>
      <c r="AJ238" s="482" t="str">
        <f>IF($AC$238="","",IFERROR(INDEX($BA$74:$BA$119,MATCH($AH$238,$AY$74:$AY$119,0)),1))</f>
        <v/>
      </c>
      <c r="AK238" s="482" t="str">
        <f t="shared" si="54"/>
        <v/>
      </c>
      <c r="AL238" s="477" t="str">
        <f>IF($AC$238="","",IFERROR(INDEX($BB$74:$BB$119,MATCH($AH$238,$AY$74:$AY$119,0)),$AH$238))</f>
        <v/>
      </c>
      <c r="AM238" s="483" t="str">
        <f t="shared" si="55"/>
        <v/>
      </c>
      <c r="AN238" s="484" t="str">
        <f t="shared" si="56"/>
        <v/>
      </c>
      <c r="AO238" s="473" t="str">
        <f t="shared" si="57"/>
        <v/>
      </c>
      <c r="AP238" s="473" t="str">
        <f t="shared" si="58"/>
        <v/>
      </c>
      <c r="AQ238" s="473" t="str">
        <f t="shared" si="59"/>
        <v/>
      </c>
      <c r="AR238" s="473" t="str">
        <f t="shared" si="60"/>
        <v/>
      </c>
      <c r="AS238" s="473" t="str">
        <f t="shared" si="61"/>
        <v/>
      </c>
      <c r="AT238" s="473" t="str">
        <f t="shared" si="62"/>
        <v/>
      </c>
      <c r="AU238" s="473" t="str">
        <f t="shared" si="63"/>
        <v/>
      </c>
      <c r="AZ238" s="32" t="s">
        <v>318</v>
      </c>
      <c r="BA238" s="34" t="s">
        <v>6127</v>
      </c>
      <c r="BB238" s="499"/>
      <c r="BC238" s="271"/>
      <c r="BD238" s="279">
        <v>1</v>
      </c>
      <c r="BE238" s="271"/>
      <c r="BF238" s="271"/>
      <c r="BG238" s="271"/>
      <c r="BH238" s="271"/>
      <c r="BI238" s="271"/>
      <c r="BJ238" s="271"/>
      <c r="BK238" s="271"/>
      <c r="BL238" s="271"/>
    </row>
    <row r="239" spans="18:64" ht="21" customHeight="1" x14ac:dyDescent="0.25">
      <c r="R239" s="34" t="s">
        <v>474</v>
      </c>
      <c r="S239" s="451"/>
      <c r="T239" s="31" t="s">
        <v>27</v>
      </c>
      <c r="V239" s="475">
        <v>5</v>
      </c>
      <c r="W239" s="475" t="str">
        <f>IF($AC$239="","",$W$216)</f>
        <v/>
      </c>
      <c r="X239" s="476" t="str">
        <f>IF($AC$239="","",$X$216)</f>
        <v/>
      </c>
      <c r="Y239" s="477" t="str">
        <f>IF($X$239="","",$Y$216)</f>
        <v/>
      </c>
      <c r="Z239" s="477" t="str">
        <f>IF($X$239="","",$Z$216)</f>
        <v/>
      </c>
      <c r="AA239" s="477" t="str">
        <f>IF($AC$239="","",ROW($A$239)-ROW($A$216))</f>
        <v/>
      </c>
      <c r="AB239" s="478"/>
      <c r="AC239" s="34"/>
      <c r="AD239" s="356"/>
      <c r="AE239" s="18"/>
      <c r="AF239" s="19"/>
      <c r="AG239" s="480" t="str">
        <f t="shared" si="52"/>
        <v/>
      </c>
      <c r="AH239" s="481" t="str">
        <f t="shared" si="53"/>
        <v/>
      </c>
      <c r="AI239" s="477" t="str">
        <f>IF($AC$239="","",IFERROR(INDEX($AZ$74:$AZ$119,MATCH($AH$239,$AY$74:$AY$119,0)),"AUTRE"))</f>
        <v/>
      </c>
      <c r="AJ239" s="482" t="str">
        <f>IF($AC$239="","",IFERROR(INDEX($BA$74:$BA$119,MATCH($AH$239,$AY$74:$AY$119,0)),1))</f>
        <v/>
      </c>
      <c r="AK239" s="482" t="str">
        <f t="shared" si="54"/>
        <v/>
      </c>
      <c r="AL239" s="477" t="str">
        <f>IF($AC$239="","",IFERROR(INDEX($BB$74:$BB$119,MATCH($AH$239,$AY$74:$AY$119,0)),$AH$239))</f>
        <v/>
      </c>
      <c r="AM239" s="483" t="str">
        <f t="shared" si="55"/>
        <v/>
      </c>
      <c r="AN239" s="484" t="str">
        <f t="shared" si="56"/>
        <v/>
      </c>
      <c r="AO239" s="473" t="str">
        <f t="shared" si="57"/>
        <v/>
      </c>
      <c r="AP239" s="473" t="str">
        <f t="shared" si="58"/>
        <v/>
      </c>
      <c r="AQ239" s="473" t="str">
        <f t="shared" si="59"/>
        <v/>
      </c>
      <c r="AR239" s="473" t="str">
        <f t="shared" si="60"/>
        <v/>
      </c>
      <c r="AS239" s="473" t="str">
        <f t="shared" si="61"/>
        <v/>
      </c>
      <c r="AT239" s="473" t="str">
        <f t="shared" si="62"/>
        <v/>
      </c>
      <c r="AU239" s="473" t="str">
        <f t="shared" si="63"/>
        <v/>
      </c>
      <c r="AZ239" s="32" t="s">
        <v>316</v>
      </c>
      <c r="BA239" s="25" t="s">
        <v>6128</v>
      </c>
      <c r="BB239" s="499"/>
      <c r="BC239" s="271"/>
      <c r="BD239" s="279">
        <v>1</v>
      </c>
      <c r="BE239" s="271"/>
      <c r="BF239" s="271"/>
      <c r="BG239" s="271"/>
      <c r="BH239" s="271"/>
      <c r="BI239" s="271"/>
      <c r="BJ239" s="271"/>
      <c r="BK239" s="271"/>
      <c r="BL239" s="271"/>
    </row>
    <row r="240" spans="18:64" ht="21" customHeight="1" x14ac:dyDescent="0.25">
      <c r="R240" s="34" t="s">
        <v>490</v>
      </c>
      <c r="S240" s="451"/>
      <c r="T240" s="31" t="s">
        <v>28</v>
      </c>
      <c r="V240" s="475">
        <v>5</v>
      </c>
      <c r="W240" s="475" t="str">
        <f>IF($AC$240="","",$W$216)</f>
        <v/>
      </c>
      <c r="X240" s="476" t="str">
        <f>IF($AC$240="","",$X$216)</f>
        <v/>
      </c>
      <c r="Y240" s="477" t="str">
        <f>IF($X$240="","",$Y$216)</f>
        <v/>
      </c>
      <c r="Z240" s="477" t="str">
        <f>IF($X$240="","",$Z$216)</f>
        <v/>
      </c>
      <c r="AA240" s="477" t="str">
        <f>IF($AC$240="","",ROW($A$240)-ROW($A$216))</f>
        <v/>
      </c>
      <c r="AB240" s="478"/>
      <c r="AC240" s="34"/>
      <c r="AD240" s="356"/>
      <c r="AE240" s="18"/>
      <c r="AF240" s="19"/>
      <c r="AG240" s="480" t="str">
        <f t="shared" si="52"/>
        <v/>
      </c>
      <c r="AH240" s="481" t="str">
        <f t="shared" si="53"/>
        <v/>
      </c>
      <c r="AI240" s="477" t="str">
        <f>IF($AC$240="","",IFERROR(INDEX($AZ$74:$AZ$119,MATCH($AH$240,$AY$74:$AY$119,0)),"AUTRE"))</f>
        <v/>
      </c>
      <c r="AJ240" s="482" t="str">
        <f>IF($AC$240="","",IFERROR(INDEX($BA$74:$BA$119,MATCH($AH$240,$AY$74:$AY$119,0)),1))</f>
        <v/>
      </c>
      <c r="AK240" s="482" t="str">
        <f t="shared" si="54"/>
        <v/>
      </c>
      <c r="AL240" s="477" t="str">
        <f>IF($AC$240="","",IFERROR(INDEX($BB$74:$BB$119,MATCH($AH$240,$AY$74:$AY$119,0)),$AH$240))</f>
        <v/>
      </c>
      <c r="AM240" s="483" t="str">
        <f t="shared" si="55"/>
        <v/>
      </c>
      <c r="AN240" s="484" t="str">
        <f t="shared" si="56"/>
        <v/>
      </c>
      <c r="AO240" s="473" t="str">
        <f t="shared" si="57"/>
        <v/>
      </c>
      <c r="AP240" s="473" t="str">
        <f t="shared" si="58"/>
        <v/>
      </c>
      <c r="AQ240" s="473" t="str">
        <f t="shared" si="59"/>
        <v/>
      </c>
      <c r="AR240" s="473" t="str">
        <f t="shared" si="60"/>
        <v/>
      </c>
      <c r="AS240" s="473" t="str">
        <f t="shared" si="61"/>
        <v/>
      </c>
      <c r="AT240" s="473" t="str">
        <f t="shared" si="62"/>
        <v/>
      </c>
      <c r="AU240" s="473" t="str">
        <f t="shared" si="63"/>
        <v/>
      </c>
      <c r="AZ240" s="32" t="s">
        <v>313</v>
      </c>
      <c r="BA240" s="34" t="s">
        <v>474</v>
      </c>
      <c r="BB240" s="499"/>
      <c r="BC240" s="271"/>
      <c r="BD240" s="279">
        <v>1</v>
      </c>
      <c r="BE240" s="271"/>
      <c r="BF240" s="271"/>
      <c r="BG240" s="271"/>
      <c r="BH240" s="271"/>
      <c r="BI240" s="271"/>
      <c r="BJ240" s="271"/>
      <c r="BK240" s="271"/>
      <c r="BL240" s="271"/>
    </row>
    <row r="241" spans="18:64" ht="21" customHeight="1" x14ac:dyDescent="0.25">
      <c r="R241" s="34" t="s">
        <v>6129</v>
      </c>
      <c r="S241" s="451"/>
      <c r="T241" s="31" t="s">
        <v>29</v>
      </c>
      <c r="V241" s="475">
        <v>5</v>
      </c>
      <c r="W241" s="475" t="str">
        <f>IF($AC$241="","",$W$216)</f>
        <v/>
      </c>
      <c r="X241" s="476" t="str">
        <f>IF($AC$241="","",$X$216)</f>
        <v/>
      </c>
      <c r="Y241" s="477" t="str">
        <f>IF($X$241="","",$Y$216)</f>
        <v/>
      </c>
      <c r="Z241" s="477" t="str">
        <f>IF($X$241="","",$Z$216)</f>
        <v/>
      </c>
      <c r="AA241" s="477" t="str">
        <f>IF($AC$241="","",ROW($A$241)-ROW($A$216))</f>
        <v/>
      </c>
      <c r="AB241" s="478"/>
      <c r="AC241" s="34"/>
      <c r="AD241" s="356"/>
      <c r="AE241" s="18"/>
      <c r="AF241" s="19"/>
      <c r="AG241" s="480" t="str">
        <f t="shared" si="52"/>
        <v/>
      </c>
      <c r="AH241" s="481" t="str">
        <f t="shared" si="53"/>
        <v/>
      </c>
      <c r="AI241" s="477" t="str">
        <f>IF($AC$241="","",IFERROR(INDEX($AZ$74:$AZ$119,MATCH($AH$241,$AY$74:$AY$119,0)),"AUTRE"))</f>
        <v/>
      </c>
      <c r="AJ241" s="482" t="str">
        <f>IF($AC$241="","",IFERROR(INDEX($BA$74:$BA$119,MATCH($AH$241,$AY$74:$AY$119,0)),1))</f>
        <v/>
      </c>
      <c r="AK241" s="482" t="str">
        <f t="shared" si="54"/>
        <v/>
      </c>
      <c r="AL241" s="477" t="str">
        <f>IF($AC$241="","",IFERROR(INDEX($BB$74:$BB$119,MATCH($AH$241,$AY$74:$AY$119,0)),$AH$241))</f>
        <v/>
      </c>
      <c r="AM241" s="483" t="str">
        <f t="shared" si="55"/>
        <v/>
      </c>
      <c r="AN241" s="484" t="str">
        <f t="shared" si="56"/>
        <v/>
      </c>
      <c r="AO241" s="473" t="str">
        <f t="shared" si="57"/>
        <v/>
      </c>
      <c r="AP241" s="473" t="str">
        <f t="shared" si="58"/>
        <v/>
      </c>
      <c r="AQ241" s="473" t="str">
        <f t="shared" si="59"/>
        <v/>
      </c>
      <c r="AR241" s="473" t="str">
        <f t="shared" si="60"/>
        <v/>
      </c>
      <c r="AS241" s="473" t="str">
        <f t="shared" si="61"/>
        <v/>
      </c>
      <c r="AT241" s="473" t="str">
        <f t="shared" si="62"/>
        <v/>
      </c>
      <c r="AU241" s="473" t="str">
        <f t="shared" si="63"/>
        <v/>
      </c>
      <c r="AZ241" s="32" t="s">
        <v>307</v>
      </c>
      <c r="BA241" s="34" t="s">
        <v>490</v>
      </c>
      <c r="BB241" s="499"/>
      <c r="BC241" s="271"/>
      <c r="BD241" s="279">
        <v>1</v>
      </c>
      <c r="BE241" s="271"/>
      <c r="BF241" s="271"/>
      <c r="BG241" s="271"/>
      <c r="BH241" s="271"/>
      <c r="BI241" s="271"/>
      <c r="BJ241" s="271"/>
      <c r="BK241" s="271"/>
      <c r="BL241" s="271"/>
    </row>
    <row r="242" spans="18:64" ht="21" customHeight="1" x14ac:dyDescent="0.25">
      <c r="R242" s="34" t="s">
        <v>478</v>
      </c>
      <c r="S242" s="451"/>
      <c r="T242" s="31" t="s">
        <v>30</v>
      </c>
      <c r="V242" s="475">
        <v>5</v>
      </c>
      <c r="W242" s="475" t="str">
        <f>IF($AC$242="","",$W$216)</f>
        <v/>
      </c>
      <c r="X242" s="476" t="str">
        <f>IF($AC$242="","",$X$216)</f>
        <v/>
      </c>
      <c r="Y242" s="477" t="str">
        <f>IF($X$242="","",$Y$216)</f>
        <v/>
      </c>
      <c r="Z242" s="477" t="str">
        <f>IF($X$242="","",$Z$216)</f>
        <v/>
      </c>
      <c r="AA242" s="477" t="str">
        <f>IF($AC$242="","",ROW($A$242)-ROW($A$216))</f>
        <v/>
      </c>
      <c r="AB242" s="478"/>
      <c r="AC242" s="34"/>
      <c r="AD242" s="356"/>
      <c r="AE242" s="18"/>
      <c r="AF242" s="19"/>
      <c r="AG242" s="480" t="str">
        <f t="shared" si="52"/>
        <v/>
      </c>
      <c r="AH242" s="481" t="str">
        <f t="shared" si="53"/>
        <v/>
      </c>
      <c r="AI242" s="477" t="str">
        <f>IF($AC$242="","",IFERROR(INDEX($AZ$74:$AZ$119,MATCH($AH$242,$AY$74:$AY$119,0)),"AUTRE"))</f>
        <v/>
      </c>
      <c r="AJ242" s="482" t="str">
        <f>IF($AC$242="","",IFERROR(INDEX($BA$74:$BA$119,MATCH($AH$242,$AY$74:$AY$119,0)),1))</f>
        <v/>
      </c>
      <c r="AK242" s="482" t="str">
        <f t="shared" si="54"/>
        <v/>
      </c>
      <c r="AL242" s="477" t="str">
        <f>IF($AC$242="","",IFERROR(INDEX($BB$74:$BB$119,MATCH($AH$242,$AY$74:$AY$119,0)),$AH$242))</f>
        <v/>
      </c>
      <c r="AM242" s="483" t="str">
        <f t="shared" si="55"/>
        <v/>
      </c>
      <c r="AN242" s="484" t="str">
        <f t="shared" si="56"/>
        <v/>
      </c>
      <c r="AO242" s="473" t="str">
        <f t="shared" si="57"/>
        <v/>
      </c>
      <c r="AP242" s="473" t="str">
        <f t="shared" si="58"/>
        <v/>
      </c>
      <c r="AQ242" s="473" t="str">
        <f t="shared" si="59"/>
        <v/>
      </c>
      <c r="AR242" s="473" t="str">
        <f t="shared" si="60"/>
        <v/>
      </c>
      <c r="AS242" s="473" t="str">
        <f t="shared" si="61"/>
        <v/>
      </c>
      <c r="AT242" s="473" t="str">
        <f t="shared" si="62"/>
        <v/>
      </c>
      <c r="AU242" s="473" t="str">
        <f t="shared" si="63"/>
        <v/>
      </c>
      <c r="AZ242" s="32" t="s">
        <v>322</v>
      </c>
      <c r="BA242" s="34" t="s">
        <v>6129</v>
      </c>
      <c r="BB242" s="499"/>
      <c r="BC242" s="271"/>
      <c r="BD242" s="279">
        <v>1</v>
      </c>
      <c r="BE242" s="271"/>
      <c r="BF242" s="271"/>
      <c r="BG242" s="271"/>
      <c r="BH242" s="271"/>
      <c r="BI242" s="271"/>
      <c r="BJ242" s="271"/>
      <c r="BK242" s="271"/>
      <c r="BL242" s="271"/>
    </row>
    <row r="243" spans="18:64" ht="21" customHeight="1" x14ac:dyDescent="0.25">
      <c r="R243" s="34" t="s">
        <v>6130</v>
      </c>
      <c r="S243" s="451"/>
      <c r="T243" s="31" t="s">
        <v>31</v>
      </c>
      <c r="V243" s="475">
        <v>5</v>
      </c>
      <c r="W243" s="475" t="str">
        <f>IF($AC$243="","",$W$216)</f>
        <v/>
      </c>
      <c r="X243" s="476" t="str">
        <f>IF($AC$243="","",$X$216)</f>
        <v/>
      </c>
      <c r="Y243" s="477" t="str">
        <f>IF($X$243="","",$Y$216)</f>
        <v/>
      </c>
      <c r="Z243" s="477" t="str">
        <f>IF($X$243="","",$Z$216)</f>
        <v/>
      </c>
      <c r="AA243" s="477" t="str">
        <f>IF($AC$243="","",ROW($A$243)-ROW($A$216))</f>
        <v/>
      </c>
      <c r="AB243" s="478"/>
      <c r="AC243" s="34"/>
      <c r="AD243" s="356"/>
      <c r="AE243" s="18"/>
      <c r="AF243" s="19"/>
      <c r="AG243" s="480" t="str">
        <f t="shared" si="52"/>
        <v/>
      </c>
      <c r="AH243" s="481" t="str">
        <f t="shared" si="53"/>
        <v/>
      </c>
      <c r="AI243" s="477" t="str">
        <f>IF($AC$243="","",IFERROR(INDEX($AZ$74:$AZ$119,MATCH($AH$243,$AY$74:$AY$119,0)),"AUTRE"))</f>
        <v/>
      </c>
      <c r="AJ243" s="482" t="str">
        <f>IF($AC$243="","",IFERROR(INDEX($BA$74:$BA$119,MATCH($AH$243,$AY$74:$AY$119,0)),1))</f>
        <v/>
      </c>
      <c r="AK243" s="482" t="str">
        <f t="shared" si="54"/>
        <v/>
      </c>
      <c r="AL243" s="477" t="str">
        <f>IF($AC$243="","",IFERROR(INDEX($BB$74:$BB$119,MATCH($AH$243,$AY$74:$AY$119,0)),$AH$243))</f>
        <v/>
      </c>
      <c r="AM243" s="483" t="str">
        <f t="shared" si="55"/>
        <v/>
      </c>
      <c r="AN243" s="484" t="str">
        <f t="shared" si="56"/>
        <v/>
      </c>
      <c r="AO243" s="473" t="str">
        <f t="shared" si="57"/>
        <v/>
      </c>
      <c r="AP243" s="473" t="str">
        <f t="shared" si="58"/>
        <v/>
      </c>
      <c r="AQ243" s="473" t="str">
        <f t="shared" si="59"/>
        <v/>
      </c>
      <c r="AR243" s="473" t="str">
        <f t="shared" si="60"/>
        <v/>
      </c>
      <c r="AS243" s="473" t="str">
        <f t="shared" si="61"/>
        <v/>
      </c>
      <c r="AT243" s="473" t="str">
        <f t="shared" si="62"/>
        <v/>
      </c>
      <c r="AU243" s="473" t="str">
        <f t="shared" si="63"/>
        <v/>
      </c>
      <c r="AZ243" s="32" t="s">
        <v>305</v>
      </c>
      <c r="BA243" s="34" t="s">
        <v>478</v>
      </c>
      <c r="BB243" s="499"/>
      <c r="BC243" s="271"/>
      <c r="BD243" s="279">
        <v>1</v>
      </c>
      <c r="BE243" s="271"/>
      <c r="BF243" s="271"/>
      <c r="BG243" s="271"/>
      <c r="BH243" s="271"/>
      <c r="BI243" s="271"/>
      <c r="BJ243" s="271"/>
      <c r="BK243" s="271"/>
      <c r="BL243" s="271"/>
    </row>
    <row r="244" spans="18:64" ht="21" customHeight="1" x14ac:dyDescent="0.25">
      <c r="R244" s="34" t="s">
        <v>486</v>
      </c>
      <c r="S244" s="451"/>
      <c r="T244" s="32" t="s">
        <v>33</v>
      </c>
      <c r="V244" s="475">
        <v>5</v>
      </c>
      <c r="W244" s="475" t="str">
        <f>IF($AC$244="","",$W$216)</f>
        <v/>
      </c>
      <c r="X244" s="476" t="str">
        <f>IF($AC$244="","",$X$216)</f>
        <v/>
      </c>
      <c r="Y244" s="477" t="str">
        <f>IF($X$244="","",$Y$216)</f>
        <v/>
      </c>
      <c r="Z244" s="477" t="str">
        <f>IF($X$244="","",$Z$216)</f>
        <v/>
      </c>
      <c r="AA244" s="477" t="str">
        <f>IF($AC$244="","",ROW($A$244)-ROW($A$216))</f>
        <v/>
      </c>
      <c r="AB244" s="478"/>
      <c r="AC244" s="34"/>
      <c r="AD244" s="356"/>
      <c r="AE244" s="18"/>
      <c r="AF244" s="19"/>
      <c r="AG244" s="480" t="str">
        <f t="shared" si="52"/>
        <v/>
      </c>
      <c r="AH244" s="481" t="str">
        <f t="shared" si="53"/>
        <v/>
      </c>
      <c r="AI244" s="477" t="str">
        <f>IF($AC$244="","",IFERROR(INDEX($AZ$74:$AZ$119,MATCH($AH$244,$AY$74:$AY$119,0)),"AUTRE"))</f>
        <v/>
      </c>
      <c r="AJ244" s="482" t="str">
        <f>IF($AC$244="","",IFERROR(INDEX($BA$74:$BA$119,MATCH($AH$244,$AY$74:$AY$119,0)),1))</f>
        <v/>
      </c>
      <c r="AK244" s="482" t="str">
        <f t="shared" si="54"/>
        <v/>
      </c>
      <c r="AL244" s="477" t="str">
        <f>IF($AC$244="","",IFERROR(INDEX($BB$74:$BB$119,MATCH($AH$244,$AY$74:$AY$119,0)),$AH$244))</f>
        <v/>
      </c>
      <c r="AM244" s="483" t="str">
        <f t="shared" si="55"/>
        <v/>
      </c>
      <c r="AN244" s="484" t="str">
        <f t="shared" si="56"/>
        <v/>
      </c>
      <c r="AO244" s="473" t="str">
        <f t="shared" si="57"/>
        <v/>
      </c>
      <c r="AP244" s="473" t="str">
        <f t="shared" si="58"/>
        <v/>
      </c>
      <c r="AQ244" s="473" t="str">
        <f t="shared" si="59"/>
        <v/>
      </c>
      <c r="AR244" s="473" t="str">
        <f t="shared" si="60"/>
        <v/>
      </c>
      <c r="AS244" s="473" t="str">
        <f t="shared" si="61"/>
        <v/>
      </c>
      <c r="AT244" s="473" t="str">
        <f t="shared" si="62"/>
        <v/>
      </c>
      <c r="AU244" s="473" t="str">
        <f t="shared" si="63"/>
        <v/>
      </c>
      <c r="AY244" s="271"/>
      <c r="AZ244" s="32" t="s">
        <v>8129</v>
      </c>
      <c r="BA244" s="34" t="s">
        <v>6130</v>
      </c>
      <c r="BB244" s="499"/>
      <c r="BC244" s="271"/>
      <c r="BD244" s="279">
        <v>1</v>
      </c>
      <c r="BE244" s="271"/>
      <c r="BF244" s="271"/>
      <c r="BG244" s="271"/>
      <c r="BH244" s="271"/>
      <c r="BI244" s="271"/>
      <c r="BJ244" s="271"/>
      <c r="BK244" s="271"/>
      <c r="BL244" s="271"/>
    </row>
    <row r="245" spans="18:64" ht="21" customHeight="1" x14ac:dyDescent="0.25">
      <c r="R245" s="34" t="s">
        <v>479</v>
      </c>
      <c r="S245" s="451"/>
      <c r="T245" s="32" t="s">
        <v>8125</v>
      </c>
      <c r="V245" s="475">
        <v>5</v>
      </c>
      <c r="W245" s="475" t="str">
        <f>IF($AC$245="","",$W$216)</f>
        <v/>
      </c>
      <c r="X245" s="476" t="str">
        <f>IF($AC$245="","",$X$216)</f>
        <v/>
      </c>
      <c r="Y245" s="477" t="str">
        <f>IF($X$245="","",$Y$216)</f>
        <v/>
      </c>
      <c r="Z245" s="477" t="str">
        <f>IF($X$245="","",$Z$216)</f>
        <v/>
      </c>
      <c r="AA245" s="477" t="str">
        <f>IF($AC$245="","",ROW($A$245)-ROW($A$216))</f>
        <v/>
      </c>
      <c r="AB245" s="478"/>
      <c r="AC245" s="34"/>
      <c r="AD245" s="356"/>
      <c r="AE245" s="18"/>
      <c r="AF245" s="19"/>
      <c r="AG245" s="480" t="str">
        <f t="shared" si="52"/>
        <v/>
      </c>
      <c r="AH245" s="481" t="str">
        <f t="shared" si="53"/>
        <v/>
      </c>
      <c r="AI245" s="477" t="str">
        <f>IF($AC$245="","",IFERROR(INDEX($AZ$74:$AZ$119,MATCH($AH$245,$AY$74:$AY$119,0)),"AUTRE"))</f>
        <v/>
      </c>
      <c r="AJ245" s="482" t="str">
        <f>IF($AC$245="","",IFERROR(INDEX($BA$74:$BA$119,MATCH($AH$245,$AY$74:$AY$119,0)),1))</f>
        <v/>
      </c>
      <c r="AK245" s="482" t="str">
        <f t="shared" si="54"/>
        <v/>
      </c>
      <c r="AL245" s="477" t="str">
        <f>IF($AC$245="","",IFERROR(INDEX($BB$74:$BB$119,MATCH($AH$245,$AY$74:$AY$119,0)),$AH$245))</f>
        <v/>
      </c>
      <c r="AM245" s="483" t="str">
        <f t="shared" si="55"/>
        <v/>
      </c>
      <c r="AN245" s="484" t="str">
        <f t="shared" si="56"/>
        <v/>
      </c>
      <c r="AO245" s="473" t="str">
        <f t="shared" si="57"/>
        <v/>
      </c>
      <c r="AP245" s="473" t="str">
        <f t="shared" si="58"/>
        <v/>
      </c>
      <c r="AQ245" s="473" t="str">
        <f t="shared" si="59"/>
        <v/>
      </c>
      <c r="AR245" s="473" t="str">
        <f t="shared" si="60"/>
        <v/>
      </c>
      <c r="AS245" s="473" t="str">
        <f t="shared" si="61"/>
        <v/>
      </c>
      <c r="AT245" s="473" t="str">
        <f t="shared" si="62"/>
        <v/>
      </c>
      <c r="AU245" s="473" t="str">
        <f t="shared" si="63"/>
        <v/>
      </c>
      <c r="AY245" s="497" t="s">
        <v>8145</v>
      </c>
      <c r="AZ245" s="32" t="s">
        <v>8131</v>
      </c>
      <c r="BA245" s="34" t="s">
        <v>486</v>
      </c>
      <c r="BB245" s="499"/>
      <c r="BC245" s="271"/>
      <c r="BD245" s="279">
        <v>1</v>
      </c>
      <c r="BE245" s="271"/>
      <c r="BF245" s="271"/>
      <c r="BG245" s="271"/>
      <c r="BH245" s="271"/>
      <c r="BI245" s="271"/>
      <c r="BJ245" s="271"/>
      <c r="BK245" s="271"/>
      <c r="BL245" s="271"/>
    </row>
    <row r="246" spans="18:64" ht="21" customHeight="1" x14ac:dyDescent="0.25">
      <c r="R246" s="34" t="s">
        <v>6131</v>
      </c>
      <c r="S246" s="451"/>
      <c r="T246" s="32" t="s">
        <v>8127</v>
      </c>
      <c r="V246" s="475">
        <v>5</v>
      </c>
      <c r="W246" s="475" t="str">
        <f>IF($AC$246="","",$W$216)</f>
        <v/>
      </c>
      <c r="X246" s="476" t="str">
        <f>IF($AC$246="","",$X$216)</f>
        <v/>
      </c>
      <c r="Y246" s="477" t="str">
        <f>IF($X$246="","",$Y$216)</f>
        <v/>
      </c>
      <c r="Z246" s="477" t="str">
        <f>IF($X$246="","",$Z$216)</f>
        <v/>
      </c>
      <c r="AA246" s="477" t="str">
        <f>IF($AC$246="","",ROW($A$246)-ROW($A$216))</f>
        <v/>
      </c>
      <c r="AB246" s="478"/>
      <c r="AC246" s="34"/>
      <c r="AD246" s="356"/>
      <c r="AE246" s="18"/>
      <c r="AF246" s="19"/>
      <c r="AG246" s="480" t="str">
        <f t="shared" si="52"/>
        <v/>
      </c>
      <c r="AH246" s="481" t="str">
        <f t="shared" si="53"/>
        <v/>
      </c>
      <c r="AI246" s="477" t="str">
        <f>IF($AC$246="","",IFERROR(INDEX($AZ$74:$AZ$119,MATCH($AH$246,$AY$74:$AY$119,0)),"AUTRE"))</f>
        <v/>
      </c>
      <c r="AJ246" s="482" t="str">
        <f>IF($AC$246="","",IFERROR(INDEX($BA$74:$BA$119,MATCH($AH$246,$AY$74:$AY$119,0)),1))</f>
        <v/>
      </c>
      <c r="AK246" s="482" t="str">
        <f t="shared" si="54"/>
        <v/>
      </c>
      <c r="AL246" s="477" t="str">
        <f>IF($AC$246="","",IFERROR(INDEX($BB$74:$BB$119,MATCH($AH$246,$AY$74:$AY$119,0)),$AH$246))</f>
        <v/>
      </c>
      <c r="AM246" s="483" t="str">
        <f t="shared" si="55"/>
        <v/>
      </c>
      <c r="AN246" s="484" t="str">
        <f t="shared" si="56"/>
        <v/>
      </c>
      <c r="AO246" s="473" t="str">
        <f t="shared" si="57"/>
        <v/>
      </c>
      <c r="AP246" s="473" t="str">
        <f t="shared" si="58"/>
        <v/>
      </c>
      <c r="AQ246" s="473" t="str">
        <f t="shared" si="59"/>
        <v/>
      </c>
      <c r="AR246" s="473" t="str">
        <f t="shared" si="60"/>
        <v/>
      </c>
      <c r="AS246" s="473" t="str">
        <f t="shared" si="61"/>
        <v/>
      </c>
      <c r="AT246" s="473" t="str">
        <f t="shared" si="62"/>
        <v/>
      </c>
      <c r="AU246" s="473" t="str">
        <f t="shared" si="63"/>
        <v/>
      </c>
      <c r="AY246" s="497" t="s">
        <v>462</v>
      </c>
      <c r="AZ246" s="32" t="s">
        <v>309</v>
      </c>
      <c r="BA246" s="34" t="s">
        <v>479</v>
      </c>
      <c r="BB246" s="499"/>
      <c r="BC246" s="271"/>
      <c r="BD246" s="279">
        <v>1</v>
      </c>
      <c r="BE246" s="271"/>
      <c r="BF246" s="271"/>
      <c r="BG246" s="271"/>
      <c r="BH246" s="271"/>
      <c r="BI246" s="271"/>
      <c r="BJ246" s="271"/>
      <c r="BK246" s="271"/>
      <c r="BL246" s="271"/>
    </row>
    <row r="247" spans="18:64" ht="21" customHeight="1" x14ac:dyDescent="0.25">
      <c r="R247" s="34" t="s">
        <v>485</v>
      </c>
      <c r="S247" s="451"/>
      <c r="T247" s="32" t="s">
        <v>320</v>
      </c>
      <c r="V247" s="475">
        <v>5</v>
      </c>
      <c r="W247" s="475" t="str">
        <f>IF($AC$247="","",$W$216)</f>
        <v/>
      </c>
      <c r="X247" s="476" t="str">
        <f>IF($AC$247="","",$X$216)</f>
        <v/>
      </c>
      <c r="Y247" s="477" t="str">
        <f>IF($X$247="","",$Y$216)</f>
        <v/>
      </c>
      <c r="Z247" s="477" t="str">
        <f>IF($X$247="","",$Z$216)</f>
        <v/>
      </c>
      <c r="AA247" s="477" t="str">
        <f>IF($AC$247="","",ROW($A$247)-ROW($A$216))</f>
        <v/>
      </c>
      <c r="AB247" s="478"/>
      <c r="AC247" s="34"/>
      <c r="AD247" s="356"/>
      <c r="AE247" s="18"/>
      <c r="AF247" s="19"/>
      <c r="AG247" s="480" t="str">
        <f t="shared" si="52"/>
        <v/>
      </c>
      <c r="AH247" s="481" t="str">
        <f t="shared" si="53"/>
        <v/>
      </c>
      <c r="AI247" s="477" t="str">
        <f>IF($AC$247="","",IFERROR(INDEX($AZ$74:$AZ$119,MATCH($AH$247,$AY$74:$AY$119,0)),"AUTRE"))</f>
        <v/>
      </c>
      <c r="AJ247" s="482" t="str">
        <f>IF($AC$247="","",IFERROR(INDEX($BA$74:$BA$119,MATCH($AH$247,$AY$74:$AY$119,0)),1))</f>
        <v/>
      </c>
      <c r="AK247" s="482" t="str">
        <f t="shared" si="54"/>
        <v/>
      </c>
      <c r="AL247" s="477" t="str">
        <f>IF($AC$247="","",IFERROR(INDEX($BB$74:$BB$119,MATCH($AH$247,$AY$74:$AY$119,0)),$AH$247))</f>
        <v/>
      </c>
      <c r="AM247" s="483" t="str">
        <f t="shared" si="55"/>
        <v/>
      </c>
      <c r="AN247" s="484" t="str">
        <f t="shared" si="56"/>
        <v/>
      </c>
      <c r="AO247" s="473" t="str">
        <f t="shared" si="57"/>
        <v/>
      </c>
      <c r="AP247" s="473" t="str">
        <f t="shared" si="58"/>
        <v/>
      </c>
      <c r="AQ247" s="473" t="str">
        <f t="shared" si="59"/>
        <v/>
      </c>
      <c r="AR247" s="473" t="str">
        <f t="shared" si="60"/>
        <v/>
      </c>
      <c r="AS247" s="473" t="str">
        <f t="shared" si="61"/>
        <v/>
      </c>
      <c r="AT247" s="473" t="str">
        <f t="shared" si="62"/>
        <v/>
      </c>
      <c r="AU247" s="473" t="str">
        <f t="shared" si="63"/>
        <v/>
      </c>
      <c r="AY247" s="497" t="s">
        <v>463</v>
      </c>
      <c r="AZ247" s="32" t="s">
        <v>311</v>
      </c>
      <c r="BA247" s="34" t="s">
        <v>6131</v>
      </c>
      <c r="BB247" s="499"/>
      <c r="BC247" s="271"/>
      <c r="BD247" s="279">
        <v>1</v>
      </c>
      <c r="BE247" s="271"/>
      <c r="BF247" s="271"/>
      <c r="BG247" s="271"/>
      <c r="BH247" s="271"/>
      <c r="BI247" s="271"/>
      <c r="BJ247" s="271"/>
      <c r="BK247" s="271"/>
      <c r="BL247" s="271"/>
    </row>
    <row r="248" spans="18:64" ht="21" customHeight="1" x14ac:dyDescent="0.25">
      <c r="R248" s="34" t="s">
        <v>6132</v>
      </c>
      <c r="S248" s="451"/>
      <c r="T248" s="32" t="s">
        <v>318</v>
      </c>
      <c r="V248" s="475">
        <v>5</v>
      </c>
      <c r="W248" s="475" t="str">
        <f>IF($AC$248="","",$W$216)</f>
        <v>N° 05</v>
      </c>
      <c r="X248" s="476" t="str">
        <f>IF($AC$248="","",$X$216)</f>
        <v>GUACAMOLE</v>
      </c>
      <c r="Y248" s="477">
        <f>IF($X$248="","",$Y$216)</f>
        <v>22</v>
      </c>
      <c r="Z248" s="477">
        <f>IF($X$248="","",$Z$216)</f>
        <v>100</v>
      </c>
      <c r="AA248" s="477">
        <f>IF($AC$248="","",ROW($A$248)-ROW($A$216))</f>
        <v>32</v>
      </c>
      <c r="AB248" s="478"/>
      <c r="AC248" s="34" t="s">
        <v>470</v>
      </c>
      <c r="AD248" s="356"/>
      <c r="AE248" s="18">
        <v>1</v>
      </c>
      <c r="AF248" s="33" t="s">
        <v>462</v>
      </c>
      <c r="AG248" s="480">
        <f t="shared" si="52"/>
        <v>1</v>
      </c>
      <c r="AH248" s="481" t="str">
        <f t="shared" si="53"/>
        <v>BAC(S)</v>
      </c>
      <c r="AI248" s="477" t="str">
        <f>IF($AC$248="","",IFERROR(INDEX($AZ$74:$AZ$119,MATCH($AH$248,$AY$74:$AY$119,0)),"AUTRE"))</f>
        <v>AUTRE</v>
      </c>
      <c r="AJ248" s="482">
        <f>IF($AC$248="","",IFERROR(INDEX($BA$74:$BA$119,MATCH($AH$248,$AY$74:$AY$119,0)),1))</f>
        <v>1</v>
      </c>
      <c r="AK248" s="482">
        <f t="shared" si="54"/>
        <v>1</v>
      </c>
      <c r="AL248" s="477" t="str">
        <f>IF($AC$248="","",IFERROR(INDEX($BB$74:$BB$119,MATCH($AH$248,$AY$74:$AY$119,0)),$AH$248))</f>
        <v>bac(s)</v>
      </c>
      <c r="AM248" s="483" t="str">
        <f t="shared" si="55"/>
        <v>OK</v>
      </c>
      <c r="AN248" s="484">
        <f t="shared" si="56"/>
        <v>1</v>
      </c>
      <c r="AO248" s="473" t="str">
        <f t="shared" si="57"/>
        <v/>
      </c>
      <c r="AP248" s="473" t="str">
        <f t="shared" si="58"/>
        <v/>
      </c>
      <c r="AQ248" s="473" t="str">
        <f t="shared" si="59"/>
        <v/>
      </c>
      <c r="AR248" s="473" t="str">
        <f t="shared" si="60"/>
        <v/>
      </c>
      <c r="AS248" s="473" t="str">
        <f t="shared" si="61"/>
        <v/>
      </c>
      <c r="AT248" s="473" t="str">
        <f t="shared" si="62"/>
        <v/>
      </c>
      <c r="AU248" s="473" t="str">
        <f t="shared" si="63"/>
        <v/>
      </c>
      <c r="AY248" s="497" t="s">
        <v>8147</v>
      </c>
      <c r="AZ248" s="32" t="s">
        <v>8135</v>
      </c>
      <c r="BA248" s="34" t="s">
        <v>485</v>
      </c>
      <c r="BB248" s="499"/>
      <c r="BC248" s="271"/>
      <c r="BD248" s="279">
        <v>1</v>
      </c>
      <c r="BE248" s="271"/>
      <c r="BF248" s="271"/>
      <c r="BG248" s="271"/>
      <c r="BH248" s="271"/>
      <c r="BI248" s="271"/>
      <c r="BJ248" s="271"/>
      <c r="BK248" s="271"/>
      <c r="BL248" s="271"/>
    </row>
    <row r="249" spans="18:64" ht="21" customHeight="1" x14ac:dyDescent="0.25">
      <c r="R249" s="25" t="s">
        <v>6133</v>
      </c>
      <c r="S249" s="451"/>
      <c r="T249" s="32" t="s">
        <v>316</v>
      </c>
      <c r="V249" s="475">
        <v>5</v>
      </c>
      <c r="W249" s="475" t="str">
        <f>IF($AC$249="","",$W$216)</f>
        <v>N° 05</v>
      </c>
      <c r="X249" s="476" t="str">
        <f>IF($AC$249="","",$X$216)</f>
        <v>GUACAMOLE</v>
      </c>
      <c r="Y249" s="477">
        <f>IF($X$249="","",$Y$216)</f>
        <v>22</v>
      </c>
      <c r="Z249" s="477">
        <f>IF($X$249="","",$Z$216)</f>
        <v>100</v>
      </c>
      <c r="AA249" s="477">
        <f>IF($AC$249="","",ROW($A$249)-ROW($A$216))</f>
        <v>33</v>
      </c>
      <c r="AB249" s="478"/>
      <c r="AC249" s="34" t="s">
        <v>478</v>
      </c>
      <c r="AD249" s="356"/>
      <c r="AE249" s="18">
        <v>1</v>
      </c>
      <c r="AF249" s="33" t="s">
        <v>462</v>
      </c>
      <c r="AG249" s="480">
        <f t="shared" si="52"/>
        <v>1</v>
      </c>
      <c r="AH249" s="481" t="str">
        <f t="shared" si="53"/>
        <v>BAC(S)</v>
      </c>
      <c r="AI249" s="477" t="str">
        <f>IF($AC$249="","",IFERROR(INDEX($AZ$74:$AZ$119,MATCH($AH$249,$AY$74:$AY$119,0)),"AUTRE"))</f>
        <v>AUTRE</v>
      </c>
      <c r="AJ249" s="482">
        <f>IF($AC$249="","",IFERROR(INDEX($BA$74:$BA$119,MATCH($AH$249,$AY$74:$AY$119,0)),1))</f>
        <v>1</v>
      </c>
      <c r="AK249" s="482">
        <f t="shared" si="54"/>
        <v>1</v>
      </c>
      <c r="AL249" s="477" t="str">
        <f>IF($AC$249="","",IFERROR(INDEX($BB$74:$BB$119,MATCH($AH$249,$AY$74:$AY$119,0)),$AH$249))</f>
        <v>bac(s)</v>
      </c>
      <c r="AM249" s="483" t="str">
        <f t="shared" si="55"/>
        <v>OK</v>
      </c>
      <c r="AN249" s="484">
        <f t="shared" si="56"/>
        <v>1</v>
      </c>
      <c r="AO249" s="473" t="str">
        <f t="shared" si="57"/>
        <v/>
      </c>
      <c r="AP249" s="473" t="str">
        <f t="shared" si="58"/>
        <v/>
      </c>
      <c r="AQ249" s="473" t="str">
        <f t="shared" si="59"/>
        <v/>
      </c>
      <c r="AR249" s="473" t="str">
        <f t="shared" si="60"/>
        <v/>
      </c>
      <c r="AS249" s="473" t="str">
        <f t="shared" si="61"/>
        <v/>
      </c>
      <c r="AT249" s="473" t="str">
        <f t="shared" si="62"/>
        <v/>
      </c>
      <c r="AU249" s="473" t="str">
        <f t="shared" si="63"/>
        <v/>
      </c>
      <c r="AY249" s="497" t="s">
        <v>465</v>
      </c>
      <c r="AZ249" s="32" t="s">
        <v>8137</v>
      </c>
      <c r="BA249" s="34" t="s">
        <v>6132</v>
      </c>
      <c r="BB249" s="499"/>
      <c r="BC249" s="271"/>
      <c r="BD249" s="279">
        <v>1</v>
      </c>
      <c r="BE249" s="271"/>
      <c r="BF249" s="271"/>
      <c r="BG249" s="271"/>
      <c r="BH249" s="271"/>
      <c r="BI249" s="271"/>
      <c r="BJ249" s="271"/>
      <c r="BK249" s="271"/>
      <c r="BL249" s="271"/>
    </row>
    <row r="250" spans="18:64" ht="21" customHeight="1" x14ac:dyDescent="0.25">
      <c r="R250" s="34" t="s">
        <v>476</v>
      </c>
      <c r="S250" s="451"/>
      <c r="T250" s="32" t="s">
        <v>313</v>
      </c>
      <c r="V250" s="475">
        <v>5</v>
      </c>
      <c r="W250" s="475" t="str">
        <f>IF($AC$250="","",$W$216)</f>
        <v>N° 05</v>
      </c>
      <c r="X250" s="476" t="str">
        <f>IF($AC$250="","",$X$216)</f>
        <v>GUACAMOLE</v>
      </c>
      <c r="Y250" s="477">
        <f>IF($X$250="","",$Y$216)</f>
        <v>22</v>
      </c>
      <c r="Z250" s="477">
        <f>IF($X$250="","",$Z$216)</f>
        <v>100</v>
      </c>
      <c r="AA250" s="477">
        <f>IF($AC$250="","",ROW($A$250)-ROW($A$216))</f>
        <v>34</v>
      </c>
      <c r="AB250" s="478"/>
      <c r="AC250" s="34" t="s">
        <v>479</v>
      </c>
      <c r="AD250" s="356"/>
      <c r="AE250" s="18">
        <v>1</v>
      </c>
      <c r="AF250" s="33" t="s">
        <v>462</v>
      </c>
      <c r="AG250" s="491">
        <f t="shared" si="52"/>
        <v>1</v>
      </c>
      <c r="AH250" s="481" t="str">
        <f t="shared" si="53"/>
        <v>BAC(S)</v>
      </c>
      <c r="AI250" s="477" t="str">
        <f>IF($AC$250="","",IFERROR(INDEX($AZ$74:$AZ$119,MATCH($AH$250,$AY$74:$AY$119,0)),"AUTRE"))</f>
        <v>AUTRE</v>
      </c>
      <c r="AJ250" s="482">
        <f>IF($AC$250="","",IFERROR(INDEX($BA$74:$BA$119,MATCH($AH$250,$AY$74:$AY$119,0)),1))</f>
        <v>1</v>
      </c>
      <c r="AK250" s="482">
        <f t="shared" si="54"/>
        <v>1</v>
      </c>
      <c r="AL250" s="477" t="str">
        <f>IF($AC$250="","",IFERROR(INDEX($BB$74:$BB$119,MATCH($AH$250,$AY$74:$AY$119,0)),$AH$250))</f>
        <v>bac(s)</v>
      </c>
      <c r="AM250" s="483" t="str">
        <f t="shared" si="55"/>
        <v>OK</v>
      </c>
      <c r="AN250" s="484">
        <f t="shared" si="56"/>
        <v>1</v>
      </c>
      <c r="AO250" s="473" t="str">
        <f t="shared" si="57"/>
        <v/>
      </c>
      <c r="AP250" s="473" t="str">
        <f t="shared" si="58"/>
        <v/>
      </c>
      <c r="AQ250" s="473" t="str">
        <f t="shared" si="59"/>
        <v/>
      </c>
      <c r="AR250" s="473" t="str">
        <f t="shared" si="60"/>
        <v/>
      </c>
      <c r="AS250" s="473" t="str">
        <f t="shared" si="61"/>
        <v/>
      </c>
      <c r="AT250" s="473" t="str">
        <f t="shared" si="62"/>
        <v/>
      </c>
      <c r="AU250" s="473" t="str">
        <f t="shared" si="63"/>
        <v/>
      </c>
      <c r="AY250" s="497" t="s">
        <v>466</v>
      </c>
      <c r="AZ250" s="32" t="s">
        <v>8139</v>
      </c>
      <c r="BA250" s="25" t="s">
        <v>6133</v>
      </c>
      <c r="BB250" s="499"/>
      <c r="BC250" s="271"/>
      <c r="BD250" s="279">
        <v>1</v>
      </c>
      <c r="BE250" s="271"/>
      <c r="BF250" s="271"/>
      <c r="BG250" s="271"/>
      <c r="BH250" s="271"/>
      <c r="BI250" s="271"/>
      <c r="BJ250" s="271"/>
      <c r="BK250" s="271"/>
      <c r="BL250" s="271"/>
    </row>
    <row r="251" spans="18:64" ht="30" customHeight="1" x14ac:dyDescent="0.25">
      <c r="R251" s="34" t="s">
        <v>468</v>
      </c>
      <c r="S251" s="451"/>
      <c r="T251" s="32" t="s">
        <v>307</v>
      </c>
      <c r="V251" s="453" t="s">
        <v>324</v>
      </c>
      <c r="W251" s="453" t="s">
        <v>7912</v>
      </c>
      <c r="X251" s="453" t="s">
        <v>326</v>
      </c>
      <c r="Y251" s="453" t="s">
        <v>327</v>
      </c>
      <c r="Z251" s="454" t="s">
        <v>7930</v>
      </c>
      <c r="AA251" s="453" t="s">
        <v>7937</v>
      </c>
      <c r="AB251" s="455" t="s">
        <v>39</v>
      </c>
      <c r="AC251" s="455" t="s">
        <v>338</v>
      </c>
      <c r="AD251" s="455" t="s">
        <v>8114</v>
      </c>
      <c r="AE251" s="455" t="s">
        <v>339</v>
      </c>
      <c r="AF251" s="455" t="s">
        <v>7997</v>
      </c>
      <c r="AG251" s="453" t="s">
        <v>8018</v>
      </c>
      <c r="AH251" s="453" t="s">
        <v>8023</v>
      </c>
      <c r="AI251" s="453" t="s">
        <v>330</v>
      </c>
      <c r="AJ251" s="453" t="s">
        <v>8031</v>
      </c>
      <c r="AK251" s="453" t="s">
        <v>8037</v>
      </c>
      <c r="AL251" s="453" t="s">
        <v>8041</v>
      </c>
      <c r="AM251" s="453" t="s">
        <v>343</v>
      </c>
      <c r="AN251" s="457" t="s">
        <v>8115</v>
      </c>
      <c r="AO251" s="457" t="s">
        <v>8116</v>
      </c>
      <c r="AP251" s="656" t="s">
        <v>8117</v>
      </c>
      <c r="AQ251" s="656"/>
      <c r="AR251" s="656"/>
      <c r="AS251" s="656"/>
      <c r="AT251" s="656"/>
      <c r="AU251" s="657"/>
      <c r="AZ251" s="32" t="s">
        <v>8141</v>
      </c>
      <c r="BA251" s="34" t="s">
        <v>476</v>
      </c>
      <c r="BB251" s="499"/>
      <c r="BC251" s="271"/>
      <c r="BD251" s="279">
        <v>1</v>
      </c>
      <c r="BE251" s="271"/>
      <c r="BF251" s="271"/>
      <c r="BG251" s="271"/>
      <c r="BH251" s="271"/>
      <c r="BI251" s="271"/>
      <c r="BJ251" s="271"/>
      <c r="BK251" s="271"/>
      <c r="BL251" s="271"/>
    </row>
    <row r="252" spans="18:64" ht="30" customHeight="1" x14ac:dyDescent="0.25">
      <c r="R252" s="34" t="s">
        <v>473</v>
      </c>
      <c r="S252" s="451"/>
      <c r="T252" s="32" t="s">
        <v>322</v>
      </c>
      <c r="V252" s="459">
        <v>6</v>
      </c>
      <c r="W252" s="460" t="s">
        <v>79</v>
      </c>
      <c r="X252" s="461" t="s">
        <v>78</v>
      </c>
      <c r="Y252" s="462">
        <v>23</v>
      </c>
      <c r="Z252" s="463">
        <v>100</v>
      </c>
      <c r="AA252" s="464">
        <f>IF($AC$396="","",ROW($A$396)-ROW($A$396))</f>
        <v>0</v>
      </c>
      <c r="AB252" s="461"/>
      <c r="AC252" s="465" t="s">
        <v>80</v>
      </c>
      <c r="AD252" s="390"/>
      <c r="AE252" s="13">
        <v>12</v>
      </c>
      <c r="AF252" s="14" t="s">
        <v>7</v>
      </c>
      <c r="AG252" s="467">
        <f t="shared" ref="AG252:AG286" si="64">IF($AC252="","",IF(LEN($AN252&amp;"")=0,"",$AN252))</f>
        <v>12</v>
      </c>
      <c r="AH252" s="468" t="str">
        <f t="shared" ref="AH252:AH286" si="65">IF($AC252="","",IF($AF252&lt;&gt;"",UPPER(TRIM(SUBSTITUTE(SUBSTITUTE($AF252&amp;"",CHAR(160)," ")," "," "))),$AP252))</f>
        <v>KG</v>
      </c>
      <c r="AI252" s="469" t="str">
        <f>IF($AC$252="","",IFERROR(INDEX($AZ$74:$AZ$119,MATCH($AH$252,$AY$74:$AY$119,0)),"AUTRE"))</f>
        <v>MASSE</v>
      </c>
      <c r="AJ252" s="470">
        <f>IF($AC$252="","",IFERROR(INDEX($BA$74:$BA$119,MATCH($AH$252,$AY$74:$AY$119,0)),1))</f>
        <v>1</v>
      </c>
      <c r="AK252" s="470">
        <f t="shared" ref="AK252:AK315" si="66">IF(OR(AG252="",AJ252=""),"",AG252*AJ252)</f>
        <v>12</v>
      </c>
      <c r="AL252" s="469" t="str">
        <f>IF($AC$252="","",IFERROR(INDEX($BB$74:$BB$119,MATCH($AH$252,$AY$74:$AY$119,0)),$AH$252))</f>
        <v>kg</v>
      </c>
      <c r="AM252" s="471" t="str">
        <f t="shared" ref="AM252:AM286" si="67">IF($AC252="","",IF($AH252="QT. SUFFISANTE","OK",IF($AG252="","TEXTE",IF(NOT(ISNUMBER($AG252)),"QUANTITÉ À CONTRÔLER",IF(COUNTIF($AY$74:$AY$119,$AH252)=0,"UNITÉ À CONTRÔLER","OK")))))</f>
        <v>OK</v>
      </c>
      <c r="AN252" s="474">
        <f t="shared" ref="AN252:AN286" si="68">IF($AE252&lt;&gt;"",$AE252,IF($AD252="","",IF(ISNUMBER($AD252),$AD252,IF($AO252="QT",0,IF($AO252="","",IFERROR(IF(ISNUMBER(SEARCH("/",$AO252)),VALUE(TRIM(LEFT($AO252,SEARCH("/",$AO252)-1)))/VALUE(TRIM(MID($AO252,SEARCH("/",$AO252)+1,99))),VALUE(SUBSTITUTE($AO252,".",","))),""))))))</f>
        <v>12</v>
      </c>
      <c r="AO252" s="473" t="str">
        <f t="shared" ref="AO252:AO286" si="69">IF($AD252="","",IF(ISNUMBER($AD252),$AD252,IF(OR(LEFT($AQ252,3)="QT.",LEFT($AQ252,4)="QUAN"),"QT",IF($AR252=999,$AQ252,TRIM(LEFT($AQ252,$AR252-1))))))</f>
        <v/>
      </c>
      <c r="AP252" s="473" t="str">
        <f t="shared" ref="AP252:AP286" si="70">IF($AD252="","",IF(ISNUMBER($AD252),"",IF(OR(LEFT($AQ252,3)="QT.",LEFT($AQ252,4)="QUAN"),"QT. SUFFISANTE",IF($AO252="","",TRIM(MID($AQ252,LEN($AO252&amp;"")+1,999))))))</f>
        <v/>
      </c>
      <c r="AQ252" s="473" t="str">
        <f t="shared" ref="AQ252:AQ286" si="71">IF($AD252="","",UPPER(TRIM(SUBSTITUTE(SUBSTITUTE($AD252&amp;"",CHAR(160)," ")," "," "))))</f>
        <v/>
      </c>
      <c r="AR252" s="473" t="str">
        <f t="shared" ref="AR252:AR286" si="72">IF($AQ252="","",MIN($AS252,$AT252,$AU252))</f>
        <v/>
      </c>
      <c r="AS252" s="473" t="str">
        <f t="shared" ref="AS252:AS286" si="73">IF($AQ252="","",MIN(IFERROR(SEARCH("A",$AQ252),999),IFERROR(SEARCH("B",$AQ252),999),IFERROR(SEARCH("C",$AQ252),999),IFERROR(SEARCH("D",$AQ252),999),IFERROR(SEARCH("E",$AQ252),999),IFERROR(SEARCH("F",$AQ252),999),IFERROR(SEARCH("G",$AQ252),999),IFERROR(SEARCH("H",$AQ252),999),IFERROR(SEARCH("I",$AQ252),999)))</f>
        <v/>
      </c>
      <c r="AT252" s="473" t="str">
        <f t="shared" ref="AT252:AT286" si="74">IF($AQ252="","",MIN(IFERROR(SEARCH("J",$AQ252),999),IFERROR(SEARCH("K",$AQ252),999),IFERROR(SEARCH("L",$AQ252),999),IFERROR(SEARCH("M",$AQ252),999),IFERROR(SEARCH("N",$AQ252),999),IFERROR(SEARCH("O",$AQ252),999),IFERROR(SEARCH("P",$AQ252),999),IFERROR(SEARCH("Q",$AQ252),999),IFERROR(SEARCH("R",$AQ252),999)))</f>
        <v/>
      </c>
      <c r="AU252" s="473" t="str">
        <f t="shared" ref="AU252:AU286" si="75">IF($AQ252="","",MIN(IFERROR(SEARCH("S",$AQ252),999),IFERROR(SEARCH("T",$AQ252),999),IFERROR(SEARCH("U",$AQ252),999),IFERROR(SEARCH("V",$AQ252),999),IFERROR(SEARCH("W",$AQ252),999),IFERROR(SEARCH("X",$AQ252),999),IFERROR(SEARCH("Y",$AQ252),999),IFERROR(SEARCH("Z",$AQ252),999)))</f>
        <v/>
      </c>
      <c r="AZ252" s="32" t="s">
        <v>8143</v>
      </c>
      <c r="BA252" s="34" t="s">
        <v>468</v>
      </c>
      <c r="BB252" s="499"/>
      <c r="BC252" s="271"/>
      <c r="BD252" s="279">
        <v>1</v>
      </c>
      <c r="BE252" s="271"/>
      <c r="BF252" s="271"/>
      <c r="BG252" s="271"/>
      <c r="BH252" s="271"/>
      <c r="BI252" s="271"/>
      <c r="BJ252" s="271"/>
      <c r="BK252" s="271"/>
      <c r="BL252" s="271"/>
    </row>
    <row r="253" spans="18:64" ht="21" customHeight="1" x14ac:dyDescent="0.25">
      <c r="R253" s="34" t="s">
        <v>497</v>
      </c>
      <c r="S253" s="451"/>
      <c r="T253" s="32" t="s">
        <v>305</v>
      </c>
      <c r="V253" s="475">
        <f>$V$252</f>
        <v>6</v>
      </c>
      <c r="W253" s="475" t="str">
        <f>IF($AC$253="","",$W$252)</f>
        <v>N° 06</v>
      </c>
      <c r="X253" s="476" t="str">
        <f>IF($AC$253="","",$X$252)</f>
        <v>LÉGUMES A LA GRECQUE</v>
      </c>
      <c r="Y253" s="477">
        <f>IF($X$253="","",$Y$252)</f>
        <v>23</v>
      </c>
      <c r="Z253" s="477">
        <f>IF($X$253="","",$Z$252)</f>
        <v>100</v>
      </c>
      <c r="AA253" s="477">
        <f>IF($AC$253="","",ROW($A$253)-ROW($A$252))</f>
        <v>1</v>
      </c>
      <c r="AB253" s="478"/>
      <c r="AC253" s="34" t="s">
        <v>81</v>
      </c>
      <c r="AD253" s="356"/>
      <c r="AE253" s="18">
        <v>3</v>
      </c>
      <c r="AF253" s="3" t="s">
        <v>7</v>
      </c>
      <c r="AG253" s="480">
        <f t="shared" si="64"/>
        <v>3</v>
      </c>
      <c r="AH253" s="481" t="str">
        <f t="shared" si="65"/>
        <v>KG</v>
      </c>
      <c r="AI253" s="477" t="str">
        <f>IF($AC$253="","",IFERROR(INDEX($AZ$74:$AZ$119,MATCH($AH$253,$AY$74:$AY$119,0)),"AUTRE"))</f>
        <v>MASSE</v>
      </c>
      <c r="AJ253" s="482">
        <f>IF($AC$253="","",IFERROR(INDEX($BA$74:$BA$119,MATCH($AH$253,$AY$74:$AY$119,0)),1))</f>
        <v>1</v>
      </c>
      <c r="AK253" s="482">
        <f t="shared" si="66"/>
        <v>3</v>
      </c>
      <c r="AL253" s="477" t="str">
        <f>IF($AC$253="","",IFERROR(INDEX($BB$74:$BB$119,MATCH($AH$253,$AY$74:$AY$119,0)),$AH$253))</f>
        <v>kg</v>
      </c>
      <c r="AM253" s="483" t="str">
        <f t="shared" si="67"/>
        <v>OK</v>
      </c>
      <c r="AN253" s="484">
        <f t="shared" si="68"/>
        <v>3</v>
      </c>
      <c r="AO253" s="473" t="str">
        <f t="shared" si="69"/>
        <v/>
      </c>
      <c r="AP253" s="473" t="str">
        <f t="shared" si="70"/>
        <v/>
      </c>
      <c r="AQ253" s="473" t="str">
        <f t="shared" si="71"/>
        <v/>
      </c>
      <c r="AR253" s="473" t="str">
        <f t="shared" si="72"/>
        <v/>
      </c>
      <c r="AS253" s="473" t="str">
        <f t="shared" si="73"/>
        <v/>
      </c>
      <c r="AT253" s="473" t="str">
        <f t="shared" si="74"/>
        <v/>
      </c>
      <c r="AU253" s="473" t="str">
        <f t="shared" si="75"/>
        <v/>
      </c>
      <c r="AZ253" s="497" t="s">
        <v>8145</v>
      </c>
      <c r="BA253" s="34" t="s">
        <v>473</v>
      </c>
      <c r="BB253" s="499"/>
      <c r="BC253" s="271"/>
      <c r="BD253" s="279">
        <v>1</v>
      </c>
      <c r="BE253" s="271"/>
      <c r="BF253" s="271"/>
      <c r="BG253" s="271"/>
      <c r="BH253" s="271"/>
      <c r="BI253" s="271"/>
      <c r="BJ253" s="271"/>
      <c r="BK253" s="271"/>
      <c r="BL253" s="271"/>
    </row>
    <row r="254" spans="18:64" ht="21" customHeight="1" x14ac:dyDescent="0.25">
      <c r="R254" s="34" t="s">
        <v>470</v>
      </c>
      <c r="S254" s="451"/>
      <c r="T254" s="32" t="s">
        <v>309</v>
      </c>
      <c r="V254" s="475">
        <v>6</v>
      </c>
      <c r="W254" s="475" t="str">
        <f>IF($AC$254="","",$W$252)</f>
        <v>N° 06</v>
      </c>
      <c r="X254" s="476" t="str">
        <f>IF($AC$254="","",$X$252)</f>
        <v>LÉGUMES A LA GRECQUE</v>
      </c>
      <c r="Y254" s="477">
        <f>IF($X$254="","",$Y$252)</f>
        <v>23</v>
      </c>
      <c r="Z254" s="477">
        <f>IF($X$254="","",$Z$252)</f>
        <v>100</v>
      </c>
      <c r="AA254" s="477">
        <f>IF($AC$254="","",ROW($A$254)-ROW($A$252))</f>
        <v>2</v>
      </c>
      <c r="AB254" s="478"/>
      <c r="AC254" s="34" t="s">
        <v>82</v>
      </c>
      <c r="AD254" s="356"/>
      <c r="AE254" s="18">
        <v>2</v>
      </c>
      <c r="AF254" s="6" t="s">
        <v>9</v>
      </c>
      <c r="AG254" s="480">
        <f t="shared" si="64"/>
        <v>2</v>
      </c>
      <c r="AH254" s="481" t="str">
        <f t="shared" si="65"/>
        <v>L</v>
      </c>
      <c r="AI254" s="477" t="str">
        <f>IF($AC$254="","",IFERROR(INDEX($AZ$74:$AZ$119,MATCH($AH$254,$AY$74:$AY$119,0)),"AUTRE"))</f>
        <v>VOLUME</v>
      </c>
      <c r="AJ254" s="482">
        <f>IF($AC$254="","",IFERROR(INDEX($BA$74:$BA$119,MATCH($AH$254,$AY$74:$AY$119,0)),1))</f>
        <v>1</v>
      </c>
      <c r="AK254" s="482">
        <f t="shared" si="66"/>
        <v>2</v>
      </c>
      <c r="AL254" s="477" t="str">
        <f>IF($AC$254="","",IFERROR(INDEX($BB$74:$BB$119,MATCH($AH$254,$AY$74:$AY$119,0)),$AH$254))</f>
        <v>L</v>
      </c>
      <c r="AM254" s="483" t="str">
        <f t="shared" si="67"/>
        <v>OK</v>
      </c>
      <c r="AN254" s="484">
        <f t="shared" si="68"/>
        <v>2</v>
      </c>
      <c r="AO254" s="473" t="str">
        <f t="shared" si="69"/>
        <v/>
      </c>
      <c r="AP254" s="473" t="str">
        <f t="shared" si="70"/>
        <v/>
      </c>
      <c r="AQ254" s="473" t="str">
        <f t="shared" si="71"/>
        <v/>
      </c>
      <c r="AR254" s="473" t="str">
        <f t="shared" si="72"/>
        <v/>
      </c>
      <c r="AS254" s="473" t="str">
        <f t="shared" si="73"/>
        <v/>
      </c>
      <c r="AT254" s="473" t="str">
        <f t="shared" si="74"/>
        <v/>
      </c>
      <c r="AU254" s="473" t="str">
        <f t="shared" si="75"/>
        <v/>
      </c>
      <c r="AZ254" s="497" t="s">
        <v>462</v>
      </c>
      <c r="BA254" s="34" t="s">
        <v>497</v>
      </c>
      <c r="BB254" s="499"/>
      <c r="BC254" s="271"/>
      <c r="BD254" s="279">
        <v>1</v>
      </c>
      <c r="BE254" s="271"/>
      <c r="BF254" s="271"/>
      <c r="BG254" s="271"/>
      <c r="BH254" s="271"/>
      <c r="BI254" s="271"/>
      <c r="BJ254" s="271"/>
      <c r="BK254" s="271"/>
      <c r="BL254" s="271"/>
    </row>
    <row r="255" spans="18:64" ht="21" customHeight="1" x14ac:dyDescent="0.25">
      <c r="R255" s="34" t="s">
        <v>477</v>
      </c>
      <c r="S255" s="451"/>
      <c r="T255" s="32" t="s">
        <v>311</v>
      </c>
      <c r="V255" s="475">
        <v>6</v>
      </c>
      <c r="W255" s="475" t="str">
        <f>IF($AC$255="","",$W$252)</f>
        <v>N° 06</v>
      </c>
      <c r="X255" s="476" t="str">
        <f>IF($AC$255="","",$X$252)</f>
        <v>LÉGUMES A LA GRECQUE</v>
      </c>
      <c r="Y255" s="477">
        <f>IF($X$255="","",$Y$252)</f>
        <v>23</v>
      </c>
      <c r="Z255" s="477">
        <f>IF($X$255="","",$Z$252)</f>
        <v>100</v>
      </c>
      <c r="AA255" s="477">
        <f>IF($AC$255="","",ROW($A$255)-ROW($A$252))</f>
        <v>3</v>
      </c>
      <c r="AB255" s="478"/>
      <c r="AC255" s="34" t="s">
        <v>42</v>
      </c>
      <c r="AD255" s="356"/>
      <c r="AE255" s="18">
        <v>1</v>
      </c>
      <c r="AF255" s="6" t="s">
        <v>9</v>
      </c>
      <c r="AG255" s="480">
        <f t="shared" si="64"/>
        <v>1</v>
      </c>
      <c r="AH255" s="481" t="str">
        <f t="shared" si="65"/>
        <v>L</v>
      </c>
      <c r="AI255" s="477" t="str">
        <f>IF($AC$255="","",IFERROR(INDEX($AZ$74:$AZ$119,MATCH($AH$255,$AY$74:$AY$119,0)),"AUTRE"))</f>
        <v>VOLUME</v>
      </c>
      <c r="AJ255" s="482">
        <f>IF($AC$255="","",IFERROR(INDEX($BA$74:$BA$119,MATCH($AH$255,$AY$74:$AY$119,0)),1))</f>
        <v>1</v>
      </c>
      <c r="AK255" s="482">
        <f t="shared" si="66"/>
        <v>1</v>
      </c>
      <c r="AL255" s="477" t="str">
        <f>IF($AC$255="","",IFERROR(INDEX($BB$74:$BB$119,MATCH($AH$255,$AY$74:$AY$119,0)),$AH$255))</f>
        <v>L</v>
      </c>
      <c r="AM255" s="483" t="str">
        <f t="shared" si="67"/>
        <v>OK</v>
      </c>
      <c r="AN255" s="484">
        <f t="shared" si="68"/>
        <v>1</v>
      </c>
      <c r="AO255" s="473" t="str">
        <f t="shared" si="69"/>
        <v/>
      </c>
      <c r="AP255" s="473" t="str">
        <f t="shared" si="70"/>
        <v/>
      </c>
      <c r="AQ255" s="473" t="str">
        <f t="shared" si="71"/>
        <v/>
      </c>
      <c r="AR255" s="473" t="str">
        <f t="shared" si="72"/>
        <v/>
      </c>
      <c r="AS255" s="473" t="str">
        <f t="shared" si="73"/>
        <v/>
      </c>
      <c r="AT255" s="473" t="str">
        <f t="shared" si="74"/>
        <v/>
      </c>
      <c r="AU255" s="473" t="str">
        <f t="shared" si="75"/>
        <v/>
      </c>
      <c r="AZ255" s="497" t="s">
        <v>463</v>
      </c>
      <c r="BA255" s="34" t="s">
        <v>470</v>
      </c>
      <c r="BB255" s="499"/>
      <c r="BC255" s="271"/>
      <c r="BD255" s="279">
        <v>1</v>
      </c>
      <c r="BE255" s="271"/>
      <c r="BF255" s="271"/>
      <c r="BG255" s="271"/>
      <c r="BH255" s="271"/>
      <c r="BI255" s="271"/>
      <c r="BJ255" s="271"/>
      <c r="BK255" s="271"/>
      <c r="BL255" s="271"/>
    </row>
    <row r="256" spans="18:64" ht="21" customHeight="1" x14ac:dyDescent="0.25">
      <c r="S256" s="451"/>
      <c r="T256" s="32" t="s">
        <v>8135</v>
      </c>
      <c r="V256" s="475">
        <v>6</v>
      </c>
      <c r="W256" s="475" t="str">
        <f>IF($AC$256="","",$W$252)</f>
        <v>N° 06</v>
      </c>
      <c r="X256" s="476" t="str">
        <f>IF($AC$256="","",$X$252)</f>
        <v>LÉGUMES A LA GRECQUE</v>
      </c>
      <c r="Y256" s="477">
        <f>IF($X$256="","",$Y$252)</f>
        <v>23</v>
      </c>
      <c r="Z256" s="477">
        <f>IF($X$256="","",$Z$252)</f>
        <v>100</v>
      </c>
      <c r="AA256" s="477">
        <f>IF($AC$256="","",ROW($A$256)-ROW($A$252))</f>
        <v>4</v>
      </c>
      <c r="AB256" s="478"/>
      <c r="AC256" s="34" t="s">
        <v>59</v>
      </c>
      <c r="AD256" s="356"/>
      <c r="AE256" s="18">
        <v>0.75</v>
      </c>
      <c r="AF256" s="6" t="s">
        <v>9</v>
      </c>
      <c r="AG256" s="480">
        <f t="shared" si="64"/>
        <v>0.75</v>
      </c>
      <c r="AH256" s="481" t="str">
        <f t="shared" si="65"/>
        <v>L</v>
      </c>
      <c r="AI256" s="477" t="str">
        <f>IF($AC$256="","",IFERROR(INDEX($AZ$74:$AZ$119,MATCH($AH$256,$AY$74:$AY$119,0)),"AUTRE"))</f>
        <v>VOLUME</v>
      </c>
      <c r="AJ256" s="482">
        <f>IF($AC$256="","",IFERROR(INDEX($BA$74:$BA$119,MATCH($AH$256,$AY$74:$AY$119,0)),1))</f>
        <v>1</v>
      </c>
      <c r="AK256" s="482">
        <f t="shared" si="66"/>
        <v>0.75</v>
      </c>
      <c r="AL256" s="477" t="str">
        <f>IF($AC$256="","",IFERROR(INDEX($BB$74:$BB$119,MATCH($AH$256,$AY$74:$AY$119,0)),$AH$256))</f>
        <v>L</v>
      </c>
      <c r="AM256" s="483" t="str">
        <f t="shared" si="67"/>
        <v>OK</v>
      </c>
      <c r="AN256" s="484">
        <f t="shared" si="68"/>
        <v>0.75</v>
      </c>
      <c r="AO256" s="473" t="str">
        <f t="shared" si="69"/>
        <v/>
      </c>
      <c r="AP256" s="473" t="str">
        <f t="shared" si="70"/>
        <v/>
      </c>
      <c r="AQ256" s="473" t="str">
        <f t="shared" si="71"/>
        <v/>
      </c>
      <c r="AR256" s="473" t="str">
        <f t="shared" si="72"/>
        <v/>
      </c>
      <c r="AS256" s="473" t="str">
        <f t="shared" si="73"/>
        <v/>
      </c>
      <c r="AT256" s="473" t="str">
        <f t="shared" si="74"/>
        <v/>
      </c>
      <c r="AU256" s="473" t="str">
        <f t="shared" si="75"/>
        <v/>
      </c>
      <c r="AZ256" s="497" t="s">
        <v>8147</v>
      </c>
      <c r="BA256" s="34" t="s">
        <v>477</v>
      </c>
      <c r="BB256" s="499"/>
      <c r="BC256" s="271"/>
      <c r="BD256" s="279">
        <v>1</v>
      </c>
      <c r="BE256" s="271"/>
      <c r="BF256" s="271"/>
      <c r="BG256" s="271"/>
      <c r="BH256" s="271"/>
      <c r="BI256" s="271"/>
      <c r="BJ256" s="271"/>
      <c r="BK256" s="271"/>
      <c r="BL256" s="271"/>
    </row>
    <row r="257" spans="18:64" ht="21" customHeight="1" x14ac:dyDescent="0.25">
      <c r="R257" s="25" t="s">
        <v>6134</v>
      </c>
      <c r="S257" s="451"/>
      <c r="T257" s="497" t="s">
        <v>462</v>
      </c>
      <c r="V257" s="475">
        <v>6</v>
      </c>
      <c r="W257" s="475" t="str">
        <f>IF($AC$257="","",$W$252)</f>
        <v>N° 06</v>
      </c>
      <c r="X257" s="476" t="str">
        <f>IF($AC$257="","",$X$252)</f>
        <v>LÉGUMES A LA GRECQUE</v>
      </c>
      <c r="Y257" s="477">
        <f>IF($X$257="","",$Y$252)</f>
        <v>23</v>
      </c>
      <c r="Z257" s="477">
        <f>IF($X$257="","",$Z$252)</f>
        <v>100</v>
      </c>
      <c r="AA257" s="477">
        <f>IF($AC$257="","",ROW($A$257)-ROW($A$252))</f>
        <v>5</v>
      </c>
      <c r="AB257" s="478"/>
      <c r="AC257" s="34" t="s">
        <v>83</v>
      </c>
      <c r="AD257" s="356"/>
      <c r="AE257" s="18">
        <v>1</v>
      </c>
      <c r="AF257" s="9" t="s">
        <v>309</v>
      </c>
      <c r="AG257" s="480">
        <f t="shared" si="64"/>
        <v>1</v>
      </c>
      <c r="AH257" s="481" t="str">
        <f t="shared" si="65"/>
        <v>PIÈCE(S)</v>
      </c>
      <c r="AI257" s="477" t="str">
        <f>IF($AC$257="","",IFERROR(INDEX($AZ$74:$AZ$119,MATCH($AH$257,$AY$74:$AY$119,0)),"AUTRE"))</f>
        <v>AUTRE</v>
      </c>
      <c r="AJ257" s="482">
        <f>IF($AC$257="","",IFERROR(INDEX($BA$74:$BA$119,MATCH($AH$257,$AY$74:$AY$119,0)),1))</f>
        <v>1</v>
      </c>
      <c r="AK257" s="482">
        <f t="shared" si="66"/>
        <v>1</v>
      </c>
      <c r="AL257" s="477" t="str">
        <f>IF($AC$257="","",IFERROR(INDEX($BB$74:$BB$119,MATCH($AH$257,$AY$74:$AY$119,0)),$AH$257))</f>
        <v>pièce(s)</v>
      </c>
      <c r="AM257" s="483" t="str">
        <f t="shared" si="67"/>
        <v>OK</v>
      </c>
      <c r="AN257" s="484">
        <f t="shared" si="68"/>
        <v>1</v>
      </c>
      <c r="AO257" s="473" t="str">
        <f t="shared" si="69"/>
        <v/>
      </c>
      <c r="AP257" s="473" t="str">
        <f t="shared" si="70"/>
        <v/>
      </c>
      <c r="AQ257" s="473" t="str">
        <f t="shared" si="71"/>
        <v/>
      </c>
      <c r="AR257" s="473" t="str">
        <f t="shared" si="72"/>
        <v/>
      </c>
      <c r="AS257" s="473" t="str">
        <f t="shared" si="73"/>
        <v/>
      </c>
      <c r="AT257" s="473" t="str">
        <f t="shared" si="74"/>
        <v/>
      </c>
      <c r="AU257" s="473" t="str">
        <f t="shared" si="75"/>
        <v/>
      </c>
      <c r="AZ257" s="497" t="s">
        <v>465</v>
      </c>
      <c r="BB257" s="499"/>
      <c r="BC257" s="271"/>
      <c r="BD257" s="279">
        <v>1</v>
      </c>
      <c r="BE257" s="271"/>
      <c r="BF257" s="271"/>
      <c r="BG257" s="271"/>
      <c r="BH257" s="271"/>
      <c r="BI257" s="271"/>
      <c r="BJ257" s="271"/>
      <c r="BK257" s="271"/>
      <c r="BL257" s="271"/>
    </row>
    <row r="258" spans="18:64" ht="21" customHeight="1" x14ac:dyDescent="0.25">
      <c r="R258" s="34" t="s">
        <v>481</v>
      </c>
      <c r="S258" s="451"/>
      <c r="T258" s="497" t="s">
        <v>463</v>
      </c>
      <c r="V258" s="475">
        <v>6</v>
      </c>
      <c r="W258" s="475" t="str">
        <f>IF($AC$258="","",$W$252)</f>
        <v>N° 06</v>
      </c>
      <c r="X258" s="476" t="str">
        <f>IF($AC$258="","",$X$252)</f>
        <v>LÉGUMES A LA GRECQUE</v>
      </c>
      <c r="Y258" s="477">
        <f>IF($X$258="","",$Y$252)</f>
        <v>23</v>
      </c>
      <c r="Z258" s="477">
        <f>IF($X$258="","",$Z$252)</f>
        <v>100</v>
      </c>
      <c r="AA258" s="477">
        <f>IF($AC$258="","",ROW($A$258)-ROW($A$252))</f>
        <v>6</v>
      </c>
      <c r="AB258" s="478"/>
      <c r="AC258" s="34" t="s">
        <v>84</v>
      </c>
      <c r="AD258" s="356"/>
      <c r="AE258" s="18">
        <v>60</v>
      </c>
      <c r="AF258" s="5" t="s">
        <v>8</v>
      </c>
      <c r="AG258" s="480">
        <f t="shared" si="64"/>
        <v>60</v>
      </c>
      <c r="AH258" s="481" t="str">
        <f t="shared" si="65"/>
        <v>G</v>
      </c>
      <c r="AI258" s="477" t="str">
        <f>IF($AC$258="","",IFERROR(INDEX($AZ$74:$AZ$119,MATCH($AH$258,$AY$74:$AY$119,0)),"AUTRE"))</f>
        <v>MASSE</v>
      </c>
      <c r="AJ258" s="482">
        <f>IF($AC$258="","",IFERROR(INDEX($BA$74:$BA$119,MATCH($AH$258,$AY$74:$AY$119,0)),1))</f>
        <v>1E-3</v>
      </c>
      <c r="AK258" s="482">
        <f t="shared" si="66"/>
        <v>0.06</v>
      </c>
      <c r="AL258" s="477" t="str">
        <f>IF($AC$258="","",IFERROR(INDEX($BB$74:$BB$119,MATCH($AH$258,$AY$74:$AY$119,0)),$AH$258))</f>
        <v>kg</v>
      </c>
      <c r="AM258" s="483" t="str">
        <f t="shared" si="67"/>
        <v>OK</v>
      </c>
      <c r="AN258" s="484">
        <f t="shared" si="68"/>
        <v>60</v>
      </c>
      <c r="AO258" s="473" t="str">
        <f t="shared" si="69"/>
        <v/>
      </c>
      <c r="AP258" s="473" t="str">
        <f t="shared" si="70"/>
        <v/>
      </c>
      <c r="AQ258" s="473" t="str">
        <f t="shared" si="71"/>
        <v/>
      </c>
      <c r="AR258" s="473" t="str">
        <f t="shared" si="72"/>
        <v/>
      </c>
      <c r="AS258" s="473" t="str">
        <f t="shared" si="73"/>
        <v/>
      </c>
      <c r="AT258" s="473" t="str">
        <f t="shared" si="74"/>
        <v/>
      </c>
      <c r="AU258" s="473" t="str">
        <f t="shared" si="75"/>
        <v/>
      </c>
      <c r="AZ258" s="497" t="s">
        <v>466</v>
      </c>
      <c r="BA258" s="25" t="s">
        <v>6134</v>
      </c>
      <c r="BB258" s="499"/>
      <c r="BC258" s="271"/>
      <c r="BD258" s="279">
        <v>1</v>
      </c>
      <c r="BE258" s="271"/>
      <c r="BF258" s="271"/>
      <c r="BG258" s="271"/>
      <c r="BH258" s="271"/>
      <c r="BI258" s="271"/>
      <c r="BJ258" s="271"/>
      <c r="BK258" s="271"/>
      <c r="BL258" s="271"/>
    </row>
    <row r="259" spans="18:64" ht="21" customHeight="1" x14ac:dyDescent="0.25">
      <c r="R259" s="34" t="s">
        <v>475</v>
      </c>
      <c r="S259" s="451"/>
      <c r="T259" s="497" t="s">
        <v>8147</v>
      </c>
      <c r="V259" s="475">
        <v>6</v>
      </c>
      <c r="W259" s="475" t="str">
        <f>IF($AC$259="","",$W$252)</f>
        <v>N° 06</v>
      </c>
      <c r="X259" s="476" t="str">
        <f>IF($AC$259="","",$X$252)</f>
        <v>LÉGUMES A LA GRECQUE</v>
      </c>
      <c r="Y259" s="477">
        <f>IF($X$259="","",$Y$252)</f>
        <v>23</v>
      </c>
      <c r="Z259" s="477">
        <f>IF($X$259="","",$Z$252)</f>
        <v>100</v>
      </c>
      <c r="AA259" s="477">
        <f>IF($AC$259="","",ROW($A$259)-ROW($A$252))</f>
        <v>7</v>
      </c>
      <c r="AB259" s="478"/>
      <c r="AC259" s="34" t="s">
        <v>68</v>
      </c>
      <c r="AD259" s="356"/>
      <c r="AE259" s="18">
        <v>7</v>
      </c>
      <c r="AF259" s="5" t="s">
        <v>8</v>
      </c>
      <c r="AG259" s="480">
        <f t="shared" si="64"/>
        <v>7</v>
      </c>
      <c r="AH259" s="481" t="str">
        <f t="shared" si="65"/>
        <v>G</v>
      </c>
      <c r="AI259" s="477" t="str">
        <f>IF($AC$259="","",IFERROR(INDEX($AZ$74:$AZ$119,MATCH($AH$259,$AY$74:$AY$119,0)),"AUTRE"))</f>
        <v>MASSE</v>
      </c>
      <c r="AJ259" s="482">
        <f>IF($AC$259="","",IFERROR(INDEX($BA$74:$BA$119,MATCH($AH$259,$AY$74:$AY$119,0)),1))</f>
        <v>1E-3</v>
      </c>
      <c r="AK259" s="482">
        <f t="shared" si="66"/>
        <v>7.0000000000000001E-3</v>
      </c>
      <c r="AL259" s="477" t="str">
        <f>IF($AC$259="","",IFERROR(INDEX($BB$74:$BB$119,MATCH($AH$259,$AY$74:$AY$119,0)),$AH$259))</f>
        <v>kg</v>
      </c>
      <c r="AM259" s="483" t="str">
        <f t="shared" si="67"/>
        <v>OK</v>
      </c>
      <c r="AN259" s="484">
        <f t="shared" si="68"/>
        <v>7</v>
      </c>
      <c r="AO259" s="473" t="str">
        <f t="shared" si="69"/>
        <v/>
      </c>
      <c r="AP259" s="473" t="str">
        <f t="shared" si="70"/>
        <v/>
      </c>
      <c r="AQ259" s="473" t="str">
        <f t="shared" si="71"/>
        <v/>
      </c>
      <c r="AR259" s="473" t="str">
        <f t="shared" si="72"/>
        <v/>
      </c>
      <c r="AS259" s="473" t="str">
        <f t="shared" si="73"/>
        <v/>
      </c>
      <c r="AT259" s="473" t="str">
        <f t="shared" si="74"/>
        <v/>
      </c>
      <c r="AU259" s="473" t="str">
        <f t="shared" si="75"/>
        <v/>
      </c>
      <c r="AZ259" s="14" t="s">
        <v>7</v>
      </c>
      <c r="BA259" s="34" t="s">
        <v>481</v>
      </c>
      <c r="BB259" s="499"/>
      <c r="BC259" s="271"/>
      <c r="BD259" s="279">
        <v>1</v>
      </c>
      <c r="BE259" s="271"/>
      <c r="BF259" s="271"/>
      <c r="BG259" s="271"/>
      <c r="BH259" s="271"/>
      <c r="BI259" s="271"/>
      <c r="BJ259" s="271"/>
      <c r="BK259" s="271"/>
      <c r="BL259" s="271"/>
    </row>
    <row r="260" spans="18:64" ht="21" customHeight="1" x14ac:dyDescent="0.25">
      <c r="R260" s="34" t="s">
        <v>457</v>
      </c>
      <c r="S260" s="451"/>
      <c r="T260" s="497" t="s">
        <v>465</v>
      </c>
      <c r="V260" s="475">
        <v>6</v>
      </c>
      <c r="W260" s="475" t="str">
        <f>IF($AC$260="","",$W$252)</f>
        <v>N° 06</v>
      </c>
      <c r="X260" s="476" t="str">
        <f>IF($AC$260="","",$X$252)</f>
        <v>LÉGUMES A LA GRECQUE</v>
      </c>
      <c r="Y260" s="477">
        <f>IF($X$260="","",$Y$252)</f>
        <v>23</v>
      </c>
      <c r="Z260" s="477">
        <f>IF($X$260="","",$Z$252)</f>
        <v>100</v>
      </c>
      <c r="AA260" s="477">
        <f>IF($AC$260="","",ROW($A$260)-ROW($A$252))</f>
        <v>8</v>
      </c>
      <c r="AB260" s="478"/>
      <c r="AC260" s="34" t="s">
        <v>85</v>
      </c>
      <c r="AD260" s="356"/>
      <c r="AE260" s="18">
        <v>12</v>
      </c>
      <c r="AF260" s="5" t="s">
        <v>8</v>
      </c>
      <c r="AG260" s="480">
        <f t="shared" si="64"/>
        <v>12</v>
      </c>
      <c r="AH260" s="481" t="str">
        <f t="shared" si="65"/>
        <v>G</v>
      </c>
      <c r="AI260" s="477" t="str">
        <f>IF($AC$260="","",IFERROR(INDEX($AZ$74:$AZ$119,MATCH($AH$260,$AY$74:$AY$119,0)),"AUTRE"))</f>
        <v>MASSE</v>
      </c>
      <c r="AJ260" s="482">
        <f>IF($AC$260="","",IFERROR(INDEX($BA$74:$BA$119,MATCH($AH$260,$AY$74:$AY$119,0)),1))</f>
        <v>1E-3</v>
      </c>
      <c r="AK260" s="482">
        <f t="shared" si="66"/>
        <v>1.2E-2</v>
      </c>
      <c r="AL260" s="477" t="str">
        <f>IF($AC$260="","",IFERROR(INDEX($BB$74:$BB$119,MATCH($AH$260,$AY$74:$AY$119,0)),$AH$260))</f>
        <v>kg</v>
      </c>
      <c r="AM260" s="483" t="str">
        <f t="shared" si="67"/>
        <v>OK</v>
      </c>
      <c r="AN260" s="484">
        <f t="shared" si="68"/>
        <v>12</v>
      </c>
      <c r="AO260" s="473" t="str">
        <f t="shared" si="69"/>
        <v/>
      </c>
      <c r="AP260" s="473" t="str">
        <f t="shared" si="70"/>
        <v/>
      </c>
      <c r="AQ260" s="473" t="str">
        <f t="shared" si="71"/>
        <v/>
      </c>
      <c r="AR260" s="473" t="str">
        <f t="shared" si="72"/>
        <v/>
      </c>
      <c r="AS260" s="473" t="str">
        <f t="shared" si="73"/>
        <v/>
      </c>
      <c r="AT260" s="473" t="str">
        <f t="shared" si="74"/>
        <v/>
      </c>
      <c r="AU260" s="473" t="str">
        <f t="shared" si="75"/>
        <v/>
      </c>
      <c r="AZ260" s="27" t="s">
        <v>8</v>
      </c>
      <c r="BA260" s="34" t="s">
        <v>475</v>
      </c>
      <c r="BB260" s="499"/>
      <c r="BC260" s="271"/>
      <c r="BD260" s="279">
        <v>1</v>
      </c>
      <c r="BE260" s="271"/>
      <c r="BF260" s="271"/>
      <c r="BG260" s="271"/>
      <c r="BH260" s="271"/>
      <c r="BI260" s="271"/>
      <c r="BJ260" s="271"/>
      <c r="BK260" s="271"/>
      <c r="BL260" s="271"/>
    </row>
    <row r="261" spans="18:64" ht="21" customHeight="1" x14ac:dyDescent="0.25">
      <c r="R261" s="34" t="s">
        <v>482</v>
      </c>
      <c r="S261" s="451"/>
      <c r="T261" s="497" t="s">
        <v>466</v>
      </c>
      <c r="V261" s="475">
        <v>6</v>
      </c>
      <c r="W261" s="475" t="str">
        <f>IF($AC$261="","",$W$252)</f>
        <v>N° 06</v>
      </c>
      <c r="X261" s="476" t="str">
        <f>IF($AC$261="","",$X$252)</f>
        <v>LÉGUMES A LA GRECQUE</v>
      </c>
      <c r="Y261" s="477">
        <f>IF($X$261="","",$Y$252)</f>
        <v>23</v>
      </c>
      <c r="Z261" s="477">
        <f>IF($X$261="","",$Z$252)</f>
        <v>100</v>
      </c>
      <c r="AA261" s="477">
        <f>IF($AC$261="","",ROW($A$261)-ROW($A$252))</f>
        <v>9</v>
      </c>
      <c r="AB261" s="478"/>
      <c r="AC261" s="34" t="s">
        <v>73</v>
      </c>
      <c r="AD261" s="356"/>
      <c r="AE261" s="18">
        <v>2</v>
      </c>
      <c r="AF261" s="3" t="s">
        <v>7</v>
      </c>
      <c r="AG261" s="480">
        <f t="shared" si="64"/>
        <v>2</v>
      </c>
      <c r="AH261" s="481" t="str">
        <f t="shared" si="65"/>
        <v>KG</v>
      </c>
      <c r="AI261" s="477" t="str">
        <f>IF($AC$261="","",IFERROR(INDEX($AZ$74:$AZ$119,MATCH($AH$261,$AY$74:$AY$119,0)),"AUTRE"))</f>
        <v>MASSE</v>
      </c>
      <c r="AJ261" s="482">
        <f>IF($AC$261="","",IFERROR(INDEX($BA$74:$BA$119,MATCH($AH$261,$AY$74:$AY$119,0)),1))</f>
        <v>1</v>
      </c>
      <c r="AK261" s="482">
        <f t="shared" si="66"/>
        <v>2</v>
      </c>
      <c r="AL261" s="477" t="str">
        <f>IF($AC$261="","",IFERROR(INDEX($BB$74:$BB$119,MATCH($AH$261,$AY$74:$AY$119,0)),$AH$261))</f>
        <v>kg</v>
      </c>
      <c r="AM261" s="483" t="str">
        <f t="shared" si="67"/>
        <v>OK</v>
      </c>
      <c r="AN261" s="484">
        <f t="shared" si="68"/>
        <v>2</v>
      </c>
      <c r="AO261" s="473" t="str">
        <f t="shared" si="69"/>
        <v/>
      </c>
      <c r="AP261" s="473" t="str">
        <f t="shared" si="70"/>
        <v/>
      </c>
      <c r="AQ261" s="473" t="str">
        <f t="shared" si="71"/>
        <v/>
      </c>
      <c r="AR261" s="473" t="str">
        <f t="shared" si="72"/>
        <v/>
      </c>
      <c r="AS261" s="473" t="str">
        <f t="shared" si="73"/>
        <v/>
      </c>
      <c r="AT261" s="473" t="str">
        <f t="shared" si="74"/>
        <v/>
      </c>
      <c r="AU261" s="473" t="str">
        <f t="shared" si="75"/>
        <v/>
      </c>
      <c r="AZ261" s="28" t="s">
        <v>13</v>
      </c>
      <c r="BA261" s="34" t="s">
        <v>457</v>
      </c>
      <c r="BB261" s="499"/>
      <c r="BC261" s="271"/>
      <c r="BD261" s="279">
        <v>1</v>
      </c>
      <c r="BE261" s="271"/>
      <c r="BF261" s="271"/>
      <c r="BG261" s="271"/>
      <c r="BH261" s="271"/>
      <c r="BI261" s="271"/>
      <c r="BJ261" s="271"/>
      <c r="BK261" s="271"/>
      <c r="BL261" s="271"/>
    </row>
    <row r="262" spans="18:64" ht="21" customHeight="1" x14ac:dyDescent="0.25">
      <c r="R262" s="34" t="s">
        <v>496</v>
      </c>
      <c r="S262" s="451"/>
      <c r="T262" s="440" t="s">
        <v>8110</v>
      </c>
      <c r="V262" s="475">
        <v>6</v>
      </c>
      <c r="W262" s="475" t="str">
        <f>IF($AC$262="","",$W$252)</f>
        <v/>
      </c>
      <c r="X262" s="476" t="str">
        <f>IF($AC$262="","",$X$252)</f>
        <v/>
      </c>
      <c r="Y262" s="477" t="str">
        <f>IF($X$262="","",$Y$252)</f>
        <v/>
      </c>
      <c r="Z262" s="477" t="str">
        <f>IF($X$262="","",$Z$252)</f>
        <v/>
      </c>
      <c r="AA262" s="477" t="str">
        <f>IF($AC$262="","",ROW($A$262)-ROW($A$252))</f>
        <v/>
      </c>
      <c r="AB262" s="478"/>
      <c r="AC262" s="34"/>
      <c r="AD262" s="356"/>
      <c r="AE262" s="18"/>
      <c r="AF262" s="19"/>
      <c r="AG262" s="480" t="str">
        <f t="shared" si="64"/>
        <v/>
      </c>
      <c r="AH262" s="481" t="str">
        <f t="shared" si="65"/>
        <v/>
      </c>
      <c r="AI262" s="477" t="str">
        <f>IF($AC$262="","",IFERROR(INDEX($AZ$74:$AZ$119,MATCH($AH$262,$AY$74:$AY$119,0)),"AUTRE"))</f>
        <v/>
      </c>
      <c r="AJ262" s="482" t="str">
        <f>IF($AC$262="","",IFERROR(INDEX($BA$74:$BA$119,MATCH($AH$262,$AY$74:$AY$119,0)),1))</f>
        <v/>
      </c>
      <c r="AK262" s="482" t="str">
        <f t="shared" si="66"/>
        <v/>
      </c>
      <c r="AL262" s="477" t="str">
        <f>IF($AC$262="","",IFERROR(INDEX($BB$74:$BB$119,MATCH($AH$262,$AY$74:$AY$119,0)),$AH$262))</f>
        <v/>
      </c>
      <c r="AM262" s="483" t="str">
        <f t="shared" si="67"/>
        <v/>
      </c>
      <c r="AN262" s="484" t="str">
        <f t="shared" si="68"/>
        <v/>
      </c>
      <c r="AO262" s="473" t="str">
        <f t="shared" si="69"/>
        <v/>
      </c>
      <c r="AP262" s="473" t="str">
        <f t="shared" si="70"/>
        <v/>
      </c>
      <c r="AQ262" s="473" t="str">
        <f t="shared" si="71"/>
        <v/>
      </c>
      <c r="AR262" s="473" t="str">
        <f t="shared" si="72"/>
        <v/>
      </c>
      <c r="AS262" s="473" t="str">
        <f t="shared" si="73"/>
        <v/>
      </c>
      <c r="AT262" s="473" t="str">
        <f t="shared" si="74"/>
        <v/>
      </c>
      <c r="AU262" s="473" t="str">
        <f t="shared" si="75"/>
        <v/>
      </c>
      <c r="AZ262" s="28" t="s">
        <v>14</v>
      </c>
      <c r="BA262" s="34" t="s">
        <v>482</v>
      </c>
      <c r="BB262" s="499"/>
      <c r="BC262" s="271"/>
      <c r="BD262" s="279">
        <v>1</v>
      </c>
      <c r="BE262" s="271"/>
      <c r="BF262" s="271"/>
      <c r="BG262" s="271"/>
      <c r="BH262" s="271"/>
      <c r="BI262" s="271"/>
      <c r="BJ262" s="271"/>
      <c r="BK262" s="271"/>
      <c r="BL262" s="271"/>
    </row>
    <row r="263" spans="18:64" ht="21" customHeight="1" x14ac:dyDescent="0.25">
      <c r="R263" s="34" t="s">
        <v>483</v>
      </c>
      <c r="S263" s="451"/>
      <c r="T263" s="452" t="s">
        <v>8113</v>
      </c>
      <c r="V263" s="475">
        <v>6</v>
      </c>
      <c r="W263" s="475" t="str">
        <f>IF($AC$263="","",$W$252)</f>
        <v/>
      </c>
      <c r="X263" s="476" t="str">
        <f>IF($AC$263="","",$X$252)</f>
        <v/>
      </c>
      <c r="Y263" s="477" t="str">
        <f>IF($X$263="","",$Y$252)</f>
        <v/>
      </c>
      <c r="Z263" s="477" t="str">
        <f>IF($X$263="","",$Z$252)</f>
        <v/>
      </c>
      <c r="AA263" s="477" t="str">
        <f>IF($AC$263="","",ROW($A$263)-ROW($A$252))</f>
        <v/>
      </c>
      <c r="AB263" s="478"/>
      <c r="AC263" s="34"/>
      <c r="AD263" s="356"/>
      <c r="AE263" s="18"/>
      <c r="AF263" s="19"/>
      <c r="AG263" s="480" t="str">
        <f t="shared" si="64"/>
        <v/>
      </c>
      <c r="AH263" s="481" t="str">
        <f t="shared" si="65"/>
        <v/>
      </c>
      <c r="AI263" s="477" t="str">
        <f>IF($AC$263="","",IFERROR(INDEX($AZ$74:$AZ$119,MATCH($AH$263,$AY$74:$AY$119,0)),"AUTRE"))</f>
        <v/>
      </c>
      <c r="AJ263" s="482" t="str">
        <f>IF($AC$263="","",IFERROR(INDEX($BA$74:$BA$119,MATCH($AH$263,$AY$74:$AY$119,0)),1))</f>
        <v/>
      </c>
      <c r="AK263" s="482" t="str">
        <f t="shared" si="66"/>
        <v/>
      </c>
      <c r="AL263" s="477" t="str">
        <f>IF($AC$263="","",IFERROR(INDEX($BB$74:$BB$119,MATCH($AH$263,$AY$74:$AY$119,0)),$AH$263))</f>
        <v/>
      </c>
      <c r="AM263" s="483" t="str">
        <f t="shared" si="67"/>
        <v/>
      </c>
      <c r="AN263" s="484" t="str">
        <f t="shared" si="68"/>
        <v/>
      </c>
      <c r="AO263" s="473" t="str">
        <f t="shared" si="69"/>
        <v/>
      </c>
      <c r="AP263" s="473" t="str">
        <f t="shared" si="70"/>
        <v/>
      </c>
      <c r="AQ263" s="473" t="str">
        <f t="shared" si="71"/>
        <v/>
      </c>
      <c r="AR263" s="473" t="str">
        <f t="shared" si="72"/>
        <v/>
      </c>
      <c r="AS263" s="473" t="str">
        <f t="shared" si="73"/>
        <v/>
      </c>
      <c r="AT263" s="473" t="str">
        <f t="shared" si="74"/>
        <v/>
      </c>
      <c r="AU263" s="473" t="str">
        <f t="shared" si="75"/>
        <v/>
      </c>
      <c r="AZ263" s="28" t="s">
        <v>15</v>
      </c>
      <c r="BA263" s="34" t="s">
        <v>496</v>
      </c>
      <c r="BB263" s="499"/>
      <c r="BC263" s="271"/>
      <c r="BD263" s="279">
        <v>1</v>
      </c>
      <c r="BE263" s="271"/>
      <c r="BF263" s="271"/>
      <c r="BG263" s="271"/>
      <c r="BH263" s="271"/>
      <c r="BI263" s="271"/>
      <c r="BJ263" s="271"/>
      <c r="BK263" s="271"/>
      <c r="BL263" s="271"/>
    </row>
    <row r="264" spans="18:64" ht="21" customHeight="1" x14ac:dyDescent="0.25">
      <c r="R264" s="34" t="s">
        <v>493</v>
      </c>
      <c r="S264" s="451"/>
      <c r="T264" s="14" t="s">
        <v>7</v>
      </c>
      <c r="V264" s="475">
        <v>6</v>
      </c>
      <c r="W264" s="475" t="str">
        <f>IF($AC$264="","",$W$252)</f>
        <v/>
      </c>
      <c r="X264" s="476" t="str">
        <f>IF($AC$264="","",$X$252)</f>
        <v/>
      </c>
      <c r="Y264" s="477" t="str">
        <f>IF($X$264="","",$Y$252)</f>
        <v/>
      </c>
      <c r="Z264" s="477" t="str">
        <f>IF($X$264="","",$Z$252)</f>
        <v/>
      </c>
      <c r="AA264" s="477" t="str">
        <f>IF($AC$264="","",ROW($A$264)-ROW($A$252))</f>
        <v/>
      </c>
      <c r="AB264" s="478"/>
      <c r="AC264" s="34"/>
      <c r="AD264" s="356"/>
      <c r="AE264" s="18"/>
      <c r="AF264" s="19"/>
      <c r="AG264" s="480" t="str">
        <f t="shared" si="64"/>
        <v/>
      </c>
      <c r="AH264" s="481" t="str">
        <f t="shared" si="65"/>
        <v/>
      </c>
      <c r="AI264" s="477" t="str">
        <f>IF($AC$264="","",IFERROR(INDEX($AZ$74:$AZ$119,MATCH($AH$264,$AY$74:$AY$119,0)),"AUTRE"))</f>
        <v/>
      </c>
      <c r="AJ264" s="482" t="str">
        <f>IF($AC$264="","",IFERROR(INDEX($BA$74:$BA$119,MATCH($AH$264,$AY$74:$AY$119,0)),1))</f>
        <v/>
      </c>
      <c r="AK264" s="482" t="str">
        <f t="shared" si="66"/>
        <v/>
      </c>
      <c r="AL264" s="477" t="str">
        <f>IF($AC$264="","",IFERROR(INDEX($BB$74:$BB$119,MATCH($AH$264,$AY$74:$AY$119,0)),$AH$264))</f>
        <v/>
      </c>
      <c r="AM264" s="483" t="str">
        <f t="shared" si="67"/>
        <v/>
      </c>
      <c r="AN264" s="484" t="str">
        <f t="shared" si="68"/>
        <v/>
      </c>
      <c r="AO264" s="473" t="str">
        <f t="shared" si="69"/>
        <v/>
      </c>
      <c r="AP264" s="473" t="str">
        <f t="shared" si="70"/>
        <v/>
      </c>
      <c r="AQ264" s="473" t="str">
        <f t="shared" si="71"/>
        <v/>
      </c>
      <c r="AR264" s="473" t="str">
        <f t="shared" si="72"/>
        <v/>
      </c>
      <c r="AS264" s="473" t="str">
        <f t="shared" si="73"/>
        <v/>
      </c>
      <c r="AT264" s="473" t="str">
        <f t="shared" si="74"/>
        <v/>
      </c>
      <c r="AU264" s="473" t="str">
        <f t="shared" si="75"/>
        <v/>
      </c>
      <c r="AZ264" s="29" t="s">
        <v>9</v>
      </c>
      <c r="BA264" s="34" t="s">
        <v>483</v>
      </c>
      <c r="BB264" s="499"/>
      <c r="BC264" s="271"/>
      <c r="BD264" s="279">
        <v>1</v>
      </c>
      <c r="BE264" s="271"/>
      <c r="BF264" s="271"/>
      <c r="BG264" s="271"/>
      <c r="BH264" s="271"/>
      <c r="BI264" s="271"/>
      <c r="BJ264" s="271"/>
      <c r="BK264" s="271"/>
      <c r="BL264" s="271"/>
    </row>
    <row r="265" spans="18:64" ht="21" customHeight="1" x14ac:dyDescent="0.25">
      <c r="R265" s="34" t="s">
        <v>494</v>
      </c>
      <c r="S265" s="451"/>
      <c r="T265" s="27" t="s">
        <v>8</v>
      </c>
      <c r="V265" s="475">
        <v>6</v>
      </c>
      <c r="W265" s="475" t="str">
        <f>IF($AC$265="","",$W$252)</f>
        <v/>
      </c>
      <c r="X265" s="476" t="str">
        <f>IF($AC$265="","",$X$252)</f>
        <v/>
      </c>
      <c r="Y265" s="477" t="str">
        <f>IF($X$265="","",$Y$252)</f>
        <v/>
      </c>
      <c r="Z265" s="477" t="str">
        <f>IF($X$265="","",$Z$252)</f>
        <v/>
      </c>
      <c r="AA265" s="477" t="str">
        <f>IF($AC$265="","",ROW($A$265)-ROW($A$252))</f>
        <v/>
      </c>
      <c r="AB265" s="478"/>
      <c r="AC265" s="34"/>
      <c r="AD265" s="356"/>
      <c r="AE265" s="18"/>
      <c r="AF265" s="19"/>
      <c r="AG265" s="480" t="str">
        <f t="shared" si="64"/>
        <v/>
      </c>
      <c r="AH265" s="481" t="str">
        <f t="shared" si="65"/>
        <v/>
      </c>
      <c r="AI265" s="477" t="str">
        <f>IF($AC$265="","",IFERROR(INDEX($AZ$74:$AZ$119,MATCH($AH$265,$AY$74:$AY$119,0)),"AUTRE"))</f>
        <v/>
      </c>
      <c r="AJ265" s="482" t="str">
        <f>IF($AC$265="","",IFERROR(INDEX($BA$74:$BA$119,MATCH($AH$265,$AY$74:$AY$119,0)),1))</f>
        <v/>
      </c>
      <c r="AK265" s="482" t="str">
        <f t="shared" si="66"/>
        <v/>
      </c>
      <c r="AL265" s="477" t="str">
        <f>IF($AC$265="","",IFERROR(INDEX($BB$74:$BB$119,MATCH($AH$265,$AY$74:$AY$119,0)),$AH$265))</f>
        <v/>
      </c>
      <c r="AM265" s="483" t="str">
        <f t="shared" si="67"/>
        <v/>
      </c>
      <c r="AN265" s="484" t="str">
        <f t="shared" si="68"/>
        <v/>
      </c>
      <c r="AO265" s="473" t="str">
        <f t="shared" si="69"/>
        <v/>
      </c>
      <c r="AP265" s="473" t="str">
        <f t="shared" si="70"/>
        <v/>
      </c>
      <c r="AQ265" s="473" t="str">
        <f t="shared" si="71"/>
        <v/>
      </c>
      <c r="AR265" s="473" t="str">
        <f t="shared" si="72"/>
        <v/>
      </c>
      <c r="AS265" s="473" t="str">
        <f t="shared" si="73"/>
        <v/>
      </c>
      <c r="AT265" s="473" t="str">
        <f t="shared" si="74"/>
        <v/>
      </c>
      <c r="AU265" s="473" t="str">
        <f t="shared" si="75"/>
        <v/>
      </c>
      <c r="AZ265" s="30" t="s">
        <v>10</v>
      </c>
      <c r="BA265" s="34" t="s">
        <v>493</v>
      </c>
      <c r="BB265" s="499"/>
      <c r="BC265" s="271"/>
      <c r="BD265" s="279">
        <v>1</v>
      </c>
      <c r="BE265" s="271"/>
      <c r="BF265" s="271"/>
      <c r="BG265" s="271"/>
      <c r="BH265" s="271"/>
      <c r="BI265" s="271"/>
      <c r="BJ265" s="271"/>
      <c r="BK265" s="271"/>
      <c r="BL265" s="271"/>
    </row>
    <row r="266" spans="18:64" ht="21" customHeight="1" x14ac:dyDescent="0.25">
      <c r="S266" s="451"/>
      <c r="T266" s="28" t="s">
        <v>13</v>
      </c>
      <c r="V266" s="475">
        <v>6</v>
      </c>
      <c r="W266" s="475" t="str">
        <f>IF($AC$266="","",$W$252)</f>
        <v/>
      </c>
      <c r="X266" s="476" t="str">
        <f>IF($AC$266="","",$X$252)</f>
        <v/>
      </c>
      <c r="Y266" s="477" t="str">
        <f>IF($X$266="","",$Y$252)</f>
        <v/>
      </c>
      <c r="Z266" s="477" t="str">
        <f>IF($X$266="","",$Z$252)</f>
        <v/>
      </c>
      <c r="AA266" s="477" t="str">
        <f>IF($AC$266="","",ROW($A$266)-ROW($A$252))</f>
        <v/>
      </c>
      <c r="AB266" s="478"/>
      <c r="AC266" s="34"/>
      <c r="AD266" s="356"/>
      <c r="AE266" s="18"/>
      <c r="AF266" s="19"/>
      <c r="AG266" s="480" t="str">
        <f t="shared" si="64"/>
        <v/>
      </c>
      <c r="AH266" s="481" t="str">
        <f t="shared" si="65"/>
        <v/>
      </c>
      <c r="AI266" s="477" t="str">
        <f>IF($AC$266="","",IFERROR(INDEX($AZ$74:$AZ$119,MATCH($AH$266,$AY$74:$AY$119,0)),"AUTRE"))</f>
        <v/>
      </c>
      <c r="AJ266" s="482" t="str">
        <f>IF($AC$266="","",IFERROR(INDEX($BA$74:$BA$119,MATCH($AH$266,$AY$74:$AY$119,0)),1))</f>
        <v/>
      </c>
      <c r="AK266" s="482" t="str">
        <f t="shared" si="66"/>
        <v/>
      </c>
      <c r="AL266" s="477" t="str">
        <f>IF($AC$266="","",IFERROR(INDEX($BB$74:$BB$119,MATCH($AH$266,$AY$74:$AY$119,0)),$AH$266))</f>
        <v/>
      </c>
      <c r="AM266" s="483" t="str">
        <f t="shared" si="67"/>
        <v/>
      </c>
      <c r="AN266" s="484" t="str">
        <f t="shared" si="68"/>
        <v/>
      </c>
      <c r="AO266" s="473" t="str">
        <f t="shared" si="69"/>
        <v/>
      </c>
      <c r="AP266" s="473" t="str">
        <f t="shared" si="70"/>
        <v/>
      </c>
      <c r="AQ266" s="473" t="str">
        <f t="shared" si="71"/>
        <v/>
      </c>
      <c r="AR266" s="473" t="str">
        <f t="shared" si="72"/>
        <v/>
      </c>
      <c r="AS266" s="473" t="str">
        <f t="shared" si="73"/>
        <v/>
      </c>
      <c r="AT266" s="473" t="str">
        <f t="shared" si="74"/>
        <v/>
      </c>
      <c r="AU266" s="473" t="str">
        <f t="shared" si="75"/>
        <v/>
      </c>
      <c r="AZ266" s="30" t="s">
        <v>11</v>
      </c>
      <c r="BA266" s="34" t="s">
        <v>494</v>
      </c>
      <c r="BB266" s="499"/>
      <c r="BC266" s="271"/>
      <c r="BD266" s="279">
        <v>1</v>
      </c>
      <c r="BE266" s="271"/>
      <c r="BF266" s="271"/>
      <c r="BG266" s="271"/>
      <c r="BH266" s="271"/>
      <c r="BI266" s="271"/>
      <c r="BJ266" s="271"/>
      <c r="BK266" s="271"/>
      <c r="BL266" s="271"/>
    </row>
    <row r="267" spans="18:64" ht="21" customHeight="1" x14ac:dyDescent="0.25">
      <c r="R267" s="25" t="s">
        <v>6115</v>
      </c>
      <c r="S267" s="451"/>
      <c r="T267" s="28" t="s">
        <v>14</v>
      </c>
      <c r="V267" s="475">
        <v>6</v>
      </c>
      <c r="W267" s="475" t="str">
        <f>IF($AC$267="","",$W$252)</f>
        <v/>
      </c>
      <c r="X267" s="476" t="str">
        <f>IF($AC$267="","",$X$252)</f>
        <v/>
      </c>
      <c r="Y267" s="477" t="str">
        <f>IF($X$267="","",$Y$252)</f>
        <v/>
      </c>
      <c r="Z267" s="477" t="str">
        <f>IF($X$267="","",$Z$252)</f>
        <v/>
      </c>
      <c r="AA267" s="477" t="str">
        <f>IF($AC$267="","",ROW($A$267)-ROW($A$252))</f>
        <v/>
      </c>
      <c r="AB267" s="478"/>
      <c r="AC267" s="34"/>
      <c r="AD267" s="356"/>
      <c r="AE267" s="18"/>
      <c r="AF267" s="19"/>
      <c r="AG267" s="480" t="str">
        <f t="shared" si="64"/>
        <v/>
      </c>
      <c r="AH267" s="481" t="str">
        <f t="shared" si="65"/>
        <v/>
      </c>
      <c r="AI267" s="477" t="str">
        <f>IF($AC$267="","",IFERROR(INDEX($AZ$74:$AZ$119,MATCH($AH$267,$AY$74:$AY$119,0)),"AUTRE"))</f>
        <v/>
      </c>
      <c r="AJ267" s="482" t="str">
        <f>IF($AC$267="","",IFERROR(INDEX($BA$74:$BA$119,MATCH($AH$267,$AY$74:$AY$119,0)),1))</f>
        <v/>
      </c>
      <c r="AK267" s="482" t="str">
        <f t="shared" si="66"/>
        <v/>
      </c>
      <c r="AL267" s="477" t="str">
        <f>IF($AC$267="","",IFERROR(INDEX($BB$74:$BB$119,MATCH($AH$267,$AY$74:$AY$119,0)),$AH$267))</f>
        <v/>
      </c>
      <c r="AM267" s="483" t="str">
        <f t="shared" si="67"/>
        <v/>
      </c>
      <c r="AN267" s="484" t="str">
        <f t="shared" si="68"/>
        <v/>
      </c>
      <c r="AO267" s="473" t="str">
        <f t="shared" si="69"/>
        <v/>
      </c>
      <c r="AP267" s="473" t="str">
        <f t="shared" si="70"/>
        <v/>
      </c>
      <c r="AQ267" s="473" t="str">
        <f t="shared" si="71"/>
        <v/>
      </c>
      <c r="AR267" s="473" t="str">
        <f t="shared" si="72"/>
        <v/>
      </c>
      <c r="AS267" s="473" t="str">
        <f t="shared" si="73"/>
        <v/>
      </c>
      <c r="AT267" s="473" t="str">
        <f t="shared" si="74"/>
        <v/>
      </c>
      <c r="AU267" s="473" t="str">
        <f t="shared" si="75"/>
        <v/>
      </c>
      <c r="AZ267" s="30" t="s">
        <v>12</v>
      </c>
      <c r="BB267" s="499"/>
      <c r="BC267" s="271"/>
      <c r="BD267" s="279">
        <v>1</v>
      </c>
      <c r="BE267" s="271"/>
      <c r="BF267" s="271"/>
      <c r="BG267" s="271"/>
      <c r="BH267" s="271"/>
      <c r="BI267" s="271"/>
      <c r="BJ267" s="271"/>
      <c r="BK267" s="271"/>
      <c r="BL267" s="271"/>
    </row>
    <row r="268" spans="18:64" ht="21" customHeight="1" x14ac:dyDescent="0.25">
      <c r="R268" s="34" t="s">
        <v>471</v>
      </c>
      <c r="S268" s="451"/>
      <c r="T268" s="28" t="s">
        <v>15</v>
      </c>
      <c r="V268" s="475">
        <v>6</v>
      </c>
      <c r="W268" s="475" t="str">
        <f>IF($AC$268="","",$W$252)</f>
        <v/>
      </c>
      <c r="X268" s="476" t="str">
        <f>IF($AC$268="","",$X$252)</f>
        <v/>
      </c>
      <c r="Y268" s="477" t="str">
        <f>IF($X$268="","",$Y$252)</f>
        <v/>
      </c>
      <c r="Z268" s="477" t="str">
        <f>IF($X$268="","",$Z$252)</f>
        <v/>
      </c>
      <c r="AA268" s="477" t="str">
        <f>IF($AC$268="","",ROW($A$268)-ROW($A$252))</f>
        <v/>
      </c>
      <c r="AB268" s="478"/>
      <c r="AC268" s="34"/>
      <c r="AD268" s="356"/>
      <c r="AE268" s="18"/>
      <c r="AF268" s="19"/>
      <c r="AG268" s="480" t="str">
        <f t="shared" si="64"/>
        <v/>
      </c>
      <c r="AH268" s="481" t="str">
        <f t="shared" si="65"/>
        <v/>
      </c>
      <c r="AI268" s="477" t="str">
        <f>IF($AC$268="","",IFERROR(INDEX($AZ$74:$AZ$119,MATCH($AH$268,$AY$74:$AY$119,0)),"AUTRE"))</f>
        <v/>
      </c>
      <c r="AJ268" s="482" t="str">
        <f>IF($AC$268="","",IFERROR(INDEX($BA$74:$BA$119,MATCH($AH$268,$AY$74:$AY$119,0)),1))</f>
        <v/>
      </c>
      <c r="AK268" s="482" t="str">
        <f t="shared" si="66"/>
        <v/>
      </c>
      <c r="AL268" s="477" t="str">
        <f>IF($AC$268="","",IFERROR(INDEX($BB$74:$BB$119,MATCH($AH$268,$AY$74:$AY$119,0)),$AH$268))</f>
        <v/>
      </c>
      <c r="AM268" s="483" t="str">
        <f t="shared" si="67"/>
        <v/>
      </c>
      <c r="AN268" s="484" t="str">
        <f t="shared" si="68"/>
        <v/>
      </c>
      <c r="AO268" s="473" t="str">
        <f t="shared" si="69"/>
        <v/>
      </c>
      <c r="AP268" s="473" t="str">
        <f t="shared" si="70"/>
        <v/>
      </c>
      <c r="AQ268" s="473" t="str">
        <f t="shared" si="71"/>
        <v/>
      </c>
      <c r="AR268" s="473" t="str">
        <f t="shared" si="72"/>
        <v/>
      </c>
      <c r="AS268" s="473" t="str">
        <f t="shared" si="73"/>
        <v/>
      </c>
      <c r="AT268" s="473" t="str">
        <f t="shared" si="74"/>
        <v/>
      </c>
      <c r="AU268" s="473" t="str">
        <f t="shared" si="75"/>
        <v/>
      </c>
      <c r="AZ268" s="31" t="s">
        <v>16</v>
      </c>
      <c r="BA268" s="25" t="s">
        <v>6115</v>
      </c>
      <c r="BB268" s="499"/>
      <c r="BC268" s="271"/>
      <c r="BD268" s="279">
        <v>1</v>
      </c>
      <c r="BE268" s="271"/>
      <c r="BF268" s="271"/>
      <c r="BG268" s="271"/>
      <c r="BH268" s="271"/>
      <c r="BI268" s="271"/>
      <c r="BJ268" s="271"/>
      <c r="BK268" s="271"/>
      <c r="BL268" s="271"/>
    </row>
    <row r="269" spans="18:64" ht="21" customHeight="1" x14ac:dyDescent="0.25">
      <c r="R269" s="34" t="s">
        <v>472</v>
      </c>
      <c r="S269" s="451"/>
      <c r="T269" s="28" t="s">
        <v>21</v>
      </c>
      <c r="V269" s="475">
        <v>6</v>
      </c>
      <c r="W269" s="475" t="str">
        <f>IF($AC$269="","",$W$252)</f>
        <v/>
      </c>
      <c r="X269" s="476" t="str">
        <f>IF($AC$269="","",$X$252)</f>
        <v/>
      </c>
      <c r="Y269" s="477" t="str">
        <f>IF($X$269="","",$Y$252)</f>
        <v/>
      </c>
      <c r="Z269" s="477" t="str">
        <f>IF($X$269="","",$Z$252)</f>
        <v/>
      </c>
      <c r="AA269" s="477" t="str">
        <f>IF($AC$269="","",ROW($A$269)-ROW($A$252))</f>
        <v/>
      </c>
      <c r="AB269" s="478"/>
      <c r="AC269" s="34"/>
      <c r="AD269" s="356"/>
      <c r="AE269" s="18"/>
      <c r="AF269" s="19"/>
      <c r="AG269" s="480" t="str">
        <f t="shared" si="64"/>
        <v/>
      </c>
      <c r="AH269" s="481" t="str">
        <f t="shared" si="65"/>
        <v/>
      </c>
      <c r="AI269" s="477" t="str">
        <f>IF($AC$269="","",IFERROR(INDEX($AZ$74:$AZ$119,MATCH($AH$269,$AY$74:$AY$119,0)),"AUTRE"))</f>
        <v/>
      </c>
      <c r="AJ269" s="482" t="str">
        <f>IF($AC$269="","",IFERROR(INDEX($BA$74:$BA$119,MATCH($AH$269,$AY$74:$AY$119,0)),1))</f>
        <v/>
      </c>
      <c r="AK269" s="482" t="str">
        <f t="shared" si="66"/>
        <v/>
      </c>
      <c r="AL269" s="477" t="str">
        <f>IF($AC$269="","",IFERROR(INDEX($BB$74:$BB$119,MATCH($AH$269,$AY$74:$AY$119,0)),$AH$269))</f>
        <v/>
      </c>
      <c r="AM269" s="483" t="str">
        <f t="shared" si="67"/>
        <v/>
      </c>
      <c r="AN269" s="484" t="str">
        <f t="shared" si="68"/>
        <v/>
      </c>
      <c r="AO269" s="473" t="str">
        <f t="shared" si="69"/>
        <v/>
      </c>
      <c r="AP269" s="473" t="str">
        <f t="shared" si="70"/>
        <v/>
      </c>
      <c r="AQ269" s="473" t="str">
        <f t="shared" si="71"/>
        <v/>
      </c>
      <c r="AR269" s="473" t="str">
        <f t="shared" si="72"/>
        <v/>
      </c>
      <c r="AS269" s="473" t="str">
        <f t="shared" si="73"/>
        <v/>
      </c>
      <c r="AT269" s="473" t="str">
        <f t="shared" si="74"/>
        <v/>
      </c>
      <c r="AU269" s="473" t="str">
        <f t="shared" si="75"/>
        <v/>
      </c>
      <c r="AZ269" s="31" t="s">
        <v>17</v>
      </c>
      <c r="BA269" s="34" t="s">
        <v>471</v>
      </c>
      <c r="BB269" s="499"/>
      <c r="BC269" s="271"/>
      <c r="BD269" s="279">
        <v>1</v>
      </c>
      <c r="BE269" s="271"/>
      <c r="BF269" s="271"/>
      <c r="BG269" s="271"/>
      <c r="BH269" s="271"/>
      <c r="BI269" s="271"/>
      <c r="BJ269" s="271"/>
      <c r="BK269" s="271"/>
      <c r="BL269" s="271"/>
    </row>
    <row r="270" spans="18:64" ht="21" customHeight="1" x14ac:dyDescent="0.25">
      <c r="R270" s="34" t="s">
        <v>6112</v>
      </c>
      <c r="S270" s="451"/>
      <c r="T270" s="28" t="s">
        <v>22</v>
      </c>
      <c r="V270" s="475">
        <v>6</v>
      </c>
      <c r="W270" s="475" t="str">
        <f>IF($AC$270="","",$W$252)</f>
        <v/>
      </c>
      <c r="X270" s="476" t="str">
        <f>IF($AC$270="","",$X$252)</f>
        <v/>
      </c>
      <c r="Y270" s="477" t="str">
        <f>IF($X$270="","",$Y$252)</f>
        <v/>
      </c>
      <c r="Z270" s="477" t="str">
        <f>IF($X$270="","",$Z$252)</f>
        <v/>
      </c>
      <c r="AA270" s="477" t="str">
        <f>IF($AC$270="","",ROW($A$270)-ROW($A$252))</f>
        <v/>
      </c>
      <c r="AB270" s="478"/>
      <c r="AC270" s="34"/>
      <c r="AD270" s="356"/>
      <c r="AE270" s="18"/>
      <c r="AF270" s="19"/>
      <c r="AG270" s="480" t="str">
        <f t="shared" si="64"/>
        <v/>
      </c>
      <c r="AH270" s="481" t="str">
        <f t="shared" si="65"/>
        <v/>
      </c>
      <c r="AI270" s="477" t="str">
        <f>IF($AC$270="","",IFERROR(INDEX($AZ$74:$AZ$119,MATCH($AH$270,$AY$74:$AY$119,0)),"AUTRE"))</f>
        <v/>
      </c>
      <c r="AJ270" s="482" t="str">
        <f>IF($AC$270="","",IFERROR(INDEX($BA$74:$BA$119,MATCH($AH$270,$AY$74:$AY$119,0)),1))</f>
        <v/>
      </c>
      <c r="AK270" s="482" t="str">
        <f t="shared" si="66"/>
        <v/>
      </c>
      <c r="AL270" s="477" t="str">
        <f>IF($AC$270="","",IFERROR(INDEX($BB$74:$BB$119,MATCH($AH$270,$AY$74:$AY$119,0)),$AH$270))</f>
        <v/>
      </c>
      <c r="AM270" s="483" t="str">
        <f t="shared" si="67"/>
        <v/>
      </c>
      <c r="AN270" s="484" t="str">
        <f t="shared" si="68"/>
        <v/>
      </c>
      <c r="AO270" s="473" t="str">
        <f t="shared" si="69"/>
        <v/>
      </c>
      <c r="AP270" s="473" t="str">
        <f t="shared" si="70"/>
        <v/>
      </c>
      <c r="AQ270" s="473" t="str">
        <f t="shared" si="71"/>
        <v/>
      </c>
      <c r="AR270" s="473" t="str">
        <f t="shared" si="72"/>
        <v/>
      </c>
      <c r="AS270" s="473" t="str">
        <f t="shared" si="73"/>
        <v/>
      </c>
      <c r="AT270" s="473" t="str">
        <f t="shared" si="74"/>
        <v/>
      </c>
      <c r="AU270" s="473" t="str">
        <f t="shared" si="75"/>
        <v/>
      </c>
      <c r="AZ270" s="31" t="s">
        <v>18</v>
      </c>
      <c r="BA270" s="34" t="s">
        <v>472</v>
      </c>
      <c r="BB270" s="499"/>
      <c r="BC270" s="271"/>
      <c r="BD270" s="279">
        <v>1</v>
      </c>
      <c r="BE270" s="271"/>
      <c r="BF270" s="271"/>
      <c r="BG270" s="271"/>
      <c r="BH270" s="271"/>
      <c r="BI270" s="271"/>
      <c r="BJ270" s="271"/>
      <c r="BK270" s="271"/>
      <c r="BL270" s="271"/>
    </row>
    <row r="271" spans="18:64" ht="21" customHeight="1" x14ac:dyDescent="0.25">
      <c r="R271" s="25" t="s">
        <v>6116</v>
      </c>
      <c r="S271" s="451"/>
      <c r="T271" s="28" t="s">
        <v>23</v>
      </c>
      <c r="V271" s="475">
        <v>6</v>
      </c>
      <c r="W271" s="475" t="str">
        <f>IF($AC$271="","",$W$252)</f>
        <v/>
      </c>
      <c r="X271" s="476" t="str">
        <f>IF($AC$271="","",$X$252)</f>
        <v/>
      </c>
      <c r="Y271" s="477" t="str">
        <f>IF($X$271="","",$Y$252)</f>
        <v/>
      </c>
      <c r="Z271" s="477" t="str">
        <f>IF($X$271="","",$Z$252)</f>
        <v/>
      </c>
      <c r="AA271" s="477" t="str">
        <f>IF($AC$271="","",ROW($A$271)-ROW($A$252))</f>
        <v/>
      </c>
      <c r="AB271" s="478"/>
      <c r="AC271" s="34"/>
      <c r="AD271" s="356"/>
      <c r="AE271" s="18"/>
      <c r="AF271" s="19"/>
      <c r="AG271" s="480" t="str">
        <f t="shared" si="64"/>
        <v/>
      </c>
      <c r="AH271" s="481" t="str">
        <f t="shared" si="65"/>
        <v/>
      </c>
      <c r="AI271" s="477" t="str">
        <f>IF($AC$271="","",IFERROR(INDEX($AZ$74:$AZ$119,MATCH($AH$271,$AY$74:$AY$119,0)),"AUTRE"))</f>
        <v/>
      </c>
      <c r="AJ271" s="482" t="str">
        <f>IF($AC$271="","",IFERROR(INDEX($BA$74:$BA$119,MATCH($AH$271,$AY$74:$AY$119,0)),1))</f>
        <v/>
      </c>
      <c r="AK271" s="482" t="str">
        <f t="shared" si="66"/>
        <v/>
      </c>
      <c r="AL271" s="477" t="str">
        <f>IF($AC$271="","",IFERROR(INDEX($BB$74:$BB$119,MATCH($AH$271,$AY$74:$AY$119,0)),$AH$271))</f>
        <v/>
      </c>
      <c r="AM271" s="483" t="str">
        <f t="shared" si="67"/>
        <v/>
      </c>
      <c r="AN271" s="484" t="str">
        <f t="shared" si="68"/>
        <v/>
      </c>
      <c r="AO271" s="473" t="str">
        <f t="shared" si="69"/>
        <v/>
      </c>
      <c r="AP271" s="473" t="str">
        <f t="shared" si="70"/>
        <v/>
      </c>
      <c r="AQ271" s="473" t="str">
        <f t="shared" si="71"/>
        <v/>
      </c>
      <c r="AR271" s="473" t="str">
        <f t="shared" si="72"/>
        <v/>
      </c>
      <c r="AS271" s="473" t="str">
        <f t="shared" si="73"/>
        <v/>
      </c>
      <c r="AT271" s="473" t="str">
        <f t="shared" si="74"/>
        <v/>
      </c>
      <c r="AU271" s="473" t="str">
        <f t="shared" si="75"/>
        <v/>
      </c>
      <c r="AZ271" s="31" t="s">
        <v>19</v>
      </c>
      <c r="BA271" s="34" t="s">
        <v>6112</v>
      </c>
      <c r="BB271" s="499"/>
      <c r="BC271" s="271"/>
      <c r="BD271" s="279">
        <v>1</v>
      </c>
      <c r="BE271" s="271"/>
      <c r="BF271" s="271"/>
      <c r="BG271" s="271"/>
      <c r="BH271" s="271"/>
      <c r="BI271" s="271"/>
      <c r="BJ271" s="271"/>
      <c r="BK271" s="271"/>
      <c r="BL271" s="271"/>
    </row>
    <row r="272" spans="18:64" ht="21" customHeight="1" x14ac:dyDescent="0.25">
      <c r="R272" s="34" t="s">
        <v>6117</v>
      </c>
      <c r="S272" s="451"/>
      <c r="T272" s="28" t="s">
        <v>24</v>
      </c>
      <c r="V272" s="475">
        <v>6</v>
      </c>
      <c r="W272" s="475" t="str">
        <f>IF($AC$272="","",$W$252)</f>
        <v/>
      </c>
      <c r="X272" s="476" t="str">
        <f>IF($AC$272="","",$X$252)</f>
        <v/>
      </c>
      <c r="Y272" s="477" t="str">
        <f>IF($X$272="","",$Y$252)</f>
        <v/>
      </c>
      <c r="Z272" s="477" t="str">
        <f>IF($X$272="","",$Z$252)</f>
        <v/>
      </c>
      <c r="AA272" s="477" t="str">
        <f>IF($AC$272="","",ROW($A$272)-ROW($A$252))</f>
        <v/>
      </c>
      <c r="AB272" s="478"/>
      <c r="AC272" s="34"/>
      <c r="AD272" s="356"/>
      <c r="AE272" s="18"/>
      <c r="AF272" s="19"/>
      <c r="AG272" s="480" t="str">
        <f t="shared" si="64"/>
        <v/>
      </c>
      <c r="AH272" s="481" t="str">
        <f t="shared" si="65"/>
        <v/>
      </c>
      <c r="AI272" s="477" t="str">
        <f>IF($AC$272="","",IFERROR(INDEX($AZ$74:$AZ$119,MATCH($AH$272,$AY$74:$AY$119,0)),"AUTRE"))</f>
        <v/>
      </c>
      <c r="AJ272" s="482" t="str">
        <f>IF($AC$272="","",IFERROR(INDEX($BA$74:$BA$119,MATCH($AH$272,$AY$74:$AY$119,0)),1))</f>
        <v/>
      </c>
      <c r="AK272" s="482" t="str">
        <f t="shared" si="66"/>
        <v/>
      </c>
      <c r="AL272" s="477" t="str">
        <f>IF($AC$272="","",IFERROR(INDEX($BB$74:$BB$119,MATCH($AH$272,$AY$74:$AY$119,0)),$AH$272))</f>
        <v/>
      </c>
      <c r="AM272" s="483" t="str">
        <f t="shared" si="67"/>
        <v/>
      </c>
      <c r="AN272" s="484" t="str">
        <f t="shared" si="68"/>
        <v/>
      </c>
      <c r="AO272" s="473" t="str">
        <f t="shared" si="69"/>
        <v/>
      </c>
      <c r="AP272" s="473" t="str">
        <f t="shared" si="70"/>
        <v/>
      </c>
      <c r="AQ272" s="473" t="str">
        <f t="shared" si="71"/>
        <v/>
      </c>
      <c r="AR272" s="473" t="str">
        <f t="shared" si="72"/>
        <v/>
      </c>
      <c r="AS272" s="473" t="str">
        <f t="shared" si="73"/>
        <v/>
      </c>
      <c r="AT272" s="473" t="str">
        <f t="shared" si="74"/>
        <v/>
      </c>
      <c r="AU272" s="473" t="str">
        <f t="shared" si="75"/>
        <v/>
      </c>
      <c r="AZ272" s="31" t="s">
        <v>211</v>
      </c>
      <c r="BA272" s="25" t="s">
        <v>6116</v>
      </c>
      <c r="BB272" s="499"/>
      <c r="BC272" s="271"/>
      <c r="BD272" s="279">
        <v>1</v>
      </c>
      <c r="BE272" s="271"/>
      <c r="BF272" s="271"/>
      <c r="BG272" s="271"/>
      <c r="BH272" s="271"/>
      <c r="BI272" s="271"/>
      <c r="BJ272" s="271"/>
      <c r="BK272" s="271"/>
      <c r="BL272" s="271"/>
    </row>
    <row r="273" spans="18:64" ht="21" customHeight="1" x14ac:dyDescent="0.25">
      <c r="R273" s="34" t="s">
        <v>469</v>
      </c>
      <c r="S273" s="451"/>
      <c r="T273" s="29" t="s">
        <v>9</v>
      </c>
      <c r="V273" s="475">
        <v>6</v>
      </c>
      <c r="W273" s="475" t="str">
        <f>IF($AC$273="","",$W$252)</f>
        <v/>
      </c>
      <c r="X273" s="476" t="str">
        <f>IF($AC$273="","",$X$252)</f>
        <v/>
      </c>
      <c r="Y273" s="477" t="str">
        <f>IF($X$273="","",$Y$252)</f>
        <v/>
      </c>
      <c r="Z273" s="477" t="str">
        <f>IF($X$273="","",$Z$252)</f>
        <v/>
      </c>
      <c r="AA273" s="477" t="str">
        <f>IF($AC$273="","",ROW($A$273)-ROW($A$252))</f>
        <v/>
      </c>
      <c r="AB273" s="478"/>
      <c r="AC273" s="34"/>
      <c r="AD273" s="356"/>
      <c r="AE273" s="18"/>
      <c r="AF273" s="19"/>
      <c r="AG273" s="480" t="str">
        <f t="shared" si="64"/>
        <v/>
      </c>
      <c r="AH273" s="481" t="str">
        <f t="shared" si="65"/>
        <v/>
      </c>
      <c r="AI273" s="477" t="str">
        <f>IF($AC$273="","",IFERROR(INDEX($AZ$74:$AZ$119,MATCH($AH$273,$AY$74:$AY$119,0)),"AUTRE"))</f>
        <v/>
      </c>
      <c r="AJ273" s="482" t="str">
        <f>IF($AC$273="","",IFERROR(INDEX($BA$74:$BA$119,MATCH($AH$273,$AY$74:$AY$119,0)),1))</f>
        <v/>
      </c>
      <c r="AK273" s="482" t="str">
        <f t="shared" si="66"/>
        <v/>
      </c>
      <c r="AL273" s="477" t="str">
        <f>IF($AC$273="","",IFERROR(INDEX($BB$74:$BB$119,MATCH($AH$273,$AY$74:$AY$119,0)),$AH$273))</f>
        <v/>
      </c>
      <c r="AM273" s="483" t="str">
        <f t="shared" si="67"/>
        <v/>
      </c>
      <c r="AN273" s="484" t="str">
        <f t="shared" si="68"/>
        <v/>
      </c>
      <c r="AO273" s="473" t="str">
        <f t="shared" si="69"/>
        <v/>
      </c>
      <c r="AP273" s="473" t="str">
        <f t="shared" si="70"/>
        <v/>
      </c>
      <c r="AQ273" s="473" t="str">
        <f t="shared" si="71"/>
        <v/>
      </c>
      <c r="AR273" s="473" t="str">
        <f t="shared" si="72"/>
        <v/>
      </c>
      <c r="AS273" s="473" t="str">
        <f t="shared" si="73"/>
        <v/>
      </c>
      <c r="AT273" s="473" t="str">
        <f t="shared" si="74"/>
        <v/>
      </c>
      <c r="AU273" s="473" t="str">
        <f t="shared" si="75"/>
        <v/>
      </c>
      <c r="AZ273" s="31" t="s">
        <v>20</v>
      </c>
      <c r="BA273" s="34" t="s">
        <v>6117</v>
      </c>
      <c r="BB273" s="499"/>
      <c r="BC273" s="271"/>
      <c r="BD273" s="279">
        <v>1</v>
      </c>
      <c r="BE273" s="271"/>
      <c r="BF273" s="271"/>
      <c r="BG273" s="271"/>
      <c r="BH273" s="271"/>
      <c r="BI273" s="271"/>
      <c r="BJ273" s="271"/>
      <c r="BK273" s="271"/>
      <c r="BL273" s="271"/>
    </row>
    <row r="274" spans="18:64" ht="21" customHeight="1" x14ac:dyDescent="0.25">
      <c r="R274" s="34" t="s">
        <v>6118</v>
      </c>
      <c r="S274" s="451"/>
      <c r="T274" s="30" t="s">
        <v>10</v>
      </c>
      <c r="V274" s="475">
        <v>6</v>
      </c>
      <c r="W274" s="475" t="str">
        <f>IF($AC$274="","",$W$252)</f>
        <v/>
      </c>
      <c r="X274" s="476" t="str">
        <f>IF($AC$274="","",$X$252)</f>
        <v/>
      </c>
      <c r="Y274" s="477" t="str">
        <f>IF($X$274="","",$Y$252)</f>
        <v/>
      </c>
      <c r="Z274" s="477" t="str">
        <f>IF($X$274="","",$Z$252)</f>
        <v/>
      </c>
      <c r="AA274" s="477" t="str">
        <f>IF($AC$274="","",ROW($A$274)-ROW($A$252))</f>
        <v/>
      </c>
      <c r="AB274" s="478"/>
      <c r="AC274" s="34"/>
      <c r="AD274" s="356"/>
      <c r="AE274" s="18"/>
      <c r="AF274" s="19"/>
      <c r="AG274" s="480" t="str">
        <f t="shared" si="64"/>
        <v/>
      </c>
      <c r="AH274" s="481" t="str">
        <f t="shared" si="65"/>
        <v/>
      </c>
      <c r="AI274" s="477" t="str">
        <f>IF($AC$274="","",IFERROR(INDEX($AZ$74:$AZ$119,MATCH($AH$274,$AY$74:$AY$119,0)),"AUTRE"))</f>
        <v/>
      </c>
      <c r="AJ274" s="482" t="str">
        <f>IF($AC$274="","",IFERROR(INDEX($BA$74:$BA$119,MATCH($AH$274,$AY$74:$AY$119,0)),1))</f>
        <v/>
      </c>
      <c r="AK274" s="482" t="str">
        <f t="shared" si="66"/>
        <v/>
      </c>
      <c r="AL274" s="477" t="str">
        <f>IF($AC$274="","",IFERROR(INDEX($BB$74:$BB$119,MATCH($AH$274,$AY$74:$AY$119,0)),$AH$274))</f>
        <v/>
      </c>
      <c r="AM274" s="483" t="str">
        <f t="shared" si="67"/>
        <v/>
      </c>
      <c r="AN274" s="484" t="str">
        <f t="shared" si="68"/>
        <v/>
      </c>
      <c r="AO274" s="473" t="str">
        <f t="shared" si="69"/>
        <v/>
      </c>
      <c r="AP274" s="473" t="str">
        <f t="shared" si="70"/>
        <v/>
      </c>
      <c r="AQ274" s="473" t="str">
        <f t="shared" si="71"/>
        <v/>
      </c>
      <c r="AR274" s="473" t="str">
        <f t="shared" si="72"/>
        <v/>
      </c>
      <c r="AS274" s="473" t="str">
        <f t="shared" si="73"/>
        <v/>
      </c>
      <c r="AT274" s="473" t="str">
        <f t="shared" si="74"/>
        <v/>
      </c>
      <c r="AU274" s="473" t="str">
        <f t="shared" si="75"/>
        <v/>
      </c>
      <c r="AZ274" s="31" t="s">
        <v>304</v>
      </c>
      <c r="BA274" s="34" t="s">
        <v>469</v>
      </c>
      <c r="BB274" s="499"/>
      <c r="BC274" s="271"/>
      <c r="BD274" s="279">
        <v>1</v>
      </c>
      <c r="BE274" s="271"/>
      <c r="BF274" s="271"/>
      <c r="BG274" s="271"/>
      <c r="BH274" s="271"/>
      <c r="BI274" s="271"/>
      <c r="BJ274" s="271"/>
      <c r="BK274" s="271"/>
      <c r="BL274" s="271"/>
    </row>
    <row r="275" spans="18:64" ht="21" customHeight="1" x14ac:dyDescent="0.25">
      <c r="R275" s="34" t="s">
        <v>492</v>
      </c>
      <c r="S275" s="451"/>
      <c r="T275" s="30" t="s">
        <v>11</v>
      </c>
      <c r="V275" s="475">
        <v>6</v>
      </c>
      <c r="W275" s="475" t="str">
        <f>IF($AC$275="","",$W$252)</f>
        <v/>
      </c>
      <c r="X275" s="476" t="str">
        <f>IF($AC$275="","",$X$252)</f>
        <v/>
      </c>
      <c r="Y275" s="477" t="str">
        <f>IF($X$275="","",$Y$252)</f>
        <v/>
      </c>
      <c r="Z275" s="477" t="str">
        <f>IF($X$275="","",$Z$252)</f>
        <v/>
      </c>
      <c r="AA275" s="477" t="str">
        <f>IF($AC$275="","",ROW($A$275)-ROW($A$252))</f>
        <v/>
      </c>
      <c r="AB275" s="478"/>
      <c r="AC275" s="34"/>
      <c r="AD275" s="356"/>
      <c r="AE275" s="18"/>
      <c r="AF275" s="19"/>
      <c r="AG275" s="480" t="str">
        <f t="shared" si="64"/>
        <v/>
      </c>
      <c r="AH275" s="481" t="str">
        <f t="shared" si="65"/>
        <v/>
      </c>
      <c r="AI275" s="477" t="str">
        <f>IF($AC$275="","",IFERROR(INDEX($AZ$74:$AZ$119,MATCH($AH$275,$AY$74:$AY$119,0)),"AUTRE"))</f>
        <v/>
      </c>
      <c r="AJ275" s="482" t="str">
        <f>IF($AC$275="","",IFERROR(INDEX($BA$74:$BA$119,MATCH($AH$275,$AY$74:$AY$119,0)),1))</f>
        <v/>
      </c>
      <c r="AK275" s="482" t="str">
        <f t="shared" si="66"/>
        <v/>
      </c>
      <c r="AL275" s="477" t="str">
        <f>IF($AC$275="","",IFERROR(INDEX($BB$74:$BB$119,MATCH($AH$275,$AY$74:$AY$119,0)),$AH$275))</f>
        <v/>
      </c>
      <c r="AM275" s="483" t="str">
        <f t="shared" si="67"/>
        <v/>
      </c>
      <c r="AN275" s="484" t="str">
        <f t="shared" si="68"/>
        <v/>
      </c>
      <c r="AO275" s="473" t="str">
        <f t="shared" si="69"/>
        <v/>
      </c>
      <c r="AP275" s="473" t="str">
        <f t="shared" si="70"/>
        <v/>
      </c>
      <c r="AQ275" s="473" t="str">
        <f t="shared" si="71"/>
        <v/>
      </c>
      <c r="AR275" s="473" t="str">
        <f t="shared" si="72"/>
        <v/>
      </c>
      <c r="AS275" s="473" t="str">
        <f t="shared" si="73"/>
        <v/>
      </c>
      <c r="AT275" s="473" t="str">
        <f t="shared" si="74"/>
        <v/>
      </c>
      <c r="AU275" s="473" t="str">
        <f t="shared" si="75"/>
        <v/>
      </c>
      <c r="AZ275" s="31" t="s">
        <v>352</v>
      </c>
      <c r="BA275" s="34" t="s">
        <v>6118</v>
      </c>
      <c r="BB275" s="499"/>
      <c r="BC275" s="271"/>
      <c r="BD275" s="279">
        <v>1</v>
      </c>
      <c r="BE275" s="271"/>
      <c r="BF275" s="271"/>
      <c r="BG275" s="271"/>
      <c r="BH275" s="271"/>
      <c r="BI275" s="271"/>
      <c r="BJ275" s="271"/>
      <c r="BK275" s="271"/>
      <c r="BL275" s="271"/>
    </row>
    <row r="276" spans="18:64" ht="21" customHeight="1" x14ac:dyDescent="0.25">
      <c r="R276" s="34" t="s">
        <v>458</v>
      </c>
      <c r="S276" s="451"/>
      <c r="T276" s="30" t="s">
        <v>12</v>
      </c>
      <c r="V276" s="475">
        <v>6</v>
      </c>
      <c r="W276" s="475" t="str">
        <f>IF($AC$276="","",$W$252)</f>
        <v/>
      </c>
      <c r="X276" s="476" t="str">
        <f>IF($AC$276="","",$X$252)</f>
        <v/>
      </c>
      <c r="Y276" s="477" t="str">
        <f>IF($X$276="","",$Y$252)</f>
        <v/>
      </c>
      <c r="Z276" s="477" t="str">
        <f>IF($X$276="","",$Z$252)</f>
        <v/>
      </c>
      <c r="AA276" s="477" t="str">
        <f>IF($AC$276="","",ROW($A$276)-ROW($A$252))</f>
        <v/>
      </c>
      <c r="AB276" s="478"/>
      <c r="AC276" s="34"/>
      <c r="AD276" s="356"/>
      <c r="AE276" s="18"/>
      <c r="AF276" s="19"/>
      <c r="AG276" s="480" t="str">
        <f t="shared" si="64"/>
        <v/>
      </c>
      <c r="AH276" s="481" t="str">
        <f t="shared" si="65"/>
        <v/>
      </c>
      <c r="AI276" s="477" t="str">
        <f>IF($AC$276="","",IFERROR(INDEX($AZ$74:$AZ$119,MATCH($AH$276,$AY$74:$AY$119,0)),"AUTRE"))</f>
        <v/>
      </c>
      <c r="AJ276" s="482" t="str">
        <f>IF($AC$276="","",IFERROR(INDEX($BA$74:$BA$119,MATCH($AH$276,$AY$74:$AY$119,0)),1))</f>
        <v/>
      </c>
      <c r="AK276" s="482" t="str">
        <f t="shared" si="66"/>
        <v/>
      </c>
      <c r="AL276" s="477" t="str">
        <f>IF($AC$276="","",IFERROR(INDEX($BB$74:$BB$119,MATCH($AH$276,$AY$74:$AY$119,0)),$AH$276))</f>
        <v/>
      </c>
      <c r="AM276" s="483" t="str">
        <f t="shared" si="67"/>
        <v/>
      </c>
      <c r="AN276" s="484" t="str">
        <f t="shared" si="68"/>
        <v/>
      </c>
      <c r="AO276" s="473" t="str">
        <f t="shared" si="69"/>
        <v/>
      </c>
      <c r="AP276" s="473" t="str">
        <f t="shared" si="70"/>
        <v/>
      </c>
      <c r="AQ276" s="473" t="str">
        <f t="shared" si="71"/>
        <v/>
      </c>
      <c r="AR276" s="473" t="str">
        <f t="shared" si="72"/>
        <v/>
      </c>
      <c r="AS276" s="473" t="str">
        <f t="shared" si="73"/>
        <v/>
      </c>
      <c r="AT276" s="473" t="str">
        <f t="shared" si="74"/>
        <v/>
      </c>
      <c r="AU276" s="473" t="str">
        <f t="shared" si="75"/>
        <v/>
      </c>
      <c r="AZ276" s="31" t="s">
        <v>27</v>
      </c>
      <c r="BA276" s="34" t="s">
        <v>492</v>
      </c>
      <c r="BB276" s="499"/>
      <c r="BC276" s="271"/>
      <c r="BD276" s="279">
        <v>1</v>
      </c>
      <c r="BE276" s="271"/>
      <c r="BF276" s="271"/>
      <c r="BG276" s="271"/>
      <c r="BH276" s="271"/>
      <c r="BI276" s="271"/>
      <c r="BJ276" s="271"/>
      <c r="BK276" s="271"/>
      <c r="BL276" s="271"/>
    </row>
    <row r="277" spans="18:64" ht="21" customHeight="1" x14ac:dyDescent="0.25">
      <c r="R277" s="490"/>
      <c r="S277" s="451"/>
      <c r="T277" s="31" t="s">
        <v>16</v>
      </c>
      <c r="V277" s="475">
        <v>6</v>
      </c>
      <c r="W277" s="475" t="str">
        <f>IF($AC$277="","",$W$252)</f>
        <v/>
      </c>
      <c r="X277" s="476" t="str">
        <f>IF($AC$277="","",$X$252)</f>
        <v/>
      </c>
      <c r="Y277" s="477" t="str">
        <f>IF($X$277="","",$Y$252)</f>
        <v/>
      </c>
      <c r="Z277" s="477" t="str">
        <f>IF($X$277="","",$Z$252)</f>
        <v/>
      </c>
      <c r="AA277" s="477" t="str">
        <f>IF($AC$277="","",ROW($A$277)-ROW($A$252))</f>
        <v/>
      </c>
      <c r="AB277" s="478"/>
      <c r="AC277" s="34"/>
      <c r="AD277" s="356"/>
      <c r="AE277" s="18"/>
      <c r="AF277" s="19"/>
      <c r="AG277" s="480" t="str">
        <f t="shared" si="64"/>
        <v/>
      </c>
      <c r="AH277" s="481" t="str">
        <f t="shared" si="65"/>
        <v/>
      </c>
      <c r="AI277" s="477" t="str">
        <f>IF($AC$277="","",IFERROR(INDEX($AZ$74:$AZ$119,MATCH($AH$277,$AY$74:$AY$119,0)),"AUTRE"))</f>
        <v/>
      </c>
      <c r="AJ277" s="482" t="str">
        <f>IF($AC$277="","",IFERROR(INDEX($BA$74:$BA$119,MATCH($AH$277,$AY$74:$AY$119,0)),1))</f>
        <v/>
      </c>
      <c r="AK277" s="482" t="str">
        <f t="shared" si="66"/>
        <v/>
      </c>
      <c r="AL277" s="477" t="str">
        <f>IF($AC$277="","",IFERROR(INDEX($BB$74:$BB$119,MATCH($AH$277,$AY$74:$AY$119,0)),$AH$277))</f>
        <v/>
      </c>
      <c r="AM277" s="483" t="str">
        <f t="shared" si="67"/>
        <v/>
      </c>
      <c r="AN277" s="484" t="str">
        <f t="shared" si="68"/>
        <v/>
      </c>
      <c r="AO277" s="473" t="str">
        <f t="shared" si="69"/>
        <v/>
      </c>
      <c r="AP277" s="473" t="str">
        <f t="shared" si="70"/>
        <v/>
      </c>
      <c r="AQ277" s="473" t="str">
        <f t="shared" si="71"/>
        <v/>
      </c>
      <c r="AR277" s="473" t="str">
        <f t="shared" si="72"/>
        <v/>
      </c>
      <c r="AS277" s="473" t="str">
        <f t="shared" si="73"/>
        <v/>
      </c>
      <c r="AT277" s="473" t="str">
        <f t="shared" si="74"/>
        <v/>
      </c>
      <c r="AU277" s="473" t="str">
        <f t="shared" si="75"/>
        <v/>
      </c>
      <c r="AZ277" s="31" t="s">
        <v>28</v>
      </c>
      <c r="BA277" s="34" t="s">
        <v>458</v>
      </c>
      <c r="BB277" s="499"/>
      <c r="BC277" s="271"/>
      <c r="BD277" s="279">
        <v>1</v>
      </c>
      <c r="BE277" s="271"/>
      <c r="BF277" s="271"/>
      <c r="BG277" s="271"/>
      <c r="BH277" s="271"/>
      <c r="BI277" s="271"/>
      <c r="BJ277" s="271"/>
      <c r="BK277" s="271"/>
      <c r="BL277" s="271"/>
    </row>
    <row r="278" spans="18:64" ht="21" customHeight="1" x14ac:dyDescent="0.25">
      <c r="R278" s="25" t="s">
        <v>6119</v>
      </c>
      <c r="S278" s="451"/>
      <c r="T278" s="31" t="s">
        <v>17</v>
      </c>
      <c r="V278" s="475">
        <v>6</v>
      </c>
      <c r="W278" s="475" t="str">
        <f>IF($AC$278="","",$W$252)</f>
        <v/>
      </c>
      <c r="X278" s="476" t="str">
        <f>IF($AC$278="","",$X$252)</f>
        <v/>
      </c>
      <c r="Y278" s="477" t="str">
        <f>IF($X$278="","",$Y$252)</f>
        <v/>
      </c>
      <c r="Z278" s="477" t="str">
        <f>IF($X$278="","",$Z$252)</f>
        <v/>
      </c>
      <c r="AA278" s="477" t="str">
        <f>IF($AC$278="","",ROW($A$278)-ROW($A$252))</f>
        <v/>
      </c>
      <c r="AB278" s="478"/>
      <c r="AC278" s="34"/>
      <c r="AD278" s="356"/>
      <c r="AE278" s="18"/>
      <c r="AF278" s="19"/>
      <c r="AG278" s="480" t="str">
        <f t="shared" si="64"/>
        <v/>
      </c>
      <c r="AH278" s="481" t="str">
        <f t="shared" si="65"/>
        <v/>
      </c>
      <c r="AI278" s="477" t="str">
        <f>IF($AC$278="","",IFERROR(INDEX($AZ$74:$AZ$119,MATCH($AH$278,$AY$74:$AY$119,0)),"AUTRE"))</f>
        <v/>
      </c>
      <c r="AJ278" s="482" t="str">
        <f>IF($AC$278="","",IFERROR(INDEX($BA$74:$BA$119,MATCH($AH$278,$AY$74:$AY$119,0)),1))</f>
        <v/>
      </c>
      <c r="AK278" s="482" t="str">
        <f t="shared" si="66"/>
        <v/>
      </c>
      <c r="AL278" s="477" t="str">
        <f>IF($AC$278="","",IFERROR(INDEX($BB$74:$BB$119,MATCH($AH$278,$AY$74:$AY$119,0)),$AH$278))</f>
        <v/>
      </c>
      <c r="AM278" s="483" t="str">
        <f t="shared" si="67"/>
        <v/>
      </c>
      <c r="AN278" s="484" t="str">
        <f t="shared" si="68"/>
        <v/>
      </c>
      <c r="AO278" s="473" t="str">
        <f t="shared" si="69"/>
        <v/>
      </c>
      <c r="AP278" s="473" t="str">
        <f t="shared" si="70"/>
        <v/>
      </c>
      <c r="AQ278" s="473" t="str">
        <f t="shared" si="71"/>
        <v/>
      </c>
      <c r="AR278" s="473" t="str">
        <f t="shared" si="72"/>
        <v/>
      </c>
      <c r="AS278" s="473" t="str">
        <f t="shared" si="73"/>
        <v/>
      </c>
      <c r="AT278" s="473" t="str">
        <f t="shared" si="74"/>
        <v/>
      </c>
      <c r="AU278" s="473" t="str">
        <f t="shared" si="75"/>
        <v/>
      </c>
      <c r="AZ278" s="31" t="s">
        <v>29</v>
      </c>
      <c r="BA278" s="490"/>
      <c r="BB278" s="499"/>
      <c r="BC278" s="271"/>
      <c r="BD278" s="279">
        <v>1</v>
      </c>
      <c r="BE278" s="271"/>
      <c r="BF278" s="271"/>
      <c r="BG278" s="271"/>
      <c r="BH278" s="271"/>
      <c r="BI278" s="271"/>
      <c r="BJ278" s="271"/>
      <c r="BK278" s="271"/>
      <c r="BL278" s="271"/>
    </row>
    <row r="279" spans="18:64" ht="21" customHeight="1" x14ac:dyDescent="0.25">
      <c r="R279" s="34" t="s">
        <v>6120</v>
      </c>
      <c r="S279" s="451"/>
      <c r="T279" s="31" t="s">
        <v>18</v>
      </c>
      <c r="V279" s="475">
        <v>6</v>
      </c>
      <c r="W279" s="475" t="str">
        <f>IF($AC$279="","",$W$252)</f>
        <v/>
      </c>
      <c r="X279" s="476" t="str">
        <f>IF($AC$279="","",$X$252)</f>
        <v/>
      </c>
      <c r="Y279" s="477" t="str">
        <f>IF($X$279="","",$Y$252)</f>
        <v/>
      </c>
      <c r="Z279" s="477" t="str">
        <f>IF($X$279="","",$Z$252)</f>
        <v/>
      </c>
      <c r="AA279" s="477" t="str">
        <f>IF($AC$279="","",ROW($A$279)-ROW($A$252))</f>
        <v/>
      </c>
      <c r="AB279" s="478"/>
      <c r="AC279" s="34"/>
      <c r="AD279" s="356"/>
      <c r="AE279" s="18"/>
      <c r="AF279" s="19"/>
      <c r="AG279" s="480" t="str">
        <f t="shared" si="64"/>
        <v/>
      </c>
      <c r="AH279" s="481" t="str">
        <f t="shared" si="65"/>
        <v/>
      </c>
      <c r="AI279" s="477" t="str">
        <f>IF($AC$279="","",IFERROR(INDEX($AZ$74:$AZ$119,MATCH($AH$279,$AY$74:$AY$119,0)),"AUTRE"))</f>
        <v/>
      </c>
      <c r="AJ279" s="482" t="str">
        <f>IF($AC$279="","",IFERROR(INDEX($BA$74:$BA$119,MATCH($AH$279,$AY$74:$AY$119,0)),1))</f>
        <v/>
      </c>
      <c r="AK279" s="482" t="str">
        <f t="shared" si="66"/>
        <v/>
      </c>
      <c r="AL279" s="477" t="str">
        <f>IF($AC$279="","",IFERROR(INDEX($BB$74:$BB$119,MATCH($AH$279,$AY$74:$AY$119,0)),$AH$279))</f>
        <v/>
      </c>
      <c r="AM279" s="483" t="str">
        <f t="shared" si="67"/>
        <v/>
      </c>
      <c r="AN279" s="484" t="str">
        <f t="shared" si="68"/>
        <v/>
      </c>
      <c r="AO279" s="473" t="str">
        <f t="shared" si="69"/>
        <v/>
      </c>
      <c r="AP279" s="473" t="str">
        <f t="shared" si="70"/>
        <v/>
      </c>
      <c r="AQ279" s="473" t="str">
        <f t="shared" si="71"/>
        <v/>
      </c>
      <c r="AR279" s="473" t="str">
        <f t="shared" si="72"/>
        <v/>
      </c>
      <c r="AS279" s="473" t="str">
        <f t="shared" si="73"/>
        <v/>
      </c>
      <c r="AT279" s="473" t="str">
        <f t="shared" si="74"/>
        <v/>
      </c>
      <c r="AU279" s="473" t="str">
        <f t="shared" si="75"/>
        <v/>
      </c>
      <c r="AZ279" s="31" t="s">
        <v>30</v>
      </c>
      <c r="BA279" s="25" t="s">
        <v>6119</v>
      </c>
      <c r="BB279" s="499"/>
      <c r="BC279" s="271"/>
      <c r="BD279" s="279">
        <v>1</v>
      </c>
      <c r="BE279" s="271"/>
      <c r="BF279" s="271"/>
      <c r="BG279" s="271"/>
      <c r="BH279" s="271"/>
      <c r="BI279" s="271"/>
      <c r="BJ279" s="271"/>
      <c r="BK279" s="271"/>
      <c r="BL279" s="271"/>
    </row>
    <row r="280" spans="18:64" ht="21" customHeight="1" x14ac:dyDescent="0.25">
      <c r="R280" s="34" t="s">
        <v>6121</v>
      </c>
      <c r="S280" s="451"/>
      <c r="T280" s="31" t="s">
        <v>19</v>
      </c>
      <c r="V280" s="475">
        <v>6</v>
      </c>
      <c r="W280" s="475" t="str">
        <f>IF($AC$280="","",$W$252)</f>
        <v/>
      </c>
      <c r="X280" s="476" t="str">
        <f>IF($AC$280="","",$X$252)</f>
        <v/>
      </c>
      <c r="Y280" s="477" t="str">
        <f>IF($X$280="","",$Y$252)</f>
        <v/>
      </c>
      <c r="Z280" s="477" t="str">
        <f>IF($X$280="","",$Z$252)</f>
        <v/>
      </c>
      <c r="AA280" s="477" t="str">
        <f>IF($AC$280="","",ROW($A$280)-ROW($A$252))</f>
        <v/>
      </c>
      <c r="AB280" s="478"/>
      <c r="AC280" s="34"/>
      <c r="AD280" s="356"/>
      <c r="AE280" s="18"/>
      <c r="AF280" s="19"/>
      <c r="AG280" s="480" t="str">
        <f t="shared" si="64"/>
        <v/>
      </c>
      <c r="AH280" s="481" t="str">
        <f t="shared" si="65"/>
        <v/>
      </c>
      <c r="AI280" s="477" t="str">
        <f>IF($AC$280="","",IFERROR(INDEX($AZ$74:$AZ$119,MATCH($AH$280,$AY$74:$AY$119,0)),"AUTRE"))</f>
        <v/>
      </c>
      <c r="AJ280" s="482" t="str">
        <f>IF($AC$280="","",IFERROR(INDEX($BA$74:$BA$119,MATCH($AH$280,$AY$74:$AY$119,0)),1))</f>
        <v/>
      </c>
      <c r="AK280" s="482" t="str">
        <f t="shared" si="66"/>
        <v/>
      </c>
      <c r="AL280" s="477" t="str">
        <f>IF($AC$280="","",IFERROR(INDEX($BB$74:$BB$119,MATCH($AH$280,$AY$74:$AY$119,0)),$AH$280))</f>
        <v/>
      </c>
      <c r="AM280" s="483" t="str">
        <f t="shared" si="67"/>
        <v/>
      </c>
      <c r="AN280" s="484" t="str">
        <f t="shared" si="68"/>
        <v/>
      </c>
      <c r="AO280" s="473" t="str">
        <f t="shared" si="69"/>
        <v/>
      </c>
      <c r="AP280" s="473" t="str">
        <f t="shared" si="70"/>
        <v/>
      </c>
      <c r="AQ280" s="473" t="str">
        <f t="shared" si="71"/>
        <v/>
      </c>
      <c r="AR280" s="473" t="str">
        <f t="shared" si="72"/>
        <v/>
      </c>
      <c r="AS280" s="473" t="str">
        <f t="shared" si="73"/>
        <v/>
      </c>
      <c r="AT280" s="473" t="str">
        <f t="shared" si="74"/>
        <v/>
      </c>
      <c r="AU280" s="473" t="str">
        <f t="shared" si="75"/>
        <v/>
      </c>
      <c r="AY280" s="271"/>
      <c r="AZ280" s="32" t="s">
        <v>33</v>
      </c>
      <c r="BA280" s="34" t="s">
        <v>6120</v>
      </c>
      <c r="BB280" s="499"/>
      <c r="BC280" s="271"/>
      <c r="BD280" s="279">
        <v>1</v>
      </c>
      <c r="BE280" s="271"/>
      <c r="BF280" s="271"/>
      <c r="BG280" s="271"/>
      <c r="BH280" s="271"/>
      <c r="BI280" s="271"/>
      <c r="BJ280" s="271"/>
      <c r="BK280" s="271"/>
      <c r="BL280" s="271"/>
    </row>
    <row r="281" spans="18:64" ht="21" customHeight="1" x14ac:dyDescent="0.25">
      <c r="R281" s="34" t="s">
        <v>6122</v>
      </c>
      <c r="S281" s="451"/>
      <c r="T281" s="31" t="s">
        <v>211</v>
      </c>
      <c r="V281" s="475">
        <v>6</v>
      </c>
      <c r="W281" s="475" t="str">
        <f>IF($AC$281="","",$W$252)</f>
        <v/>
      </c>
      <c r="X281" s="476" t="str">
        <f>IF($AC$281="","",$X$252)</f>
        <v/>
      </c>
      <c r="Y281" s="477" t="str">
        <f>IF($X$281="","",$Y$252)</f>
        <v/>
      </c>
      <c r="Z281" s="477" t="str">
        <f>IF($X$281="","",$Z$252)</f>
        <v/>
      </c>
      <c r="AA281" s="477" t="str">
        <f>IF($AC$281="","",ROW($A$281)-ROW($A$252))</f>
        <v/>
      </c>
      <c r="AB281" s="478"/>
      <c r="AC281" s="34"/>
      <c r="AD281" s="356"/>
      <c r="AE281" s="18"/>
      <c r="AF281" s="19"/>
      <c r="AG281" s="480" t="str">
        <f t="shared" si="64"/>
        <v/>
      </c>
      <c r="AH281" s="481" t="str">
        <f t="shared" si="65"/>
        <v/>
      </c>
      <c r="AI281" s="477" t="str">
        <f>IF($AC$281="","",IFERROR(INDEX($AZ$74:$AZ$119,MATCH($AH$281,$AY$74:$AY$119,0)),"AUTRE"))</f>
        <v/>
      </c>
      <c r="AJ281" s="482" t="str">
        <f>IF($AC$281="","",IFERROR(INDEX($BA$74:$BA$119,MATCH($AH$281,$AY$74:$AY$119,0)),1))</f>
        <v/>
      </c>
      <c r="AK281" s="482" t="str">
        <f t="shared" si="66"/>
        <v/>
      </c>
      <c r="AL281" s="477" t="str">
        <f>IF($AC$281="","",IFERROR(INDEX($BB$74:$BB$119,MATCH($AH$281,$AY$74:$AY$119,0)),$AH$281))</f>
        <v/>
      </c>
      <c r="AM281" s="483" t="str">
        <f t="shared" si="67"/>
        <v/>
      </c>
      <c r="AN281" s="484" t="str">
        <f t="shared" si="68"/>
        <v/>
      </c>
      <c r="AO281" s="473" t="str">
        <f t="shared" si="69"/>
        <v/>
      </c>
      <c r="AP281" s="473" t="str">
        <f t="shared" si="70"/>
        <v/>
      </c>
      <c r="AQ281" s="473" t="str">
        <f t="shared" si="71"/>
        <v/>
      </c>
      <c r="AR281" s="473" t="str">
        <f t="shared" si="72"/>
        <v/>
      </c>
      <c r="AS281" s="473" t="str">
        <f t="shared" si="73"/>
        <v/>
      </c>
      <c r="AT281" s="473" t="str">
        <f t="shared" si="74"/>
        <v/>
      </c>
      <c r="AU281" s="473" t="str">
        <f t="shared" si="75"/>
        <v/>
      </c>
      <c r="AY281" s="497" t="s">
        <v>8145</v>
      </c>
      <c r="AZ281" s="32" t="s">
        <v>8125</v>
      </c>
      <c r="BA281" s="34" t="s">
        <v>6121</v>
      </c>
      <c r="BB281" s="499"/>
      <c r="BC281" s="271"/>
      <c r="BD281" s="279">
        <v>1</v>
      </c>
      <c r="BE281" s="271"/>
      <c r="BF281" s="271"/>
      <c r="BG281" s="271"/>
      <c r="BH281" s="271"/>
      <c r="BI281" s="271"/>
      <c r="BJ281" s="271"/>
      <c r="BK281" s="271"/>
      <c r="BL281" s="271"/>
    </row>
    <row r="282" spans="18:64" ht="21" customHeight="1" x14ac:dyDescent="0.25">
      <c r="R282" s="34" t="s">
        <v>6123</v>
      </c>
      <c r="S282" s="451"/>
      <c r="T282" s="31" t="s">
        <v>20</v>
      </c>
      <c r="V282" s="475">
        <v>6</v>
      </c>
      <c r="W282" s="475" t="str">
        <f>IF($AC$282="","",$W$252)</f>
        <v/>
      </c>
      <c r="X282" s="476" t="str">
        <f>IF($AC$282="","",$X$252)</f>
        <v/>
      </c>
      <c r="Y282" s="477" t="str">
        <f>IF($X$282="","",$Y$252)</f>
        <v/>
      </c>
      <c r="Z282" s="477" t="str">
        <f>IF($X$282="","",$Z$252)</f>
        <v/>
      </c>
      <c r="AA282" s="477" t="str">
        <f>IF($AC$282="","",ROW($A$282)-ROW($A$252))</f>
        <v/>
      </c>
      <c r="AB282" s="478"/>
      <c r="AC282" s="34"/>
      <c r="AD282" s="356"/>
      <c r="AE282" s="18"/>
      <c r="AF282" s="19"/>
      <c r="AG282" s="480" t="str">
        <f t="shared" si="64"/>
        <v/>
      </c>
      <c r="AH282" s="481" t="str">
        <f t="shared" si="65"/>
        <v/>
      </c>
      <c r="AI282" s="477" t="str">
        <f>IF($AC$282="","",IFERROR(INDEX($AZ$74:$AZ$119,MATCH($AH$282,$AY$74:$AY$119,0)),"AUTRE"))</f>
        <v/>
      </c>
      <c r="AJ282" s="482" t="str">
        <f>IF($AC$282="","",IFERROR(INDEX($BA$74:$BA$119,MATCH($AH$282,$AY$74:$AY$119,0)),1))</f>
        <v/>
      </c>
      <c r="AK282" s="482" t="str">
        <f t="shared" si="66"/>
        <v/>
      </c>
      <c r="AL282" s="477" t="str">
        <f>IF($AC$282="","",IFERROR(INDEX($BB$74:$BB$119,MATCH($AH$282,$AY$74:$AY$119,0)),$AH$282))</f>
        <v/>
      </c>
      <c r="AM282" s="483" t="str">
        <f t="shared" si="67"/>
        <v/>
      </c>
      <c r="AN282" s="484" t="str">
        <f t="shared" si="68"/>
        <v/>
      </c>
      <c r="AO282" s="473" t="str">
        <f t="shared" si="69"/>
        <v/>
      </c>
      <c r="AP282" s="473" t="str">
        <f t="shared" si="70"/>
        <v/>
      </c>
      <c r="AQ282" s="473" t="str">
        <f t="shared" si="71"/>
        <v/>
      </c>
      <c r="AR282" s="473" t="str">
        <f t="shared" si="72"/>
        <v/>
      </c>
      <c r="AS282" s="473" t="str">
        <f t="shared" si="73"/>
        <v/>
      </c>
      <c r="AT282" s="473" t="str">
        <f t="shared" si="74"/>
        <v/>
      </c>
      <c r="AU282" s="473" t="str">
        <f t="shared" si="75"/>
        <v/>
      </c>
      <c r="AY282" s="497" t="s">
        <v>462</v>
      </c>
      <c r="AZ282" s="32" t="s">
        <v>8127</v>
      </c>
      <c r="BA282" s="34" t="s">
        <v>6122</v>
      </c>
      <c r="BB282" s="499"/>
      <c r="BC282" s="271"/>
      <c r="BD282" s="279">
        <v>1</v>
      </c>
      <c r="BE282" s="271"/>
      <c r="BF282" s="271"/>
      <c r="BG282" s="271"/>
      <c r="BH282" s="271"/>
      <c r="BI282" s="271"/>
      <c r="BJ282" s="271"/>
      <c r="BK282" s="271"/>
      <c r="BL282" s="271"/>
    </row>
    <row r="283" spans="18:64" ht="21" customHeight="1" x14ac:dyDescent="0.25">
      <c r="R283" s="34" t="s">
        <v>6124</v>
      </c>
      <c r="S283" s="451"/>
      <c r="T283" s="31" t="s">
        <v>304</v>
      </c>
      <c r="V283" s="475">
        <v>6</v>
      </c>
      <c r="W283" s="475" t="str">
        <f>IF($AC$283="","",$W$252)</f>
        <v/>
      </c>
      <c r="X283" s="476" t="str">
        <f>IF($AC$283="","",$X$252)</f>
        <v/>
      </c>
      <c r="Y283" s="477" t="str">
        <f>IF($X$283="","",$Y$252)</f>
        <v/>
      </c>
      <c r="Z283" s="477" t="str">
        <f>IF($X$283="","",$Z$252)</f>
        <v/>
      </c>
      <c r="AA283" s="477" t="str">
        <f>IF($AC$283="","",ROW($A$283)-ROW($A$252))</f>
        <v/>
      </c>
      <c r="AB283" s="478"/>
      <c r="AC283" s="34"/>
      <c r="AD283" s="356"/>
      <c r="AE283" s="18"/>
      <c r="AF283" s="19"/>
      <c r="AG283" s="480" t="str">
        <f t="shared" si="64"/>
        <v/>
      </c>
      <c r="AH283" s="481" t="str">
        <f t="shared" si="65"/>
        <v/>
      </c>
      <c r="AI283" s="477" t="str">
        <f>IF($AC$283="","",IFERROR(INDEX($AZ$74:$AZ$119,MATCH($AH$283,$AY$74:$AY$119,0)),"AUTRE"))</f>
        <v/>
      </c>
      <c r="AJ283" s="482" t="str">
        <f>IF($AC$283="","",IFERROR(INDEX($BA$74:$BA$119,MATCH($AH$283,$AY$74:$AY$119,0)),1))</f>
        <v/>
      </c>
      <c r="AK283" s="482" t="str">
        <f t="shared" si="66"/>
        <v/>
      </c>
      <c r="AL283" s="477" t="str">
        <f>IF($AC$283="","",IFERROR(INDEX($BB$74:$BB$119,MATCH($AH$283,$AY$74:$AY$119,0)),$AH$283))</f>
        <v/>
      </c>
      <c r="AM283" s="483" t="str">
        <f t="shared" si="67"/>
        <v/>
      </c>
      <c r="AN283" s="484" t="str">
        <f t="shared" si="68"/>
        <v/>
      </c>
      <c r="AO283" s="473" t="str">
        <f t="shared" si="69"/>
        <v/>
      </c>
      <c r="AP283" s="473" t="str">
        <f t="shared" si="70"/>
        <v/>
      </c>
      <c r="AQ283" s="473" t="str">
        <f t="shared" si="71"/>
        <v/>
      </c>
      <c r="AR283" s="473" t="str">
        <f t="shared" si="72"/>
        <v/>
      </c>
      <c r="AS283" s="473" t="str">
        <f t="shared" si="73"/>
        <v/>
      </c>
      <c r="AT283" s="473" t="str">
        <f t="shared" si="74"/>
        <v/>
      </c>
      <c r="AU283" s="473" t="str">
        <f t="shared" si="75"/>
        <v/>
      </c>
      <c r="AY283" s="497" t="s">
        <v>463</v>
      </c>
      <c r="AZ283" s="32" t="s">
        <v>320</v>
      </c>
      <c r="BA283" s="34" t="s">
        <v>6123</v>
      </c>
      <c r="BB283" s="499"/>
      <c r="BC283" s="271"/>
      <c r="BD283" s="279">
        <v>1</v>
      </c>
      <c r="BE283" s="271"/>
      <c r="BF283" s="271"/>
      <c r="BG283" s="271"/>
      <c r="BH283" s="271"/>
      <c r="BI283" s="271"/>
      <c r="BJ283" s="271"/>
      <c r="BK283" s="271"/>
      <c r="BL283" s="271"/>
    </row>
    <row r="284" spans="18:64" ht="21" customHeight="1" x14ac:dyDescent="0.25">
      <c r="R284" s="34" t="s">
        <v>6125</v>
      </c>
      <c r="S284" s="451"/>
      <c r="T284" s="31" t="s">
        <v>352</v>
      </c>
      <c r="V284" s="475">
        <v>6</v>
      </c>
      <c r="W284" s="475" t="str">
        <f>IF($AC$284="","",$W$252)</f>
        <v/>
      </c>
      <c r="X284" s="476" t="str">
        <f>IF($AC$284="","",$X$252)</f>
        <v/>
      </c>
      <c r="Y284" s="477" t="str">
        <f>IF($X$284="","",$Y$252)</f>
        <v/>
      </c>
      <c r="Z284" s="477" t="str">
        <f>IF($X$284="","",$Z$252)</f>
        <v/>
      </c>
      <c r="AA284" s="477" t="str">
        <f>IF($AC$284="","",ROW($A$284)-ROW($A$252))</f>
        <v/>
      </c>
      <c r="AB284" s="478"/>
      <c r="AC284" s="34"/>
      <c r="AD284" s="356"/>
      <c r="AE284" s="18"/>
      <c r="AF284" s="19"/>
      <c r="AG284" s="480" t="str">
        <f t="shared" si="64"/>
        <v/>
      </c>
      <c r="AH284" s="481" t="str">
        <f t="shared" si="65"/>
        <v/>
      </c>
      <c r="AI284" s="477" t="str">
        <f>IF($AC$284="","",IFERROR(INDEX($AZ$74:$AZ$119,MATCH($AH$284,$AY$74:$AY$119,0)),"AUTRE"))</f>
        <v/>
      </c>
      <c r="AJ284" s="482" t="str">
        <f>IF($AC$284="","",IFERROR(INDEX($BA$74:$BA$119,MATCH($AH$284,$AY$74:$AY$119,0)),1))</f>
        <v/>
      </c>
      <c r="AK284" s="482" t="str">
        <f t="shared" si="66"/>
        <v/>
      </c>
      <c r="AL284" s="477" t="str">
        <f>IF($AC$284="","",IFERROR(INDEX($BB$74:$BB$119,MATCH($AH$284,$AY$74:$AY$119,0)),$AH$284))</f>
        <v/>
      </c>
      <c r="AM284" s="483" t="str">
        <f t="shared" si="67"/>
        <v/>
      </c>
      <c r="AN284" s="484" t="str">
        <f t="shared" si="68"/>
        <v/>
      </c>
      <c r="AO284" s="473" t="str">
        <f t="shared" si="69"/>
        <v/>
      </c>
      <c r="AP284" s="473" t="str">
        <f t="shared" si="70"/>
        <v/>
      </c>
      <c r="AQ284" s="473" t="str">
        <f t="shared" si="71"/>
        <v/>
      </c>
      <c r="AR284" s="473" t="str">
        <f t="shared" si="72"/>
        <v/>
      </c>
      <c r="AS284" s="473" t="str">
        <f t="shared" si="73"/>
        <v/>
      </c>
      <c r="AT284" s="473" t="str">
        <f t="shared" si="74"/>
        <v/>
      </c>
      <c r="AU284" s="473" t="str">
        <f t="shared" si="75"/>
        <v/>
      </c>
      <c r="AY284" s="497" t="s">
        <v>8147</v>
      </c>
      <c r="AZ284" s="32" t="s">
        <v>318</v>
      </c>
      <c r="BA284" s="34" t="s">
        <v>6124</v>
      </c>
      <c r="BB284" s="499"/>
      <c r="BC284" s="271"/>
      <c r="BD284" s="279">
        <v>1</v>
      </c>
      <c r="BE284" s="271"/>
      <c r="BF284" s="271"/>
      <c r="BG284" s="271"/>
      <c r="BH284" s="271"/>
      <c r="BI284" s="271"/>
      <c r="BJ284" s="271"/>
      <c r="BK284" s="271"/>
      <c r="BL284" s="271"/>
    </row>
    <row r="285" spans="18:64" ht="21" customHeight="1" x14ac:dyDescent="0.25">
      <c r="R285" s="34" t="s">
        <v>6126</v>
      </c>
      <c r="S285" s="451"/>
      <c r="T285" s="31" t="s">
        <v>25</v>
      </c>
      <c r="V285" s="475">
        <v>6</v>
      </c>
      <c r="W285" s="475" t="str">
        <f>IF($AC$285="","",$W$252)</f>
        <v>N° 06</v>
      </c>
      <c r="X285" s="476" t="str">
        <f>IF($AC$285="","",$X$252)</f>
        <v>LÉGUMES A LA GRECQUE</v>
      </c>
      <c r="Y285" s="477">
        <f>IF($X$285="","",$Y$252)</f>
        <v>23</v>
      </c>
      <c r="Z285" s="477">
        <f>IF($X$285="","",$Z$252)</f>
        <v>100</v>
      </c>
      <c r="AA285" s="477">
        <f>IF($AC$285="","",ROW($A$285)-ROW($A$252))</f>
        <v>33</v>
      </c>
      <c r="AB285" s="478"/>
      <c r="AC285" s="34" t="s">
        <v>477</v>
      </c>
      <c r="AD285" s="356"/>
      <c r="AE285" s="18">
        <v>1</v>
      </c>
      <c r="AF285" s="33" t="s">
        <v>462</v>
      </c>
      <c r="AG285" s="480">
        <f t="shared" si="64"/>
        <v>1</v>
      </c>
      <c r="AH285" s="481" t="str">
        <f t="shared" si="65"/>
        <v>BAC(S)</v>
      </c>
      <c r="AI285" s="477" t="str">
        <f>IF($AC$285="","",IFERROR(INDEX($AZ$74:$AZ$119,MATCH($AH$285,$AY$74:$AY$119,0)),"AUTRE"))</f>
        <v>AUTRE</v>
      </c>
      <c r="AJ285" s="482">
        <f>IF($AC$285="","",IFERROR(INDEX($BA$74:$BA$119,MATCH($AH$285,$AY$74:$AY$119,0)),1))</f>
        <v>1</v>
      </c>
      <c r="AK285" s="482">
        <f t="shared" si="66"/>
        <v>1</v>
      </c>
      <c r="AL285" s="477" t="str">
        <f>IF($AC$285="","",IFERROR(INDEX($BB$74:$BB$119,MATCH($AH$285,$AY$74:$AY$119,0)),$AH$285))</f>
        <v>bac(s)</v>
      </c>
      <c r="AM285" s="483" t="str">
        <f t="shared" si="67"/>
        <v>OK</v>
      </c>
      <c r="AN285" s="484">
        <f t="shared" si="68"/>
        <v>1</v>
      </c>
      <c r="AO285" s="473" t="str">
        <f t="shared" si="69"/>
        <v/>
      </c>
      <c r="AP285" s="473" t="str">
        <f t="shared" si="70"/>
        <v/>
      </c>
      <c r="AQ285" s="473" t="str">
        <f t="shared" si="71"/>
        <v/>
      </c>
      <c r="AR285" s="473" t="str">
        <f t="shared" si="72"/>
        <v/>
      </c>
      <c r="AS285" s="473" t="str">
        <f t="shared" si="73"/>
        <v/>
      </c>
      <c r="AT285" s="473" t="str">
        <f t="shared" si="74"/>
        <v/>
      </c>
      <c r="AU285" s="473" t="str">
        <f t="shared" si="75"/>
        <v/>
      </c>
      <c r="AY285" s="497" t="s">
        <v>465</v>
      </c>
      <c r="AZ285" s="32" t="s">
        <v>316</v>
      </c>
      <c r="BA285" s="34" t="s">
        <v>6125</v>
      </c>
      <c r="BB285" s="499"/>
      <c r="BC285" s="271"/>
      <c r="BD285" s="279">
        <v>1</v>
      </c>
      <c r="BE285" s="271"/>
      <c r="BF285" s="271"/>
      <c r="BG285" s="271"/>
      <c r="BH285" s="271"/>
      <c r="BI285" s="271"/>
      <c r="BJ285" s="271"/>
      <c r="BK285" s="271"/>
      <c r="BL285" s="271"/>
    </row>
    <row r="286" spans="18:64" ht="21" customHeight="1" x14ac:dyDescent="0.25">
      <c r="R286" s="34" t="s">
        <v>6127</v>
      </c>
      <c r="S286" s="451"/>
      <c r="T286" s="31" t="s">
        <v>26</v>
      </c>
      <c r="V286" s="475">
        <v>6</v>
      </c>
      <c r="W286" s="475" t="str">
        <f>IF($AC$286="","",$W$252)</f>
        <v>N° 06</v>
      </c>
      <c r="X286" s="476" t="str">
        <f>IF($AC$286="","",$X$252)</f>
        <v>LÉGUMES A LA GRECQUE</v>
      </c>
      <c r="Y286" s="477">
        <f>IF($X$286="","",$Y$252)</f>
        <v>23</v>
      </c>
      <c r="Z286" s="477">
        <f>IF($X$286="","",$Z$252)</f>
        <v>100</v>
      </c>
      <c r="AA286" s="477">
        <f>IF($AC$286="","",ROW($A$286)-ROW($A$252))</f>
        <v>34</v>
      </c>
      <c r="AB286" s="478"/>
      <c r="AC286" s="34" t="s">
        <v>478</v>
      </c>
      <c r="AD286" s="356"/>
      <c r="AE286" s="18">
        <v>1</v>
      </c>
      <c r="AF286" s="33" t="s">
        <v>462</v>
      </c>
      <c r="AG286" s="491">
        <f t="shared" si="64"/>
        <v>1</v>
      </c>
      <c r="AH286" s="481" t="str">
        <f t="shared" si="65"/>
        <v>BAC(S)</v>
      </c>
      <c r="AI286" s="477" t="str">
        <f>IF($AC$286="","",IFERROR(INDEX($AZ$74:$AZ$119,MATCH($AH$286,$AY$74:$AY$119,0)),"AUTRE"))</f>
        <v>AUTRE</v>
      </c>
      <c r="AJ286" s="482">
        <f>IF($AC$286="","",IFERROR(INDEX($BA$74:$BA$119,MATCH($AH$286,$AY$74:$AY$119,0)),1))</f>
        <v>1</v>
      </c>
      <c r="AK286" s="482">
        <f t="shared" si="66"/>
        <v>1</v>
      </c>
      <c r="AL286" s="477" t="str">
        <f>IF($AC$286="","",IFERROR(INDEX($BB$74:$BB$119,MATCH($AH$286,$AY$74:$AY$119,0)),$AH$286))</f>
        <v>bac(s)</v>
      </c>
      <c r="AM286" s="483" t="str">
        <f t="shared" si="67"/>
        <v>OK</v>
      </c>
      <c r="AN286" s="484">
        <f t="shared" si="68"/>
        <v>1</v>
      </c>
      <c r="AO286" s="473" t="str">
        <f t="shared" si="69"/>
        <v/>
      </c>
      <c r="AP286" s="473" t="str">
        <f t="shared" si="70"/>
        <v/>
      </c>
      <c r="AQ286" s="473" t="str">
        <f t="shared" si="71"/>
        <v/>
      </c>
      <c r="AR286" s="473" t="str">
        <f t="shared" si="72"/>
        <v/>
      </c>
      <c r="AS286" s="473" t="str">
        <f t="shared" si="73"/>
        <v/>
      </c>
      <c r="AT286" s="473" t="str">
        <f t="shared" si="74"/>
        <v/>
      </c>
      <c r="AU286" s="473" t="str">
        <f t="shared" si="75"/>
        <v/>
      </c>
      <c r="AY286" s="497" t="s">
        <v>466</v>
      </c>
      <c r="AZ286" s="32" t="s">
        <v>313</v>
      </c>
      <c r="BA286" s="34" t="s">
        <v>6126</v>
      </c>
      <c r="BB286" s="499"/>
      <c r="BC286" s="271"/>
      <c r="BD286" s="279">
        <v>1</v>
      </c>
      <c r="BE286" s="271"/>
      <c r="BF286" s="271"/>
      <c r="BG286" s="271"/>
      <c r="BH286" s="271"/>
      <c r="BI286" s="271"/>
      <c r="BJ286" s="271"/>
      <c r="BK286" s="271"/>
      <c r="BL286" s="271"/>
    </row>
    <row r="287" spans="18:64" ht="30" customHeight="1" x14ac:dyDescent="0.25">
      <c r="R287" s="25" t="s">
        <v>6128</v>
      </c>
      <c r="S287" s="451"/>
      <c r="T287" s="31" t="s">
        <v>27</v>
      </c>
      <c r="V287" s="453" t="s">
        <v>324</v>
      </c>
      <c r="W287" s="453" t="s">
        <v>7912</v>
      </c>
      <c r="X287" s="453" t="s">
        <v>326</v>
      </c>
      <c r="Y287" s="453" t="s">
        <v>327</v>
      </c>
      <c r="Z287" s="454" t="s">
        <v>7930</v>
      </c>
      <c r="AA287" s="453" t="s">
        <v>7937</v>
      </c>
      <c r="AB287" s="455" t="s">
        <v>39</v>
      </c>
      <c r="AC287" s="455" t="s">
        <v>338</v>
      </c>
      <c r="AD287" s="455" t="s">
        <v>8114</v>
      </c>
      <c r="AE287" s="455" t="s">
        <v>339</v>
      </c>
      <c r="AF287" s="455" t="s">
        <v>7997</v>
      </c>
      <c r="AG287" s="453" t="s">
        <v>8018</v>
      </c>
      <c r="AH287" s="453" t="s">
        <v>8023</v>
      </c>
      <c r="AI287" s="453" t="s">
        <v>330</v>
      </c>
      <c r="AJ287" s="453" t="s">
        <v>8031</v>
      </c>
      <c r="AK287" s="453" t="s">
        <v>8037</v>
      </c>
      <c r="AL287" s="453" t="s">
        <v>8041</v>
      </c>
      <c r="AM287" s="453" t="s">
        <v>343</v>
      </c>
      <c r="AN287" s="457" t="s">
        <v>8115</v>
      </c>
      <c r="AO287" s="457" t="s">
        <v>8116</v>
      </c>
      <c r="AP287" s="656" t="s">
        <v>8117</v>
      </c>
      <c r="AQ287" s="656"/>
      <c r="AR287" s="656"/>
      <c r="AS287" s="656"/>
      <c r="AT287" s="656"/>
      <c r="AU287" s="657"/>
      <c r="AZ287" s="32" t="s">
        <v>307</v>
      </c>
      <c r="BA287" s="34" t="s">
        <v>6127</v>
      </c>
      <c r="BB287" s="499"/>
      <c r="BC287" s="271"/>
      <c r="BD287" s="279">
        <v>1</v>
      </c>
      <c r="BE287" s="271"/>
      <c r="BF287" s="271"/>
      <c r="BG287" s="271"/>
      <c r="BH287" s="271"/>
      <c r="BI287" s="271"/>
      <c r="BJ287" s="271"/>
      <c r="BK287" s="271"/>
      <c r="BL287" s="271"/>
    </row>
    <row r="288" spans="18:64" ht="30" customHeight="1" x14ac:dyDescent="0.25">
      <c r="R288" s="34" t="s">
        <v>474</v>
      </c>
      <c r="S288" s="451"/>
      <c r="T288" s="31" t="s">
        <v>28</v>
      </c>
      <c r="V288" s="459">
        <v>7</v>
      </c>
      <c r="W288" s="460" t="s">
        <v>87</v>
      </c>
      <c r="X288" s="461" t="s">
        <v>86</v>
      </c>
      <c r="Y288" s="462">
        <v>24</v>
      </c>
      <c r="Z288" s="463">
        <v>100</v>
      </c>
      <c r="AA288" s="464">
        <f>IF($AC$396="","",ROW($A$396)-ROW($A$396))</f>
        <v>0</v>
      </c>
      <c r="AB288" s="461"/>
      <c r="AC288" s="465" t="s">
        <v>88</v>
      </c>
      <c r="AD288" s="390"/>
      <c r="AE288" s="13">
        <v>17</v>
      </c>
      <c r="AF288" s="14" t="s">
        <v>7</v>
      </c>
      <c r="AG288" s="467">
        <f t="shared" ref="AG288:AG322" si="76">IF($AC288="","",IF(LEN($AN288&amp;"")=0,"",$AN288))</f>
        <v>17</v>
      </c>
      <c r="AH288" s="468" t="str">
        <f t="shared" ref="AH288:AH322" si="77">IF($AC288="","",IF($AF288&lt;&gt;"",UPPER(TRIM(SUBSTITUTE(SUBSTITUTE($AF288&amp;"",CHAR(160)," ")," "," "))),$AP288))</f>
        <v>KG</v>
      </c>
      <c r="AI288" s="469" t="str">
        <f>IF($AC$288="","",IFERROR(INDEX($AZ$74:$AZ$119,MATCH($AH$288,$AY$74:$AY$119,0)),"AUTRE"))</f>
        <v>MASSE</v>
      </c>
      <c r="AJ288" s="470">
        <f>IF($AC$288="","",IFERROR(INDEX($BA$74:$BA$119,MATCH($AH$288,$AY$74:$AY$119,0)),1))</f>
        <v>1</v>
      </c>
      <c r="AK288" s="470">
        <f t="shared" si="66"/>
        <v>17</v>
      </c>
      <c r="AL288" s="469" t="str">
        <f>IF($AC$288="","",IFERROR(INDEX($BB$74:$BB$119,MATCH($AH$288,$AY$74:$AY$119,0)),$AH$288))</f>
        <v>kg</v>
      </c>
      <c r="AM288" s="471" t="str">
        <f t="shared" ref="AM288:AM322" si="78">IF($AC288="","",IF($AH288="QT. SUFFISANTE","OK",IF($AG288="","TEXTE",IF(NOT(ISNUMBER($AG288)),"QUANTITÉ À CONTRÔLER",IF(COUNTIF($AY$74:$AY$119,$AH288)=0,"UNITÉ À CONTRÔLER","OK")))))</f>
        <v>OK</v>
      </c>
      <c r="AN288" s="474">
        <f t="shared" ref="AN288:AN322" si="79">IF($AE288&lt;&gt;"",$AE288,IF($AD288="","",IF(ISNUMBER($AD288),$AD288,IF($AO288="QT",0,IF($AO288="","",IFERROR(IF(ISNUMBER(SEARCH("/",$AO288)),VALUE(TRIM(LEFT($AO288,SEARCH("/",$AO288)-1)))/VALUE(TRIM(MID($AO288,SEARCH("/",$AO288)+1,99))),VALUE(SUBSTITUTE($AO288,".",","))),""))))))</f>
        <v>17</v>
      </c>
      <c r="AO288" s="473" t="str">
        <f t="shared" ref="AO288:AO322" si="80">IF($AD288="","",IF(ISNUMBER($AD288),$AD288,IF(OR(LEFT($AQ288,3)="QT.",LEFT($AQ288,4)="QUAN"),"QT",IF($AR288=999,$AQ288,TRIM(LEFT($AQ288,$AR288-1))))))</f>
        <v/>
      </c>
      <c r="AP288" s="473" t="str">
        <f t="shared" ref="AP288:AP322" si="81">IF($AD288="","",IF(ISNUMBER($AD288),"",IF(OR(LEFT($AQ288,3)="QT.",LEFT($AQ288,4)="QUAN"),"QT. SUFFISANTE",IF($AO288="","",TRIM(MID($AQ288,LEN($AO288&amp;"")+1,999))))))</f>
        <v/>
      </c>
      <c r="AQ288" s="473" t="str">
        <f t="shared" ref="AQ288:AQ322" si="82">IF($AD288="","",UPPER(TRIM(SUBSTITUTE(SUBSTITUTE($AD288&amp;"",CHAR(160)," ")," "," "))))</f>
        <v/>
      </c>
      <c r="AR288" s="473" t="str">
        <f t="shared" ref="AR288:AR322" si="83">IF($AQ288="","",MIN($AS288,$AT288,$AU288))</f>
        <v/>
      </c>
      <c r="AS288" s="473" t="str">
        <f t="shared" ref="AS288:AS322" si="84">IF($AQ288="","",MIN(IFERROR(SEARCH("A",$AQ288),999),IFERROR(SEARCH("B",$AQ288),999),IFERROR(SEARCH("C",$AQ288),999),IFERROR(SEARCH("D",$AQ288),999),IFERROR(SEARCH("E",$AQ288),999),IFERROR(SEARCH("F",$AQ288),999),IFERROR(SEARCH("G",$AQ288),999),IFERROR(SEARCH("H",$AQ288),999),IFERROR(SEARCH("I",$AQ288),999)))</f>
        <v/>
      </c>
      <c r="AT288" s="473" t="str">
        <f t="shared" ref="AT288:AT322" si="85">IF($AQ288="","",MIN(IFERROR(SEARCH("J",$AQ288),999),IFERROR(SEARCH("K",$AQ288),999),IFERROR(SEARCH("L",$AQ288),999),IFERROR(SEARCH("M",$AQ288),999),IFERROR(SEARCH("N",$AQ288),999),IFERROR(SEARCH("O",$AQ288),999),IFERROR(SEARCH("P",$AQ288),999),IFERROR(SEARCH("Q",$AQ288),999),IFERROR(SEARCH("R",$AQ288),999)))</f>
        <v/>
      </c>
      <c r="AU288" s="473" t="str">
        <f t="shared" ref="AU288:AU322" si="86">IF($AQ288="","",MIN(IFERROR(SEARCH("S",$AQ288),999),IFERROR(SEARCH("T",$AQ288),999),IFERROR(SEARCH("U",$AQ288),999),IFERROR(SEARCH("V",$AQ288),999),IFERROR(SEARCH("W",$AQ288),999),IFERROR(SEARCH("X",$AQ288),999),IFERROR(SEARCH("Y",$AQ288),999),IFERROR(SEARCH("Z",$AQ288),999)))</f>
        <v/>
      </c>
      <c r="AZ288" s="32" t="s">
        <v>322</v>
      </c>
      <c r="BA288" s="25" t="s">
        <v>6128</v>
      </c>
      <c r="BB288" s="499"/>
      <c r="BC288" s="271"/>
      <c r="BD288" s="279">
        <v>1</v>
      </c>
      <c r="BE288" s="271"/>
      <c r="BF288" s="271"/>
      <c r="BG288" s="271"/>
      <c r="BH288" s="271"/>
      <c r="BI288" s="271"/>
      <c r="BJ288" s="271"/>
      <c r="BK288" s="271"/>
      <c r="BL288" s="271"/>
    </row>
    <row r="289" spans="18:64" ht="21" customHeight="1" x14ac:dyDescent="0.25">
      <c r="R289" s="34" t="s">
        <v>490</v>
      </c>
      <c r="S289" s="451"/>
      <c r="T289" s="31" t="s">
        <v>29</v>
      </c>
      <c r="V289" s="475">
        <f>$V$288</f>
        <v>7</v>
      </c>
      <c r="W289" s="475" t="str">
        <f>IF($AC$289="","",$W$288)</f>
        <v>N° 07</v>
      </c>
      <c r="X289" s="476" t="str">
        <f>IF($AC$289="","",$X$288)</f>
        <v>MELON GLACÉ AUX FRUITS ROUGES</v>
      </c>
      <c r="Y289" s="477">
        <f>IF($X$289="","",$Y$288)</f>
        <v>24</v>
      </c>
      <c r="Z289" s="477">
        <f>IF($X$289="","",$Z$288)</f>
        <v>100</v>
      </c>
      <c r="AA289" s="477">
        <f>IF($AC$289="","",ROW($A$289)-ROW($A$288))</f>
        <v>1</v>
      </c>
      <c r="AB289" s="478"/>
      <c r="AC289" s="34" t="s">
        <v>89</v>
      </c>
      <c r="AD289" s="356"/>
      <c r="AE289" s="18">
        <v>3.5</v>
      </c>
      <c r="AF289" s="3" t="s">
        <v>7</v>
      </c>
      <c r="AG289" s="480">
        <f t="shared" si="76"/>
        <v>3.5</v>
      </c>
      <c r="AH289" s="481" t="str">
        <f t="shared" si="77"/>
        <v>KG</v>
      </c>
      <c r="AI289" s="477" t="str">
        <f>IF($AC$289="","",IFERROR(INDEX($AZ$74:$AZ$119,MATCH($AH$289,$AY$74:$AY$119,0)),"AUTRE"))</f>
        <v>MASSE</v>
      </c>
      <c r="AJ289" s="482">
        <f>IF($AC$289="","",IFERROR(INDEX($BA$74:$BA$119,MATCH($AH$289,$AY$74:$AY$119,0)),1))</f>
        <v>1</v>
      </c>
      <c r="AK289" s="482">
        <f t="shared" si="66"/>
        <v>3.5</v>
      </c>
      <c r="AL289" s="477" t="str">
        <f>IF($AC$289="","",IFERROR(INDEX($BB$74:$BB$119,MATCH($AH$289,$AY$74:$AY$119,0)),$AH$289))</f>
        <v>kg</v>
      </c>
      <c r="AM289" s="483" t="str">
        <f t="shared" si="78"/>
        <v>OK</v>
      </c>
      <c r="AN289" s="484">
        <f t="shared" si="79"/>
        <v>3.5</v>
      </c>
      <c r="AO289" s="473" t="str">
        <f t="shared" si="80"/>
        <v/>
      </c>
      <c r="AP289" s="473" t="str">
        <f t="shared" si="81"/>
        <v/>
      </c>
      <c r="AQ289" s="473" t="str">
        <f t="shared" si="82"/>
        <v/>
      </c>
      <c r="AR289" s="473" t="str">
        <f t="shared" si="83"/>
        <v/>
      </c>
      <c r="AS289" s="473" t="str">
        <f t="shared" si="84"/>
        <v/>
      </c>
      <c r="AT289" s="473" t="str">
        <f t="shared" si="85"/>
        <v/>
      </c>
      <c r="AU289" s="473" t="str">
        <f t="shared" si="86"/>
        <v/>
      </c>
      <c r="AZ289" s="32" t="s">
        <v>305</v>
      </c>
      <c r="BA289" s="34" t="s">
        <v>474</v>
      </c>
      <c r="BB289" s="499"/>
      <c r="BC289" s="271"/>
      <c r="BD289" s="279">
        <v>1</v>
      </c>
      <c r="BE289" s="271"/>
      <c r="BF289" s="271"/>
      <c r="BG289" s="271"/>
      <c r="BH289" s="271"/>
      <c r="BI289" s="271"/>
      <c r="BJ289" s="271"/>
      <c r="BK289" s="271"/>
      <c r="BL289" s="271"/>
    </row>
    <row r="290" spans="18:64" ht="21" customHeight="1" x14ac:dyDescent="0.25">
      <c r="R290" s="34" t="s">
        <v>6129</v>
      </c>
      <c r="S290" s="451"/>
      <c r="T290" s="31" t="s">
        <v>30</v>
      </c>
      <c r="V290" s="475">
        <v>7</v>
      </c>
      <c r="W290" s="475" t="str">
        <f>IF($AC$290="","",$W$288)</f>
        <v>N° 07</v>
      </c>
      <c r="X290" s="476" t="str">
        <f>IF($AC$290="","",$X$288)</f>
        <v>MELON GLACÉ AUX FRUITS ROUGES</v>
      </c>
      <c r="Y290" s="477">
        <f>IF($X$290="","",$Y$288)</f>
        <v>24</v>
      </c>
      <c r="Z290" s="477">
        <f>IF($X$290="","",$Z$288)</f>
        <v>100</v>
      </c>
      <c r="AA290" s="477">
        <f>IF($AC$290="","",ROW($A$290)-ROW($A$288))</f>
        <v>2</v>
      </c>
      <c r="AB290" s="478"/>
      <c r="AC290" s="34" t="s">
        <v>90</v>
      </c>
      <c r="AD290" s="356"/>
      <c r="AE290" s="18">
        <v>100</v>
      </c>
      <c r="AF290" s="9" t="s">
        <v>309</v>
      </c>
      <c r="AG290" s="480">
        <f t="shared" si="76"/>
        <v>100</v>
      </c>
      <c r="AH290" s="481" t="str">
        <f t="shared" si="77"/>
        <v>PIÈCE(S)</v>
      </c>
      <c r="AI290" s="477" t="str">
        <f>IF($AC$290="","",IFERROR(INDEX($AZ$74:$AZ$119,MATCH($AH$290,$AY$74:$AY$119,0)),"AUTRE"))</f>
        <v>AUTRE</v>
      </c>
      <c r="AJ290" s="482">
        <f>IF($AC$290="","",IFERROR(INDEX($BA$74:$BA$119,MATCH($AH$290,$AY$74:$AY$119,0)),1))</f>
        <v>1</v>
      </c>
      <c r="AK290" s="482">
        <f t="shared" si="66"/>
        <v>100</v>
      </c>
      <c r="AL290" s="477" t="str">
        <f>IF($AC$290="","",IFERROR(INDEX($BB$74:$BB$119,MATCH($AH$290,$AY$74:$AY$119,0)),$AH$290))</f>
        <v>pièce(s)</v>
      </c>
      <c r="AM290" s="483" t="str">
        <f t="shared" si="78"/>
        <v>OK</v>
      </c>
      <c r="AN290" s="484">
        <f t="shared" si="79"/>
        <v>100</v>
      </c>
      <c r="AO290" s="473" t="str">
        <f t="shared" si="80"/>
        <v/>
      </c>
      <c r="AP290" s="473" t="str">
        <f t="shared" si="81"/>
        <v/>
      </c>
      <c r="AQ290" s="473" t="str">
        <f t="shared" si="82"/>
        <v/>
      </c>
      <c r="AR290" s="473" t="str">
        <f t="shared" si="83"/>
        <v/>
      </c>
      <c r="AS290" s="473" t="str">
        <f t="shared" si="84"/>
        <v/>
      </c>
      <c r="AT290" s="473" t="str">
        <f t="shared" si="85"/>
        <v/>
      </c>
      <c r="AU290" s="473" t="str">
        <f t="shared" si="86"/>
        <v/>
      </c>
      <c r="AZ290" s="32" t="s">
        <v>8129</v>
      </c>
      <c r="BA290" s="34" t="s">
        <v>490</v>
      </c>
      <c r="BB290" s="499"/>
      <c r="BC290" s="271"/>
      <c r="BD290" s="279">
        <v>1</v>
      </c>
      <c r="BE290" s="271"/>
      <c r="BF290" s="271"/>
      <c r="BG290" s="271"/>
      <c r="BH290" s="271"/>
      <c r="BI290" s="271"/>
      <c r="BJ290" s="271"/>
      <c r="BK290" s="271"/>
      <c r="BL290" s="271"/>
    </row>
    <row r="291" spans="18:64" ht="21" customHeight="1" x14ac:dyDescent="0.25">
      <c r="R291" s="34" t="s">
        <v>478</v>
      </c>
      <c r="S291" s="451"/>
      <c r="T291" s="31" t="s">
        <v>31</v>
      </c>
      <c r="V291" s="475">
        <v>7</v>
      </c>
      <c r="W291" s="475" t="str">
        <f>IF($AC$291="","",$W$288)</f>
        <v/>
      </c>
      <c r="X291" s="476" t="str">
        <f>IF($AC$291="","",$X$288)</f>
        <v/>
      </c>
      <c r="Y291" s="477" t="str">
        <f>IF($X$291="","",$Y$288)</f>
        <v/>
      </c>
      <c r="Z291" s="477" t="str">
        <f>IF($X$291="","",$Z$288)</f>
        <v/>
      </c>
      <c r="AA291" s="477" t="str">
        <f>IF($AC$291="","",ROW($A$291)-ROW($A$288))</f>
        <v/>
      </c>
      <c r="AB291" s="478"/>
      <c r="AC291" s="34"/>
      <c r="AD291" s="356"/>
      <c r="AE291" s="18"/>
      <c r="AF291" s="19"/>
      <c r="AG291" s="480" t="str">
        <f t="shared" si="76"/>
        <v/>
      </c>
      <c r="AH291" s="481" t="str">
        <f t="shared" si="77"/>
        <v/>
      </c>
      <c r="AI291" s="477" t="str">
        <f>IF($AC$291="","",IFERROR(INDEX($AZ$74:$AZ$119,MATCH($AH$291,$AY$74:$AY$119,0)),"AUTRE"))</f>
        <v/>
      </c>
      <c r="AJ291" s="482" t="str">
        <f>IF($AC$291="","",IFERROR(INDEX($BA$74:$BA$119,MATCH($AH$291,$AY$74:$AY$119,0)),1))</f>
        <v/>
      </c>
      <c r="AK291" s="482" t="str">
        <f t="shared" si="66"/>
        <v/>
      </c>
      <c r="AL291" s="477" t="str">
        <f>IF($AC$291="","",IFERROR(INDEX($BB$74:$BB$119,MATCH($AH$291,$AY$74:$AY$119,0)),$AH$291))</f>
        <v/>
      </c>
      <c r="AM291" s="483" t="str">
        <f t="shared" si="78"/>
        <v/>
      </c>
      <c r="AN291" s="484" t="str">
        <f t="shared" si="79"/>
        <v/>
      </c>
      <c r="AO291" s="473" t="str">
        <f t="shared" si="80"/>
        <v/>
      </c>
      <c r="AP291" s="473" t="str">
        <f t="shared" si="81"/>
        <v/>
      </c>
      <c r="AQ291" s="473" t="str">
        <f t="shared" si="82"/>
        <v/>
      </c>
      <c r="AR291" s="473" t="str">
        <f t="shared" si="83"/>
        <v/>
      </c>
      <c r="AS291" s="473" t="str">
        <f t="shared" si="84"/>
        <v/>
      </c>
      <c r="AT291" s="473" t="str">
        <f t="shared" si="85"/>
        <v/>
      </c>
      <c r="AU291" s="473" t="str">
        <f t="shared" si="86"/>
        <v/>
      </c>
      <c r="AZ291" s="32" t="s">
        <v>8131</v>
      </c>
      <c r="BA291" s="34" t="s">
        <v>6129</v>
      </c>
      <c r="BB291" s="499"/>
      <c r="BC291" s="271"/>
      <c r="BD291" s="279">
        <v>1</v>
      </c>
      <c r="BE291" s="271"/>
      <c r="BF291" s="271"/>
      <c r="BG291" s="271"/>
      <c r="BH291" s="271"/>
      <c r="BI291" s="271"/>
      <c r="BJ291" s="271"/>
      <c r="BK291" s="271"/>
      <c r="BL291" s="271"/>
    </row>
    <row r="292" spans="18:64" ht="21" customHeight="1" x14ac:dyDescent="0.25">
      <c r="R292" s="34" t="s">
        <v>6130</v>
      </c>
      <c r="S292" s="451"/>
      <c r="T292" s="32" t="s">
        <v>33</v>
      </c>
      <c r="V292" s="475">
        <v>7</v>
      </c>
      <c r="W292" s="475" t="str">
        <f>IF($AC$292="","",$W$288)</f>
        <v>N° 07</v>
      </c>
      <c r="X292" s="476" t="str">
        <f>IF($AC$292="","",$X$288)</f>
        <v>MELON GLACÉ AUX FRUITS ROUGES</v>
      </c>
      <c r="Y292" s="477">
        <f>IF($X$292="","",$Y$288)</f>
        <v>24</v>
      </c>
      <c r="Z292" s="477">
        <f>IF($X$292="","",$Z$288)</f>
        <v>100</v>
      </c>
      <c r="AA292" s="477">
        <f>IF($AC$292="","",ROW($A$292)-ROW($A$288))</f>
        <v>4</v>
      </c>
      <c r="AB292" s="478"/>
      <c r="AC292" s="34" t="s">
        <v>91</v>
      </c>
      <c r="AD292" s="356"/>
      <c r="AE292" s="18">
        <v>3</v>
      </c>
      <c r="AF292" s="6" t="s">
        <v>9</v>
      </c>
      <c r="AG292" s="480">
        <f t="shared" si="76"/>
        <v>3</v>
      </c>
      <c r="AH292" s="481" t="str">
        <f t="shared" si="77"/>
        <v>L</v>
      </c>
      <c r="AI292" s="477" t="str">
        <f>IF($AC$292="","",IFERROR(INDEX($AZ$74:$AZ$119,MATCH($AH$292,$AY$74:$AY$119,0)),"AUTRE"))</f>
        <v>VOLUME</v>
      </c>
      <c r="AJ292" s="482">
        <f>IF($AC$292="","",IFERROR(INDEX($BA$74:$BA$119,MATCH($AH$292,$AY$74:$AY$119,0)),1))</f>
        <v>1</v>
      </c>
      <c r="AK292" s="482">
        <f t="shared" si="66"/>
        <v>3</v>
      </c>
      <c r="AL292" s="477" t="str">
        <f>IF($AC$292="","",IFERROR(INDEX($BB$74:$BB$119,MATCH($AH$292,$AY$74:$AY$119,0)),$AH$292))</f>
        <v>L</v>
      </c>
      <c r="AM292" s="483" t="str">
        <f t="shared" si="78"/>
        <v>OK</v>
      </c>
      <c r="AN292" s="484">
        <f t="shared" si="79"/>
        <v>3</v>
      </c>
      <c r="AO292" s="473" t="str">
        <f t="shared" si="80"/>
        <v/>
      </c>
      <c r="AP292" s="473" t="str">
        <f t="shared" si="81"/>
        <v/>
      </c>
      <c r="AQ292" s="473" t="str">
        <f t="shared" si="82"/>
        <v/>
      </c>
      <c r="AR292" s="473" t="str">
        <f t="shared" si="83"/>
        <v/>
      </c>
      <c r="AS292" s="473" t="str">
        <f t="shared" si="84"/>
        <v/>
      </c>
      <c r="AT292" s="473" t="str">
        <f t="shared" si="85"/>
        <v/>
      </c>
      <c r="AU292" s="473" t="str">
        <f t="shared" si="86"/>
        <v/>
      </c>
      <c r="AZ292" s="32" t="s">
        <v>309</v>
      </c>
      <c r="BA292" s="34" t="s">
        <v>478</v>
      </c>
      <c r="BB292" s="499"/>
      <c r="BC292" s="271"/>
      <c r="BD292" s="279">
        <v>1</v>
      </c>
      <c r="BE292" s="271"/>
      <c r="BF292" s="271"/>
      <c r="BG292" s="271"/>
      <c r="BH292" s="271"/>
      <c r="BI292" s="271"/>
      <c r="BJ292" s="271"/>
      <c r="BK292" s="271"/>
      <c r="BL292" s="271"/>
    </row>
    <row r="293" spans="18:64" ht="21" customHeight="1" x14ac:dyDescent="0.25">
      <c r="R293" s="34" t="s">
        <v>486</v>
      </c>
      <c r="S293" s="451"/>
      <c r="T293" s="32" t="s">
        <v>8125</v>
      </c>
      <c r="V293" s="475">
        <v>7</v>
      </c>
      <c r="W293" s="475" t="str">
        <f>IF($AC$293="","",$W$288)</f>
        <v>N° 07</v>
      </c>
      <c r="X293" s="476" t="str">
        <f>IF($AC$293="","",$X$288)</f>
        <v>MELON GLACÉ AUX FRUITS ROUGES</v>
      </c>
      <c r="Y293" s="477">
        <f>IF($X$293="","",$Y$288)</f>
        <v>24</v>
      </c>
      <c r="Z293" s="477">
        <f>IF($X$293="","",$Z$288)</f>
        <v>100</v>
      </c>
      <c r="AA293" s="477">
        <f>IF($AC$293="","",ROW($A$293)-ROW($A$288))</f>
        <v>5</v>
      </c>
      <c r="AB293" s="478"/>
      <c r="AC293" s="34" t="s">
        <v>92</v>
      </c>
      <c r="AD293" s="356"/>
      <c r="AE293" s="18">
        <v>3</v>
      </c>
      <c r="AF293" s="3" t="s">
        <v>7</v>
      </c>
      <c r="AG293" s="480">
        <f t="shared" si="76"/>
        <v>3</v>
      </c>
      <c r="AH293" s="481" t="str">
        <f t="shared" si="77"/>
        <v>KG</v>
      </c>
      <c r="AI293" s="477" t="str">
        <f>IF($AC$293="","",IFERROR(INDEX($AZ$74:$AZ$119,MATCH($AH$293,$AY$74:$AY$119,0)),"AUTRE"))</f>
        <v>MASSE</v>
      </c>
      <c r="AJ293" s="482">
        <f>IF($AC$293="","",IFERROR(INDEX($BA$74:$BA$119,MATCH($AH$293,$AY$74:$AY$119,0)),1))</f>
        <v>1</v>
      </c>
      <c r="AK293" s="482">
        <f t="shared" si="66"/>
        <v>3</v>
      </c>
      <c r="AL293" s="477" t="str">
        <f>IF($AC$293="","",IFERROR(INDEX($BB$74:$BB$119,MATCH($AH$293,$AY$74:$AY$119,0)),$AH$293))</f>
        <v>kg</v>
      </c>
      <c r="AM293" s="483" t="str">
        <f t="shared" si="78"/>
        <v>OK</v>
      </c>
      <c r="AN293" s="484">
        <f t="shared" si="79"/>
        <v>3</v>
      </c>
      <c r="AO293" s="473" t="str">
        <f t="shared" si="80"/>
        <v/>
      </c>
      <c r="AP293" s="473" t="str">
        <f t="shared" si="81"/>
        <v/>
      </c>
      <c r="AQ293" s="473" t="str">
        <f t="shared" si="82"/>
        <v/>
      </c>
      <c r="AR293" s="473" t="str">
        <f t="shared" si="83"/>
        <v/>
      </c>
      <c r="AS293" s="473" t="str">
        <f t="shared" si="84"/>
        <v/>
      </c>
      <c r="AT293" s="473" t="str">
        <f t="shared" si="85"/>
        <v/>
      </c>
      <c r="AU293" s="473" t="str">
        <f t="shared" si="86"/>
        <v/>
      </c>
      <c r="AZ293" s="32" t="s">
        <v>311</v>
      </c>
      <c r="BA293" s="34" t="s">
        <v>6130</v>
      </c>
      <c r="BB293" s="499"/>
      <c r="BC293" s="271"/>
      <c r="BD293" s="279">
        <v>1</v>
      </c>
      <c r="BE293" s="271"/>
      <c r="BF293" s="271"/>
      <c r="BG293" s="271"/>
      <c r="BH293" s="271"/>
      <c r="BI293" s="271"/>
      <c r="BJ293" s="271"/>
      <c r="BK293" s="271"/>
      <c r="BL293" s="271"/>
    </row>
    <row r="294" spans="18:64" ht="21" customHeight="1" x14ac:dyDescent="0.25">
      <c r="R294" s="34" t="s">
        <v>479</v>
      </c>
      <c r="S294" s="451"/>
      <c r="T294" s="32" t="s">
        <v>8127</v>
      </c>
      <c r="V294" s="475">
        <v>7</v>
      </c>
      <c r="W294" s="475" t="str">
        <f>IF($AC$294="","",$W$288)</f>
        <v>N° 07</v>
      </c>
      <c r="X294" s="476" t="str">
        <f>IF($AC$294="","",$X$288)</f>
        <v>MELON GLACÉ AUX FRUITS ROUGES</v>
      </c>
      <c r="Y294" s="477">
        <f>IF($X$294="","",$Y$288)</f>
        <v>24</v>
      </c>
      <c r="Z294" s="477">
        <f>IF($X$294="","",$Z$288)</f>
        <v>100</v>
      </c>
      <c r="AA294" s="477">
        <f>IF($AC$294="","",ROW($A$294)-ROW($A$288))</f>
        <v>6</v>
      </c>
      <c r="AB294" s="478"/>
      <c r="AC294" s="34" t="s">
        <v>93</v>
      </c>
      <c r="AD294" s="356"/>
      <c r="AE294" s="18">
        <v>15</v>
      </c>
      <c r="AF294" s="7" t="s">
        <v>10</v>
      </c>
      <c r="AG294" s="480">
        <f t="shared" si="76"/>
        <v>15</v>
      </c>
      <c r="AH294" s="481" t="str">
        <f t="shared" si="77"/>
        <v>DL</v>
      </c>
      <c r="AI294" s="477" t="str">
        <f>IF($AC$294="","",IFERROR(INDEX($AZ$74:$AZ$119,MATCH($AH$294,$AY$74:$AY$119,0)),"AUTRE"))</f>
        <v>VOLUME</v>
      </c>
      <c r="AJ294" s="482">
        <f>IF($AC$294="","",IFERROR(INDEX($BA$74:$BA$119,MATCH($AH$294,$AY$74:$AY$119,0)),1))</f>
        <v>0.1</v>
      </c>
      <c r="AK294" s="482">
        <f t="shared" si="66"/>
        <v>1.5</v>
      </c>
      <c r="AL294" s="477" t="str">
        <f>IF($AC$294="","",IFERROR(INDEX($BB$74:$BB$119,MATCH($AH$294,$AY$74:$AY$119,0)),$AH$294))</f>
        <v>L</v>
      </c>
      <c r="AM294" s="483" t="str">
        <f t="shared" si="78"/>
        <v>OK</v>
      </c>
      <c r="AN294" s="484">
        <f t="shared" si="79"/>
        <v>15</v>
      </c>
      <c r="AO294" s="473" t="str">
        <f t="shared" si="80"/>
        <v/>
      </c>
      <c r="AP294" s="473" t="str">
        <f t="shared" si="81"/>
        <v/>
      </c>
      <c r="AQ294" s="473" t="str">
        <f t="shared" si="82"/>
        <v/>
      </c>
      <c r="AR294" s="473" t="str">
        <f t="shared" si="83"/>
        <v/>
      </c>
      <c r="AS294" s="473" t="str">
        <f t="shared" si="84"/>
        <v/>
      </c>
      <c r="AT294" s="473" t="str">
        <f t="shared" si="85"/>
        <v/>
      </c>
      <c r="AU294" s="473" t="str">
        <f t="shared" si="86"/>
        <v/>
      </c>
      <c r="AZ294" s="32" t="s">
        <v>8135</v>
      </c>
      <c r="BA294" s="34" t="s">
        <v>486</v>
      </c>
      <c r="BB294" s="499"/>
      <c r="BC294" s="271"/>
      <c r="BD294" s="279">
        <v>1</v>
      </c>
      <c r="BE294" s="271"/>
      <c r="BF294" s="271"/>
      <c r="BG294" s="271"/>
      <c r="BH294" s="271"/>
      <c r="BI294" s="271"/>
      <c r="BJ294" s="271"/>
      <c r="BK294" s="271"/>
      <c r="BL294" s="271"/>
    </row>
    <row r="295" spans="18:64" ht="21" customHeight="1" x14ac:dyDescent="0.25">
      <c r="R295" s="34" t="s">
        <v>6131</v>
      </c>
      <c r="S295" s="451"/>
      <c r="T295" s="32" t="s">
        <v>320</v>
      </c>
      <c r="V295" s="475">
        <v>7</v>
      </c>
      <c r="W295" s="475" t="str">
        <f>IF($AC$295="","",$W$288)</f>
        <v>N° 07</v>
      </c>
      <c r="X295" s="476" t="str">
        <f>IF($AC$295="","",$X$288)</f>
        <v>MELON GLACÉ AUX FRUITS ROUGES</v>
      </c>
      <c r="Y295" s="477">
        <f>IF($X$295="","",$Y$288)</f>
        <v>24</v>
      </c>
      <c r="Z295" s="477">
        <f>IF($X$295="","",$Z$288)</f>
        <v>100</v>
      </c>
      <c r="AA295" s="477">
        <f>IF($AC$295="","",ROW($A$295)-ROW($A$288))</f>
        <v>7</v>
      </c>
      <c r="AB295" s="478"/>
      <c r="AC295" s="34" t="s">
        <v>94</v>
      </c>
      <c r="AD295" s="356"/>
      <c r="AE295" s="18">
        <v>3</v>
      </c>
      <c r="AF295" s="5" t="s">
        <v>8</v>
      </c>
      <c r="AG295" s="480">
        <f t="shared" si="76"/>
        <v>3</v>
      </c>
      <c r="AH295" s="481" t="str">
        <f t="shared" si="77"/>
        <v>G</v>
      </c>
      <c r="AI295" s="477" t="str">
        <f>IF($AC$295="","",IFERROR(INDEX($AZ$74:$AZ$119,MATCH($AH$295,$AY$74:$AY$119,0)),"AUTRE"))</f>
        <v>MASSE</v>
      </c>
      <c r="AJ295" s="482">
        <f>IF($AC$295="","",IFERROR(INDEX($BA$74:$BA$119,MATCH($AH$295,$AY$74:$AY$119,0)),1))</f>
        <v>1E-3</v>
      </c>
      <c r="AK295" s="482">
        <f t="shared" si="66"/>
        <v>3.0000000000000001E-3</v>
      </c>
      <c r="AL295" s="477" t="str">
        <f>IF($AC$295="","",IFERROR(INDEX($BB$74:$BB$119,MATCH($AH$295,$AY$74:$AY$119,0)),$AH$295))</f>
        <v>kg</v>
      </c>
      <c r="AM295" s="483" t="str">
        <f t="shared" si="78"/>
        <v>OK</v>
      </c>
      <c r="AN295" s="484">
        <f t="shared" si="79"/>
        <v>3</v>
      </c>
      <c r="AO295" s="473" t="str">
        <f t="shared" si="80"/>
        <v/>
      </c>
      <c r="AP295" s="473" t="str">
        <f t="shared" si="81"/>
        <v/>
      </c>
      <c r="AQ295" s="473" t="str">
        <f t="shared" si="82"/>
        <v/>
      </c>
      <c r="AR295" s="473" t="str">
        <f t="shared" si="83"/>
        <v/>
      </c>
      <c r="AS295" s="473" t="str">
        <f t="shared" si="84"/>
        <v/>
      </c>
      <c r="AT295" s="473" t="str">
        <f t="shared" si="85"/>
        <v/>
      </c>
      <c r="AU295" s="473" t="str">
        <f t="shared" si="86"/>
        <v/>
      </c>
      <c r="AZ295" s="32" t="s">
        <v>8137</v>
      </c>
      <c r="BA295" s="34" t="s">
        <v>479</v>
      </c>
      <c r="BB295" s="499"/>
      <c r="BC295" s="271"/>
      <c r="BD295" s="279">
        <v>1</v>
      </c>
      <c r="BE295" s="271"/>
      <c r="BF295" s="271"/>
      <c r="BG295" s="271"/>
      <c r="BH295" s="271"/>
      <c r="BI295" s="271"/>
      <c r="BJ295" s="271"/>
      <c r="BK295" s="271"/>
      <c r="BL295" s="271"/>
    </row>
    <row r="296" spans="18:64" ht="21" customHeight="1" x14ac:dyDescent="0.25">
      <c r="R296" s="34" t="s">
        <v>485</v>
      </c>
      <c r="S296" s="451"/>
      <c r="T296" s="32" t="s">
        <v>318</v>
      </c>
      <c r="V296" s="475">
        <v>7</v>
      </c>
      <c r="W296" s="475" t="str">
        <f>IF($AC$296="","",$W$288)</f>
        <v>N° 07</v>
      </c>
      <c r="X296" s="476" t="str">
        <f>IF($AC$296="","",$X$288)</f>
        <v>MELON GLACÉ AUX FRUITS ROUGES</v>
      </c>
      <c r="Y296" s="477">
        <f>IF($X$296="","",$Y$288)</f>
        <v>24</v>
      </c>
      <c r="Z296" s="477">
        <f>IF($X$296="","",$Z$288)</f>
        <v>100</v>
      </c>
      <c r="AA296" s="477">
        <f>IF($AC$296="","",ROW($A$296)-ROW($A$288))</f>
        <v>8</v>
      </c>
      <c r="AB296" s="478"/>
      <c r="AC296" s="34" t="s">
        <v>95</v>
      </c>
      <c r="AD296" s="356"/>
      <c r="AE296" s="18">
        <v>4</v>
      </c>
      <c r="AF296" s="9" t="s">
        <v>309</v>
      </c>
      <c r="AG296" s="480">
        <f t="shared" si="76"/>
        <v>4</v>
      </c>
      <c r="AH296" s="481" t="str">
        <f t="shared" si="77"/>
        <v>PIÈCE(S)</v>
      </c>
      <c r="AI296" s="477" t="str">
        <f>IF($AC$296="","",IFERROR(INDEX($AZ$74:$AZ$119,MATCH($AH$296,$AY$74:$AY$119,0)),"AUTRE"))</f>
        <v>AUTRE</v>
      </c>
      <c r="AJ296" s="482">
        <f>IF($AC$296="","",IFERROR(INDEX($BA$74:$BA$119,MATCH($AH$296,$AY$74:$AY$119,0)),1))</f>
        <v>1</v>
      </c>
      <c r="AK296" s="482">
        <f t="shared" si="66"/>
        <v>4</v>
      </c>
      <c r="AL296" s="477" t="str">
        <f>IF($AC$296="","",IFERROR(INDEX($BB$74:$BB$119,MATCH($AH$296,$AY$74:$AY$119,0)),$AH$296))</f>
        <v>pièce(s)</v>
      </c>
      <c r="AM296" s="483" t="str">
        <f t="shared" si="78"/>
        <v>OK</v>
      </c>
      <c r="AN296" s="484">
        <f t="shared" si="79"/>
        <v>4</v>
      </c>
      <c r="AO296" s="473" t="str">
        <f t="shared" si="80"/>
        <v/>
      </c>
      <c r="AP296" s="473" t="str">
        <f t="shared" si="81"/>
        <v/>
      </c>
      <c r="AQ296" s="473" t="str">
        <f t="shared" si="82"/>
        <v/>
      </c>
      <c r="AR296" s="473" t="str">
        <f t="shared" si="83"/>
        <v/>
      </c>
      <c r="AS296" s="473" t="str">
        <f t="shared" si="84"/>
        <v/>
      </c>
      <c r="AT296" s="473" t="str">
        <f t="shared" si="85"/>
        <v/>
      </c>
      <c r="AU296" s="473" t="str">
        <f t="shared" si="86"/>
        <v/>
      </c>
      <c r="AZ296" s="32" t="s">
        <v>8139</v>
      </c>
      <c r="BA296" s="34" t="s">
        <v>6131</v>
      </c>
      <c r="BB296" s="499"/>
      <c r="BC296" s="271"/>
      <c r="BD296" s="279">
        <v>1</v>
      </c>
      <c r="BE296" s="271"/>
      <c r="BF296" s="271"/>
      <c r="BG296" s="271"/>
      <c r="BH296" s="271"/>
      <c r="BI296" s="271"/>
      <c r="BJ296" s="271"/>
      <c r="BK296" s="271"/>
      <c r="BL296" s="271"/>
    </row>
    <row r="297" spans="18:64" ht="21" customHeight="1" x14ac:dyDescent="0.25">
      <c r="R297" s="34" t="s">
        <v>6132</v>
      </c>
      <c r="S297" s="451"/>
      <c r="T297" s="32" t="s">
        <v>316</v>
      </c>
      <c r="V297" s="475">
        <v>7</v>
      </c>
      <c r="W297" s="475" t="str">
        <f>IF($AC$297="","",$W$288)</f>
        <v>N° 07</v>
      </c>
      <c r="X297" s="476" t="str">
        <f>IF($AC$297="","",$X$288)</f>
        <v>MELON GLACÉ AUX FRUITS ROUGES</v>
      </c>
      <c r="Y297" s="477">
        <f>IF($X$297="","",$Y$288)</f>
        <v>24</v>
      </c>
      <c r="Z297" s="477">
        <f>IF($X$297="","",$Z$288)</f>
        <v>100</v>
      </c>
      <c r="AA297" s="477">
        <f>IF($AC$297="","",ROW($A$297)-ROW($A$288))</f>
        <v>9</v>
      </c>
      <c r="AB297" s="478"/>
      <c r="AC297" s="34" t="s">
        <v>300</v>
      </c>
      <c r="AD297" s="356"/>
      <c r="AE297" s="18">
        <v>15</v>
      </c>
      <c r="AF297" s="9" t="s">
        <v>309</v>
      </c>
      <c r="AG297" s="480">
        <f t="shared" si="76"/>
        <v>15</v>
      </c>
      <c r="AH297" s="481" t="str">
        <f t="shared" si="77"/>
        <v>PIÈCE(S)</v>
      </c>
      <c r="AI297" s="477" t="str">
        <f>IF($AC$297="","",IFERROR(INDEX($AZ$74:$AZ$119,MATCH($AH$297,$AY$74:$AY$119,0)),"AUTRE"))</f>
        <v>AUTRE</v>
      </c>
      <c r="AJ297" s="482">
        <f>IF($AC$297="","",IFERROR(INDEX($BA$74:$BA$119,MATCH($AH$297,$AY$74:$AY$119,0)),1))</f>
        <v>1</v>
      </c>
      <c r="AK297" s="482">
        <f t="shared" si="66"/>
        <v>15</v>
      </c>
      <c r="AL297" s="477" t="str">
        <f>IF($AC$297="","",IFERROR(INDEX($BB$74:$BB$119,MATCH($AH$297,$AY$74:$AY$119,0)),$AH$297))</f>
        <v>pièce(s)</v>
      </c>
      <c r="AM297" s="483" t="str">
        <f t="shared" si="78"/>
        <v>OK</v>
      </c>
      <c r="AN297" s="484">
        <f t="shared" si="79"/>
        <v>15</v>
      </c>
      <c r="AO297" s="473" t="str">
        <f t="shared" si="80"/>
        <v/>
      </c>
      <c r="AP297" s="473" t="str">
        <f t="shared" si="81"/>
        <v/>
      </c>
      <c r="AQ297" s="473" t="str">
        <f t="shared" si="82"/>
        <v/>
      </c>
      <c r="AR297" s="473" t="str">
        <f t="shared" si="83"/>
        <v/>
      </c>
      <c r="AS297" s="473" t="str">
        <f t="shared" si="84"/>
        <v/>
      </c>
      <c r="AT297" s="473" t="str">
        <f t="shared" si="85"/>
        <v/>
      </c>
      <c r="AU297" s="473" t="str">
        <f t="shared" si="86"/>
        <v/>
      </c>
      <c r="AZ297" s="32" t="s">
        <v>8141</v>
      </c>
      <c r="BA297" s="34" t="s">
        <v>485</v>
      </c>
      <c r="BB297" s="499"/>
      <c r="BC297" s="271"/>
      <c r="BD297" s="279">
        <v>1</v>
      </c>
      <c r="BE297" s="271"/>
      <c r="BF297" s="271"/>
      <c r="BG297" s="271"/>
      <c r="BH297" s="271"/>
      <c r="BI297" s="271"/>
      <c r="BJ297" s="271"/>
      <c r="BK297" s="271"/>
      <c r="BL297" s="271"/>
    </row>
    <row r="298" spans="18:64" ht="21" customHeight="1" x14ac:dyDescent="0.25">
      <c r="R298" s="25" t="s">
        <v>6133</v>
      </c>
      <c r="S298" s="451"/>
      <c r="T298" s="32" t="s">
        <v>313</v>
      </c>
      <c r="V298" s="475">
        <v>7</v>
      </c>
      <c r="W298" s="475" t="str">
        <f>IF($AC$298="","",$W$288)</f>
        <v>N° 07</v>
      </c>
      <c r="X298" s="476" t="str">
        <f>IF($AC$298="","",$X$288)</f>
        <v>MELON GLACÉ AUX FRUITS ROUGES</v>
      </c>
      <c r="Y298" s="477">
        <f>IF($X$298="","",$Y$288)</f>
        <v>24</v>
      </c>
      <c r="Z298" s="477">
        <f>IF($X$298="","",$Z$288)</f>
        <v>100</v>
      </c>
      <c r="AA298" s="477">
        <f>IF($AC$298="","",ROW($A$298)-ROW($A$288))</f>
        <v>10</v>
      </c>
      <c r="AB298" s="478"/>
      <c r="AC298" s="34" t="s">
        <v>96</v>
      </c>
      <c r="AD298" s="356"/>
      <c r="AE298" s="18">
        <v>3</v>
      </c>
      <c r="AF298" s="9" t="s">
        <v>309</v>
      </c>
      <c r="AG298" s="480">
        <f t="shared" si="76"/>
        <v>3</v>
      </c>
      <c r="AH298" s="481" t="str">
        <f t="shared" si="77"/>
        <v>PIÈCE(S)</v>
      </c>
      <c r="AI298" s="477" t="str">
        <f>IF($AC$298="","",IFERROR(INDEX($AZ$74:$AZ$119,MATCH($AH$298,$AY$74:$AY$119,0)),"AUTRE"))</f>
        <v>AUTRE</v>
      </c>
      <c r="AJ298" s="482">
        <f>IF($AC$298="","",IFERROR(INDEX($BA$74:$BA$119,MATCH($AH$298,$AY$74:$AY$119,0)),1))</f>
        <v>1</v>
      </c>
      <c r="AK298" s="482">
        <f t="shared" si="66"/>
        <v>3</v>
      </c>
      <c r="AL298" s="477" t="str">
        <f>IF($AC$298="","",IFERROR(INDEX($BB$74:$BB$119,MATCH($AH$298,$AY$74:$AY$119,0)),$AH$298))</f>
        <v>pièce(s)</v>
      </c>
      <c r="AM298" s="483" t="str">
        <f t="shared" si="78"/>
        <v>OK</v>
      </c>
      <c r="AN298" s="484">
        <f t="shared" si="79"/>
        <v>3</v>
      </c>
      <c r="AO298" s="473" t="str">
        <f t="shared" si="80"/>
        <v/>
      </c>
      <c r="AP298" s="473" t="str">
        <f t="shared" si="81"/>
        <v/>
      </c>
      <c r="AQ298" s="473" t="str">
        <f t="shared" si="82"/>
        <v/>
      </c>
      <c r="AR298" s="473" t="str">
        <f t="shared" si="83"/>
        <v/>
      </c>
      <c r="AS298" s="473" t="str">
        <f t="shared" si="84"/>
        <v/>
      </c>
      <c r="AT298" s="473" t="str">
        <f t="shared" si="85"/>
        <v/>
      </c>
      <c r="AU298" s="473" t="str">
        <f t="shared" si="86"/>
        <v/>
      </c>
      <c r="AZ298" s="32" t="s">
        <v>8143</v>
      </c>
      <c r="BA298" s="34" t="s">
        <v>6132</v>
      </c>
      <c r="BB298" s="499"/>
      <c r="BC298" s="271"/>
      <c r="BD298" s="279">
        <v>1</v>
      </c>
      <c r="BE298" s="271"/>
      <c r="BF298" s="271"/>
      <c r="BG298" s="271"/>
      <c r="BH298" s="271"/>
      <c r="BI298" s="271"/>
      <c r="BJ298" s="271"/>
      <c r="BK298" s="271"/>
      <c r="BL298" s="271"/>
    </row>
    <row r="299" spans="18:64" ht="21" customHeight="1" x14ac:dyDescent="0.25">
      <c r="R299" s="34" t="s">
        <v>476</v>
      </c>
      <c r="S299" s="451"/>
      <c r="T299" s="32" t="s">
        <v>307</v>
      </c>
      <c r="V299" s="475">
        <v>7</v>
      </c>
      <c r="W299" s="475" t="str">
        <f>IF($AC$299="","",$W$288)</f>
        <v>N° 07</v>
      </c>
      <c r="X299" s="476" t="str">
        <f>IF($AC$299="","",$X$288)</f>
        <v>MELON GLACÉ AUX FRUITS ROUGES</v>
      </c>
      <c r="Y299" s="477">
        <f>IF($X$299="","",$Y$288)</f>
        <v>24</v>
      </c>
      <c r="Z299" s="477">
        <f>IF($X$299="","",$Z$288)</f>
        <v>100</v>
      </c>
      <c r="AA299" s="477">
        <f>IF($AC$299="","",ROW($A$299)-ROW($A$288))</f>
        <v>11</v>
      </c>
      <c r="AB299" s="478"/>
      <c r="AC299" s="34" t="s">
        <v>97</v>
      </c>
      <c r="AD299" s="356"/>
      <c r="AE299" s="18" t="s">
        <v>98</v>
      </c>
      <c r="AF299" s="5" t="s">
        <v>8</v>
      </c>
      <c r="AG299" s="480" t="str">
        <f t="shared" si="76"/>
        <v>2 g</v>
      </c>
      <c r="AH299" s="481" t="str">
        <f t="shared" si="77"/>
        <v>G</v>
      </c>
      <c r="AI299" s="477" t="str">
        <f>IF($AC$299="","",IFERROR(INDEX($AZ$74:$AZ$119,MATCH($AH$299,$AY$74:$AY$119,0)),"AUTRE"))</f>
        <v>MASSE</v>
      </c>
      <c r="AJ299" s="482">
        <f>IF($AC$299="","",IFERROR(INDEX($BA$74:$BA$119,MATCH($AH$299,$AY$74:$AY$119,0)),1))</f>
        <v>1E-3</v>
      </c>
      <c r="AK299" s="482" t="e">
        <f t="shared" si="66"/>
        <v>#VALUE!</v>
      </c>
      <c r="AL299" s="477" t="str">
        <f>IF($AC$299="","",IFERROR(INDEX($BB$74:$BB$119,MATCH($AH$299,$AY$74:$AY$119,0)),$AH$299))</f>
        <v>kg</v>
      </c>
      <c r="AM299" s="483" t="str">
        <f t="shared" si="78"/>
        <v>QUANTITÉ À CONTRÔLER</v>
      </c>
      <c r="AN299" s="484" t="str">
        <f t="shared" si="79"/>
        <v>2 g</v>
      </c>
      <c r="AO299" s="473" t="str">
        <f t="shared" si="80"/>
        <v/>
      </c>
      <c r="AP299" s="473" t="str">
        <f t="shared" si="81"/>
        <v/>
      </c>
      <c r="AQ299" s="473" t="str">
        <f t="shared" si="82"/>
        <v/>
      </c>
      <c r="AR299" s="473" t="str">
        <f t="shared" si="83"/>
        <v/>
      </c>
      <c r="AS299" s="473" t="str">
        <f t="shared" si="84"/>
        <v/>
      </c>
      <c r="AT299" s="473" t="str">
        <f t="shared" si="85"/>
        <v/>
      </c>
      <c r="AU299" s="473" t="str">
        <f t="shared" si="86"/>
        <v/>
      </c>
      <c r="AZ299" s="497" t="s">
        <v>8145</v>
      </c>
      <c r="BA299" s="25" t="s">
        <v>6133</v>
      </c>
      <c r="BB299" s="499"/>
      <c r="BC299" s="271"/>
      <c r="BD299" s="279">
        <v>1</v>
      </c>
      <c r="BE299" s="271"/>
      <c r="BF299" s="271"/>
      <c r="BG299" s="271"/>
      <c r="BH299" s="271"/>
      <c r="BI299" s="271"/>
      <c r="BJ299" s="271"/>
      <c r="BK299" s="271"/>
      <c r="BL299" s="271"/>
    </row>
    <row r="300" spans="18:64" ht="21" customHeight="1" x14ac:dyDescent="0.25">
      <c r="R300" s="34" t="s">
        <v>468</v>
      </c>
      <c r="S300" s="451"/>
      <c r="T300" s="32" t="s">
        <v>322</v>
      </c>
      <c r="V300" s="475">
        <v>7</v>
      </c>
      <c r="W300" s="475" t="str">
        <f>IF($AC$300="","",$W$288)</f>
        <v/>
      </c>
      <c r="X300" s="476" t="str">
        <f>IF($AC$300="","",$X$288)</f>
        <v/>
      </c>
      <c r="Y300" s="477" t="str">
        <f>IF($X$300="","",$Y$288)</f>
        <v/>
      </c>
      <c r="Z300" s="477" t="str">
        <f>IF($X$300="","",$Z$288)</f>
        <v/>
      </c>
      <c r="AA300" s="477" t="str">
        <f>IF($AC$300="","",ROW($A$300)-ROW($A$288))</f>
        <v/>
      </c>
      <c r="AB300" s="478"/>
      <c r="AC300" s="34"/>
      <c r="AD300" s="356"/>
      <c r="AE300" s="18"/>
      <c r="AF300" s="19"/>
      <c r="AG300" s="480" t="str">
        <f t="shared" si="76"/>
        <v/>
      </c>
      <c r="AH300" s="481" t="str">
        <f t="shared" si="77"/>
        <v/>
      </c>
      <c r="AI300" s="477" t="str">
        <f>IF($AC$300="","",IFERROR(INDEX($AZ$74:$AZ$119,MATCH($AH$300,$AY$74:$AY$119,0)),"AUTRE"))</f>
        <v/>
      </c>
      <c r="AJ300" s="482" t="str">
        <f>IF($AC$300="","",IFERROR(INDEX($BA$74:$BA$119,MATCH($AH$300,$AY$74:$AY$119,0)),1))</f>
        <v/>
      </c>
      <c r="AK300" s="482" t="str">
        <f t="shared" si="66"/>
        <v/>
      </c>
      <c r="AL300" s="477" t="str">
        <f>IF($AC$300="","",IFERROR(INDEX($BB$74:$BB$119,MATCH($AH$300,$AY$74:$AY$119,0)),$AH$300))</f>
        <v/>
      </c>
      <c r="AM300" s="483" t="str">
        <f t="shared" si="78"/>
        <v/>
      </c>
      <c r="AN300" s="484" t="str">
        <f t="shared" si="79"/>
        <v/>
      </c>
      <c r="AO300" s="473" t="str">
        <f t="shared" si="80"/>
        <v/>
      </c>
      <c r="AP300" s="473" t="str">
        <f t="shared" si="81"/>
        <v/>
      </c>
      <c r="AQ300" s="473" t="str">
        <f t="shared" si="82"/>
        <v/>
      </c>
      <c r="AR300" s="473" t="str">
        <f t="shared" si="83"/>
        <v/>
      </c>
      <c r="AS300" s="473" t="str">
        <f t="shared" si="84"/>
        <v/>
      </c>
      <c r="AT300" s="473" t="str">
        <f t="shared" si="85"/>
        <v/>
      </c>
      <c r="AU300" s="473" t="str">
        <f t="shared" si="86"/>
        <v/>
      </c>
      <c r="AZ300" s="497" t="s">
        <v>462</v>
      </c>
      <c r="BA300" s="34" t="s">
        <v>476</v>
      </c>
      <c r="BB300" s="499"/>
      <c r="BC300" s="271"/>
      <c r="BD300" s="279">
        <v>1</v>
      </c>
      <c r="BE300" s="271"/>
      <c r="BF300" s="271"/>
      <c r="BG300" s="271"/>
      <c r="BH300" s="271"/>
      <c r="BI300" s="271"/>
      <c r="BJ300" s="271"/>
      <c r="BK300" s="271"/>
      <c r="BL300" s="271"/>
    </row>
    <row r="301" spans="18:64" ht="21" customHeight="1" x14ac:dyDescent="0.25">
      <c r="R301" s="34" t="s">
        <v>473</v>
      </c>
      <c r="S301" s="451"/>
      <c r="T301" s="32" t="s">
        <v>305</v>
      </c>
      <c r="V301" s="475">
        <v>7</v>
      </c>
      <c r="W301" s="475" t="str">
        <f>IF($AC$301="","",$W$288)</f>
        <v/>
      </c>
      <c r="X301" s="476" t="str">
        <f>IF($AC$301="","",$X$288)</f>
        <v/>
      </c>
      <c r="Y301" s="477" t="str">
        <f>IF($X$301="","",$Y$288)</f>
        <v/>
      </c>
      <c r="Z301" s="477" t="str">
        <f>IF($X$301="","",$Z$288)</f>
        <v/>
      </c>
      <c r="AA301" s="477" t="str">
        <f>IF($AC$301="","",ROW($A$301)-ROW($A$288))</f>
        <v/>
      </c>
      <c r="AB301" s="478"/>
      <c r="AC301" s="34"/>
      <c r="AD301" s="356"/>
      <c r="AE301" s="18"/>
      <c r="AF301" s="19"/>
      <c r="AG301" s="480" t="str">
        <f t="shared" si="76"/>
        <v/>
      </c>
      <c r="AH301" s="481" t="str">
        <f t="shared" si="77"/>
        <v/>
      </c>
      <c r="AI301" s="477" t="str">
        <f>IF($AC$301="","",IFERROR(INDEX($AZ$74:$AZ$119,MATCH($AH$301,$AY$74:$AY$119,0)),"AUTRE"))</f>
        <v/>
      </c>
      <c r="AJ301" s="482" t="str">
        <f>IF($AC$301="","",IFERROR(INDEX($BA$74:$BA$119,MATCH($AH$301,$AY$74:$AY$119,0)),1))</f>
        <v/>
      </c>
      <c r="AK301" s="482" t="str">
        <f t="shared" si="66"/>
        <v/>
      </c>
      <c r="AL301" s="477" t="str">
        <f>IF($AC$301="","",IFERROR(INDEX($BB$74:$BB$119,MATCH($AH$301,$AY$74:$AY$119,0)),$AH$301))</f>
        <v/>
      </c>
      <c r="AM301" s="483" t="str">
        <f t="shared" si="78"/>
        <v/>
      </c>
      <c r="AN301" s="484" t="str">
        <f t="shared" si="79"/>
        <v/>
      </c>
      <c r="AO301" s="473" t="str">
        <f t="shared" si="80"/>
        <v/>
      </c>
      <c r="AP301" s="473" t="str">
        <f t="shared" si="81"/>
        <v/>
      </c>
      <c r="AQ301" s="473" t="str">
        <f t="shared" si="82"/>
        <v/>
      </c>
      <c r="AR301" s="473" t="str">
        <f t="shared" si="83"/>
        <v/>
      </c>
      <c r="AS301" s="473" t="str">
        <f t="shared" si="84"/>
        <v/>
      </c>
      <c r="AT301" s="473" t="str">
        <f t="shared" si="85"/>
        <v/>
      </c>
      <c r="AU301" s="473" t="str">
        <f t="shared" si="86"/>
        <v/>
      </c>
      <c r="AZ301" s="497" t="s">
        <v>463</v>
      </c>
      <c r="BA301" s="34" t="s">
        <v>468</v>
      </c>
      <c r="BB301" s="499"/>
      <c r="BC301" s="271"/>
      <c r="BD301" s="279">
        <v>1</v>
      </c>
      <c r="BE301" s="271"/>
      <c r="BF301" s="271"/>
      <c r="BG301" s="271"/>
      <c r="BH301" s="271"/>
      <c r="BI301" s="271"/>
      <c r="BJ301" s="271"/>
      <c r="BK301" s="271"/>
      <c r="BL301" s="271"/>
    </row>
    <row r="302" spans="18:64" ht="21" customHeight="1" x14ac:dyDescent="0.25">
      <c r="R302" s="34" t="s">
        <v>497</v>
      </c>
      <c r="S302" s="451"/>
      <c r="T302" s="32" t="s">
        <v>309</v>
      </c>
      <c r="V302" s="475">
        <v>7</v>
      </c>
      <c r="W302" s="475" t="str">
        <f>IF($AC$302="","",$W$288)</f>
        <v/>
      </c>
      <c r="X302" s="476" t="str">
        <f>IF($AC$302="","",$X$288)</f>
        <v/>
      </c>
      <c r="Y302" s="477" t="str">
        <f>IF($X$302="","",$Y$288)</f>
        <v/>
      </c>
      <c r="Z302" s="477" t="str">
        <f>IF($X$302="","",$Z$288)</f>
        <v/>
      </c>
      <c r="AA302" s="477" t="str">
        <f>IF($AC$302="","",ROW($A$302)-ROW($A$288))</f>
        <v/>
      </c>
      <c r="AB302" s="478"/>
      <c r="AC302" s="34"/>
      <c r="AD302" s="356"/>
      <c r="AE302" s="18"/>
      <c r="AF302" s="19"/>
      <c r="AG302" s="480" t="str">
        <f t="shared" si="76"/>
        <v/>
      </c>
      <c r="AH302" s="481" t="str">
        <f t="shared" si="77"/>
        <v/>
      </c>
      <c r="AI302" s="477" t="str">
        <f>IF($AC$302="","",IFERROR(INDEX($AZ$74:$AZ$119,MATCH($AH$302,$AY$74:$AY$119,0)),"AUTRE"))</f>
        <v/>
      </c>
      <c r="AJ302" s="482" t="str">
        <f>IF($AC$302="","",IFERROR(INDEX($BA$74:$BA$119,MATCH($AH$302,$AY$74:$AY$119,0)),1))</f>
        <v/>
      </c>
      <c r="AK302" s="482" t="str">
        <f t="shared" si="66"/>
        <v/>
      </c>
      <c r="AL302" s="477" t="str">
        <f>IF($AC$302="","",IFERROR(INDEX($BB$74:$BB$119,MATCH($AH$302,$AY$74:$AY$119,0)),$AH$302))</f>
        <v/>
      </c>
      <c r="AM302" s="483" t="str">
        <f t="shared" si="78"/>
        <v/>
      </c>
      <c r="AN302" s="484" t="str">
        <f t="shared" si="79"/>
        <v/>
      </c>
      <c r="AO302" s="473" t="str">
        <f t="shared" si="80"/>
        <v/>
      </c>
      <c r="AP302" s="473" t="str">
        <f t="shared" si="81"/>
        <v/>
      </c>
      <c r="AQ302" s="473" t="str">
        <f t="shared" si="82"/>
        <v/>
      </c>
      <c r="AR302" s="473" t="str">
        <f t="shared" si="83"/>
        <v/>
      </c>
      <c r="AS302" s="473" t="str">
        <f t="shared" si="84"/>
        <v/>
      </c>
      <c r="AT302" s="473" t="str">
        <f t="shared" si="85"/>
        <v/>
      </c>
      <c r="AU302" s="473" t="str">
        <f t="shared" si="86"/>
        <v/>
      </c>
      <c r="AZ302" s="497" t="s">
        <v>8147</v>
      </c>
      <c r="BA302" s="34" t="s">
        <v>473</v>
      </c>
      <c r="BB302" s="499"/>
      <c r="BC302" s="271"/>
      <c r="BD302" s="279">
        <v>1</v>
      </c>
      <c r="BE302" s="271"/>
      <c r="BF302" s="271"/>
      <c r="BG302" s="271"/>
      <c r="BH302" s="271"/>
      <c r="BI302" s="271"/>
      <c r="BJ302" s="271"/>
      <c r="BK302" s="271"/>
      <c r="BL302" s="271"/>
    </row>
    <row r="303" spans="18:64" ht="21" customHeight="1" x14ac:dyDescent="0.25">
      <c r="R303" s="34" t="s">
        <v>470</v>
      </c>
      <c r="S303" s="451"/>
      <c r="T303" s="32" t="s">
        <v>311</v>
      </c>
      <c r="V303" s="475">
        <v>7</v>
      </c>
      <c r="W303" s="475" t="str">
        <f>IF($AC$303="","",$W$288)</f>
        <v/>
      </c>
      <c r="X303" s="476" t="str">
        <f>IF($AC$303="","",$X$288)</f>
        <v/>
      </c>
      <c r="Y303" s="477" t="str">
        <f>IF($X$303="","",$Y$288)</f>
        <v/>
      </c>
      <c r="Z303" s="477" t="str">
        <f>IF($X$303="","",$Z$288)</f>
        <v/>
      </c>
      <c r="AA303" s="477" t="str">
        <f>IF($AC$303="","",ROW($A$303)-ROW($A$288))</f>
        <v/>
      </c>
      <c r="AB303" s="478"/>
      <c r="AC303" s="34"/>
      <c r="AD303" s="356"/>
      <c r="AE303" s="18"/>
      <c r="AF303" s="19"/>
      <c r="AG303" s="480" t="str">
        <f t="shared" si="76"/>
        <v/>
      </c>
      <c r="AH303" s="481" t="str">
        <f t="shared" si="77"/>
        <v/>
      </c>
      <c r="AI303" s="477" t="str">
        <f>IF($AC$303="","",IFERROR(INDEX($AZ$74:$AZ$119,MATCH($AH$303,$AY$74:$AY$119,0)),"AUTRE"))</f>
        <v/>
      </c>
      <c r="AJ303" s="482" t="str">
        <f>IF($AC$303="","",IFERROR(INDEX($BA$74:$BA$119,MATCH($AH$303,$AY$74:$AY$119,0)),1))</f>
        <v/>
      </c>
      <c r="AK303" s="482" t="str">
        <f t="shared" si="66"/>
        <v/>
      </c>
      <c r="AL303" s="477" t="str">
        <f>IF($AC$303="","",IFERROR(INDEX($BB$74:$BB$119,MATCH($AH$303,$AY$74:$AY$119,0)),$AH$303))</f>
        <v/>
      </c>
      <c r="AM303" s="483" t="str">
        <f t="shared" si="78"/>
        <v/>
      </c>
      <c r="AN303" s="484" t="str">
        <f t="shared" si="79"/>
        <v/>
      </c>
      <c r="AO303" s="473" t="str">
        <f t="shared" si="80"/>
        <v/>
      </c>
      <c r="AP303" s="473" t="str">
        <f t="shared" si="81"/>
        <v/>
      </c>
      <c r="AQ303" s="473" t="str">
        <f t="shared" si="82"/>
        <v/>
      </c>
      <c r="AR303" s="473" t="str">
        <f t="shared" si="83"/>
        <v/>
      </c>
      <c r="AS303" s="473" t="str">
        <f t="shared" si="84"/>
        <v/>
      </c>
      <c r="AT303" s="473" t="str">
        <f t="shared" si="85"/>
        <v/>
      </c>
      <c r="AU303" s="473" t="str">
        <f t="shared" si="86"/>
        <v/>
      </c>
      <c r="AZ303" s="497" t="s">
        <v>465</v>
      </c>
      <c r="BA303" s="34" t="s">
        <v>497</v>
      </c>
      <c r="BB303" s="499"/>
      <c r="BC303" s="271"/>
      <c r="BD303" s="279">
        <v>1</v>
      </c>
      <c r="BE303" s="271"/>
      <c r="BF303" s="271"/>
      <c r="BG303" s="271"/>
      <c r="BH303" s="271"/>
      <c r="BI303" s="271"/>
      <c r="BJ303" s="271"/>
      <c r="BK303" s="271"/>
      <c r="BL303" s="271"/>
    </row>
    <row r="304" spans="18:64" ht="21" customHeight="1" x14ac:dyDescent="0.25">
      <c r="R304" s="34" t="s">
        <v>477</v>
      </c>
      <c r="S304" s="451"/>
      <c r="T304" s="32" t="s">
        <v>8135</v>
      </c>
      <c r="V304" s="475">
        <v>7</v>
      </c>
      <c r="W304" s="475" t="str">
        <f>IF($AC$304="","",$W$288)</f>
        <v/>
      </c>
      <c r="X304" s="476" t="str">
        <f>IF($AC$304="","",$X$288)</f>
        <v/>
      </c>
      <c r="Y304" s="477" t="str">
        <f>IF($X$304="","",$Y$288)</f>
        <v/>
      </c>
      <c r="Z304" s="477" t="str">
        <f>IF($X$304="","",$Z$288)</f>
        <v/>
      </c>
      <c r="AA304" s="477" t="str">
        <f>IF($AC$304="","",ROW($A$304)-ROW($A$288))</f>
        <v/>
      </c>
      <c r="AB304" s="478"/>
      <c r="AC304" s="34"/>
      <c r="AD304" s="356"/>
      <c r="AE304" s="18"/>
      <c r="AF304" s="19"/>
      <c r="AG304" s="480" t="str">
        <f t="shared" si="76"/>
        <v/>
      </c>
      <c r="AH304" s="481" t="str">
        <f t="shared" si="77"/>
        <v/>
      </c>
      <c r="AI304" s="477" t="str">
        <f>IF($AC$304="","",IFERROR(INDEX($AZ$74:$AZ$119,MATCH($AH$304,$AY$74:$AY$119,0)),"AUTRE"))</f>
        <v/>
      </c>
      <c r="AJ304" s="482" t="str">
        <f>IF($AC$304="","",IFERROR(INDEX($BA$74:$BA$119,MATCH($AH$304,$AY$74:$AY$119,0)),1))</f>
        <v/>
      </c>
      <c r="AK304" s="482" t="str">
        <f t="shared" si="66"/>
        <v/>
      </c>
      <c r="AL304" s="477" t="str">
        <f>IF($AC$304="","",IFERROR(INDEX($BB$74:$BB$119,MATCH($AH$304,$AY$74:$AY$119,0)),$AH$304))</f>
        <v/>
      </c>
      <c r="AM304" s="483" t="str">
        <f t="shared" si="78"/>
        <v/>
      </c>
      <c r="AN304" s="484" t="str">
        <f t="shared" si="79"/>
        <v/>
      </c>
      <c r="AO304" s="473" t="str">
        <f t="shared" si="80"/>
        <v/>
      </c>
      <c r="AP304" s="473" t="str">
        <f t="shared" si="81"/>
        <v/>
      </c>
      <c r="AQ304" s="473" t="str">
        <f t="shared" si="82"/>
        <v/>
      </c>
      <c r="AR304" s="473" t="str">
        <f t="shared" si="83"/>
        <v/>
      </c>
      <c r="AS304" s="473" t="str">
        <f t="shared" si="84"/>
        <v/>
      </c>
      <c r="AT304" s="473" t="str">
        <f t="shared" si="85"/>
        <v/>
      </c>
      <c r="AU304" s="473" t="str">
        <f t="shared" si="86"/>
        <v/>
      </c>
      <c r="AZ304" s="497" t="s">
        <v>466</v>
      </c>
      <c r="BA304" s="34" t="s">
        <v>470</v>
      </c>
      <c r="BB304" s="499"/>
      <c r="BC304" s="271"/>
      <c r="BD304" s="279">
        <v>1</v>
      </c>
      <c r="BE304" s="271"/>
      <c r="BF304" s="271"/>
      <c r="BG304" s="271"/>
      <c r="BH304" s="271"/>
      <c r="BI304" s="271"/>
      <c r="BJ304" s="271"/>
      <c r="BK304" s="271"/>
      <c r="BL304" s="271"/>
    </row>
    <row r="305" spans="18:64" ht="21" customHeight="1" x14ac:dyDescent="0.25">
      <c r="S305" s="451"/>
      <c r="T305" s="497" t="s">
        <v>462</v>
      </c>
      <c r="V305" s="475">
        <v>7</v>
      </c>
      <c r="W305" s="475" t="str">
        <f>IF($AC$305="","",$W$288)</f>
        <v/>
      </c>
      <c r="X305" s="476" t="str">
        <f>IF($AC$305="","",$X$288)</f>
        <v/>
      </c>
      <c r="Y305" s="477" t="str">
        <f>IF($X$305="","",$Y$288)</f>
        <v/>
      </c>
      <c r="Z305" s="477" t="str">
        <f>IF($X$305="","",$Z$288)</f>
        <v/>
      </c>
      <c r="AA305" s="477" t="str">
        <f>IF($AC$305="","",ROW($A$305)-ROW($A$288))</f>
        <v/>
      </c>
      <c r="AB305" s="478"/>
      <c r="AC305" s="34"/>
      <c r="AD305" s="356"/>
      <c r="AE305" s="18"/>
      <c r="AF305" s="19"/>
      <c r="AG305" s="480" t="str">
        <f t="shared" si="76"/>
        <v/>
      </c>
      <c r="AH305" s="481" t="str">
        <f t="shared" si="77"/>
        <v/>
      </c>
      <c r="AI305" s="477" t="str">
        <f>IF($AC$305="","",IFERROR(INDEX($AZ$74:$AZ$119,MATCH($AH$305,$AY$74:$AY$119,0)),"AUTRE"))</f>
        <v/>
      </c>
      <c r="AJ305" s="482" t="str">
        <f>IF($AC$305="","",IFERROR(INDEX($BA$74:$BA$119,MATCH($AH$305,$AY$74:$AY$119,0)),1))</f>
        <v/>
      </c>
      <c r="AK305" s="482" t="str">
        <f t="shared" si="66"/>
        <v/>
      </c>
      <c r="AL305" s="477" t="str">
        <f>IF($AC$305="","",IFERROR(INDEX($BB$74:$BB$119,MATCH($AH$305,$AY$74:$AY$119,0)),$AH$305))</f>
        <v/>
      </c>
      <c r="AM305" s="483" t="str">
        <f t="shared" si="78"/>
        <v/>
      </c>
      <c r="AN305" s="484" t="str">
        <f t="shared" si="79"/>
        <v/>
      </c>
      <c r="AO305" s="473" t="str">
        <f t="shared" si="80"/>
        <v/>
      </c>
      <c r="AP305" s="473" t="str">
        <f t="shared" si="81"/>
        <v/>
      </c>
      <c r="AQ305" s="473" t="str">
        <f t="shared" si="82"/>
        <v/>
      </c>
      <c r="AR305" s="473" t="str">
        <f t="shared" si="83"/>
        <v/>
      </c>
      <c r="AS305" s="473" t="str">
        <f t="shared" si="84"/>
        <v/>
      </c>
      <c r="AT305" s="473" t="str">
        <f t="shared" si="85"/>
        <v/>
      </c>
      <c r="AU305" s="473" t="str">
        <f t="shared" si="86"/>
        <v/>
      </c>
      <c r="AZ305" s="14" t="s">
        <v>7</v>
      </c>
      <c r="BA305" s="34" t="s">
        <v>477</v>
      </c>
      <c r="BB305" s="499"/>
      <c r="BC305" s="271"/>
      <c r="BD305" s="279">
        <v>1</v>
      </c>
      <c r="BE305" s="271"/>
      <c r="BF305" s="271"/>
      <c r="BG305" s="271"/>
      <c r="BH305" s="271"/>
      <c r="BI305" s="271"/>
      <c r="BJ305" s="271"/>
      <c r="BK305" s="271"/>
      <c r="BL305" s="271"/>
    </row>
    <row r="306" spans="18:64" ht="21" customHeight="1" x14ac:dyDescent="0.25">
      <c r="R306" s="25" t="s">
        <v>6134</v>
      </c>
      <c r="S306" s="451"/>
      <c r="T306" s="497" t="s">
        <v>463</v>
      </c>
      <c r="V306" s="475">
        <v>7</v>
      </c>
      <c r="W306" s="475" t="str">
        <f>IF($AC$306="","",$W$288)</f>
        <v/>
      </c>
      <c r="X306" s="476" t="str">
        <f>IF($AC$306="","",$X$288)</f>
        <v/>
      </c>
      <c r="Y306" s="477" t="str">
        <f>IF($X$306="","",$Y$288)</f>
        <v/>
      </c>
      <c r="Z306" s="477" t="str">
        <f>IF($X$306="","",$Z$288)</f>
        <v/>
      </c>
      <c r="AA306" s="477" t="str">
        <f>IF($AC$306="","",ROW($A$306)-ROW($A$288))</f>
        <v/>
      </c>
      <c r="AB306" s="478"/>
      <c r="AC306" s="34"/>
      <c r="AD306" s="356"/>
      <c r="AE306" s="18"/>
      <c r="AF306" s="19"/>
      <c r="AG306" s="480" t="str">
        <f t="shared" si="76"/>
        <v/>
      </c>
      <c r="AH306" s="481" t="str">
        <f t="shared" si="77"/>
        <v/>
      </c>
      <c r="AI306" s="477" t="str">
        <f>IF($AC$306="","",IFERROR(INDEX($AZ$74:$AZ$119,MATCH($AH$306,$AY$74:$AY$119,0)),"AUTRE"))</f>
        <v/>
      </c>
      <c r="AJ306" s="482" t="str">
        <f>IF($AC$306="","",IFERROR(INDEX($BA$74:$BA$119,MATCH($AH$306,$AY$74:$AY$119,0)),1))</f>
        <v/>
      </c>
      <c r="AK306" s="482" t="str">
        <f t="shared" si="66"/>
        <v/>
      </c>
      <c r="AL306" s="477" t="str">
        <f>IF($AC$306="","",IFERROR(INDEX($BB$74:$BB$119,MATCH($AH$306,$AY$74:$AY$119,0)),$AH$306))</f>
        <v/>
      </c>
      <c r="AM306" s="483" t="str">
        <f t="shared" si="78"/>
        <v/>
      </c>
      <c r="AN306" s="484" t="str">
        <f t="shared" si="79"/>
        <v/>
      </c>
      <c r="AO306" s="473" t="str">
        <f t="shared" si="80"/>
        <v/>
      </c>
      <c r="AP306" s="473" t="str">
        <f t="shared" si="81"/>
        <v/>
      </c>
      <c r="AQ306" s="473" t="str">
        <f t="shared" si="82"/>
        <v/>
      </c>
      <c r="AR306" s="473" t="str">
        <f t="shared" si="83"/>
        <v/>
      </c>
      <c r="AS306" s="473" t="str">
        <f t="shared" si="84"/>
        <v/>
      </c>
      <c r="AT306" s="473" t="str">
        <f t="shared" si="85"/>
        <v/>
      </c>
      <c r="AU306" s="473" t="str">
        <f t="shared" si="86"/>
        <v/>
      </c>
      <c r="AZ306" s="27" t="s">
        <v>8</v>
      </c>
      <c r="BB306" s="499"/>
      <c r="BC306" s="271"/>
      <c r="BD306" s="279">
        <v>1</v>
      </c>
      <c r="BE306" s="271"/>
      <c r="BF306" s="271"/>
      <c r="BG306" s="271"/>
      <c r="BH306" s="271"/>
      <c r="BI306" s="271"/>
      <c r="BJ306" s="271"/>
      <c r="BK306" s="271"/>
      <c r="BL306" s="271"/>
    </row>
    <row r="307" spans="18:64" ht="21" customHeight="1" x14ac:dyDescent="0.25">
      <c r="R307" s="34" t="s">
        <v>481</v>
      </c>
      <c r="S307" s="451"/>
      <c r="T307" s="497" t="s">
        <v>8147</v>
      </c>
      <c r="V307" s="475">
        <v>7</v>
      </c>
      <c r="W307" s="475" t="str">
        <f>IF($AC$307="","",$W$288)</f>
        <v/>
      </c>
      <c r="X307" s="476" t="str">
        <f>IF($AC$307="","",$X$288)</f>
        <v/>
      </c>
      <c r="Y307" s="477" t="str">
        <f>IF($X$307="","",$Y$288)</f>
        <v/>
      </c>
      <c r="Z307" s="477" t="str">
        <f>IF($X$307="","",$Z$288)</f>
        <v/>
      </c>
      <c r="AA307" s="477" t="str">
        <f>IF($AC$307="","",ROW($A$307)-ROW($A$288))</f>
        <v/>
      </c>
      <c r="AB307" s="478"/>
      <c r="AC307" s="34"/>
      <c r="AD307" s="356"/>
      <c r="AE307" s="18"/>
      <c r="AF307" s="19"/>
      <c r="AG307" s="480" t="str">
        <f t="shared" si="76"/>
        <v/>
      </c>
      <c r="AH307" s="481" t="str">
        <f t="shared" si="77"/>
        <v/>
      </c>
      <c r="AI307" s="477" t="str">
        <f>IF($AC$307="","",IFERROR(INDEX($AZ$74:$AZ$119,MATCH($AH$307,$AY$74:$AY$119,0)),"AUTRE"))</f>
        <v/>
      </c>
      <c r="AJ307" s="482" t="str">
        <f>IF($AC$307="","",IFERROR(INDEX($BA$74:$BA$119,MATCH($AH$307,$AY$74:$AY$119,0)),1))</f>
        <v/>
      </c>
      <c r="AK307" s="482" t="str">
        <f t="shared" si="66"/>
        <v/>
      </c>
      <c r="AL307" s="477" t="str">
        <f>IF($AC$307="","",IFERROR(INDEX($BB$74:$BB$119,MATCH($AH$307,$AY$74:$AY$119,0)),$AH$307))</f>
        <v/>
      </c>
      <c r="AM307" s="483" t="str">
        <f t="shared" si="78"/>
        <v/>
      </c>
      <c r="AN307" s="484" t="str">
        <f t="shared" si="79"/>
        <v/>
      </c>
      <c r="AO307" s="473" t="str">
        <f t="shared" si="80"/>
        <v/>
      </c>
      <c r="AP307" s="473" t="str">
        <f t="shared" si="81"/>
        <v/>
      </c>
      <c r="AQ307" s="473" t="str">
        <f t="shared" si="82"/>
        <v/>
      </c>
      <c r="AR307" s="473" t="str">
        <f t="shared" si="83"/>
        <v/>
      </c>
      <c r="AS307" s="473" t="str">
        <f t="shared" si="84"/>
        <v/>
      </c>
      <c r="AT307" s="473" t="str">
        <f t="shared" si="85"/>
        <v/>
      </c>
      <c r="AU307" s="473" t="str">
        <f t="shared" si="86"/>
        <v/>
      </c>
      <c r="AZ307" s="28" t="s">
        <v>13</v>
      </c>
      <c r="BA307" s="25" t="s">
        <v>6134</v>
      </c>
      <c r="BB307" s="499"/>
      <c r="BC307" s="271"/>
      <c r="BD307" s="279">
        <v>1</v>
      </c>
      <c r="BE307" s="271"/>
      <c r="BF307" s="271"/>
      <c r="BG307" s="271"/>
      <c r="BH307" s="271"/>
      <c r="BI307" s="271"/>
      <c r="BJ307" s="271"/>
      <c r="BK307" s="271"/>
      <c r="BL307" s="271"/>
    </row>
    <row r="308" spans="18:64" ht="21" customHeight="1" x14ac:dyDescent="0.25">
      <c r="R308" s="34" t="s">
        <v>475</v>
      </c>
      <c r="S308" s="451"/>
      <c r="T308" s="497" t="s">
        <v>465</v>
      </c>
      <c r="V308" s="475">
        <v>7</v>
      </c>
      <c r="W308" s="475" t="str">
        <f>IF($AC$308="","",$W$288)</f>
        <v/>
      </c>
      <c r="X308" s="476" t="str">
        <f>IF($AC$308="","",$X$288)</f>
        <v/>
      </c>
      <c r="Y308" s="477" t="str">
        <f>IF($X$308="","",$Y$288)</f>
        <v/>
      </c>
      <c r="Z308" s="477" t="str">
        <f>IF($X$308="","",$Z$288)</f>
        <v/>
      </c>
      <c r="AA308" s="477" t="str">
        <f>IF($AC$308="","",ROW($A$308)-ROW($A$288))</f>
        <v/>
      </c>
      <c r="AB308" s="478"/>
      <c r="AC308" s="34"/>
      <c r="AD308" s="356"/>
      <c r="AE308" s="18"/>
      <c r="AF308" s="19"/>
      <c r="AG308" s="480" t="str">
        <f t="shared" si="76"/>
        <v/>
      </c>
      <c r="AH308" s="481" t="str">
        <f t="shared" si="77"/>
        <v/>
      </c>
      <c r="AI308" s="477" t="str">
        <f>IF($AC$308="","",IFERROR(INDEX($AZ$74:$AZ$119,MATCH($AH$308,$AY$74:$AY$119,0)),"AUTRE"))</f>
        <v/>
      </c>
      <c r="AJ308" s="482" t="str">
        <f>IF($AC$308="","",IFERROR(INDEX($BA$74:$BA$119,MATCH($AH$308,$AY$74:$AY$119,0)),1))</f>
        <v/>
      </c>
      <c r="AK308" s="482" t="str">
        <f t="shared" si="66"/>
        <v/>
      </c>
      <c r="AL308" s="477" t="str">
        <f>IF($AC$308="","",IFERROR(INDEX($BB$74:$BB$119,MATCH($AH$308,$AY$74:$AY$119,0)),$AH$308))</f>
        <v/>
      </c>
      <c r="AM308" s="483" t="str">
        <f t="shared" si="78"/>
        <v/>
      </c>
      <c r="AN308" s="484" t="str">
        <f t="shared" si="79"/>
        <v/>
      </c>
      <c r="AO308" s="473" t="str">
        <f t="shared" si="80"/>
        <v/>
      </c>
      <c r="AP308" s="473" t="str">
        <f t="shared" si="81"/>
        <v/>
      </c>
      <c r="AQ308" s="473" t="str">
        <f t="shared" si="82"/>
        <v/>
      </c>
      <c r="AR308" s="473" t="str">
        <f t="shared" si="83"/>
        <v/>
      </c>
      <c r="AS308" s="473" t="str">
        <f t="shared" si="84"/>
        <v/>
      </c>
      <c r="AT308" s="473" t="str">
        <f t="shared" si="85"/>
        <v/>
      </c>
      <c r="AU308" s="473" t="str">
        <f t="shared" si="86"/>
        <v/>
      </c>
      <c r="AZ308" s="28" t="s">
        <v>14</v>
      </c>
      <c r="BA308" s="34" t="s">
        <v>481</v>
      </c>
      <c r="BB308" s="499"/>
      <c r="BC308" s="271"/>
      <c r="BD308" s="279">
        <v>1</v>
      </c>
      <c r="BE308" s="271"/>
      <c r="BF308" s="271"/>
      <c r="BG308" s="271"/>
      <c r="BH308" s="271"/>
      <c r="BI308" s="271"/>
      <c r="BJ308" s="271"/>
      <c r="BK308" s="271"/>
      <c r="BL308" s="271"/>
    </row>
    <row r="309" spans="18:64" ht="21" customHeight="1" x14ac:dyDescent="0.25">
      <c r="R309" s="34" t="s">
        <v>457</v>
      </c>
      <c r="S309" s="451"/>
      <c r="T309" s="497" t="s">
        <v>466</v>
      </c>
      <c r="V309" s="475">
        <v>7</v>
      </c>
      <c r="W309" s="475" t="str">
        <f>IF($AC$309="","",$W$288)</f>
        <v/>
      </c>
      <c r="X309" s="476" t="str">
        <f>IF($AC$309="","",$X$288)</f>
        <v/>
      </c>
      <c r="Y309" s="477" t="str">
        <f>IF($X$309="","",$Y$288)</f>
        <v/>
      </c>
      <c r="Z309" s="477" t="str">
        <f>IF($X$309="","",$Z$288)</f>
        <v/>
      </c>
      <c r="AA309" s="477" t="str">
        <f>IF($AC$309="","",ROW($A$309)-ROW($A$288))</f>
        <v/>
      </c>
      <c r="AB309" s="478"/>
      <c r="AC309" s="34"/>
      <c r="AD309" s="356"/>
      <c r="AE309" s="18"/>
      <c r="AF309" s="19"/>
      <c r="AG309" s="480" t="str">
        <f t="shared" si="76"/>
        <v/>
      </c>
      <c r="AH309" s="481" t="str">
        <f t="shared" si="77"/>
        <v/>
      </c>
      <c r="AI309" s="477" t="str">
        <f>IF($AC$309="","",IFERROR(INDEX($AZ$74:$AZ$119,MATCH($AH$309,$AY$74:$AY$119,0)),"AUTRE"))</f>
        <v/>
      </c>
      <c r="AJ309" s="482" t="str">
        <f>IF($AC$309="","",IFERROR(INDEX($BA$74:$BA$119,MATCH($AH$309,$AY$74:$AY$119,0)),1))</f>
        <v/>
      </c>
      <c r="AK309" s="482" t="str">
        <f t="shared" si="66"/>
        <v/>
      </c>
      <c r="AL309" s="477" t="str">
        <f>IF($AC$309="","",IFERROR(INDEX($BB$74:$BB$119,MATCH($AH$309,$AY$74:$AY$119,0)),$AH$309))</f>
        <v/>
      </c>
      <c r="AM309" s="483" t="str">
        <f t="shared" si="78"/>
        <v/>
      </c>
      <c r="AN309" s="484" t="str">
        <f t="shared" si="79"/>
        <v/>
      </c>
      <c r="AO309" s="473" t="str">
        <f t="shared" si="80"/>
        <v/>
      </c>
      <c r="AP309" s="473" t="str">
        <f t="shared" si="81"/>
        <v/>
      </c>
      <c r="AQ309" s="473" t="str">
        <f t="shared" si="82"/>
        <v/>
      </c>
      <c r="AR309" s="473" t="str">
        <f t="shared" si="83"/>
        <v/>
      </c>
      <c r="AS309" s="473" t="str">
        <f t="shared" si="84"/>
        <v/>
      </c>
      <c r="AT309" s="473" t="str">
        <f t="shared" si="85"/>
        <v/>
      </c>
      <c r="AU309" s="473" t="str">
        <f t="shared" si="86"/>
        <v/>
      </c>
      <c r="AZ309" s="28" t="s">
        <v>15</v>
      </c>
      <c r="BA309" s="34" t="s">
        <v>475</v>
      </c>
      <c r="BB309" s="499"/>
      <c r="BC309" s="271"/>
      <c r="BD309" s="279">
        <v>1</v>
      </c>
      <c r="BE309" s="271"/>
      <c r="BF309" s="271"/>
      <c r="BG309" s="271"/>
      <c r="BH309" s="271"/>
      <c r="BI309" s="271"/>
      <c r="BJ309" s="271"/>
      <c r="BK309" s="271"/>
      <c r="BL309" s="271"/>
    </row>
    <row r="310" spans="18:64" ht="21" customHeight="1" x14ac:dyDescent="0.25">
      <c r="R310" s="34" t="s">
        <v>482</v>
      </c>
      <c r="S310" s="451"/>
      <c r="T310" s="440" t="s">
        <v>8110</v>
      </c>
      <c r="V310" s="475">
        <v>7</v>
      </c>
      <c r="W310" s="475" t="str">
        <f>IF($AC$310="","",$W$288)</f>
        <v/>
      </c>
      <c r="X310" s="476" t="str">
        <f>IF($AC$310="","",$X$288)</f>
        <v/>
      </c>
      <c r="Y310" s="477" t="str">
        <f>IF($X$310="","",$Y$288)</f>
        <v/>
      </c>
      <c r="Z310" s="477" t="str">
        <f>IF($X$310="","",$Z$288)</f>
        <v/>
      </c>
      <c r="AA310" s="477" t="str">
        <f>IF($AC$310="","",ROW($A$310)-ROW($A$288))</f>
        <v/>
      </c>
      <c r="AB310" s="478"/>
      <c r="AC310" s="34"/>
      <c r="AD310" s="356"/>
      <c r="AE310" s="18"/>
      <c r="AF310" s="19"/>
      <c r="AG310" s="480" t="str">
        <f t="shared" si="76"/>
        <v/>
      </c>
      <c r="AH310" s="481" t="str">
        <f t="shared" si="77"/>
        <v/>
      </c>
      <c r="AI310" s="477" t="str">
        <f>IF($AC$310="","",IFERROR(INDEX($AZ$74:$AZ$119,MATCH($AH$310,$AY$74:$AY$119,0)),"AUTRE"))</f>
        <v/>
      </c>
      <c r="AJ310" s="482" t="str">
        <f>IF($AC$310="","",IFERROR(INDEX($BA$74:$BA$119,MATCH($AH$310,$AY$74:$AY$119,0)),1))</f>
        <v/>
      </c>
      <c r="AK310" s="482" t="str">
        <f t="shared" si="66"/>
        <v/>
      </c>
      <c r="AL310" s="477" t="str">
        <f>IF($AC$310="","",IFERROR(INDEX($BB$74:$BB$119,MATCH($AH$310,$AY$74:$AY$119,0)),$AH$310))</f>
        <v/>
      </c>
      <c r="AM310" s="483" t="str">
        <f t="shared" si="78"/>
        <v/>
      </c>
      <c r="AN310" s="484" t="str">
        <f t="shared" si="79"/>
        <v/>
      </c>
      <c r="AO310" s="473" t="str">
        <f t="shared" si="80"/>
        <v/>
      </c>
      <c r="AP310" s="473" t="str">
        <f t="shared" si="81"/>
        <v/>
      </c>
      <c r="AQ310" s="473" t="str">
        <f t="shared" si="82"/>
        <v/>
      </c>
      <c r="AR310" s="473" t="str">
        <f t="shared" si="83"/>
        <v/>
      </c>
      <c r="AS310" s="473" t="str">
        <f t="shared" si="84"/>
        <v/>
      </c>
      <c r="AT310" s="473" t="str">
        <f t="shared" si="85"/>
        <v/>
      </c>
      <c r="AU310" s="473" t="str">
        <f t="shared" si="86"/>
        <v/>
      </c>
      <c r="AZ310" s="29" t="s">
        <v>9</v>
      </c>
      <c r="BA310" s="34" t="s">
        <v>457</v>
      </c>
      <c r="BB310" s="499"/>
      <c r="BC310" s="271"/>
      <c r="BD310" s="279">
        <v>1</v>
      </c>
      <c r="BE310" s="271"/>
      <c r="BF310" s="271"/>
      <c r="BG310" s="271"/>
      <c r="BH310" s="271"/>
      <c r="BI310" s="271"/>
      <c r="BJ310" s="271"/>
      <c r="BK310" s="271"/>
      <c r="BL310" s="271"/>
    </row>
    <row r="311" spans="18:64" ht="21" customHeight="1" x14ac:dyDescent="0.25">
      <c r="R311" s="34" t="s">
        <v>496</v>
      </c>
      <c r="S311" s="451"/>
      <c r="T311" s="452" t="s">
        <v>8113</v>
      </c>
      <c r="V311" s="475">
        <v>7</v>
      </c>
      <c r="W311" s="475" t="str">
        <f>IF($AC$311="","",$W$288)</f>
        <v/>
      </c>
      <c r="X311" s="476" t="str">
        <f>IF($AC$311="","",$X$288)</f>
        <v/>
      </c>
      <c r="Y311" s="477" t="str">
        <f>IF($X$311="","",$Y$288)</f>
        <v/>
      </c>
      <c r="Z311" s="477" t="str">
        <f>IF($X$311="","",$Z$288)</f>
        <v/>
      </c>
      <c r="AA311" s="477" t="str">
        <f>IF($AC$311="","",ROW($A$311)-ROW($A$288))</f>
        <v/>
      </c>
      <c r="AB311" s="478"/>
      <c r="AC311" s="34"/>
      <c r="AD311" s="356"/>
      <c r="AE311" s="18"/>
      <c r="AF311" s="19"/>
      <c r="AG311" s="480" t="str">
        <f t="shared" si="76"/>
        <v/>
      </c>
      <c r="AH311" s="481" t="str">
        <f t="shared" si="77"/>
        <v/>
      </c>
      <c r="AI311" s="477" t="str">
        <f>IF($AC$311="","",IFERROR(INDEX($AZ$74:$AZ$119,MATCH($AH$311,$AY$74:$AY$119,0)),"AUTRE"))</f>
        <v/>
      </c>
      <c r="AJ311" s="482" t="str">
        <f>IF($AC$311="","",IFERROR(INDEX($BA$74:$BA$119,MATCH($AH$311,$AY$74:$AY$119,0)),1))</f>
        <v/>
      </c>
      <c r="AK311" s="482" t="str">
        <f t="shared" si="66"/>
        <v/>
      </c>
      <c r="AL311" s="477" t="str">
        <f>IF($AC$311="","",IFERROR(INDEX($BB$74:$BB$119,MATCH($AH$311,$AY$74:$AY$119,0)),$AH$311))</f>
        <v/>
      </c>
      <c r="AM311" s="483" t="str">
        <f t="shared" si="78"/>
        <v/>
      </c>
      <c r="AN311" s="484" t="str">
        <f t="shared" si="79"/>
        <v/>
      </c>
      <c r="AO311" s="473" t="str">
        <f t="shared" si="80"/>
        <v/>
      </c>
      <c r="AP311" s="473" t="str">
        <f t="shared" si="81"/>
        <v/>
      </c>
      <c r="AQ311" s="473" t="str">
        <f t="shared" si="82"/>
        <v/>
      </c>
      <c r="AR311" s="473" t="str">
        <f t="shared" si="83"/>
        <v/>
      </c>
      <c r="AS311" s="473" t="str">
        <f t="shared" si="84"/>
        <v/>
      </c>
      <c r="AT311" s="473" t="str">
        <f t="shared" si="85"/>
        <v/>
      </c>
      <c r="AU311" s="473" t="str">
        <f t="shared" si="86"/>
        <v/>
      </c>
      <c r="AZ311" s="30" t="s">
        <v>10</v>
      </c>
      <c r="BA311" s="34" t="s">
        <v>482</v>
      </c>
      <c r="BB311" s="499"/>
      <c r="BC311" s="271"/>
      <c r="BD311" s="279">
        <v>1</v>
      </c>
      <c r="BE311" s="271"/>
      <c r="BF311" s="271"/>
      <c r="BG311" s="271"/>
      <c r="BH311" s="271"/>
      <c r="BI311" s="271"/>
      <c r="BJ311" s="271"/>
      <c r="BK311" s="271"/>
      <c r="BL311" s="271"/>
    </row>
    <row r="312" spans="18:64" ht="21" customHeight="1" x14ac:dyDescent="0.25">
      <c r="R312" s="34" t="s">
        <v>483</v>
      </c>
      <c r="S312" s="451"/>
      <c r="T312" s="14" t="s">
        <v>7</v>
      </c>
      <c r="V312" s="475">
        <v>7</v>
      </c>
      <c r="W312" s="475" t="str">
        <f>IF($AC$312="","",$W$288)</f>
        <v/>
      </c>
      <c r="X312" s="476" t="str">
        <f>IF($AC$312="","",$X$288)</f>
        <v/>
      </c>
      <c r="Y312" s="477" t="str">
        <f>IF($X$312="","",$Y$288)</f>
        <v/>
      </c>
      <c r="Z312" s="477" t="str">
        <f>IF($X$312="","",$Z$288)</f>
        <v/>
      </c>
      <c r="AA312" s="477" t="str">
        <f>IF($AC$312="","",ROW($A$312)-ROW($A$288))</f>
        <v/>
      </c>
      <c r="AB312" s="478"/>
      <c r="AC312" s="34"/>
      <c r="AD312" s="356"/>
      <c r="AE312" s="18"/>
      <c r="AF312" s="19"/>
      <c r="AG312" s="480" t="str">
        <f t="shared" si="76"/>
        <v/>
      </c>
      <c r="AH312" s="481" t="str">
        <f t="shared" si="77"/>
        <v/>
      </c>
      <c r="AI312" s="477" t="str">
        <f>IF($AC$312="","",IFERROR(INDEX($AZ$74:$AZ$119,MATCH($AH$312,$AY$74:$AY$119,0)),"AUTRE"))</f>
        <v/>
      </c>
      <c r="AJ312" s="482" t="str">
        <f>IF($AC$312="","",IFERROR(INDEX($BA$74:$BA$119,MATCH($AH$312,$AY$74:$AY$119,0)),1))</f>
        <v/>
      </c>
      <c r="AK312" s="482" t="str">
        <f t="shared" si="66"/>
        <v/>
      </c>
      <c r="AL312" s="477" t="str">
        <f>IF($AC$312="","",IFERROR(INDEX($BB$74:$BB$119,MATCH($AH$312,$AY$74:$AY$119,0)),$AH$312))</f>
        <v/>
      </c>
      <c r="AM312" s="483" t="str">
        <f t="shared" si="78"/>
        <v/>
      </c>
      <c r="AN312" s="484" t="str">
        <f t="shared" si="79"/>
        <v/>
      </c>
      <c r="AO312" s="473" t="str">
        <f t="shared" si="80"/>
        <v/>
      </c>
      <c r="AP312" s="473" t="str">
        <f t="shared" si="81"/>
        <v/>
      </c>
      <c r="AQ312" s="473" t="str">
        <f t="shared" si="82"/>
        <v/>
      </c>
      <c r="AR312" s="473" t="str">
        <f t="shared" si="83"/>
        <v/>
      </c>
      <c r="AS312" s="473" t="str">
        <f t="shared" si="84"/>
        <v/>
      </c>
      <c r="AT312" s="473" t="str">
        <f t="shared" si="85"/>
        <v/>
      </c>
      <c r="AU312" s="473" t="str">
        <f t="shared" si="86"/>
        <v/>
      </c>
      <c r="AZ312" s="30" t="s">
        <v>11</v>
      </c>
      <c r="BA312" s="34" t="s">
        <v>496</v>
      </c>
      <c r="BB312" s="499"/>
      <c r="BC312" s="271"/>
      <c r="BD312" s="279">
        <v>1</v>
      </c>
      <c r="BE312" s="271"/>
      <c r="BF312" s="271"/>
      <c r="BG312" s="271"/>
      <c r="BH312" s="271"/>
      <c r="BI312" s="271"/>
      <c r="BJ312" s="271"/>
      <c r="BK312" s="271"/>
      <c r="BL312" s="271"/>
    </row>
    <row r="313" spans="18:64" ht="21" customHeight="1" x14ac:dyDescent="0.25">
      <c r="R313" s="34" t="s">
        <v>493</v>
      </c>
      <c r="S313" s="451"/>
      <c r="T313" s="27" t="s">
        <v>8</v>
      </c>
      <c r="V313" s="475">
        <v>7</v>
      </c>
      <c r="W313" s="475" t="str">
        <f>IF($AC$313="","",$W$288)</f>
        <v/>
      </c>
      <c r="X313" s="476" t="str">
        <f>IF($AC$313="","",$X$288)</f>
        <v/>
      </c>
      <c r="Y313" s="477" t="str">
        <f>IF($X$313="","",$Y$288)</f>
        <v/>
      </c>
      <c r="Z313" s="477" t="str">
        <f>IF($X$313="","",$Z$288)</f>
        <v/>
      </c>
      <c r="AA313" s="477" t="str">
        <f>IF($AC$313="","",ROW($A$313)-ROW($A$288))</f>
        <v/>
      </c>
      <c r="AB313" s="478"/>
      <c r="AC313" s="34"/>
      <c r="AD313" s="356"/>
      <c r="AE313" s="18"/>
      <c r="AF313" s="19"/>
      <c r="AG313" s="480" t="str">
        <f t="shared" si="76"/>
        <v/>
      </c>
      <c r="AH313" s="481" t="str">
        <f t="shared" si="77"/>
        <v/>
      </c>
      <c r="AI313" s="477" t="str">
        <f>IF($AC$313="","",IFERROR(INDEX($AZ$74:$AZ$119,MATCH($AH$313,$AY$74:$AY$119,0)),"AUTRE"))</f>
        <v/>
      </c>
      <c r="AJ313" s="482" t="str">
        <f>IF($AC$313="","",IFERROR(INDEX($BA$74:$BA$119,MATCH($AH$313,$AY$74:$AY$119,0)),1))</f>
        <v/>
      </c>
      <c r="AK313" s="482" t="str">
        <f t="shared" si="66"/>
        <v/>
      </c>
      <c r="AL313" s="477" t="str">
        <f>IF($AC$313="","",IFERROR(INDEX($BB$74:$BB$119,MATCH($AH$313,$AY$74:$AY$119,0)),$AH$313))</f>
        <v/>
      </c>
      <c r="AM313" s="483" t="str">
        <f t="shared" si="78"/>
        <v/>
      </c>
      <c r="AN313" s="484" t="str">
        <f t="shared" si="79"/>
        <v/>
      </c>
      <c r="AO313" s="473" t="str">
        <f t="shared" si="80"/>
        <v/>
      </c>
      <c r="AP313" s="473" t="str">
        <f t="shared" si="81"/>
        <v/>
      </c>
      <c r="AQ313" s="473" t="str">
        <f t="shared" si="82"/>
        <v/>
      </c>
      <c r="AR313" s="473" t="str">
        <f t="shared" si="83"/>
        <v/>
      </c>
      <c r="AS313" s="473" t="str">
        <f t="shared" si="84"/>
        <v/>
      </c>
      <c r="AT313" s="473" t="str">
        <f t="shared" si="85"/>
        <v/>
      </c>
      <c r="AU313" s="473" t="str">
        <f t="shared" si="86"/>
        <v/>
      </c>
      <c r="AZ313" s="30" t="s">
        <v>12</v>
      </c>
      <c r="BA313" s="34" t="s">
        <v>483</v>
      </c>
      <c r="BB313" s="499"/>
      <c r="BC313" s="271"/>
      <c r="BD313" s="279">
        <v>1</v>
      </c>
      <c r="BE313" s="271"/>
      <c r="BF313" s="271"/>
      <c r="BG313" s="271"/>
      <c r="BH313" s="271"/>
      <c r="BI313" s="271"/>
      <c r="BJ313" s="271"/>
      <c r="BK313" s="271"/>
      <c r="BL313" s="271"/>
    </row>
    <row r="314" spans="18:64" ht="21" customHeight="1" x14ac:dyDescent="0.25">
      <c r="R314" s="34" t="s">
        <v>494</v>
      </c>
      <c r="S314" s="451"/>
      <c r="T314" s="28" t="s">
        <v>13</v>
      </c>
      <c r="V314" s="475">
        <v>7</v>
      </c>
      <c r="W314" s="475" t="str">
        <f>IF($AC$314="","",$W$288)</f>
        <v/>
      </c>
      <c r="X314" s="476" t="str">
        <f>IF($AC$314="","",$X$288)</f>
        <v/>
      </c>
      <c r="Y314" s="477" t="str">
        <f>IF($X$314="","",$Y$288)</f>
        <v/>
      </c>
      <c r="Z314" s="477" t="str">
        <f>IF($X$314="","",$Z$288)</f>
        <v/>
      </c>
      <c r="AA314" s="477" t="str">
        <f>IF($AC$314="","",ROW($A$314)-ROW($A$288))</f>
        <v/>
      </c>
      <c r="AB314" s="478"/>
      <c r="AC314" s="34"/>
      <c r="AD314" s="356"/>
      <c r="AE314" s="18"/>
      <c r="AF314" s="19"/>
      <c r="AG314" s="480" t="str">
        <f t="shared" si="76"/>
        <v/>
      </c>
      <c r="AH314" s="481" t="str">
        <f t="shared" si="77"/>
        <v/>
      </c>
      <c r="AI314" s="477" t="str">
        <f>IF($AC$314="","",IFERROR(INDEX($AZ$74:$AZ$119,MATCH($AH$314,$AY$74:$AY$119,0)),"AUTRE"))</f>
        <v/>
      </c>
      <c r="AJ314" s="482" t="str">
        <f>IF($AC$314="","",IFERROR(INDEX($BA$74:$BA$119,MATCH($AH$314,$AY$74:$AY$119,0)),1))</f>
        <v/>
      </c>
      <c r="AK314" s="482" t="str">
        <f t="shared" si="66"/>
        <v/>
      </c>
      <c r="AL314" s="477" t="str">
        <f>IF($AC$314="","",IFERROR(INDEX($BB$74:$BB$119,MATCH($AH$314,$AY$74:$AY$119,0)),$AH$314))</f>
        <v/>
      </c>
      <c r="AM314" s="483" t="str">
        <f t="shared" si="78"/>
        <v/>
      </c>
      <c r="AN314" s="484" t="str">
        <f t="shared" si="79"/>
        <v/>
      </c>
      <c r="AO314" s="473" t="str">
        <f t="shared" si="80"/>
        <v/>
      </c>
      <c r="AP314" s="473" t="str">
        <f t="shared" si="81"/>
        <v/>
      </c>
      <c r="AQ314" s="473" t="str">
        <f t="shared" si="82"/>
        <v/>
      </c>
      <c r="AR314" s="473" t="str">
        <f t="shared" si="83"/>
        <v/>
      </c>
      <c r="AS314" s="473" t="str">
        <f t="shared" si="84"/>
        <v/>
      </c>
      <c r="AT314" s="473" t="str">
        <f t="shared" si="85"/>
        <v/>
      </c>
      <c r="AU314" s="473" t="str">
        <f t="shared" si="86"/>
        <v/>
      </c>
      <c r="AZ314" s="31" t="s">
        <v>16</v>
      </c>
      <c r="BA314" s="34" t="s">
        <v>493</v>
      </c>
      <c r="BB314" s="499"/>
      <c r="BC314" s="271"/>
      <c r="BD314" s="279">
        <v>1</v>
      </c>
      <c r="BE314" s="271"/>
      <c r="BF314" s="271"/>
      <c r="BG314" s="271"/>
      <c r="BH314" s="271"/>
      <c r="BI314" s="271"/>
      <c r="BJ314" s="271"/>
      <c r="BK314" s="271"/>
      <c r="BL314" s="271"/>
    </row>
    <row r="315" spans="18:64" ht="21" customHeight="1" x14ac:dyDescent="0.25">
      <c r="S315" s="451"/>
      <c r="T315" s="28" t="s">
        <v>14</v>
      </c>
      <c r="V315" s="475">
        <v>7</v>
      </c>
      <c r="W315" s="475" t="str">
        <f>IF($AC$315="","",$W$288)</f>
        <v/>
      </c>
      <c r="X315" s="476" t="str">
        <f>IF($AC$315="","",$X$288)</f>
        <v/>
      </c>
      <c r="Y315" s="477" t="str">
        <f>IF($X$315="","",$Y$288)</f>
        <v/>
      </c>
      <c r="Z315" s="477" t="str">
        <f>IF($X$315="","",$Z$288)</f>
        <v/>
      </c>
      <c r="AA315" s="477" t="str">
        <f>IF($AC$315="","",ROW($A$315)-ROW($A$288))</f>
        <v/>
      </c>
      <c r="AB315" s="478"/>
      <c r="AC315" s="34"/>
      <c r="AD315" s="356"/>
      <c r="AE315" s="18"/>
      <c r="AF315" s="19"/>
      <c r="AG315" s="480" t="str">
        <f t="shared" si="76"/>
        <v/>
      </c>
      <c r="AH315" s="481" t="str">
        <f t="shared" si="77"/>
        <v/>
      </c>
      <c r="AI315" s="477" t="str">
        <f>IF($AC$315="","",IFERROR(INDEX($AZ$74:$AZ$119,MATCH($AH$315,$AY$74:$AY$119,0)),"AUTRE"))</f>
        <v/>
      </c>
      <c r="AJ315" s="482" t="str">
        <f>IF($AC$315="","",IFERROR(INDEX($BA$74:$BA$119,MATCH($AH$315,$AY$74:$AY$119,0)),1))</f>
        <v/>
      </c>
      <c r="AK315" s="482" t="str">
        <f t="shared" si="66"/>
        <v/>
      </c>
      <c r="AL315" s="477" t="str">
        <f>IF($AC$315="","",IFERROR(INDEX($BB$74:$BB$119,MATCH($AH$315,$AY$74:$AY$119,0)),$AH$315))</f>
        <v/>
      </c>
      <c r="AM315" s="483" t="str">
        <f t="shared" si="78"/>
        <v/>
      </c>
      <c r="AN315" s="484" t="str">
        <f t="shared" si="79"/>
        <v/>
      </c>
      <c r="AO315" s="473" t="str">
        <f t="shared" si="80"/>
        <v/>
      </c>
      <c r="AP315" s="473" t="str">
        <f t="shared" si="81"/>
        <v/>
      </c>
      <c r="AQ315" s="473" t="str">
        <f t="shared" si="82"/>
        <v/>
      </c>
      <c r="AR315" s="473" t="str">
        <f t="shared" si="83"/>
        <v/>
      </c>
      <c r="AS315" s="473" t="str">
        <f t="shared" si="84"/>
        <v/>
      </c>
      <c r="AT315" s="473" t="str">
        <f t="shared" si="85"/>
        <v/>
      </c>
      <c r="AU315" s="473" t="str">
        <f t="shared" si="86"/>
        <v/>
      </c>
      <c r="AZ315" s="31" t="s">
        <v>17</v>
      </c>
      <c r="BA315" s="34" t="s">
        <v>494</v>
      </c>
      <c r="BB315" s="499"/>
      <c r="BC315" s="271"/>
      <c r="BD315" s="279">
        <v>1</v>
      </c>
      <c r="BE315" s="271"/>
      <c r="BF315" s="271"/>
      <c r="BG315" s="271"/>
      <c r="BH315" s="271"/>
      <c r="BI315" s="271"/>
      <c r="BJ315" s="271"/>
      <c r="BK315" s="271"/>
      <c r="BL315" s="271"/>
    </row>
    <row r="316" spans="18:64" ht="21" customHeight="1" x14ac:dyDescent="0.25">
      <c r="R316" s="25" t="s">
        <v>6115</v>
      </c>
      <c r="S316" s="451"/>
      <c r="T316" s="28" t="s">
        <v>15</v>
      </c>
      <c r="V316" s="475">
        <v>7</v>
      </c>
      <c r="W316" s="475" t="str">
        <f>IF($AC$316="","",$W$288)</f>
        <v/>
      </c>
      <c r="X316" s="476" t="str">
        <f>IF($AC$316="","",$X$288)</f>
        <v/>
      </c>
      <c r="Y316" s="477" t="str">
        <f>IF($X$316="","",$Y$288)</f>
        <v/>
      </c>
      <c r="Z316" s="477" t="str">
        <f>IF($X$316="","",$Z$288)</f>
        <v/>
      </c>
      <c r="AA316" s="477" t="str">
        <f>IF($AC$316="","",ROW($A$316)-ROW($A$288))</f>
        <v/>
      </c>
      <c r="AB316" s="478"/>
      <c r="AC316" s="34"/>
      <c r="AD316" s="356"/>
      <c r="AE316" s="18"/>
      <c r="AF316" s="19"/>
      <c r="AG316" s="480" t="str">
        <f t="shared" si="76"/>
        <v/>
      </c>
      <c r="AH316" s="481" t="str">
        <f t="shared" si="77"/>
        <v/>
      </c>
      <c r="AI316" s="477" t="str">
        <f>IF($AC$316="","",IFERROR(INDEX($AZ$74:$AZ$119,MATCH($AH$316,$AY$74:$AY$119,0)),"AUTRE"))</f>
        <v/>
      </c>
      <c r="AJ316" s="482" t="str">
        <f>IF($AC$316="","",IFERROR(INDEX($BA$74:$BA$119,MATCH($AH$316,$AY$74:$AY$119,0)),1))</f>
        <v/>
      </c>
      <c r="AK316" s="482" t="str">
        <f t="shared" ref="AK316:AK322" si="87">IF(OR(AG316="",AJ316=""),"",AG316*AJ316)</f>
        <v/>
      </c>
      <c r="AL316" s="477" t="str">
        <f>IF($AC$316="","",IFERROR(INDEX($BB$74:$BB$119,MATCH($AH$316,$AY$74:$AY$119,0)),$AH$316))</f>
        <v/>
      </c>
      <c r="AM316" s="483" t="str">
        <f t="shared" si="78"/>
        <v/>
      </c>
      <c r="AN316" s="484" t="str">
        <f t="shared" si="79"/>
        <v/>
      </c>
      <c r="AO316" s="473" t="str">
        <f t="shared" si="80"/>
        <v/>
      </c>
      <c r="AP316" s="473" t="str">
        <f t="shared" si="81"/>
        <v/>
      </c>
      <c r="AQ316" s="473" t="str">
        <f t="shared" si="82"/>
        <v/>
      </c>
      <c r="AR316" s="473" t="str">
        <f t="shared" si="83"/>
        <v/>
      </c>
      <c r="AS316" s="473" t="str">
        <f t="shared" si="84"/>
        <v/>
      </c>
      <c r="AT316" s="473" t="str">
        <f t="shared" si="85"/>
        <v/>
      </c>
      <c r="AU316" s="473" t="str">
        <f t="shared" si="86"/>
        <v/>
      </c>
      <c r="AY316" s="271"/>
      <c r="AZ316" s="31" t="s">
        <v>18</v>
      </c>
      <c r="BB316" s="499"/>
      <c r="BC316" s="271"/>
      <c r="BD316" s="279">
        <v>1</v>
      </c>
      <c r="BE316" s="271"/>
      <c r="BF316" s="271"/>
      <c r="BG316" s="271"/>
      <c r="BH316" s="271"/>
      <c r="BI316" s="271"/>
      <c r="BJ316" s="271"/>
      <c r="BK316" s="271"/>
      <c r="BL316" s="271"/>
    </row>
    <row r="317" spans="18:64" ht="21" customHeight="1" x14ac:dyDescent="0.25">
      <c r="R317" s="34" t="s">
        <v>471</v>
      </c>
      <c r="S317" s="451"/>
      <c r="T317" s="28" t="s">
        <v>21</v>
      </c>
      <c r="V317" s="475">
        <v>7</v>
      </c>
      <c r="W317" s="475" t="str">
        <f>IF($AC$317="","",$W$288)</f>
        <v>N° 07</v>
      </c>
      <c r="X317" s="476" t="str">
        <f>IF($AC$317="","",$X$288)</f>
        <v>MELON GLACÉ AUX FRUITS ROUGES</v>
      </c>
      <c r="Y317" s="477">
        <f>IF($X$317="","",$Y$288)</f>
        <v>24</v>
      </c>
      <c r="Z317" s="477">
        <f>IF($X$317="","",$Z$288)</f>
        <v>100</v>
      </c>
      <c r="AA317" s="477">
        <f>IF($AC$317="","",ROW($A$317)-ROW($A$288))</f>
        <v>29</v>
      </c>
      <c r="AB317" s="478"/>
      <c r="AC317" s="34" t="s">
        <v>471</v>
      </c>
      <c r="AD317" s="356"/>
      <c r="AE317" s="18">
        <v>1</v>
      </c>
      <c r="AF317" s="33" t="s">
        <v>462</v>
      </c>
      <c r="AG317" s="480">
        <f t="shared" si="76"/>
        <v>1</v>
      </c>
      <c r="AH317" s="481" t="str">
        <f t="shared" si="77"/>
        <v>BAC(S)</v>
      </c>
      <c r="AI317" s="477" t="str">
        <f>IF($AC$317="","",IFERROR(INDEX($AZ$74:$AZ$119,MATCH($AH$317,$AY$74:$AY$119,0)),"AUTRE"))</f>
        <v>AUTRE</v>
      </c>
      <c r="AJ317" s="482">
        <f>IF($AC$317="","",IFERROR(INDEX($BA$74:$BA$119,MATCH($AH$317,$AY$74:$AY$119,0)),1))</f>
        <v>1</v>
      </c>
      <c r="AK317" s="482">
        <f t="shared" si="87"/>
        <v>1</v>
      </c>
      <c r="AL317" s="477" t="str">
        <f>IF($AC$317="","",IFERROR(INDEX($BB$74:$BB$119,MATCH($AH$317,$AY$74:$AY$119,0)),$AH$317))</f>
        <v>bac(s)</v>
      </c>
      <c r="AM317" s="483" t="str">
        <f t="shared" si="78"/>
        <v>OK</v>
      </c>
      <c r="AN317" s="484">
        <f t="shared" si="79"/>
        <v>1</v>
      </c>
      <c r="AO317" s="473" t="str">
        <f t="shared" si="80"/>
        <v/>
      </c>
      <c r="AP317" s="473" t="str">
        <f t="shared" si="81"/>
        <v/>
      </c>
      <c r="AQ317" s="473" t="str">
        <f t="shared" si="82"/>
        <v/>
      </c>
      <c r="AR317" s="473" t="str">
        <f t="shared" si="83"/>
        <v/>
      </c>
      <c r="AS317" s="473" t="str">
        <f t="shared" si="84"/>
        <v/>
      </c>
      <c r="AT317" s="473" t="str">
        <f t="shared" si="85"/>
        <v/>
      </c>
      <c r="AU317" s="473" t="str">
        <f t="shared" si="86"/>
        <v/>
      </c>
      <c r="AY317" s="497" t="s">
        <v>8145</v>
      </c>
      <c r="AZ317" s="31" t="s">
        <v>19</v>
      </c>
      <c r="BA317" s="25" t="s">
        <v>6115</v>
      </c>
      <c r="BB317" s="499"/>
      <c r="BC317" s="271"/>
      <c r="BD317" s="279">
        <v>1</v>
      </c>
      <c r="BE317" s="271"/>
      <c r="BF317" s="271"/>
      <c r="BG317" s="271"/>
      <c r="BH317" s="271"/>
      <c r="BI317" s="271"/>
      <c r="BJ317" s="271"/>
      <c r="BK317" s="271"/>
      <c r="BL317" s="271"/>
    </row>
    <row r="318" spans="18:64" ht="21" customHeight="1" x14ac:dyDescent="0.25">
      <c r="R318" s="34" t="s">
        <v>472</v>
      </c>
      <c r="S318" s="451"/>
      <c r="T318" s="28" t="s">
        <v>22</v>
      </c>
      <c r="V318" s="475">
        <v>7</v>
      </c>
      <c r="W318" s="475" t="str">
        <f>IF($AC$318="","",$W$288)</f>
        <v>N° 07</v>
      </c>
      <c r="X318" s="476" t="str">
        <f>IF($AC$318="","",$X$288)</f>
        <v>MELON GLACÉ AUX FRUITS ROUGES</v>
      </c>
      <c r="Y318" s="477">
        <f>IF($X$318="","",$Y$288)</f>
        <v>24</v>
      </c>
      <c r="Z318" s="477">
        <f>IF($X$318="","",$Z$288)</f>
        <v>100</v>
      </c>
      <c r="AA318" s="477">
        <f>IF($AC$318="","",ROW($A$318)-ROW($A$288))</f>
        <v>30</v>
      </c>
      <c r="AB318" s="478"/>
      <c r="AC318" s="34" t="s">
        <v>483</v>
      </c>
      <c r="AD318" s="356"/>
      <c r="AE318" s="18">
        <v>1</v>
      </c>
      <c r="AF318" s="33" t="s">
        <v>465</v>
      </c>
      <c r="AG318" s="480">
        <f t="shared" si="76"/>
        <v>1</v>
      </c>
      <c r="AH318" s="481" t="str">
        <f t="shared" si="77"/>
        <v>GRILLE(S)</v>
      </c>
      <c r="AI318" s="477" t="str">
        <f>IF($AC$318="","",IFERROR(INDEX($AZ$74:$AZ$119,MATCH($AH$318,$AY$74:$AY$119,0)),"AUTRE"))</f>
        <v>AUTRE</v>
      </c>
      <c r="AJ318" s="482">
        <f>IF($AC$318="","",IFERROR(INDEX($BA$74:$BA$119,MATCH($AH$318,$AY$74:$AY$119,0)),1))</f>
        <v>1</v>
      </c>
      <c r="AK318" s="482">
        <f t="shared" si="87"/>
        <v>1</v>
      </c>
      <c r="AL318" s="477" t="str">
        <f>IF($AC$318="","",IFERROR(INDEX($BB$74:$BB$119,MATCH($AH$318,$AY$74:$AY$119,0)),$AH$318))</f>
        <v>grille(s)</v>
      </c>
      <c r="AM318" s="483" t="str">
        <f t="shared" si="78"/>
        <v>OK</v>
      </c>
      <c r="AN318" s="484">
        <f t="shared" si="79"/>
        <v>1</v>
      </c>
      <c r="AO318" s="473" t="str">
        <f t="shared" si="80"/>
        <v/>
      </c>
      <c r="AP318" s="473" t="str">
        <f t="shared" si="81"/>
        <v/>
      </c>
      <c r="AQ318" s="473" t="str">
        <f t="shared" si="82"/>
        <v/>
      </c>
      <c r="AR318" s="473" t="str">
        <f t="shared" si="83"/>
        <v/>
      </c>
      <c r="AS318" s="473" t="str">
        <f t="shared" si="84"/>
        <v/>
      </c>
      <c r="AT318" s="473" t="str">
        <f t="shared" si="85"/>
        <v/>
      </c>
      <c r="AU318" s="473" t="str">
        <f t="shared" si="86"/>
        <v/>
      </c>
      <c r="AY318" s="497" t="s">
        <v>462</v>
      </c>
      <c r="AZ318" s="31" t="s">
        <v>211</v>
      </c>
      <c r="BA318" s="34" t="s">
        <v>471</v>
      </c>
      <c r="BB318" s="499"/>
      <c r="BC318" s="271"/>
      <c r="BD318" s="279">
        <v>1</v>
      </c>
      <c r="BE318" s="271"/>
      <c r="BF318" s="271"/>
      <c r="BG318" s="271"/>
      <c r="BH318" s="271"/>
      <c r="BI318" s="271"/>
      <c r="BJ318" s="271"/>
      <c r="BK318" s="271"/>
      <c r="BL318" s="271"/>
    </row>
    <row r="319" spans="18:64" ht="21" customHeight="1" x14ac:dyDescent="0.25">
      <c r="R319" s="34" t="s">
        <v>6112</v>
      </c>
      <c r="S319" s="451"/>
      <c r="T319" s="28" t="s">
        <v>23</v>
      </c>
      <c r="V319" s="475">
        <v>7</v>
      </c>
      <c r="W319" s="475" t="str">
        <f>IF($AC$319="","",$W$288)</f>
        <v>N° 07</v>
      </c>
      <c r="X319" s="476" t="str">
        <f>IF($AC$319="","",$X$288)</f>
        <v>MELON GLACÉ AUX FRUITS ROUGES</v>
      </c>
      <c r="Y319" s="477">
        <f>IF($X$319="","",$Y$288)</f>
        <v>24</v>
      </c>
      <c r="Z319" s="477">
        <f>IF($X$319="","",$Z$288)</f>
        <v>100</v>
      </c>
      <c r="AA319" s="477">
        <f>IF($AC$319="","",ROW($A$319)-ROW($A$288))</f>
        <v>31</v>
      </c>
      <c r="AB319" s="478"/>
      <c r="AC319" s="34" t="s">
        <v>475</v>
      </c>
      <c r="AD319" s="356"/>
      <c r="AE319" s="18">
        <v>1</v>
      </c>
      <c r="AF319" s="33" t="s">
        <v>463</v>
      </c>
      <c r="AG319" s="480">
        <f t="shared" si="76"/>
        <v>1</v>
      </c>
      <c r="AH319" s="481" t="str">
        <f t="shared" si="77"/>
        <v>COUVERCLE(S)</v>
      </c>
      <c r="AI319" s="477" t="str">
        <f>IF($AC$319="","",IFERROR(INDEX($AZ$74:$AZ$119,MATCH($AH$319,$AY$74:$AY$119,0)),"AUTRE"))</f>
        <v>AUTRE</v>
      </c>
      <c r="AJ319" s="482">
        <f>IF($AC$319="","",IFERROR(INDEX($BA$74:$BA$119,MATCH($AH$319,$AY$74:$AY$119,0)),1))</f>
        <v>1</v>
      </c>
      <c r="AK319" s="482">
        <f t="shared" si="87"/>
        <v>1</v>
      </c>
      <c r="AL319" s="477" t="str">
        <f>IF($AC$319="","",IFERROR(INDEX($BB$74:$BB$119,MATCH($AH$319,$AY$74:$AY$119,0)),$AH$319))</f>
        <v>couvercle(s)</v>
      </c>
      <c r="AM319" s="483" t="str">
        <f t="shared" si="78"/>
        <v>OK</v>
      </c>
      <c r="AN319" s="484">
        <f t="shared" si="79"/>
        <v>1</v>
      </c>
      <c r="AO319" s="473" t="str">
        <f t="shared" si="80"/>
        <v/>
      </c>
      <c r="AP319" s="473" t="str">
        <f t="shared" si="81"/>
        <v/>
      </c>
      <c r="AQ319" s="473" t="str">
        <f t="shared" si="82"/>
        <v/>
      </c>
      <c r="AR319" s="473" t="str">
        <f t="shared" si="83"/>
        <v/>
      </c>
      <c r="AS319" s="473" t="str">
        <f t="shared" si="84"/>
        <v/>
      </c>
      <c r="AT319" s="473" t="str">
        <f t="shared" si="85"/>
        <v/>
      </c>
      <c r="AU319" s="473" t="str">
        <f t="shared" si="86"/>
        <v/>
      </c>
      <c r="AY319" s="497" t="s">
        <v>463</v>
      </c>
      <c r="AZ319" s="31" t="s">
        <v>20</v>
      </c>
      <c r="BA319" s="34" t="s">
        <v>472</v>
      </c>
      <c r="BB319" s="499"/>
      <c r="BC319" s="271"/>
      <c r="BD319" s="279">
        <v>1</v>
      </c>
      <c r="BE319" s="271"/>
      <c r="BF319" s="271"/>
      <c r="BG319" s="271"/>
      <c r="BH319" s="271"/>
      <c r="BI319" s="271"/>
      <c r="BJ319" s="271"/>
      <c r="BK319" s="271"/>
      <c r="BL319" s="271"/>
    </row>
    <row r="320" spans="18:64" ht="21" customHeight="1" x14ac:dyDescent="0.25">
      <c r="R320" s="25" t="s">
        <v>6116</v>
      </c>
      <c r="S320" s="451"/>
      <c r="T320" s="28" t="s">
        <v>24</v>
      </c>
      <c r="V320" s="475">
        <v>7</v>
      </c>
      <c r="W320" s="475" t="str">
        <f>IF($AC$320="","",$W$288)</f>
        <v>N° 07</v>
      </c>
      <c r="X320" s="476" t="str">
        <f>IF($AC$320="","",$X$288)</f>
        <v>MELON GLACÉ AUX FRUITS ROUGES</v>
      </c>
      <c r="Y320" s="477">
        <f>IF($X$320="","",$Y$288)</f>
        <v>24</v>
      </c>
      <c r="Z320" s="477">
        <f>IF($X$320="","",$Z$288)</f>
        <v>100</v>
      </c>
      <c r="AA320" s="477">
        <f>IF($AC$320="","",ROW($A$320)-ROW($A$288))</f>
        <v>32</v>
      </c>
      <c r="AB320" s="478"/>
      <c r="AC320" s="34" t="s">
        <v>472</v>
      </c>
      <c r="AD320" s="356"/>
      <c r="AE320" s="18">
        <v>1</v>
      </c>
      <c r="AF320" s="33" t="s">
        <v>462</v>
      </c>
      <c r="AG320" s="480">
        <f t="shared" si="76"/>
        <v>1</v>
      </c>
      <c r="AH320" s="481" t="str">
        <f t="shared" si="77"/>
        <v>BAC(S)</v>
      </c>
      <c r="AI320" s="477" t="str">
        <f>IF($AC$320="","",IFERROR(INDEX($AZ$74:$AZ$119,MATCH($AH$320,$AY$74:$AY$119,0)),"AUTRE"))</f>
        <v>AUTRE</v>
      </c>
      <c r="AJ320" s="482">
        <f>IF($AC$320="","",IFERROR(INDEX($BA$74:$BA$119,MATCH($AH$320,$AY$74:$AY$119,0)),1))</f>
        <v>1</v>
      </c>
      <c r="AK320" s="482">
        <f t="shared" si="87"/>
        <v>1</v>
      </c>
      <c r="AL320" s="477" t="str">
        <f>IF($AC$320="","",IFERROR(INDEX($BB$74:$BB$119,MATCH($AH$320,$AY$74:$AY$119,0)),$AH$320))</f>
        <v>bac(s)</v>
      </c>
      <c r="AM320" s="483" t="str">
        <f t="shared" si="78"/>
        <v>OK</v>
      </c>
      <c r="AN320" s="484">
        <f t="shared" si="79"/>
        <v>1</v>
      </c>
      <c r="AO320" s="473" t="str">
        <f t="shared" si="80"/>
        <v/>
      </c>
      <c r="AP320" s="473" t="str">
        <f t="shared" si="81"/>
        <v/>
      </c>
      <c r="AQ320" s="473" t="str">
        <f t="shared" si="82"/>
        <v/>
      </c>
      <c r="AR320" s="473" t="str">
        <f t="shared" si="83"/>
        <v/>
      </c>
      <c r="AS320" s="473" t="str">
        <f t="shared" si="84"/>
        <v/>
      </c>
      <c r="AT320" s="473" t="str">
        <f t="shared" si="85"/>
        <v/>
      </c>
      <c r="AU320" s="473" t="str">
        <f t="shared" si="86"/>
        <v/>
      </c>
      <c r="AY320" s="497" t="s">
        <v>8147</v>
      </c>
      <c r="AZ320" s="31" t="s">
        <v>304</v>
      </c>
      <c r="BA320" s="34" t="s">
        <v>6112</v>
      </c>
      <c r="BB320" s="499"/>
      <c r="BC320" s="271"/>
      <c r="BD320" s="279">
        <v>1</v>
      </c>
      <c r="BE320" s="271"/>
      <c r="BF320" s="271"/>
      <c r="BG320" s="271"/>
      <c r="BH320" s="271"/>
      <c r="BI320" s="271"/>
      <c r="BJ320" s="271"/>
      <c r="BK320" s="271"/>
      <c r="BL320" s="271"/>
    </row>
    <row r="321" spans="18:64" ht="21" customHeight="1" x14ac:dyDescent="0.25">
      <c r="R321" s="34" t="s">
        <v>6117</v>
      </c>
      <c r="S321" s="451"/>
      <c r="T321" s="29" t="s">
        <v>9</v>
      </c>
      <c r="V321" s="475">
        <v>7</v>
      </c>
      <c r="W321" s="475" t="str">
        <f>IF($AC$321="","",$W$288)</f>
        <v>N° 07</v>
      </c>
      <c r="X321" s="476" t="str">
        <f>IF($AC$321="","",$X$288)</f>
        <v>MELON GLACÉ AUX FRUITS ROUGES</v>
      </c>
      <c r="Y321" s="477">
        <f>IF($X$321="","",$Y$288)</f>
        <v>24</v>
      </c>
      <c r="Z321" s="477">
        <f>IF($X$321="","",$Z$288)</f>
        <v>100</v>
      </c>
      <c r="AA321" s="477">
        <f>IF($AC$321="","",ROW($A$321)-ROW($A$288))</f>
        <v>33</v>
      </c>
      <c r="AB321" s="478"/>
      <c r="AC321" s="34" t="s">
        <v>473</v>
      </c>
      <c r="AD321" s="356"/>
      <c r="AE321" s="18">
        <v>1</v>
      </c>
      <c r="AF321" s="33" t="s">
        <v>462</v>
      </c>
      <c r="AG321" s="480">
        <f t="shared" si="76"/>
        <v>1</v>
      </c>
      <c r="AH321" s="481" t="str">
        <f t="shared" si="77"/>
        <v>BAC(S)</v>
      </c>
      <c r="AI321" s="477" t="str">
        <f>IF($AC$321="","",IFERROR(INDEX($AZ$74:$AZ$119,MATCH($AH$321,$AY$74:$AY$119,0)),"AUTRE"))</f>
        <v>AUTRE</v>
      </c>
      <c r="AJ321" s="482">
        <f>IF($AC$321="","",IFERROR(INDEX($BA$74:$BA$119,MATCH($AH$321,$AY$74:$AY$119,0)),1))</f>
        <v>1</v>
      </c>
      <c r="AK321" s="482">
        <f t="shared" si="87"/>
        <v>1</v>
      </c>
      <c r="AL321" s="477" t="str">
        <f>IF($AC$321="","",IFERROR(INDEX($BB$74:$BB$119,MATCH($AH$321,$AY$74:$AY$119,0)),$AH$321))</f>
        <v>bac(s)</v>
      </c>
      <c r="AM321" s="483" t="str">
        <f t="shared" si="78"/>
        <v>OK</v>
      </c>
      <c r="AN321" s="484">
        <f t="shared" si="79"/>
        <v>1</v>
      </c>
      <c r="AO321" s="473" t="str">
        <f t="shared" si="80"/>
        <v/>
      </c>
      <c r="AP321" s="473" t="str">
        <f t="shared" si="81"/>
        <v/>
      </c>
      <c r="AQ321" s="473" t="str">
        <f t="shared" si="82"/>
        <v/>
      </c>
      <c r="AR321" s="473" t="str">
        <f t="shared" si="83"/>
        <v/>
      </c>
      <c r="AS321" s="473" t="str">
        <f t="shared" si="84"/>
        <v/>
      </c>
      <c r="AT321" s="473" t="str">
        <f t="shared" si="85"/>
        <v/>
      </c>
      <c r="AU321" s="473" t="str">
        <f t="shared" si="86"/>
        <v/>
      </c>
      <c r="AY321" s="497" t="s">
        <v>465</v>
      </c>
      <c r="AZ321" s="31" t="s">
        <v>352</v>
      </c>
      <c r="BA321" s="25" t="s">
        <v>6116</v>
      </c>
      <c r="BB321" s="499"/>
      <c r="BC321" s="271"/>
      <c r="BD321" s="279">
        <v>1</v>
      </c>
      <c r="BE321" s="271"/>
      <c r="BF321" s="271"/>
      <c r="BG321" s="271"/>
      <c r="BH321" s="271"/>
      <c r="BI321" s="271"/>
      <c r="BJ321" s="271"/>
      <c r="BK321" s="271"/>
      <c r="BL321" s="271"/>
    </row>
    <row r="322" spans="18:64" ht="21" customHeight="1" x14ac:dyDescent="0.25">
      <c r="R322" s="34" t="s">
        <v>469</v>
      </c>
      <c r="S322" s="451"/>
      <c r="T322" s="30" t="s">
        <v>10</v>
      </c>
      <c r="V322" s="475">
        <v>7</v>
      </c>
      <c r="W322" s="475" t="str">
        <f>IF($AC$322="","",$W$288)</f>
        <v>N° 07</v>
      </c>
      <c r="X322" s="476" t="str">
        <f>IF($AC$322="","",$X$288)</f>
        <v>MELON GLACÉ AUX FRUITS ROUGES</v>
      </c>
      <c r="Y322" s="477">
        <f>IF($X$322="","",$Y$288)</f>
        <v>24</v>
      </c>
      <c r="Z322" s="477">
        <f>IF($X$322="","",$Z$288)</f>
        <v>100</v>
      </c>
      <c r="AA322" s="477">
        <f>IF($AC$322="","",ROW($A$322)-ROW($A$288))</f>
        <v>34</v>
      </c>
      <c r="AB322" s="478"/>
      <c r="AC322" s="34" t="s">
        <v>474</v>
      </c>
      <c r="AD322" s="356"/>
      <c r="AE322" s="18">
        <v>1</v>
      </c>
      <c r="AF322" s="33" t="s">
        <v>462</v>
      </c>
      <c r="AG322" s="491">
        <f t="shared" si="76"/>
        <v>1</v>
      </c>
      <c r="AH322" s="481" t="str">
        <f t="shared" si="77"/>
        <v>BAC(S)</v>
      </c>
      <c r="AI322" s="477" t="str">
        <f>IF($AC$322="","",IFERROR(INDEX($AZ$74:$AZ$119,MATCH($AH$322,$AY$74:$AY$119,0)),"AUTRE"))</f>
        <v>AUTRE</v>
      </c>
      <c r="AJ322" s="482">
        <f>IF($AC$322="","",IFERROR(INDEX($BA$74:$BA$119,MATCH($AH$322,$AY$74:$AY$119,0)),1))</f>
        <v>1</v>
      </c>
      <c r="AK322" s="482">
        <f t="shared" si="87"/>
        <v>1</v>
      </c>
      <c r="AL322" s="477" t="str">
        <f>IF($AC$322="","",IFERROR(INDEX($BB$74:$BB$119,MATCH($AH$322,$AY$74:$AY$119,0)),$AH$322))</f>
        <v>bac(s)</v>
      </c>
      <c r="AM322" s="483" t="str">
        <f t="shared" si="78"/>
        <v>OK</v>
      </c>
      <c r="AN322" s="484">
        <f t="shared" si="79"/>
        <v>1</v>
      </c>
      <c r="AO322" s="473" t="str">
        <f t="shared" si="80"/>
        <v/>
      </c>
      <c r="AP322" s="473" t="str">
        <f t="shared" si="81"/>
        <v/>
      </c>
      <c r="AQ322" s="473" t="str">
        <f t="shared" si="82"/>
        <v/>
      </c>
      <c r="AR322" s="473" t="str">
        <f t="shared" si="83"/>
        <v/>
      </c>
      <c r="AS322" s="473" t="str">
        <f t="shared" si="84"/>
        <v/>
      </c>
      <c r="AT322" s="473" t="str">
        <f t="shared" si="85"/>
        <v/>
      </c>
      <c r="AU322" s="473" t="str">
        <f t="shared" si="86"/>
        <v/>
      </c>
      <c r="AY322" s="497" t="s">
        <v>466</v>
      </c>
      <c r="AZ322" s="31" t="s">
        <v>27</v>
      </c>
      <c r="BA322" s="34" t="s">
        <v>6117</v>
      </c>
      <c r="BB322" s="499"/>
      <c r="BC322" s="271"/>
      <c r="BD322" s="279">
        <v>1</v>
      </c>
      <c r="BE322" s="271"/>
      <c r="BF322" s="271"/>
      <c r="BG322" s="271"/>
      <c r="BH322" s="271"/>
      <c r="BI322" s="271"/>
      <c r="BJ322" s="271"/>
      <c r="BK322" s="271"/>
      <c r="BL322" s="271"/>
    </row>
    <row r="323" spans="18:64" ht="30" customHeight="1" x14ac:dyDescent="0.25">
      <c r="R323" s="34" t="s">
        <v>6118</v>
      </c>
      <c r="S323" s="451"/>
      <c r="T323" s="30" t="s">
        <v>11</v>
      </c>
      <c r="V323" s="453" t="s">
        <v>324</v>
      </c>
      <c r="W323" s="453" t="s">
        <v>7912</v>
      </c>
      <c r="X323" s="453" t="s">
        <v>326</v>
      </c>
      <c r="Y323" s="453" t="s">
        <v>327</v>
      </c>
      <c r="Z323" s="454" t="s">
        <v>7930</v>
      </c>
      <c r="AA323" s="453" t="s">
        <v>7937</v>
      </c>
      <c r="AB323" s="455" t="s">
        <v>39</v>
      </c>
      <c r="AC323" s="455" t="s">
        <v>338</v>
      </c>
      <c r="AD323" s="455" t="s">
        <v>8114</v>
      </c>
      <c r="AE323" s="455" t="s">
        <v>339</v>
      </c>
      <c r="AF323" s="455" t="s">
        <v>7997</v>
      </c>
      <c r="AG323" s="453" t="s">
        <v>8018</v>
      </c>
      <c r="AH323" s="453" t="s">
        <v>8023</v>
      </c>
      <c r="AI323" s="453" t="s">
        <v>330</v>
      </c>
      <c r="AJ323" s="453" t="s">
        <v>8031</v>
      </c>
      <c r="AK323" s="453" t="s">
        <v>8037</v>
      </c>
      <c r="AL323" s="453" t="s">
        <v>8041</v>
      </c>
      <c r="AM323" s="453" t="s">
        <v>343</v>
      </c>
      <c r="AN323" s="457" t="s">
        <v>8115</v>
      </c>
      <c r="AO323" s="457" t="s">
        <v>8116</v>
      </c>
      <c r="AP323" s="656" t="s">
        <v>8117</v>
      </c>
      <c r="AQ323" s="656"/>
      <c r="AR323" s="656"/>
      <c r="AS323" s="656"/>
      <c r="AT323" s="656"/>
      <c r="AU323" s="657"/>
      <c r="AZ323" s="31" t="s">
        <v>28</v>
      </c>
      <c r="BA323" s="34" t="s">
        <v>469</v>
      </c>
      <c r="BB323" s="499"/>
      <c r="BC323" s="271"/>
      <c r="BD323" s="279">
        <v>1</v>
      </c>
      <c r="BE323" s="271"/>
      <c r="BF323" s="271"/>
      <c r="BG323" s="271"/>
      <c r="BH323" s="271"/>
      <c r="BI323" s="271"/>
      <c r="BJ323" s="271"/>
      <c r="BK323" s="271"/>
      <c r="BL323" s="271"/>
    </row>
    <row r="324" spans="18:64" ht="30" customHeight="1" x14ac:dyDescent="0.25">
      <c r="R324" s="34" t="s">
        <v>492</v>
      </c>
      <c r="S324" s="451"/>
      <c r="T324" s="30" t="s">
        <v>12</v>
      </c>
      <c r="V324" s="459">
        <v>8</v>
      </c>
      <c r="W324" s="12" t="s">
        <v>100</v>
      </c>
      <c r="X324" s="461" t="s">
        <v>99</v>
      </c>
      <c r="Y324" s="462">
        <v>25</v>
      </c>
      <c r="Z324" s="463">
        <v>100</v>
      </c>
      <c r="AA324" s="464">
        <f>IF($AC$396="","",ROW($A$396)-ROW($A$396))</f>
        <v>0</v>
      </c>
      <c r="AB324" s="461"/>
      <c r="AC324" s="465" t="s">
        <v>101</v>
      </c>
      <c r="AD324" s="390"/>
      <c r="AE324" s="13">
        <v>4</v>
      </c>
      <c r="AF324" s="23" t="s">
        <v>7</v>
      </c>
      <c r="AG324" s="467">
        <f t="shared" ref="AG324:AG358" si="88">IF($AC324="","",IF(LEN($AN324&amp;"")=0,"",$AN324))</f>
        <v>4</v>
      </c>
      <c r="AH324" s="468" t="str">
        <f t="shared" ref="AH324:AH358" si="89">IF($AC324="","",IF($AF324&lt;&gt;"",UPPER(TRIM(SUBSTITUTE(SUBSTITUTE($AF324&amp;"",CHAR(160)," ")," "," "))),$AP324))</f>
        <v>KG</v>
      </c>
      <c r="AI324" s="469" t="str">
        <f>IF($AC$324="","",IFERROR(INDEX($AZ$74:$AZ$119,MATCH($AH$324,$AY$74:$AY$119,0)),"AUTRE"))</f>
        <v>MASSE</v>
      </c>
      <c r="AJ324" s="470">
        <f>IF($AC$324="","",IFERROR(INDEX($BA$74:$BA$119,MATCH($AH$324,$AY$74:$AY$119,0)),1))</f>
        <v>1</v>
      </c>
      <c r="AK324" s="470">
        <f t="shared" ref="AK324:AK358" si="90">IF(OR(AG324="",AJ324=""),"",AG324*AJ324)</f>
        <v>4</v>
      </c>
      <c r="AL324" s="469" t="str">
        <f>IF($AC$324="","",IFERROR(INDEX($BB$74:$BB$119,MATCH($AH$324,$AY$74:$AY$119,0)),$AH$324))</f>
        <v>kg</v>
      </c>
      <c r="AM324" s="471" t="str">
        <f t="shared" ref="AM324:AM358" si="91">IF($AC324="","",IF($AH324="QT. SUFFISANTE","OK",IF($AG324="","TEXTE",IF(NOT(ISNUMBER($AG324)),"QUANTITÉ À CONTRÔLER",IF(COUNTIF($AY$74:$AY$119,$AH324)=0,"UNITÉ À CONTRÔLER","OK")))))</f>
        <v>OK</v>
      </c>
      <c r="AN324" s="474">
        <f t="shared" ref="AN324:AN358" si="92">IF($AE324&lt;&gt;"",$AE324,IF($AD324="","",IF(ISNUMBER($AD324),$AD324,IF($AO324="QT",0,IF($AO324="","",IFERROR(IF(ISNUMBER(SEARCH("/",$AO324)),VALUE(TRIM(LEFT($AO324,SEARCH("/",$AO324)-1)))/VALUE(TRIM(MID($AO324,SEARCH("/",$AO324)+1,99))),VALUE(SUBSTITUTE($AO324,".",","))),""))))))</f>
        <v>4</v>
      </c>
      <c r="AO324" s="473" t="str">
        <f t="shared" ref="AO324:AO358" si="93">IF($AD324="","",IF(ISNUMBER($AD324),$AD324,IF(OR(LEFT($AQ324,3)="QT.",LEFT($AQ324,4)="QUAN"),"QT",IF($AR324=999,$AQ324,TRIM(LEFT($AQ324,$AR324-1))))))</f>
        <v/>
      </c>
      <c r="AP324" s="473" t="str">
        <f t="shared" ref="AP324:AP358" si="94">IF($AD324="","",IF(ISNUMBER($AD324),"",IF(OR(LEFT($AQ324,3)="QT.",LEFT($AQ324,4)="QUAN"),"QT. SUFFISANTE",IF($AO324="","",TRIM(MID($AQ324,LEN($AO324&amp;"")+1,999))))))</f>
        <v/>
      </c>
      <c r="AQ324" s="473" t="str">
        <f t="shared" ref="AQ324:AQ358" si="95">IF($AD324="","",UPPER(TRIM(SUBSTITUTE(SUBSTITUTE($AD324&amp;"",CHAR(160)," ")," "," "))))</f>
        <v/>
      </c>
      <c r="AR324" s="473" t="str">
        <f t="shared" ref="AR324:AR358" si="96">IF($AQ324="","",MIN($AS324,$AT324,$AU324))</f>
        <v/>
      </c>
      <c r="AS324" s="473" t="str">
        <f t="shared" ref="AS324:AS358" si="97">IF($AQ324="","",MIN(IFERROR(SEARCH("A",$AQ324),999),IFERROR(SEARCH("B",$AQ324),999),IFERROR(SEARCH("C",$AQ324),999),IFERROR(SEARCH("D",$AQ324),999),IFERROR(SEARCH("E",$AQ324),999),IFERROR(SEARCH("F",$AQ324),999),IFERROR(SEARCH("G",$AQ324),999),IFERROR(SEARCH("H",$AQ324),999),IFERROR(SEARCH("I",$AQ324),999)))</f>
        <v/>
      </c>
      <c r="AT324" s="473" t="str">
        <f t="shared" ref="AT324:AT358" si="98">IF($AQ324="","",MIN(IFERROR(SEARCH("J",$AQ324),999),IFERROR(SEARCH("K",$AQ324),999),IFERROR(SEARCH("L",$AQ324),999),IFERROR(SEARCH("M",$AQ324),999),IFERROR(SEARCH("N",$AQ324),999),IFERROR(SEARCH("O",$AQ324),999),IFERROR(SEARCH("P",$AQ324),999),IFERROR(SEARCH("Q",$AQ324),999),IFERROR(SEARCH("R",$AQ324),999)))</f>
        <v/>
      </c>
      <c r="AU324" s="473" t="str">
        <f t="shared" ref="AU324:AU358" si="99">IF($AQ324="","",MIN(IFERROR(SEARCH("S",$AQ324),999),IFERROR(SEARCH("T",$AQ324),999),IFERROR(SEARCH("U",$AQ324),999),IFERROR(SEARCH("V",$AQ324),999),IFERROR(SEARCH("W",$AQ324),999),IFERROR(SEARCH("X",$AQ324),999),IFERROR(SEARCH("Y",$AQ324),999),IFERROR(SEARCH("Z",$AQ324),999)))</f>
        <v/>
      </c>
      <c r="AZ324" s="31" t="s">
        <v>29</v>
      </c>
      <c r="BA324" s="34" t="s">
        <v>6118</v>
      </c>
      <c r="BB324" s="499"/>
      <c r="BC324" s="271"/>
      <c r="BD324" s="279">
        <v>1</v>
      </c>
      <c r="BE324" s="271"/>
      <c r="BF324" s="271"/>
      <c r="BG324" s="271"/>
      <c r="BH324" s="271"/>
      <c r="BI324" s="271"/>
      <c r="BJ324" s="271"/>
      <c r="BK324" s="271"/>
      <c r="BL324" s="271"/>
    </row>
    <row r="325" spans="18:64" ht="21" customHeight="1" x14ac:dyDescent="0.25">
      <c r="R325" s="34" t="s">
        <v>458</v>
      </c>
      <c r="S325" s="451"/>
      <c r="T325" s="31" t="s">
        <v>16</v>
      </c>
      <c r="V325" s="475">
        <f>$V$324</f>
        <v>8</v>
      </c>
      <c r="W325" s="475" t="str">
        <f>IF($AC$325="","",$W$324)</f>
        <v>N° 08</v>
      </c>
      <c r="X325" s="476" t="str">
        <f>IF($AC$325="","",$X$324)</f>
        <v>MESCLUN D'AUTOMNE</v>
      </c>
      <c r="Y325" s="477">
        <f>IF($X$325="","",$Y$324)</f>
        <v>25</v>
      </c>
      <c r="Z325" s="477">
        <f>IF($X$325="","",$Z$324)</f>
        <v>100</v>
      </c>
      <c r="AA325" s="477">
        <f>IF($AC$325="","",ROW($A$325)-ROW($A$324))</f>
        <v>1</v>
      </c>
      <c r="AB325" s="478"/>
      <c r="AC325" s="34" t="s">
        <v>102</v>
      </c>
      <c r="AD325" s="356"/>
      <c r="AE325" s="18">
        <v>4</v>
      </c>
      <c r="AF325" s="3" t="s">
        <v>7</v>
      </c>
      <c r="AG325" s="480">
        <f t="shared" si="88"/>
        <v>4</v>
      </c>
      <c r="AH325" s="481" t="str">
        <f t="shared" si="89"/>
        <v>KG</v>
      </c>
      <c r="AI325" s="477" t="str">
        <f>IF($AC$325="","",IFERROR(INDEX($AZ$74:$AZ$119,MATCH($AH$325,$AY$74:$AY$119,0)),"AUTRE"))</f>
        <v>MASSE</v>
      </c>
      <c r="AJ325" s="482">
        <f>IF($AC$325="","",IFERROR(INDEX($BA$74:$BA$119,MATCH($AH$325,$AY$74:$AY$119,0)),1))</f>
        <v>1</v>
      </c>
      <c r="AK325" s="482">
        <f t="shared" si="90"/>
        <v>4</v>
      </c>
      <c r="AL325" s="477" t="str">
        <f>IF($AC$325="","",IFERROR(INDEX($BB$74:$BB$119,MATCH($AH$325,$AY$74:$AY$119,0)),$AH$325))</f>
        <v>kg</v>
      </c>
      <c r="AM325" s="483" t="str">
        <f t="shared" si="91"/>
        <v>OK</v>
      </c>
      <c r="AN325" s="484">
        <f t="shared" si="92"/>
        <v>4</v>
      </c>
      <c r="AO325" s="473" t="str">
        <f t="shared" si="93"/>
        <v/>
      </c>
      <c r="AP325" s="473" t="str">
        <f t="shared" si="94"/>
        <v/>
      </c>
      <c r="AQ325" s="473" t="str">
        <f t="shared" si="95"/>
        <v/>
      </c>
      <c r="AR325" s="473" t="str">
        <f t="shared" si="96"/>
        <v/>
      </c>
      <c r="AS325" s="473" t="str">
        <f t="shared" si="97"/>
        <v/>
      </c>
      <c r="AT325" s="473" t="str">
        <f t="shared" si="98"/>
        <v/>
      </c>
      <c r="AU325" s="473" t="str">
        <f t="shared" si="99"/>
        <v/>
      </c>
      <c r="AZ325" s="31" t="s">
        <v>30</v>
      </c>
      <c r="BA325" s="34" t="s">
        <v>492</v>
      </c>
      <c r="BB325" s="499"/>
      <c r="BC325" s="271"/>
      <c r="BD325" s="279">
        <v>1</v>
      </c>
      <c r="BE325" s="271"/>
      <c r="BF325" s="271"/>
      <c r="BG325" s="271"/>
      <c r="BH325" s="271"/>
      <c r="BI325" s="271"/>
      <c r="BJ325" s="271"/>
      <c r="BK325" s="271"/>
      <c r="BL325" s="271"/>
    </row>
    <row r="326" spans="18:64" ht="21" customHeight="1" x14ac:dyDescent="0.25">
      <c r="R326" s="490"/>
      <c r="S326" s="451"/>
      <c r="T326" s="31" t="s">
        <v>17</v>
      </c>
      <c r="V326" s="475">
        <v>8</v>
      </c>
      <c r="W326" s="475" t="str">
        <f>IF($AC$326="","",$W$324)</f>
        <v>N° 08</v>
      </c>
      <c r="X326" s="476" t="str">
        <f>IF($AC$326="","",$X$324)</f>
        <v>MESCLUN D'AUTOMNE</v>
      </c>
      <c r="Y326" s="477">
        <f>IF($X$326="","",$Y$324)</f>
        <v>25</v>
      </c>
      <c r="Z326" s="477">
        <f>IF($X$326="","",$Z$324)</f>
        <v>100</v>
      </c>
      <c r="AA326" s="477">
        <f>IF($AC$326="","",ROW($A$326)-ROW($A$324))</f>
        <v>2</v>
      </c>
      <c r="AB326" s="478"/>
      <c r="AC326" s="34" t="s">
        <v>103</v>
      </c>
      <c r="AD326" s="356"/>
      <c r="AE326" s="18">
        <v>2</v>
      </c>
      <c r="AF326" s="3" t="s">
        <v>7</v>
      </c>
      <c r="AG326" s="480">
        <f t="shared" si="88"/>
        <v>2</v>
      </c>
      <c r="AH326" s="481" t="str">
        <f t="shared" si="89"/>
        <v>KG</v>
      </c>
      <c r="AI326" s="477" t="str">
        <f>IF($AC$326="","",IFERROR(INDEX($AZ$74:$AZ$119,MATCH($AH$326,$AY$74:$AY$119,0)),"AUTRE"))</f>
        <v>MASSE</v>
      </c>
      <c r="AJ326" s="482">
        <f>IF($AC$326="","",IFERROR(INDEX($BA$74:$BA$119,MATCH($AH$326,$AY$74:$AY$119,0)),1))</f>
        <v>1</v>
      </c>
      <c r="AK326" s="482">
        <f t="shared" si="90"/>
        <v>2</v>
      </c>
      <c r="AL326" s="477" t="str">
        <f>IF($AC$326="","",IFERROR(INDEX($BB$74:$BB$119,MATCH($AH$326,$AY$74:$AY$119,0)),$AH$326))</f>
        <v>kg</v>
      </c>
      <c r="AM326" s="483" t="str">
        <f t="shared" si="91"/>
        <v>OK</v>
      </c>
      <c r="AN326" s="484">
        <f t="shared" si="92"/>
        <v>2</v>
      </c>
      <c r="AO326" s="473" t="str">
        <f t="shared" si="93"/>
        <v/>
      </c>
      <c r="AP326" s="473" t="str">
        <f t="shared" si="94"/>
        <v/>
      </c>
      <c r="AQ326" s="473" t="str">
        <f t="shared" si="95"/>
        <v/>
      </c>
      <c r="AR326" s="473" t="str">
        <f t="shared" si="96"/>
        <v/>
      </c>
      <c r="AS326" s="473" t="str">
        <f t="shared" si="97"/>
        <v/>
      </c>
      <c r="AT326" s="473" t="str">
        <f t="shared" si="98"/>
        <v/>
      </c>
      <c r="AU326" s="473" t="str">
        <f t="shared" si="99"/>
        <v/>
      </c>
      <c r="AZ326" s="32" t="s">
        <v>33</v>
      </c>
      <c r="BA326" s="34" t="s">
        <v>458</v>
      </c>
      <c r="BB326" s="499"/>
      <c r="BC326" s="271"/>
      <c r="BD326" s="279">
        <v>1</v>
      </c>
      <c r="BE326" s="271"/>
      <c r="BF326" s="271"/>
      <c r="BG326" s="271"/>
      <c r="BH326" s="271"/>
      <c r="BI326" s="271"/>
      <c r="BJ326" s="271"/>
      <c r="BK326" s="271"/>
      <c r="BL326" s="271"/>
    </row>
    <row r="327" spans="18:64" ht="21" customHeight="1" x14ac:dyDescent="0.25">
      <c r="R327" s="25" t="s">
        <v>6119</v>
      </c>
      <c r="S327" s="451"/>
      <c r="T327" s="31" t="s">
        <v>18</v>
      </c>
      <c r="V327" s="475">
        <v>8</v>
      </c>
      <c r="W327" s="475" t="str">
        <f>IF($AC$327="","",$W$324)</f>
        <v>N° 08</v>
      </c>
      <c r="X327" s="476" t="str">
        <f>IF($AC$327="","",$X$324)</f>
        <v>MESCLUN D'AUTOMNE</v>
      </c>
      <c r="Y327" s="477">
        <f>IF($X$327="","",$Y$324)</f>
        <v>25</v>
      </c>
      <c r="Z327" s="477">
        <f>IF($X$327="","",$Z$324)</f>
        <v>100</v>
      </c>
      <c r="AA327" s="477">
        <f>IF($AC$327="","",ROW($A$327)-ROW($A$324))</f>
        <v>3</v>
      </c>
      <c r="AB327" s="478"/>
      <c r="AC327" s="34" t="s">
        <v>104</v>
      </c>
      <c r="AD327" s="356"/>
      <c r="AE327" s="18">
        <v>1</v>
      </c>
      <c r="AF327" s="3" t="s">
        <v>7</v>
      </c>
      <c r="AG327" s="480">
        <f t="shared" si="88"/>
        <v>1</v>
      </c>
      <c r="AH327" s="481" t="str">
        <f t="shared" si="89"/>
        <v>KG</v>
      </c>
      <c r="AI327" s="477" t="str">
        <f>IF($AC$327="","",IFERROR(INDEX($AZ$74:$AZ$119,MATCH($AH$327,$AY$74:$AY$119,0)),"AUTRE"))</f>
        <v>MASSE</v>
      </c>
      <c r="AJ327" s="482">
        <f>IF($AC$327="","",IFERROR(INDEX($BA$74:$BA$119,MATCH($AH$327,$AY$74:$AY$119,0)),1))</f>
        <v>1</v>
      </c>
      <c r="AK327" s="482">
        <f t="shared" si="90"/>
        <v>1</v>
      </c>
      <c r="AL327" s="477" t="str">
        <f>IF($AC$327="","",IFERROR(INDEX($BB$74:$BB$119,MATCH($AH$327,$AY$74:$AY$119,0)),$AH$327))</f>
        <v>kg</v>
      </c>
      <c r="AM327" s="483" t="str">
        <f t="shared" si="91"/>
        <v>OK</v>
      </c>
      <c r="AN327" s="484">
        <f t="shared" si="92"/>
        <v>1</v>
      </c>
      <c r="AO327" s="473" t="str">
        <f t="shared" si="93"/>
        <v/>
      </c>
      <c r="AP327" s="473" t="str">
        <f t="shared" si="94"/>
        <v/>
      </c>
      <c r="AQ327" s="473" t="str">
        <f t="shared" si="95"/>
        <v/>
      </c>
      <c r="AR327" s="473" t="str">
        <f t="shared" si="96"/>
        <v/>
      </c>
      <c r="AS327" s="473" t="str">
        <f t="shared" si="97"/>
        <v/>
      </c>
      <c r="AT327" s="473" t="str">
        <f t="shared" si="98"/>
        <v/>
      </c>
      <c r="AU327" s="473" t="str">
        <f t="shared" si="99"/>
        <v/>
      </c>
      <c r="AZ327" s="32" t="s">
        <v>8125</v>
      </c>
      <c r="BA327" s="490"/>
      <c r="BB327" s="499"/>
      <c r="BC327" s="271"/>
      <c r="BD327" s="279">
        <v>1</v>
      </c>
      <c r="BE327" s="271"/>
      <c r="BF327" s="271"/>
      <c r="BG327" s="271"/>
      <c r="BH327" s="271"/>
      <c r="BI327" s="271"/>
      <c r="BJ327" s="271"/>
      <c r="BK327" s="271"/>
      <c r="BL327" s="271"/>
    </row>
    <row r="328" spans="18:64" ht="21" customHeight="1" x14ac:dyDescent="0.25">
      <c r="R328" s="34" t="s">
        <v>6120</v>
      </c>
      <c r="S328" s="451"/>
      <c r="T328" s="31" t="s">
        <v>19</v>
      </c>
      <c r="V328" s="475">
        <v>8</v>
      </c>
      <c r="W328" s="475" t="str">
        <f>IF($AC$328="","",$W$324)</f>
        <v>N° 08</v>
      </c>
      <c r="X328" s="476" t="str">
        <f>IF($AC$328="","",$X$324)</f>
        <v>MESCLUN D'AUTOMNE</v>
      </c>
      <c r="Y328" s="477">
        <f>IF($X$328="","",$Y$324)</f>
        <v>25</v>
      </c>
      <c r="Z328" s="477">
        <f>IF($X$328="","",$Z$324)</f>
        <v>100</v>
      </c>
      <c r="AA328" s="477">
        <f>IF($AC$328="","",ROW($A$328)-ROW($A$324))</f>
        <v>4</v>
      </c>
      <c r="AB328" s="478"/>
      <c r="AC328" s="34" t="s">
        <v>412</v>
      </c>
      <c r="AD328" s="356"/>
      <c r="AE328" s="18">
        <v>500</v>
      </c>
      <c r="AF328" s="5" t="s">
        <v>8</v>
      </c>
      <c r="AG328" s="480">
        <f t="shared" si="88"/>
        <v>500</v>
      </c>
      <c r="AH328" s="481" t="str">
        <f t="shared" si="89"/>
        <v>G</v>
      </c>
      <c r="AI328" s="477" t="str">
        <f>IF($AC$328="","",IFERROR(INDEX($AZ$74:$AZ$119,MATCH($AH$328,$AY$74:$AY$119,0)),"AUTRE"))</f>
        <v>MASSE</v>
      </c>
      <c r="AJ328" s="482">
        <f>IF($AC$328="","",IFERROR(INDEX($BA$74:$BA$119,MATCH($AH$328,$AY$74:$AY$119,0)),1))</f>
        <v>1E-3</v>
      </c>
      <c r="AK328" s="482">
        <f t="shared" si="90"/>
        <v>0.5</v>
      </c>
      <c r="AL328" s="477" t="str">
        <f>IF($AC$328="","",IFERROR(INDEX($BB$74:$BB$119,MATCH($AH$328,$AY$74:$AY$119,0)),$AH$328))</f>
        <v>kg</v>
      </c>
      <c r="AM328" s="483" t="str">
        <f t="shared" si="91"/>
        <v>OK</v>
      </c>
      <c r="AN328" s="484">
        <f t="shared" si="92"/>
        <v>500</v>
      </c>
      <c r="AO328" s="473" t="str">
        <f t="shared" si="93"/>
        <v/>
      </c>
      <c r="AP328" s="473" t="str">
        <f t="shared" si="94"/>
        <v/>
      </c>
      <c r="AQ328" s="473" t="str">
        <f t="shared" si="95"/>
        <v/>
      </c>
      <c r="AR328" s="473" t="str">
        <f t="shared" si="96"/>
        <v/>
      </c>
      <c r="AS328" s="473" t="str">
        <f t="shared" si="97"/>
        <v/>
      </c>
      <c r="AT328" s="473" t="str">
        <f t="shared" si="98"/>
        <v/>
      </c>
      <c r="AU328" s="473" t="str">
        <f t="shared" si="99"/>
        <v/>
      </c>
      <c r="AZ328" s="32" t="s">
        <v>8127</v>
      </c>
      <c r="BA328" s="25" t="s">
        <v>6119</v>
      </c>
      <c r="BB328" s="499"/>
      <c r="BC328" s="271"/>
      <c r="BD328" s="279">
        <v>1</v>
      </c>
      <c r="BE328" s="271"/>
      <c r="BF328" s="271"/>
      <c r="BG328" s="271"/>
      <c r="BH328" s="271"/>
      <c r="BI328" s="271"/>
      <c r="BJ328" s="271"/>
      <c r="BK328" s="271"/>
      <c r="BL328" s="271"/>
    </row>
    <row r="329" spans="18:64" ht="21" customHeight="1" x14ac:dyDescent="0.25">
      <c r="R329" s="34" t="s">
        <v>6121</v>
      </c>
      <c r="S329" s="451"/>
      <c r="T329" s="31" t="s">
        <v>211</v>
      </c>
      <c r="V329" s="475">
        <v>8</v>
      </c>
      <c r="W329" s="475" t="str">
        <f>IF($AC$329="","",$W$324)</f>
        <v>N° 08</v>
      </c>
      <c r="X329" s="476" t="str">
        <f>IF($AC$329="","",$X$324)</f>
        <v>MESCLUN D'AUTOMNE</v>
      </c>
      <c r="Y329" s="477">
        <f>IF($X$329="","",$Y$324)</f>
        <v>25</v>
      </c>
      <c r="Z329" s="477">
        <f>IF($X$329="","",$Z$324)</f>
        <v>100</v>
      </c>
      <c r="AA329" s="477">
        <f>IF($AC$329="","",ROW($A$329)-ROW($A$324))</f>
        <v>5</v>
      </c>
      <c r="AB329" s="478"/>
      <c r="AC329" s="34" t="s">
        <v>105</v>
      </c>
      <c r="AD329" s="356"/>
      <c r="AE329" s="18">
        <v>2</v>
      </c>
      <c r="AF329" s="3" t="s">
        <v>7</v>
      </c>
      <c r="AG329" s="480">
        <f t="shared" si="88"/>
        <v>2</v>
      </c>
      <c r="AH329" s="481" t="str">
        <f t="shared" si="89"/>
        <v>KG</v>
      </c>
      <c r="AI329" s="477" t="str">
        <f>IF($AC$329="","",IFERROR(INDEX($AZ$74:$AZ$119,MATCH($AH$329,$AY$74:$AY$119,0)),"AUTRE"))</f>
        <v>MASSE</v>
      </c>
      <c r="AJ329" s="482">
        <f>IF($AC$329="","",IFERROR(INDEX($BA$74:$BA$119,MATCH($AH$329,$AY$74:$AY$119,0)),1))</f>
        <v>1</v>
      </c>
      <c r="AK329" s="482">
        <f t="shared" si="90"/>
        <v>2</v>
      </c>
      <c r="AL329" s="477" t="str">
        <f>IF($AC$329="","",IFERROR(INDEX($BB$74:$BB$119,MATCH($AH$329,$AY$74:$AY$119,0)),$AH$329))</f>
        <v>kg</v>
      </c>
      <c r="AM329" s="483" t="str">
        <f t="shared" si="91"/>
        <v>OK</v>
      </c>
      <c r="AN329" s="484">
        <f t="shared" si="92"/>
        <v>2</v>
      </c>
      <c r="AO329" s="473" t="str">
        <f t="shared" si="93"/>
        <v/>
      </c>
      <c r="AP329" s="473" t="str">
        <f t="shared" si="94"/>
        <v/>
      </c>
      <c r="AQ329" s="473" t="str">
        <f t="shared" si="95"/>
        <v/>
      </c>
      <c r="AR329" s="473" t="str">
        <f t="shared" si="96"/>
        <v/>
      </c>
      <c r="AS329" s="473" t="str">
        <f t="shared" si="97"/>
        <v/>
      </c>
      <c r="AT329" s="473" t="str">
        <f t="shared" si="98"/>
        <v/>
      </c>
      <c r="AU329" s="473" t="str">
        <f t="shared" si="99"/>
        <v/>
      </c>
      <c r="AZ329" s="32" t="s">
        <v>320</v>
      </c>
      <c r="BA329" s="34" t="s">
        <v>6120</v>
      </c>
      <c r="BB329" s="499"/>
      <c r="BC329" s="271"/>
      <c r="BD329" s="279">
        <v>1</v>
      </c>
      <c r="BE329" s="271"/>
      <c r="BF329" s="271"/>
      <c r="BG329" s="271"/>
      <c r="BH329" s="271"/>
      <c r="BI329" s="271"/>
      <c r="BJ329" s="271"/>
      <c r="BK329" s="271"/>
      <c r="BL329" s="271"/>
    </row>
    <row r="330" spans="18:64" ht="21" customHeight="1" x14ac:dyDescent="0.25">
      <c r="R330" s="34" t="s">
        <v>6122</v>
      </c>
      <c r="S330" s="451"/>
      <c r="T330" s="31" t="s">
        <v>20</v>
      </c>
      <c r="V330" s="475">
        <v>8</v>
      </c>
      <c r="W330" s="475" t="str">
        <f>IF($AC$330="","",$W$324)</f>
        <v>N° 08</v>
      </c>
      <c r="X330" s="476" t="str">
        <f>IF($AC$330="","",$X$324)</f>
        <v>MESCLUN D'AUTOMNE</v>
      </c>
      <c r="Y330" s="477">
        <f>IF($X$330="","",$Y$324)</f>
        <v>25</v>
      </c>
      <c r="Z330" s="477">
        <f>IF($X$330="","",$Z$324)</f>
        <v>100</v>
      </c>
      <c r="AA330" s="477">
        <f>IF($AC$330="","",ROW($A$330)-ROW($A$324))</f>
        <v>6</v>
      </c>
      <c r="AB330" s="478"/>
      <c r="AC330" s="34" t="s">
        <v>413</v>
      </c>
      <c r="AD330" s="356"/>
      <c r="AE330" s="18">
        <v>2.5</v>
      </c>
      <c r="AF330" s="6" t="s">
        <v>9</v>
      </c>
      <c r="AG330" s="480">
        <f t="shared" si="88"/>
        <v>2.5</v>
      </c>
      <c r="AH330" s="481" t="str">
        <f t="shared" si="89"/>
        <v>L</v>
      </c>
      <c r="AI330" s="477" t="str">
        <f>IF($AC$330="","",IFERROR(INDEX($AZ$74:$AZ$119,MATCH($AH$330,$AY$74:$AY$119,0)),"AUTRE"))</f>
        <v>VOLUME</v>
      </c>
      <c r="AJ330" s="482">
        <f>IF($AC$330="","",IFERROR(INDEX($BA$74:$BA$119,MATCH($AH$330,$AY$74:$AY$119,0)),1))</f>
        <v>1</v>
      </c>
      <c r="AK330" s="482">
        <f t="shared" si="90"/>
        <v>2.5</v>
      </c>
      <c r="AL330" s="477" t="str">
        <f>IF($AC$330="","",IFERROR(INDEX($BB$74:$BB$119,MATCH($AH$330,$AY$74:$AY$119,0)),$AH$330))</f>
        <v>L</v>
      </c>
      <c r="AM330" s="483" t="str">
        <f t="shared" si="91"/>
        <v>OK</v>
      </c>
      <c r="AN330" s="484">
        <f t="shared" si="92"/>
        <v>2.5</v>
      </c>
      <c r="AO330" s="473" t="str">
        <f t="shared" si="93"/>
        <v/>
      </c>
      <c r="AP330" s="473" t="str">
        <f t="shared" si="94"/>
        <v/>
      </c>
      <c r="AQ330" s="473" t="str">
        <f t="shared" si="95"/>
        <v/>
      </c>
      <c r="AR330" s="473" t="str">
        <f t="shared" si="96"/>
        <v/>
      </c>
      <c r="AS330" s="473" t="str">
        <f t="shared" si="97"/>
        <v/>
      </c>
      <c r="AT330" s="473" t="str">
        <f t="shared" si="98"/>
        <v/>
      </c>
      <c r="AU330" s="473" t="str">
        <f t="shared" si="99"/>
        <v/>
      </c>
      <c r="AZ330" s="32" t="s">
        <v>318</v>
      </c>
      <c r="BA330" s="34" t="s">
        <v>6121</v>
      </c>
      <c r="BB330" s="499"/>
      <c r="BC330" s="271"/>
      <c r="BD330" s="279">
        <v>1</v>
      </c>
      <c r="BE330" s="271"/>
      <c r="BF330" s="271"/>
      <c r="BG330" s="271"/>
      <c r="BH330" s="271"/>
      <c r="BI330" s="271"/>
      <c r="BJ330" s="271"/>
      <c r="BK330" s="271"/>
      <c r="BL330" s="271"/>
    </row>
    <row r="331" spans="18:64" ht="21" customHeight="1" x14ac:dyDescent="0.25">
      <c r="R331" s="34" t="s">
        <v>6123</v>
      </c>
      <c r="S331" s="451"/>
      <c r="T331" s="31" t="s">
        <v>304</v>
      </c>
      <c r="V331" s="475">
        <v>8</v>
      </c>
      <c r="W331" s="475" t="str">
        <f>IF($AC$331="","",$W$324)</f>
        <v>N° 08</v>
      </c>
      <c r="X331" s="476" t="str">
        <f>IF($AC$331="","",$X$324)</f>
        <v>MESCLUN D'AUTOMNE</v>
      </c>
      <c r="Y331" s="477">
        <f>IF($X$331="","",$Y$324)</f>
        <v>25</v>
      </c>
      <c r="Z331" s="477">
        <f>IF($X$331="","",$Z$324)</f>
        <v>100</v>
      </c>
      <c r="AA331" s="477">
        <f>IF($AC$331="","",ROW($A$331)-ROW($A$324))</f>
        <v>7</v>
      </c>
      <c r="AB331" s="478"/>
      <c r="AC331" s="34" t="s">
        <v>106</v>
      </c>
      <c r="AD331" s="356"/>
      <c r="AE331" s="9" t="s">
        <v>33</v>
      </c>
      <c r="AF331" s="19"/>
      <c r="AG331" s="480" t="str">
        <f t="shared" si="88"/>
        <v>QT. SUFFISANTE</v>
      </c>
      <c r="AH331" s="481" t="str">
        <f t="shared" si="89"/>
        <v/>
      </c>
      <c r="AI331" s="477" t="str">
        <f>IF($AC$331="","",IFERROR(INDEX($AZ$74:$AZ$119,MATCH($AH$331,$AY$74:$AY$119,0)),"AUTRE"))</f>
        <v>AUTRE</v>
      </c>
      <c r="AJ331" s="482">
        <f>IF($AC$331="","",IFERROR(INDEX($BA$74:$BA$119,MATCH($AH$331,$AY$74:$AY$119,0)),1))</f>
        <v>1</v>
      </c>
      <c r="AK331" s="482" t="e">
        <f t="shared" si="90"/>
        <v>#VALUE!</v>
      </c>
      <c r="AL331" s="477" t="str">
        <f>IF($AC$331="","",IFERROR(INDEX($BB$74:$BB$119,MATCH($AH$331,$AY$74:$AY$119,0)),$AH$331))</f>
        <v/>
      </c>
      <c r="AM331" s="483" t="str">
        <f t="shared" si="91"/>
        <v>QUANTITÉ À CONTRÔLER</v>
      </c>
      <c r="AN331" s="484" t="str">
        <f t="shared" si="92"/>
        <v>QT. SUFFISANTE</v>
      </c>
      <c r="AO331" s="473" t="str">
        <f t="shared" si="93"/>
        <v/>
      </c>
      <c r="AP331" s="473" t="str">
        <f t="shared" si="94"/>
        <v/>
      </c>
      <c r="AQ331" s="473" t="str">
        <f t="shared" si="95"/>
        <v/>
      </c>
      <c r="AR331" s="473" t="str">
        <f t="shared" si="96"/>
        <v/>
      </c>
      <c r="AS331" s="473" t="str">
        <f t="shared" si="97"/>
        <v/>
      </c>
      <c r="AT331" s="473" t="str">
        <f t="shared" si="98"/>
        <v/>
      </c>
      <c r="AU331" s="473" t="str">
        <f t="shared" si="99"/>
        <v/>
      </c>
      <c r="AZ331" s="32" t="s">
        <v>316</v>
      </c>
      <c r="BA331" s="34" t="s">
        <v>6122</v>
      </c>
      <c r="BB331" s="499"/>
      <c r="BC331" s="271"/>
      <c r="BD331" s="279">
        <v>1</v>
      </c>
      <c r="BE331" s="271"/>
      <c r="BF331" s="271"/>
      <c r="BG331" s="271"/>
      <c r="BH331" s="271"/>
      <c r="BI331" s="271"/>
      <c r="BJ331" s="271"/>
      <c r="BK331" s="271"/>
      <c r="BL331" s="271"/>
    </row>
    <row r="332" spans="18:64" ht="21" customHeight="1" x14ac:dyDescent="0.25">
      <c r="R332" s="34" t="s">
        <v>6124</v>
      </c>
      <c r="S332" s="451"/>
      <c r="T332" s="31" t="s">
        <v>352</v>
      </c>
      <c r="V332" s="475">
        <v>8</v>
      </c>
      <c r="W332" s="475" t="str">
        <f>IF($AC$332="","",$W$324)</f>
        <v>N° 08</v>
      </c>
      <c r="X332" s="476" t="str">
        <f>IF($AC$332="","",$X$324)</f>
        <v>MESCLUN D'AUTOMNE</v>
      </c>
      <c r="Y332" s="477">
        <f>IF($X$332="","",$Y$324)</f>
        <v>25</v>
      </c>
      <c r="Z332" s="477">
        <f>IF($X$332="","",$Z$324)</f>
        <v>100</v>
      </c>
      <c r="AA332" s="477">
        <f>IF($AC$332="","",ROW($A$332)-ROW($A$324))</f>
        <v>8</v>
      </c>
      <c r="AB332" s="478"/>
      <c r="AC332" s="34" t="s">
        <v>414</v>
      </c>
      <c r="AD332" s="356"/>
      <c r="AE332" s="18">
        <v>2</v>
      </c>
      <c r="AF332" s="3" t="s">
        <v>7</v>
      </c>
      <c r="AG332" s="480">
        <f t="shared" si="88"/>
        <v>2</v>
      </c>
      <c r="AH332" s="481" t="str">
        <f t="shared" si="89"/>
        <v>KG</v>
      </c>
      <c r="AI332" s="477" t="str">
        <f>IF($AC$332="","",IFERROR(INDEX($AZ$74:$AZ$119,MATCH($AH$332,$AY$74:$AY$119,0)),"AUTRE"))</f>
        <v>MASSE</v>
      </c>
      <c r="AJ332" s="482">
        <f>IF($AC$332="","",IFERROR(INDEX($BA$74:$BA$119,MATCH($AH$332,$AY$74:$AY$119,0)),1))</f>
        <v>1</v>
      </c>
      <c r="AK332" s="482">
        <f t="shared" si="90"/>
        <v>2</v>
      </c>
      <c r="AL332" s="477" t="str">
        <f>IF($AC$332="","",IFERROR(INDEX($BB$74:$BB$119,MATCH($AH$332,$AY$74:$AY$119,0)),$AH$332))</f>
        <v>kg</v>
      </c>
      <c r="AM332" s="483" t="str">
        <f t="shared" si="91"/>
        <v>OK</v>
      </c>
      <c r="AN332" s="484">
        <f t="shared" si="92"/>
        <v>2</v>
      </c>
      <c r="AO332" s="473" t="str">
        <f t="shared" si="93"/>
        <v/>
      </c>
      <c r="AP332" s="473" t="str">
        <f t="shared" si="94"/>
        <v/>
      </c>
      <c r="AQ332" s="473" t="str">
        <f t="shared" si="95"/>
        <v/>
      </c>
      <c r="AR332" s="473" t="str">
        <f t="shared" si="96"/>
        <v/>
      </c>
      <c r="AS332" s="473" t="str">
        <f t="shared" si="97"/>
        <v/>
      </c>
      <c r="AT332" s="473" t="str">
        <f t="shared" si="98"/>
        <v/>
      </c>
      <c r="AU332" s="473" t="str">
        <f t="shared" si="99"/>
        <v/>
      </c>
      <c r="AZ332" s="32" t="s">
        <v>313</v>
      </c>
      <c r="BA332" s="34" t="s">
        <v>6123</v>
      </c>
      <c r="BB332" s="499"/>
      <c r="BC332" s="271"/>
      <c r="BD332" s="279">
        <v>1</v>
      </c>
      <c r="BE332" s="271"/>
      <c r="BF332" s="271"/>
      <c r="BG332" s="271"/>
      <c r="BH332" s="271"/>
      <c r="BI332" s="271"/>
      <c r="BJ332" s="271"/>
      <c r="BK332" s="271"/>
      <c r="BL332" s="271"/>
    </row>
    <row r="333" spans="18:64" ht="21" customHeight="1" x14ac:dyDescent="0.25">
      <c r="R333" s="34" t="s">
        <v>6125</v>
      </c>
      <c r="S333" s="451"/>
      <c r="T333" s="31" t="s">
        <v>25</v>
      </c>
      <c r="V333" s="475">
        <v>8</v>
      </c>
      <c r="W333" s="475" t="str">
        <f>IF($AC$333="","",$W$324)</f>
        <v/>
      </c>
      <c r="X333" s="476" t="str">
        <f>IF($AC$333="","",$X$324)</f>
        <v/>
      </c>
      <c r="Y333" s="477" t="str">
        <f>IF($X$333="","",$Y$324)</f>
        <v/>
      </c>
      <c r="Z333" s="477" t="str">
        <f>IF($X$333="","",$Z$324)</f>
        <v/>
      </c>
      <c r="AA333" s="477" t="str">
        <f>IF($AC$333="","",ROW($A$333)-ROW($A$324))</f>
        <v/>
      </c>
      <c r="AB333" s="478"/>
      <c r="AC333" s="34"/>
      <c r="AD333" s="356"/>
      <c r="AE333" s="18"/>
      <c r="AF333" s="19"/>
      <c r="AG333" s="480" t="str">
        <f t="shared" si="88"/>
        <v/>
      </c>
      <c r="AH333" s="481" t="str">
        <f t="shared" si="89"/>
        <v/>
      </c>
      <c r="AI333" s="477" t="str">
        <f>IF($AC$333="","",IFERROR(INDEX($AZ$74:$AZ$119,MATCH($AH$333,$AY$74:$AY$119,0)),"AUTRE"))</f>
        <v/>
      </c>
      <c r="AJ333" s="482" t="str">
        <f>IF($AC$333="","",IFERROR(INDEX($BA$74:$BA$119,MATCH($AH$333,$AY$74:$AY$119,0)),1))</f>
        <v/>
      </c>
      <c r="AK333" s="482" t="str">
        <f t="shared" si="90"/>
        <v/>
      </c>
      <c r="AL333" s="477" t="str">
        <f>IF($AC$333="","",IFERROR(INDEX($BB$74:$BB$119,MATCH($AH$333,$AY$74:$AY$119,0)),$AH$333))</f>
        <v/>
      </c>
      <c r="AM333" s="483" t="str">
        <f t="shared" si="91"/>
        <v/>
      </c>
      <c r="AN333" s="484" t="str">
        <f t="shared" si="92"/>
        <v/>
      </c>
      <c r="AO333" s="473" t="str">
        <f t="shared" si="93"/>
        <v/>
      </c>
      <c r="AP333" s="473" t="str">
        <f t="shared" si="94"/>
        <v/>
      </c>
      <c r="AQ333" s="473" t="str">
        <f t="shared" si="95"/>
        <v/>
      </c>
      <c r="AR333" s="473" t="str">
        <f t="shared" si="96"/>
        <v/>
      </c>
      <c r="AS333" s="473" t="str">
        <f t="shared" si="97"/>
        <v/>
      </c>
      <c r="AT333" s="473" t="str">
        <f t="shared" si="98"/>
        <v/>
      </c>
      <c r="AU333" s="473" t="str">
        <f t="shared" si="99"/>
        <v/>
      </c>
      <c r="AZ333" s="32" t="s">
        <v>307</v>
      </c>
      <c r="BA333" s="34" t="s">
        <v>6124</v>
      </c>
      <c r="BB333" s="499"/>
      <c r="BC333" s="271"/>
      <c r="BD333" s="279">
        <v>1</v>
      </c>
      <c r="BE333" s="271"/>
      <c r="BF333" s="271"/>
      <c r="BG333" s="271"/>
      <c r="BH333" s="271"/>
      <c r="BI333" s="271"/>
      <c r="BJ333" s="271"/>
      <c r="BK333" s="271"/>
      <c r="BL333" s="271"/>
    </row>
    <row r="334" spans="18:64" ht="21" customHeight="1" x14ac:dyDescent="0.25">
      <c r="R334" s="34" t="s">
        <v>6126</v>
      </c>
      <c r="S334" s="451"/>
      <c r="T334" s="31" t="s">
        <v>26</v>
      </c>
      <c r="V334" s="475">
        <v>8</v>
      </c>
      <c r="W334" s="475" t="str">
        <f>IF($AC$334="","",$W$324)</f>
        <v/>
      </c>
      <c r="X334" s="476" t="str">
        <f>IF($AC$334="","",$X$324)</f>
        <v/>
      </c>
      <c r="Y334" s="477" t="str">
        <f>IF($X$334="","",$Y$324)</f>
        <v/>
      </c>
      <c r="Z334" s="477" t="str">
        <f>IF($X$334="","",$Z$324)</f>
        <v/>
      </c>
      <c r="AA334" s="477" t="str">
        <f>IF($AC$334="","",ROW($A$334)-ROW($A$324))</f>
        <v/>
      </c>
      <c r="AB334" s="478"/>
      <c r="AC334" s="34"/>
      <c r="AD334" s="356"/>
      <c r="AE334" s="18"/>
      <c r="AF334" s="19"/>
      <c r="AG334" s="480" t="str">
        <f t="shared" si="88"/>
        <v/>
      </c>
      <c r="AH334" s="481" t="str">
        <f t="shared" si="89"/>
        <v/>
      </c>
      <c r="AI334" s="477" t="str">
        <f>IF($AC$334="","",IFERROR(INDEX($AZ$74:$AZ$119,MATCH($AH$334,$AY$74:$AY$119,0)),"AUTRE"))</f>
        <v/>
      </c>
      <c r="AJ334" s="482" t="str">
        <f>IF($AC$334="","",IFERROR(INDEX($BA$74:$BA$119,MATCH($AH$334,$AY$74:$AY$119,0)),1))</f>
        <v/>
      </c>
      <c r="AK334" s="482" t="str">
        <f t="shared" si="90"/>
        <v/>
      </c>
      <c r="AL334" s="477" t="str">
        <f>IF($AC$334="","",IFERROR(INDEX($BB$74:$BB$119,MATCH($AH$334,$AY$74:$AY$119,0)),$AH$334))</f>
        <v/>
      </c>
      <c r="AM334" s="483" t="str">
        <f t="shared" si="91"/>
        <v/>
      </c>
      <c r="AN334" s="484" t="str">
        <f t="shared" si="92"/>
        <v/>
      </c>
      <c r="AO334" s="473" t="str">
        <f t="shared" si="93"/>
        <v/>
      </c>
      <c r="AP334" s="473" t="str">
        <f t="shared" si="94"/>
        <v/>
      </c>
      <c r="AQ334" s="473" t="str">
        <f t="shared" si="95"/>
        <v/>
      </c>
      <c r="AR334" s="473" t="str">
        <f t="shared" si="96"/>
        <v/>
      </c>
      <c r="AS334" s="473" t="str">
        <f t="shared" si="97"/>
        <v/>
      </c>
      <c r="AT334" s="473" t="str">
        <f t="shared" si="98"/>
        <v/>
      </c>
      <c r="AU334" s="473" t="str">
        <f t="shared" si="99"/>
        <v/>
      </c>
      <c r="AZ334" s="32" t="s">
        <v>322</v>
      </c>
      <c r="BA334" s="34" t="s">
        <v>6125</v>
      </c>
      <c r="BB334" s="499"/>
      <c r="BC334" s="271"/>
      <c r="BD334" s="279">
        <v>1</v>
      </c>
      <c r="BE334" s="271"/>
      <c r="BF334" s="271"/>
      <c r="BG334" s="271"/>
      <c r="BH334" s="271"/>
      <c r="BI334" s="271"/>
      <c r="BJ334" s="271"/>
      <c r="BK334" s="271"/>
      <c r="BL334" s="271"/>
    </row>
    <row r="335" spans="18:64" ht="21" customHeight="1" x14ac:dyDescent="0.25">
      <c r="R335" s="34" t="s">
        <v>6127</v>
      </c>
      <c r="S335" s="451"/>
      <c r="T335" s="31" t="s">
        <v>27</v>
      </c>
      <c r="V335" s="475">
        <v>8</v>
      </c>
      <c r="W335" s="475" t="str">
        <f>IF($AC$335="","",$W$324)</f>
        <v/>
      </c>
      <c r="X335" s="476" t="str">
        <f>IF($AC$335="","",$X$324)</f>
        <v/>
      </c>
      <c r="Y335" s="477" t="str">
        <f>IF($X$335="","",$Y$324)</f>
        <v/>
      </c>
      <c r="Z335" s="477" t="str">
        <f>IF($X$335="","",$Z$324)</f>
        <v/>
      </c>
      <c r="AA335" s="477" t="str">
        <f>IF($AC$335="","",ROW($A$335)-ROW($A$324))</f>
        <v/>
      </c>
      <c r="AB335" s="478"/>
      <c r="AC335" s="34"/>
      <c r="AD335" s="356"/>
      <c r="AE335" s="18"/>
      <c r="AF335" s="19"/>
      <c r="AG335" s="480" t="str">
        <f t="shared" si="88"/>
        <v/>
      </c>
      <c r="AH335" s="481" t="str">
        <f t="shared" si="89"/>
        <v/>
      </c>
      <c r="AI335" s="477" t="str">
        <f>IF($AC$335="","",IFERROR(INDEX($AZ$74:$AZ$119,MATCH($AH$335,$AY$74:$AY$119,0)),"AUTRE"))</f>
        <v/>
      </c>
      <c r="AJ335" s="482" t="str">
        <f>IF($AC$335="","",IFERROR(INDEX($BA$74:$BA$119,MATCH($AH$335,$AY$74:$AY$119,0)),1))</f>
        <v/>
      </c>
      <c r="AK335" s="482" t="str">
        <f t="shared" si="90"/>
        <v/>
      </c>
      <c r="AL335" s="477" t="str">
        <f>IF($AC$335="","",IFERROR(INDEX($BB$74:$BB$119,MATCH($AH$335,$AY$74:$AY$119,0)),$AH$335))</f>
        <v/>
      </c>
      <c r="AM335" s="483" t="str">
        <f t="shared" si="91"/>
        <v/>
      </c>
      <c r="AN335" s="484" t="str">
        <f t="shared" si="92"/>
        <v/>
      </c>
      <c r="AO335" s="473" t="str">
        <f t="shared" si="93"/>
        <v/>
      </c>
      <c r="AP335" s="473" t="str">
        <f t="shared" si="94"/>
        <v/>
      </c>
      <c r="AQ335" s="473" t="str">
        <f t="shared" si="95"/>
        <v/>
      </c>
      <c r="AR335" s="473" t="str">
        <f t="shared" si="96"/>
        <v/>
      </c>
      <c r="AS335" s="473" t="str">
        <f t="shared" si="97"/>
        <v/>
      </c>
      <c r="AT335" s="473" t="str">
        <f t="shared" si="98"/>
        <v/>
      </c>
      <c r="AU335" s="473" t="str">
        <f t="shared" si="99"/>
        <v/>
      </c>
      <c r="AZ335" s="32" t="s">
        <v>305</v>
      </c>
      <c r="BA335" s="34" t="s">
        <v>6126</v>
      </c>
      <c r="BB335" s="499"/>
      <c r="BC335" s="271"/>
      <c r="BD335" s="279">
        <v>1</v>
      </c>
      <c r="BE335" s="271"/>
      <c r="BF335" s="271"/>
      <c r="BG335" s="271"/>
      <c r="BH335" s="271"/>
      <c r="BI335" s="271"/>
      <c r="BJ335" s="271"/>
      <c r="BK335" s="271"/>
      <c r="BL335" s="271"/>
    </row>
    <row r="336" spans="18:64" ht="21" customHeight="1" x14ac:dyDescent="0.25">
      <c r="R336" s="25" t="s">
        <v>6128</v>
      </c>
      <c r="S336" s="451"/>
      <c r="T336" s="31" t="s">
        <v>28</v>
      </c>
      <c r="V336" s="475">
        <v>8</v>
      </c>
      <c r="W336" s="475" t="str">
        <f>IF($AC$336="","",$W$324)</f>
        <v/>
      </c>
      <c r="X336" s="476" t="str">
        <f>IF($AC$336="","",$X$324)</f>
        <v/>
      </c>
      <c r="Y336" s="477" t="str">
        <f>IF($X$336="","",$Y$324)</f>
        <v/>
      </c>
      <c r="Z336" s="477" t="str">
        <f>IF($X$336="","",$Z$324)</f>
        <v/>
      </c>
      <c r="AA336" s="477" t="str">
        <f>IF($AC$336="","",ROW($A$336)-ROW($A$324))</f>
        <v/>
      </c>
      <c r="AB336" s="478"/>
      <c r="AC336" s="34"/>
      <c r="AD336" s="356"/>
      <c r="AE336" s="18"/>
      <c r="AF336" s="19"/>
      <c r="AG336" s="480" t="str">
        <f t="shared" si="88"/>
        <v/>
      </c>
      <c r="AH336" s="481" t="str">
        <f t="shared" si="89"/>
        <v/>
      </c>
      <c r="AI336" s="477" t="str">
        <f>IF($AC$336="","",IFERROR(INDEX($AZ$74:$AZ$119,MATCH($AH$336,$AY$74:$AY$119,0)),"AUTRE"))</f>
        <v/>
      </c>
      <c r="AJ336" s="482" t="str">
        <f>IF($AC$336="","",IFERROR(INDEX($BA$74:$BA$119,MATCH($AH$336,$AY$74:$AY$119,0)),1))</f>
        <v/>
      </c>
      <c r="AK336" s="482" t="str">
        <f t="shared" si="90"/>
        <v/>
      </c>
      <c r="AL336" s="477" t="str">
        <f>IF($AC$336="","",IFERROR(INDEX($BB$74:$BB$119,MATCH($AH$336,$AY$74:$AY$119,0)),$AH$336))</f>
        <v/>
      </c>
      <c r="AM336" s="483" t="str">
        <f t="shared" si="91"/>
        <v/>
      </c>
      <c r="AN336" s="484" t="str">
        <f t="shared" si="92"/>
        <v/>
      </c>
      <c r="AO336" s="473" t="str">
        <f t="shared" si="93"/>
        <v/>
      </c>
      <c r="AP336" s="473" t="str">
        <f t="shared" si="94"/>
        <v/>
      </c>
      <c r="AQ336" s="473" t="str">
        <f t="shared" si="95"/>
        <v/>
      </c>
      <c r="AR336" s="473" t="str">
        <f t="shared" si="96"/>
        <v/>
      </c>
      <c r="AS336" s="473" t="str">
        <f t="shared" si="97"/>
        <v/>
      </c>
      <c r="AT336" s="473" t="str">
        <f t="shared" si="98"/>
        <v/>
      </c>
      <c r="AU336" s="473" t="str">
        <f t="shared" si="99"/>
        <v/>
      </c>
      <c r="AZ336" s="32" t="s">
        <v>8129</v>
      </c>
      <c r="BA336" s="34" t="s">
        <v>6127</v>
      </c>
      <c r="BB336" s="499"/>
      <c r="BC336" s="271"/>
      <c r="BD336" s="279">
        <v>1</v>
      </c>
      <c r="BE336" s="271"/>
      <c r="BF336" s="271"/>
      <c r="BG336" s="271"/>
      <c r="BH336" s="271"/>
      <c r="BI336" s="271"/>
      <c r="BJ336" s="271"/>
      <c r="BK336" s="271"/>
      <c r="BL336" s="271"/>
    </row>
    <row r="337" spans="18:64" ht="21" customHeight="1" x14ac:dyDescent="0.25">
      <c r="R337" s="34" t="s">
        <v>474</v>
      </c>
      <c r="S337" s="451"/>
      <c r="T337" s="31" t="s">
        <v>29</v>
      </c>
      <c r="V337" s="475">
        <v>8</v>
      </c>
      <c r="W337" s="475" t="str">
        <f>IF($AC$337="","",$W$324)</f>
        <v/>
      </c>
      <c r="X337" s="476" t="str">
        <f>IF($AC$337="","",$X$324)</f>
        <v/>
      </c>
      <c r="Y337" s="477" t="str">
        <f>IF($X$337="","",$Y$324)</f>
        <v/>
      </c>
      <c r="Z337" s="477" t="str">
        <f>IF($X$337="","",$Z$324)</f>
        <v/>
      </c>
      <c r="AA337" s="477" t="str">
        <f>IF($AC$337="","",ROW($A$337)-ROW($A$324))</f>
        <v/>
      </c>
      <c r="AB337" s="478"/>
      <c r="AC337" s="34"/>
      <c r="AD337" s="356"/>
      <c r="AE337" s="18"/>
      <c r="AF337" s="19"/>
      <c r="AG337" s="480" t="str">
        <f t="shared" si="88"/>
        <v/>
      </c>
      <c r="AH337" s="481" t="str">
        <f t="shared" si="89"/>
        <v/>
      </c>
      <c r="AI337" s="477" t="str">
        <f>IF($AC$337="","",IFERROR(INDEX($AZ$74:$AZ$119,MATCH($AH$337,$AY$74:$AY$119,0)),"AUTRE"))</f>
        <v/>
      </c>
      <c r="AJ337" s="482" t="str">
        <f>IF($AC$337="","",IFERROR(INDEX($BA$74:$BA$119,MATCH($AH$337,$AY$74:$AY$119,0)),1))</f>
        <v/>
      </c>
      <c r="AK337" s="482" t="str">
        <f t="shared" si="90"/>
        <v/>
      </c>
      <c r="AL337" s="477" t="str">
        <f>IF($AC$337="","",IFERROR(INDEX($BB$74:$BB$119,MATCH($AH$337,$AY$74:$AY$119,0)),$AH$337))</f>
        <v/>
      </c>
      <c r="AM337" s="483" t="str">
        <f t="shared" si="91"/>
        <v/>
      </c>
      <c r="AN337" s="484" t="str">
        <f t="shared" si="92"/>
        <v/>
      </c>
      <c r="AO337" s="473" t="str">
        <f t="shared" si="93"/>
        <v/>
      </c>
      <c r="AP337" s="473" t="str">
        <f t="shared" si="94"/>
        <v/>
      </c>
      <c r="AQ337" s="473" t="str">
        <f t="shared" si="95"/>
        <v/>
      </c>
      <c r="AR337" s="473" t="str">
        <f t="shared" si="96"/>
        <v/>
      </c>
      <c r="AS337" s="473" t="str">
        <f t="shared" si="97"/>
        <v/>
      </c>
      <c r="AT337" s="473" t="str">
        <f t="shared" si="98"/>
        <v/>
      </c>
      <c r="AU337" s="473" t="str">
        <f t="shared" si="99"/>
        <v/>
      </c>
      <c r="AZ337" s="32" t="s">
        <v>8131</v>
      </c>
      <c r="BA337" s="25" t="s">
        <v>6128</v>
      </c>
      <c r="BB337" s="499"/>
      <c r="BC337" s="271"/>
      <c r="BD337" s="279">
        <v>1</v>
      </c>
      <c r="BE337" s="271"/>
      <c r="BF337" s="271"/>
      <c r="BG337" s="271"/>
      <c r="BH337" s="271"/>
      <c r="BI337" s="271"/>
      <c r="BJ337" s="271"/>
      <c r="BK337" s="271"/>
      <c r="BL337" s="271"/>
    </row>
    <row r="338" spans="18:64" ht="21" customHeight="1" x14ac:dyDescent="0.25">
      <c r="R338" s="34" t="s">
        <v>490</v>
      </c>
      <c r="S338" s="451"/>
      <c r="T338" s="31" t="s">
        <v>30</v>
      </c>
      <c r="V338" s="475">
        <v>8</v>
      </c>
      <c r="W338" s="475" t="str">
        <f>IF($AC$338="","",$W$324)</f>
        <v/>
      </c>
      <c r="X338" s="476" t="str">
        <f>IF($AC$338="","",$X$324)</f>
        <v/>
      </c>
      <c r="Y338" s="477" t="str">
        <f>IF($X$338="","",$Y$324)</f>
        <v/>
      </c>
      <c r="Z338" s="477" t="str">
        <f>IF($X$338="","",$Z$324)</f>
        <v/>
      </c>
      <c r="AA338" s="477" t="str">
        <f>IF($AC$338="","",ROW($A$338)-ROW($A$324))</f>
        <v/>
      </c>
      <c r="AB338" s="478"/>
      <c r="AC338" s="34"/>
      <c r="AD338" s="356"/>
      <c r="AE338" s="18"/>
      <c r="AF338" s="19"/>
      <c r="AG338" s="480" t="str">
        <f t="shared" si="88"/>
        <v/>
      </c>
      <c r="AH338" s="481" t="str">
        <f t="shared" si="89"/>
        <v/>
      </c>
      <c r="AI338" s="477" t="str">
        <f>IF($AC$338="","",IFERROR(INDEX($AZ$74:$AZ$119,MATCH($AH$338,$AY$74:$AY$119,0)),"AUTRE"))</f>
        <v/>
      </c>
      <c r="AJ338" s="482" t="str">
        <f>IF($AC$338="","",IFERROR(INDEX($BA$74:$BA$119,MATCH($AH$338,$AY$74:$AY$119,0)),1))</f>
        <v/>
      </c>
      <c r="AK338" s="482" t="str">
        <f t="shared" si="90"/>
        <v/>
      </c>
      <c r="AL338" s="477" t="str">
        <f>IF($AC$338="","",IFERROR(INDEX($BB$74:$BB$119,MATCH($AH$338,$AY$74:$AY$119,0)),$AH$338))</f>
        <v/>
      </c>
      <c r="AM338" s="483" t="str">
        <f t="shared" si="91"/>
        <v/>
      </c>
      <c r="AN338" s="484" t="str">
        <f t="shared" si="92"/>
        <v/>
      </c>
      <c r="AO338" s="473" t="str">
        <f t="shared" si="93"/>
        <v/>
      </c>
      <c r="AP338" s="473" t="str">
        <f t="shared" si="94"/>
        <v/>
      </c>
      <c r="AQ338" s="473" t="str">
        <f t="shared" si="95"/>
        <v/>
      </c>
      <c r="AR338" s="473" t="str">
        <f t="shared" si="96"/>
        <v/>
      </c>
      <c r="AS338" s="473" t="str">
        <f t="shared" si="97"/>
        <v/>
      </c>
      <c r="AT338" s="473" t="str">
        <f t="shared" si="98"/>
        <v/>
      </c>
      <c r="AU338" s="473" t="str">
        <f t="shared" si="99"/>
        <v/>
      </c>
      <c r="AZ338" s="32" t="s">
        <v>309</v>
      </c>
      <c r="BA338" s="34" t="s">
        <v>474</v>
      </c>
      <c r="BB338" s="499"/>
      <c r="BC338" s="271"/>
      <c r="BD338" s="279">
        <v>1</v>
      </c>
      <c r="BE338" s="271"/>
      <c r="BF338" s="271"/>
      <c r="BG338" s="271"/>
      <c r="BH338" s="271"/>
      <c r="BI338" s="271"/>
      <c r="BJ338" s="271"/>
      <c r="BK338" s="271"/>
      <c r="BL338" s="271"/>
    </row>
    <row r="339" spans="18:64" ht="21" customHeight="1" x14ac:dyDescent="0.25">
      <c r="R339" s="34" t="s">
        <v>6129</v>
      </c>
      <c r="S339" s="451"/>
      <c r="T339" s="31" t="s">
        <v>31</v>
      </c>
      <c r="V339" s="475">
        <v>8</v>
      </c>
      <c r="W339" s="475" t="str">
        <f>IF($AC$339="","",$W$324)</f>
        <v/>
      </c>
      <c r="X339" s="476" t="str">
        <f>IF($AC$339="","",$X$324)</f>
        <v/>
      </c>
      <c r="Y339" s="477" t="str">
        <f>IF($X$339="","",$Y$324)</f>
        <v/>
      </c>
      <c r="Z339" s="477" t="str">
        <f>IF($X$339="","",$Z$324)</f>
        <v/>
      </c>
      <c r="AA339" s="477" t="str">
        <f>IF($AC$339="","",ROW($A$339)-ROW($A$324))</f>
        <v/>
      </c>
      <c r="AB339" s="478"/>
      <c r="AC339" s="34"/>
      <c r="AD339" s="356"/>
      <c r="AE339" s="18"/>
      <c r="AF339" s="19"/>
      <c r="AG339" s="480" t="str">
        <f t="shared" si="88"/>
        <v/>
      </c>
      <c r="AH339" s="481" t="str">
        <f t="shared" si="89"/>
        <v/>
      </c>
      <c r="AI339" s="477" t="str">
        <f>IF($AC$339="","",IFERROR(INDEX($AZ$74:$AZ$119,MATCH($AH$339,$AY$74:$AY$119,0)),"AUTRE"))</f>
        <v/>
      </c>
      <c r="AJ339" s="482" t="str">
        <f>IF($AC$339="","",IFERROR(INDEX($BA$74:$BA$119,MATCH($AH$339,$AY$74:$AY$119,0)),1))</f>
        <v/>
      </c>
      <c r="AK339" s="482" t="str">
        <f t="shared" si="90"/>
        <v/>
      </c>
      <c r="AL339" s="477" t="str">
        <f>IF($AC$339="","",IFERROR(INDEX($BB$74:$BB$119,MATCH($AH$339,$AY$74:$AY$119,0)),$AH$339))</f>
        <v/>
      </c>
      <c r="AM339" s="483" t="str">
        <f t="shared" si="91"/>
        <v/>
      </c>
      <c r="AN339" s="484" t="str">
        <f t="shared" si="92"/>
        <v/>
      </c>
      <c r="AO339" s="473" t="str">
        <f t="shared" si="93"/>
        <v/>
      </c>
      <c r="AP339" s="473" t="str">
        <f t="shared" si="94"/>
        <v/>
      </c>
      <c r="AQ339" s="473" t="str">
        <f t="shared" si="95"/>
        <v/>
      </c>
      <c r="AR339" s="473" t="str">
        <f t="shared" si="96"/>
        <v/>
      </c>
      <c r="AS339" s="473" t="str">
        <f t="shared" si="97"/>
        <v/>
      </c>
      <c r="AT339" s="473" t="str">
        <f t="shared" si="98"/>
        <v/>
      </c>
      <c r="AU339" s="473" t="str">
        <f t="shared" si="99"/>
        <v/>
      </c>
      <c r="AZ339" s="32" t="s">
        <v>311</v>
      </c>
      <c r="BA339" s="34" t="s">
        <v>490</v>
      </c>
      <c r="BB339" s="499"/>
      <c r="BC339" s="271"/>
      <c r="BD339" s="279">
        <v>1</v>
      </c>
      <c r="BE339" s="271"/>
      <c r="BF339" s="271"/>
      <c r="BG339" s="271"/>
      <c r="BH339" s="271"/>
      <c r="BI339" s="271"/>
      <c r="BJ339" s="271"/>
      <c r="BK339" s="271"/>
      <c r="BL339" s="271"/>
    </row>
    <row r="340" spans="18:64" ht="21" customHeight="1" x14ac:dyDescent="0.25">
      <c r="R340" s="34" t="s">
        <v>478</v>
      </c>
      <c r="S340" s="451"/>
      <c r="T340" s="32" t="s">
        <v>33</v>
      </c>
      <c r="V340" s="475">
        <v>8</v>
      </c>
      <c r="W340" s="475" t="str">
        <f>IF($AC$340="","",$W$324)</f>
        <v/>
      </c>
      <c r="X340" s="476" t="str">
        <f>IF($AC$340="","",$X$324)</f>
        <v/>
      </c>
      <c r="Y340" s="477" t="str">
        <f>IF($X$340="","",$Y$324)</f>
        <v/>
      </c>
      <c r="Z340" s="477" t="str">
        <f>IF($X$340="","",$Z$324)</f>
        <v/>
      </c>
      <c r="AA340" s="477" t="str">
        <f>IF($AC$340="","",ROW($A$340)-ROW($A$324))</f>
        <v/>
      </c>
      <c r="AB340" s="478"/>
      <c r="AC340" s="34"/>
      <c r="AD340" s="356"/>
      <c r="AE340" s="18"/>
      <c r="AF340" s="19"/>
      <c r="AG340" s="480" t="str">
        <f t="shared" si="88"/>
        <v/>
      </c>
      <c r="AH340" s="481" t="str">
        <f t="shared" si="89"/>
        <v/>
      </c>
      <c r="AI340" s="477" t="str">
        <f>IF($AC$340="","",IFERROR(INDEX($AZ$74:$AZ$119,MATCH($AH$340,$AY$74:$AY$119,0)),"AUTRE"))</f>
        <v/>
      </c>
      <c r="AJ340" s="482" t="str">
        <f>IF($AC$340="","",IFERROR(INDEX($BA$74:$BA$119,MATCH($AH$340,$AY$74:$AY$119,0)),1))</f>
        <v/>
      </c>
      <c r="AK340" s="482" t="str">
        <f t="shared" si="90"/>
        <v/>
      </c>
      <c r="AL340" s="477" t="str">
        <f>IF($AC$340="","",IFERROR(INDEX($BB$74:$BB$119,MATCH($AH$340,$AY$74:$AY$119,0)),$AH$340))</f>
        <v/>
      </c>
      <c r="AM340" s="483" t="str">
        <f t="shared" si="91"/>
        <v/>
      </c>
      <c r="AN340" s="484" t="str">
        <f t="shared" si="92"/>
        <v/>
      </c>
      <c r="AO340" s="473" t="str">
        <f t="shared" si="93"/>
        <v/>
      </c>
      <c r="AP340" s="473" t="str">
        <f t="shared" si="94"/>
        <v/>
      </c>
      <c r="AQ340" s="473" t="str">
        <f t="shared" si="95"/>
        <v/>
      </c>
      <c r="AR340" s="473" t="str">
        <f t="shared" si="96"/>
        <v/>
      </c>
      <c r="AS340" s="473" t="str">
        <f t="shared" si="97"/>
        <v/>
      </c>
      <c r="AT340" s="473" t="str">
        <f t="shared" si="98"/>
        <v/>
      </c>
      <c r="AU340" s="473" t="str">
        <f t="shared" si="99"/>
        <v/>
      </c>
      <c r="AZ340" s="32" t="s">
        <v>8135</v>
      </c>
      <c r="BA340" s="34" t="s">
        <v>6129</v>
      </c>
      <c r="BB340" s="499"/>
      <c r="BC340" s="271"/>
      <c r="BD340" s="279">
        <v>1</v>
      </c>
      <c r="BE340" s="271"/>
      <c r="BF340" s="271"/>
      <c r="BG340" s="271"/>
      <c r="BH340" s="271"/>
      <c r="BI340" s="271"/>
      <c r="BJ340" s="271"/>
      <c r="BK340" s="271"/>
      <c r="BL340" s="271"/>
    </row>
    <row r="341" spans="18:64" ht="21" customHeight="1" x14ac:dyDescent="0.25">
      <c r="R341" s="34" t="s">
        <v>6130</v>
      </c>
      <c r="S341" s="451"/>
      <c r="T341" s="32" t="s">
        <v>8125</v>
      </c>
      <c r="V341" s="475">
        <v>8</v>
      </c>
      <c r="W341" s="475" t="str">
        <f>IF($AC$341="","",$W$324)</f>
        <v/>
      </c>
      <c r="X341" s="476" t="str">
        <f>IF($AC$341="","",$X$324)</f>
        <v/>
      </c>
      <c r="Y341" s="477" t="str">
        <f>IF($X$341="","",$Y$324)</f>
        <v/>
      </c>
      <c r="Z341" s="477" t="str">
        <f>IF($X$341="","",$Z$324)</f>
        <v/>
      </c>
      <c r="AA341" s="477" t="str">
        <f>IF($AC$341="","",ROW($A$341)-ROW($A$324))</f>
        <v/>
      </c>
      <c r="AB341" s="478"/>
      <c r="AC341" s="34"/>
      <c r="AD341" s="356"/>
      <c r="AE341" s="18"/>
      <c r="AF341" s="19"/>
      <c r="AG341" s="480" t="str">
        <f t="shared" si="88"/>
        <v/>
      </c>
      <c r="AH341" s="481" t="str">
        <f t="shared" si="89"/>
        <v/>
      </c>
      <c r="AI341" s="477" t="str">
        <f>IF($AC$341="","",IFERROR(INDEX($AZ$74:$AZ$119,MATCH($AH$341,$AY$74:$AY$119,0)),"AUTRE"))</f>
        <v/>
      </c>
      <c r="AJ341" s="482" t="str">
        <f>IF($AC$341="","",IFERROR(INDEX($BA$74:$BA$119,MATCH($AH$341,$AY$74:$AY$119,0)),1))</f>
        <v/>
      </c>
      <c r="AK341" s="482" t="str">
        <f t="shared" si="90"/>
        <v/>
      </c>
      <c r="AL341" s="477" t="str">
        <f>IF($AC$341="","",IFERROR(INDEX($BB$74:$BB$119,MATCH($AH$341,$AY$74:$AY$119,0)),$AH$341))</f>
        <v/>
      </c>
      <c r="AM341" s="483" t="str">
        <f t="shared" si="91"/>
        <v/>
      </c>
      <c r="AN341" s="484" t="str">
        <f t="shared" si="92"/>
        <v/>
      </c>
      <c r="AO341" s="473" t="str">
        <f t="shared" si="93"/>
        <v/>
      </c>
      <c r="AP341" s="473" t="str">
        <f t="shared" si="94"/>
        <v/>
      </c>
      <c r="AQ341" s="473" t="str">
        <f t="shared" si="95"/>
        <v/>
      </c>
      <c r="AR341" s="473" t="str">
        <f t="shared" si="96"/>
        <v/>
      </c>
      <c r="AS341" s="473" t="str">
        <f t="shared" si="97"/>
        <v/>
      </c>
      <c r="AT341" s="473" t="str">
        <f t="shared" si="98"/>
        <v/>
      </c>
      <c r="AU341" s="473" t="str">
        <f t="shared" si="99"/>
        <v/>
      </c>
      <c r="AZ341" s="32" t="s">
        <v>8137</v>
      </c>
      <c r="BA341" s="34" t="s">
        <v>478</v>
      </c>
      <c r="BB341" s="499"/>
      <c r="BC341" s="271"/>
      <c r="BD341" s="279">
        <v>1</v>
      </c>
      <c r="BE341" s="271"/>
      <c r="BF341" s="271"/>
      <c r="BG341" s="271"/>
      <c r="BH341" s="271"/>
      <c r="BI341" s="271"/>
      <c r="BJ341" s="271"/>
      <c r="BK341" s="271"/>
      <c r="BL341" s="271"/>
    </row>
    <row r="342" spans="18:64" ht="21" customHeight="1" x14ac:dyDescent="0.25">
      <c r="R342" s="34" t="s">
        <v>486</v>
      </c>
      <c r="S342" s="451"/>
      <c r="T342" s="32" t="s">
        <v>8127</v>
      </c>
      <c r="V342" s="475">
        <v>8</v>
      </c>
      <c r="W342" s="475" t="str">
        <f>IF($AC$342="","",$W$324)</f>
        <v/>
      </c>
      <c r="X342" s="476" t="str">
        <f>IF($AC$342="","",$X$324)</f>
        <v/>
      </c>
      <c r="Y342" s="477" t="str">
        <f>IF($X$342="","",$Y$324)</f>
        <v/>
      </c>
      <c r="Z342" s="477" t="str">
        <f>IF($X$342="","",$Z$324)</f>
        <v/>
      </c>
      <c r="AA342" s="477" t="str">
        <f>IF($AC$342="","",ROW($A$342)-ROW($A$324))</f>
        <v/>
      </c>
      <c r="AB342" s="478"/>
      <c r="AC342" s="34"/>
      <c r="AD342" s="356"/>
      <c r="AE342" s="18"/>
      <c r="AF342" s="19"/>
      <c r="AG342" s="480" t="str">
        <f t="shared" si="88"/>
        <v/>
      </c>
      <c r="AH342" s="481" t="str">
        <f t="shared" si="89"/>
        <v/>
      </c>
      <c r="AI342" s="477" t="str">
        <f>IF($AC$342="","",IFERROR(INDEX($AZ$74:$AZ$119,MATCH($AH$342,$AY$74:$AY$119,0)),"AUTRE"))</f>
        <v/>
      </c>
      <c r="AJ342" s="482" t="str">
        <f>IF($AC$342="","",IFERROR(INDEX($BA$74:$BA$119,MATCH($AH$342,$AY$74:$AY$119,0)),1))</f>
        <v/>
      </c>
      <c r="AK342" s="482" t="str">
        <f t="shared" si="90"/>
        <v/>
      </c>
      <c r="AL342" s="477" t="str">
        <f>IF($AC$342="","",IFERROR(INDEX($BB$74:$BB$119,MATCH($AH$342,$AY$74:$AY$119,0)),$AH$342))</f>
        <v/>
      </c>
      <c r="AM342" s="483" t="str">
        <f t="shared" si="91"/>
        <v/>
      </c>
      <c r="AN342" s="484" t="str">
        <f t="shared" si="92"/>
        <v/>
      </c>
      <c r="AO342" s="473" t="str">
        <f t="shared" si="93"/>
        <v/>
      </c>
      <c r="AP342" s="473" t="str">
        <f t="shared" si="94"/>
        <v/>
      </c>
      <c r="AQ342" s="473" t="str">
        <f t="shared" si="95"/>
        <v/>
      </c>
      <c r="AR342" s="473" t="str">
        <f t="shared" si="96"/>
        <v/>
      </c>
      <c r="AS342" s="473" t="str">
        <f t="shared" si="97"/>
        <v/>
      </c>
      <c r="AT342" s="473" t="str">
        <f t="shared" si="98"/>
        <v/>
      </c>
      <c r="AU342" s="473" t="str">
        <f t="shared" si="99"/>
        <v/>
      </c>
      <c r="AZ342" s="32" t="s">
        <v>8139</v>
      </c>
      <c r="BA342" s="34" t="s">
        <v>6130</v>
      </c>
      <c r="BB342" s="499"/>
      <c r="BC342" s="271"/>
      <c r="BD342" s="279">
        <v>1</v>
      </c>
      <c r="BE342" s="271"/>
      <c r="BF342" s="271"/>
      <c r="BG342" s="271"/>
      <c r="BH342" s="271"/>
      <c r="BI342" s="271"/>
      <c r="BJ342" s="271"/>
      <c r="BK342" s="271"/>
      <c r="BL342" s="271"/>
    </row>
    <row r="343" spans="18:64" ht="21" customHeight="1" x14ac:dyDescent="0.25">
      <c r="R343" s="34" t="s">
        <v>479</v>
      </c>
      <c r="S343" s="451"/>
      <c r="T343" s="32" t="s">
        <v>320</v>
      </c>
      <c r="V343" s="475">
        <v>8</v>
      </c>
      <c r="W343" s="475" t="str">
        <f>IF($AC$343="","",$W$324)</f>
        <v/>
      </c>
      <c r="X343" s="476" t="str">
        <f>IF($AC$343="","",$X$324)</f>
        <v/>
      </c>
      <c r="Y343" s="477" t="str">
        <f>IF($X$343="","",$Y$324)</f>
        <v/>
      </c>
      <c r="Z343" s="477" t="str">
        <f>IF($X$343="","",$Z$324)</f>
        <v/>
      </c>
      <c r="AA343" s="477" t="str">
        <f>IF($AC$343="","",ROW($A$343)-ROW($A$324))</f>
        <v/>
      </c>
      <c r="AB343" s="478"/>
      <c r="AC343" s="34"/>
      <c r="AD343" s="356"/>
      <c r="AE343" s="18"/>
      <c r="AF343" s="19"/>
      <c r="AG343" s="480" t="str">
        <f t="shared" si="88"/>
        <v/>
      </c>
      <c r="AH343" s="481" t="str">
        <f t="shared" si="89"/>
        <v/>
      </c>
      <c r="AI343" s="477" t="str">
        <f>IF($AC$343="","",IFERROR(INDEX($AZ$74:$AZ$119,MATCH($AH$343,$AY$74:$AY$119,0)),"AUTRE"))</f>
        <v/>
      </c>
      <c r="AJ343" s="482" t="str">
        <f>IF($AC$343="","",IFERROR(INDEX($BA$74:$BA$119,MATCH($AH$343,$AY$74:$AY$119,0)),1))</f>
        <v/>
      </c>
      <c r="AK343" s="482" t="str">
        <f t="shared" si="90"/>
        <v/>
      </c>
      <c r="AL343" s="477" t="str">
        <f>IF($AC$343="","",IFERROR(INDEX($BB$74:$BB$119,MATCH($AH$343,$AY$74:$AY$119,0)),$AH$343))</f>
        <v/>
      </c>
      <c r="AM343" s="483" t="str">
        <f t="shared" si="91"/>
        <v/>
      </c>
      <c r="AN343" s="484" t="str">
        <f t="shared" si="92"/>
        <v/>
      </c>
      <c r="AO343" s="473" t="str">
        <f t="shared" si="93"/>
        <v/>
      </c>
      <c r="AP343" s="473" t="str">
        <f t="shared" si="94"/>
        <v/>
      </c>
      <c r="AQ343" s="473" t="str">
        <f t="shared" si="95"/>
        <v/>
      </c>
      <c r="AR343" s="473" t="str">
        <f t="shared" si="96"/>
        <v/>
      </c>
      <c r="AS343" s="473" t="str">
        <f t="shared" si="97"/>
        <v/>
      </c>
      <c r="AT343" s="473" t="str">
        <f t="shared" si="98"/>
        <v/>
      </c>
      <c r="AU343" s="473" t="str">
        <f t="shared" si="99"/>
        <v/>
      </c>
      <c r="AZ343" s="32" t="s">
        <v>8141</v>
      </c>
      <c r="BA343" s="34" t="s">
        <v>486</v>
      </c>
      <c r="BB343" s="499"/>
      <c r="BC343" s="271"/>
      <c r="BD343" s="279">
        <v>1</v>
      </c>
      <c r="BE343" s="271"/>
      <c r="BF343" s="271"/>
      <c r="BG343" s="271"/>
      <c r="BH343" s="271"/>
      <c r="BI343" s="271"/>
      <c r="BJ343" s="271"/>
      <c r="BK343" s="271"/>
      <c r="BL343" s="271"/>
    </row>
    <row r="344" spans="18:64" ht="21" customHeight="1" x14ac:dyDescent="0.25">
      <c r="R344" s="34" t="s">
        <v>6131</v>
      </c>
      <c r="S344" s="451"/>
      <c r="T344" s="32" t="s">
        <v>318</v>
      </c>
      <c r="V344" s="475">
        <v>8</v>
      </c>
      <c r="W344" s="475" t="str">
        <f>IF($AC$344="","",$W$324)</f>
        <v/>
      </c>
      <c r="X344" s="476" t="str">
        <f>IF($AC$344="","",$X$324)</f>
        <v/>
      </c>
      <c r="Y344" s="477" t="str">
        <f>IF($X$344="","",$Y$324)</f>
        <v/>
      </c>
      <c r="Z344" s="477" t="str">
        <f>IF($X$344="","",$Z$324)</f>
        <v/>
      </c>
      <c r="AA344" s="477" t="str">
        <f>IF($AC$344="","",ROW($A$344)-ROW($A$324))</f>
        <v/>
      </c>
      <c r="AB344" s="478"/>
      <c r="AC344" s="34"/>
      <c r="AD344" s="356"/>
      <c r="AE344" s="18"/>
      <c r="AF344" s="19"/>
      <c r="AG344" s="480" t="str">
        <f t="shared" si="88"/>
        <v/>
      </c>
      <c r="AH344" s="481" t="str">
        <f t="shared" si="89"/>
        <v/>
      </c>
      <c r="AI344" s="477" t="str">
        <f>IF($AC$344="","",IFERROR(INDEX($AZ$74:$AZ$119,MATCH($AH$344,$AY$74:$AY$119,0)),"AUTRE"))</f>
        <v/>
      </c>
      <c r="AJ344" s="482" t="str">
        <f>IF($AC$344="","",IFERROR(INDEX($BA$74:$BA$119,MATCH($AH$344,$AY$74:$AY$119,0)),1))</f>
        <v/>
      </c>
      <c r="AK344" s="482" t="str">
        <f t="shared" si="90"/>
        <v/>
      </c>
      <c r="AL344" s="477" t="str">
        <f>IF($AC$344="","",IFERROR(INDEX($BB$74:$BB$119,MATCH($AH$344,$AY$74:$AY$119,0)),$AH$344))</f>
        <v/>
      </c>
      <c r="AM344" s="483" t="str">
        <f t="shared" si="91"/>
        <v/>
      </c>
      <c r="AN344" s="484" t="str">
        <f t="shared" si="92"/>
        <v/>
      </c>
      <c r="AO344" s="473" t="str">
        <f t="shared" si="93"/>
        <v/>
      </c>
      <c r="AP344" s="473" t="str">
        <f t="shared" si="94"/>
        <v/>
      </c>
      <c r="AQ344" s="473" t="str">
        <f t="shared" si="95"/>
        <v/>
      </c>
      <c r="AR344" s="473" t="str">
        <f t="shared" si="96"/>
        <v/>
      </c>
      <c r="AS344" s="473" t="str">
        <f t="shared" si="97"/>
        <v/>
      </c>
      <c r="AT344" s="473" t="str">
        <f t="shared" si="98"/>
        <v/>
      </c>
      <c r="AU344" s="473" t="str">
        <f t="shared" si="99"/>
        <v/>
      </c>
      <c r="AZ344" s="32" t="s">
        <v>8143</v>
      </c>
      <c r="BA344" s="34" t="s">
        <v>479</v>
      </c>
      <c r="BB344" s="499"/>
      <c r="BC344" s="271"/>
      <c r="BD344" s="279">
        <v>1</v>
      </c>
      <c r="BE344" s="271"/>
      <c r="BF344" s="271"/>
      <c r="BG344" s="271"/>
      <c r="BH344" s="271"/>
      <c r="BI344" s="271"/>
      <c r="BJ344" s="271"/>
      <c r="BK344" s="271"/>
      <c r="BL344" s="271"/>
    </row>
    <row r="345" spans="18:64" ht="21" customHeight="1" x14ac:dyDescent="0.25">
      <c r="R345" s="34" t="s">
        <v>485</v>
      </c>
      <c r="S345" s="451"/>
      <c r="T345" s="32" t="s">
        <v>316</v>
      </c>
      <c r="V345" s="475">
        <v>8</v>
      </c>
      <c r="W345" s="475" t="str">
        <f>IF($AC$345="","",$W$324)</f>
        <v/>
      </c>
      <c r="X345" s="476" t="str">
        <f>IF($AC$345="","",$X$324)</f>
        <v/>
      </c>
      <c r="Y345" s="477" t="str">
        <f>IF($X$345="","",$Y$324)</f>
        <v/>
      </c>
      <c r="Z345" s="477" t="str">
        <f>IF($X$345="","",$Z$324)</f>
        <v/>
      </c>
      <c r="AA345" s="477" t="str">
        <f>IF($AC$345="","",ROW($A$345)-ROW($A$324))</f>
        <v/>
      </c>
      <c r="AB345" s="478"/>
      <c r="AC345" s="34"/>
      <c r="AD345" s="356"/>
      <c r="AE345" s="18"/>
      <c r="AF345" s="19"/>
      <c r="AG345" s="480" t="str">
        <f t="shared" si="88"/>
        <v/>
      </c>
      <c r="AH345" s="481" t="str">
        <f t="shared" si="89"/>
        <v/>
      </c>
      <c r="AI345" s="477" t="str">
        <f>IF($AC$345="","",IFERROR(INDEX($AZ$74:$AZ$119,MATCH($AH$345,$AY$74:$AY$119,0)),"AUTRE"))</f>
        <v/>
      </c>
      <c r="AJ345" s="482" t="str">
        <f>IF($AC$345="","",IFERROR(INDEX($BA$74:$BA$119,MATCH($AH$345,$AY$74:$AY$119,0)),1))</f>
        <v/>
      </c>
      <c r="AK345" s="482" t="str">
        <f t="shared" si="90"/>
        <v/>
      </c>
      <c r="AL345" s="477" t="str">
        <f>IF($AC$345="","",IFERROR(INDEX($BB$74:$BB$119,MATCH($AH$345,$AY$74:$AY$119,0)),$AH$345))</f>
        <v/>
      </c>
      <c r="AM345" s="483" t="str">
        <f t="shared" si="91"/>
        <v/>
      </c>
      <c r="AN345" s="484" t="str">
        <f t="shared" si="92"/>
        <v/>
      </c>
      <c r="AO345" s="473" t="str">
        <f t="shared" si="93"/>
        <v/>
      </c>
      <c r="AP345" s="473" t="str">
        <f t="shared" si="94"/>
        <v/>
      </c>
      <c r="AQ345" s="473" t="str">
        <f t="shared" si="95"/>
        <v/>
      </c>
      <c r="AR345" s="473" t="str">
        <f t="shared" si="96"/>
        <v/>
      </c>
      <c r="AS345" s="473" t="str">
        <f t="shared" si="97"/>
        <v/>
      </c>
      <c r="AT345" s="473" t="str">
        <f t="shared" si="98"/>
        <v/>
      </c>
      <c r="AU345" s="473" t="str">
        <f t="shared" si="99"/>
        <v/>
      </c>
      <c r="AZ345" s="497" t="s">
        <v>8145</v>
      </c>
      <c r="BA345" s="34" t="s">
        <v>6131</v>
      </c>
      <c r="BB345" s="499"/>
      <c r="BC345" s="271"/>
      <c r="BD345" s="279">
        <v>1</v>
      </c>
      <c r="BE345" s="271"/>
      <c r="BF345" s="271"/>
      <c r="BG345" s="271"/>
      <c r="BH345" s="271"/>
      <c r="BI345" s="271"/>
      <c r="BJ345" s="271"/>
      <c r="BK345" s="271"/>
      <c r="BL345" s="271"/>
    </row>
    <row r="346" spans="18:64" ht="21" customHeight="1" x14ac:dyDescent="0.25">
      <c r="R346" s="34" t="s">
        <v>6132</v>
      </c>
      <c r="S346" s="451"/>
      <c r="T346" s="32" t="s">
        <v>313</v>
      </c>
      <c r="V346" s="475">
        <v>8</v>
      </c>
      <c r="W346" s="475" t="str">
        <f>IF($AC$346="","",$W$324)</f>
        <v/>
      </c>
      <c r="X346" s="476" t="str">
        <f>IF($AC$346="","",$X$324)</f>
        <v/>
      </c>
      <c r="Y346" s="477" t="str">
        <f>IF($X$346="","",$Y$324)</f>
        <v/>
      </c>
      <c r="Z346" s="477" t="str">
        <f>IF($X$346="","",$Z$324)</f>
        <v/>
      </c>
      <c r="AA346" s="477" t="str">
        <f>IF($AC$346="","",ROW($A$346)-ROW($A$324))</f>
        <v/>
      </c>
      <c r="AB346" s="478"/>
      <c r="AC346" s="34"/>
      <c r="AD346" s="356"/>
      <c r="AE346" s="18"/>
      <c r="AF346" s="19"/>
      <c r="AG346" s="480" t="str">
        <f t="shared" si="88"/>
        <v/>
      </c>
      <c r="AH346" s="481" t="str">
        <f t="shared" si="89"/>
        <v/>
      </c>
      <c r="AI346" s="477" t="str">
        <f>IF($AC$346="","",IFERROR(INDEX($AZ$74:$AZ$119,MATCH($AH$346,$AY$74:$AY$119,0)),"AUTRE"))</f>
        <v/>
      </c>
      <c r="AJ346" s="482" t="str">
        <f>IF($AC$346="","",IFERROR(INDEX($BA$74:$BA$119,MATCH($AH$346,$AY$74:$AY$119,0)),1))</f>
        <v/>
      </c>
      <c r="AK346" s="482" t="str">
        <f t="shared" si="90"/>
        <v/>
      </c>
      <c r="AL346" s="477" t="str">
        <f>IF($AC$346="","",IFERROR(INDEX($BB$74:$BB$119,MATCH($AH$346,$AY$74:$AY$119,0)),$AH$346))</f>
        <v/>
      </c>
      <c r="AM346" s="483" t="str">
        <f t="shared" si="91"/>
        <v/>
      </c>
      <c r="AN346" s="484" t="str">
        <f t="shared" si="92"/>
        <v/>
      </c>
      <c r="AO346" s="473" t="str">
        <f t="shared" si="93"/>
        <v/>
      </c>
      <c r="AP346" s="473" t="str">
        <f t="shared" si="94"/>
        <v/>
      </c>
      <c r="AQ346" s="473" t="str">
        <f t="shared" si="95"/>
        <v/>
      </c>
      <c r="AR346" s="473" t="str">
        <f t="shared" si="96"/>
        <v/>
      </c>
      <c r="AS346" s="473" t="str">
        <f t="shared" si="97"/>
        <v/>
      </c>
      <c r="AT346" s="473" t="str">
        <f t="shared" si="98"/>
        <v/>
      </c>
      <c r="AU346" s="473" t="str">
        <f t="shared" si="99"/>
        <v/>
      </c>
      <c r="AZ346" s="497" t="s">
        <v>462</v>
      </c>
      <c r="BA346" s="34" t="s">
        <v>485</v>
      </c>
      <c r="BB346" s="499"/>
      <c r="BC346" s="271"/>
      <c r="BD346" s="279">
        <v>1</v>
      </c>
      <c r="BE346" s="271"/>
      <c r="BF346" s="271"/>
      <c r="BG346" s="271"/>
      <c r="BH346" s="271"/>
      <c r="BI346" s="271"/>
      <c r="BJ346" s="271"/>
      <c r="BK346" s="271"/>
      <c r="BL346" s="271"/>
    </row>
    <row r="347" spans="18:64" ht="21" customHeight="1" x14ac:dyDescent="0.25">
      <c r="R347" s="25" t="s">
        <v>6133</v>
      </c>
      <c r="S347" s="451"/>
      <c r="T347" s="32" t="s">
        <v>307</v>
      </c>
      <c r="V347" s="475">
        <v>8</v>
      </c>
      <c r="W347" s="475" t="str">
        <f>IF($AC$347="","",$W$324)</f>
        <v/>
      </c>
      <c r="X347" s="476" t="str">
        <f>IF($AC$347="","",$X$324)</f>
        <v/>
      </c>
      <c r="Y347" s="477" t="str">
        <f>IF($X$347="","",$Y$324)</f>
        <v/>
      </c>
      <c r="Z347" s="477" t="str">
        <f>IF($X$347="","",$Z$324)</f>
        <v/>
      </c>
      <c r="AA347" s="477" t="str">
        <f>IF($AC$347="","",ROW($A$347)-ROW($A$324))</f>
        <v/>
      </c>
      <c r="AB347" s="478"/>
      <c r="AC347" s="34"/>
      <c r="AD347" s="356"/>
      <c r="AE347" s="18"/>
      <c r="AF347" s="19"/>
      <c r="AG347" s="480" t="str">
        <f t="shared" si="88"/>
        <v/>
      </c>
      <c r="AH347" s="481" t="str">
        <f t="shared" si="89"/>
        <v/>
      </c>
      <c r="AI347" s="477" t="str">
        <f>IF($AC$347="","",IFERROR(INDEX($AZ$74:$AZ$119,MATCH($AH$347,$AY$74:$AY$119,0)),"AUTRE"))</f>
        <v/>
      </c>
      <c r="AJ347" s="482" t="str">
        <f>IF($AC$347="","",IFERROR(INDEX($BA$74:$BA$119,MATCH($AH$347,$AY$74:$AY$119,0)),1))</f>
        <v/>
      </c>
      <c r="AK347" s="482" t="str">
        <f t="shared" si="90"/>
        <v/>
      </c>
      <c r="AL347" s="477" t="str">
        <f>IF($AC$347="","",IFERROR(INDEX($BB$74:$BB$119,MATCH($AH$347,$AY$74:$AY$119,0)),$AH$347))</f>
        <v/>
      </c>
      <c r="AM347" s="483" t="str">
        <f t="shared" si="91"/>
        <v/>
      </c>
      <c r="AN347" s="484" t="str">
        <f t="shared" si="92"/>
        <v/>
      </c>
      <c r="AO347" s="473" t="str">
        <f t="shared" si="93"/>
        <v/>
      </c>
      <c r="AP347" s="473" t="str">
        <f t="shared" si="94"/>
        <v/>
      </c>
      <c r="AQ347" s="473" t="str">
        <f t="shared" si="95"/>
        <v/>
      </c>
      <c r="AR347" s="473" t="str">
        <f t="shared" si="96"/>
        <v/>
      </c>
      <c r="AS347" s="473" t="str">
        <f t="shared" si="97"/>
        <v/>
      </c>
      <c r="AT347" s="473" t="str">
        <f t="shared" si="98"/>
        <v/>
      </c>
      <c r="AU347" s="473" t="str">
        <f t="shared" si="99"/>
        <v/>
      </c>
      <c r="AZ347" s="497" t="s">
        <v>463</v>
      </c>
      <c r="BA347" s="34" t="s">
        <v>6132</v>
      </c>
      <c r="BB347" s="499"/>
      <c r="BC347" s="271"/>
      <c r="BD347" s="279">
        <v>1</v>
      </c>
      <c r="BE347" s="271"/>
      <c r="BF347" s="271"/>
      <c r="BG347" s="271"/>
      <c r="BH347" s="271"/>
      <c r="BI347" s="271"/>
      <c r="BJ347" s="271"/>
      <c r="BK347" s="271"/>
      <c r="BL347" s="271"/>
    </row>
    <row r="348" spans="18:64" ht="21" customHeight="1" x14ac:dyDescent="0.25">
      <c r="R348" s="34" t="s">
        <v>476</v>
      </c>
      <c r="S348" s="451"/>
      <c r="T348" s="32" t="s">
        <v>322</v>
      </c>
      <c r="V348" s="475">
        <v>8</v>
      </c>
      <c r="W348" s="475" t="str">
        <f>IF($AC$348="","",$W$324)</f>
        <v/>
      </c>
      <c r="X348" s="476" t="str">
        <f>IF($AC$348="","",$X$324)</f>
        <v/>
      </c>
      <c r="Y348" s="477" t="str">
        <f>IF($X$348="","",$Y$324)</f>
        <v/>
      </c>
      <c r="Z348" s="477" t="str">
        <f>IF($X$348="","",$Z$324)</f>
        <v/>
      </c>
      <c r="AA348" s="477" t="str">
        <f>IF($AC$348="","",ROW($A$348)-ROW($A$324))</f>
        <v/>
      </c>
      <c r="AB348" s="478"/>
      <c r="AC348" s="34"/>
      <c r="AD348" s="356"/>
      <c r="AE348" s="18"/>
      <c r="AF348" s="19"/>
      <c r="AG348" s="480" t="str">
        <f t="shared" si="88"/>
        <v/>
      </c>
      <c r="AH348" s="481" t="str">
        <f t="shared" si="89"/>
        <v/>
      </c>
      <c r="AI348" s="477" t="str">
        <f>IF($AC$348="","",IFERROR(INDEX($AZ$74:$AZ$119,MATCH($AH$348,$AY$74:$AY$119,0)),"AUTRE"))</f>
        <v/>
      </c>
      <c r="AJ348" s="482" t="str">
        <f>IF($AC$348="","",IFERROR(INDEX($BA$74:$BA$119,MATCH($AH$348,$AY$74:$AY$119,0)),1))</f>
        <v/>
      </c>
      <c r="AK348" s="482" t="str">
        <f t="shared" si="90"/>
        <v/>
      </c>
      <c r="AL348" s="477" t="str">
        <f>IF($AC$348="","",IFERROR(INDEX($BB$74:$BB$119,MATCH($AH$348,$AY$74:$AY$119,0)),$AH$348))</f>
        <v/>
      </c>
      <c r="AM348" s="483" t="str">
        <f t="shared" si="91"/>
        <v/>
      </c>
      <c r="AN348" s="484" t="str">
        <f t="shared" si="92"/>
        <v/>
      </c>
      <c r="AO348" s="473" t="str">
        <f t="shared" si="93"/>
        <v/>
      </c>
      <c r="AP348" s="473" t="str">
        <f t="shared" si="94"/>
        <v/>
      </c>
      <c r="AQ348" s="473" t="str">
        <f t="shared" si="95"/>
        <v/>
      </c>
      <c r="AR348" s="473" t="str">
        <f t="shared" si="96"/>
        <v/>
      </c>
      <c r="AS348" s="473" t="str">
        <f t="shared" si="97"/>
        <v/>
      </c>
      <c r="AT348" s="473" t="str">
        <f t="shared" si="98"/>
        <v/>
      </c>
      <c r="AU348" s="473" t="str">
        <f t="shared" si="99"/>
        <v/>
      </c>
      <c r="AZ348" s="497" t="s">
        <v>8147</v>
      </c>
      <c r="BA348" s="25" t="s">
        <v>6133</v>
      </c>
      <c r="BB348" s="499"/>
      <c r="BC348" s="271"/>
      <c r="BD348" s="279">
        <v>1</v>
      </c>
      <c r="BE348" s="271"/>
      <c r="BF348" s="271"/>
      <c r="BG348" s="271"/>
      <c r="BH348" s="271"/>
      <c r="BI348" s="271"/>
      <c r="BJ348" s="271"/>
      <c r="BK348" s="271"/>
      <c r="BL348" s="271"/>
    </row>
    <row r="349" spans="18:64" ht="21" customHeight="1" x14ac:dyDescent="0.25">
      <c r="R349" s="34" t="s">
        <v>468</v>
      </c>
      <c r="S349" s="451"/>
      <c r="T349" s="32" t="s">
        <v>305</v>
      </c>
      <c r="V349" s="475">
        <v>8</v>
      </c>
      <c r="W349" s="475" t="str">
        <f>IF($AC$349="","",$W$324)</f>
        <v/>
      </c>
      <c r="X349" s="476" t="str">
        <f>IF($AC$349="","",$X$324)</f>
        <v/>
      </c>
      <c r="Y349" s="477" t="str">
        <f>IF($X$349="","",$Y$324)</f>
        <v/>
      </c>
      <c r="Z349" s="477" t="str">
        <f>IF($X$349="","",$Z$324)</f>
        <v/>
      </c>
      <c r="AA349" s="477" t="str">
        <f>IF($AC$349="","",ROW($A$349)-ROW($A$324))</f>
        <v/>
      </c>
      <c r="AB349" s="478"/>
      <c r="AC349" s="34"/>
      <c r="AD349" s="356"/>
      <c r="AE349" s="18"/>
      <c r="AF349" s="19"/>
      <c r="AG349" s="480" t="str">
        <f t="shared" si="88"/>
        <v/>
      </c>
      <c r="AH349" s="481" t="str">
        <f t="shared" si="89"/>
        <v/>
      </c>
      <c r="AI349" s="477" t="str">
        <f>IF($AC$349="","",IFERROR(INDEX($AZ$74:$AZ$119,MATCH($AH$349,$AY$74:$AY$119,0)),"AUTRE"))</f>
        <v/>
      </c>
      <c r="AJ349" s="482" t="str">
        <f>IF($AC$349="","",IFERROR(INDEX($BA$74:$BA$119,MATCH($AH$349,$AY$74:$AY$119,0)),1))</f>
        <v/>
      </c>
      <c r="AK349" s="482" t="str">
        <f t="shared" si="90"/>
        <v/>
      </c>
      <c r="AL349" s="477" t="str">
        <f>IF($AC$349="","",IFERROR(INDEX($BB$74:$BB$119,MATCH($AH$349,$AY$74:$AY$119,0)),$AH$349))</f>
        <v/>
      </c>
      <c r="AM349" s="483" t="str">
        <f t="shared" si="91"/>
        <v/>
      </c>
      <c r="AN349" s="484" t="str">
        <f t="shared" si="92"/>
        <v/>
      </c>
      <c r="AO349" s="473" t="str">
        <f t="shared" si="93"/>
        <v/>
      </c>
      <c r="AP349" s="473" t="str">
        <f t="shared" si="94"/>
        <v/>
      </c>
      <c r="AQ349" s="473" t="str">
        <f t="shared" si="95"/>
        <v/>
      </c>
      <c r="AR349" s="473" t="str">
        <f t="shared" si="96"/>
        <v/>
      </c>
      <c r="AS349" s="473" t="str">
        <f t="shared" si="97"/>
        <v/>
      </c>
      <c r="AT349" s="473" t="str">
        <f t="shared" si="98"/>
        <v/>
      </c>
      <c r="AU349" s="473" t="str">
        <f t="shared" si="99"/>
        <v/>
      </c>
      <c r="AZ349" s="497" t="s">
        <v>465</v>
      </c>
      <c r="BA349" s="34" t="s">
        <v>476</v>
      </c>
      <c r="BB349" s="499"/>
      <c r="BC349" s="271"/>
      <c r="BD349" s="279">
        <v>1</v>
      </c>
      <c r="BE349" s="271"/>
      <c r="BF349" s="271"/>
      <c r="BG349" s="271"/>
      <c r="BH349" s="271"/>
      <c r="BI349" s="271"/>
      <c r="BJ349" s="271"/>
      <c r="BK349" s="271"/>
      <c r="BL349" s="271"/>
    </row>
    <row r="350" spans="18:64" ht="21" customHeight="1" x14ac:dyDescent="0.25">
      <c r="R350" s="34" t="s">
        <v>473</v>
      </c>
      <c r="S350" s="451"/>
      <c r="T350" s="32" t="s">
        <v>309</v>
      </c>
      <c r="V350" s="475">
        <v>8</v>
      </c>
      <c r="W350" s="475" t="str">
        <f>IF($AC$350="","",$W$324)</f>
        <v/>
      </c>
      <c r="X350" s="476" t="str">
        <f>IF($AC$350="","",$X$324)</f>
        <v/>
      </c>
      <c r="Y350" s="477" t="str">
        <f>IF($X$350="","",$Y$324)</f>
        <v/>
      </c>
      <c r="Z350" s="477" t="str">
        <f>IF($X$350="","",$Z$324)</f>
        <v/>
      </c>
      <c r="AA350" s="477" t="str">
        <f>IF($AC$350="","",ROW($A$350)-ROW($A$324))</f>
        <v/>
      </c>
      <c r="AB350" s="478"/>
      <c r="AC350" s="34"/>
      <c r="AD350" s="356"/>
      <c r="AE350" s="18"/>
      <c r="AF350" s="19"/>
      <c r="AG350" s="480" t="str">
        <f t="shared" si="88"/>
        <v/>
      </c>
      <c r="AH350" s="481" t="str">
        <f t="shared" si="89"/>
        <v/>
      </c>
      <c r="AI350" s="477" t="str">
        <f>IF($AC$350="","",IFERROR(INDEX($AZ$74:$AZ$119,MATCH($AH$350,$AY$74:$AY$119,0)),"AUTRE"))</f>
        <v/>
      </c>
      <c r="AJ350" s="482" t="str">
        <f>IF($AC$350="","",IFERROR(INDEX($BA$74:$BA$119,MATCH($AH$350,$AY$74:$AY$119,0)),1))</f>
        <v/>
      </c>
      <c r="AK350" s="482" t="str">
        <f t="shared" si="90"/>
        <v/>
      </c>
      <c r="AL350" s="477" t="str">
        <f>IF($AC$350="","",IFERROR(INDEX($BB$74:$BB$119,MATCH($AH$350,$AY$74:$AY$119,0)),$AH$350))</f>
        <v/>
      </c>
      <c r="AM350" s="483" t="str">
        <f t="shared" si="91"/>
        <v/>
      </c>
      <c r="AN350" s="484" t="str">
        <f t="shared" si="92"/>
        <v/>
      </c>
      <c r="AO350" s="473" t="str">
        <f t="shared" si="93"/>
        <v/>
      </c>
      <c r="AP350" s="473" t="str">
        <f t="shared" si="94"/>
        <v/>
      </c>
      <c r="AQ350" s="473" t="str">
        <f t="shared" si="95"/>
        <v/>
      </c>
      <c r="AR350" s="473" t="str">
        <f t="shared" si="96"/>
        <v/>
      </c>
      <c r="AS350" s="473" t="str">
        <f t="shared" si="97"/>
        <v/>
      </c>
      <c r="AT350" s="473" t="str">
        <f t="shared" si="98"/>
        <v/>
      </c>
      <c r="AU350" s="473" t="str">
        <f t="shared" si="99"/>
        <v/>
      </c>
      <c r="AZ350" s="497" t="s">
        <v>466</v>
      </c>
      <c r="BA350" s="34" t="s">
        <v>468</v>
      </c>
      <c r="BB350" s="499"/>
      <c r="BC350" s="271"/>
      <c r="BD350" s="279">
        <v>1</v>
      </c>
      <c r="BE350" s="271"/>
      <c r="BF350" s="271"/>
      <c r="BG350" s="271"/>
      <c r="BH350" s="271"/>
      <c r="BI350" s="271"/>
      <c r="BJ350" s="271"/>
      <c r="BK350" s="271"/>
      <c r="BL350" s="271"/>
    </row>
    <row r="351" spans="18:64" ht="21" customHeight="1" x14ac:dyDescent="0.25">
      <c r="R351" s="34" t="s">
        <v>497</v>
      </c>
      <c r="S351" s="451"/>
      <c r="T351" s="32" t="s">
        <v>311</v>
      </c>
      <c r="V351" s="475">
        <v>8</v>
      </c>
      <c r="W351" s="475" t="str">
        <f>IF($AC$351="","",$W$324)</f>
        <v/>
      </c>
      <c r="X351" s="476" t="str">
        <f>IF($AC$351="","",$X$324)</f>
        <v/>
      </c>
      <c r="Y351" s="477" t="str">
        <f>IF($X$351="","",$Y$324)</f>
        <v/>
      </c>
      <c r="Z351" s="477" t="str">
        <f>IF($X$351="","",$Z$324)</f>
        <v/>
      </c>
      <c r="AA351" s="477" t="str">
        <f>IF($AC$351="","",ROW($A$351)-ROW($A$324))</f>
        <v/>
      </c>
      <c r="AB351" s="478"/>
      <c r="AC351" s="34"/>
      <c r="AD351" s="356"/>
      <c r="AE351" s="18"/>
      <c r="AF351" s="19"/>
      <c r="AG351" s="480" t="str">
        <f t="shared" si="88"/>
        <v/>
      </c>
      <c r="AH351" s="481" t="str">
        <f t="shared" si="89"/>
        <v/>
      </c>
      <c r="AI351" s="477" t="str">
        <f>IF($AC$351="","",IFERROR(INDEX($AZ$74:$AZ$119,MATCH($AH$351,$AY$74:$AY$119,0)),"AUTRE"))</f>
        <v/>
      </c>
      <c r="AJ351" s="482" t="str">
        <f>IF($AC$351="","",IFERROR(INDEX($BA$74:$BA$119,MATCH($AH$351,$AY$74:$AY$119,0)),1))</f>
        <v/>
      </c>
      <c r="AK351" s="482" t="str">
        <f t="shared" si="90"/>
        <v/>
      </c>
      <c r="AL351" s="477" t="str">
        <f>IF($AC$351="","",IFERROR(INDEX($BB$74:$BB$119,MATCH($AH$351,$AY$74:$AY$119,0)),$AH$351))</f>
        <v/>
      </c>
      <c r="AM351" s="483" t="str">
        <f t="shared" si="91"/>
        <v/>
      </c>
      <c r="AN351" s="484" t="str">
        <f t="shared" si="92"/>
        <v/>
      </c>
      <c r="AO351" s="473" t="str">
        <f t="shared" si="93"/>
        <v/>
      </c>
      <c r="AP351" s="473" t="str">
        <f t="shared" si="94"/>
        <v/>
      </c>
      <c r="AQ351" s="473" t="str">
        <f t="shared" si="95"/>
        <v/>
      </c>
      <c r="AR351" s="473" t="str">
        <f t="shared" si="96"/>
        <v/>
      </c>
      <c r="AS351" s="473" t="str">
        <f t="shared" si="97"/>
        <v/>
      </c>
      <c r="AT351" s="473" t="str">
        <f t="shared" si="98"/>
        <v/>
      </c>
      <c r="AU351" s="473" t="str">
        <f t="shared" si="99"/>
        <v/>
      </c>
      <c r="AZ351" s="14" t="s">
        <v>7</v>
      </c>
      <c r="BA351" s="34" t="s">
        <v>473</v>
      </c>
      <c r="BB351" s="499"/>
      <c r="BC351" s="271"/>
      <c r="BD351" s="279">
        <v>1</v>
      </c>
      <c r="BE351" s="271"/>
      <c r="BF351" s="271"/>
      <c r="BG351" s="271"/>
      <c r="BH351" s="271"/>
      <c r="BI351" s="271"/>
      <c r="BJ351" s="271"/>
      <c r="BK351" s="271"/>
      <c r="BL351" s="271"/>
    </row>
    <row r="352" spans="18:64" ht="21" customHeight="1" x14ac:dyDescent="0.25">
      <c r="R352" s="34" t="s">
        <v>470</v>
      </c>
      <c r="S352" s="451"/>
      <c r="T352" s="32" t="s">
        <v>8135</v>
      </c>
      <c r="V352" s="475">
        <v>8</v>
      </c>
      <c r="W352" s="475" t="str">
        <f>IF($AC$352="","",$W$324)</f>
        <v/>
      </c>
      <c r="X352" s="476" t="str">
        <f>IF($AC$352="","",$X$324)</f>
        <v/>
      </c>
      <c r="Y352" s="477" t="str">
        <f>IF($X$352="","",$Y$324)</f>
        <v/>
      </c>
      <c r="Z352" s="477" t="str">
        <f>IF($X$352="","",$Z$324)</f>
        <v/>
      </c>
      <c r="AA352" s="477" t="str">
        <f>IF($AC$352="","",ROW($A$352)-ROW($A$324))</f>
        <v/>
      </c>
      <c r="AB352" s="478"/>
      <c r="AC352" s="34"/>
      <c r="AD352" s="356"/>
      <c r="AE352" s="18"/>
      <c r="AF352" s="19"/>
      <c r="AG352" s="480" t="str">
        <f t="shared" si="88"/>
        <v/>
      </c>
      <c r="AH352" s="481" t="str">
        <f t="shared" si="89"/>
        <v/>
      </c>
      <c r="AI352" s="477" t="str">
        <f>IF($AC$352="","",IFERROR(INDEX($AZ$74:$AZ$119,MATCH($AH$352,$AY$74:$AY$119,0)),"AUTRE"))</f>
        <v/>
      </c>
      <c r="AJ352" s="482" t="str">
        <f>IF($AC$352="","",IFERROR(INDEX($BA$74:$BA$119,MATCH($AH$352,$AY$74:$AY$119,0)),1))</f>
        <v/>
      </c>
      <c r="AK352" s="482" t="str">
        <f t="shared" si="90"/>
        <v/>
      </c>
      <c r="AL352" s="477" t="str">
        <f>IF($AC$352="","",IFERROR(INDEX($BB$74:$BB$119,MATCH($AH$352,$AY$74:$AY$119,0)),$AH$352))</f>
        <v/>
      </c>
      <c r="AM352" s="483" t="str">
        <f t="shared" si="91"/>
        <v/>
      </c>
      <c r="AN352" s="484" t="str">
        <f t="shared" si="92"/>
        <v/>
      </c>
      <c r="AO352" s="473" t="str">
        <f t="shared" si="93"/>
        <v/>
      </c>
      <c r="AP352" s="473" t="str">
        <f t="shared" si="94"/>
        <v/>
      </c>
      <c r="AQ352" s="473" t="str">
        <f t="shared" si="95"/>
        <v/>
      </c>
      <c r="AR352" s="473" t="str">
        <f t="shared" si="96"/>
        <v/>
      </c>
      <c r="AS352" s="473" t="str">
        <f t="shared" si="97"/>
        <v/>
      </c>
      <c r="AT352" s="473" t="str">
        <f t="shared" si="98"/>
        <v/>
      </c>
      <c r="AU352" s="473" t="str">
        <f t="shared" si="99"/>
        <v/>
      </c>
      <c r="AY352" s="271"/>
      <c r="AZ352" s="27" t="s">
        <v>8</v>
      </c>
      <c r="BA352" s="34" t="s">
        <v>497</v>
      </c>
      <c r="BB352" s="499"/>
      <c r="BC352" s="271"/>
      <c r="BD352" s="279">
        <v>1</v>
      </c>
      <c r="BE352" s="271"/>
      <c r="BF352" s="271"/>
      <c r="BG352" s="271"/>
      <c r="BH352" s="271"/>
      <c r="BI352" s="271"/>
      <c r="BJ352" s="271"/>
      <c r="BK352" s="271"/>
      <c r="BL352" s="271"/>
    </row>
    <row r="353" spans="18:64" ht="21" customHeight="1" x14ac:dyDescent="0.25">
      <c r="R353" s="34" t="s">
        <v>477</v>
      </c>
      <c r="S353" s="451"/>
      <c r="T353" s="497" t="s">
        <v>462</v>
      </c>
      <c r="V353" s="475">
        <v>8</v>
      </c>
      <c r="W353" s="475" t="str">
        <f>IF($AC$353="","",$W$324)</f>
        <v/>
      </c>
      <c r="X353" s="476" t="str">
        <f>IF($AC$353="","",$X$324)</f>
        <v/>
      </c>
      <c r="Y353" s="477" t="str">
        <f>IF($X$353="","",$Y$324)</f>
        <v/>
      </c>
      <c r="Z353" s="477" t="str">
        <f>IF($X$353="","",$Z$324)</f>
        <v/>
      </c>
      <c r="AA353" s="477" t="str">
        <f>IF($AC$353="","",ROW($A$353)-ROW($A$324))</f>
        <v/>
      </c>
      <c r="AB353" s="478"/>
      <c r="AC353" s="34"/>
      <c r="AD353" s="356"/>
      <c r="AE353" s="18"/>
      <c r="AF353" s="19"/>
      <c r="AG353" s="480" t="str">
        <f t="shared" si="88"/>
        <v/>
      </c>
      <c r="AH353" s="481" t="str">
        <f t="shared" si="89"/>
        <v/>
      </c>
      <c r="AI353" s="477" t="str">
        <f>IF($AC$353="","",IFERROR(INDEX($AZ$74:$AZ$119,MATCH($AH$353,$AY$74:$AY$119,0)),"AUTRE"))</f>
        <v/>
      </c>
      <c r="AJ353" s="482" t="str">
        <f>IF($AC$353="","",IFERROR(INDEX($BA$74:$BA$119,MATCH($AH$353,$AY$74:$AY$119,0)),1))</f>
        <v/>
      </c>
      <c r="AK353" s="482" t="str">
        <f t="shared" si="90"/>
        <v/>
      </c>
      <c r="AL353" s="477" t="str">
        <f>IF($AC$353="","",IFERROR(INDEX($BB$74:$BB$119,MATCH($AH$353,$AY$74:$AY$119,0)),$AH$353))</f>
        <v/>
      </c>
      <c r="AM353" s="483" t="str">
        <f t="shared" si="91"/>
        <v/>
      </c>
      <c r="AN353" s="484" t="str">
        <f t="shared" si="92"/>
        <v/>
      </c>
      <c r="AO353" s="473" t="str">
        <f t="shared" si="93"/>
        <v/>
      </c>
      <c r="AP353" s="473" t="str">
        <f t="shared" si="94"/>
        <v/>
      </c>
      <c r="AQ353" s="473" t="str">
        <f t="shared" si="95"/>
        <v/>
      </c>
      <c r="AR353" s="473" t="str">
        <f t="shared" si="96"/>
        <v/>
      </c>
      <c r="AS353" s="473" t="str">
        <f t="shared" si="97"/>
        <v/>
      </c>
      <c r="AT353" s="473" t="str">
        <f t="shared" si="98"/>
        <v/>
      </c>
      <c r="AU353" s="473" t="str">
        <f t="shared" si="99"/>
        <v/>
      </c>
      <c r="AY353" s="497" t="s">
        <v>8145</v>
      </c>
      <c r="AZ353" s="28" t="s">
        <v>13</v>
      </c>
      <c r="BA353" s="34" t="s">
        <v>470</v>
      </c>
      <c r="BB353" s="499"/>
      <c r="BC353" s="271"/>
      <c r="BD353" s="279">
        <v>1</v>
      </c>
      <c r="BE353" s="271"/>
      <c r="BF353" s="271"/>
      <c r="BG353" s="271"/>
      <c r="BH353" s="271"/>
      <c r="BI353" s="271"/>
      <c r="BJ353" s="271"/>
      <c r="BK353" s="271"/>
      <c r="BL353" s="271"/>
    </row>
    <row r="354" spans="18:64" ht="21" customHeight="1" x14ac:dyDescent="0.25">
      <c r="S354" s="451"/>
      <c r="T354" s="497" t="s">
        <v>463</v>
      </c>
      <c r="V354" s="475">
        <v>8</v>
      </c>
      <c r="W354" s="475" t="str">
        <f>IF($AC$354="","",$W$324)</f>
        <v/>
      </c>
      <c r="X354" s="476" t="str">
        <f>IF($AC$354="","",$X$324)</f>
        <v/>
      </c>
      <c r="Y354" s="477" t="str">
        <f>IF($X$354="","",$Y$324)</f>
        <v/>
      </c>
      <c r="Z354" s="477" t="str">
        <f>IF($X$354="","",$Z$324)</f>
        <v/>
      </c>
      <c r="AA354" s="477" t="str">
        <f>IF($AC$354="","",ROW($A$354)-ROW($A$324))</f>
        <v/>
      </c>
      <c r="AB354" s="478"/>
      <c r="AC354" s="34"/>
      <c r="AD354" s="356"/>
      <c r="AE354" s="18"/>
      <c r="AF354" s="19"/>
      <c r="AG354" s="480" t="str">
        <f t="shared" si="88"/>
        <v/>
      </c>
      <c r="AH354" s="481" t="str">
        <f t="shared" si="89"/>
        <v/>
      </c>
      <c r="AI354" s="477" t="str">
        <f>IF($AC$354="","",IFERROR(INDEX($AZ$74:$AZ$119,MATCH($AH$354,$AY$74:$AY$119,0)),"AUTRE"))</f>
        <v/>
      </c>
      <c r="AJ354" s="482" t="str">
        <f>IF($AC$354="","",IFERROR(INDEX($BA$74:$BA$119,MATCH($AH$354,$AY$74:$AY$119,0)),1))</f>
        <v/>
      </c>
      <c r="AK354" s="482" t="str">
        <f t="shared" si="90"/>
        <v/>
      </c>
      <c r="AL354" s="477" t="str">
        <f>IF($AC$354="","",IFERROR(INDEX($BB$74:$BB$119,MATCH($AH$354,$AY$74:$AY$119,0)),$AH$354))</f>
        <v/>
      </c>
      <c r="AM354" s="483" t="str">
        <f t="shared" si="91"/>
        <v/>
      </c>
      <c r="AN354" s="484" t="str">
        <f t="shared" si="92"/>
        <v/>
      </c>
      <c r="AO354" s="473" t="str">
        <f t="shared" si="93"/>
        <v/>
      </c>
      <c r="AP354" s="473" t="str">
        <f t="shared" si="94"/>
        <v/>
      </c>
      <c r="AQ354" s="473" t="str">
        <f t="shared" si="95"/>
        <v/>
      </c>
      <c r="AR354" s="473" t="str">
        <f t="shared" si="96"/>
        <v/>
      </c>
      <c r="AS354" s="473" t="str">
        <f t="shared" si="97"/>
        <v/>
      </c>
      <c r="AT354" s="473" t="str">
        <f t="shared" si="98"/>
        <v/>
      </c>
      <c r="AU354" s="473" t="str">
        <f t="shared" si="99"/>
        <v/>
      </c>
      <c r="AY354" s="497" t="s">
        <v>462</v>
      </c>
      <c r="AZ354" s="28" t="s">
        <v>14</v>
      </c>
      <c r="BA354" s="34" t="s">
        <v>477</v>
      </c>
      <c r="BB354" s="499"/>
      <c r="BC354" s="271"/>
      <c r="BD354" s="279">
        <v>1</v>
      </c>
      <c r="BE354" s="271"/>
      <c r="BF354" s="271"/>
      <c r="BG354" s="271"/>
      <c r="BH354" s="271"/>
      <c r="BI354" s="271"/>
      <c r="BJ354" s="271"/>
      <c r="BK354" s="271"/>
      <c r="BL354" s="271"/>
    </row>
    <row r="355" spans="18:64" ht="21" customHeight="1" x14ac:dyDescent="0.25">
      <c r="R355" s="25" t="s">
        <v>6134</v>
      </c>
      <c r="S355" s="451"/>
      <c r="T355" s="497" t="s">
        <v>8147</v>
      </c>
      <c r="V355" s="475">
        <v>8</v>
      </c>
      <c r="W355" s="475" t="str">
        <f>IF($AC$355="","",$W$324)</f>
        <v/>
      </c>
      <c r="X355" s="476" t="str">
        <f>IF($AC$355="","",$X$324)</f>
        <v/>
      </c>
      <c r="Y355" s="477" t="str">
        <f>IF($X$355="","",$Y$324)</f>
        <v/>
      </c>
      <c r="Z355" s="477" t="str">
        <f>IF($X$355="","",$Z$324)</f>
        <v/>
      </c>
      <c r="AA355" s="477" t="str">
        <f>IF($AC$355="","",ROW($A$355)-ROW($A$324))</f>
        <v/>
      </c>
      <c r="AB355" s="478"/>
      <c r="AC355" s="34"/>
      <c r="AD355" s="356"/>
      <c r="AE355" s="18"/>
      <c r="AF355" s="19"/>
      <c r="AG355" s="480" t="str">
        <f t="shared" si="88"/>
        <v/>
      </c>
      <c r="AH355" s="481" t="str">
        <f t="shared" si="89"/>
        <v/>
      </c>
      <c r="AI355" s="477" t="str">
        <f>IF($AC$355="","",IFERROR(INDEX($AZ$74:$AZ$119,MATCH($AH$355,$AY$74:$AY$119,0)),"AUTRE"))</f>
        <v/>
      </c>
      <c r="AJ355" s="482" t="str">
        <f>IF($AC$355="","",IFERROR(INDEX($BA$74:$BA$119,MATCH($AH$355,$AY$74:$AY$119,0)),1))</f>
        <v/>
      </c>
      <c r="AK355" s="482" t="str">
        <f t="shared" si="90"/>
        <v/>
      </c>
      <c r="AL355" s="477" t="str">
        <f>IF($AC$355="","",IFERROR(INDEX($BB$74:$BB$119,MATCH($AH$355,$AY$74:$AY$119,0)),$AH$355))</f>
        <v/>
      </c>
      <c r="AM355" s="483" t="str">
        <f t="shared" si="91"/>
        <v/>
      </c>
      <c r="AN355" s="484" t="str">
        <f t="shared" si="92"/>
        <v/>
      </c>
      <c r="AO355" s="473" t="str">
        <f t="shared" si="93"/>
        <v/>
      </c>
      <c r="AP355" s="473" t="str">
        <f t="shared" si="94"/>
        <v/>
      </c>
      <c r="AQ355" s="473" t="str">
        <f t="shared" si="95"/>
        <v/>
      </c>
      <c r="AR355" s="473" t="str">
        <f t="shared" si="96"/>
        <v/>
      </c>
      <c r="AS355" s="473" t="str">
        <f t="shared" si="97"/>
        <v/>
      </c>
      <c r="AT355" s="473" t="str">
        <f t="shared" si="98"/>
        <v/>
      </c>
      <c r="AU355" s="473" t="str">
        <f t="shared" si="99"/>
        <v/>
      </c>
      <c r="AY355" s="497" t="s">
        <v>463</v>
      </c>
      <c r="AZ355" s="28" t="s">
        <v>15</v>
      </c>
      <c r="BB355" s="499"/>
      <c r="BC355" s="271"/>
      <c r="BD355" s="279">
        <v>1</v>
      </c>
      <c r="BE355" s="271"/>
      <c r="BF355" s="271"/>
      <c r="BG355" s="271"/>
      <c r="BH355" s="271"/>
      <c r="BI355" s="271"/>
      <c r="BJ355" s="271"/>
      <c r="BK355" s="271"/>
      <c r="BL355" s="271"/>
    </row>
    <row r="356" spans="18:64" ht="21" customHeight="1" x14ac:dyDescent="0.25">
      <c r="R356" s="34" t="s">
        <v>481</v>
      </c>
      <c r="S356" s="451"/>
      <c r="T356" s="497" t="s">
        <v>465</v>
      </c>
      <c r="V356" s="475">
        <v>8</v>
      </c>
      <c r="W356" s="475" t="str">
        <f>IF($AC$356="","",$W$324)</f>
        <v/>
      </c>
      <c r="X356" s="476" t="str">
        <f>IF($AC$356="","",$X$324)</f>
        <v/>
      </c>
      <c r="Y356" s="477" t="str">
        <f>IF($X$356="","",$Y$324)</f>
        <v/>
      </c>
      <c r="Z356" s="477" t="str">
        <f>IF($X$356="","",$Z$324)</f>
        <v/>
      </c>
      <c r="AA356" s="477" t="str">
        <f>IF($AC$356="","",ROW($A$356)-ROW($A$324))</f>
        <v/>
      </c>
      <c r="AB356" s="478"/>
      <c r="AC356" s="34"/>
      <c r="AD356" s="356"/>
      <c r="AE356" s="18"/>
      <c r="AF356" s="19"/>
      <c r="AG356" s="480" t="str">
        <f t="shared" si="88"/>
        <v/>
      </c>
      <c r="AH356" s="481" t="str">
        <f t="shared" si="89"/>
        <v/>
      </c>
      <c r="AI356" s="477" t="str">
        <f>IF($AC$356="","",IFERROR(INDEX($AZ$74:$AZ$119,MATCH($AH$356,$AY$74:$AY$119,0)),"AUTRE"))</f>
        <v/>
      </c>
      <c r="AJ356" s="482" t="str">
        <f>IF($AC$356="","",IFERROR(INDEX($BA$74:$BA$119,MATCH($AH$356,$AY$74:$AY$119,0)),1))</f>
        <v/>
      </c>
      <c r="AK356" s="482" t="str">
        <f t="shared" si="90"/>
        <v/>
      </c>
      <c r="AL356" s="477" t="str">
        <f>IF($AC$356="","",IFERROR(INDEX($BB$74:$BB$119,MATCH($AH$356,$AY$74:$AY$119,0)),$AH$356))</f>
        <v/>
      </c>
      <c r="AM356" s="483" t="str">
        <f t="shared" si="91"/>
        <v/>
      </c>
      <c r="AN356" s="484" t="str">
        <f t="shared" si="92"/>
        <v/>
      </c>
      <c r="AO356" s="473" t="str">
        <f t="shared" si="93"/>
        <v/>
      </c>
      <c r="AP356" s="473" t="str">
        <f t="shared" si="94"/>
        <v/>
      </c>
      <c r="AQ356" s="473" t="str">
        <f t="shared" si="95"/>
        <v/>
      </c>
      <c r="AR356" s="473" t="str">
        <f t="shared" si="96"/>
        <v/>
      </c>
      <c r="AS356" s="473" t="str">
        <f t="shared" si="97"/>
        <v/>
      </c>
      <c r="AT356" s="473" t="str">
        <f t="shared" si="98"/>
        <v/>
      </c>
      <c r="AU356" s="473" t="str">
        <f t="shared" si="99"/>
        <v/>
      </c>
      <c r="AY356" s="497" t="s">
        <v>8147</v>
      </c>
      <c r="AZ356" s="29" t="s">
        <v>9</v>
      </c>
      <c r="BA356" s="25" t="s">
        <v>6134</v>
      </c>
      <c r="BB356" s="499"/>
      <c r="BC356" s="271"/>
      <c r="BD356" s="279">
        <v>1</v>
      </c>
      <c r="BE356" s="271"/>
      <c r="BF356" s="271"/>
      <c r="BG356" s="271"/>
      <c r="BH356" s="271"/>
      <c r="BI356" s="271"/>
      <c r="BJ356" s="271"/>
      <c r="BK356" s="271"/>
      <c r="BL356" s="271"/>
    </row>
    <row r="357" spans="18:64" ht="21" customHeight="1" x14ac:dyDescent="0.25">
      <c r="R357" s="34" t="s">
        <v>475</v>
      </c>
      <c r="S357" s="451"/>
      <c r="T357" s="497" t="s">
        <v>466</v>
      </c>
      <c r="V357" s="475">
        <v>8</v>
      </c>
      <c r="W357" s="475" t="str">
        <f>IF($AC$357="","",$W$324)</f>
        <v/>
      </c>
      <c r="X357" s="476" t="str">
        <f>IF($AC$357="","",$X$324)</f>
        <v/>
      </c>
      <c r="Y357" s="477" t="str">
        <f>IF($X$357="","",$Y$324)</f>
        <v/>
      </c>
      <c r="Z357" s="477" t="str">
        <f>IF($X$357="","",$Z$324)</f>
        <v/>
      </c>
      <c r="AA357" s="477" t="str">
        <f>IF($AC$357="","",ROW($A$357)-ROW($A$324))</f>
        <v/>
      </c>
      <c r="AB357" s="478"/>
      <c r="AC357" s="34"/>
      <c r="AD357" s="356"/>
      <c r="AE357" s="18"/>
      <c r="AF357" s="19"/>
      <c r="AG357" s="480" t="str">
        <f t="shared" si="88"/>
        <v/>
      </c>
      <c r="AH357" s="481" t="str">
        <f t="shared" si="89"/>
        <v/>
      </c>
      <c r="AI357" s="477" t="str">
        <f>IF($AC$357="","",IFERROR(INDEX($AZ$74:$AZ$119,MATCH($AH$357,$AY$74:$AY$119,0)),"AUTRE"))</f>
        <v/>
      </c>
      <c r="AJ357" s="482" t="str">
        <f>IF($AC$357="","",IFERROR(INDEX($BA$74:$BA$119,MATCH($AH$357,$AY$74:$AY$119,0)),1))</f>
        <v/>
      </c>
      <c r="AK357" s="482" t="str">
        <f t="shared" si="90"/>
        <v/>
      </c>
      <c r="AL357" s="477" t="str">
        <f>IF($AC$357="","",IFERROR(INDEX($BB$74:$BB$119,MATCH($AH$357,$AY$74:$AY$119,0)),$AH$357))</f>
        <v/>
      </c>
      <c r="AM357" s="483" t="str">
        <f t="shared" si="91"/>
        <v/>
      </c>
      <c r="AN357" s="484" t="str">
        <f t="shared" si="92"/>
        <v/>
      </c>
      <c r="AO357" s="473" t="str">
        <f t="shared" si="93"/>
        <v/>
      </c>
      <c r="AP357" s="473" t="str">
        <f t="shared" si="94"/>
        <v/>
      </c>
      <c r="AQ357" s="473" t="str">
        <f t="shared" si="95"/>
        <v/>
      </c>
      <c r="AR357" s="473" t="str">
        <f t="shared" si="96"/>
        <v/>
      </c>
      <c r="AS357" s="473" t="str">
        <f t="shared" si="97"/>
        <v/>
      </c>
      <c r="AT357" s="473" t="str">
        <f t="shared" si="98"/>
        <v/>
      </c>
      <c r="AU357" s="473" t="str">
        <f t="shared" si="99"/>
        <v/>
      </c>
      <c r="AY357" s="497" t="s">
        <v>465</v>
      </c>
      <c r="AZ357" s="30" t="s">
        <v>10</v>
      </c>
      <c r="BA357" s="34" t="s">
        <v>481</v>
      </c>
      <c r="BB357" s="499"/>
      <c r="BC357" s="271"/>
      <c r="BD357" s="279">
        <v>1</v>
      </c>
      <c r="BE357" s="271"/>
      <c r="BF357" s="271"/>
      <c r="BG357" s="271"/>
      <c r="BH357" s="271"/>
      <c r="BI357" s="271"/>
      <c r="BJ357" s="271"/>
      <c r="BK357" s="271"/>
      <c r="BL357" s="271"/>
    </row>
    <row r="358" spans="18:64" ht="21" customHeight="1" x14ac:dyDescent="0.25">
      <c r="R358" s="34" t="s">
        <v>457</v>
      </c>
      <c r="S358" s="451"/>
      <c r="T358" s="440" t="s">
        <v>8110</v>
      </c>
      <c r="V358" s="475">
        <v>8</v>
      </c>
      <c r="W358" s="475" t="str">
        <f>IF($AC$358="","",$W$324)</f>
        <v/>
      </c>
      <c r="X358" s="476" t="str">
        <f>IF($AC$358="","",$X$324)</f>
        <v/>
      </c>
      <c r="Y358" s="477" t="str">
        <f>IF($X$358="","",$Y$324)</f>
        <v/>
      </c>
      <c r="Z358" s="477" t="str">
        <f>IF($X$358="","",$Z$324)</f>
        <v/>
      </c>
      <c r="AA358" s="477" t="str">
        <f>IF($AC$358="","",ROW($A$358)-ROW($A$324))</f>
        <v/>
      </c>
      <c r="AB358" s="478"/>
      <c r="AC358" s="34"/>
      <c r="AD358" s="356"/>
      <c r="AE358" s="18"/>
      <c r="AF358" s="19"/>
      <c r="AG358" s="491" t="str">
        <f t="shared" si="88"/>
        <v/>
      </c>
      <c r="AH358" s="481" t="str">
        <f t="shared" si="89"/>
        <v/>
      </c>
      <c r="AI358" s="477" t="str">
        <f>IF($AC$358="","",IFERROR(INDEX($AZ$74:$AZ$119,MATCH($AH$358,$AY$74:$AY$119,0)),"AUTRE"))</f>
        <v/>
      </c>
      <c r="AJ358" s="482" t="str">
        <f>IF($AC$358="","",IFERROR(INDEX($BA$74:$BA$119,MATCH($AH$358,$AY$74:$AY$119,0)),1))</f>
        <v/>
      </c>
      <c r="AK358" s="482" t="str">
        <f t="shared" si="90"/>
        <v/>
      </c>
      <c r="AL358" s="477" t="str">
        <f>IF($AC$358="","",IFERROR(INDEX($BB$74:$BB$119,MATCH($AH$358,$AY$74:$AY$119,0)),$AH$358))</f>
        <v/>
      </c>
      <c r="AM358" s="483" t="str">
        <f t="shared" si="91"/>
        <v/>
      </c>
      <c r="AN358" s="484" t="str">
        <f t="shared" si="92"/>
        <v/>
      </c>
      <c r="AO358" s="473" t="str">
        <f t="shared" si="93"/>
        <v/>
      </c>
      <c r="AP358" s="473" t="str">
        <f t="shared" si="94"/>
        <v/>
      </c>
      <c r="AQ358" s="473" t="str">
        <f t="shared" si="95"/>
        <v/>
      </c>
      <c r="AR358" s="473" t="str">
        <f t="shared" si="96"/>
        <v/>
      </c>
      <c r="AS358" s="473" t="str">
        <f t="shared" si="97"/>
        <v/>
      </c>
      <c r="AT358" s="473" t="str">
        <f t="shared" si="98"/>
        <v/>
      </c>
      <c r="AU358" s="473" t="str">
        <f t="shared" si="99"/>
        <v/>
      </c>
      <c r="AY358" s="497" t="s">
        <v>466</v>
      </c>
      <c r="AZ358" s="30" t="s">
        <v>11</v>
      </c>
      <c r="BA358" s="34" t="s">
        <v>475</v>
      </c>
      <c r="BB358" s="499"/>
      <c r="BC358" s="271"/>
      <c r="BD358" s="279">
        <v>1</v>
      </c>
      <c r="BE358" s="271"/>
      <c r="BF358" s="271"/>
      <c r="BG358" s="271"/>
      <c r="BH358" s="271"/>
      <c r="BI358" s="271"/>
      <c r="BJ358" s="271"/>
      <c r="BK358" s="271"/>
      <c r="BL358" s="271"/>
    </row>
    <row r="359" spans="18:64" ht="30" customHeight="1" x14ac:dyDescent="0.25">
      <c r="R359" s="34" t="s">
        <v>482</v>
      </c>
      <c r="S359" s="451"/>
      <c r="T359" s="452" t="s">
        <v>8113</v>
      </c>
      <c r="V359" s="453" t="s">
        <v>324</v>
      </c>
      <c r="W359" s="453" t="s">
        <v>7912</v>
      </c>
      <c r="X359" s="453" t="s">
        <v>326</v>
      </c>
      <c r="Y359" s="453" t="s">
        <v>327</v>
      </c>
      <c r="Z359" s="454" t="s">
        <v>7930</v>
      </c>
      <c r="AA359" s="453" t="s">
        <v>7937</v>
      </c>
      <c r="AB359" s="455" t="s">
        <v>39</v>
      </c>
      <c r="AC359" s="455" t="s">
        <v>338</v>
      </c>
      <c r="AD359" s="455" t="s">
        <v>8114</v>
      </c>
      <c r="AE359" s="455" t="s">
        <v>339</v>
      </c>
      <c r="AF359" s="455" t="s">
        <v>7997</v>
      </c>
      <c r="AG359" s="453" t="s">
        <v>8018</v>
      </c>
      <c r="AH359" s="453" t="s">
        <v>8023</v>
      </c>
      <c r="AI359" s="453" t="s">
        <v>330</v>
      </c>
      <c r="AJ359" s="453" t="s">
        <v>8031</v>
      </c>
      <c r="AK359" s="453" t="s">
        <v>8037</v>
      </c>
      <c r="AL359" s="453" t="s">
        <v>8041</v>
      </c>
      <c r="AM359" s="453" t="s">
        <v>343</v>
      </c>
      <c r="AN359" s="457" t="s">
        <v>8115</v>
      </c>
      <c r="AO359" s="457" t="s">
        <v>8116</v>
      </c>
      <c r="AP359" s="656" t="s">
        <v>8117</v>
      </c>
      <c r="AQ359" s="656"/>
      <c r="AR359" s="656"/>
      <c r="AS359" s="656"/>
      <c r="AT359" s="656"/>
      <c r="AU359" s="657"/>
      <c r="AZ359" s="30" t="s">
        <v>12</v>
      </c>
      <c r="BA359" s="34" t="s">
        <v>457</v>
      </c>
      <c r="BB359" s="499"/>
      <c r="BC359" s="271"/>
      <c r="BD359" s="279">
        <v>1</v>
      </c>
      <c r="BE359" s="271"/>
      <c r="BF359" s="271"/>
      <c r="BG359" s="271"/>
      <c r="BH359" s="271"/>
      <c r="BI359" s="271"/>
      <c r="BJ359" s="271"/>
      <c r="BK359" s="271"/>
      <c r="BL359" s="271"/>
    </row>
    <row r="360" spans="18:64" ht="30" customHeight="1" x14ac:dyDescent="0.25">
      <c r="R360" s="34" t="s">
        <v>496</v>
      </c>
      <c r="S360" s="451"/>
      <c r="T360" s="14" t="s">
        <v>7</v>
      </c>
      <c r="V360" s="459">
        <v>9</v>
      </c>
      <c r="W360" s="460" t="s">
        <v>108</v>
      </c>
      <c r="X360" s="461" t="s">
        <v>107</v>
      </c>
      <c r="Y360" s="462">
        <v>26</v>
      </c>
      <c r="Z360" s="463">
        <v>100</v>
      </c>
      <c r="AA360" s="464">
        <f>IF($AC$396="","",ROW($A$396)-ROW($A$396))</f>
        <v>0</v>
      </c>
      <c r="AB360" s="461"/>
      <c r="AC360" s="465" t="s">
        <v>109</v>
      </c>
      <c r="AD360" s="390"/>
      <c r="AE360" s="13">
        <v>3</v>
      </c>
      <c r="AF360" s="14" t="s">
        <v>7</v>
      </c>
      <c r="AG360" s="467">
        <f t="shared" ref="AG360:AG394" si="100">IF($AC360="","",IF(LEN($AN360&amp;"")=0,"",$AN360))</f>
        <v>3</v>
      </c>
      <c r="AH360" s="468" t="str">
        <f t="shared" ref="AH360:AH394" si="101">IF($AC360="","",IF($AF360&lt;&gt;"",UPPER(TRIM(SUBSTITUTE(SUBSTITUTE($AF360&amp;"",CHAR(160)," ")," "," "))),$AP360))</f>
        <v>KG</v>
      </c>
      <c r="AI360" s="469" t="str">
        <f>IF($AC$360="","",IFERROR(INDEX($AZ$74:$AZ$119,MATCH($AH$360,$AY$74:$AY$119,0)),"AUTRE"))</f>
        <v>MASSE</v>
      </c>
      <c r="AJ360" s="470">
        <f>IF($AC$360="","",IFERROR(INDEX($BA$74:$BA$119,MATCH($AH$360,$AY$74:$AY$119,0)),1))</f>
        <v>1</v>
      </c>
      <c r="AK360" s="470">
        <f t="shared" ref="AK360:AK394" si="102">IF(OR(AG360="",AJ360=""),"",AG360*AJ360)</f>
        <v>3</v>
      </c>
      <c r="AL360" s="469" t="str">
        <f>IF($AC$360="","",IFERROR(INDEX($BB$74:$BB$119,MATCH($AH$360,$AY$74:$AY$119,0)),$AH$360))</f>
        <v>kg</v>
      </c>
      <c r="AM360" s="471" t="str">
        <f t="shared" ref="AM360:AM394" si="103">IF($AC360="","",IF($AH360="QT. SUFFISANTE","OK",IF($AG360="","TEXTE",IF(NOT(ISNUMBER($AG360)),"QUANTITÉ À CONTRÔLER",IF(COUNTIF($AY$74:$AY$119,$AH360)=0,"UNITÉ À CONTRÔLER","OK")))))</f>
        <v>OK</v>
      </c>
      <c r="AN360" s="474">
        <f t="shared" ref="AN360:AN394" si="104">IF($AE360&lt;&gt;"",$AE360,IF($AD360="","",IF(ISNUMBER($AD360),$AD360,IF($AO360="QT",0,IF($AO360="","",IFERROR(IF(ISNUMBER(SEARCH("/",$AO360)),VALUE(TRIM(LEFT($AO360,SEARCH("/",$AO360)-1)))/VALUE(TRIM(MID($AO360,SEARCH("/",$AO360)+1,99))),VALUE(SUBSTITUTE($AO360,".",","))),""))))))</f>
        <v>3</v>
      </c>
      <c r="AO360" s="473" t="str">
        <f t="shared" ref="AO360:AO394" si="105">IF($AD360="","",IF(ISNUMBER($AD360),$AD360,IF(OR(LEFT($AQ360,3)="QT.",LEFT($AQ360,4)="QUAN"),"QT",IF($AR360=999,$AQ360,TRIM(LEFT($AQ360,$AR360-1))))))</f>
        <v/>
      </c>
      <c r="AP360" s="473" t="str">
        <f t="shared" ref="AP360:AP394" si="106">IF($AD360="","",IF(ISNUMBER($AD360),"",IF(OR(LEFT($AQ360,3)="QT.",LEFT($AQ360,4)="QUAN"),"QT. SUFFISANTE",IF($AO360="","",TRIM(MID($AQ360,LEN($AO360&amp;"")+1,999))))))</f>
        <v/>
      </c>
      <c r="AQ360" s="473" t="str">
        <f t="shared" ref="AQ360:AQ394" si="107">IF($AD360="","",UPPER(TRIM(SUBSTITUTE(SUBSTITUTE($AD360&amp;"",CHAR(160)," ")," "," "))))</f>
        <v/>
      </c>
      <c r="AR360" s="473" t="str">
        <f t="shared" ref="AR360:AR394" si="108">IF($AQ360="","",MIN($AS360,$AT360,$AU360))</f>
        <v/>
      </c>
      <c r="AS360" s="473" t="str">
        <f t="shared" ref="AS360:AS394" si="109">IF($AQ360="","",MIN(IFERROR(SEARCH("A",$AQ360),999),IFERROR(SEARCH("B",$AQ360),999),IFERROR(SEARCH("C",$AQ360),999),IFERROR(SEARCH("D",$AQ360),999),IFERROR(SEARCH("E",$AQ360),999),IFERROR(SEARCH("F",$AQ360),999),IFERROR(SEARCH("G",$AQ360),999),IFERROR(SEARCH("H",$AQ360),999),IFERROR(SEARCH("I",$AQ360),999)))</f>
        <v/>
      </c>
      <c r="AT360" s="473" t="str">
        <f t="shared" ref="AT360:AT394" si="110">IF($AQ360="","",MIN(IFERROR(SEARCH("J",$AQ360),999),IFERROR(SEARCH("K",$AQ360),999),IFERROR(SEARCH("L",$AQ360),999),IFERROR(SEARCH("M",$AQ360),999),IFERROR(SEARCH("N",$AQ360),999),IFERROR(SEARCH("O",$AQ360),999),IFERROR(SEARCH("P",$AQ360),999),IFERROR(SEARCH("Q",$AQ360),999),IFERROR(SEARCH("R",$AQ360),999)))</f>
        <v/>
      </c>
      <c r="AU360" s="473" t="str">
        <f t="shared" ref="AU360:AU394" si="111">IF($AQ360="","",MIN(IFERROR(SEARCH("S",$AQ360),999),IFERROR(SEARCH("T",$AQ360),999),IFERROR(SEARCH("U",$AQ360),999),IFERROR(SEARCH("V",$AQ360),999),IFERROR(SEARCH("W",$AQ360),999),IFERROR(SEARCH("X",$AQ360),999),IFERROR(SEARCH("Y",$AQ360),999),IFERROR(SEARCH("Z",$AQ360),999)))</f>
        <v/>
      </c>
      <c r="AZ360" s="31" t="s">
        <v>16</v>
      </c>
      <c r="BA360" s="34" t="s">
        <v>482</v>
      </c>
      <c r="BB360" s="499"/>
      <c r="BC360" s="271"/>
      <c r="BD360" s="279">
        <v>1</v>
      </c>
      <c r="BE360" s="271"/>
      <c r="BF360" s="271"/>
      <c r="BG360" s="271"/>
      <c r="BH360" s="271"/>
      <c r="BI360" s="271"/>
      <c r="BJ360" s="271"/>
      <c r="BK360" s="271"/>
      <c r="BL360" s="271"/>
    </row>
    <row r="361" spans="18:64" ht="21" customHeight="1" x14ac:dyDescent="0.25">
      <c r="R361" s="34" t="s">
        <v>483</v>
      </c>
      <c r="S361" s="451"/>
      <c r="T361" s="27" t="s">
        <v>8</v>
      </c>
      <c r="V361" s="475">
        <f>$V$360</f>
        <v>9</v>
      </c>
      <c r="W361" s="475" t="str">
        <f>IF($AC$361="","",$W$360)</f>
        <v>N° 09</v>
      </c>
      <c r="X361" s="476" t="str">
        <f>IF($AC$361="","",$X$360)</f>
        <v>PIEMONTAISE DE CURCUBITACÉS</v>
      </c>
      <c r="Y361" s="477">
        <f>IF($X$361="","",$Y$360)</f>
        <v>26</v>
      </c>
      <c r="Z361" s="477">
        <f>IF($X$361="","",$Z$360)</f>
        <v>100</v>
      </c>
      <c r="AA361" s="477">
        <f>IF($AC$361="","",ROW($A$361)-ROW($A$360))</f>
        <v>1</v>
      </c>
      <c r="AB361" s="478"/>
      <c r="AC361" s="34" t="s">
        <v>110</v>
      </c>
      <c r="AD361" s="356"/>
      <c r="AE361" s="18">
        <v>3</v>
      </c>
      <c r="AF361" s="3" t="s">
        <v>7</v>
      </c>
      <c r="AG361" s="480">
        <f t="shared" si="100"/>
        <v>3</v>
      </c>
      <c r="AH361" s="481" t="str">
        <f t="shared" si="101"/>
        <v>KG</v>
      </c>
      <c r="AI361" s="477" t="str">
        <f>IF($AC$361="","",IFERROR(INDEX($AZ$74:$AZ$119,MATCH($AH$361,$AY$74:$AY$119,0)),"AUTRE"))</f>
        <v>MASSE</v>
      </c>
      <c r="AJ361" s="482">
        <f>IF($AC$361="","",IFERROR(INDEX($BA$74:$BA$119,MATCH($AH$361,$AY$74:$AY$119,0)),1))</f>
        <v>1</v>
      </c>
      <c r="AK361" s="482">
        <f t="shared" si="102"/>
        <v>3</v>
      </c>
      <c r="AL361" s="477" t="str">
        <f>IF($AC$361="","",IFERROR(INDEX($BB$74:$BB$119,MATCH($AH$361,$AY$74:$AY$119,0)),$AH$361))</f>
        <v>kg</v>
      </c>
      <c r="AM361" s="483" t="str">
        <f t="shared" si="103"/>
        <v>OK</v>
      </c>
      <c r="AN361" s="484">
        <f t="shared" si="104"/>
        <v>3</v>
      </c>
      <c r="AO361" s="473" t="str">
        <f t="shared" si="105"/>
        <v/>
      </c>
      <c r="AP361" s="473" t="str">
        <f t="shared" si="106"/>
        <v/>
      </c>
      <c r="AQ361" s="473" t="str">
        <f t="shared" si="107"/>
        <v/>
      </c>
      <c r="AR361" s="473" t="str">
        <f t="shared" si="108"/>
        <v/>
      </c>
      <c r="AS361" s="473" t="str">
        <f t="shared" si="109"/>
        <v/>
      </c>
      <c r="AT361" s="473" t="str">
        <f t="shared" si="110"/>
        <v/>
      </c>
      <c r="AU361" s="473" t="str">
        <f t="shared" si="111"/>
        <v/>
      </c>
      <c r="AZ361" s="31" t="s">
        <v>17</v>
      </c>
      <c r="BA361" s="34" t="s">
        <v>496</v>
      </c>
      <c r="BB361" s="499"/>
      <c r="BC361" s="271"/>
      <c r="BD361" s="279">
        <v>1</v>
      </c>
      <c r="BE361" s="271"/>
      <c r="BF361" s="271"/>
      <c r="BG361" s="271"/>
      <c r="BH361" s="271"/>
      <c r="BI361" s="271"/>
      <c r="BJ361" s="271"/>
      <c r="BK361" s="271"/>
      <c r="BL361" s="271"/>
    </row>
    <row r="362" spans="18:64" ht="21" customHeight="1" x14ac:dyDescent="0.25">
      <c r="R362" s="34" t="s">
        <v>493</v>
      </c>
      <c r="S362" s="451"/>
      <c r="T362" s="28" t="s">
        <v>13</v>
      </c>
      <c r="V362" s="475">
        <v>9</v>
      </c>
      <c r="W362" s="475" t="str">
        <f>IF($AC$362="","",$W$360)</f>
        <v>N° 09</v>
      </c>
      <c r="X362" s="476" t="str">
        <f>IF($AC$362="","",$X$360)</f>
        <v>PIEMONTAISE DE CURCUBITACÉS</v>
      </c>
      <c r="Y362" s="477">
        <f>IF($X$362="","",$Y$360)</f>
        <v>26</v>
      </c>
      <c r="Z362" s="477">
        <f>IF($X$362="","",$Z$360)</f>
        <v>100</v>
      </c>
      <c r="AA362" s="477">
        <f>IF($AC$362="","",ROW($A$362)-ROW($A$360))</f>
        <v>2</v>
      </c>
      <c r="AB362" s="478"/>
      <c r="AC362" s="34" t="s">
        <v>88</v>
      </c>
      <c r="AD362" s="356"/>
      <c r="AE362" s="18">
        <v>5</v>
      </c>
      <c r="AF362" s="3" t="s">
        <v>7</v>
      </c>
      <c r="AG362" s="480">
        <f t="shared" si="100"/>
        <v>5</v>
      </c>
      <c r="AH362" s="481" t="str">
        <f t="shared" si="101"/>
        <v>KG</v>
      </c>
      <c r="AI362" s="477" t="str">
        <f>IF($AC$362="","",IFERROR(INDEX($AZ$74:$AZ$119,MATCH($AH$362,$AY$74:$AY$119,0)),"AUTRE"))</f>
        <v>MASSE</v>
      </c>
      <c r="AJ362" s="482">
        <f>IF($AC$362="","",IFERROR(INDEX($BA$74:$BA$119,MATCH($AH$362,$AY$74:$AY$119,0)),1))</f>
        <v>1</v>
      </c>
      <c r="AK362" s="482">
        <f t="shared" si="102"/>
        <v>5</v>
      </c>
      <c r="AL362" s="477" t="str">
        <f>IF($AC$362="","",IFERROR(INDEX($BB$74:$BB$119,MATCH($AH$362,$AY$74:$AY$119,0)),$AH$362))</f>
        <v>kg</v>
      </c>
      <c r="AM362" s="483" t="str">
        <f t="shared" si="103"/>
        <v>OK</v>
      </c>
      <c r="AN362" s="484">
        <f t="shared" si="104"/>
        <v>5</v>
      </c>
      <c r="AO362" s="473" t="str">
        <f t="shared" si="105"/>
        <v/>
      </c>
      <c r="AP362" s="473" t="str">
        <f t="shared" si="106"/>
        <v/>
      </c>
      <c r="AQ362" s="473" t="str">
        <f t="shared" si="107"/>
        <v/>
      </c>
      <c r="AR362" s="473" t="str">
        <f t="shared" si="108"/>
        <v/>
      </c>
      <c r="AS362" s="473" t="str">
        <f t="shared" si="109"/>
        <v/>
      </c>
      <c r="AT362" s="473" t="str">
        <f t="shared" si="110"/>
        <v/>
      </c>
      <c r="AU362" s="473" t="str">
        <f t="shared" si="111"/>
        <v/>
      </c>
      <c r="AZ362" s="31" t="s">
        <v>18</v>
      </c>
      <c r="BA362" s="34" t="s">
        <v>483</v>
      </c>
      <c r="BB362" s="499"/>
      <c r="BC362" s="271"/>
      <c r="BD362" s="279">
        <v>1</v>
      </c>
      <c r="BE362" s="271"/>
      <c r="BF362" s="271"/>
      <c r="BG362" s="271"/>
      <c r="BH362" s="271"/>
      <c r="BI362" s="271"/>
      <c r="BJ362" s="271"/>
      <c r="BK362" s="271"/>
      <c r="BL362" s="271"/>
    </row>
    <row r="363" spans="18:64" ht="21" customHeight="1" x14ac:dyDescent="0.25">
      <c r="R363" s="34" t="s">
        <v>494</v>
      </c>
      <c r="S363" s="451"/>
      <c r="T363" s="28" t="s">
        <v>14</v>
      </c>
      <c r="V363" s="475">
        <v>9</v>
      </c>
      <c r="W363" s="475" t="str">
        <f>IF($AC$363="","",$W$360)</f>
        <v>N° 09</v>
      </c>
      <c r="X363" s="476" t="str">
        <f>IF($AC$363="","",$X$360)</f>
        <v>PIEMONTAISE DE CURCUBITACÉS</v>
      </c>
      <c r="Y363" s="477">
        <f>IF($X$363="","",$Y$360)</f>
        <v>26</v>
      </c>
      <c r="Z363" s="477">
        <f>IF($X$363="","",$Z$360)</f>
        <v>100</v>
      </c>
      <c r="AA363" s="477">
        <f>IF($AC$363="","",ROW($A$363)-ROW($A$360))</f>
        <v>3</v>
      </c>
      <c r="AB363" s="478"/>
      <c r="AC363" s="34" t="s">
        <v>111</v>
      </c>
      <c r="AD363" s="356"/>
      <c r="AE363" s="18">
        <v>3</v>
      </c>
      <c r="AF363" s="3" t="s">
        <v>7</v>
      </c>
      <c r="AG363" s="480">
        <f t="shared" si="100"/>
        <v>3</v>
      </c>
      <c r="AH363" s="481" t="str">
        <f t="shared" si="101"/>
        <v>KG</v>
      </c>
      <c r="AI363" s="477" t="str">
        <f>IF($AC$363="","",IFERROR(INDEX($AZ$74:$AZ$119,MATCH($AH$363,$AY$74:$AY$119,0)),"AUTRE"))</f>
        <v>MASSE</v>
      </c>
      <c r="AJ363" s="482">
        <f>IF($AC$363="","",IFERROR(INDEX($BA$74:$BA$119,MATCH($AH$363,$AY$74:$AY$119,0)),1))</f>
        <v>1</v>
      </c>
      <c r="AK363" s="482">
        <f t="shared" si="102"/>
        <v>3</v>
      </c>
      <c r="AL363" s="477" t="str">
        <f>IF($AC$363="","",IFERROR(INDEX($BB$74:$BB$119,MATCH($AH$363,$AY$74:$AY$119,0)),$AH$363))</f>
        <v>kg</v>
      </c>
      <c r="AM363" s="483" t="str">
        <f t="shared" si="103"/>
        <v>OK</v>
      </c>
      <c r="AN363" s="484">
        <f t="shared" si="104"/>
        <v>3</v>
      </c>
      <c r="AO363" s="473" t="str">
        <f t="shared" si="105"/>
        <v/>
      </c>
      <c r="AP363" s="473" t="str">
        <f t="shared" si="106"/>
        <v/>
      </c>
      <c r="AQ363" s="473" t="str">
        <f t="shared" si="107"/>
        <v/>
      </c>
      <c r="AR363" s="473" t="str">
        <f t="shared" si="108"/>
        <v/>
      </c>
      <c r="AS363" s="473" t="str">
        <f t="shared" si="109"/>
        <v/>
      </c>
      <c r="AT363" s="473" t="str">
        <f t="shared" si="110"/>
        <v/>
      </c>
      <c r="AU363" s="473" t="str">
        <f t="shared" si="111"/>
        <v/>
      </c>
      <c r="AZ363" s="31" t="s">
        <v>19</v>
      </c>
      <c r="BA363" s="34" t="s">
        <v>493</v>
      </c>
      <c r="BB363" s="499"/>
      <c r="BC363" s="271"/>
      <c r="BD363" s="279">
        <v>1</v>
      </c>
      <c r="BE363" s="271"/>
      <c r="BF363" s="271"/>
      <c r="BG363" s="271"/>
      <c r="BH363" s="271"/>
      <c r="BI363" s="271"/>
      <c r="BJ363" s="271"/>
      <c r="BK363" s="271"/>
      <c r="BL363" s="271"/>
    </row>
    <row r="364" spans="18:64" ht="21" customHeight="1" x14ac:dyDescent="0.25">
      <c r="S364" s="451"/>
      <c r="T364" s="28" t="s">
        <v>15</v>
      </c>
      <c r="V364" s="475">
        <v>9</v>
      </c>
      <c r="W364" s="475" t="str">
        <f>IF($AC$364="","",$W$360)</f>
        <v>N° 09</v>
      </c>
      <c r="X364" s="476" t="str">
        <f>IF($AC$364="","",$X$360)</f>
        <v>PIEMONTAISE DE CURCUBITACÉS</v>
      </c>
      <c r="Y364" s="477">
        <f>IF($X$364="","",$Y$360)</f>
        <v>26</v>
      </c>
      <c r="Z364" s="477">
        <f>IF($X$364="","",$Z$360)</f>
        <v>100</v>
      </c>
      <c r="AA364" s="477">
        <f>IF($AC$364="","",ROW($A$364)-ROW($A$360))</f>
        <v>4</v>
      </c>
      <c r="AB364" s="478"/>
      <c r="AC364" s="34" t="s">
        <v>415</v>
      </c>
      <c r="AD364" s="356"/>
      <c r="AE364" s="18">
        <v>1.5</v>
      </c>
      <c r="AF364" s="3" t="s">
        <v>7</v>
      </c>
      <c r="AG364" s="480">
        <f t="shared" si="100"/>
        <v>1.5</v>
      </c>
      <c r="AH364" s="481" t="str">
        <f t="shared" si="101"/>
        <v>KG</v>
      </c>
      <c r="AI364" s="477" t="str">
        <f>IF($AC$364="","",IFERROR(INDEX($AZ$74:$AZ$119,MATCH($AH$364,$AY$74:$AY$119,0)),"AUTRE"))</f>
        <v>MASSE</v>
      </c>
      <c r="AJ364" s="482">
        <f>IF($AC$364="","",IFERROR(INDEX($BA$74:$BA$119,MATCH($AH$364,$AY$74:$AY$119,0)),1))</f>
        <v>1</v>
      </c>
      <c r="AK364" s="482">
        <f t="shared" si="102"/>
        <v>1.5</v>
      </c>
      <c r="AL364" s="477" t="str">
        <f>IF($AC$364="","",IFERROR(INDEX($BB$74:$BB$119,MATCH($AH$364,$AY$74:$AY$119,0)),$AH$364))</f>
        <v>kg</v>
      </c>
      <c r="AM364" s="483" t="str">
        <f t="shared" si="103"/>
        <v>OK</v>
      </c>
      <c r="AN364" s="484">
        <f t="shared" si="104"/>
        <v>1.5</v>
      </c>
      <c r="AO364" s="473" t="str">
        <f t="shared" si="105"/>
        <v/>
      </c>
      <c r="AP364" s="473" t="str">
        <f t="shared" si="106"/>
        <v/>
      </c>
      <c r="AQ364" s="473" t="str">
        <f t="shared" si="107"/>
        <v/>
      </c>
      <c r="AR364" s="473" t="str">
        <f t="shared" si="108"/>
        <v/>
      </c>
      <c r="AS364" s="473" t="str">
        <f t="shared" si="109"/>
        <v/>
      </c>
      <c r="AT364" s="473" t="str">
        <f t="shared" si="110"/>
        <v/>
      </c>
      <c r="AU364" s="473" t="str">
        <f t="shared" si="111"/>
        <v/>
      </c>
      <c r="AZ364" s="31" t="s">
        <v>211</v>
      </c>
      <c r="BA364" s="34" t="s">
        <v>494</v>
      </c>
      <c r="BB364" s="499"/>
      <c r="BC364" s="271"/>
      <c r="BD364" s="279">
        <v>1</v>
      </c>
      <c r="BE364" s="271"/>
      <c r="BF364" s="271"/>
      <c r="BG364" s="271"/>
      <c r="BH364" s="271"/>
      <c r="BI364" s="271"/>
      <c r="BJ364" s="271"/>
      <c r="BK364" s="271"/>
      <c r="BL364" s="271"/>
    </row>
    <row r="365" spans="18:64" ht="21" customHeight="1" x14ac:dyDescent="0.25">
      <c r="R365" s="25" t="s">
        <v>6115</v>
      </c>
      <c r="S365" s="451"/>
      <c r="T365" s="28" t="s">
        <v>21</v>
      </c>
      <c r="V365" s="475">
        <v>9</v>
      </c>
      <c r="W365" s="475" t="str">
        <f>IF($AC$365="","",$W$360)</f>
        <v>N° 09</v>
      </c>
      <c r="X365" s="476" t="str">
        <f>IF($AC$365="","",$X$360)</f>
        <v>PIEMONTAISE DE CURCUBITACÉS</v>
      </c>
      <c r="Y365" s="477">
        <f>IF($X$365="","",$Y$360)</f>
        <v>26</v>
      </c>
      <c r="Z365" s="477">
        <f>IF($X$365="","",$Z$360)</f>
        <v>100</v>
      </c>
      <c r="AA365" s="477">
        <f>IF($AC$365="","",ROW($A$365)-ROW($A$360))</f>
        <v>5</v>
      </c>
      <c r="AB365" s="478"/>
      <c r="AC365" s="34" t="s">
        <v>112</v>
      </c>
      <c r="AD365" s="356"/>
      <c r="AE365" s="18">
        <v>1.5</v>
      </c>
      <c r="AF365" s="3" t="s">
        <v>7</v>
      </c>
      <c r="AG365" s="480">
        <f t="shared" si="100"/>
        <v>1.5</v>
      </c>
      <c r="AH365" s="481" t="str">
        <f t="shared" si="101"/>
        <v>KG</v>
      </c>
      <c r="AI365" s="477" t="str">
        <f>IF($AC$365="","",IFERROR(INDEX($AZ$74:$AZ$119,MATCH($AH$365,$AY$74:$AY$119,0)),"AUTRE"))</f>
        <v>MASSE</v>
      </c>
      <c r="AJ365" s="482">
        <f>IF($AC$365="","",IFERROR(INDEX($BA$74:$BA$119,MATCH($AH$365,$AY$74:$AY$119,0)),1))</f>
        <v>1</v>
      </c>
      <c r="AK365" s="482">
        <f t="shared" si="102"/>
        <v>1.5</v>
      </c>
      <c r="AL365" s="477" t="str">
        <f>IF($AC$365="","",IFERROR(INDEX($BB$74:$BB$119,MATCH($AH$365,$AY$74:$AY$119,0)),$AH$365))</f>
        <v>kg</v>
      </c>
      <c r="AM365" s="483" t="str">
        <f t="shared" si="103"/>
        <v>OK</v>
      </c>
      <c r="AN365" s="484">
        <f t="shared" si="104"/>
        <v>1.5</v>
      </c>
      <c r="AO365" s="473" t="str">
        <f t="shared" si="105"/>
        <v/>
      </c>
      <c r="AP365" s="473" t="str">
        <f t="shared" si="106"/>
        <v/>
      </c>
      <c r="AQ365" s="473" t="str">
        <f t="shared" si="107"/>
        <v/>
      </c>
      <c r="AR365" s="473" t="str">
        <f t="shared" si="108"/>
        <v/>
      </c>
      <c r="AS365" s="473" t="str">
        <f t="shared" si="109"/>
        <v/>
      </c>
      <c r="AT365" s="473" t="str">
        <f t="shared" si="110"/>
        <v/>
      </c>
      <c r="AU365" s="473" t="str">
        <f t="shared" si="111"/>
        <v/>
      </c>
      <c r="AZ365" s="31" t="s">
        <v>20</v>
      </c>
      <c r="BB365" s="499"/>
      <c r="BC365" s="271"/>
      <c r="BD365" s="279">
        <v>1</v>
      </c>
      <c r="BE365" s="271"/>
      <c r="BF365" s="271"/>
      <c r="BG365" s="271"/>
      <c r="BH365" s="271"/>
      <c r="BI365" s="271"/>
      <c r="BJ365" s="271"/>
      <c r="BK365" s="271"/>
      <c r="BL365" s="271"/>
    </row>
    <row r="366" spans="18:64" ht="21" customHeight="1" x14ac:dyDescent="0.25">
      <c r="R366" s="34" t="s">
        <v>471</v>
      </c>
      <c r="S366" s="451"/>
      <c r="T366" s="28" t="s">
        <v>22</v>
      </c>
      <c r="V366" s="475">
        <v>9</v>
      </c>
      <c r="W366" s="475" t="str">
        <f>IF($AC$366="","",$W$360)</f>
        <v/>
      </c>
      <c r="X366" s="476" t="str">
        <f>IF($AC$366="","",$X$360)</f>
        <v/>
      </c>
      <c r="Y366" s="477" t="str">
        <f>IF($X$366="","",$Y$360)</f>
        <v/>
      </c>
      <c r="Z366" s="477" t="str">
        <f>IF($X$366="","",$Z$360)</f>
        <v/>
      </c>
      <c r="AA366" s="477" t="str">
        <f>IF($AC$366="","",ROW($A$366)-ROW($A$360))</f>
        <v/>
      </c>
      <c r="AB366" s="478"/>
      <c r="AC366" s="34" t="s">
        <v>345</v>
      </c>
      <c r="AD366" s="356"/>
      <c r="AE366" s="18"/>
      <c r="AF366" s="19"/>
      <c r="AG366" s="480" t="str">
        <f t="shared" si="100"/>
        <v/>
      </c>
      <c r="AH366" s="481" t="str">
        <f t="shared" si="101"/>
        <v/>
      </c>
      <c r="AI366" s="477" t="str">
        <f>IF($AC$366="","",IFERROR(INDEX($AZ$74:$AZ$119,MATCH($AH$366,$AY$74:$AY$119,0)),"AUTRE"))</f>
        <v/>
      </c>
      <c r="AJ366" s="482" t="str">
        <f>IF($AC$366="","",IFERROR(INDEX($BA$74:$BA$119,MATCH($AH$366,$AY$74:$AY$119,0)),1))</f>
        <v/>
      </c>
      <c r="AK366" s="482" t="str">
        <f t="shared" si="102"/>
        <v/>
      </c>
      <c r="AL366" s="477" t="str">
        <f>IF($AC$366="","",IFERROR(INDEX($BB$74:$BB$119,MATCH($AH$366,$AY$74:$AY$119,0)),$AH$366))</f>
        <v/>
      </c>
      <c r="AM366" s="483" t="str">
        <f t="shared" si="103"/>
        <v/>
      </c>
      <c r="AN366" s="484" t="str">
        <f t="shared" si="104"/>
        <v/>
      </c>
      <c r="AO366" s="473" t="str">
        <f t="shared" si="105"/>
        <v/>
      </c>
      <c r="AP366" s="473" t="str">
        <f t="shared" si="106"/>
        <v/>
      </c>
      <c r="AQ366" s="473" t="str">
        <f t="shared" si="107"/>
        <v/>
      </c>
      <c r="AR366" s="473" t="str">
        <f t="shared" si="108"/>
        <v/>
      </c>
      <c r="AS366" s="473" t="str">
        <f t="shared" si="109"/>
        <v/>
      </c>
      <c r="AT366" s="473" t="str">
        <f t="shared" si="110"/>
        <v/>
      </c>
      <c r="AU366" s="473" t="str">
        <f t="shared" si="111"/>
        <v/>
      </c>
      <c r="AZ366" s="31" t="s">
        <v>304</v>
      </c>
      <c r="BA366" s="25" t="s">
        <v>6115</v>
      </c>
      <c r="BB366" s="499"/>
      <c r="BC366" s="271"/>
      <c r="BD366" s="279">
        <v>1</v>
      </c>
      <c r="BE366" s="271"/>
      <c r="BF366" s="271"/>
      <c r="BG366" s="271"/>
      <c r="BH366" s="271"/>
      <c r="BI366" s="271"/>
      <c r="BJ366" s="271"/>
      <c r="BK366" s="271"/>
      <c r="BL366" s="271"/>
    </row>
    <row r="367" spans="18:64" ht="21" customHeight="1" x14ac:dyDescent="0.25">
      <c r="R367" s="34" t="s">
        <v>472</v>
      </c>
      <c r="S367" s="451"/>
      <c r="T367" s="28" t="s">
        <v>23</v>
      </c>
      <c r="V367" s="475">
        <v>9</v>
      </c>
      <c r="W367" s="475" t="str">
        <f>IF($AC$367="","",$W$360)</f>
        <v>N° 09</v>
      </c>
      <c r="X367" s="476" t="str">
        <f>IF($AC$367="","",$X$360)</f>
        <v>PIEMONTAISE DE CURCUBITACÉS</v>
      </c>
      <c r="Y367" s="477">
        <f>IF($X$367="","",$Y$360)</f>
        <v>26</v>
      </c>
      <c r="Z367" s="477">
        <f>IF($X$367="","",$Z$360)</f>
        <v>100</v>
      </c>
      <c r="AA367" s="477">
        <f>IF($AC$367="","",ROW($A$367)-ROW($A$360))</f>
        <v>7</v>
      </c>
      <c r="AB367" s="478"/>
      <c r="AC367" s="34" t="s">
        <v>74</v>
      </c>
      <c r="AD367" s="356"/>
      <c r="AE367" s="18">
        <v>2.5</v>
      </c>
      <c r="AF367" s="6" t="s">
        <v>9</v>
      </c>
      <c r="AG367" s="480">
        <f t="shared" si="100"/>
        <v>2.5</v>
      </c>
      <c r="AH367" s="481" t="str">
        <f t="shared" si="101"/>
        <v>L</v>
      </c>
      <c r="AI367" s="477" t="str">
        <f>IF($AC$367="","",IFERROR(INDEX($AZ$74:$AZ$119,MATCH($AH$367,$AY$74:$AY$119,0)),"AUTRE"))</f>
        <v>VOLUME</v>
      </c>
      <c r="AJ367" s="482">
        <f>IF($AC$367="","",IFERROR(INDEX($BA$74:$BA$119,MATCH($AH$367,$AY$74:$AY$119,0)),1))</f>
        <v>1</v>
      </c>
      <c r="AK367" s="482">
        <f t="shared" si="102"/>
        <v>2.5</v>
      </c>
      <c r="AL367" s="477" t="str">
        <f>IF($AC$367="","",IFERROR(INDEX($BB$74:$BB$119,MATCH($AH$367,$AY$74:$AY$119,0)),$AH$367))</f>
        <v>L</v>
      </c>
      <c r="AM367" s="483" t="str">
        <f t="shared" si="103"/>
        <v>OK</v>
      </c>
      <c r="AN367" s="484">
        <f t="shared" si="104"/>
        <v>2.5</v>
      </c>
      <c r="AO367" s="473" t="str">
        <f t="shared" si="105"/>
        <v/>
      </c>
      <c r="AP367" s="473" t="str">
        <f t="shared" si="106"/>
        <v/>
      </c>
      <c r="AQ367" s="473" t="str">
        <f t="shared" si="107"/>
        <v/>
      </c>
      <c r="AR367" s="473" t="str">
        <f t="shared" si="108"/>
        <v/>
      </c>
      <c r="AS367" s="473" t="str">
        <f t="shared" si="109"/>
        <v/>
      </c>
      <c r="AT367" s="473" t="str">
        <f t="shared" si="110"/>
        <v/>
      </c>
      <c r="AU367" s="473" t="str">
        <f t="shared" si="111"/>
        <v/>
      </c>
      <c r="AZ367" s="31" t="s">
        <v>352</v>
      </c>
      <c r="BA367" s="34" t="s">
        <v>471</v>
      </c>
      <c r="BB367" s="499"/>
      <c r="BC367" s="271"/>
      <c r="BD367" s="279">
        <v>1</v>
      </c>
      <c r="BE367" s="271"/>
      <c r="BF367" s="271"/>
      <c r="BG367" s="271"/>
      <c r="BH367" s="271"/>
      <c r="BI367" s="271"/>
      <c r="BJ367" s="271"/>
      <c r="BK367" s="271"/>
      <c r="BL367" s="271"/>
    </row>
    <row r="368" spans="18:64" ht="21" customHeight="1" x14ac:dyDescent="0.25">
      <c r="R368" s="34" t="s">
        <v>6112</v>
      </c>
      <c r="S368" s="451"/>
      <c r="T368" s="28" t="s">
        <v>24</v>
      </c>
      <c r="V368" s="475">
        <v>9</v>
      </c>
      <c r="W368" s="475" t="str">
        <f>IF($AC$368="","",$W$360)</f>
        <v>N° 09</v>
      </c>
      <c r="X368" s="476" t="str">
        <f>IF($AC$368="","",$X$360)</f>
        <v>PIEMONTAISE DE CURCUBITACÉS</v>
      </c>
      <c r="Y368" s="477">
        <f>IF($X$368="","",$Y$360)</f>
        <v>26</v>
      </c>
      <c r="Z368" s="477">
        <f>IF($X$368="","",$Z$360)</f>
        <v>100</v>
      </c>
      <c r="AA368" s="477">
        <f>IF($AC$368="","",ROW($A$368)-ROW($A$360))</f>
        <v>8</v>
      </c>
      <c r="AB368" s="478"/>
      <c r="AC368" s="34" t="s">
        <v>113</v>
      </c>
      <c r="AD368" s="356"/>
      <c r="AE368" s="18">
        <v>3</v>
      </c>
      <c r="AF368" s="7" t="s">
        <v>10</v>
      </c>
      <c r="AG368" s="480">
        <f t="shared" si="100"/>
        <v>3</v>
      </c>
      <c r="AH368" s="481" t="str">
        <f t="shared" si="101"/>
        <v>DL</v>
      </c>
      <c r="AI368" s="477" t="str">
        <f>IF($AC$368="","",IFERROR(INDEX($AZ$74:$AZ$119,MATCH($AH$368,$AY$74:$AY$119,0)),"AUTRE"))</f>
        <v>VOLUME</v>
      </c>
      <c r="AJ368" s="482">
        <f>IF($AC$368="","",IFERROR(INDEX($BA$74:$BA$119,MATCH($AH$368,$AY$74:$AY$119,0)),1))</f>
        <v>0.1</v>
      </c>
      <c r="AK368" s="482">
        <f t="shared" si="102"/>
        <v>0.30000000000000004</v>
      </c>
      <c r="AL368" s="477" t="str">
        <f>IF($AC$368="","",IFERROR(INDEX($BB$74:$BB$119,MATCH($AH$368,$AY$74:$AY$119,0)),$AH$368))</f>
        <v>L</v>
      </c>
      <c r="AM368" s="483" t="str">
        <f t="shared" si="103"/>
        <v>OK</v>
      </c>
      <c r="AN368" s="484">
        <f t="shared" si="104"/>
        <v>3</v>
      </c>
      <c r="AO368" s="473" t="str">
        <f t="shared" si="105"/>
        <v/>
      </c>
      <c r="AP368" s="473" t="str">
        <f t="shared" si="106"/>
        <v/>
      </c>
      <c r="AQ368" s="473" t="str">
        <f t="shared" si="107"/>
        <v/>
      </c>
      <c r="AR368" s="473" t="str">
        <f t="shared" si="108"/>
        <v/>
      </c>
      <c r="AS368" s="473" t="str">
        <f t="shared" si="109"/>
        <v/>
      </c>
      <c r="AT368" s="473" t="str">
        <f t="shared" si="110"/>
        <v/>
      </c>
      <c r="AU368" s="473" t="str">
        <f t="shared" si="111"/>
        <v/>
      </c>
      <c r="AZ368" s="31" t="s">
        <v>27</v>
      </c>
      <c r="BA368" s="34" t="s">
        <v>472</v>
      </c>
      <c r="BB368" s="499"/>
      <c r="BC368" s="271"/>
      <c r="BD368" s="279">
        <v>1</v>
      </c>
      <c r="BE368" s="271"/>
      <c r="BF368" s="271"/>
      <c r="BG368" s="271"/>
      <c r="BH368" s="271"/>
      <c r="BI368" s="271"/>
      <c r="BJ368" s="271"/>
      <c r="BK368" s="271"/>
      <c r="BL368" s="271"/>
    </row>
    <row r="369" spans="18:64" ht="21" customHeight="1" x14ac:dyDescent="0.25">
      <c r="R369" s="25" t="s">
        <v>6116</v>
      </c>
      <c r="S369" s="451"/>
      <c r="T369" s="29" t="s">
        <v>9</v>
      </c>
      <c r="V369" s="475">
        <v>9</v>
      </c>
      <c r="W369" s="475" t="str">
        <f>IF($AC$369="","",$W$360)</f>
        <v>N° 09</v>
      </c>
      <c r="X369" s="476" t="str">
        <f>IF($AC$369="","",$X$360)</f>
        <v>PIEMONTAISE DE CURCUBITACÉS</v>
      </c>
      <c r="Y369" s="477">
        <f>IF($X$369="","",$Y$360)</f>
        <v>26</v>
      </c>
      <c r="Z369" s="477">
        <f>IF($X$369="","",$Z$360)</f>
        <v>100</v>
      </c>
      <c r="AA369" s="477">
        <f>IF($AC$369="","",ROW($A$369)-ROW($A$360))</f>
        <v>9</v>
      </c>
      <c r="AB369" s="478"/>
      <c r="AC369" s="34" t="s">
        <v>416</v>
      </c>
      <c r="AD369" s="356"/>
      <c r="AE369" s="18">
        <v>1</v>
      </c>
      <c r="AF369" s="8" t="s">
        <v>17</v>
      </c>
      <c r="AG369" s="480">
        <f t="shared" si="100"/>
        <v>1</v>
      </c>
      <c r="AH369" s="481" t="str">
        <f t="shared" si="101"/>
        <v>QUART/L</v>
      </c>
      <c r="AI369" s="477" t="str">
        <f>IF($AC$369="","",IFERROR(INDEX($AZ$74:$AZ$119,MATCH($AH$369,$AY$74:$AY$119,0)),"AUTRE"))</f>
        <v>VOLUME</v>
      </c>
      <c r="AJ369" s="482">
        <f>IF($AC$369="","",IFERROR(INDEX($BA$74:$BA$119,MATCH($AH$369,$AY$74:$AY$119,0)),1))</f>
        <v>0.25</v>
      </c>
      <c r="AK369" s="482">
        <f t="shared" si="102"/>
        <v>0.25</v>
      </c>
      <c r="AL369" s="477" t="str">
        <f>IF($AC$369="","",IFERROR(INDEX($BB$74:$BB$119,MATCH($AH$369,$AY$74:$AY$119,0)),$AH$369))</f>
        <v>L</v>
      </c>
      <c r="AM369" s="483" t="str">
        <f t="shared" si="103"/>
        <v>OK</v>
      </c>
      <c r="AN369" s="484">
        <f t="shared" si="104"/>
        <v>1</v>
      </c>
      <c r="AO369" s="473" t="str">
        <f t="shared" si="105"/>
        <v/>
      </c>
      <c r="AP369" s="473" t="str">
        <f t="shared" si="106"/>
        <v/>
      </c>
      <c r="AQ369" s="473" t="str">
        <f t="shared" si="107"/>
        <v/>
      </c>
      <c r="AR369" s="473" t="str">
        <f t="shared" si="108"/>
        <v/>
      </c>
      <c r="AS369" s="473" t="str">
        <f t="shared" si="109"/>
        <v/>
      </c>
      <c r="AT369" s="473" t="str">
        <f t="shared" si="110"/>
        <v/>
      </c>
      <c r="AU369" s="473" t="str">
        <f t="shared" si="111"/>
        <v/>
      </c>
      <c r="AZ369" s="31" t="s">
        <v>28</v>
      </c>
      <c r="BA369" s="34" t="s">
        <v>6112</v>
      </c>
      <c r="BB369" s="499"/>
      <c r="BC369" s="271"/>
      <c r="BD369" s="279">
        <v>1</v>
      </c>
      <c r="BE369" s="271"/>
      <c r="BF369" s="271"/>
      <c r="BG369" s="271"/>
      <c r="BH369" s="271"/>
      <c r="BI369" s="271"/>
      <c r="BJ369" s="271"/>
      <c r="BK369" s="271"/>
      <c r="BL369" s="271"/>
    </row>
    <row r="370" spans="18:64" ht="21" customHeight="1" x14ac:dyDescent="0.25">
      <c r="R370" s="34" t="s">
        <v>6117</v>
      </c>
      <c r="S370" s="451"/>
      <c r="T370" s="30" t="s">
        <v>10</v>
      </c>
      <c r="V370" s="475">
        <v>9</v>
      </c>
      <c r="W370" s="475" t="str">
        <f>IF($AC$370="","",$W$360)</f>
        <v>N° 09</v>
      </c>
      <c r="X370" s="476" t="str">
        <f>IF($AC$370="","",$X$360)</f>
        <v>PIEMONTAISE DE CURCUBITACÉS</v>
      </c>
      <c r="Y370" s="477">
        <f>IF($X$370="","",$Y$360)</f>
        <v>26</v>
      </c>
      <c r="Z370" s="477">
        <f>IF($X$370="","",$Z$360)</f>
        <v>100</v>
      </c>
      <c r="AA370" s="477">
        <f>IF($AC$370="","",ROW($A$370)-ROW($A$360))</f>
        <v>10</v>
      </c>
      <c r="AB370" s="478"/>
      <c r="AC370" s="34" t="s">
        <v>114</v>
      </c>
      <c r="AD370" s="356"/>
      <c r="AE370" s="18">
        <v>400</v>
      </c>
      <c r="AF370" s="5" t="s">
        <v>8</v>
      </c>
      <c r="AG370" s="480">
        <f t="shared" si="100"/>
        <v>400</v>
      </c>
      <c r="AH370" s="481" t="str">
        <f t="shared" si="101"/>
        <v>G</v>
      </c>
      <c r="AI370" s="477" t="str">
        <f>IF($AC$370="","",IFERROR(INDEX($AZ$74:$AZ$119,MATCH($AH$370,$AY$74:$AY$119,0)),"AUTRE"))</f>
        <v>MASSE</v>
      </c>
      <c r="AJ370" s="482">
        <f>IF($AC$370="","",IFERROR(INDEX($BA$74:$BA$119,MATCH($AH$370,$AY$74:$AY$119,0)),1))</f>
        <v>1E-3</v>
      </c>
      <c r="AK370" s="482">
        <f t="shared" si="102"/>
        <v>0.4</v>
      </c>
      <c r="AL370" s="477" t="str">
        <f>IF($AC$370="","",IFERROR(INDEX($BB$74:$BB$119,MATCH($AH$370,$AY$74:$AY$119,0)),$AH$370))</f>
        <v>kg</v>
      </c>
      <c r="AM370" s="483" t="str">
        <f t="shared" si="103"/>
        <v>OK</v>
      </c>
      <c r="AN370" s="484">
        <f t="shared" si="104"/>
        <v>400</v>
      </c>
      <c r="AO370" s="473" t="str">
        <f t="shared" si="105"/>
        <v/>
      </c>
      <c r="AP370" s="473" t="str">
        <f t="shared" si="106"/>
        <v/>
      </c>
      <c r="AQ370" s="473" t="str">
        <f t="shared" si="107"/>
        <v/>
      </c>
      <c r="AR370" s="473" t="str">
        <f t="shared" si="108"/>
        <v/>
      </c>
      <c r="AS370" s="473" t="str">
        <f t="shared" si="109"/>
        <v/>
      </c>
      <c r="AT370" s="473" t="str">
        <f t="shared" si="110"/>
        <v/>
      </c>
      <c r="AU370" s="473" t="str">
        <f t="shared" si="111"/>
        <v/>
      </c>
      <c r="AZ370" s="31" t="s">
        <v>29</v>
      </c>
      <c r="BA370" s="25" t="s">
        <v>6116</v>
      </c>
      <c r="BB370" s="499"/>
      <c r="BC370" s="271"/>
      <c r="BD370" s="279">
        <v>1</v>
      </c>
      <c r="BE370" s="271"/>
      <c r="BF370" s="271"/>
      <c r="BG370" s="271"/>
      <c r="BH370" s="271"/>
      <c r="BI370" s="271"/>
      <c r="BJ370" s="271"/>
      <c r="BK370" s="271"/>
      <c r="BL370" s="271"/>
    </row>
    <row r="371" spans="18:64" ht="21" customHeight="1" x14ac:dyDescent="0.25">
      <c r="R371" s="34" t="s">
        <v>469</v>
      </c>
      <c r="S371" s="451"/>
      <c r="T371" s="30" t="s">
        <v>11</v>
      </c>
      <c r="V371" s="475">
        <v>9</v>
      </c>
      <c r="W371" s="475" t="str">
        <f>IF($AC$371="","",$W$360)</f>
        <v>N° 09</v>
      </c>
      <c r="X371" s="476" t="str">
        <f>IF($AC$371="","",$X$360)</f>
        <v>PIEMONTAISE DE CURCUBITACÉS</v>
      </c>
      <c r="Y371" s="477">
        <f>IF($X$371="","",$Y$360)</f>
        <v>26</v>
      </c>
      <c r="Z371" s="477">
        <f>IF($X$371="","",$Z$360)</f>
        <v>100</v>
      </c>
      <c r="AA371" s="477">
        <f>IF($AC$371="","",ROW($A$371)-ROW($A$360))</f>
        <v>11</v>
      </c>
      <c r="AB371" s="478"/>
      <c r="AC371" s="34" t="s">
        <v>67</v>
      </c>
      <c r="AD371" s="356"/>
      <c r="AE371" s="18">
        <v>15</v>
      </c>
      <c r="AF371" s="5" t="s">
        <v>8</v>
      </c>
      <c r="AG371" s="480">
        <f t="shared" si="100"/>
        <v>15</v>
      </c>
      <c r="AH371" s="481" t="str">
        <f t="shared" si="101"/>
        <v>G</v>
      </c>
      <c r="AI371" s="477" t="str">
        <f>IF($AC$371="","",IFERROR(INDEX($AZ$74:$AZ$119,MATCH($AH$371,$AY$74:$AY$119,0)),"AUTRE"))</f>
        <v>MASSE</v>
      </c>
      <c r="AJ371" s="482">
        <f>IF($AC$371="","",IFERROR(INDEX($BA$74:$BA$119,MATCH($AH$371,$AY$74:$AY$119,0)),1))</f>
        <v>1E-3</v>
      </c>
      <c r="AK371" s="482">
        <f t="shared" si="102"/>
        <v>1.4999999999999999E-2</v>
      </c>
      <c r="AL371" s="477" t="str">
        <f>IF($AC$371="","",IFERROR(INDEX($BB$74:$BB$119,MATCH($AH$371,$AY$74:$AY$119,0)),$AH$371))</f>
        <v>kg</v>
      </c>
      <c r="AM371" s="483" t="str">
        <f t="shared" si="103"/>
        <v>OK</v>
      </c>
      <c r="AN371" s="484">
        <f t="shared" si="104"/>
        <v>15</v>
      </c>
      <c r="AO371" s="473" t="str">
        <f t="shared" si="105"/>
        <v/>
      </c>
      <c r="AP371" s="473" t="str">
        <f t="shared" si="106"/>
        <v/>
      </c>
      <c r="AQ371" s="473" t="str">
        <f t="shared" si="107"/>
        <v/>
      </c>
      <c r="AR371" s="473" t="str">
        <f t="shared" si="108"/>
        <v/>
      </c>
      <c r="AS371" s="473" t="str">
        <f t="shared" si="109"/>
        <v/>
      </c>
      <c r="AT371" s="473" t="str">
        <f t="shared" si="110"/>
        <v/>
      </c>
      <c r="AU371" s="473" t="str">
        <f t="shared" si="111"/>
        <v/>
      </c>
      <c r="AZ371" s="31" t="s">
        <v>30</v>
      </c>
      <c r="BA371" s="34" t="s">
        <v>6117</v>
      </c>
      <c r="BB371" s="499"/>
      <c r="BC371" s="271"/>
      <c r="BD371" s="279">
        <v>1</v>
      </c>
      <c r="BE371" s="271"/>
      <c r="BF371" s="271"/>
      <c r="BG371" s="271"/>
      <c r="BH371" s="271"/>
      <c r="BI371" s="271"/>
      <c r="BJ371" s="271"/>
      <c r="BK371" s="271"/>
      <c r="BL371" s="271"/>
    </row>
    <row r="372" spans="18:64" ht="21" customHeight="1" x14ac:dyDescent="0.25">
      <c r="R372" s="34" t="s">
        <v>6118</v>
      </c>
      <c r="S372" s="451"/>
      <c r="T372" s="30" t="s">
        <v>12</v>
      </c>
      <c r="V372" s="475">
        <v>9</v>
      </c>
      <c r="W372" s="475" t="str">
        <f>IF($AC$372="","",$W$360)</f>
        <v>N° 09</v>
      </c>
      <c r="X372" s="476" t="str">
        <f>IF($AC$372="","",$X$360)</f>
        <v>PIEMONTAISE DE CURCUBITACÉS</v>
      </c>
      <c r="Y372" s="477">
        <f>IF($X$372="","",$Y$360)</f>
        <v>26</v>
      </c>
      <c r="Z372" s="477">
        <f>IF($X$372="","",$Z$360)</f>
        <v>100</v>
      </c>
      <c r="AA372" s="477">
        <f>IF($AC$372="","",ROW($A$372)-ROW($A$360))</f>
        <v>12</v>
      </c>
      <c r="AB372" s="478"/>
      <c r="AC372" s="34" t="s">
        <v>44</v>
      </c>
      <c r="AD372" s="356"/>
      <c r="AE372" s="18">
        <v>6</v>
      </c>
      <c r="AF372" s="5" t="s">
        <v>8</v>
      </c>
      <c r="AG372" s="480">
        <f t="shared" si="100"/>
        <v>6</v>
      </c>
      <c r="AH372" s="481" t="str">
        <f t="shared" si="101"/>
        <v>G</v>
      </c>
      <c r="AI372" s="477" t="str">
        <f>IF($AC$372="","",IFERROR(INDEX($AZ$74:$AZ$119,MATCH($AH$372,$AY$74:$AY$119,0)),"AUTRE"))</f>
        <v>MASSE</v>
      </c>
      <c r="AJ372" s="482">
        <f>IF($AC$372="","",IFERROR(INDEX($BA$74:$BA$119,MATCH($AH$372,$AY$74:$AY$119,0)),1))</f>
        <v>1E-3</v>
      </c>
      <c r="AK372" s="482">
        <f t="shared" si="102"/>
        <v>6.0000000000000001E-3</v>
      </c>
      <c r="AL372" s="477" t="str">
        <f>IF($AC$372="","",IFERROR(INDEX($BB$74:$BB$119,MATCH($AH$372,$AY$74:$AY$119,0)),$AH$372))</f>
        <v>kg</v>
      </c>
      <c r="AM372" s="483" t="str">
        <f t="shared" si="103"/>
        <v>OK</v>
      </c>
      <c r="AN372" s="484">
        <f t="shared" si="104"/>
        <v>6</v>
      </c>
      <c r="AO372" s="473" t="str">
        <f t="shared" si="105"/>
        <v/>
      </c>
      <c r="AP372" s="473" t="str">
        <f t="shared" si="106"/>
        <v/>
      </c>
      <c r="AQ372" s="473" t="str">
        <f t="shared" si="107"/>
        <v/>
      </c>
      <c r="AR372" s="473" t="str">
        <f t="shared" si="108"/>
        <v/>
      </c>
      <c r="AS372" s="473" t="str">
        <f t="shared" si="109"/>
        <v/>
      </c>
      <c r="AT372" s="473" t="str">
        <f t="shared" si="110"/>
        <v/>
      </c>
      <c r="AU372" s="473" t="str">
        <f t="shared" si="111"/>
        <v/>
      </c>
      <c r="AZ372" s="32" t="s">
        <v>33</v>
      </c>
      <c r="BA372" s="34" t="s">
        <v>469</v>
      </c>
      <c r="BB372" s="499"/>
      <c r="BC372" s="271"/>
      <c r="BD372" s="279">
        <v>1</v>
      </c>
      <c r="BE372" s="271"/>
      <c r="BF372" s="271"/>
      <c r="BG372" s="271"/>
      <c r="BH372" s="271"/>
      <c r="BI372" s="271"/>
      <c r="BJ372" s="271"/>
      <c r="BK372" s="271"/>
      <c r="BL372" s="271"/>
    </row>
    <row r="373" spans="18:64" ht="21" customHeight="1" x14ac:dyDescent="0.25">
      <c r="R373" s="34" t="s">
        <v>492</v>
      </c>
      <c r="S373" s="451"/>
      <c r="T373" s="31" t="s">
        <v>16</v>
      </c>
      <c r="V373" s="475">
        <v>9</v>
      </c>
      <c r="W373" s="475" t="str">
        <f>IF($AC$373="","",$W$360)</f>
        <v>N° 09</v>
      </c>
      <c r="X373" s="476" t="str">
        <f>IF($AC$373="","",$X$360)</f>
        <v>PIEMONTAISE DE CURCUBITACÉS</v>
      </c>
      <c r="Y373" s="477">
        <f>IF($X$373="","",$Y$360)</f>
        <v>26</v>
      </c>
      <c r="Z373" s="477">
        <f>IF($X$373="","",$Z$360)</f>
        <v>100</v>
      </c>
      <c r="AA373" s="477">
        <f>IF($AC$373="","",ROW($A$373)-ROW($A$360))</f>
        <v>13</v>
      </c>
      <c r="AB373" s="478"/>
      <c r="AC373" s="34" t="s">
        <v>61</v>
      </c>
      <c r="AD373" s="356"/>
      <c r="AE373" s="18">
        <v>1</v>
      </c>
      <c r="AF373" s="5" t="s">
        <v>8</v>
      </c>
      <c r="AG373" s="480">
        <f t="shared" si="100"/>
        <v>1</v>
      </c>
      <c r="AH373" s="481" t="str">
        <f t="shared" si="101"/>
        <v>G</v>
      </c>
      <c r="AI373" s="477" t="str">
        <f>IF($AC$373="","",IFERROR(INDEX($AZ$74:$AZ$119,MATCH($AH$373,$AY$74:$AY$119,0)),"AUTRE"))</f>
        <v>MASSE</v>
      </c>
      <c r="AJ373" s="482">
        <f>IF($AC$373="","",IFERROR(INDEX($BA$74:$BA$119,MATCH($AH$373,$AY$74:$AY$119,0)),1))</f>
        <v>1E-3</v>
      </c>
      <c r="AK373" s="482">
        <f t="shared" si="102"/>
        <v>1E-3</v>
      </c>
      <c r="AL373" s="477" t="str">
        <f>IF($AC$373="","",IFERROR(INDEX($BB$74:$BB$119,MATCH($AH$373,$AY$74:$AY$119,0)),$AH$373))</f>
        <v>kg</v>
      </c>
      <c r="AM373" s="483" t="str">
        <f t="shared" si="103"/>
        <v>OK</v>
      </c>
      <c r="AN373" s="484">
        <f t="shared" si="104"/>
        <v>1</v>
      </c>
      <c r="AO373" s="473" t="str">
        <f t="shared" si="105"/>
        <v/>
      </c>
      <c r="AP373" s="473" t="str">
        <f t="shared" si="106"/>
        <v/>
      </c>
      <c r="AQ373" s="473" t="str">
        <f t="shared" si="107"/>
        <v/>
      </c>
      <c r="AR373" s="473" t="str">
        <f t="shared" si="108"/>
        <v/>
      </c>
      <c r="AS373" s="473" t="str">
        <f t="shared" si="109"/>
        <v/>
      </c>
      <c r="AT373" s="473" t="str">
        <f t="shared" si="110"/>
        <v/>
      </c>
      <c r="AU373" s="473" t="str">
        <f t="shared" si="111"/>
        <v/>
      </c>
      <c r="AZ373" s="32" t="s">
        <v>8125</v>
      </c>
      <c r="BA373" s="34" t="s">
        <v>6118</v>
      </c>
      <c r="BB373" s="499"/>
      <c r="BC373" s="271"/>
      <c r="BD373" s="279">
        <v>1</v>
      </c>
      <c r="BE373" s="271"/>
      <c r="BF373" s="271"/>
      <c r="BG373" s="271"/>
      <c r="BH373" s="271"/>
      <c r="BI373" s="271"/>
      <c r="BJ373" s="271"/>
      <c r="BK373" s="271"/>
      <c r="BL373" s="271"/>
    </row>
    <row r="374" spans="18:64" ht="21" customHeight="1" x14ac:dyDescent="0.25">
      <c r="R374" s="34" t="s">
        <v>458</v>
      </c>
      <c r="S374" s="451"/>
      <c r="T374" s="31" t="s">
        <v>17</v>
      </c>
      <c r="V374" s="475">
        <v>9</v>
      </c>
      <c r="W374" s="475" t="str">
        <f>IF($AC$374="","",$W$360)</f>
        <v/>
      </c>
      <c r="X374" s="476" t="str">
        <f>IF($AC$374="","",$X$360)</f>
        <v/>
      </c>
      <c r="Y374" s="477" t="str">
        <f>IF($X$374="","",$Y$360)</f>
        <v/>
      </c>
      <c r="Z374" s="477" t="str">
        <f>IF($X$374="","",$Z$360)</f>
        <v/>
      </c>
      <c r="AA374" s="477" t="str">
        <f>IF($AC$374="","",ROW($A$374)-ROW($A$360))</f>
        <v/>
      </c>
      <c r="AB374" s="478"/>
      <c r="AC374" s="34"/>
      <c r="AD374" s="356"/>
      <c r="AE374" s="18"/>
      <c r="AF374" s="19"/>
      <c r="AG374" s="480" t="str">
        <f t="shared" si="100"/>
        <v/>
      </c>
      <c r="AH374" s="481" t="str">
        <f t="shared" si="101"/>
        <v/>
      </c>
      <c r="AI374" s="477" t="str">
        <f>IF($AC$374="","",IFERROR(INDEX($AZ$74:$AZ$119,MATCH($AH$374,$AY$74:$AY$119,0)),"AUTRE"))</f>
        <v/>
      </c>
      <c r="AJ374" s="482" t="str">
        <f>IF($AC$374="","",IFERROR(INDEX($BA$74:$BA$119,MATCH($AH$374,$AY$74:$AY$119,0)),1))</f>
        <v/>
      </c>
      <c r="AK374" s="482" t="str">
        <f t="shared" si="102"/>
        <v/>
      </c>
      <c r="AL374" s="477" t="str">
        <f>IF($AC$374="","",IFERROR(INDEX($BB$74:$BB$119,MATCH($AH$374,$AY$74:$AY$119,0)),$AH$374))</f>
        <v/>
      </c>
      <c r="AM374" s="483" t="str">
        <f t="shared" si="103"/>
        <v/>
      </c>
      <c r="AN374" s="484" t="str">
        <f t="shared" si="104"/>
        <v/>
      </c>
      <c r="AO374" s="473" t="str">
        <f t="shared" si="105"/>
        <v/>
      </c>
      <c r="AP374" s="473" t="str">
        <f t="shared" si="106"/>
        <v/>
      </c>
      <c r="AQ374" s="473" t="str">
        <f t="shared" si="107"/>
        <v/>
      </c>
      <c r="AR374" s="473" t="str">
        <f t="shared" si="108"/>
        <v/>
      </c>
      <c r="AS374" s="473" t="str">
        <f t="shared" si="109"/>
        <v/>
      </c>
      <c r="AT374" s="473" t="str">
        <f t="shared" si="110"/>
        <v/>
      </c>
      <c r="AU374" s="473" t="str">
        <f t="shared" si="111"/>
        <v/>
      </c>
      <c r="AZ374" s="32" t="s">
        <v>8127</v>
      </c>
      <c r="BA374" s="34" t="s">
        <v>492</v>
      </c>
      <c r="BB374" s="499"/>
      <c r="BC374" s="271"/>
      <c r="BD374" s="279">
        <v>1</v>
      </c>
      <c r="BE374" s="271"/>
      <c r="BF374" s="271"/>
      <c r="BG374" s="271"/>
      <c r="BH374" s="271"/>
      <c r="BI374" s="271"/>
      <c r="BJ374" s="271"/>
      <c r="BK374" s="271"/>
      <c r="BL374" s="271"/>
    </row>
    <row r="375" spans="18:64" ht="21" customHeight="1" x14ac:dyDescent="0.25">
      <c r="R375" s="490"/>
      <c r="S375" s="451"/>
      <c r="T375" s="31" t="s">
        <v>18</v>
      </c>
      <c r="V375" s="475">
        <v>9</v>
      </c>
      <c r="W375" s="475" t="str">
        <f>IF($AC$375="","",$W$360)</f>
        <v/>
      </c>
      <c r="X375" s="476" t="str">
        <f>IF($AC$375="","",$X$360)</f>
        <v/>
      </c>
      <c r="Y375" s="477" t="str">
        <f>IF($X$375="","",$Y$360)</f>
        <v/>
      </c>
      <c r="Z375" s="477" t="str">
        <f>IF($X$375="","",$Z$360)</f>
        <v/>
      </c>
      <c r="AA375" s="477" t="str">
        <f>IF($AC$375="","",ROW($A$375)-ROW($A$360))</f>
        <v/>
      </c>
      <c r="AB375" s="478"/>
      <c r="AC375" s="34"/>
      <c r="AD375" s="356"/>
      <c r="AE375" s="18"/>
      <c r="AF375" s="19"/>
      <c r="AG375" s="480" t="str">
        <f t="shared" si="100"/>
        <v/>
      </c>
      <c r="AH375" s="481" t="str">
        <f t="shared" si="101"/>
        <v/>
      </c>
      <c r="AI375" s="477" t="str">
        <f>IF($AC$375="","",IFERROR(INDEX($AZ$74:$AZ$119,MATCH($AH$375,$AY$74:$AY$119,0)),"AUTRE"))</f>
        <v/>
      </c>
      <c r="AJ375" s="482" t="str">
        <f>IF($AC$375="","",IFERROR(INDEX($BA$74:$BA$119,MATCH($AH$375,$AY$74:$AY$119,0)),1))</f>
        <v/>
      </c>
      <c r="AK375" s="482" t="str">
        <f t="shared" si="102"/>
        <v/>
      </c>
      <c r="AL375" s="477" t="str">
        <f>IF($AC$375="","",IFERROR(INDEX($BB$74:$BB$119,MATCH($AH$375,$AY$74:$AY$119,0)),$AH$375))</f>
        <v/>
      </c>
      <c r="AM375" s="483" t="str">
        <f t="shared" si="103"/>
        <v/>
      </c>
      <c r="AN375" s="484" t="str">
        <f t="shared" si="104"/>
        <v/>
      </c>
      <c r="AO375" s="473" t="str">
        <f t="shared" si="105"/>
        <v/>
      </c>
      <c r="AP375" s="473" t="str">
        <f t="shared" si="106"/>
        <v/>
      </c>
      <c r="AQ375" s="473" t="str">
        <f t="shared" si="107"/>
        <v/>
      </c>
      <c r="AR375" s="473" t="str">
        <f t="shared" si="108"/>
        <v/>
      </c>
      <c r="AS375" s="473" t="str">
        <f t="shared" si="109"/>
        <v/>
      </c>
      <c r="AT375" s="473" t="str">
        <f t="shared" si="110"/>
        <v/>
      </c>
      <c r="AU375" s="473" t="str">
        <f t="shared" si="111"/>
        <v/>
      </c>
      <c r="AZ375" s="32" t="s">
        <v>320</v>
      </c>
      <c r="BA375" s="34" t="s">
        <v>458</v>
      </c>
      <c r="BB375" s="499"/>
      <c r="BC375" s="271"/>
      <c r="BD375" s="279">
        <v>1</v>
      </c>
      <c r="BE375" s="271"/>
      <c r="BF375" s="271"/>
      <c r="BG375" s="271"/>
      <c r="BH375" s="271"/>
      <c r="BI375" s="271"/>
      <c r="BJ375" s="271"/>
      <c r="BK375" s="271"/>
      <c r="BL375" s="271"/>
    </row>
    <row r="376" spans="18:64" ht="21" customHeight="1" x14ac:dyDescent="0.25">
      <c r="R376" s="25" t="s">
        <v>6119</v>
      </c>
      <c r="S376" s="451"/>
      <c r="T376" s="31" t="s">
        <v>19</v>
      </c>
      <c r="V376" s="475">
        <v>9</v>
      </c>
      <c r="W376" s="475" t="str">
        <f>IF($AC$376="","",$W$360)</f>
        <v/>
      </c>
      <c r="X376" s="476" t="str">
        <f>IF($AC$376="","",$X$360)</f>
        <v/>
      </c>
      <c r="Y376" s="477" t="str">
        <f>IF($X$376="","",$Y$360)</f>
        <v/>
      </c>
      <c r="Z376" s="477" t="str">
        <f>IF($X$376="","",$Z$360)</f>
        <v/>
      </c>
      <c r="AA376" s="477" t="str">
        <f>IF($AC$376="","",ROW($A$376)-ROW($A$360))</f>
        <v/>
      </c>
      <c r="AB376" s="478"/>
      <c r="AC376" s="34"/>
      <c r="AD376" s="356"/>
      <c r="AE376" s="18"/>
      <c r="AF376" s="19"/>
      <c r="AG376" s="480" t="str">
        <f t="shared" si="100"/>
        <v/>
      </c>
      <c r="AH376" s="481" t="str">
        <f t="shared" si="101"/>
        <v/>
      </c>
      <c r="AI376" s="477" t="str">
        <f>IF($AC$376="","",IFERROR(INDEX($AZ$74:$AZ$119,MATCH($AH$376,$AY$74:$AY$119,0)),"AUTRE"))</f>
        <v/>
      </c>
      <c r="AJ376" s="482" t="str">
        <f>IF($AC$376="","",IFERROR(INDEX($BA$74:$BA$119,MATCH($AH$376,$AY$74:$AY$119,0)),1))</f>
        <v/>
      </c>
      <c r="AK376" s="482" t="str">
        <f t="shared" si="102"/>
        <v/>
      </c>
      <c r="AL376" s="477" t="str">
        <f>IF($AC$376="","",IFERROR(INDEX($BB$74:$BB$119,MATCH($AH$376,$AY$74:$AY$119,0)),$AH$376))</f>
        <v/>
      </c>
      <c r="AM376" s="483" t="str">
        <f t="shared" si="103"/>
        <v/>
      </c>
      <c r="AN376" s="484" t="str">
        <f t="shared" si="104"/>
        <v/>
      </c>
      <c r="AO376" s="473" t="str">
        <f t="shared" si="105"/>
        <v/>
      </c>
      <c r="AP376" s="473" t="str">
        <f t="shared" si="106"/>
        <v/>
      </c>
      <c r="AQ376" s="473" t="str">
        <f t="shared" si="107"/>
        <v/>
      </c>
      <c r="AR376" s="473" t="str">
        <f t="shared" si="108"/>
        <v/>
      </c>
      <c r="AS376" s="473" t="str">
        <f t="shared" si="109"/>
        <v/>
      </c>
      <c r="AT376" s="473" t="str">
        <f t="shared" si="110"/>
        <v/>
      </c>
      <c r="AU376" s="473" t="str">
        <f t="shared" si="111"/>
        <v/>
      </c>
      <c r="AZ376" s="32" t="s">
        <v>318</v>
      </c>
      <c r="BA376" s="490"/>
      <c r="BB376" s="499"/>
      <c r="BC376" s="271"/>
      <c r="BD376" s="279">
        <v>1</v>
      </c>
      <c r="BE376" s="271"/>
      <c r="BF376" s="271"/>
      <c r="BG376" s="271"/>
      <c r="BH376" s="271"/>
      <c r="BI376" s="271"/>
      <c r="BJ376" s="271"/>
      <c r="BK376" s="271"/>
      <c r="BL376" s="271"/>
    </row>
    <row r="377" spans="18:64" ht="21" customHeight="1" x14ac:dyDescent="0.25">
      <c r="R377" s="34" t="s">
        <v>6120</v>
      </c>
      <c r="S377" s="451"/>
      <c r="T377" s="31" t="s">
        <v>211</v>
      </c>
      <c r="V377" s="475">
        <v>9</v>
      </c>
      <c r="W377" s="475" t="str">
        <f>IF($AC$377="","",$W$360)</f>
        <v/>
      </c>
      <c r="X377" s="476" t="str">
        <f>IF($AC$377="","",$X$360)</f>
        <v/>
      </c>
      <c r="Y377" s="477" t="str">
        <f>IF($X$377="","",$Y$360)</f>
        <v/>
      </c>
      <c r="Z377" s="477" t="str">
        <f>IF($X$377="","",$Z$360)</f>
        <v/>
      </c>
      <c r="AA377" s="477" t="str">
        <f>IF($AC$377="","",ROW($A$377)-ROW($A$360))</f>
        <v/>
      </c>
      <c r="AB377" s="478"/>
      <c r="AC377" s="34"/>
      <c r="AD377" s="356"/>
      <c r="AE377" s="18"/>
      <c r="AF377" s="19"/>
      <c r="AG377" s="480" t="str">
        <f t="shared" si="100"/>
        <v/>
      </c>
      <c r="AH377" s="481" t="str">
        <f t="shared" si="101"/>
        <v/>
      </c>
      <c r="AI377" s="477" t="str">
        <f>IF($AC$377="","",IFERROR(INDEX($AZ$74:$AZ$119,MATCH($AH$377,$AY$74:$AY$119,0)),"AUTRE"))</f>
        <v/>
      </c>
      <c r="AJ377" s="482" t="str">
        <f>IF($AC$377="","",IFERROR(INDEX($BA$74:$BA$119,MATCH($AH$377,$AY$74:$AY$119,0)),1))</f>
        <v/>
      </c>
      <c r="AK377" s="482" t="str">
        <f t="shared" si="102"/>
        <v/>
      </c>
      <c r="AL377" s="477" t="str">
        <f>IF($AC$377="","",IFERROR(INDEX($BB$74:$BB$119,MATCH($AH$377,$AY$74:$AY$119,0)),$AH$377))</f>
        <v/>
      </c>
      <c r="AM377" s="483" t="str">
        <f t="shared" si="103"/>
        <v/>
      </c>
      <c r="AN377" s="484" t="str">
        <f t="shared" si="104"/>
        <v/>
      </c>
      <c r="AO377" s="473" t="str">
        <f t="shared" si="105"/>
        <v/>
      </c>
      <c r="AP377" s="473" t="str">
        <f t="shared" si="106"/>
        <v/>
      </c>
      <c r="AQ377" s="473" t="str">
        <f t="shared" si="107"/>
        <v/>
      </c>
      <c r="AR377" s="473" t="str">
        <f t="shared" si="108"/>
        <v/>
      </c>
      <c r="AS377" s="473" t="str">
        <f t="shared" si="109"/>
        <v/>
      </c>
      <c r="AT377" s="473" t="str">
        <f t="shared" si="110"/>
        <v/>
      </c>
      <c r="AU377" s="473" t="str">
        <f t="shared" si="111"/>
        <v/>
      </c>
      <c r="AZ377" s="32" t="s">
        <v>316</v>
      </c>
      <c r="BA377" s="25" t="s">
        <v>6119</v>
      </c>
      <c r="BB377" s="499"/>
      <c r="BC377" s="271"/>
      <c r="BD377" s="279">
        <v>1</v>
      </c>
      <c r="BE377" s="271"/>
      <c r="BF377" s="271"/>
      <c r="BG377" s="271"/>
      <c r="BH377" s="271"/>
      <c r="BI377" s="271"/>
      <c r="BJ377" s="271"/>
      <c r="BK377" s="271"/>
      <c r="BL377" s="271"/>
    </row>
    <row r="378" spans="18:64" ht="21" customHeight="1" x14ac:dyDescent="0.25">
      <c r="R378" s="34" t="s">
        <v>6121</v>
      </c>
      <c r="S378" s="451"/>
      <c r="T378" s="31" t="s">
        <v>20</v>
      </c>
      <c r="V378" s="475">
        <v>9</v>
      </c>
      <c r="W378" s="475" t="str">
        <f>IF($AC$378="","",$W$360)</f>
        <v/>
      </c>
      <c r="X378" s="476" t="str">
        <f>IF($AC$378="","",$X$360)</f>
        <v/>
      </c>
      <c r="Y378" s="477" t="str">
        <f>IF($X$378="","",$Y$360)</f>
        <v/>
      </c>
      <c r="Z378" s="477" t="str">
        <f>IF($X$378="","",$Z$360)</f>
        <v/>
      </c>
      <c r="AA378" s="477" t="str">
        <f>IF($AC$378="","",ROW($A$378)-ROW($A$360))</f>
        <v/>
      </c>
      <c r="AB378" s="478"/>
      <c r="AC378" s="34"/>
      <c r="AD378" s="356"/>
      <c r="AE378" s="18"/>
      <c r="AF378" s="19"/>
      <c r="AG378" s="480" t="str">
        <f t="shared" si="100"/>
        <v/>
      </c>
      <c r="AH378" s="481" t="str">
        <f t="shared" si="101"/>
        <v/>
      </c>
      <c r="AI378" s="477" t="str">
        <f>IF($AC$378="","",IFERROR(INDEX($AZ$74:$AZ$119,MATCH($AH$378,$AY$74:$AY$119,0)),"AUTRE"))</f>
        <v/>
      </c>
      <c r="AJ378" s="482" t="str">
        <f>IF($AC$378="","",IFERROR(INDEX($BA$74:$BA$119,MATCH($AH$378,$AY$74:$AY$119,0)),1))</f>
        <v/>
      </c>
      <c r="AK378" s="482" t="str">
        <f t="shared" si="102"/>
        <v/>
      </c>
      <c r="AL378" s="477" t="str">
        <f>IF($AC$378="","",IFERROR(INDEX($BB$74:$BB$119,MATCH($AH$378,$AY$74:$AY$119,0)),$AH$378))</f>
        <v/>
      </c>
      <c r="AM378" s="483" t="str">
        <f t="shared" si="103"/>
        <v/>
      </c>
      <c r="AN378" s="484" t="str">
        <f t="shared" si="104"/>
        <v/>
      </c>
      <c r="AO378" s="473" t="str">
        <f t="shared" si="105"/>
        <v/>
      </c>
      <c r="AP378" s="473" t="str">
        <f t="shared" si="106"/>
        <v/>
      </c>
      <c r="AQ378" s="473" t="str">
        <f t="shared" si="107"/>
        <v/>
      </c>
      <c r="AR378" s="473" t="str">
        <f t="shared" si="108"/>
        <v/>
      </c>
      <c r="AS378" s="473" t="str">
        <f t="shared" si="109"/>
        <v/>
      </c>
      <c r="AT378" s="473" t="str">
        <f t="shared" si="110"/>
        <v/>
      </c>
      <c r="AU378" s="473" t="str">
        <f t="shared" si="111"/>
        <v/>
      </c>
      <c r="AZ378" s="32" t="s">
        <v>313</v>
      </c>
      <c r="BA378" s="34" t="s">
        <v>6120</v>
      </c>
      <c r="BB378" s="499"/>
      <c r="BC378" s="271"/>
      <c r="BD378" s="279">
        <v>1</v>
      </c>
      <c r="BE378" s="271"/>
      <c r="BF378" s="271"/>
      <c r="BG378" s="271"/>
      <c r="BH378" s="271"/>
      <c r="BI378" s="271"/>
      <c r="BJ378" s="271"/>
      <c r="BK378" s="271"/>
      <c r="BL378" s="271"/>
    </row>
    <row r="379" spans="18:64" ht="21" customHeight="1" x14ac:dyDescent="0.25">
      <c r="R379" s="34" t="s">
        <v>6122</v>
      </c>
      <c r="S379" s="451"/>
      <c r="T379" s="31" t="s">
        <v>304</v>
      </c>
      <c r="V379" s="475">
        <v>9</v>
      </c>
      <c r="W379" s="475" t="str">
        <f>IF($AC$379="","",$W$360)</f>
        <v/>
      </c>
      <c r="X379" s="476" t="str">
        <f>IF($AC$379="","",$X$360)</f>
        <v/>
      </c>
      <c r="Y379" s="477" t="str">
        <f>IF($X$379="","",$Y$360)</f>
        <v/>
      </c>
      <c r="Z379" s="477" t="str">
        <f>IF($X$379="","",$Z$360)</f>
        <v/>
      </c>
      <c r="AA379" s="477" t="str">
        <f>IF($AC$379="","",ROW($A$379)-ROW($A$360))</f>
        <v/>
      </c>
      <c r="AB379" s="478"/>
      <c r="AC379" s="34"/>
      <c r="AD379" s="356"/>
      <c r="AE379" s="18"/>
      <c r="AF379" s="19"/>
      <c r="AG379" s="480" t="str">
        <f t="shared" si="100"/>
        <v/>
      </c>
      <c r="AH379" s="481" t="str">
        <f t="shared" si="101"/>
        <v/>
      </c>
      <c r="AI379" s="477" t="str">
        <f>IF($AC$379="","",IFERROR(INDEX($AZ$74:$AZ$119,MATCH($AH$379,$AY$74:$AY$119,0)),"AUTRE"))</f>
        <v/>
      </c>
      <c r="AJ379" s="482" t="str">
        <f>IF($AC$379="","",IFERROR(INDEX($BA$74:$BA$119,MATCH($AH$379,$AY$74:$AY$119,0)),1))</f>
        <v/>
      </c>
      <c r="AK379" s="482" t="str">
        <f t="shared" si="102"/>
        <v/>
      </c>
      <c r="AL379" s="477" t="str">
        <f>IF($AC$379="","",IFERROR(INDEX($BB$74:$BB$119,MATCH($AH$379,$AY$74:$AY$119,0)),$AH$379))</f>
        <v/>
      </c>
      <c r="AM379" s="483" t="str">
        <f t="shared" si="103"/>
        <v/>
      </c>
      <c r="AN379" s="484" t="str">
        <f t="shared" si="104"/>
        <v/>
      </c>
      <c r="AO379" s="473" t="str">
        <f t="shared" si="105"/>
        <v/>
      </c>
      <c r="AP379" s="473" t="str">
        <f t="shared" si="106"/>
        <v/>
      </c>
      <c r="AQ379" s="473" t="str">
        <f t="shared" si="107"/>
        <v/>
      </c>
      <c r="AR379" s="473" t="str">
        <f t="shared" si="108"/>
        <v/>
      </c>
      <c r="AS379" s="473" t="str">
        <f t="shared" si="109"/>
        <v/>
      </c>
      <c r="AT379" s="473" t="str">
        <f t="shared" si="110"/>
        <v/>
      </c>
      <c r="AU379" s="473" t="str">
        <f t="shared" si="111"/>
        <v/>
      </c>
      <c r="AZ379" s="32" t="s">
        <v>307</v>
      </c>
      <c r="BA379" s="34" t="s">
        <v>6121</v>
      </c>
      <c r="BB379" s="499"/>
      <c r="BC379" s="271"/>
      <c r="BD379" s="279">
        <v>1</v>
      </c>
      <c r="BE379" s="271"/>
      <c r="BF379" s="271"/>
      <c r="BG379" s="271"/>
      <c r="BH379" s="271"/>
      <c r="BI379" s="271"/>
      <c r="BJ379" s="271"/>
      <c r="BK379" s="271"/>
      <c r="BL379" s="271"/>
    </row>
    <row r="380" spans="18:64" ht="21" customHeight="1" x14ac:dyDescent="0.25">
      <c r="R380" s="34" t="s">
        <v>6123</v>
      </c>
      <c r="S380" s="451"/>
      <c r="T380" s="31" t="s">
        <v>352</v>
      </c>
      <c r="V380" s="475">
        <v>9</v>
      </c>
      <c r="W380" s="475" t="str">
        <f>IF($AC$380="","",$W$360)</f>
        <v/>
      </c>
      <c r="X380" s="476" t="str">
        <f>IF($AC$380="","",$X$360)</f>
        <v/>
      </c>
      <c r="Y380" s="477" t="str">
        <f>IF($X$380="","",$Y$360)</f>
        <v/>
      </c>
      <c r="Z380" s="477" t="str">
        <f>IF($X$380="","",$Z$360)</f>
        <v/>
      </c>
      <c r="AA380" s="477" t="str">
        <f>IF($AC$380="","",ROW($A$380)-ROW($A$360))</f>
        <v/>
      </c>
      <c r="AB380" s="478"/>
      <c r="AC380" s="34"/>
      <c r="AD380" s="356"/>
      <c r="AE380" s="18"/>
      <c r="AF380" s="19"/>
      <c r="AG380" s="480" t="str">
        <f t="shared" si="100"/>
        <v/>
      </c>
      <c r="AH380" s="481" t="str">
        <f t="shared" si="101"/>
        <v/>
      </c>
      <c r="AI380" s="477" t="str">
        <f>IF($AC$380="","",IFERROR(INDEX($AZ$74:$AZ$119,MATCH($AH$380,$AY$74:$AY$119,0)),"AUTRE"))</f>
        <v/>
      </c>
      <c r="AJ380" s="482" t="str">
        <f>IF($AC$380="","",IFERROR(INDEX($BA$74:$BA$119,MATCH($AH$380,$AY$74:$AY$119,0)),1))</f>
        <v/>
      </c>
      <c r="AK380" s="482" t="str">
        <f t="shared" si="102"/>
        <v/>
      </c>
      <c r="AL380" s="477" t="str">
        <f>IF($AC$380="","",IFERROR(INDEX($BB$74:$BB$119,MATCH($AH$380,$AY$74:$AY$119,0)),$AH$380))</f>
        <v/>
      </c>
      <c r="AM380" s="483" t="str">
        <f t="shared" si="103"/>
        <v/>
      </c>
      <c r="AN380" s="484" t="str">
        <f t="shared" si="104"/>
        <v/>
      </c>
      <c r="AO380" s="473" t="str">
        <f t="shared" si="105"/>
        <v/>
      </c>
      <c r="AP380" s="473" t="str">
        <f t="shared" si="106"/>
        <v/>
      </c>
      <c r="AQ380" s="473" t="str">
        <f t="shared" si="107"/>
        <v/>
      </c>
      <c r="AR380" s="473" t="str">
        <f t="shared" si="108"/>
        <v/>
      </c>
      <c r="AS380" s="473" t="str">
        <f t="shared" si="109"/>
        <v/>
      </c>
      <c r="AT380" s="473" t="str">
        <f t="shared" si="110"/>
        <v/>
      </c>
      <c r="AU380" s="473" t="str">
        <f t="shared" si="111"/>
        <v/>
      </c>
      <c r="AZ380" s="32" t="s">
        <v>322</v>
      </c>
      <c r="BA380" s="34" t="s">
        <v>6122</v>
      </c>
      <c r="BB380" s="499"/>
      <c r="BC380" s="271"/>
      <c r="BD380" s="279">
        <v>1</v>
      </c>
      <c r="BE380" s="271"/>
      <c r="BF380" s="271"/>
      <c r="BG380" s="271"/>
      <c r="BH380" s="271"/>
      <c r="BI380" s="271"/>
      <c r="BJ380" s="271"/>
      <c r="BK380" s="271"/>
      <c r="BL380" s="271"/>
    </row>
    <row r="381" spans="18:64" ht="21" customHeight="1" x14ac:dyDescent="0.25">
      <c r="R381" s="34" t="s">
        <v>6124</v>
      </c>
      <c r="S381" s="451"/>
      <c r="T381" s="31" t="s">
        <v>25</v>
      </c>
      <c r="V381" s="475">
        <v>9</v>
      </c>
      <c r="W381" s="475" t="str">
        <f>IF($AC$381="","",$W$360)</f>
        <v/>
      </c>
      <c r="X381" s="476" t="str">
        <f>IF($AC$381="","",$X$360)</f>
        <v/>
      </c>
      <c r="Y381" s="477" t="str">
        <f>IF($X$381="","",$Y$360)</f>
        <v/>
      </c>
      <c r="Z381" s="477" t="str">
        <f>IF($X$381="","",$Z$360)</f>
        <v/>
      </c>
      <c r="AA381" s="477" t="str">
        <f>IF($AC$381="","",ROW($A$381)-ROW($A$360))</f>
        <v/>
      </c>
      <c r="AB381" s="478"/>
      <c r="AC381" s="34"/>
      <c r="AD381" s="356"/>
      <c r="AE381" s="18"/>
      <c r="AF381" s="19"/>
      <c r="AG381" s="480" t="str">
        <f t="shared" si="100"/>
        <v/>
      </c>
      <c r="AH381" s="481" t="str">
        <f t="shared" si="101"/>
        <v/>
      </c>
      <c r="AI381" s="477" t="str">
        <f>IF($AC$381="","",IFERROR(INDEX($AZ$74:$AZ$119,MATCH($AH$381,$AY$74:$AY$119,0)),"AUTRE"))</f>
        <v/>
      </c>
      <c r="AJ381" s="482" t="str">
        <f>IF($AC$381="","",IFERROR(INDEX($BA$74:$BA$119,MATCH($AH$381,$AY$74:$AY$119,0)),1))</f>
        <v/>
      </c>
      <c r="AK381" s="482" t="str">
        <f t="shared" si="102"/>
        <v/>
      </c>
      <c r="AL381" s="477" t="str">
        <f>IF($AC$381="","",IFERROR(INDEX($BB$74:$BB$119,MATCH($AH$381,$AY$74:$AY$119,0)),$AH$381))</f>
        <v/>
      </c>
      <c r="AM381" s="483" t="str">
        <f t="shared" si="103"/>
        <v/>
      </c>
      <c r="AN381" s="484" t="str">
        <f t="shared" si="104"/>
        <v/>
      </c>
      <c r="AO381" s="473" t="str">
        <f t="shared" si="105"/>
        <v/>
      </c>
      <c r="AP381" s="473" t="str">
        <f t="shared" si="106"/>
        <v/>
      </c>
      <c r="AQ381" s="473" t="str">
        <f t="shared" si="107"/>
        <v/>
      </c>
      <c r="AR381" s="473" t="str">
        <f t="shared" si="108"/>
        <v/>
      </c>
      <c r="AS381" s="473" t="str">
        <f t="shared" si="109"/>
        <v/>
      </c>
      <c r="AT381" s="473" t="str">
        <f t="shared" si="110"/>
        <v/>
      </c>
      <c r="AU381" s="473" t="str">
        <f t="shared" si="111"/>
        <v/>
      </c>
      <c r="AZ381" s="32" t="s">
        <v>305</v>
      </c>
      <c r="BA381" s="34" t="s">
        <v>6123</v>
      </c>
      <c r="BB381" s="499"/>
      <c r="BC381" s="271"/>
      <c r="BD381" s="279">
        <v>1</v>
      </c>
      <c r="BE381" s="271"/>
      <c r="BF381" s="271"/>
      <c r="BG381" s="271"/>
      <c r="BH381" s="271"/>
      <c r="BI381" s="271"/>
      <c r="BJ381" s="271"/>
      <c r="BK381" s="271"/>
      <c r="BL381" s="271"/>
    </row>
    <row r="382" spans="18:64" ht="21" customHeight="1" x14ac:dyDescent="0.25">
      <c r="R382" s="34" t="s">
        <v>6125</v>
      </c>
      <c r="S382" s="451"/>
      <c r="T382" s="31" t="s">
        <v>26</v>
      </c>
      <c r="V382" s="475">
        <v>9</v>
      </c>
      <c r="W382" s="475" t="str">
        <f>IF($AC$382="","",$W$360)</f>
        <v/>
      </c>
      <c r="X382" s="476" t="str">
        <f>IF($AC$382="","",$X$360)</f>
        <v/>
      </c>
      <c r="Y382" s="477" t="str">
        <f>IF($X$382="","",$Y$360)</f>
        <v/>
      </c>
      <c r="Z382" s="477" t="str">
        <f>IF($X$382="","",$Z$360)</f>
        <v/>
      </c>
      <c r="AA382" s="477" t="str">
        <f>IF($AC$382="","",ROW($A$382)-ROW($A$360))</f>
        <v/>
      </c>
      <c r="AB382" s="478"/>
      <c r="AC382" s="34"/>
      <c r="AD382" s="356"/>
      <c r="AE382" s="18"/>
      <c r="AF382" s="19"/>
      <c r="AG382" s="480" t="str">
        <f t="shared" si="100"/>
        <v/>
      </c>
      <c r="AH382" s="481" t="str">
        <f t="shared" si="101"/>
        <v/>
      </c>
      <c r="AI382" s="477" t="str">
        <f>IF($AC$382="","",IFERROR(INDEX($AZ$74:$AZ$119,MATCH($AH$382,$AY$74:$AY$119,0)),"AUTRE"))</f>
        <v/>
      </c>
      <c r="AJ382" s="482" t="str">
        <f>IF($AC$382="","",IFERROR(INDEX($BA$74:$BA$119,MATCH($AH$382,$AY$74:$AY$119,0)),1))</f>
        <v/>
      </c>
      <c r="AK382" s="482" t="str">
        <f t="shared" si="102"/>
        <v/>
      </c>
      <c r="AL382" s="477" t="str">
        <f>IF($AC$382="","",IFERROR(INDEX($BB$74:$BB$119,MATCH($AH$382,$AY$74:$AY$119,0)),$AH$382))</f>
        <v/>
      </c>
      <c r="AM382" s="483" t="str">
        <f t="shared" si="103"/>
        <v/>
      </c>
      <c r="AN382" s="484" t="str">
        <f t="shared" si="104"/>
        <v/>
      </c>
      <c r="AO382" s="473" t="str">
        <f t="shared" si="105"/>
        <v/>
      </c>
      <c r="AP382" s="473" t="str">
        <f t="shared" si="106"/>
        <v/>
      </c>
      <c r="AQ382" s="473" t="str">
        <f t="shared" si="107"/>
        <v/>
      </c>
      <c r="AR382" s="473" t="str">
        <f t="shared" si="108"/>
        <v/>
      </c>
      <c r="AS382" s="473" t="str">
        <f t="shared" si="109"/>
        <v/>
      </c>
      <c r="AT382" s="473" t="str">
        <f t="shared" si="110"/>
        <v/>
      </c>
      <c r="AU382" s="473" t="str">
        <f t="shared" si="111"/>
        <v/>
      </c>
      <c r="AZ382" s="32" t="s">
        <v>8129</v>
      </c>
      <c r="BA382" s="34" t="s">
        <v>6124</v>
      </c>
      <c r="BB382" s="499"/>
      <c r="BC382" s="271"/>
      <c r="BD382" s="279">
        <v>1</v>
      </c>
      <c r="BE382" s="271"/>
      <c r="BF382" s="271"/>
      <c r="BG382" s="271"/>
      <c r="BH382" s="271"/>
      <c r="BI382" s="271"/>
      <c r="BJ382" s="271"/>
      <c r="BK382" s="271"/>
      <c r="BL382" s="271"/>
    </row>
    <row r="383" spans="18:64" ht="21" customHeight="1" x14ac:dyDescent="0.25">
      <c r="R383" s="34" t="s">
        <v>6126</v>
      </c>
      <c r="S383" s="451"/>
      <c r="T383" s="31" t="s">
        <v>27</v>
      </c>
      <c r="V383" s="475">
        <v>9</v>
      </c>
      <c r="W383" s="475" t="str">
        <f>IF($AC$383="","",$W$360)</f>
        <v/>
      </c>
      <c r="X383" s="476" t="str">
        <f>IF($AC$383="","",$X$360)</f>
        <v/>
      </c>
      <c r="Y383" s="477" t="str">
        <f>IF($X$383="","",$Y$360)</f>
        <v/>
      </c>
      <c r="Z383" s="477" t="str">
        <f>IF($X$383="","",$Z$360)</f>
        <v/>
      </c>
      <c r="AA383" s="477" t="str">
        <f>IF($AC$383="","",ROW($A$383)-ROW($A$360))</f>
        <v/>
      </c>
      <c r="AB383" s="478"/>
      <c r="AC383" s="34"/>
      <c r="AD383" s="356"/>
      <c r="AE383" s="18"/>
      <c r="AF383" s="19"/>
      <c r="AG383" s="480" t="str">
        <f t="shared" si="100"/>
        <v/>
      </c>
      <c r="AH383" s="481" t="str">
        <f t="shared" si="101"/>
        <v/>
      </c>
      <c r="AI383" s="477" t="str">
        <f>IF($AC$383="","",IFERROR(INDEX($AZ$74:$AZ$119,MATCH($AH$383,$AY$74:$AY$119,0)),"AUTRE"))</f>
        <v/>
      </c>
      <c r="AJ383" s="482" t="str">
        <f>IF($AC$383="","",IFERROR(INDEX($BA$74:$BA$119,MATCH($AH$383,$AY$74:$AY$119,0)),1))</f>
        <v/>
      </c>
      <c r="AK383" s="482" t="str">
        <f t="shared" si="102"/>
        <v/>
      </c>
      <c r="AL383" s="477" t="str">
        <f>IF($AC$383="","",IFERROR(INDEX($BB$74:$BB$119,MATCH($AH$383,$AY$74:$AY$119,0)),$AH$383))</f>
        <v/>
      </c>
      <c r="AM383" s="483" t="str">
        <f t="shared" si="103"/>
        <v/>
      </c>
      <c r="AN383" s="484" t="str">
        <f t="shared" si="104"/>
        <v/>
      </c>
      <c r="AO383" s="473" t="str">
        <f t="shared" si="105"/>
        <v/>
      </c>
      <c r="AP383" s="473" t="str">
        <f t="shared" si="106"/>
        <v/>
      </c>
      <c r="AQ383" s="473" t="str">
        <f t="shared" si="107"/>
        <v/>
      </c>
      <c r="AR383" s="473" t="str">
        <f t="shared" si="108"/>
        <v/>
      </c>
      <c r="AS383" s="473" t="str">
        <f t="shared" si="109"/>
        <v/>
      </c>
      <c r="AT383" s="473" t="str">
        <f t="shared" si="110"/>
        <v/>
      </c>
      <c r="AU383" s="473" t="str">
        <f t="shared" si="111"/>
        <v/>
      </c>
      <c r="AZ383" s="32" t="s">
        <v>8131</v>
      </c>
      <c r="BA383" s="34" t="s">
        <v>6125</v>
      </c>
      <c r="BB383" s="499"/>
      <c r="BC383" s="271"/>
      <c r="BD383" s="279">
        <v>1</v>
      </c>
      <c r="BE383" s="271"/>
      <c r="BF383" s="271"/>
      <c r="BG383" s="271"/>
      <c r="BH383" s="271"/>
      <c r="BI383" s="271"/>
      <c r="BJ383" s="271"/>
      <c r="BK383" s="271"/>
      <c r="BL383" s="271"/>
    </row>
    <row r="384" spans="18:64" ht="21" customHeight="1" x14ac:dyDescent="0.25">
      <c r="R384" s="34" t="s">
        <v>6127</v>
      </c>
      <c r="S384" s="451"/>
      <c r="T384" s="31" t="s">
        <v>28</v>
      </c>
      <c r="V384" s="475">
        <v>9</v>
      </c>
      <c r="W384" s="475" t="str">
        <f>IF($AC$384="","",$W$360)</f>
        <v/>
      </c>
      <c r="X384" s="476" t="str">
        <f>IF($AC$384="","",$X$360)</f>
        <v/>
      </c>
      <c r="Y384" s="477" t="str">
        <f>IF($X$384="","",$Y$360)</f>
        <v/>
      </c>
      <c r="Z384" s="477" t="str">
        <f>IF($X$384="","",$Z$360)</f>
        <v/>
      </c>
      <c r="AA384" s="477" t="str">
        <f>IF($AC$384="","",ROW($A$384)-ROW($A$360))</f>
        <v/>
      </c>
      <c r="AB384" s="478"/>
      <c r="AC384" s="34"/>
      <c r="AD384" s="356"/>
      <c r="AE384" s="18"/>
      <c r="AF384" s="19"/>
      <c r="AG384" s="480" t="str">
        <f t="shared" si="100"/>
        <v/>
      </c>
      <c r="AH384" s="481" t="str">
        <f t="shared" si="101"/>
        <v/>
      </c>
      <c r="AI384" s="477" t="str">
        <f>IF($AC$384="","",IFERROR(INDEX($AZ$74:$AZ$119,MATCH($AH$384,$AY$74:$AY$119,0)),"AUTRE"))</f>
        <v/>
      </c>
      <c r="AJ384" s="482" t="str">
        <f>IF($AC$384="","",IFERROR(INDEX($BA$74:$BA$119,MATCH($AH$384,$AY$74:$AY$119,0)),1))</f>
        <v/>
      </c>
      <c r="AK384" s="482" t="str">
        <f t="shared" si="102"/>
        <v/>
      </c>
      <c r="AL384" s="477" t="str">
        <f>IF($AC$384="","",IFERROR(INDEX($BB$74:$BB$119,MATCH($AH$384,$AY$74:$AY$119,0)),$AH$384))</f>
        <v/>
      </c>
      <c r="AM384" s="483" t="str">
        <f t="shared" si="103"/>
        <v/>
      </c>
      <c r="AN384" s="484" t="str">
        <f t="shared" si="104"/>
        <v/>
      </c>
      <c r="AO384" s="473" t="str">
        <f t="shared" si="105"/>
        <v/>
      </c>
      <c r="AP384" s="473" t="str">
        <f t="shared" si="106"/>
        <v/>
      </c>
      <c r="AQ384" s="473" t="str">
        <f t="shared" si="107"/>
        <v/>
      </c>
      <c r="AR384" s="473" t="str">
        <f t="shared" si="108"/>
        <v/>
      </c>
      <c r="AS384" s="473" t="str">
        <f t="shared" si="109"/>
        <v/>
      </c>
      <c r="AT384" s="473" t="str">
        <f t="shared" si="110"/>
        <v/>
      </c>
      <c r="AU384" s="473" t="str">
        <f t="shared" si="111"/>
        <v/>
      </c>
      <c r="AZ384" s="32" t="s">
        <v>309</v>
      </c>
      <c r="BA384" s="34" t="s">
        <v>6126</v>
      </c>
      <c r="BB384" s="499"/>
      <c r="BC384" s="271"/>
      <c r="BD384" s="279">
        <v>1</v>
      </c>
      <c r="BE384" s="271"/>
      <c r="BF384" s="271"/>
      <c r="BG384" s="271"/>
      <c r="BH384" s="271"/>
      <c r="BI384" s="271"/>
      <c r="BJ384" s="271"/>
      <c r="BK384" s="271"/>
      <c r="BL384" s="271"/>
    </row>
    <row r="385" spans="18:64" ht="21" customHeight="1" x14ac:dyDescent="0.25">
      <c r="R385" s="25" t="s">
        <v>6128</v>
      </c>
      <c r="S385" s="451"/>
      <c r="T385" s="31" t="s">
        <v>29</v>
      </c>
      <c r="V385" s="475">
        <v>9</v>
      </c>
      <c r="W385" s="475" t="str">
        <f>IF($AC$385="","",$W$360)</f>
        <v/>
      </c>
      <c r="X385" s="476" t="str">
        <f>IF($AC$385="","",$X$360)</f>
        <v/>
      </c>
      <c r="Y385" s="477" t="str">
        <f>IF($X$385="","",$Y$360)</f>
        <v/>
      </c>
      <c r="Z385" s="477" t="str">
        <f>IF($X$385="","",$Z$360)</f>
        <v/>
      </c>
      <c r="AA385" s="477" t="str">
        <f>IF($AC$385="","",ROW($A$385)-ROW($A$360))</f>
        <v/>
      </c>
      <c r="AB385" s="478"/>
      <c r="AC385" s="34"/>
      <c r="AD385" s="356"/>
      <c r="AE385" s="18"/>
      <c r="AF385" s="19"/>
      <c r="AG385" s="480" t="str">
        <f t="shared" si="100"/>
        <v/>
      </c>
      <c r="AH385" s="481" t="str">
        <f t="shared" si="101"/>
        <v/>
      </c>
      <c r="AI385" s="477" t="str">
        <f>IF($AC$385="","",IFERROR(INDEX($AZ$74:$AZ$119,MATCH($AH$385,$AY$74:$AY$119,0)),"AUTRE"))</f>
        <v/>
      </c>
      <c r="AJ385" s="482" t="str">
        <f>IF($AC$385="","",IFERROR(INDEX($BA$74:$BA$119,MATCH($AH$385,$AY$74:$AY$119,0)),1))</f>
        <v/>
      </c>
      <c r="AK385" s="482" t="str">
        <f t="shared" si="102"/>
        <v/>
      </c>
      <c r="AL385" s="477" t="str">
        <f>IF($AC$385="","",IFERROR(INDEX($BB$74:$BB$119,MATCH($AH$385,$AY$74:$AY$119,0)),$AH$385))</f>
        <v/>
      </c>
      <c r="AM385" s="483" t="str">
        <f t="shared" si="103"/>
        <v/>
      </c>
      <c r="AN385" s="484" t="str">
        <f t="shared" si="104"/>
        <v/>
      </c>
      <c r="AO385" s="473" t="str">
        <f t="shared" si="105"/>
        <v/>
      </c>
      <c r="AP385" s="473" t="str">
        <f t="shared" si="106"/>
        <v/>
      </c>
      <c r="AQ385" s="473" t="str">
        <f t="shared" si="107"/>
        <v/>
      </c>
      <c r="AR385" s="473" t="str">
        <f t="shared" si="108"/>
        <v/>
      </c>
      <c r="AS385" s="473" t="str">
        <f t="shared" si="109"/>
        <v/>
      </c>
      <c r="AT385" s="473" t="str">
        <f t="shared" si="110"/>
        <v/>
      </c>
      <c r="AU385" s="473" t="str">
        <f t="shared" si="111"/>
        <v/>
      </c>
      <c r="AZ385" s="32" t="s">
        <v>311</v>
      </c>
      <c r="BA385" s="34" t="s">
        <v>6127</v>
      </c>
      <c r="BB385" s="499"/>
      <c r="BC385" s="271"/>
      <c r="BD385" s="279">
        <v>1</v>
      </c>
      <c r="BE385" s="271"/>
      <c r="BF385" s="271"/>
      <c r="BG385" s="271"/>
      <c r="BH385" s="271"/>
      <c r="BI385" s="271"/>
      <c r="BJ385" s="271"/>
      <c r="BK385" s="271"/>
      <c r="BL385" s="271"/>
    </row>
    <row r="386" spans="18:64" ht="21" customHeight="1" x14ac:dyDescent="0.25">
      <c r="R386" s="34" t="s">
        <v>474</v>
      </c>
      <c r="S386" s="451"/>
      <c r="T386" s="31" t="s">
        <v>30</v>
      </c>
      <c r="V386" s="475">
        <v>9</v>
      </c>
      <c r="W386" s="475" t="str">
        <f>IF($AC$386="","",$W$360)</f>
        <v/>
      </c>
      <c r="X386" s="476" t="str">
        <f>IF($AC$386="","",$X$360)</f>
        <v/>
      </c>
      <c r="Y386" s="477" t="str">
        <f>IF($X$386="","",$Y$360)</f>
        <v/>
      </c>
      <c r="Z386" s="477" t="str">
        <f>IF($X$386="","",$Z$360)</f>
        <v/>
      </c>
      <c r="AA386" s="477" t="str">
        <f>IF($AC$386="","",ROW($A$386)-ROW($A$360))</f>
        <v/>
      </c>
      <c r="AB386" s="478"/>
      <c r="AC386" s="34"/>
      <c r="AD386" s="356"/>
      <c r="AE386" s="18"/>
      <c r="AF386" s="19"/>
      <c r="AG386" s="480" t="str">
        <f t="shared" si="100"/>
        <v/>
      </c>
      <c r="AH386" s="481" t="str">
        <f t="shared" si="101"/>
        <v/>
      </c>
      <c r="AI386" s="477" t="str">
        <f>IF($AC$386="","",IFERROR(INDEX($AZ$74:$AZ$119,MATCH($AH$386,$AY$74:$AY$119,0)),"AUTRE"))</f>
        <v/>
      </c>
      <c r="AJ386" s="482" t="str">
        <f>IF($AC$386="","",IFERROR(INDEX($BA$74:$BA$119,MATCH($AH$386,$AY$74:$AY$119,0)),1))</f>
        <v/>
      </c>
      <c r="AK386" s="482" t="str">
        <f t="shared" si="102"/>
        <v/>
      </c>
      <c r="AL386" s="477" t="str">
        <f>IF($AC$386="","",IFERROR(INDEX($BB$74:$BB$119,MATCH($AH$386,$AY$74:$AY$119,0)),$AH$386))</f>
        <v/>
      </c>
      <c r="AM386" s="483" t="str">
        <f t="shared" si="103"/>
        <v/>
      </c>
      <c r="AN386" s="484" t="str">
        <f t="shared" si="104"/>
        <v/>
      </c>
      <c r="AO386" s="473" t="str">
        <f t="shared" si="105"/>
        <v/>
      </c>
      <c r="AP386" s="473" t="str">
        <f t="shared" si="106"/>
        <v/>
      </c>
      <c r="AQ386" s="473" t="str">
        <f t="shared" si="107"/>
        <v/>
      </c>
      <c r="AR386" s="473" t="str">
        <f t="shared" si="108"/>
        <v/>
      </c>
      <c r="AS386" s="473" t="str">
        <f t="shared" si="109"/>
        <v/>
      </c>
      <c r="AT386" s="473" t="str">
        <f t="shared" si="110"/>
        <v/>
      </c>
      <c r="AU386" s="473" t="str">
        <f t="shared" si="111"/>
        <v/>
      </c>
      <c r="AZ386" s="32" t="s">
        <v>8135</v>
      </c>
      <c r="BA386" s="25" t="s">
        <v>6128</v>
      </c>
      <c r="BB386" s="499"/>
      <c r="BC386" s="271"/>
      <c r="BD386" s="279">
        <v>1</v>
      </c>
      <c r="BE386" s="271"/>
      <c r="BF386" s="271"/>
      <c r="BG386" s="271"/>
      <c r="BH386" s="271"/>
      <c r="BI386" s="271"/>
      <c r="BJ386" s="271"/>
      <c r="BK386" s="271"/>
      <c r="BL386" s="271"/>
    </row>
    <row r="387" spans="18:64" ht="21" customHeight="1" x14ac:dyDescent="0.25">
      <c r="R387" s="34" t="s">
        <v>490</v>
      </c>
      <c r="S387" s="451"/>
      <c r="T387" s="31" t="s">
        <v>31</v>
      </c>
      <c r="V387" s="475">
        <v>9</v>
      </c>
      <c r="W387" s="475" t="str">
        <f>IF($AC$387="","",$W$360)</f>
        <v/>
      </c>
      <c r="X387" s="476" t="str">
        <f>IF($AC$387="","",$X$360)</f>
        <v/>
      </c>
      <c r="Y387" s="477" t="str">
        <f>IF($X$387="","",$Y$360)</f>
        <v/>
      </c>
      <c r="Z387" s="477" t="str">
        <f>IF($X$387="","",$Z$360)</f>
        <v/>
      </c>
      <c r="AA387" s="477" t="str">
        <f>IF($AC$387="","",ROW($A$387)-ROW($A$360))</f>
        <v/>
      </c>
      <c r="AB387" s="478"/>
      <c r="AC387" s="34"/>
      <c r="AD387" s="356"/>
      <c r="AE387" s="18"/>
      <c r="AF387" s="19"/>
      <c r="AG387" s="480" t="str">
        <f t="shared" si="100"/>
        <v/>
      </c>
      <c r="AH387" s="481" t="str">
        <f t="shared" si="101"/>
        <v/>
      </c>
      <c r="AI387" s="477" t="str">
        <f>IF($AC$387="","",IFERROR(INDEX($AZ$74:$AZ$119,MATCH($AH$387,$AY$74:$AY$119,0)),"AUTRE"))</f>
        <v/>
      </c>
      <c r="AJ387" s="482" t="str">
        <f>IF($AC$387="","",IFERROR(INDEX($BA$74:$BA$119,MATCH($AH$387,$AY$74:$AY$119,0)),1))</f>
        <v/>
      </c>
      <c r="AK387" s="482" t="str">
        <f t="shared" si="102"/>
        <v/>
      </c>
      <c r="AL387" s="477" t="str">
        <f>IF($AC$387="","",IFERROR(INDEX($BB$74:$BB$119,MATCH($AH$387,$AY$74:$AY$119,0)),$AH$387))</f>
        <v/>
      </c>
      <c r="AM387" s="483" t="str">
        <f t="shared" si="103"/>
        <v/>
      </c>
      <c r="AN387" s="484" t="str">
        <f t="shared" si="104"/>
        <v/>
      </c>
      <c r="AO387" s="473" t="str">
        <f t="shared" si="105"/>
        <v/>
      </c>
      <c r="AP387" s="473" t="str">
        <f t="shared" si="106"/>
        <v/>
      </c>
      <c r="AQ387" s="473" t="str">
        <f t="shared" si="107"/>
        <v/>
      </c>
      <c r="AR387" s="473" t="str">
        <f t="shared" si="108"/>
        <v/>
      </c>
      <c r="AS387" s="473" t="str">
        <f t="shared" si="109"/>
        <v/>
      </c>
      <c r="AT387" s="473" t="str">
        <f t="shared" si="110"/>
        <v/>
      </c>
      <c r="AU387" s="473" t="str">
        <f t="shared" si="111"/>
        <v/>
      </c>
      <c r="AZ387" s="32" t="s">
        <v>8137</v>
      </c>
      <c r="BA387" s="34" t="s">
        <v>474</v>
      </c>
      <c r="BB387" s="499"/>
      <c r="BC387" s="271"/>
      <c r="BD387" s="279">
        <v>1</v>
      </c>
      <c r="BE387" s="271"/>
      <c r="BF387" s="271"/>
      <c r="BG387" s="271"/>
      <c r="BH387" s="271"/>
      <c r="BI387" s="271"/>
      <c r="BJ387" s="271"/>
      <c r="BK387" s="271"/>
      <c r="BL387" s="271"/>
    </row>
    <row r="388" spans="18:64" ht="21" customHeight="1" x14ac:dyDescent="0.25">
      <c r="R388" s="34" t="s">
        <v>6129</v>
      </c>
      <c r="S388" s="451"/>
      <c r="T388" s="32" t="s">
        <v>33</v>
      </c>
      <c r="V388" s="475">
        <v>9</v>
      </c>
      <c r="W388" s="475" t="str">
        <f>IF($AC$388="","",$W$360)</f>
        <v/>
      </c>
      <c r="X388" s="476" t="str">
        <f>IF($AC$388="","",$X$360)</f>
        <v/>
      </c>
      <c r="Y388" s="477" t="str">
        <f>IF($X$388="","",$Y$360)</f>
        <v/>
      </c>
      <c r="Z388" s="477" t="str">
        <f>IF($X$388="","",$Z$360)</f>
        <v/>
      </c>
      <c r="AA388" s="477" t="str">
        <f>IF($AC$388="","",ROW($A$388)-ROW($A$360))</f>
        <v/>
      </c>
      <c r="AB388" s="478"/>
      <c r="AC388" s="34"/>
      <c r="AD388" s="356"/>
      <c r="AE388" s="18"/>
      <c r="AF388" s="19"/>
      <c r="AG388" s="480" t="str">
        <f t="shared" si="100"/>
        <v/>
      </c>
      <c r="AH388" s="481" t="str">
        <f t="shared" si="101"/>
        <v/>
      </c>
      <c r="AI388" s="477" t="str">
        <f>IF($AC$388="","",IFERROR(INDEX($AZ$74:$AZ$119,MATCH($AH$388,$AY$74:$AY$119,0)),"AUTRE"))</f>
        <v/>
      </c>
      <c r="AJ388" s="482" t="str">
        <f>IF($AC$388="","",IFERROR(INDEX($BA$74:$BA$119,MATCH($AH$388,$AY$74:$AY$119,0)),1))</f>
        <v/>
      </c>
      <c r="AK388" s="482" t="str">
        <f t="shared" si="102"/>
        <v/>
      </c>
      <c r="AL388" s="477" t="str">
        <f>IF($AC$388="","",IFERROR(INDEX($BB$74:$BB$119,MATCH($AH$388,$AY$74:$AY$119,0)),$AH$388))</f>
        <v/>
      </c>
      <c r="AM388" s="483" t="str">
        <f t="shared" si="103"/>
        <v/>
      </c>
      <c r="AN388" s="484" t="str">
        <f t="shared" si="104"/>
        <v/>
      </c>
      <c r="AO388" s="473" t="str">
        <f t="shared" si="105"/>
        <v/>
      </c>
      <c r="AP388" s="473" t="str">
        <f t="shared" si="106"/>
        <v/>
      </c>
      <c r="AQ388" s="473" t="str">
        <f t="shared" si="107"/>
        <v/>
      </c>
      <c r="AR388" s="473" t="str">
        <f t="shared" si="108"/>
        <v/>
      </c>
      <c r="AS388" s="473" t="str">
        <f t="shared" si="109"/>
        <v/>
      </c>
      <c r="AT388" s="473" t="str">
        <f t="shared" si="110"/>
        <v/>
      </c>
      <c r="AU388" s="473" t="str">
        <f t="shared" si="111"/>
        <v/>
      </c>
      <c r="AY388" s="271"/>
      <c r="AZ388" s="32" t="s">
        <v>8139</v>
      </c>
      <c r="BA388" s="34" t="s">
        <v>490</v>
      </c>
      <c r="BB388" s="499"/>
      <c r="BC388" s="271"/>
      <c r="BD388" s="279">
        <v>1</v>
      </c>
      <c r="BE388" s="271"/>
      <c r="BF388" s="271"/>
      <c r="BG388" s="271"/>
      <c r="BH388" s="271"/>
      <c r="BI388" s="271"/>
      <c r="BJ388" s="271"/>
      <c r="BK388" s="271"/>
      <c r="BL388" s="271"/>
    </row>
    <row r="389" spans="18:64" ht="21" customHeight="1" x14ac:dyDescent="0.25">
      <c r="R389" s="34" t="s">
        <v>478</v>
      </c>
      <c r="S389" s="451"/>
      <c r="T389" s="32" t="s">
        <v>8125</v>
      </c>
      <c r="V389" s="475">
        <v>9</v>
      </c>
      <c r="W389" s="475" t="str">
        <f>IF($AC$389="","",$W$360)</f>
        <v/>
      </c>
      <c r="X389" s="476" t="str">
        <f>IF($AC$389="","",$X$360)</f>
        <v/>
      </c>
      <c r="Y389" s="477" t="str">
        <f>IF($X$389="","",$Y$360)</f>
        <v/>
      </c>
      <c r="Z389" s="477" t="str">
        <f>IF($X$389="","",$Z$360)</f>
        <v/>
      </c>
      <c r="AA389" s="477" t="str">
        <f>IF($AC$389="","",ROW($A$389)-ROW($A$360))</f>
        <v/>
      </c>
      <c r="AB389" s="478"/>
      <c r="AC389" s="34"/>
      <c r="AD389" s="356"/>
      <c r="AE389" s="18"/>
      <c r="AF389" s="19"/>
      <c r="AG389" s="480" t="str">
        <f t="shared" si="100"/>
        <v/>
      </c>
      <c r="AH389" s="481" t="str">
        <f t="shared" si="101"/>
        <v/>
      </c>
      <c r="AI389" s="477" t="str">
        <f>IF($AC$389="","",IFERROR(INDEX($AZ$74:$AZ$119,MATCH($AH$389,$AY$74:$AY$119,0)),"AUTRE"))</f>
        <v/>
      </c>
      <c r="AJ389" s="482" t="str">
        <f>IF($AC$389="","",IFERROR(INDEX($BA$74:$BA$119,MATCH($AH$389,$AY$74:$AY$119,0)),1))</f>
        <v/>
      </c>
      <c r="AK389" s="482" t="str">
        <f t="shared" si="102"/>
        <v/>
      </c>
      <c r="AL389" s="477" t="str">
        <f>IF($AC$389="","",IFERROR(INDEX($BB$74:$BB$119,MATCH($AH$389,$AY$74:$AY$119,0)),$AH$389))</f>
        <v/>
      </c>
      <c r="AM389" s="483" t="str">
        <f t="shared" si="103"/>
        <v/>
      </c>
      <c r="AN389" s="484" t="str">
        <f t="shared" si="104"/>
        <v/>
      </c>
      <c r="AO389" s="473" t="str">
        <f t="shared" si="105"/>
        <v/>
      </c>
      <c r="AP389" s="473" t="str">
        <f t="shared" si="106"/>
        <v/>
      </c>
      <c r="AQ389" s="473" t="str">
        <f t="shared" si="107"/>
        <v/>
      </c>
      <c r="AR389" s="473" t="str">
        <f t="shared" si="108"/>
        <v/>
      </c>
      <c r="AS389" s="473" t="str">
        <f t="shared" si="109"/>
        <v/>
      </c>
      <c r="AT389" s="473" t="str">
        <f t="shared" si="110"/>
        <v/>
      </c>
      <c r="AU389" s="473" t="str">
        <f t="shared" si="111"/>
        <v/>
      </c>
      <c r="AY389" s="497" t="s">
        <v>8145</v>
      </c>
      <c r="AZ389" s="32" t="s">
        <v>8141</v>
      </c>
      <c r="BA389" s="34" t="s">
        <v>6129</v>
      </c>
      <c r="BB389" s="499"/>
      <c r="BC389" s="271"/>
      <c r="BD389" s="279">
        <v>1</v>
      </c>
      <c r="BE389" s="271"/>
      <c r="BF389" s="271"/>
      <c r="BG389" s="271"/>
      <c r="BH389" s="271"/>
      <c r="BI389" s="271"/>
      <c r="BJ389" s="271"/>
      <c r="BK389" s="271"/>
      <c r="BL389" s="271"/>
    </row>
    <row r="390" spans="18:64" ht="21" customHeight="1" x14ac:dyDescent="0.25">
      <c r="R390" s="34" t="s">
        <v>6130</v>
      </c>
      <c r="S390" s="451"/>
      <c r="T390" s="32" t="s">
        <v>8127</v>
      </c>
      <c r="V390" s="475">
        <v>9</v>
      </c>
      <c r="W390" s="475" t="str">
        <f>IF($AC$390="","",$W$360)</f>
        <v>N° 09</v>
      </c>
      <c r="X390" s="476" t="str">
        <f>IF($AC$390="","",$X$360)</f>
        <v>PIEMONTAISE DE CURCUBITACÉS</v>
      </c>
      <c r="Y390" s="477">
        <f>IF($X$390="","",$Y$360)</f>
        <v>26</v>
      </c>
      <c r="Z390" s="477">
        <f>IF($X$390="","",$Z$360)</f>
        <v>100</v>
      </c>
      <c r="AA390" s="477">
        <f>IF($AC$390="","",ROW($A$390)-ROW($A$360))</f>
        <v>30</v>
      </c>
      <c r="AB390" s="478"/>
      <c r="AC390" s="34" t="s">
        <v>471</v>
      </c>
      <c r="AD390" s="356"/>
      <c r="AE390" s="18">
        <v>1</v>
      </c>
      <c r="AF390" s="33" t="s">
        <v>462</v>
      </c>
      <c r="AG390" s="480">
        <f t="shared" si="100"/>
        <v>1</v>
      </c>
      <c r="AH390" s="481" t="str">
        <f t="shared" si="101"/>
        <v>BAC(S)</v>
      </c>
      <c r="AI390" s="477" t="str">
        <f>IF($AC$390="","",IFERROR(INDEX($AZ$74:$AZ$119,MATCH($AH$390,$AY$74:$AY$119,0)),"AUTRE"))</f>
        <v>AUTRE</v>
      </c>
      <c r="AJ390" s="482">
        <f>IF($AC$390="","",IFERROR(INDEX($BA$74:$BA$119,MATCH($AH$390,$AY$74:$AY$119,0)),1))</f>
        <v>1</v>
      </c>
      <c r="AK390" s="482">
        <f t="shared" si="102"/>
        <v>1</v>
      </c>
      <c r="AL390" s="477" t="str">
        <f>IF($AC$390="","",IFERROR(INDEX($BB$74:$BB$119,MATCH($AH$390,$AY$74:$AY$119,0)),$AH$390))</f>
        <v>bac(s)</v>
      </c>
      <c r="AM390" s="483" t="str">
        <f t="shared" si="103"/>
        <v>OK</v>
      </c>
      <c r="AN390" s="484">
        <f t="shared" si="104"/>
        <v>1</v>
      </c>
      <c r="AO390" s="473" t="str">
        <f t="shared" si="105"/>
        <v/>
      </c>
      <c r="AP390" s="473" t="str">
        <f t="shared" si="106"/>
        <v/>
      </c>
      <c r="AQ390" s="473" t="str">
        <f t="shared" si="107"/>
        <v/>
      </c>
      <c r="AR390" s="473" t="str">
        <f t="shared" si="108"/>
        <v/>
      </c>
      <c r="AS390" s="473" t="str">
        <f t="shared" si="109"/>
        <v/>
      </c>
      <c r="AT390" s="473" t="str">
        <f t="shared" si="110"/>
        <v/>
      </c>
      <c r="AU390" s="473" t="str">
        <f t="shared" si="111"/>
        <v/>
      </c>
      <c r="AY390" s="497" t="s">
        <v>462</v>
      </c>
      <c r="AZ390" s="32" t="s">
        <v>8143</v>
      </c>
      <c r="BA390" s="34" t="s">
        <v>478</v>
      </c>
      <c r="BB390" s="499"/>
      <c r="BC390" s="271"/>
      <c r="BD390" s="279">
        <v>1</v>
      </c>
      <c r="BE390" s="271"/>
      <c r="BF390" s="271"/>
      <c r="BG390" s="271"/>
      <c r="BH390" s="271"/>
      <c r="BI390" s="271"/>
      <c r="BJ390" s="271"/>
      <c r="BK390" s="271"/>
      <c r="BL390" s="271"/>
    </row>
    <row r="391" spans="18:64" ht="21" customHeight="1" x14ac:dyDescent="0.25">
      <c r="R391" s="34" t="s">
        <v>486</v>
      </c>
      <c r="S391" s="451"/>
      <c r="T391" s="32" t="s">
        <v>320</v>
      </c>
      <c r="V391" s="475">
        <v>9</v>
      </c>
      <c r="W391" s="475" t="str">
        <f>IF($AC$391="","",$W$360)</f>
        <v>N° 09</v>
      </c>
      <c r="X391" s="476" t="str">
        <f>IF($AC$391="","",$X$360)</f>
        <v>PIEMONTAISE DE CURCUBITACÉS</v>
      </c>
      <c r="Y391" s="477">
        <f>IF($X$391="","",$Y$360)</f>
        <v>26</v>
      </c>
      <c r="Z391" s="477">
        <f>IF($X$391="","",$Z$360)</f>
        <v>100</v>
      </c>
      <c r="AA391" s="477">
        <f>IF($AC$391="","",ROW($A$391)-ROW($A$360))</f>
        <v>31</v>
      </c>
      <c r="AB391" s="478"/>
      <c r="AC391" s="34" t="s">
        <v>483</v>
      </c>
      <c r="AD391" s="356"/>
      <c r="AE391" s="18">
        <v>1</v>
      </c>
      <c r="AF391" s="33" t="s">
        <v>465</v>
      </c>
      <c r="AG391" s="480">
        <f t="shared" si="100"/>
        <v>1</v>
      </c>
      <c r="AH391" s="481" t="str">
        <f t="shared" si="101"/>
        <v>GRILLE(S)</v>
      </c>
      <c r="AI391" s="477" t="str">
        <f>IF($AC$391="","",IFERROR(INDEX($AZ$74:$AZ$119,MATCH($AH$391,$AY$74:$AY$119,0)),"AUTRE"))</f>
        <v>AUTRE</v>
      </c>
      <c r="AJ391" s="482">
        <f>IF($AC$391="","",IFERROR(INDEX($BA$74:$BA$119,MATCH($AH$391,$AY$74:$AY$119,0)),1))</f>
        <v>1</v>
      </c>
      <c r="AK391" s="482">
        <f t="shared" si="102"/>
        <v>1</v>
      </c>
      <c r="AL391" s="477" t="str">
        <f>IF($AC$391="","",IFERROR(INDEX($BB$74:$BB$119,MATCH($AH$391,$AY$74:$AY$119,0)),$AH$391))</f>
        <v>grille(s)</v>
      </c>
      <c r="AM391" s="483" t="str">
        <f t="shared" si="103"/>
        <v>OK</v>
      </c>
      <c r="AN391" s="484">
        <f t="shared" si="104"/>
        <v>1</v>
      </c>
      <c r="AO391" s="473" t="str">
        <f t="shared" si="105"/>
        <v/>
      </c>
      <c r="AP391" s="473" t="str">
        <f t="shared" si="106"/>
        <v/>
      </c>
      <c r="AQ391" s="473" t="str">
        <f t="shared" si="107"/>
        <v/>
      </c>
      <c r="AR391" s="473" t="str">
        <f t="shared" si="108"/>
        <v/>
      </c>
      <c r="AS391" s="473" t="str">
        <f t="shared" si="109"/>
        <v/>
      </c>
      <c r="AT391" s="473" t="str">
        <f t="shared" si="110"/>
        <v/>
      </c>
      <c r="AU391" s="473" t="str">
        <f t="shared" si="111"/>
        <v/>
      </c>
      <c r="AY391" s="497" t="s">
        <v>463</v>
      </c>
      <c r="AZ391" s="497" t="s">
        <v>8145</v>
      </c>
      <c r="BA391" s="34" t="s">
        <v>6130</v>
      </c>
      <c r="BB391" s="499"/>
      <c r="BC391" s="271"/>
      <c r="BD391" s="279">
        <v>1</v>
      </c>
      <c r="BE391" s="271"/>
      <c r="BF391" s="271"/>
      <c r="BG391" s="271"/>
      <c r="BH391" s="271"/>
      <c r="BI391" s="271"/>
      <c r="BJ391" s="271"/>
      <c r="BK391" s="271"/>
      <c r="BL391" s="271"/>
    </row>
    <row r="392" spans="18:64" ht="21" customHeight="1" x14ac:dyDescent="0.25">
      <c r="R392" s="34" t="s">
        <v>479</v>
      </c>
      <c r="S392" s="451"/>
      <c r="T392" s="32" t="s">
        <v>318</v>
      </c>
      <c r="V392" s="475">
        <v>9</v>
      </c>
      <c r="W392" s="475" t="str">
        <f>IF($AC$392="","",$W$360)</f>
        <v>N° 09</v>
      </c>
      <c r="X392" s="476" t="str">
        <f>IF($AC$392="","",$X$360)</f>
        <v>PIEMONTAISE DE CURCUBITACÉS</v>
      </c>
      <c r="Y392" s="477">
        <f>IF($X$392="","",$Y$360)</f>
        <v>26</v>
      </c>
      <c r="Z392" s="477">
        <f>IF($X$392="","",$Z$360)</f>
        <v>100</v>
      </c>
      <c r="AA392" s="477">
        <f>IF($AC$392="","",ROW($A$392)-ROW($A$360))</f>
        <v>32</v>
      </c>
      <c r="AB392" s="478"/>
      <c r="AC392" s="34" t="s">
        <v>475</v>
      </c>
      <c r="AD392" s="356"/>
      <c r="AE392" s="18">
        <v>1</v>
      </c>
      <c r="AF392" s="33" t="s">
        <v>463</v>
      </c>
      <c r="AG392" s="480">
        <f t="shared" si="100"/>
        <v>1</v>
      </c>
      <c r="AH392" s="481" t="str">
        <f t="shared" si="101"/>
        <v>COUVERCLE(S)</v>
      </c>
      <c r="AI392" s="477" t="str">
        <f>IF($AC$392="","",IFERROR(INDEX($AZ$74:$AZ$119,MATCH($AH$392,$AY$74:$AY$119,0)),"AUTRE"))</f>
        <v>AUTRE</v>
      </c>
      <c r="AJ392" s="482">
        <f>IF($AC$392="","",IFERROR(INDEX($BA$74:$BA$119,MATCH($AH$392,$AY$74:$AY$119,0)),1))</f>
        <v>1</v>
      </c>
      <c r="AK392" s="482">
        <f t="shared" si="102"/>
        <v>1</v>
      </c>
      <c r="AL392" s="477" t="str">
        <f>IF($AC$392="","",IFERROR(INDEX($BB$74:$BB$119,MATCH($AH$392,$AY$74:$AY$119,0)),$AH$392))</f>
        <v>couvercle(s)</v>
      </c>
      <c r="AM392" s="483" t="str">
        <f t="shared" si="103"/>
        <v>OK</v>
      </c>
      <c r="AN392" s="484">
        <f t="shared" si="104"/>
        <v>1</v>
      </c>
      <c r="AO392" s="473" t="str">
        <f t="shared" si="105"/>
        <v/>
      </c>
      <c r="AP392" s="473" t="str">
        <f t="shared" si="106"/>
        <v/>
      </c>
      <c r="AQ392" s="473" t="str">
        <f t="shared" si="107"/>
        <v/>
      </c>
      <c r="AR392" s="473" t="str">
        <f t="shared" si="108"/>
        <v/>
      </c>
      <c r="AS392" s="473" t="str">
        <f t="shared" si="109"/>
        <v/>
      </c>
      <c r="AT392" s="473" t="str">
        <f t="shared" si="110"/>
        <v/>
      </c>
      <c r="AU392" s="473" t="str">
        <f t="shared" si="111"/>
        <v/>
      </c>
      <c r="AY392" s="497" t="s">
        <v>8147</v>
      </c>
      <c r="AZ392" s="497" t="s">
        <v>462</v>
      </c>
      <c r="BA392" s="34" t="s">
        <v>486</v>
      </c>
      <c r="BB392" s="499"/>
      <c r="BC392" s="271"/>
      <c r="BD392" s="279">
        <v>1</v>
      </c>
      <c r="BE392" s="271"/>
      <c r="BF392" s="271"/>
      <c r="BG392" s="271"/>
      <c r="BH392" s="271"/>
      <c r="BI392" s="271"/>
      <c r="BJ392" s="271"/>
      <c r="BK392" s="271"/>
      <c r="BL392" s="271"/>
    </row>
    <row r="393" spans="18:64" ht="21" customHeight="1" x14ac:dyDescent="0.25">
      <c r="R393" s="34" t="s">
        <v>6131</v>
      </c>
      <c r="S393" s="451"/>
      <c r="T393" s="32" t="s">
        <v>316</v>
      </c>
      <c r="V393" s="475">
        <v>9</v>
      </c>
      <c r="W393" s="475" t="str">
        <f>IF($AC$393="","",$W$360)</f>
        <v>N° 09</v>
      </c>
      <c r="X393" s="476" t="str">
        <f>IF($AC$393="","",$X$360)</f>
        <v>PIEMONTAISE DE CURCUBITACÉS</v>
      </c>
      <c r="Y393" s="477">
        <f>IF($X$393="","",$Y$360)</f>
        <v>26</v>
      </c>
      <c r="Z393" s="477">
        <f>IF($X$393="","",$Z$360)</f>
        <v>100</v>
      </c>
      <c r="AA393" s="477">
        <f>IF($AC$393="","",ROW($A$393)-ROW($A$360))</f>
        <v>33</v>
      </c>
      <c r="AB393" s="478"/>
      <c r="AC393" s="34" t="s">
        <v>474</v>
      </c>
      <c r="AD393" s="356"/>
      <c r="AE393" s="18">
        <v>1</v>
      </c>
      <c r="AF393" s="33" t="s">
        <v>462</v>
      </c>
      <c r="AG393" s="480">
        <f t="shared" si="100"/>
        <v>1</v>
      </c>
      <c r="AH393" s="481" t="str">
        <f t="shared" si="101"/>
        <v>BAC(S)</v>
      </c>
      <c r="AI393" s="477" t="str">
        <f>IF($AC$393="","",IFERROR(INDEX($AZ$74:$AZ$119,MATCH($AH$393,$AY$74:$AY$119,0)),"AUTRE"))</f>
        <v>AUTRE</v>
      </c>
      <c r="AJ393" s="482">
        <f>IF($AC$393="","",IFERROR(INDEX($BA$74:$BA$119,MATCH($AH$393,$AY$74:$AY$119,0)),1))</f>
        <v>1</v>
      </c>
      <c r="AK393" s="482">
        <f t="shared" si="102"/>
        <v>1</v>
      </c>
      <c r="AL393" s="477" t="str">
        <f>IF($AC$393="","",IFERROR(INDEX($BB$74:$BB$119,MATCH($AH$393,$AY$74:$AY$119,0)),$AH$393))</f>
        <v>bac(s)</v>
      </c>
      <c r="AM393" s="483" t="str">
        <f t="shared" si="103"/>
        <v>OK</v>
      </c>
      <c r="AN393" s="484">
        <f t="shared" si="104"/>
        <v>1</v>
      </c>
      <c r="AO393" s="473" t="str">
        <f t="shared" si="105"/>
        <v/>
      </c>
      <c r="AP393" s="473" t="str">
        <f t="shared" si="106"/>
        <v/>
      </c>
      <c r="AQ393" s="473" t="str">
        <f t="shared" si="107"/>
        <v/>
      </c>
      <c r="AR393" s="473" t="str">
        <f t="shared" si="108"/>
        <v/>
      </c>
      <c r="AS393" s="473" t="str">
        <f t="shared" si="109"/>
        <v/>
      </c>
      <c r="AT393" s="473" t="str">
        <f t="shared" si="110"/>
        <v/>
      </c>
      <c r="AU393" s="473" t="str">
        <f t="shared" si="111"/>
        <v/>
      </c>
      <c r="AY393" s="497" t="s">
        <v>465</v>
      </c>
      <c r="AZ393" s="497" t="s">
        <v>463</v>
      </c>
      <c r="BA393" s="34" t="s">
        <v>479</v>
      </c>
      <c r="BB393" s="499"/>
      <c r="BC393" s="271"/>
      <c r="BD393" s="279">
        <v>1</v>
      </c>
      <c r="BE393" s="271"/>
      <c r="BF393" s="271"/>
      <c r="BG393" s="271"/>
      <c r="BH393" s="271"/>
      <c r="BI393" s="271"/>
      <c r="BJ393" s="271"/>
      <c r="BK393" s="271"/>
      <c r="BL393" s="271"/>
    </row>
    <row r="394" spans="18:64" ht="21" customHeight="1" x14ac:dyDescent="0.25">
      <c r="R394" s="34" t="s">
        <v>485</v>
      </c>
      <c r="S394" s="451"/>
      <c r="T394" s="32" t="s">
        <v>313</v>
      </c>
      <c r="V394" s="475">
        <v>9</v>
      </c>
      <c r="W394" s="475" t="str">
        <f>IF($AC$394="","",$W$360)</f>
        <v>N° 09</v>
      </c>
      <c r="X394" s="476" t="str">
        <f>IF($AC$394="","",$X$360)</f>
        <v>PIEMONTAISE DE CURCUBITACÉS</v>
      </c>
      <c r="Y394" s="477">
        <f>IF($X$394="","",$Y$360)</f>
        <v>26</v>
      </c>
      <c r="Z394" s="477">
        <f>IF($X$394="","",$Z$360)</f>
        <v>100</v>
      </c>
      <c r="AA394" s="477">
        <f>IF($AC$394="","",ROW($A$394)-ROW($A$360))</f>
        <v>34</v>
      </c>
      <c r="AB394" s="478"/>
      <c r="AC394" s="34" t="s">
        <v>480</v>
      </c>
      <c r="AD394" s="356"/>
      <c r="AE394" s="18">
        <v>1</v>
      </c>
      <c r="AF394" s="33" t="s">
        <v>462</v>
      </c>
      <c r="AG394" s="491">
        <f t="shared" si="100"/>
        <v>1</v>
      </c>
      <c r="AH394" s="481" t="str">
        <f t="shared" si="101"/>
        <v>BAC(S)</v>
      </c>
      <c r="AI394" s="477" t="str">
        <f>IF($AC$394="","",IFERROR(INDEX($AZ$74:$AZ$119,MATCH($AH$394,$AY$74:$AY$119,0)),"AUTRE"))</f>
        <v>AUTRE</v>
      </c>
      <c r="AJ394" s="482">
        <f>IF($AC$394="","",IFERROR(INDEX($BA$74:$BA$119,MATCH($AH$394,$AY$74:$AY$119,0)),1))</f>
        <v>1</v>
      </c>
      <c r="AK394" s="482">
        <f t="shared" si="102"/>
        <v>1</v>
      </c>
      <c r="AL394" s="477" t="str">
        <f>IF($AC$394="","",IFERROR(INDEX($BB$74:$BB$119,MATCH($AH$394,$AY$74:$AY$119,0)),$AH$394))</f>
        <v>bac(s)</v>
      </c>
      <c r="AM394" s="483" t="str">
        <f t="shared" si="103"/>
        <v>OK</v>
      </c>
      <c r="AN394" s="484">
        <f t="shared" si="104"/>
        <v>1</v>
      </c>
      <c r="AO394" s="473" t="str">
        <f t="shared" si="105"/>
        <v/>
      </c>
      <c r="AP394" s="473" t="str">
        <f t="shared" si="106"/>
        <v/>
      </c>
      <c r="AQ394" s="473" t="str">
        <f t="shared" si="107"/>
        <v/>
      </c>
      <c r="AR394" s="473" t="str">
        <f t="shared" si="108"/>
        <v/>
      </c>
      <c r="AS394" s="473" t="str">
        <f t="shared" si="109"/>
        <v/>
      </c>
      <c r="AT394" s="473" t="str">
        <f t="shared" si="110"/>
        <v/>
      </c>
      <c r="AU394" s="473" t="str">
        <f t="shared" si="111"/>
        <v/>
      </c>
      <c r="AY394" s="497" t="s">
        <v>466</v>
      </c>
      <c r="AZ394" s="497" t="s">
        <v>8147</v>
      </c>
      <c r="BA394" s="34" t="s">
        <v>6131</v>
      </c>
      <c r="BB394" s="499"/>
      <c r="BC394" s="271"/>
      <c r="BD394" s="279">
        <v>1</v>
      </c>
      <c r="BE394" s="271"/>
      <c r="BF394" s="271"/>
      <c r="BG394" s="271"/>
      <c r="BH394" s="271"/>
      <c r="BI394" s="271"/>
      <c r="BJ394" s="271"/>
      <c r="BK394" s="271"/>
      <c r="BL394" s="271"/>
    </row>
    <row r="395" spans="18:64" ht="30" customHeight="1" x14ac:dyDescent="0.25">
      <c r="R395" s="34" t="s">
        <v>6132</v>
      </c>
      <c r="S395" s="451"/>
      <c r="T395" s="32" t="s">
        <v>307</v>
      </c>
      <c r="V395" s="453" t="s">
        <v>324</v>
      </c>
      <c r="W395" s="453" t="s">
        <v>7912</v>
      </c>
      <c r="X395" s="453" t="s">
        <v>326</v>
      </c>
      <c r="Y395" s="453" t="s">
        <v>327</v>
      </c>
      <c r="Z395" s="454" t="s">
        <v>7930</v>
      </c>
      <c r="AA395" s="453" t="s">
        <v>7937</v>
      </c>
      <c r="AB395" s="501" t="s">
        <v>39</v>
      </c>
      <c r="AC395" s="501" t="s">
        <v>338</v>
      </c>
      <c r="AD395" s="501" t="s">
        <v>8114</v>
      </c>
      <c r="AE395" s="501" t="s">
        <v>339</v>
      </c>
      <c r="AF395" s="501" t="s">
        <v>7997</v>
      </c>
      <c r="AG395" s="453" t="s">
        <v>8018</v>
      </c>
      <c r="AH395" s="453" t="s">
        <v>8023</v>
      </c>
      <c r="AI395" s="453" t="s">
        <v>330</v>
      </c>
      <c r="AJ395" s="453" t="s">
        <v>8031</v>
      </c>
      <c r="AK395" s="453" t="s">
        <v>8037</v>
      </c>
      <c r="AL395" s="453" t="s">
        <v>8041</v>
      </c>
      <c r="AM395" s="453" t="s">
        <v>343</v>
      </c>
      <c r="AN395" s="457" t="s">
        <v>8115</v>
      </c>
      <c r="AO395" s="457" t="s">
        <v>8116</v>
      </c>
      <c r="AP395" s="656" t="s">
        <v>8117</v>
      </c>
      <c r="AQ395" s="656"/>
      <c r="AR395" s="656"/>
      <c r="AS395" s="656"/>
      <c r="AT395" s="656"/>
      <c r="AU395" s="657"/>
      <c r="AZ395" s="497" t="s">
        <v>465</v>
      </c>
      <c r="BA395" s="34" t="s">
        <v>485</v>
      </c>
      <c r="BB395" s="499"/>
      <c r="BC395" s="271"/>
      <c r="BD395" s="279">
        <v>1</v>
      </c>
      <c r="BE395" s="271"/>
      <c r="BF395" s="271"/>
      <c r="BG395" s="271"/>
      <c r="BH395" s="271"/>
      <c r="BI395" s="271"/>
      <c r="BJ395" s="271"/>
      <c r="BK395" s="271"/>
      <c r="BL395" s="271"/>
    </row>
    <row r="396" spans="18:64" ht="30" customHeight="1" x14ac:dyDescent="0.25">
      <c r="R396" s="25" t="s">
        <v>6133</v>
      </c>
      <c r="S396" s="451"/>
      <c r="T396" s="32" t="s">
        <v>322</v>
      </c>
      <c r="V396" s="459">
        <v>10</v>
      </c>
      <c r="W396" s="460" t="s">
        <v>116</v>
      </c>
      <c r="X396" s="461" t="s">
        <v>115</v>
      </c>
      <c r="Y396" s="502">
        <v>27</v>
      </c>
      <c r="Z396" s="463">
        <v>100</v>
      </c>
      <c r="AA396" s="464">
        <f>IF($AC$396="","",ROW($A$396)-ROW($A$396))</f>
        <v>0</v>
      </c>
      <c r="AB396" s="461"/>
      <c r="AC396" s="465" t="s">
        <v>417</v>
      </c>
      <c r="AD396" s="390"/>
      <c r="AE396" s="13">
        <v>4</v>
      </c>
      <c r="AF396" s="14" t="s">
        <v>7</v>
      </c>
      <c r="AG396" s="467">
        <f t="shared" ref="AG396:AG430" si="112">IF($AC396="","",IF(LEN($AN396&amp;"")=0,"",$AN396))</f>
        <v>4</v>
      </c>
      <c r="AH396" s="468" t="str">
        <f t="shared" ref="AH396:AH430" si="113">IF($AC396="","",IF($AF396&lt;&gt;"",UPPER(TRIM(SUBSTITUTE(SUBSTITUTE($AF396&amp;"",CHAR(160)," ")," "," "))),$AP396))</f>
        <v>KG</v>
      </c>
      <c r="AI396" s="469" t="str">
        <f>IF($AC$396="","",IFERROR(INDEX($AZ$74:$AZ$119,MATCH($AH$396,$AY$74:$AY$119,0)),"AUTRE"))</f>
        <v>MASSE</v>
      </c>
      <c r="AJ396" s="470">
        <f>IF($AC$396="","",IFERROR(INDEX($BA$74:$BA$119,MATCH($AH$396,$AY$74:$AY$119,0)),1))</f>
        <v>1</v>
      </c>
      <c r="AK396" s="470">
        <f t="shared" ref="AK396:AK430" si="114">IF(OR(AG396="",AJ396=""),"",AG396*AJ396)</f>
        <v>4</v>
      </c>
      <c r="AL396" s="469" t="str">
        <f>IF($AC$396="","",IFERROR(INDEX($BB$74:$BB$119,MATCH($AH$396,$AY$74:$AY$119,0)),$AH$396))</f>
        <v>kg</v>
      </c>
      <c r="AM396" s="471" t="str">
        <f t="shared" ref="AM396:AM430" si="115">IF($AC396="","",IF($AH396="QT. SUFFISANTE","OK",IF($AG396="","TEXTE",IF(NOT(ISNUMBER($AG396)),"QUANTITÉ À CONTRÔLER",IF(COUNTIF($AY$74:$AY$119,$AH396)=0,"UNITÉ À CONTRÔLER","OK")))))</f>
        <v>OK</v>
      </c>
      <c r="AN396" s="474">
        <f t="shared" ref="AN396:AN430" si="116">IF($AE396&lt;&gt;"",$AE396,IF($AD396="","",IF(ISNUMBER($AD396),$AD396,IF($AO396="QT",0,IF($AO396="","",IFERROR(IF(ISNUMBER(SEARCH("/",$AO396)),VALUE(TRIM(LEFT($AO396,SEARCH("/",$AO396)-1)))/VALUE(TRIM(MID($AO396,SEARCH("/",$AO396)+1,99))),VALUE(SUBSTITUTE($AO396,".",","))),""))))))</f>
        <v>4</v>
      </c>
      <c r="AO396" s="473" t="str">
        <f t="shared" ref="AO396:AO430" si="117">IF($AD396="","",IF(ISNUMBER($AD396),$AD396,IF(OR(LEFT($AQ396,3)="QT.",LEFT($AQ396,4)="QUAN"),"QT",IF($AR396=999,$AQ396,TRIM(LEFT($AQ396,$AR396-1))))))</f>
        <v/>
      </c>
      <c r="AP396" s="473" t="str">
        <f t="shared" ref="AP396:AP430" si="118">IF($AD396="","",IF(ISNUMBER($AD396),"",IF(OR(LEFT($AQ396,3)="QT.",LEFT($AQ396,4)="QUAN"),"QT. SUFFISANTE",IF($AO396="","",TRIM(MID($AQ396,LEN($AO396&amp;"")+1,999))))))</f>
        <v/>
      </c>
      <c r="AQ396" s="473" t="str">
        <f t="shared" ref="AQ396:AQ430" si="119">IF($AD396="","",UPPER(TRIM(SUBSTITUTE(SUBSTITUTE($AD396&amp;"",CHAR(160)," ")," "," "))))</f>
        <v/>
      </c>
      <c r="AR396" s="473" t="str">
        <f t="shared" ref="AR396:AR430" si="120">IF($AQ396="","",MIN($AS396,$AT396,$AU396))</f>
        <v/>
      </c>
      <c r="AS396" s="473" t="str">
        <f t="shared" ref="AS396:AS430" si="121">IF($AQ396="","",MIN(IFERROR(SEARCH("A",$AQ396),999),IFERROR(SEARCH("B",$AQ396),999),IFERROR(SEARCH("C",$AQ396),999),IFERROR(SEARCH("D",$AQ396),999),IFERROR(SEARCH("E",$AQ396),999),IFERROR(SEARCH("F",$AQ396),999),IFERROR(SEARCH("G",$AQ396),999),IFERROR(SEARCH("H",$AQ396),999),IFERROR(SEARCH("I",$AQ396),999)))</f>
        <v/>
      </c>
      <c r="AT396" s="473" t="str">
        <f t="shared" ref="AT396:AT430" si="122">IF($AQ396="","",MIN(IFERROR(SEARCH("J",$AQ396),999),IFERROR(SEARCH("K",$AQ396),999),IFERROR(SEARCH("L",$AQ396),999),IFERROR(SEARCH("M",$AQ396),999),IFERROR(SEARCH("N",$AQ396),999),IFERROR(SEARCH("O",$AQ396),999),IFERROR(SEARCH("P",$AQ396),999),IFERROR(SEARCH("Q",$AQ396),999),IFERROR(SEARCH("R",$AQ396),999)))</f>
        <v/>
      </c>
      <c r="AU396" s="473" t="str">
        <f t="shared" ref="AU396:AU430" si="123">IF($AQ396="","",MIN(IFERROR(SEARCH("S",$AQ396),999),IFERROR(SEARCH("T",$AQ396),999),IFERROR(SEARCH("U",$AQ396),999),IFERROR(SEARCH("V",$AQ396),999),IFERROR(SEARCH("W",$AQ396),999),IFERROR(SEARCH("X",$AQ396),999),IFERROR(SEARCH("Y",$AQ396),999),IFERROR(SEARCH("Z",$AQ396),999)))</f>
        <v/>
      </c>
      <c r="AZ396" s="497" t="s">
        <v>466</v>
      </c>
      <c r="BA396" s="34" t="s">
        <v>6132</v>
      </c>
      <c r="BB396" s="499"/>
      <c r="BC396" s="271"/>
      <c r="BD396" s="279">
        <v>1</v>
      </c>
      <c r="BE396" s="271"/>
      <c r="BF396" s="271"/>
      <c r="BG396" s="271"/>
      <c r="BH396" s="271"/>
      <c r="BI396" s="271"/>
      <c r="BJ396" s="271"/>
      <c r="BK396" s="271"/>
      <c r="BL396" s="271"/>
    </row>
    <row r="397" spans="18:64" ht="21" customHeight="1" x14ac:dyDescent="0.25">
      <c r="R397" s="34" t="s">
        <v>476</v>
      </c>
      <c r="S397" s="451"/>
      <c r="T397" s="32" t="s">
        <v>305</v>
      </c>
      <c r="V397" s="475">
        <f>$V$396</f>
        <v>10</v>
      </c>
      <c r="W397" s="475" t="str">
        <f>IF($AC$397="","",$W$396)</f>
        <v>N° 10</v>
      </c>
      <c r="X397" s="476" t="str">
        <f>IF($AC$397="","",$X$396)</f>
        <v>RILLETTE DE SAUMON A L'ANETH</v>
      </c>
      <c r="Y397" s="477">
        <f>IF($X$397="","",$Y$396)</f>
        <v>27</v>
      </c>
      <c r="Z397" s="477">
        <f>IF($X$397="","",$Z$396)</f>
        <v>100</v>
      </c>
      <c r="AA397" s="477">
        <f>IF($AC$397="","",ROW($A$397)-ROW($A$396))</f>
        <v>1</v>
      </c>
      <c r="AB397" s="478"/>
      <c r="AC397" s="34" t="s">
        <v>418</v>
      </c>
      <c r="AD397" s="356"/>
      <c r="AE397" s="18">
        <v>1.5</v>
      </c>
      <c r="AF397" s="3" t="s">
        <v>7</v>
      </c>
      <c r="AG397" s="480">
        <f t="shared" si="112"/>
        <v>1.5</v>
      </c>
      <c r="AH397" s="481" t="str">
        <f t="shared" si="113"/>
        <v>KG</v>
      </c>
      <c r="AI397" s="477" t="str">
        <f>IF($AC$397="","",IFERROR(INDEX($AZ$74:$AZ$119,MATCH($AH$397,$AY$74:$AY$119,0)),"AUTRE"))</f>
        <v>MASSE</v>
      </c>
      <c r="AJ397" s="482">
        <f>IF($AC$397="","",IFERROR(INDEX($BA$74:$BA$119,MATCH($AH$397,$AY$74:$AY$119,0)),1))</f>
        <v>1</v>
      </c>
      <c r="AK397" s="482">
        <f t="shared" si="114"/>
        <v>1.5</v>
      </c>
      <c r="AL397" s="477" t="str">
        <f>IF($AC$397="","",IFERROR(INDEX($BB$74:$BB$119,MATCH($AH$397,$AY$74:$AY$119,0)),$AH$397))</f>
        <v>kg</v>
      </c>
      <c r="AM397" s="483" t="str">
        <f t="shared" si="115"/>
        <v>OK</v>
      </c>
      <c r="AN397" s="484">
        <f t="shared" si="116"/>
        <v>1.5</v>
      </c>
      <c r="AO397" s="473" t="str">
        <f t="shared" si="117"/>
        <v/>
      </c>
      <c r="AP397" s="473" t="str">
        <f t="shared" si="118"/>
        <v/>
      </c>
      <c r="AQ397" s="473" t="str">
        <f t="shared" si="119"/>
        <v/>
      </c>
      <c r="AR397" s="473" t="str">
        <f t="shared" si="120"/>
        <v/>
      </c>
      <c r="AS397" s="473" t="str">
        <f t="shared" si="121"/>
        <v/>
      </c>
      <c r="AT397" s="473" t="str">
        <f t="shared" si="122"/>
        <v/>
      </c>
      <c r="AU397" s="473" t="str">
        <f t="shared" si="123"/>
        <v/>
      </c>
      <c r="AZ397" s="14" t="s">
        <v>7</v>
      </c>
      <c r="BA397" s="25" t="s">
        <v>6133</v>
      </c>
      <c r="BB397" s="499"/>
      <c r="BC397" s="271"/>
      <c r="BD397" s="279">
        <v>1</v>
      </c>
      <c r="BE397" s="271"/>
      <c r="BF397" s="271"/>
      <c r="BG397" s="271"/>
      <c r="BH397" s="271"/>
      <c r="BI397" s="271"/>
      <c r="BJ397" s="271"/>
      <c r="BK397" s="271"/>
      <c r="BL397" s="271"/>
    </row>
    <row r="398" spans="18:64" ht="21" customHeight="1" x14ac:dyDescent="0.25">
      <c r="R398" s="34" t="s">
        <v>468</v>
      </c>
      <c r="S398" s="451"/>
      <c r="T398" s="32" t="s">
        <v>309</v>
      </c>
      <c r="V398" s="475">
        <v>10</v>
      </c>
      <c r="W398" s="475" t="str">
        <f>IF($AC$398="","",$W$396)</f>
        <v>N° 10</v>
      </c>
      <c r="X398" s="476" t="str">
        <f>IF($AC$398="","",$X$396)</f>
        <v>RILLETTE DE SAUMON A L'ANETH</v>
      </c>
      <c r="Y398" s="477">
        <f>IF($X$398="","",$Y$396)</f>
        <v>27</v>
      </c>
      <c r="Z398" s="477">
        <f>IF($X$398="","",$Z$396)</f>
        <v>100</v>
      </c>
      <c r="AA398" s="477">
        <f>IF($AC$398="","",ROW($A$398)-ROW($A$396))</f>
        <v>2</v>
      </c>
      <c r="AB398" s="478"/>
      <c r="AC398" s="34" t="s">
        <v>372</v>
      </c>
      <c r="AD398" s="356"/>
      <c r="AE398" s="18">
        <v>1.2</v>
      </c>
      <c r="AF398" s="3" t="s">
        <v>7</v>
      </c>
      <c r="AG398" s="480">
        <f t="shared" si="112"/>
        <v>1.2</v>
      </c>
      <c r="AH398" s="481" t="str">
        <f t="shared" si="113"/>
        <v>KG</v>
      </c>
      <c r="AI398" s="477" t="str">
        <f>IF($AC$398="","",IFERROR(INDEX($AZ$74:$AZ$119,MATCH($AH$398,$AY$74:$AY$119,0)),"AUTRE"))</f>
        <v>MASSE</v>
      </c>
      <c r="AJ398" s="482">
        <f>IF($AC$398="","",IFERROR(INDEX($BA$74:$BA$119,MATCH($AH$398,$AY$74:$AY$119,0)),1))</f>
        <v>1</v>
      </c>
      <c r="AK398" s="482">
        <f t="shared" si="114"/>
        <v>1.2</v>
      </c>
      <c r="AL398" s="477" t="str">
        <f>IF($AC$398="","",IFERROR(INDEX($BB$74:$BB$119,MATCH($AH$398,$AY$74:$AY$119,0)),$AH$398))</f>
        <v>kg</v>
      </c>
      <c r="AM398" s="483" t="str">
        <f t="shared" si="115"/>
        <v>OK</v>
      </c>
      <c r="AN398" s="484">
        <f t="shared" si="116"/>
        <v>1.2</v>
      </c>
      <c r="AO398" s="473" t="str">
        <f t="shared" si="117"/>
        <v/>
      </c>
      <c r="AP398" s="473" t="str">
        <f t="shared" si="118"/>
        <v/>
      </c>
      <c r="AQ398" s="473" t="str">
        <f t="shared" si="119"/>
        <v/>
      </c>
      <c r="AR398" s="473" t="str">
        <f t="shared" si="120"/>
        <v/>
      </c>
      <c r="AS398" s="473" t="str">
        <f t="shared" si="121"/>
        <v/>
      </c>
      <c r="AT398" s="473" t="str">
        <f t="shared" si="122"/>
        <v/>
      </c>
      <c r="AU398" s="473" t="str">
        <f t="shared" si="123"/>
        <v/>
      </c>
      <c r="AZ398" s="27" t="s">
        <v>8</v>
      </c>
      <c r="BA398" s="34" t="s">
        <v>476</v>
      </c>
      <c r="BB398" s="499"/>
      <c r="BC398" s="271"/>
      <c r="BD398" s="279">
        <v>1</v>
      </c>
      <c r="BE398" s="271"/>
      <c r="BF398" s="271"/>
      <c r="BG398" s="271"/>
      <c r="BH398" s="271"/>
      <c r="BI398" s="271"/>
      <c r="BJ398" s="271"/>
      <c r="BK398" s="271"/>
      <c r="BL398" s="271"/>
    </row>
    <row r="399" spans="18:64" ht="21" customHeight="1" x14ac:dyDescent="0.25">
      <c r="R399" s="34" t="s">
        <v>473</v>
      </c>
      <c r="S399" s="451"/>
      <c r="T399" s="32" t="s">
        <v>311</v>
      </c>
      <c r="V399" s="475">
        <v>10</v>
      </c>
      <c r="W399" s="475" t="str">
        <f>IF($AC$399="","",$W$396)</f>
        <v>N° 10</v>
      </c>
      <c r="X399" s="476" t="str">
        <f>IF($AC$399="","",$X$396)</f>
        <v>RILLETTE DE SAUMON A L'ANETH</v>
      </c>
      <c r="Y399" s="477">
        <f>IF($X$399="","",$Y$396)</f>
        <v>27</v>
      </c>
      <c r="Z399" s="477">
        <f>IF($X$399="","",$Z$396)</f>
        <v>100</v>
      </c>
      <c r="AA399" s="477">
        <f>IF($AC$399="","",ROW($A$399)-ROW($A$396))</f>
        <v>3</v>
      </c>
      <c r="AB399" s="478"/>
      <c r="AC399" s="34" t="s">
        <v>66</v>
      </c>
      <c r="AD399" s="356"/>
      <c r="AE399" s="18">
        <v>1</v>
      </c>
      <c r="AF399" s="9" t="s">
        <v>315</v>
      </c>
      <c r="AG399" s="480">
        <f t="shared" si="112"/>
        <v>1</v>
      </c>
      <c r="AH399" s="481" t="str">
        <f t="shared" si="113"/>
        <v>BOTTE(S)</v>
      </c>
      <c r="AI399" s="477" t="str">
        <f>IF($AC$399="","",IFERROR(INDEX($AZ$74:$AZ$119,MATCH($AH$399,$AY$74:$AY$119,0)),"AUTRE"))</f>
        <v>AUTRE</v>
      </c>
      <c r="AJ399" s="482">
        <f>IF($AC$399="","",IFERROR(INDEX($BA$74:$BA$119,MATCH($AH$399,$AY$74:$AY$119,0)),1))</f>
        <v>1</v>
      </c>
      <c r="AK399" s="482">
        <f t="shared" si="114"/>
        <v>1</v>
      </c>
      <c r="AL399" s="477" t="str">
        <f>IF($AC$399="","",IFERROR(INDEX($BB$74:$BB$119,MATCH($AH$399,$AY$74:$AY$119,0)),$AH$399))</f>
        <v>BOTTE(S)</v>
      </c>
      <c r="AM399" s="483" t="str">
        <f t="shared" si="115"/>
        <v>UNITÉ À CONTRÔLER</v>
      </c>
      <c r="AN399" s="484">
        <f t="shared" si="116"/>
        <v>1</v>
      </c>
      <c r="AO399" s="473" t="str">
        <f t="shared" si="117"/>
        <v/>
      </c>
      <c r="AP399" s="473" t="str">
        <f t="shared" si="118"/>
        <v/>
      </c>
      <c r="AQ399" s="473" t="str">
        <f t="shared" si="119"/>
        <v/>
      </c>
      <c r="AR399" s="473" t="str">
        <f t="shared" si="120"/>
        <v/>
      </c>
      <c r="AS399" s="473" t="str">
        <f t="shared" si="121"/>
        <v/>
      </c>
      <c r="AT399" s="473" t="str">
        <f t="shared" si="122"/>
        <v/>
      </c>
      <c r="AU399" s="473" t="str">
        <f t="shared" si="123"/>
        <v/>
      </c>
      <c r="AZ399" s="28" t="s">
        <v>13</v>
      </c>
      <c r="BA399" s="34" t="s">
        <v>468</v>
      </c>
      <c r="BB399" s="499"/>
      <c r="BC399" s="271"/>
      <c r="BD399" s="279">
        <v>1</v>
      </c>
      <c r="BE399" s="271"/>
      <c r="BF399" s="271"/>
      <c r="BG399" s="271"/>
      <c r="BH399" s="271"/>
      <c r="BI399" s="271"/>
      <c r="BJ399" s="271"/>
      <c r="BK399" s="271"/>
      <c r="BL399" s="271"/>
    </row>
    <row r="400" spans="18:64" ht="21" customHeight="1" x14ac:dyDescent="0.25">
      <c r="R400" s="34" t="s">
        <v>497</v>
      </c>
      <c r="S400" s="451"/>
      <c r="T400" s="32" t="s">
        <v>8135</v>
      </c>
      <c r="V400" s="475">
        <v>10</v>
      </c>
      <c r="W400" s="475" t="str">
        <f>IF($AC$400="","",$W$396)</f>
        <v>N° 10</v>
      </c>
      <c r="X400" s="476" t="str">
        <f>IF($AC$400="","",$X$396)</f>
        <v>RILLETTE DE SAUMON A L'ANETH</v>
      </c>
      <c r="Y400" s="477">
        <f>IF($X$400="","",$Y$396)</f>
        <v>27</v>
      </c>
      <c r="Z400" s="477">
        <f>IF($X$400="","",$Z$396)</f>
        <v>100</v>
      </c>
      <c r="AA400" s="477">
        <f>IF($AC$400="","",ROW($A$400)-ROW($A$396))</f>
        <v>4</v>
      </c>
      <c r="AB400" s="478"/>
      <c r="AC400" s="34" t="s">
        <v>42</v>
      </c>
      <c r="AD400" s="356"/>
      <c r="AE400" s="18">
        <v>16</v>
      </c>
      <c r="AF400" s="7" t="s">
        <v>11</v>
      </c>
      <c r="AG400" s="480">
        <f t="shared" si="112"/>
        <v>16</v>
      </c>
      <c r="AH400" s="481" t="str">
        <f t="shared" si="113"/>
        <v>CL</v>
      </c>
      <c r="AI400" s="477" t="str">
        <f>IF($AC$400="","",IFERROR(INDEX($AZ$74:$AZ$119,MATCH($AH$400,$AY$74:$AY$119,0)),"AUTRE"))</f>
        <v>VOLUME</v>
      </c>
      <c r="AJ400" s="482">
        <f>IF($AC$400="","",IFERROR(INDEX($BA$74:$BA$119,MATCH($AH$400,$AY$74:$AY$119,0)),1))</f>
        <v>0.01</v>
      </c>
      <c r="AK400" s="482">
        <f t="shared" si="114"/>
        <v>0.16</v>
      </c>
      <c r="AL400" s="477" t="str">
        <f>IF($AC$400="","",IFERROR(INDEX($BB$74:$BB$119,MATCH($AH$400,$AY$74:$AY$119,0)),$AH$400))</f>
        <v>L</v>
      </c>
      <c r="AM400" s="483" t="str">
        <f t="shared" si="115"/>
        <v>OK</v>
      </c>
      <c r="AN400" s="484">
        <f t="shared" si="116"/>
        <v>16</v>
      </c>
      <c r="AO400" s="473" t="str">
        <f t="shared" si="117"/>
        <v/>
      </c>
      <c r="AP400" s="473" t="str">
        <f t="shared" si="118"/>
        <v/>
      </c>
      <c r="AQ400" s="473" t="str">
        <f t="shared" si="119"/>
        <v/>
      </c>
      <c r="AR400" s="473" t="str">
        <f t="shared" si="120"/>
        <v/>
      </c>
      <c r="AS400" s="473" t="str">
        <f t="shared" si="121"/>
        <v/>
      </c>
      <c r="AT400" s="473" t="str">
        <f t="shared" si="122"/>
        <v/>
      </c>
      <c r="AU400" s="473" t="str">
        <f t="shared" si="123"/>
        <v/>
      </c>
      <c r="AZ400" s="28" t="s">
        <v>14</v>
      </c>
      <c r="BA400" s="34" t="s">
        <v>473</v>
      </c>
      <c r="BB400" s="499"/>
      <c r="BC400" s="271"/>
      <c r="BD400" s="279">
        <v>1</v>
      </c>
      <c r="BE400" s="271"/>
      <c r="BF400" s="271"/>
      <c r="BG400" s="271"/>
      <c r="BH400" s="271"/>
      <c r="BI400" s="271"/>
      <c r="BJ400" s="271"/>
      <c r="BK400" s="271"/>
      <c r="BL400" s="271"/>
    </row>
    <row r="401" spans="18:64" ht="21" customHeight="1" x14ac:dyDescent="0.25">
      <c r="R401" s="34" t="s">
        <v>470</v>
      </c>
      <c r="S401" s="451"/>
      <c r="T401" s="497" t="s">
        <v>462</v>
      </c>
      <c r="V401" s="475">
        <v>10</v>
      </c>
      <c r="W401" s="475" t="str">
        <f>IF($AC$401="","",$W$396)</f>
        <v>N° 10</v>
      </c>
      <c r="X401" s="476" t="str">
        <f>IF($AC$401="","",$X$396)</f>
        <v>RILLETTE DE SAUMON A L'ANETH</v>
      </c>
      <c r="Y401" s="477">
        <f>IF($X$401="","",$Y$396)</f>
        <v>27</v>
      </c>
      <c r="Z401" s="477">
        <f>IF($X$401="","",$Z$396)</f>
        <v>100</v>
      </c>
      <c r="AA401" s="477">
        <f>IF($AC$401="","",ROW($A$401)-ROW($A$396))</f>
        <v>5</v>
      </c>
      <c r="AB401" s="478"/>
      <c r="AC401" s="34" t="s">
        <v>67</v>
      </c>
      <c r="AD401" s="356"/>
      <c r="AE401" s="18">
        <v>12</v>
      </c>
      <c r="AF401" s="5" t="s">
        <v>8</v>
      </c>
      <c r="AG401" s="480">
        <f t="shared" si="112"/>
        <v>12</v>
      </c>
      <c r="AH401" s="481" t="str">
        <f t="shared" si="113"/>
        <v>G</v>
      </c>
      <c r="AI401" s="477" t="str">
        <f>IF($AC$401="","",IFERROR(INDEX($AZ$74:$AZ$119,MATCH($AH$401,$AY$74:$AY$119,0)),"AUTRE"))</f>
        <v>MASSE</v>
      </c>
      <c r="AJ401" s="482">
        <f>IF($AC$401="","",IFERROR(INDEX($BA$74:$BA$119,MATCH($AH$401,$AY$74:$AY$119,0)),1))</f>
        <v>1E-3</v>
      </c>
      <c r="AK401" s="482">
        <f t="shared" si="114"/>
        <v>1.2E-2</v>
      </c>
      <c r="AL401" s="477" t="str">
        <f>IF($AC$401="","",IFERROR(INDEX($BB$74:$BB$119,MATCH($AH$401,$AY$74:$AY$119,0)),$AH$401))</f>
        <v>kg</v>
      </c>
      <c r="AM401" s="483" t="str">
        <f t="shared" si="115"/>
        <v>OK</v>
      </c>
      <c r="AN401" s="484">
        <f t="shared" si="116"/>
        <v>12</v>
      </c>
      <c r="AO401" s="473" t="str">
        <f t="shared" si="117"/>
        <v/>
      </c>
      <c r="AP401" s="473" t="str">
        <f t="shared" si="118"/>
        <v/>
      </c>
      <c r="AQ401" s="473" t="str">
        <f t="shared" si="119"/>
        <v/>
      </c>
      <c r="AR401" s="473" t="str">
        <f t="shared" si="120"/>
        <v/>
      </c>
      <c r="AS401" s="473" t="str">
        <f t="shared" si="121"/>
        <v/>
      </c>
      <c r="AT401" s="473" t="str">
        <f t="shared" si="122"/>
        <v/>
      </c>
      <c r="AU401" s="473" t="str">
        <f t="shared" si="123"/>
        <v/>
      </c>
      <c r="AZ401" s="28" t="s">
        <v>15</v>
      </c>
      <c r="BA401" s="34" t="s">
        <v>497</v>
      </c>
      <c r="BB401" s="499"/>
      <c r="BC401" s="271"/>
      <c r="BD401" s="279">
        <v>1</v>
      </c>
      <c r="BE401" s="271"/>
      <c r="BF401" s="271"/>
      <c r="BG401" s="271"/>
      <c r="BH401" s="271"/>
      <c r="BI401" s="271"/>
      <c r="BJ401" s="271"/>
      <c r="BK401" s="271"/>
      <c r="BL401" s="271"/>
    </row>
    <row r="402" spans="18:64" ht="21" customHeight="1" x14ac:dyDescent="0.25">
      <c r="R402" s="34" t="s">
        <v>477</v>
      </c>
      <c r="S402" s="451"/>
      <c r="T402" s="497" t="s">
        <v>463</v>
      </c>
      <c r="V402" s="475">
        <v>10</v>
      </c>
      <c r="W402" s="475" t="str">
        <f>IF($AC$402="","",$W$396)</f>
        <v>N° 10</v>
      </c>
      <c r="X402" s="476" t="str">
        <f>IF($AC$402="","",$X$396)</f>
        <v>RILLETTE DE SAUMON A L'ANETH</v>
      </c>
      <c r="Y402" s="477">
        <f>IF($X$402="","",$Y$396)</f>
        <v>27</v>
      </c>
      <c r="Z402" s="477">
        <f>IF($X$402="","",$Z$396)</f>
        <v>100</v>
      </c>
      <c r="AA402" s="477">
        <f>IF($AC$402="","",ROW($A$402)-ROW($A$396))</f>
        <v>6</v>
      </c>
      <c r="AB402" s="478"/>
      <c r="AC402" s="34" t="s">
        <v>117</v>
      </c>
      <c r="AD402" s="356"/>
      <c r="AE402" s="18">
        <v>15</v>
      </c>
      <c r="AF402" s="5" t="s">
        <v>8</v>
      </c>
      <c r="AG402" s="480">
        <f t="shared" si="112"/>
        <v>15</v>
      </c>
      <c r="AH402" s="481" t="str">
        <f t="shared" si="113"/>
        <v>G</v>
      </c>
      <c r="AI402" s="477" t="str">
        <f>IF($AC$402="","",IFERROR(INDEX($AZ$74:$AZ$119,MATCH($AH$402,$AY$74:$AY$119,0)),"AUTRE"))</f>
        <v>MASSE</v>
      </c>
      <c r="AJ402" s="482">
        <f>IF($AC$402="","",IFERROR(INDEX($BA$74:$BA$119,MATCH($AH$402,$AY$74:$AY$119,0)),1))</f>
        <v>1E-3</v>
      </c>
      <c r="AK402" s="482">
        <f t="shared" si="114"/>
        <v>1.4999999999999999E-2</v>
      </c>
      <c r="AL402" s="477" t="str">
        <f>IF($AC$402="","",IFERROR(INDEX($BB$74:$BB$119,MATCH($AH$402,$AY$74:$AY$119,0)),$AH$402))</f>
        <v>kg</v>
      </c>
      <c r="AM402" s="483" t="str">
        <f t="shared" si="115"/>
        <v>OK</v>
      </c>
      <c r="AN402" s="484">
        <f t="shared" si="116"/>
        <v>15</v>
      </c>
      <c r="AO402" s="473" t="str">
        <f t="shared" si="117"/>
        <v/>
      </c>
      <c r="AP402" s="473" t="str">
        <f t="shared" si="118"/>
        <v/>
      </c>
      <c r="AQ402" s="473" t="str">
        <f t="shared" si="119"/>
        <v/>
      </c>
      <c r="AR402" s="473" t="str">
        <f t="shared" si="120"/>
        <v/>
      </c>
      <c r="AS402" s="473" t="str">
        <f t="shared" si="121"/>
        <v/>
      </c>
      <c r="AT402" s="473" t="str">
        <f t="shared" si="122"/>
        <v/>
      </c>
      <c r="AU402" s="473" t="str">
        <f t="shared" si="123"/>
        <v/>
      </c>
      <c r="AZ402" s="29" t="s">
        <v>9</v>
      </c>
      <c r="BA402" s="34" t="s">
        <v>470</v>
      </c>
      <c r="BB402" s="499"/>
      <c r="BC402" s="271"/>
      <c r="BD402" s="279">
        <v>1</v>
      </c>
      <c r="BE402" s="271"/>
      <c r="BF402" s="271"/>
      <c r="BG402" s="271"/>
      <c r="BH402" s="271"/>
      <c r="BI402" s="271"/>
      <c r="BJ402" s="271"/>
      <c r="BK402" s="271"/>
      <c r="BL402" s="271"/>
    </row>
    <row r="403" spans="18:64" ht="21" customHeight="1" x14ac:dyDescent="0.25">
      <c r="S403" s="451"/>
      <c r="T403" s="497" t="s">
        <v>8147</v>
      </c>
      <c r="V403" s="475">
        <v>10</v>
      </c>
      <c r="W403" s="475" t="str">
        <f>IF($AC$403="","",$W$396)</f>
        <v>N° 10</v>
      </c>
      <c r="X403" s="476" t="str">
        <f>IF($AC$403="","",$X$396)</f>
        <v>RILLETTE DE SAUMON A L'ANETH</v>
      </c>
      <c r="Y403" s="477">
        <f>IF($X$403="","",$Y$396)</f>
        <v>27</v>
      </c>
      <c r="Z403" s="477">
        <f>IF($X$403="","",$Z$396)</f>
        <v>100</v>
      </c>
      <c r="AA403" s="477">
        <f>IF($AC$403="","",ROW($A$403)-ROW($A$396))</f>
        <v>7</v>
      </c>
      <c r="AB403" s="478"/>
      <c r="AC403" s="34" t="s">
        <v>118</v>
      </c>
      <c r="AD403" s="356"/>
      <c r="AE403" s="18">
        <v>4</v>
      </c>
      <c r="AF403" s="7" t="s">
        <v>11</v>
      </c>
      <c r="AG403" s="480">
        <f t="shared" si="112"/>
        <v>4</v>
      </c>
      <c r="AH403" s="481" t="str">
        <f t="shared" si="113"/>
        <v>CL</v>
      </c>
      <c r="AI403" s="477" t="str">
        <f>IF($AC$403="","",IFERROR(INDEX($AZ$74:$AZ$119,MATCH($AH$403,$AY$74:$AY$119,0)),"AUTRE"))</f>
        <v>VOLUME</v>
      </c>
      <c r="AJ403" s="482">
        <f>IF($AC$403="","",IFERROR(INDEX($BA$74:$BA$119,MATCH($AH$403,$AY$74:$AY$119,0)),1))</f>
        <v>0.01</v>
      </c>
      <c r="AK403" s="482">
        <f t="shared" si="114"/>
        <v>0.04</v>
      </c>
      <c r="AL403" s="477" t="str">
        <f>IF($AC$403="","",IFERROR(INDEX($BB$74:$BB$119,MATCH($AH$403,$AY$74:$AY$119,0)),$AH$403))</f>
        <v>L</v>
      </c>
      <c r="AM403" s="483" t="str">
        <f t="shared" si="115"/>
        <v>OK</v>
      </c>
      <c r="AN403" s="484">
        <f t="shared" si="116"/>
        <v>4</v>
      </c>
      <c r="AO403" s="473" t="str">
        <f t="shared" si="117"/>
        <v/>
      </c>
      <c r="AP403" s="473" t="str">
        <f t="shared" si="118"/>
        <v/>
      </c>
      <c r="AQ403" s="473" t="str">
        <f t="shared" si="119"/>
        <v/>
      </c>
      <c r="AR403" s="473" t="str">
        <f t="shared" si="120"/>
        <v/>
      </c>
      <c r="AS403" s="473" t="str">
        <f t="shared" si="121"/>
        <v/>
      </c>
      <c r="AT403" s="473" t="str">
        <f t="shared" si="122"/>
        <v/>
      </c>
      <c r="AU403" s="473" t="str">
        <f t="shared" si="123"/>
        <v/>
      </c>
      <c r="AZ403" s="30" t="s">
        <v>10</v>
      </c>
      <c r="BA403" s="34" t="s">
        <v>477</v>
      </c>
      <c r="BB403" s="499"/>
      <c r="BC403" s="271"/>
      <c r="BD403" s="279">
        <v>1</v>
      </c>
      <c r="BE403" s="271"/>
      <c r="BF403" s="271"/>
      <c r="BG403" s="271"/>
      <c r="BH403" s="271"/>
      <c r="BI403" s="271"/>
      <c r="BJ403" s="271"/>
      <c r="BK403" s="271"/>
      <c r="BL403" s="271"/>
    </row>
    <row r="404" spans="18:64" ht="21" customHeight="1" x14ac:dyDescent="0.25">
      <c r="R404" s="25" t="s">
        <v>6134</v>
      </c>
      <c r="S404" s="451"/>
      <c r="T404" s="497" t="s">
        <v>465</v>
      </c>
      <c r="V404" s="475">
        <v>10</v>
      </c>
      <c r="W404" s="475" t="str">
        <f>IF($AC$404="","",$W$396)</f>
        <v/>
      </c>
      <c r="X404" s="476" t="str">
        <f>IF($AC$404="","",$X$396)</f>
        <v/>
      </c>
      <c r="Y404" s="477" t="str">
        <f>IF($X$404="","",$Y$396)</f>
        <v/>
      </c>
      <c r="Z404" s="477" t="str">
        <f>IF($X$404="","",$Z$396)</f>
        <v/>
      </c>
      <c r="AA404" s="477" t="str">
        <f>IF($AC$404="","",ROW($A$404)-ROW($A$396))</f>
        <v/>
      </c>
      <c r="AB404" s="478"/>
      <c r="AC404" s="34"/>
      <c r="AD404" s="356"/>
      <c r="AE404" s="18"/>
      <c r="AF404" s="19"/>
      <c r="AG404" s="480" t="str">
        <f t="shared" si="112"/>
        <v/>
      </c>
      <c r="AH404" s="481" t="str">
        <f t="shared" si="113"/>
        <v/>
      </c>
      <c r="AI404" s="477" t="str">
        <f>IF($AC$404="","",IFERROR(INDEX($AZ$74:$AZ$119,MATCH($AH$404,$AY$74:$AY$119,0)),"AUTRE"))</f>
        <v/>
      </c>
      <c r="AJ404" s="482" t="str">
        <f>IF($AC$404="","",IFERROR(INDEX($BA$74:$BA$119,MATCH($AH$404,$AY$74:$AY$119,0)),1))</f>
        <v/>
      </c>
      <c r="AK404" s="482" t="str">
        <f t="shared" si="114"/>
        <v/>
      </c>
      <c r="AL404" s="477" t="str">
        <f>IF($AC$404="","",IFERROR(INDEX($BB$74:$BB$119,MATCH($AH$404,$AY$74:$AY$119,0)),$AH$404))</f>
        <v/>
      </c>
      <c r="AM404" s="483" t="str">
        <f t="shared" si="115"/>
        <v/>
      </c>
      <c r="AN404" s="484" t="str">
        <f t="shared" si="116"/>
        <v/>
      </c>
      <c r="AO404" s="473" t="str">
        <f t="shared" si="117"/>
        <v/>
      </c>
      <c r="AP404" s="473" t="str">
        <f t="shared" si="118"/>
        <v/>
      </c>
      <c r="AQ404" s="473" t="str">
        <f t="shared" si="119"/>
        <v/>
      </c>
      <c r="AR404" s="473" t="str">
        <f t="shared" si="120"/>
        <v/>
      </c>
      <c r="AS404" s="473" t="str">
        <f t="shared" si="121"/>
        <v/>
      </c>
      <c r="AT404" s="473" t="str">
        <f t="shared" si="122"/>
        <v/>
      </c>
      <c r="AU404" s="473" t="str">
        <f t="shared" si="123"/>
        <v/>
      </c>
      <c r="AZ404" s="30" t="s">
        <v>11</v>
      </c>
      <c r="BB404" s="499"/>
      <c r="BC404" s="271"/>
      <c r="BD404" s="279">
        <v>1</v>
      </c>
      <c r="BE404" s="271"/>
      <c r="BF404" s="271"/>
      <c r="BG404" s="271"/>
      <c r="BH404" s="271"/>
      <c r="BI404" s="271"/>
      <c r="BJ404" s="271"/>
      <c r="BK404" s="271"/>
      <c r="BL404" s="271"/>
    </row>
    <row r="405" spans="18:64" ht="21" customHeight="1" x14ac:dyDescent="0.25">
      <c r="R405" s="34" t="s">
        <v>481</v>
      </c>
      <c r="S405" s="451"/>
      <c r="T405" s="497" t="s">
        <v>466</v>
      </c>
      <c r="V405" s="475">
        <v>10</v>
      </c>
      <c r="W405" s="475" t="str">
        <f>IF($AC$405="","",$W$396)</f>
        <v/>
      </c>
      <c r="X405" s="476" t="str">
        <f>IF($AC$405="","",$X$396)</f>
        <v/>
      </c>
      <c r="Y405" s="477" t="str">
        <f>IF($X$405="","",$Y$396)</f>
        <v/>
      </c>
      <c r="Z405" s="477" t="str">
        <f>IF($X$405="","",$Z$396)</f>
        <v/>
      </c>
      <c r="AA405" s="477" t="str">
        <f>IF($AC$405="","",ROW($A$405)-ROW($A$396))</f>
        <v/>
      </c>
      <c r="AB405" s="478"/>
      <c r="AC405" s="34"/>
      <c r="AD405" s="356"/>
      <c r="AE405" s="18"/>
      <c r="AF405" s="19"/>
      <c r="AG405" s="480" t="str">
        <f t="shared" si="112"/>
        <v/>
      </c>
      <c r="AH405" s="481" t="str">
        <f t="shared" si="113"/>
        <v/>
      </c>
      <c r="AI405" s="477" t="str">
        <f>IF($AC$405="","",IFERROR(INDEX($AZ$74:$AZ$119,MATCH($AH$405,$AY$74:$AY$119,0)),"AUTRE"))</f>
        <v/>
      </c>
      <c r="AJ405" s="482" t="str">
        <f>IF($AC$405="","",IFERROR(INDEX($BA$74:$BA$119,MATCH($AH$405,$AY$74:$AY$119,0)),1))</f>
        <v/>
      </c>
      <c r="AK405" s="482" t="str">
        <f t="shared" si="114"/>
        <v/>
      </c>
      <c r="AL405" s="477" t="str">
        <f>IF($AC$405="","",IFERROR(INDEX($BB$74:$BB$119,MATCH($AH$405,$AY$74:$AY$119,0)),$AH$405))</f>
        <v/>
      </c>
      <c r="AM405" s="483" t="str">
        <f t="shared" si="115"/>
        <v/>
      </c>
      <c r="AN405" s="484" t="str">
        <f t="shared" si="116"/>
        <v/>
      </c>
      <c r="AO405" s="473" t="str">
        <f t="shared" si="117"/>
        <v/>
      </c>
      <c r="AP405" s="473" t="str">
        <f t="shared" si="118"/>
        <v/>
      </c>
      <c r="AQ405" s="473" t="str">
        <f t="shared" si="119"/>
        <v/>
      </c>
      <c r="AR405" s="473" t="str">
        <f t="shared" si="120"/>
        <v/>
      </c>
      <c r="AS405" s="473" t="str">
        <f t="shared" si="121"/>
        <v/>
      </c>
      <c r="AT405" s="473" t="str">
        <f t="shared" si="122"/>
        <v/>
      </c>
      <c r="AU405" s="473" t="str">
        <f t="shared" si="123"/>
        <v/>
      </c>
      <c r="AZ405" s="30" t="s">
        <v>12</v>
      </c>
      <c r="BA405" s="25" t="s">
        <v>6134</v>
      </c>
      <c r="BB405" s="499"/>
      <c r="BC405" s="271"/>
      <c r="BD405" s="279">
        <v>1</v>
      </c>
      <c r="BE405" s="271"/>
      <c r="BF405" s="271"/>
      <c r="BG405" s="271"/>
      <c r="BH405" s="271"/>
      <c r="BI405" s="271"/>
      <c r="BJ405" s="271"/>
      <c r="BK405" s="271"/>
      <c r="BL405" s="271"/>
    </row>
    <row r="406" spans="18:64" ht="21" customHeight="1" x14ac:dyDescent="0.25">
      <c r="R406" s="34" t="s">
        <v>475</v>
      </c>
      <c r="S406" s="451"/>
      <c r="T406" s="440" t="s">
        <v>8110</v>
      </c>
      <c r="V406" s="475">
        <v>10</v>
      </c>
      <c r="W406" s="475" t="str">
        <f>IF($AC$406="","",$W$396)</f>
        <v/>
      </c>
      <c r="X406" s="476" t="str">
        <f>IF($AC$406="","",$X$396)</f>
        <v/>
      </c>
      <c r="Y406" s="477" t="str">
        <f>IF($X$406="","",$Y$396)</f>
        <v/>
      </c>
      <c r="Z406" s="477" t="str">
        <f>IF($X$406="","",$Z$396)</f>
        <v/>
      </c>
      <c r="AA406" s="477" t="str">
        <f>IF($AC$406="","",ROW($A$406)-ROW($A$396))</f>
        <v/>
      </c>
      <c r="AB406" s="478"/>
      <c r="AC406" s="34"/>
      <c r="AD406" s="356"/>
      <c r="AE406" s="18"/>
      <c r="AF406" s="19"/>
      <c r="AG406" s="480" t="str">
        <f t="shared" si="112"/>
        <v/>
      </c>
      <c r="AH406" s="481" t="str">
        <f t="shared" si="113"/>
        <v/>
      </c>
      <c r="AI406" s="477" t="str">
        <f>IF($AC$406="","",IFERROR(INDEX($AZ$74:$AZ$119,MATCH($AH$406,$AY$74:$AY$119,0)),"AUTRE"))</f>
        <v/>
      </c>
      <c r="AJ406" s="482" t="str">
        <f>IF($AC$406="","",IFERROR(INDEX($BA$74:$BA$119,MATCH($AH$406,$AY$74:$AY$119,0)),1))</f>
        <v/>
      </c>
      <c r="AK406" s="482" t="str">
        <f t="shared" si="114"/>
        <v/>
      </c>
      <c r="AL406" s="477" t="str">
        <f>IF($AC$406="","",IFERROR(INDEX($BB$74:$BB$119,MATCH($AH$406,$AY$74:$AY$119,0)),$AH$406))</f>
        <v/>
      </c>
      <c r="AM406" s="483" t="str">
        <f t="shared" si="115"/>
        <v/>
      </c>
      <c r="AN406" s="484" t="str">
        <f t="shared" si="116"/>
        <v/>
      </c>
      <c r="AO406" s="473" t="str">
        <f t="shared" si="117"/>
        <v/>
      </c>
      <c r="AP406" s="473" t="str">
        <f t="shared" si="118"/>
        <v/>
      </c>
      <c r="AQ406" s="473" t="str">
        <f t="shared" si="119"/>
        <v/>
      </c>
      <c r="AR406" s="473" t="str">
        <f t="shared" si="120"/>
        <v/>
      </c>
      <c r="AS406" s="473" t="str">
        <f t="shared" si="121"/>
        <v/>
      </c>
      <c r="AT406" s="473" t="str">
        <f t="shared" si="122"/>
        <v/>
      </c>
      <c r="AU406" s="473" t="str">
        <f t="shared" si="123"/>
        <v/>
      </c>
      <c r="AZ406" s="31" t="s">
        <v>16</v>
      </c>
      <c r="BA406" s="34" t="s">
        <v>481</v>
      </c>
      <c r="BB406" s="499"/>
      <c r="BC406" s="271"/>
      <c r="BD406" s="279">
        <v>1</v>
      </c>
      <c r="BE406" s="271"/>
      <c r="BF406" s="271"/>
      <c r="BG406" s="271"/>
      <c r="BH406" s="271"/>
      <c r="BI406" s="271"/>
      <c r="BJ406" s="271"/>
      <c r="BK406" s="271"/>
      <c r="BL406" s="271"/>
    </row>
    <row r="407" spans="18:64" ht="21" customHeight="1" x14ac:dyDescent="0.25">
      <c r="R407" s="34" t="s">
        <v>457</v>
      </c>
      <c r="S407" s="451"/>
      <c r="T407" s="452" t="s">
        <v>8113</v>
      </c>
      <c r="V407" s="475">
        <v>10</v>
      </c>
      <c r="W407" s="475" t="str">
        <f>IF($AC$407="","",$W$396)</f>
        <v/>
      </c>
      <c r="X407" s="476" t="str">
        <f>IF($AC$407="","",$X$396)</f>
        <v/>
      </c>
      <c r="Y407" s="477" t="str">
        <f>IF($X$407="","",$Y$396)</f>
        <v/>
      </c>
      <c r="Z407" s="477" t="str">
        <f>IF($X$407="","",$Z$396)</f>
        <v/>
      </c>
      <c r="AA407" s="477" t="str">
        <f>IF($AC$407="","",ROW($A$407)-ROW($A$396))</f>
        <v/>
      </c>
      <c r="AB407" s="478"/>
      <c r="AC407" s="34"/>
      <c r="AD407" s="356"/>
      <c r="AE407" s="18"/>
      <c r="AF407" s="19"/>
      <c r="AG407" s="480" t="str">
        <f t="shared" si="112"/>
        <v/>
      </c>
      <c r="AH407" s="481" t="str">
        <f t="shared" si="113"/>
        <v/>
      </c>
      <c r="AI407" s="477" t="str">
        <f>IF($AC$407="","",IFERROR(INDEX($AZ$74:$AZ$119,MATCH($AH$407,$AY$74:$AY$119,0)),"AUTRE"))</f>
        <v/>
      </c>
      <c r="AJ407" s="482" t="str">
        <f>IF($AC$407="","",IFERROR(INDEX($BA$74:$BA$119,MATCH($AH$407,$AY$74:$AY$119,0)),1))</f>
        <v/>
      </c>
      <c r="AK407" s="482" t="str">
        <f t="shared" si="114"/>
        <v/>
      </c>
      <c r="AL407" s="477" t="str">
        <f>IF($AC$407="","",IFERROR(INDEX($BB$74:$BB$119,MATCH($AH$407,$AY$74:$AY$119,0)),$AH$407))</f>
        <v/>
      </c>
      <c r="AM407" s="483" t="str">
        <f t="shared" si="115"/>
        <v/>
      </c>
      <c r="AN407" s="484" t="str">
        <f t="shared" si="116"/>
        <v/>
      </c>
      <c r="AO407" s="473" t="str">
        <f t="shared" si="117"/>
        <v/>
      </c>
      <c r="AP407" s="473" t="str">
        <f t="shared" si="118"/>
        <v/>
      </c>
      <c r="AQ407" s="473" t="str">
        <f t="shared" si="119"/>
        <v/>
      </c>
      <c r="AR407" s="473" t="str">
        <f t="shared" si="120"/>
        <v/>
      </c>
      <c r="AS407" s="473" t="str">
        <f t="shared" si="121"/>
        <v/>
      </c>
      <c r="AT407" s="473" t="str">
        <f t="shared" si="122"/>
        <v/>
      </c>
      <c r="AU407" s="473" t="str">
        <f t="shared" si="123"/>
        <v/>
      </c>
      <c r="AZ407" s="31" t="s">
        <v>17</v>
      </c>
      <c r="BA407" s="34" t="s">
        <v>475</v>
      </c>
      <c r="BB407" s="499"/>
      <c r="BC407" s="271"/>
      <c r="BD407" s="279">
        <v>1</v>
      </c>
      <c r="BE407" s="271"/>
      <c r="BF407" s="271"/>
      <c r="BG407" s="271"/>
      <c r="BH407" s="271"/>
      <c r="BI407" s="271"/>
      <c r="BJ407" s="271"/>
      <c r="BK407" s="271"/>
      <c r="BL407" s="271"/>
    </row>
    <row r="408" spans="18:64" ht="21" customHeight="1" x14ac:dyDescent="0.25">
      <c r="R408" s="34" t="s">
        <v>482</v>
      </c>
      <c r="S408" s="451"/>
      <c r="T408" s="14" t="s">
        <v>7</v>
      </c>
      <c r="V408" s="475">
        <v>10</v>
      </c>
      <c r="W408" s="475" t="str">
        <f>IF($AC$408="","",$W$396)</f>
        <v/>
      </c>
      <c r="X408" s="476" t="str">
        <f>IF($AC$408="","",$X$396)</f>
        <v/>
      </c>
      <c r="Y408" s="477" t="str">
        <f>IF($X$408="","",$Y$396)</f>
        <v/>
      </c>
      <c r="Z408" s="477" t="str">
        <f>IF($X$408="","",$Z$396)</f>
        <v/>
      </c>
      <c r="AA408" s="477" t="str">
        <f>IF($AC$408="","",ROW($A$408)-ROW($A$396))</f>
        <v/>
      </c>
      <c r="AB408" s="478"/>
      <c r="AC408" s="34"/>
      <c r="AD408" s="356"/>
      <c r="AE408" s="18"/>
      <c r="AF408" s="19"/>
      <c r="AG408" s="480" t="str">
        <f t="shared" si="112"/>
        <v/>
      </c>
      <c r="AH408" s="481" t="str">
        <f t="shared" si="113"/>
        <v/>
      </c>
      <c r="AI408" s="477" t="str">
        <f>IF($AC$408="","",IFERROR(INDEX($AZ$74:$AZ$119,MATCH($AH$408,$AY$74:$AY$119,0)),"AUTRE"))</f>
        <v/>
      </c>
      <c r="AJ408" s="482" t="str">
        <f>IF($AC$408="","",IFERROR(INDEX($BA$74:$BA$119,MATCH($AH$408,$AY$74:$AY$119,0)),1))</f>
        <v/>
      </c>
      <c r="AK408" s="482" t="str">
        <f t="shared" si="114"/>
        <v/>
      </c>
      <c r="AL408" s="477" t="str">
        <f>IF($AC$408="","",IFERROR(INDEX($BB$74:$BB$119,MATCH($AH$408,$AY$74:$AY$119,0)),$AH$408))</f>
        <v/>
      </c>
      <c r="AM408" s="483" t="str">
        <f t="shared" si="115"/>
        <v/>
      </c>
      <c r="AN408" s="484" t="str">
        <f t="shared" si="116"/>
        <v/>
      </c>
      <c r="AO408" s="473" t="str">
        <f t="shared" si="117"/>
        <v/>
      </c>
      <c r="AP408" s="473" t="str">
        <f t="shared" si="118"/>
        <v/>
      </c>
      <c r="AQ408" s="473" t="str">
        <f t="shared" si="119"/>
        <v/>
      </c>
      <c r="AR408" s="473" t="str">
        <f t="shared" si="120"/>
        <v/>
      </c>
      <c r="AS408" s="473" t="str">
        <f t="shared" si="121"/>
        <v/>
      </c>
      <c r="AT408" s="473" t="str">
        <f t="shared" si="122"/>
        <v/>
      </c>
      <c r="AU408" s="473" t="str">
        <f t="shared" si="123"/>
        <v/>
      </c>
      <c r="AZ408" s="31" t="s">
        <v>18</v>
      </c>
      <c r="BA408" s="34" t="s">
        <v>457</v>
      </c>
      <c r="BB408" s="499"/>
      <c r="BC408" s="271"/>
      <c r="BD408" s="279">
        <v>1</v>
      </c>
      <c r="BE408" s="271"/>
      <c r="BF408" s="271"/>
      <c r="BG408" s="271"/>
      <c r="BH408" s="271"/>
      <c r="BI408" s="271"/>
      <c r="BJ408" s="271"/>
      <c r="BK408" s="271"/>
      <c r="BL408" s="271"/>
    </row>
    <row r="409" spans="18:64" ht="21" customHeight="1" x14ac:dyDescent="0.25">
      <c r="R409" s="34" t="s">
        <v>496</v>
      </c>
      <c r="S409" s="451"/>
      <c r="T409" s="27" t="s">
        <v>8</v>
      </c>
      <c r="V409" s="475">
        <v>10</v>
      </c>
      <c r="W409" s="475" t="str">
        <f>IF($AC$409="","",$W$396)</f>
        <v/>
      </c>
      <c r="X409" s="476" t="str">
        <f>IF($AC$409="","",$X$396)</f>
        <v/>
      </c>
      <c r="Y409" s="477" t="str">
        <f>IF($X$409="","",$Y$396)</f>
        <v/>
      </c>
      <c r="Z409" s="477" t="str">
        <f>IF($X$409="","",$Z$396)</f>
        <v/>
      </c>
      <c r="AA409" s="477" t="str">
        <f>IF($AC$409="","",ROW($A$409)-ROW($A$396))</f>
        <v/>
      </c>
      <c r="AB409" s="478"/>
      <c r="AC409" s="34"/>
      <c r="AD409" s="356"/>
      <c r="AE409" s="18"/>
      <c r="AF409" s="19"/>
      <c r="AG409" s="480" t="str">
        <f t="shared" si="112"/>
        <v/>
      </c>
      <c r="AH409" s="481" t="str">
        <f t="shared" si="113"/>
        <v/>
      </c>
      <c r="AI409" s="477" t="str">
        <f>IF($AC$409="","",IFERROR(INDEX($AZ$74:$AZ$119,MATCH($AH$409,$AY$74:$AY$119,0)),"AUTRE"))</f>
        <v/>
      </c>
      <c r="AJ409" s="482" t="str">
        <f>IF($AC$409="","",IFERROR(INDEX($BA$74:$BA$119,MATCH($AH$409,$AY$74:$AY$119,0)),1))</f>
        <v/>
      </c>
      <c r="AK409" s="482" t="str">
        <f t="shared" si="114"/>
        <v/>
      </c>
      <c r="AL409" s="477" t="str">
        <f>IF($AC$409="","",IFERROR(INDEX($BB$74:$BB$119,MATCH($AH$409,$AY$74:$AY$119,0)),$AH$409))</f>
        <v/>
      </c>
      <c r="AM409" s="483" t="str">
        <f t="shared" si="115"/>
        <v/>
      </c>
      <c r="AN409" s="484" t="str">
        <f t="shared" si="116"/>
        <v/>
      </c>
      <c r="AO409" s="473" t="str">
        <f t="shared" si="117"/>
        <v/>
      </c>
      <c r="AP409" s="473" t="str">
        <f t="shared" si="118"/>
        <v/>
      </c>
      <c r="AQ409" s="473" t="str">
        <f t="shared" si="119"/>
        <v/>
      </c>
      <c r="AR409" s="473" t="str">
        <f t="shared" si="120"/>
        <v/>
      </c>
      <c r="AS409" s="473" t="str">
        <f t="shared" si="121"/>
        <v/>
      </c>
      <c r="AT409" s="473" t="str">
        <f t="shared" si="122"/>
        <v/>
      </c>
      <c r="AU409" s="473" t="str">
        <f t="shared" si="123"/>
        <v/>
      </c>
      <c r="AZ409" s="31" t="s">
        <v>19</v>
      </c>
      <c r="BA409" s="34" t="s">
        <v>482</v>
      </c>
      <c r="BB409" s="499"/>
      <c r="BC409" s="271"/>
      <c r="BD409" s="279">
        <v>1</v>
      </c>
      <c r="BE409" s="271"/>
      <c r="BF409" s="271"/>
      <c r="BG409" s="271"/>
      <c r="BH409" s="271"/>
      <c r="BI409" s="271"/>
      <c r="BJ409" s="271"/>
      <c r="BK409" s="271"/>
      <c r="BL409" s="271"/>
    </row>
    <row r="410" spans="18:64" ht="21" customHeight="1" x14ac:dyDescent="0.25">
      <c r="R410" s="34" t="s">
        <v>483</v>
      </c>
      <c r="S410" s="451"/>
      <c r="T410" s="28" t="s">
        <v>13</v>
      </c>
      <c r="V410" s="475">
        <v>10</v>
      </c>
      <c r="W410" s="475" t="str">
        <f>IF($AC$410="","",$W$396)</f>
        <v/>
      </c>
      <c r="X410" s="476" t="str">
        <f>IF($AC$410="","",$X$396)</f>
        <v/>
      </c>
      <c r="Y410" s="477" t="str">
        <f>IF($X$410="","",$Y$396)</f>
        <v/>
      </c>
      <c r="Z410" s="477" t="str">
        <f>IF($X$410="","",$Z$396)</f>
        <v/>
      </c>
      <c r="AA410" s="477" t="str">
        <f>IF($AC$410="","",ROW($A$410)-ROW($A$396))</f>
        <v/>
      </c>
      <c r="AB410" s="478"/>
      <c r="AC410" s="34"/>
      <c r="AD410" s="356"/>
      <c r="AE410" s="18"/>
      <c r="AF410" s="19"/>
      <c r="AG410" s="480" t="str">
        <f t="shared" si="112"/>
        <v/>
      </c>
      <c r="AH410" s="481" t="str">
        <f t="shared" si="113"/>
        <v/>
      </c>
      <c r="AI410" s="477" t="str">
        <f>IF($AC$410="","",IFERROR(INDEX($AZ$74:$AZ$119,MATCH($AH$410,$AY$74:$AY$119,0)),"AUTRE"))</f>
        <v/>
      </c>
      <c r="AJ410" s="482" t="str">
        <f>IF($AC$410="","",IFERROR(INDEX($BA$74:$BA$119,MATCH($AH$410,$AY$74:$AY$119,0)),1))</f>
        <v/>
      </c>
      <c r="AK410" s="482" t="str">
        <f t="shared" si="114"/>
        <v/>
      </c>
      <c r="AL410" s="477" t="str">
        <f>IF($AC$410="","",IFERROR(INDEX($BB$74:$BB$119,MATCH($AH$410,$AY$74:$AY$119,0)),$AH$410))</f>
        <v/>
      </c>
      <c r="AM410" s="483" t="str">
        <f t="shared" si="115"/>
        <v/>
      </c>
      <c r="AN410" s="484" t="str">
        <f t="shared" si="116"/>
        <v/>
      </c>
      <c r="AO410" s="473" t="str">
        <f t="shared" si="117"/>
        <v/>
      </c>
      <c r="AP410" s="473" t="str">
        <f t="shared" si="118"/>
        <v/>
      </c>
      <c r="AQ410" s="473" t="str">
        <f t="shared" si="119"/>
        <v/>
      </c>
      <c r="AR410" s="473" t="str">
        <f t="shared" si="120"/>
        <v/>
      </c>
      <c r="AS410" s="473" t="str">
        <f t="shared" si="121"/>
        <v/>
      </c>
      <c r="AT410" s="473" t="str">
        <f t="shared" si="122"/>
        <v/>
      </c>
      <c r="AU410" s="473" t="str">
        <f t="shared" si="123"/>
        <v/>
      </c>
      <c r="AZ410" s="31" t="s">
        <v>211</v>
      </c>
      <c r="BA410" s="34" t="s">
        <v>496</v>
      </c>
      <c r="BB410" s="499"/>
      <c r="BC410" s="271"/>
      <c r="BD410" s="279">
        <v>1</v>
      </c>
      <c r="BE410" s="271"/>
      <c r="BF410" s="271"/>
      <c r="BG410" s="271"/>
      <c r="BH410" s="271"/>
      <c r="BI410" s="271"/>
      <c r="BJ410" s="271"/>
      <c r="BK410" s="271"/>
      <c r="BL410" s="271"/>
    </row>
    <row r="411" spans="18:64" ht="21" customHeight="1" x14ac:dyDescent="0.25">
      <c r="R411" s="34" t="s">
        <v>493</v>
      </c>
      <c r="S411" s="451"/>
      <c r="T411" s="28" t="s">
        <v>14</v>
      </c>
      <c r="V411" s="475">
        <v>10</v>
      </c>
      <c r="W411" s="475" t="str">
        <f>IF($AC$411="","",$W$396)</f>
        <v/>
      </c>
      <c r="X411" s="476" t="str">
        <f>IF($AC$411="","",$X$396)</f>
        <v/>
      </c>
      <c r="Y411" s="477" t="str">
        <f>IF($X$411="","",$Y$396)</f>
        <v/>
      </c>
      <c r="Z411" s="477" t="str">
        <f>IF($X$411="","",$Z$396)</f>
        <v/>
      </c>
      <c r="AA411" s="477" t="str">
        <f>IF($AC$411="","",ROW($A$411)-ROW($A$396))</f>
        <v/>
      </c>
      <c r="AB411" s="478"/>
      <c r="AC411" s="34"/>
      <c r="AD411" s="356"/>
      <c r="AE411" s="18"/>
      <c r="AF411" s="19"/>
      <c r="AG411" s="480" t="str">
        <f t="shared" si="112"/>
        <v/>
      </c>
      <c r="AH411" s="481" t="str">
        <f t="shared" si="113"/>
        <v/>
      </c>
      <c r="AI411" s="477" t="str">
        <f>IF($AC$411="","",IFERROR(INDEX($AZ$74:$AZ$119,MATCH($AH$411,$AY$74:$AY$119,0)),"AUTRE"))</f>
        <v/>
      </c>
      <c r="AJ411" s="482" t="str">
        <f>IF($AC$411="","",IFERROR(INDEX($BA$74:$BA$119,MATCH($AH$411,$AY$74:$AY$119,0)),1))</f>
        <v/>
      </c>
      <c r="AK411" s="482" t="str">
        <f t="shared" si="114"/>
        <v/>
      </c>
      <c r="AL411" s="477" t="str">
        <f>IF($AC$411="","",IFERROR(INDEX($BB$74:$BB$119,MATCH($AH$411,$AY$74:$AY$119,0)),$AH$411))</f>
        <v/>
      </c>
      <c r="AM411" s="483" t="str">
        <f t="shared" si="115"/>
        <v/>
      </c>
      <c r="AN411" s="484" t="str">
        <f t="shared" si="116"/>
        <v/>
      </c>
      <c r="AO411" s="473" t="str">
        <f t="shared" si="117"/>
        <v/>
      </c>
      <c r="AP411" s="473" t="str">
        <f t="shared" si="118"/>
        <v/>
      </c>
      <c r="AQ411" s="473" t="str">
        <f t="shared" si="119"/>
        <v/>
      </c>
      <c r="AR411" s="473" t="str">
        <f t="shared" si="120"/>
        <v/>
      </c>
      <c r="AS411" s="473" t="str">
        <f t="shared" si="121"/>
        <v/>
      </c>
      <c r="AT411" s="473" t="str">
        <f t="shared" si="122"/>
        <v/>
      </c>
      <c r="AU411" s="473" t="str">
        <f t="shared" si="123"/>
        <v/>
      </c>
      <c r="AZ411" s="31" t="s">
        <v>20</v>
      </c>
      <c r="BA411" s="34" t="s">
        <v>483</v>
      </c>
      <c r="BB411" s="499"/>
      <c r="BC411" s="271"/>
      <c r="BD411" s="279">
        <v>1</v>
      </c>
      <c r="BE411" s="271"/>
      <c r="BF411" s="271"/>
      <c r="BG411" s="271"/>
      <c r="BH411" s="271"/>
      <c r="BI411" s="271"/>
      <c r="BJ411" s="271"/>
      <c r="BK411" s="271"/>
      <c r="BL411" s="271"/>
    </row>
    <row r="412" spans="18:64" ht="21" customHeight="1" x14ac:dyDescent="0.25">
      <c r="R412" s="34" t="s">
        <v>494</v>
      </c>
      <c r="S412" s="451"/>
      <c r="T412" s="28" t="s">
        <v>15</v>
      </c>
      <c r="V412" s="475">
        <v>10</v>
      </c>
      <c r="W412" s="475" t="str">
        <f>IF($AC$412="","",$W$396)</f>
        <v/>
      </c>
      <c r="X412" s="476" t="str">
        <f>IF($AC$412="","",$X$396)</f>
        <v/>
      </c>
      <c r="Y412" s="477" t="str">
        <f>IF($X$412="","",$Y$396)</f>
        <v/>
      </c>
      <c r="Z412" s="477" t="str">
        <f>IF($X$412="","",$Z$396)</f>
        <v/>
      </c>
      <c r="AA412" s="477" t="str">
        <f>IF($AC$412="","",ROW($A$412)-ROW($A$396))</f>
        <v/>
      </c>
      <c r="AB412" s="478"/>
      <c r="AC412" s="34"/>
      <c r="AD412" s="356"/>
      <c r="AE412" s="18"/>
      <c r="AF412" s="19"/>
      <c r="AG412" s="480" t="str">
        <f t="shared" si="112"/>
        <v/>
      </c>
      <c r="AH412" s="481" t="str">
        <f t="shared" si="113"/>
        <v/>
      </c>
      <c r="AI412" s="477" t="str">
        <f>IF($AC$412="","",IFERROR(INDEX($AZ$74:$AZ$119,MATCH($AH$412,$AY$74:$AY$119,0)),"AUTRE"))</f>
        <v/>
      </c>
      <c r="AJ412" s="482" t="str">
        <f>IF($AC$412="","",IFERROR(INDEX($BA$74:$BA$119,MATCH($AH$412,$AY$74:$AY$119,0)),1))</f>
        <v/>
      </c>
      <c r="AK412" s="482" t="str">
        <f t="shared" si="114"/>
        <v/>
      </c>
      <c r="AL412" s="477" t="str">
        <f>IF($AC$412="","",IFERROR(INDEX($BB$74:$BB$119,MATCH($AH$412,$AY$74:$AY$119,0)),$AH$412))</f>
        <v/>
      </c>
      <c r="AM412" s="483" t="str">
        <f t="shared" si="115"/>
        <v/>
      </c>
      <c r="AN412" s="484" t="str">
        <f t="shared" si="116"/>
        <v/>
      </c>
      <c r="AO412" s="473" t="str">
        <f t="shared" si="117"/>
        <v/>
      </c>
      <c r="AP412" s="473" t="str">
        <f t="shared" si="118"/>
        <v/>
      </c>
      <c r="AQ412" s="473" t="str">
        <f t="shared" si="119"/>
        <v/>
      </c>
      <c r="AR412" s="473" t="str">
        <f t="shared" si="120"/>
        <v/>
      </c>
      <c r="AS412" s="473" t="str">
        <f t="shared" si="121"/>
        <v/>
      </c>
      <c r="AT412" s="473" t="str">
        <f t="shared" si="122"/>
        <v/>
      </c>
      <c r="AU412" s="473" t="str">
        <f t="shared" si="123"/>
        <v/>
      </c>
      <c r="AZ412" s="31" t="s">
        <v>304</v>
      </c>
      <c r="BA412" s="34" t="s">
        <v>493</v>
      </c>
      <c r="BB412" s="499"/>
      <c r="BC412" s="271"/>
      <c r="BD412" s="279">
        <v>1</v>
      </c>
      <c r="BE412" s="271"/>
      <c r="BF412" s="271"/>
      <c r="BG412" s="271"/>
      <c r="BH412" s="271"/>
      <c r="BI412" s="271"/>
      <c r="BJ412" s="271"/>
      <c r="BK412" s="271"/>
      <c r="BL412" s="271"/>
    </row>
    <row r="413" spans="18:64" ht="21" customHeight="1" x14ac:dyDescent="0.25">
      <c r="S413" s="451"/>
      <c r="T413" s="28" t="s">
        <v>21</v>
      </c>
      <c r="V413" s="475">
        <v>10</v>
      </c>
      <c r="W413" s="475" t="str">
        <f>IF($AC$413="","",$W$396)</f>
        <v/>
      </c>
      <c r="X413" s="476" t="str">
        <f>IF($AC$413="","",$X$396)</f>
        <v/>
      </c>
      <c r="Y413" s="477" t="str">
        <f>IF($X$413="","",$Y$396)</f>
        <v/>
      </c>
      <c r="Z413" s="477" t="str">
        <f>IF($X$413="","",$Z$396)</f>
        <v/>
      </c>
      <c r="AA413" s="477" t="str">
        <f>IF($AC$413="","",ROW($A$413)-ROW($A$396))</f>
        <v/>
      </c>
      <c r="AB413" s="478"/>
      <c r="AC413" s="34"/>
      <c r="AD413" s="356"/>
      <c r="AE413" s="18"/>
      <c r="AF413" s="19"/>
      <c r="AG413" s="480" t="str">
        <f t="shared" si="112"/>
        <v/>
      </c>
      <c r="AH413" s="481" t="str">
        <f t="shared" si="113"/>
        <v/>
      </c>
      <c r="AI413" s="477" t="str">
        <f>IF($AC$413="","",IFERROR(INDEX($AZ$74:$AZ$119,MATCH($AH$413,$AY$74:$AY$119,0)),"AUTRE"))</f>
        <v/>
      </c>
      <c r="AJ413" s="482" t="str">
        <f>IF($AC$413="","",IFERROR(INDEX($BA$74:$BA$119,MATCH($AH$413,$AY$74:$AY$119,0)),1))</f>
        <v/>
      </c>
      <c r="AK413" s="482" t="str">
        <f t="shared" si="114"/>
        <v/>
      </c>
      <c r="AL413" s="477" t="str">
        <f>IF($AC$413="","",IFERROR(INDEX($BB$74:$BB$119,MATCH($AH$413,$AY$74:$AY$119,0)),$AH$413))</f>
        <v/>
      </c>
      <c r="AM413" s="483" t="str">
        <f t="shared" si="115"/>
        <v/>
      </c>
      <c r="AN413" s="484" t="str">
        <f t="shared" si="116"/>
        <v/>
      </c>
      <c r="AO413" s="473" t="str">
        <f t="shared" si="117"/>
        <v/>
      </c>
      <c r="AP413" s="473" t="str">
        <f t="shared" si="118"/>
        <v/>
      </c>
      <c r="AQ413" s="473" t="str">
        <f t="shared" si="119"/>
        <v/>
      </c>
      <c r="AR413" s="473" t="str">
        <f t="shared" si="120"/>
        <v/>
      </c>
      <c r="AS413" s="473" t="str">
        <f t="shared" si="121"/>
        <v/>
      </c>
      <c r="AT413" s="473" t="str">
        <f t="shared" si="122"/>
        <v/>
      </c>
      <c r="AU413" s="473" t="str">
        <f t="shared" si="123"/>
        <v/>
      </c>
      <c r="AZ413" s="31" t="s">
        <v>352</v>
      </c>
      <c r="BA413" s="34" t="s">
        <v>494</v>
      </c>
      <c r="BB413" s="499"/>
      <c r="BC413" s="271"/>
      <c r="BD413" s="279">
        <v>1</v>
      </c>
      <c r="BE413" s="271"/>
      <c r="BF413" s="271"/>
      <c r="BG413" s="271"/>
      <c r="BH413" s="271"/>
      <c r="BI413" s="271"/>
      <c r="BJ413" s="271"/>
      <c r="BK413" s="271"/>
      <c r="BL413" s="271"/>
    </row>
    <row r="414" spans="18:64" ht="21" customHeight="1" x14ac:dyDescent="0.25">
      <c r="R414" s="25" t="s">
        <v>6115</v>
      </c>
      <c r="S414" s="451"/>
      <c r="T414" s="28" t="s">
        <v>22</v>
      </c>
      <c r="V414" s="475">
        <v>10</v>
      </c>
      <c r="W414" s="475" t="str">
        <f>IF($AC$414="","",$W$396)</f>
        <v/>
      </c>
      <c r="X414" s="476" t="str">
        <f>IF($AC$414="","",$X$396)</f>
        <v/>
      </c>
      <c r="Y414" s="477" t="str">
        <f>IF($X$414="","",$Y$396)</f>
        <v/>
      </c>
      <c r="Z414" s="477" t="str">
        <f>IF($X$414="","",$Z$396)</f>
        <v/>
      </c>
      <c r="AA414" s="477" t="str">
        <f>IF($AC$414="","",ROW($A$414)-ROW($A$396))</f>
        <v/>
      </c>
      <c r="AB414" s="478"/>
      <c r="AC414" s="34"/>
      <c r="AD414" s="356"/>
      <c r="AE414" s="18"/>
      <c r="AF414" s="19"/>
      <c r="AG414" s="480" t="str">
        <f t="shared" si="112"/>
        <v/>
      </c>
      <c r="AH414" s="481" t="str">
        <f t="shared" si="113"/>
        <v/>
      </c>
      <c r="AI414" s="477" t="str">
        <f>IF($AC$414="","",IFERROR(INDEX($AZ$74:$AZ$119,MATCH($AH$414,$AY$74:$AY$119,0)),"AUTRE"))</f>
        <v/>
      </c>
      <c r="AJ414" s="482" t="str">
        <f>IF($AC$414="","",IFERROR(INDEX($BA$74:$BA$119,MATCH($AH$414,$AY$74:$AY$119,0)),1))</f>
        <v/>
      </c>
      <c r="AK414" s="482" t="str">
        <f t="shared" si="114"/>
        <v/>
      </c>
      <c r="AL414" s="477" t="str">
        <f>IF($AC$414="","",IFERROR(INDEX($BB$74:$BB$119,MATCH($AH$414,$AY$74:$AY$119,0)),$AH$414))</f>
        <v/>
      </c>
      <c r="AM414" s="483" t="str">
        <f t="shared" si="115"/>
        <v/>
      </c>
      <c r="AN414" s="484" t="str">
        <f t="shared" si="116"/>
        <v/>
      </c>
      <c r="AO414" s="473" t="str">
        <f t="shared" si="117"/>
        <v/>
      </c>
      <c r="AP414" s="473" t="str">
        <f t="shared" si="118"/>
        <v/>
      </c>
      <c r="AQ414" s="473" t="str">
        <f t="shared" si="119"/>
        <v/>
      </c>
      <c r="AR414" s="473" t="str">
        <f t="shared" si="120"/>
        <v/>
      </c>
      <c r="AS414" s="473" t="str">
        <f t="shared" si="121"/>
        <v/>
      </c>
      <c r="AT414" s="473" t="str">
        <f t="shared" si="122"/>
        <v/>
      </c>
      <c r="AU414" s="473" t="str">
        <f t="shared" si="123"/>
        <v/>
      </c>
      <c r="AZ414" s="31" t="s">
        <v>27</v>
      </c>
      <c r="BB414" s="499"/>
      <c r="BC414" s="271"/>
      <c r="BD414" s="279">
        <v>1</v>
      </c>
      <c r="BE414" s="271"/>
      <c r="BF414" s="271"/>
      <c r="BG414" s="271"/>
      <c r="BH414" s="271"/>
      <c r="BI414" s="271"/>
      <c r="BJ414" s="271"/>
      <c r="BK414" s="271"/>
      <c r="BL414" s="271"/>
    </row>
    <row r="415" spans="18:64" ht="21" customHeight="1" x14ac:dyDescent="0.25">
      <c r="R415" s="34" t="s">
        <v>471</v>
      </c>
      <c r="S415" s="451"/>
      <c r="T415" s="28" t="s">
        <v>23</v>
      </c>
      <c r="V415" s="475">
        <v>10</v>
      </c>
      <c r="W415" s="475" t="str">
        <f>IF($AC$415="","",$W$396)</f>
        <v/>
      </c>
      <c r="X415" s="476" t="str">
        <f>IF($AC$415="","",$X$396)</f>
        <v/>
      </c>
      <c r="Y415" s="477" t="str">
        <f>IF($X$415="","",$Y$396)</f>
        <v/>
      </c>
      <c r="Z415" s="477" t="str">
        <f>IF($X$415="","",$Z$396)</f>
        <v/>
      </c>
      <c r="AA415" s="477" t="str">
        <f>IF($AC$415="","",ROW($A$415)-ROW($A$396))</f>
        <v/>
      </c>
      <c r="AB415" s="478"/>
      <c r="AC415" s="34"/>
      <c r="AD415" s="356"/>
      <c r="AE415" s="18"/>
      <c r="AF415" s="19"/>
      <c r="AG415" s="480" t="str">
        <f t="shared" si="112"/>
        <v/>
      </c>
      <c r="AH415" s="481" t="str">
        <f t="shared" si="113"/>
        <v/>
      </c>
      <c r="AI415" s="477" t="str">
        <f>IF($AC$415="","",IFERROR(INDEX($AZ$74:$AZ$119,MATCH($AH$415,$AY$74:$AY$119,0)),"AUTRE"))</f>
        <v/>
      </c>
      <c r="AJ415" s="482" t="str">
        <f>IF($AC$415="","",IFERROR(INDEX($BA$74:$BA$119,MATCH($AH$415,$AY$74:$AY$119,0)),1))</f>
        <v/>
      </c>
      <c r="AK415" s="482" t="str">
        <f t="shared" si="114"/>
        <v/>
      </c>
      <c r="AL415" s="477" t="str">
        <f>IF($AC$415="","",IFERROR(INDEX($BB$74:$BB$119,MATCH($AH$415,$AY$74:$AY$119,0)),$AH$415))</f>
        <v/>
      </c>
      <c r="AM415" s="483" t="str">
        <f t="shared" si="115"/>
        <v/>
      </c>
      <c r="AN415" s="484" t="str">
        <f t="shared" si="116"/>
        <v/>
      </c>
      <c r="AO415" s="473" t="str">
        <f t="shared" si="117"/>
        <v/>
      </c>
      <c r="AP415" s="473" t="str">
        <f t="shared" si="118"/>
        <v/>
      </c>
      <c r="AQ415" s="473" t="str">
        <f t="shared" si="119"/>
        <v/>
      </c>
      <c r="AR415" s="473" t="str">
        <f t="shared" si="120"/>
        <v/>
      </c>
      <c r="AS415" s="473" t="str">
        <f t="shared" si="121"/>
        <v/>
      </c>
      <c r="AT415" s="473" t="str">
        <f t="shared" si="122"/>
        <v/>
      </c>
      <c r="AU415" s="473" t="str">
        <f t="shared" si="123"/>
        <v/>
      </c>
      <c r="AZ415" s="31" t="s">
        <v>28</v>
      </c>
      <c r="BA415" s="25" t="s">
        <v>6115</v>
      </c>
      <c r="BB415" s="499"/>
      <c r="BC415" s="271"/>
      <c r="BD415" s="279">
        <v>1</v>
      </c>
      <c r="BE415" s="271"/>
      <c r="BF415" s="271"/>
      <c r="BG415" s="271"/>
      <c r="BH415" s="271"/>
      <c r="BI415" s="271"/>
      <c r="BJ415" s="271"/>
      <c r="BK415" s="271"/>
      <c r="BL415" s="271"/>
    </row>
    <row r="416" spans="18:64" ht="21" customHeight="1" x14ac:dyDescent="0.25">
      <c r="R416" s="34" t="s">
        <v>472</v>
      </c>
      <c r="S416" s="451"/>
      <c r="T416" s="28" t="s">
        <v>24</v>
      </c>
      <c r="V416" s="475">
        <v>10</v>
      </c>
      <c r="W416" s="475" t="str">
        <f>IF($AC$416="","",$W$396)</f>
        <v/>
      </c>
      <c r="X416" s="476" t="str">
        <f>IF($AC$416="","",$X$396)</f>
        <v/>
      </c>
      <c r="Y416" s="477" t="str">
        <f>IF($X$416="","",$Y$396)</f>
        <v/>
      </c>
      <c r="Z416" s="477" t="str">
        <f>IF($X$416="","",$Z$396)</f>
        <v/>
      </c>
      <c r="AA416" s="477" t="str">
        <f>IF($AC$416="","",ROW($A$416)-ROW($A$396))</f>
        <v/>
      </c>
      <c r="AB416" s="478"/>
      <c r="AC416" s="34"/>
      <c r="AD416" s="356"/>
      <c r="AE416" s="18"/>
      <c r="AF416" s="19"/>
      <c r="AG416" s="480" t="str">
        <f t="shared" si="112"/>
        <v/>
      </c>
      <c r="AH416" s="481" t="str">
        <f t="shared" si="113"/>
        <v/>
      </c>
      <c r="AI416" s="477" t="str">
        <f>IF($AC$416="","",IFERROR(INDEX($AZ$74:$AZ$119,MATCH($AH$416,$AY$74:$AY$119,0)),"AUTRE"))</f>
        <v/>
      </c>
      <c r="AJ416" s="482" t="str">
        <f>IF($AC$416="","",IFERROR(INDEX($BA$74:$BA$119,MATCH($AH$416,$AY$74:$AY$119,0)),1))</f>
        <v/>
      </c>
      <c r="AK416" s="482" t="str">
        <f t="shared" si="114"/>
        <v/>
      </c>
      <c r="AL416" s="477" t="str">
        <f>IF($AC$416="","",IFERROR(INDEX($BB$74:$BB$119,MATCH($AH$416,$AY$74:$AY$119,0)),$AH$416))</f>
        <v/>
      </c>
      <c r="AM416" s="483" t="str">
        <f t="shared" si="115"/>
        <v/>
      </c>
      <c r="AN416" s="484" t="str">
        <f t="shared" si="116"/>
        <v/>
      </c>
      <c r="AO416" s="473" t="str">
        <f t="shared" si="117"/>
        <v/>
      </c>
      <c r="AP416" s="473" t="str">
        <f t="shared" si="118"/>
        <v/>
      </c>
      <c r="AQ416" s="473" t="str">
        <f t="shared" si="119"/>
        <v/>
      </c>
      <c r="AR416" s="473" t="str">
        <f t="shared" si="120"/>
        <v/>
      </c>
      <c r="AS416" s="473" t="str">
        <f t="shared" si="121"/>
        <v/>
      </c>
      <c r="AT416" s="473" t="str">
        <f t="shared" si="122"/>
        <v/>
      </c>
      <c r="AU416" s="473" t="str">
        <f t="shared" si="123"/>
        <v/>
      </c>
      <c r="AZ416" s="31" t="s">
        <v>29</v>
      </c>
      <c r="BA416" s="34" t="s">
        <v>471</v>
      </c>
      <c r="BB416" s="499"/>
      <c r="BC416" s="271"/>
      <c r="BD416" s="279">
        <v>1</v>
      </c>
      <c r="BE416" s="271"/>
      <c r="BF416" s="271"/>
      <c r="BG416" s="271"/>
      <c r="BH416" s="271"/>
      <c r="BI416" s="271"/>
      <c r="BJ416" s="271"/>
      <c r="BK416" s="271"/>
      <c r="BL416" s="271"/>
    </row>
    <row r="417" spans="1:64" ht="21" customHeight="1" x14ac:dyDescent="0.25">
      <c r="R417" s="34" t="s">
        <v>6112</v>
      </c>
      <c r="S417" s="451"/>
      <c r="T417" s="29" t="s">
        <v>9</v>
      </c>
      <c r="V417" s="475">
        <v>10</v>
      </c>
      <c r="W417" s="475" t="str">
        <f>IF($AC$417="","",$W$396)</f>
        <v/>
      </c>
      <c r="X417" s="476" t="str">
        <f>IF($AC$417="","",$X$396)</f>
        <v/>
      </c>
      <c r="Y417" s="477" t="str">
        <f>IF($X$417="","",$Y$396)</f>
        <v/>
      </c>
      <c r="Z417" s="477" t="str">
        <f>IF($X$417="","",$Z$396)</f>
        <v/>
      </c>
      <c r="AA417" s="477" t="str">
        <f>IF($AC$417="","",ROW($A$417)-ROW($A$396))</f>
        <v/>
      </c>
      <c r="AB417" s="478"/>
      <c r="AC417" s="34"/>
      <c r="AD417" s="356"/>
      <c r="AE417" s="18"/>
      <c r="AF417" s="19"/>
      <c r="AG417" s="480" t="str">
        <f t="shared" si="112"/>
        <v/>
      </c>
      <c r="AH417" s="481" t="str">
        <f t="shared" si="113"/>
        <v/>
      </c>
      <c r="AI417" s="477" t="str">
        <f>IF($AC$417="","",IFERROR(INDEX($AZ$74:$AZ$119,MATCH($AH$417,$AY$74:$AY$119,0)),"AUTRE"))</f>
        <v/>
      </c>
      <c r="AJ417" s="482" t="str">
        <f>IF($AC$417="","",IFERROR(INDEX($BA$74:$BA$119,MATCH($AH$417,$AY$74:$AY$119,0)),1))</f>
        <v/>
      </c>
      <c r="AK417" s="482" t="str">
        <f t="shared" si="114"/>
        <v/>
      </c>
      <c r="AL417" s="477" t="str">
        <f>IF($AC$417="","",IFERROR(INDEX($BB$74:$BB$119,MATCH($AH$417,$AY$74:$AY$119,0)),$AH$417))</f>
        <v/>
      </c>
      <c r="AM417" s="483" t="str">
        <f t="shared" si="115"/>
        <v/>
      </c>
      <c r="AN417" s="484" t="str">
        <f t="shared" si="116"/>
        <v/>
      </c>
      <c r="AO417" s="473" t="str">
        <f t="shared" si="117"/>
        <v/>
      </c>
      <c r="AP417" s="473" t="str">
        <f t="shared" si="118"/>
        <v/>
      </c>
      <c r="AQ417" s="473" t="str">
        <f t="shared" si="119"/>
        <v/>
      </c>
      <c r="AR417" s="473" t="str">
        <f t="shared" si="120"/>
        <v/>
      </c>
      <c r="AS417" s="473" t="str">
        <f t="shared" si="121"/>
        <v/>
      </c>
      <c r="AT417" s="473" t="str">
        <f t="shared" si="122"/>
        <v/>
      </c>
      <c r="AU417" s="473" t="str">
        <f t="shared" si="123"/>
        <v/>
      </c>
      <c r="AZ417" s="31" t="s">
        <v>30</v>
      </c>
      <c r="BA417" s="34" t="s">
        <v>472</v>
      </c>
      <c r="BB417" s="499"/>
      <c r="BC417" s="271"/>
      <c r="BD417" s="279">
        <v>1</v>
      </c>
      <c r="BE417" s="271"/>
      <c r="BF417" s="271"/>
      <c r="BG417" s="271"/>
      <c r="BH417" s="271"/>
      <c r="BI417" s="271"/>
      <c r="BJ417" s="271"/>
      <c r="BK417" s="271"/>
      <c r="BL417" s="271"/>
    </row>
    <row r="418" spans="1:64" ht="21" customHeight="1" x14ac:dyDescent="0.25">
      <c r="R418" s="25" t="s">
        <v>6116</v>
      </c>
      <c r="S418" s="451"/>
      <c r="T418" s="30" t="s">
        <v>10</v>
      </c>
      <c r="V418" s="475">
        <v>10</v>
      </c>
      <c r="W418" s="475" t="str">
        <f>IF($AC$418="","",$W$396)</f>
        <v/>
      </c>
      <c r="X418" s="476" t="str">
        <f>IF($AC$418="","",$X$396)</f>
        <v/>
      </c>
      <c r="Y418" s="477" t="str">
        <f>IF($X$418="","",$Y$396)</f>
        <v/>
      </c>
      <c r="Z418" s="477" t="str">
        <f>IF($X$418="","",$Z$396)</f>
        <v/>
      </c>
      <c r="AA418" s="477" t="str">
        <f>IF($AC$418="","",ROW($A$418)-ROW($A$396))</f>
        <v/>
      </c>
      <c r="AB418" s="478"/>
      <c r="AC418" s="34"/>
      <c r="AD418" s="356"/>
      <c r="AE418" s="18"/>
      <c r="AF418" s="19"/>
      <c r="AG418" s="480" t="str">
        <f t="shared" si="112"/>
        <v/>
      </c>
      <c r="AH418" s="481" t="str">
        <f t="shared" si="113"/>
        <v/>
      </c>
      <c r="AI418" s="477" t="str">
        <f>IF($AC$418="","",IFERROR(INDEX($AZ$74:$AZ$119,MATCH($AH$418,$AY$74:$AY$119,0)),"AUTRE"))</f>
        <v/>
      </c>
      <c r="AJ418" s="482" t="str">
        <f>IF($AC$418="","",IFERROR(INDEX($BA$74:$BA$119,MATCH($AH$418,$AY$74:$AY$119,0)),1))</f>
        <v/>
      </c>
      <c r="AK418" s="482" t="str">
        <f t="shared" si="114"/>
        <v/>
      </c>
      <c r="AL418" s="477" t="str">
        <f>IF($AC$418="","",IFERROR(INDEX($BB$74:$BB$119,MATCH($AH$418,$AY$74:$AY$119,0)),$AH$418))</f>
        <v/>
      </c>
      <c r="AM418" s="483" t="str">
        <f t="shared" si="115"/>
        <v/>
      </c>
      <c r="AN418" s="484" t="str">
        <f t="shared" si="116"/>
        <v/>
      </c>
      <c r="AO418" s="473" t="str">
        <f t="shared" si="117"/>
        <v/>
      </c>
      <c r="AP418" s="473" t="str">
        <f t="shared" si="118"/>
        <v/>
      </c>
      <c r="AQ418" s="473" t="str">
        <f t="shared" si="119"/>
        <v/>
      </c>
      <c r="AR418" s="473" t="str">
        <f t="shared" si="120"/>
        <v/>
      </c>
      <c r="AS418" s="473" t="str">
        <f t="shared" si="121"/>
        <v/>
      </c>
      <c r="AT418" s="473" t="str">
        <f t="shared" si="122"/>
        <v/>
      </c>
      <c r="AU418" s="473" t="str">
        <f t="shared" si="123"/>
        <v/>
      </c>
      <c r="AZ418" s="32" t="s">
        <v>33</v>
      </c>
      <c r="BA418" s="34" t="s">
        <v>6112</v>
      </c>
      <c r="BB418" s="499"/>
      <c r="BC418" s="271"/>
      <c r="BD418" s="279">
        <v>1</v>
      </c>
      <c r="BE418" s="271"/>
      <c r="BF418" s="271"/>
      <c r="BG418" s="271"/>
      <c r="BH418" s="271"/>
      <c r="BI418" s="271"/>
      <c r="BJ418" s="271"/>
      <c r="BK418" s="271"/>
      <c r="BL418" s="271"/>
    </row>
    <row r="419" spans="1:64" ht="21" customHeight="1" x14ac:dyDescent="0.25">
      <c r="R419" s="34" t="s">
        <v>6117</v>
      </c>
      <c r="S419" s="451"/>
      <c r="T419" s="30" t="s">
        <v>11</v>
      </c>
      <c r="V419" s="475">
        <v>10</v>
      </c>
      <c r="W419" s="475" t="str">
        <f>IF($AC$419="","",$W$396)</f>
        <v/>
      </c>
      <c r="X419" s="476" t="str">
        <f>IF($AC$419="","",$X$396)</f>
        <v/>
      </c>
      <c r="Y419" s="477" t="str">
        <f>IF($X$419="","",$Y$396)</f>
        <v/>
      </c>
      <c r="Z419" s="477" t="str">
        <f>IF($X$419="","",$Z$396)</f>
        <v/>
      </c>
      <c r="AA419" s="477" t="str">
        <f>IF($AC$419="","",ROW($A$419)-ROW($A$396))</f>
        <v/>
      </c>
      <c r="AB419" s="478"/>
      <c r="AC419" s="34"/>
      <c r="AD419" s="356"/>
      <c r="AE419" s="18"/>
      <c r="AF419" s="19"/>
      <c r="AG419" s="480" t="str">
        <f t="shared" si="112"/>
        <v/>
      </c>
      <c r="AH419" s="481" t="str">
        <f t="shared" si="113"/>
        <v/>
      </c>
      <c r="AI419" s="477" t="str">
        <f>IF($AC$419="","",IFERROR(INDEX($AZ$74:$AZ$119,MATCH($AH$419,$AY$74:$AY$119,0)),"AUTRE"))</f>
        <v/>
      </c>
      <c r="AJ419" s="482" t="str">
        <f>IF($AC$419="","",IFERROR(INDEX($BA$74:$BA$119,MATCH($AH$419,$AY$74:$AY$119,0)),1))</f>
        <v/>
      </c>
      <c r="AK419" s="482" t="str">
        <f t="shared" si="114"/>
        <v/>
      </c>
      <c r="AL419" s="477" t="str">
        <f>IF($AC$419="","",IFERROR(INDEX($BB$74:$BB$119,MATCH($AH$419,$AY$74:$AY$119,0)),$AH$419))</f>
        <v/>
      </c>
      <c r="AM419" s="483" t="str">
        <f t="shared" si="115"/>
        <v/>
      </c>
      <c r="AN419" s="484" t="str">
        <f t="shared" si="116"/>
        <v/>
      </c>
      <c r="AO419" s="473" t="str">
        <f t="shared" si="117"/>
        <v/>
      </c>
      <c r="AP419" s="473" t="str">
        <f t="shared" si="118"/>
        <v/>
      </c>
      <c r="AQ419" s="473" t="str">
        <f t="shared" si="119"/>
        <v/>
      </c>
      <c r="AR419" s="473" t="str">
        <f t="shared" si="120"/>
        <v/>
      </c>
      <c r="AS419" s="473" t="str">
        <f t="shared" si="121"/>
        <v/>
      </c>
      <c r="AT419" s="473" t="str">
        <f t="shared" si="122"/>
        <v/>
      </c>
      <c r="AU419" s="473" t="str">
        <f t="shared" si="123"/>
        <v/>
      </c>
      <c r="AZ419" s="32" t="s">
        <v>8125</v>
      </c>
      <c r="BA419" s="25" t="s">
        <v>6116</v>
      </c>
      <c r="BB419" s="499"/>
      <c r="BC419" s="271"/>
      <c r="BD419" s="279">
        <v>1</v>
      </c>
      <c r="BE419" s="271"/>
      <c r="BF419" s="271"/>
      <c r="BG419" s="271"/>
      <c r="BH419" s="271"/>
      <c r="BI419" s="271"/>
      <c r="BJ419" s="271"/>
      <c r="BK419" s="271"/>
      <c r="BL419" s="271"/>
    </row>
    <row r="420" spans="1:64" ht="21" customHeight="1" x14ac:dyDescent="0.25">
      <c r="R420" s="34" t="s">
        <v>469</v>
      </c>
      <c r="S420" s="451"/>
      <c r="T420" s="30" t="s">
        <v>12</v>
      </c>
      <c r="V420" s="475">
        <v>10</v>
      </c>
      <c r="W420" s="475" t="str">
        <f>IF($AC$420="","",$W$396)</f>
        <v/>
      </c>
      <c r="X420" s="476" t="str">
        <f>IF($AC$420="","",$X$396)</f>
        <v/>
      </c>
      <c r="Y420" s="477" t="str">
        <f>IF($X$420="","",$Y$396)</f>
        <v/>
      </c>
      <c r="Z420" s="477" t="str">
        <f>IF($X$420="","",$Z$396)</f>
        <v/>
      </c>
      <c r="AA420" s="477" t="str">
        <f>IF($AC$420="","",ROW($A$420)-ROW($A$396))</f>
        <v/>
      </c>
      <c r="AB420" s="478"/>
      <c r="AC420" s="34"/>
      <c r="AD420" s="356"/>
      <c r="AE420" s="18"/>
      <c r="AF420" s="19"/>
      <c r="AG420" s="480" t="str">
        <f t="shared" si="112"/>
        <v/>
      </c>
      <c r="AH420" s="481" t="str">
        <f t="shared" si="113"/>
        <v/>
      </c>
      <c r="AI420" s="477" t="str">
        <f>IF($AC$420="","",IFERROR(INDEX($AZ$74:$AZ$119,MATCH($AH$420,$AY$74:$AY$119,0)),"AUTRE"))</f>
        <v/>
      </c>
      <c r="AJ420" s="482" t="str">
        <f>IF($AC$420="","",IFERROR(INDEX($BA$74:$BA$119,MATCH($AH$420,$AY$74:$AY$119,0)),1))</f>
        <v/>
      </c>
      <c r="AK420" s="482" t="str">
        <f t="shared" si="114"/>
        <v/>
      </c>
      <c r="AL420" s="477" t="str">
        <f>IF($AC$420="","",IFERROR(INDEX($BB$74:$BB$119,MATCH($AH$420,$AY$74:$AY$119,0)),$AH$420))</f>
        <v/>
      </c>
      <c r="AM420" s="483" t="str">
        <f t="shared" si="115"/>
        <v/>
      </c>
      <c r="AN420" s="484" t="str">
        <f t="shared" si="116"/>
        <v/>
      </c>
      <c r="AO420" s="473" t="str">
        <f t="shared" si="117"/>
        <v/>
      </c>
      <c r="AP420" s="473" t="str">
        <f t="shared" si="118"/>
        <v/>
      </c>
      <c r="AQ420" s="473" t="str">
        <f t="shared" si="119"/>
        <v/>
      </c>
      <c r="AR420" s="473" t="str">
        <f t="shared" si="120"/>
        <v/>
      </c>
      <c r="AS420" s="473" t="str">
        <f t="shared" si="121"/>
        <v/>
      </c>
      <c r="AT420" s="473" t="str">
        <f t="shared" si="122"/>
        <v/>
      </c>
      <c r="AU420" s="473" t="str">
        <f t="shared" si="123"/>
        <v/>
      </c>
      <c r="AZ420" s="32" t="s">
        <v>8127</v>
      </c>
      <c r="BA420" s="34" t="s">
        <v>6117</v>
      </c>
      <c r="BB420" s="499"/>
      <c r="BC420" s="271"/>
      <c r="BD420" s="279">
        <v>1</v>
      </c>
      <c r="BE420" s="271"/>
      <c r="BF420" s="271"/>
      <c r="BG420" s="271"/>
      <c r="BH420" s="271"/>
      <c r="BI420" s="271"/>
      <c r="BJ420" s="271"/>
      <c r="BK420" s="271"/>
      <c r="BL420" s="271"/>
    </row>
    <row r="421" spans="1:64" ht="21" customHeight="1" x14ac:dyDescent="0.25">
      <c r="R421" s="34" t="s">
        <v>6118</v>
      </c>
      <c r="S421" s="451"/>
      <c r="T421" s="31" t="s">
        <v>16</v>
      </c>
      <c r="V421" s="475">
        <v>10</v>
      </c>
      <c r="W421" s="475" t="str">
        <f>IF($AC$421="","",$W$396)</f>
        <v/>
      </c>
      <c r="X421" s="476" t="str">
        <f>IF($AC$421="","",$X$396)</f>
        <v/>
      </c>
      <c r="Y421" s="477" t="str">
        <f>IF($X$421="","",$Y$396)</f>
        <v/>
      </c>
      <c r="Z421" s="477" t="str">
        <f>IF($X$421="","",$Z$396)</f>
        <v/>
      </c>
      <c r="AA421" s="477" t="str">
        <f>IF($AC$421="","",ROW($A$421)-ROW($A$396))</f>
        <v/>
      </c>
      <c r="AB421" s="478"/>
      <c r="AC421" s="34"/>
      <c r="AD421" s="356"/>
      <c r="AE421" s="18"/>
      <c r="AF421" s="19"/>
      <c r="AG421" s="480" t="str">
        <f t="shared" si="112"/>
        <v/>
      </c>
      <c r="AH421" s="481" t="str">
        <f t="shared" si="113"/>
        <v/>
      </c>
      <c r="AI421" s="477" t="str">
        <f>IF($AC$421="","",IFERROR(INDEX($AZ$74:$AZ$119,MATCH($AH$421,$AY$74:$AY$119,0)),"AUTRE"))</f>
        <v/>
      </c>
      <c r="AJ421" s="482" t="str">
        <f>IF($AC$421="","",IFERROR(INDEX($BA$74:$BA$119,MATCH($AH$421,$AY$74:$AY$119,0)),1))</f>
        <v/>
      </c>
      <c r="AK421" s="482" t="str">
        <f t="shared" si="114"/>
        <v/>
      </c>
      <c r="AL421" s="477" t="str">
        <f>IF($AC$421="","",IFERROR(INDEX($BB$74:$BB$119,MATCH($AH$421,$AY$74:$AY$119,0)),$AH$421))</f>
        <v/>
      </c>
      <c r="AM421" s="483" t="str">
        <f t="shared" si="115"/>
        <v/>
      </c>
      <c r="AN421" s="484" t="str">
        <f t="shared" si="116"/>
        <v/>
      </c>
      <c r="AO421" s="473" t="str">
        <f t="shared" si="117"/>
        <v/>
      </c>
      <c r="AP421" s="473" t="str">
        <f t="shared" si="118"/>
        <v/>
      </c>
      <c r="AQ421" s="473" t="str">
        <f t="shared" si="119"/>
        <v/>
      </c>
      <c r="AR421" s="473" t="str">
        <f t="shared" si="120"/>
        <v/>
      </c>
      <c r="AS421" s="473" t="str">
        <f t="shared" si="121"/>
        <v/>
      </c>
      <c r="AT421" s="473" t="str">
        <f t="shared" si="122"/>
        <v/>
      </c>
      <c r="AU421" s="473" t="str">
        <f t="shared" si="123"/>
        <v/>
      </c>
      <c r="AZ421" s="32" t="s">
        <v>320</v>
      </c>
      <c r="BA421" s="34" t="s">
        <v>469</v>
      </c>
      <c r="BB421" s="499"/>
      <c r="BC421" s="271"/>
      <c r="BD421" s="279">
        <v>1</v>
      </c>
      <c r="BE421" s="271"/>
      <c r="BF421" s="271"/>
      <c r="BG421" s="271"/>
      <c r="BH421" s="271"/>
      <c r="BI421" s="271"/>
      <c r="BJ421" s="271"/>
      <c r="BK421" s="271"/>
      <c r="BL421" s="271"/>
    </row>
    <row r="422" spans="1:64" ht="21" customHeight="1" x14ac:dyDescent="0.25">
      <c r="R422" s="34" t="s">
        <v>492</v>
      </c>
      <c r="S422" s="451"/>
      <c r="T422" s="31" t="s">
        <v>17</v>
      </c>
      <c r="V422" s="475">
        <v>10</v>
      </c>
      <c r="W422" s="475" t="str">
        <f>IF($AC$422="","",$W$396)</f>
        <v/>
      </c>
      <c r="X422" s="476" t="str">
        <f>IF($AC$422="","",$X$396)</f>
        <v/>
      </c>
      <c r="Y422" s="477" t="str">
        <f>IF($X$422="","",$Y$396)</f>
        <v/>
      </c>
      <c r="Z422" s="477" t="str">
        <f>IF($X$422="","",$Z$396)</f>
        <v/>
      </c>
      <c r="AA422" s="477" t="str">
        <f>IF($AC$422="","",ROW($A$422)-ROW($A$396))</f>
        <v/>
      </c>
      <c r="AB422" s="478"/>
      <c r="AC422" s="34"/>
      <c r="AD422" s="356"/>
      <c r="AE422" s="18"/>
      <c r="AF422" s="19"/>
      <c r="AG422" s="480" t="str">
        <f t="shared" si="112"/>
        <v/>
      </c>
      <c r="AH422" s="481" t="str">
        <f t="shared" si="113"/>
        <v/>
      </c>
      <c r="AI422" s="477" t="str">
        <f>IF($AC$422="","",IFERROR(INDEX($AZ$74:$AZ$119,MATCH($AH$422,$AY$74:$AY$119,0)),"AUTRE"))</f>
        <v/>
      </c>
      <c r="AJ422" s="482" t="str">
        <f>IF($AC$422="","",IFERROR(INDEX($BA$74:$BA$119,MATCH($AH$422,$AY$74:$AY$119,0)),1))</f>
        <v/>
      </c>
      <c r="AK422" s="482" t="str">
        <f t="shared" si="114"/>
        <v/>
      </c>
      <c r="AL422" s="477" t="str">
        <f>IF($AC$422="","",IFERROR(INDEX($BB$74:$BB$119,MATCH($AH$422,$AY$74:$AY$119,0)),$AH$422))</f>
        <v/>
      </c>
      <c r="AM422" s="483" t="str">
        <f t="shared" si="115"/>
        <v/>
      </c>
      <c r="AN422" s="484" t="str">
        <f t="shared" si="116"/>
        <v/>
      </c>
      <c r="AO422" s="473" t="str">
        <f t="shared" si="117"/>
        <v/>
      </c>
      <c r="AP422" s="473" t="str">
        <f t="shared" si="118"/>
        <v/>
      </c>
      <c r="AQ422" s="473" t="str">
        <f t="shared" si="119"/>
        <v/>
      </c>
      <c r="AR422" s="473" t="str">
        <f t="shared" si="120"/>
        <v/>
      </c>
      <c r="AS422" s="473" t="str">
        <f t="shared" si="121"/>
        <v/>
      </c>
      <c r="AT422" s="473" t="str">
        <f t="shared" si="122"/>
        <v/>
      </c>
      <c r="AU422" s="473" t="str">
        <f t="shared" si="123"/>
        <v/>
      </c>
      <c r="AZ422" s="32" t="s">
        <v>318</v>
      </c>
      <c r="BA422" s="34" t="s">
        <v>6118</v>
      </c>
      <c r="BB422" s="499"/>
      <c r="BC422" s="271"/>
      <c r="BD422" s="279">
        <v>1</v>
      </c>
      <c r="BE422" s="271"/>
      <c r="BF422" s="271"/>
      <c r="BG422" s="271"/>
      <c r="BH422" s="271"/>
      <c r="BI422" s="271"/>
      <c r="BJ422" s="271"/>
      <c r="BK422" s="271"/>
      <c r="BL422" s="271"/>
    </row>
    <row r="423" spans="1:64" ht="21" customHeight="1" x14ac:dyDescent="0.25">
      <c r="R423" s="34" t="s">
        <v>458</v>
      </c>
      <c r="S423" s="451"/>
      <c r="T423" s="31" t="s">
        <v>18</v>
      </c>
      <c r="V423" s="475">
        <v>10</v>
      </c>
      <c r="W423" s="475" t="str">
        <f>IF($AC$423="","",$W$396)</f>
        <v/>
      </c>
      <c r="X423" s="476" t="str">
        <f>IF($AC$423="","",$X$396)</f>
        <v/>
      </c>
      <c r="Y423" s="477" t="str">
        <f>IF($X$423="","",$Y$396)</f>
        <v/>
      </c>
      <c r="Z423" s="477" t="str">
        <f>IF($X$423="","",$Z$396)</f>
        <v/>
      </c>
      <c r="AA423" s="477" t="str">
        <f>IF($AC$423="","",ROW($A$423)-ROW($A$396))</f>
        <v/>
      </c>
      <c r="AB423" s="478"/>
      <c r="AC423" s="34"/>
      <c r="AD423" s="356"/>
      <c r="AE423" s="18"/>
      <c r="AF423" s="19"/>
      <c r="AG423" s="480" t="str">
        <f t="shared" si="112"/>
        <v/>
      </c>
      <c r="AH423" s="481" t="str">
        <f t="shared" si="113"/>
        <v/>
      </c>
      <c r="AI423" s="477" t="str">
        <f>IF($AC$423="","",IFERROR(INDEX($AZ$74:$AZ$119,MATCH($AH$423,$AY$74:$AY$119,0)),"AUTRE"))</f>
        <v/>
      </c>
      <c r="AJ423" s="482" t="str">
        <f>IF($AC$423="","",IFERROR(INDEX($BA$74:$BA$119,MATCH($AH$423,$AY$74:$AY$119,0)),1))</f>
        <v/>
      </c>
      <c r="AK423" s="482" t="str">
        <f t="shared" si="114"/>
        <v/>
      </c>
      <c r="AL423" s="477" t="str">
        <f>IF($AC$423="","",IFERROR(INDEX($BB$74:$BB$119,MATCH($AH$423,$AY$74:$AY$119,0)),$AH$423))</f>
        <v/>
      </c>
      <c r="AM423" s="483" t="str">
        <f t="shared" si="115"/>
        <v/>
      </c>
      <c r="AN423" s="484" t="str">
        <f t="shared" si="116"/>
        <v/>
      </c>
      <c r="AO423" s="473" t="str">
        <f t="shared" si="117"/>
        <v/>
      </c>
      <c r="AP423" s="473" t="str">
        <f t="shared" si="118"/>
        <v/>
      </c>
      <c r="AQ423" s="473" t="str">
        <f t="shared" si="119"/>
        <v/>
      </c>
      <c r="AR423" s="473" t="str">
        <f t="shared" si="120"/>
        <v/>
      </c>
      <c r="AS423" s="473" t="str">
        <f t="shared" si="121"/>
        <v/>
      </c>
      <c r="AT423" s="473" t="str">
        <f t="shared" si="122"/>
        <v/>
      </c>
      <c r="AU423" s="473" t="str">
        <f t="shared" si="123"/>
        <v/>
      </c>
      <c r="AZ423" s="32" t="s">
        <v>316</v>
      </c>
      <c r="BA423" s="34" t="s">
        <v>492</v>
      </c>
      <c r="BB423" s="499"/>
      <c r="BC423" s="271"/>
      <c r="BD423" s="279">
        <v>1</v>
      </c>
      <c r="BE423" s="271"/>
      <c r="BF423" s="271"/>
      <c r="BG423" s="271"/>
      <c r="BH423" s="271"/>
      <c r="BI423" s="271"/>
      <c r="BJ423" s="271"/>
      <c r="BK423" s="271"/>
      <c r="BL423" s="271"/>
    </row>
    <row r="424" spans="1:64" ht="21" customHeight="1" x14ac:dyDescent="0.25">
      <c r="R424" s="490"/>
      <c r="S424" s="451"/>
      <c r="T424" s="31" t="s">
        <v>19</v>
      </c>
      <c r="V424" s="475">
        <v>10</v>
      </c>
      <c r="W424" s="475" t="str">
        <f>IF($AC$424="","",$W$396)</f>
        <v/>
      </c>
      <c r="X424" s="476" t="str">
        <f>IF($AC$424="","",$X$396)</f>
        <v/>
      </c>
      <c r="Y424" s="477" t="str">
        <f>IF($X$424="","",$Y$396)</f>
        <v/>
      </c>
      <c r="Z424" s="477" t="str">
        <f>IF($X$424="","",$Z$396)</f>
        <v/>
      </c>
      <c r="AA424" s="477" t="str">
        <f>IF($AC$424="","",ROW($A$424)-ROW($A$396))</f>
        <v/>
      </c>
      <c r="AB424" s="478"/>
      <c r="AC424" s="34"/>
      <c r="AD424" s="356"/>
      <c r="AE424" s="18"/>
      <c r="AF424" s="19"/>
      <c r="AG424" s="480" t="str">
        <f t="shared" si="112"/>
        <v/>
      </c>
      <c r="AH424" s="481" t="str">
        <f t="shared" si="113"/>
        <v/>
      </c>
      <c r="AI424" s="477" t="str">
        <f>IF($AC$424="","",IFERROR(INDEX($AZ$74:$AZ$119,MATCH($AH$424,$AY$74:$AY$119,0)),"AUTRE"))</f>
        <v/>
      </c>
      <c r="AJ424" s="482" t="str">
        <f>IF($AC$424="","",IFERROR(INDEX($BA$74:$BA$119,MATCH($AH$424,$AY$74:$AY$119,0)),1))</f>
        <v/>
      </c>
      <c r="AK424" s="482" t="str">
        <f t="shared" si="114"/>
        <v/>
      </c>
      <c r="AL424" s="477" t="str">
        <f>IF($AC$424="","",IFERROR(INDEX($BB$74:$BB$119,MATCH($AH$424,$AY$74:$AY$119,0)),$AH$424))</f>
        <v/>
      </c>
      <c r="AM424" s="483" t="str">
        <f t="shared" si="115"/>
        <v/>
      </c>
      <c r="AN424" s="484" t="str">
        <f t="shared" si="116"/>
        <v/>
      </c>
      <c r="AO424" s="473" t="str">
        <f t="shared" si="117"/>
        <v/>
      </c>
      <c r="AP424" s="473" t="str">
        <f t="shared" si="118"/>
        <v/>
      </c>
      <c r="AQ424" s="473" t="str">
        <f t="shared" si="119"/>
        <v/>
      </c>
      <c r="AR424" s="473" t="str">
        <f t="shared" si="120"/>
        <v/>
      </c>
      <c r="AS424" s="473" t="str">
        <f t="shared" si="121"/>
        <v/>
      </c>
      <c r="AT424" s="473" t="str">
        <f t="shared" si="122"/>
        <v/>
      </c>
      <c r="AU424" s="473" t="str">
        <f t="shared" si="123"/>
        <v/>
      </c>
      <c r="AY424" s="271"/>
      <c r="AZ424" s="32" t="s">
        <v>313</v>
      </c>
      <c r="BA424" s="34" t="s">
        <v>458</v>
      </c>
      <c r="BB424" s="499"/>
      <c r="BC424" s="271"/>
      <c r="BD424" s="279">
        <v>1</v>
      </c>
      <c r="BE424" s="271"/>
      <c r="BF424" s="271"/>
      <c r="BG424" s="271"/>
      <c r="BH424" s="271"/>
      <c r="BI424" s="271"/>
      <c r="BJ424" s="271"/>
      <c r="BK424" s="271"/>
      <c r="BL424" s="271"/>
    </row>
    <row r="425" spans="1:64" ht="21" customHeight="1" x14ac:dyDescent="0.25">
      <c r="R425" s="25" t="s">
        <v>6119</v>
      </c>
      <c r="S425" s="451"/>
      <c r="T425" s="31" t="s">
        <v>211</v>
      </c>
      <c r="V425" s="475">
        <v>10</v>
      </c>
      <c r="W425" s="475" t="str">
        <f>IF($AC$425="","",$W$396)</f>
        <v/>
      </c>
      <c r="X425" s="476" t="str">
        <f>IF($AC$425="","",$X$396)</f>
        <v/>
      </c>
      <c r="Y425" s="477" t="str">
        <f>IF($X$425="","",$Y$396)</f>
        <v/>
      </c>
      <c r="Z425" s="477" t="str">
        <f>IF($X$425="","",$Z$396)</f>
        <v/>
      </c>
      <c r="AA425" s="477" t="str">
        <f>IF($AC$425="","",ROW($A$425)-ROW($A$396))</f>
        <v/>
      </c>
      <c r="AB425" s="478"/>
      <c r="AC425" s="34"/>
      <c r="AD425" s="356"/>
      <c r="AE425" s="18"/>
      <c r="AF425" s="19"/>
      <c r="AG425" s="480" t="str">
        <f t="shared" si="112"/>
        <v/>
      </c>
      <c r="AH425" s="481" t="str">
        <f t="shared" si="113"/>
        <v/>
      </c>
      <c r="AI425" s="477" t="str">
        <f>IF($AC$425="","",IFERROR(INDEX($AZ$74:$AZ$119,MATCH($AH$425,$AY$74:$AY$119,0)),"AUTRE"))</f>
        <v/>
      </c>
      <c r="AJ425" s="482" t="str">
        <f>IF($AC$425="","",IFERROR(INDEX($BA$74:$BA$119,MATCH($AH$425,$AY$74:$AY$119,0)),1))</f>
        <v/>
      </c>
      <c r="AK425" s="482" t="str">
        <f t="shared" si="114"/>
        <v/>
      </c>
      <c r="AL425" s="477" t="str">
        <f>IF($AC$425="","",IFERROR(INDEX($BB$74:$BB$119,MATCH($AH$425,$AY$74:$AY$119,0)),$AH$425))</f>
        <v/>
      </c>
      <c r="AM425" s="483" t="str">
        <f t="shared" si="115"/>
        <v/>
      </c>
      <c r="AN425" s="484" t="str">
        <f t="shared" si="116"/>
        <v/>
      </c>
      <c r="AO425" s="473" t="str">
        <f t="shared" si="117"/>
        <v/>
      </c>
      <c r="AP425" s="473" t="str">
        <f t="shared" si="118"/>
        <v/>
      </c>
      <c r="AQ425" s="473" t="str">
        <f t="shared" si="119"/>
        <v/>
      </c>
      <c r="AR425" s="473" t="str">
        <f t="shared" si="120"/>
        <v/>
      </c>
      <c r="AS425" s="473" t="str">
        <f t="shared" si="121"/>
        <v/>
      </c>
      <c r="AT425" s="473" t="str">
        <f t="shared" si="122"/>
        <v/>
      </c>
      <c r="AU425" s="473" t="str">
        <f t="shared" si="123"/>
        <v/>
      </c>
      <c r="AY425" s="497" t="s">
        <v>8145</v>
      </c>
      <c r="AZ425" s="32" t="s">
        <v>307</v>
      </c>
      <c r="BA425" s="490"/>
      <c r="BB425" s="499"/>
      <c r="BC425" s="271"/>
      <c r="BD425" s="279">
        <v>1</v>
      </c>
      <c r="BE425" s="271"/>
      <c r="BF425" s="271"/>
      <c r="BG425" s="271"/>
      <c r="BH425" s="271"/>
      <c r="BI425" s="271"/>
      <c r="BJ425" s="271"/>
      <c r="BK425" s="271"/>
      <c r="BL425" s="271"/>
    </row>
    <row r="426" spans="1:64" ht="21" customHeight="1" x14ac:dyDescent="0.25">
      <c r="R426" s="34" t="s">
        <v>6120</v>
      </c>
      <c r="S426" s="451"/>
      <c r="T426" s="31" t="s">
        <v>20</v>
      </c>
      <c r="V426" s="475">
        <v>10</v>
      </c>
      <c r="W426" s="475" t="str">
        <f>IF($AC$426="","",$W$396)</f>
        <v/>
      </c>
      <c r="X426" s="476" t="str">
        <f>IF($AC$426="","",$X$396)</f>
        <v/>
      </c>
      <c r="Y426" s="477" t="str">
        <f>IF($X$426="","",$Y$396)</f>
        <v/>
      </c>
      <c r="Z426" s="477" t="str">
        <f>IF($X$426="","",$Z$396)</f>
        <v/>
      </c>
      <c r="AA426" s="477" t="str">
        <f>IF($AC$426="","",ROW($A$426)-ROW($A$396))</f>
        <v/>
      </c>
      <c r="AB426" s="478"/>
      <c r="AC426" s="34"/>
      <c r="AD426" s="356"/>
      <c r="AE426" s="18"/>
      <c r="AF426" s="19"/>
      <c r="AG426" s="480" t="str">
        <f t="shared" si="112"/>
        <v/>
      </c>
      <c r="AH426" s="481" t="str">
        <f t="shared" si="113"/>
        <v/>
      </c>
      <c r="AI426" s="477" t="str">
        <f>IF($AC$426="","",IFERROR(INDEX($AZ$74:$AZ$119,MATCH($AH$426,$AY$74:$AY$119,0)),"AUTRE"))</f>
        <v/>
      </c>
      <c r="AJ426" s="482" t="str">
        <f>IF($AC$426="","",IFERROR(INDEX($BA$74:$BA$119,MATCH($AH$426,$AY$74:$AY$119,0)),1))</f>
        <v/>
      </c>
      <c r="AK426" s="482" t="str">
        <f t="shared" si="114"/>
        <v/>
      </c>
      <c r="AL426" s="477" t="str">
        <f>IF($AC$426="","",IFERROR(INDEX($BB$74:$BB$119,MATCH($AH$426,$AY$74:$AY$119,0)),$AH$426))</f>
        <v/>
      </c>
      <c r="AM426" s="483" t="str">
        <f t="shared" si="115"/>
        <v/>
      </c>
      <c r="AN426" s="484" t="str">
        <f t="shared" si="116"/>
        <v/>
      </c>
      <c r="AO426" s="473" t="str">
        <f t="shared" si="117"/>
        <v/>
      </c>
      <c r="AP426" s="473" t="str">
        <f t="shared" si="118"/>
        <v/>
      </c>
      <c r="AQ426" s="473" t="str">
        <f t="shared" si="119"/>
        <v/>
      </c>
      <c r="AR426" s="473" t="str">
        <f t="shared" si="120"/>
        <v/>
      </c>
      <c r="AS426" s="473" t="str">
        <f t="shared" si="121"/>
        <v/>
      </c>
      <c r="AT426" s="473" t="str">
        <f t="shared" si="122"/>
        <v/>
      </c>
      <c r="AU426" s="473" t="str">
        <f t="shared" si="123"/>
        <v/>
      </c>
      <c r="AY426" s="497" t="s">
        <v>462</v>
      </c>
      <c r="AZ426" s="32" t="s">
        <v>322</v>
      </c>
      <c r="BA426" s="25" t="s">
        <v>6119</v>
      </c>
      <c r="BB426" s="499"/>
      <c r="BC426" s="271"/>
      <c r="BD426" s="279">
        <v>1</v>
      </c>
      <c r="BE426" s="271"/>
      <c r="BF426" s="271"/>
      <c r="BG426" s="271"/>
      <c r="BH426" s="271"/>
      <c r="BI426" s="271"/>
      <c r="BJ426" s="271"/>
      <c r="BK426" s="271"/>
      <c r="BL426" s="271"/>
    </row>
    <row r="427" spans="1:64" ht="21" customHeight="1" x14ac:dyDescent="0.25">
      <c r="R427" s="34" t="s">
        <v>6121</v>
      </c>
      <c r="S427" s="451"/>
      <c r="T427" s="31" t="s">
        <v>304</v>
      </c>
      <c r="V427" s="475">
        <v>10</v>
      </c>
      <c r="W427" s="475" t="str">
        <f>IF($AC$427="","",$W$396)</f>
        <v/>
      </c>
      <c r="X427" s="476" t="str">
        <f>IF($AC$427="","",$X$396)</f>
        <v/>
      </c>
      <c r="Y427" s="477" t="str">
        <f>IF($X$427="","",$Y$396)</f>
        <v/>
      </c>
      <c r="Z427" s="477" t="str">
        <f>IF($X$427="","",$Z$396)</f>
        <v/>
      </c>
      <c r="AA427" s="477" t="str">
        <f>IF($AC$427="","",ROW($A$427)-ROW($A$396))</f>
        <v/>
      </c>
      <c r="AB427" s="478"/>
      <c r="AC427" s="34"/>
      <c r="AD427" s="356"/>
      <c r="AE427" s="18"/>
      <c r="AF427" s="19"/>
      <c r="AG427" s="480" t="str">
        <f t="shared" si="112"/>
        <v/>
      </c>
      <c r="AH427" s="481" t="str">
        <f t="shared" si="113"/>
        <v/>
      </c>
      <c r="AI427" s="477" t="str">
        <f>IF($AC$427="","",IFERROR(INDEX($AZ$74:$AZ$119,MATCH($AH$427,$AY$74:$AY$119,0)),"AUTRE"))</f>
        <v/>
      </c>
      <c r="AJ427" s="482" t="str">
        <f>IF($AC$427="","",IFERROR(INDEX($BA$74:$BA$119,MATCH($AH$427,$AY$74:$AY$119,0)),1))</f>
        <v/>
      </c>
      <c r="AK427" s="482" t="str">
        <f t="shared" si="114"/>
        <v/>
      </c>
      <c r="AL427" s="477" t="str">
        <f>IF($AC$427="","",IFERROR(INDEX($BB$74:$BB$119,MATCH($AH$427,$AY$74:$AY$119,0)),$AH$427))</f>
        <v/>
      </c>
      <c r="AM427" s="483" t="str">
        <f t="shared" si="115"/>
        <v/>
      </c>
      <c r="AN427" s="484" t="str">
        <f t="shared" si="116"/>
        <v/>
      </c>
      <c r="AO427" s="473" t="str">
        <f t="shared" si="117"/>
        <v/>
      </c>
      <c r="AP427" s="473" t="str">
        <f t="shared" si="118"/>
        <v/>
      </c>
      <c r="AQ427" s="473" t="str">
        <f t="shared" si="119"/>
        <v/>
      </c>
      <c r="AR427" s="473" t="str">
        <f t="shared" si="120"/>
        <v/>
      </c>
      <c r="AS427" s="473" t="str">
        <f t="shared" si="121"/>
        <v/>
      </c>
      <c r="AT427" s="473" t="str">
        <f t="shared" si="122"/>
        <v/>
      </c>
      <c r="AU427" s="473" t="str">
        <f t="shared" si="123"/>
        <v/>
      </c>
      <c r="AY427" s="497" t="s">
        <v>463</v>
      </c>
      <c r="AZ427" s="32" t="s">
        <v>305</v>
      </c>
      <c r="BA427" s="34" t="s">
        <v>6120</v>
      </c>
      <c r="BB427" s="499"/>
      <c r="BC427" s="271"/>
      <c r="BD427" s="279">
        <v>1</v>
      </c>
      <c r="BE427" s="271"/>
      <c r="BF427" s="271"/>
      <c r="BG427" s="271"/>
      <c r="BH427" s="271"/>
      <c r="BI427" s="271"/>
      <c r="BJ427" s="271"/>
      <c r="BK427" s="271"/>
      <c r="BL427" s="271"/>
    </row>
    <row r="428" spans="1:64" ht="21" customHeight="1" x14ac:dyDescent="0.25">
      <c r="R428" s="34" t="s">
        <v>6122</v>
      </c>
      <c r="S428" s="451"/>
      <c r="T428" s="31" t="s">
        <v>352</v>
      </c>
      <c r="V428" s="475">
        <v>10</v>
      </c>
      <c r="W428" s="475" t="str">
        <f>IF($AC$428="","",$W$396)</f>
        <v/>
      </c>
      <c r="X428" s="476" t="str">
        <f>IF($AC$428="","",$X$396)</f>
        <v/>
      </c>
      <c r="Y428" s="477" t="str">
        <f>IF($X$428="","",$Y$396)</f>
        <v/>
      </c>
      <c r="Z428" s="477" t="str">
        <f>IF($X$428="","",$Z$396)</f>
        <v/>
      </c>
      <c r="AA428" s="477" t="str">
        <f>IF($AC$428="","",ROW($A$428)-ROW($A$396))</f>
        <v/>
      </c>
      <c r="AB428" s="478"/>
      <c r="AC428" s="34"/>
      <c r="AD428" s="356"/>
      <c r="AE428" s="18"/>
      <c r="AF428" s="19"/>
      <c r="AG428" s="480" t="str">
        <f t="shared" si="112"/>
        <v/>
      </c>
      <c r="AH428" s="481" t="str">
        <f t="shared" si="113"/>
        <v/>
      </c>
      <c r="AI428" s="477" t="str">
        <f>IF($AC$428="","",IFERROR(INDEX($AZ$74:$AZ$119,MATCH($AH$428,$AY$74:$AY$119,0)),"AUTRE"))</f>
        <v/>
      </c>
      <c r="AJ428" s="482" t="str">
        <f>IF($AC$428="","",IFERROR(INDEX($BA$74:$BA$119,MATCH($AH$428,$AY$74:$AY$119,0)),1))</f>
        <v/>
      </c>
      <c r="AK428" s="482" t="str">
        <f t="shared" si="114"/>
        <v/>
      </c>
      <c r="AL428" s="477" t="str">
        <f>IF($AC$428="","",IFERROR(INDEX($BB$74:$BB$119,MATCH($AH$428,$AY$74:$AY$119,0)),$AH$428))</f>
        <v/>
      </c>
      <c r="AM428" s="483" t="str">
        <f t="shared" si="115"/>
        <v/>
      </c>
      <c r="AN428" s="484" t="str">
        <f t="shared" si="116"/>
        <v/>
      </c>
      <c r="AO428" s="473" t="str">
        <f t="shared" si="117"/>
        <v/>
      </c>
      <c r="AP428" s="473" t="str">
        <f t="shared" si="118"/>
        <v/>
      </c>
      <c r="AQ428" s="473" t="str">
        <f t="shared" si="119"/>
        <v/>
      </c>
      <c r="AR428" s="473" t="str">
        <f t="shared" si="120"/>
        <v/>
      </c>
      <c r="AS428" s="473" t="str">
        <f t="shared" si="121"/>
        <v/>
      </c>
      <c r="AT428" s="473" t="str">
        <f t="shared" si="122"/>
        <v/>
      </c>
      <c r="AU428" s="473" t="str">
        <f t="shared" si="123"/>
        <v/>
      </c>
      <c r="AY428" s="497" t="s">
        <v>8147</v>
      </c>
      <c r="AZ428" s="32" t="s">
        <v>8129</v>
      </c>
      <c r="BA428" s="34" t="s">
        <v>6121</v>
      </c>
      <c r="BB428" s="499"/>
      <c r="BC428" s="271"/>
      <c r="BD428" s="279">
        <v>1</v>
      </c>
      <c r="BE428" s="271"/>
      <c r="BF428" s="271"/>
      <c r="BG428" s="271"/>
      <c r="BH428" s="271"/>
      <c r="BI428" s="271"/>
      <c r="BJ428" s="271"/>
      <c r="BK428" s="271"/>
      <c r="BL428" s="271"/>
    </row>
    <row r="429" spans="1:64" ht="21" customHeight="1" x14ac:dyDescent="0.25">
      <c r="R429" s="34" t="s">
        <v>6123</v>
      </c>
      <c r="S429" s="451"/>
      <c r="T429" s="31" t="s">
        <v>25</v>
      </c>
      <c r="V429" s="475">
        <v>10</v>
      </c>
      <c r="W429" s="475" t="str">
        <f>IF($AC$429="","",$W$396)</f>
        <v/>
      </c>
      <c r="X429" s="476" t="str">
        <f>IF($AC$429="","",$X$396)</f>
        <v/>
      </c>
      <c r="Y429" s="477" t="str">
        <f>IF($X$429="","",$Y$396)</f>
        <v/>
      </c>
      <c r="Z429" s="477" t="str">
        <f>IF($X$429="","",$Z$396)</f>
        <v/>
      </c>
      <c r="AA429" s="477" t="str">
        <f>IF($AC$429="","",ROW($A$429)-ROW($A$396))</f>
        <v/>
      </c>
      <c r="AB429" s="478"/>
      <c r="AC429" s="34"/>
      <c r="AD429" s="356"/>
      <c r="AE429" s="18"/>
      <c r="AF429" s="19"/>
      <c r="AG429" s="480" t="str">
        <f t="shared" si="112"/>
        <v/>
      </c>
      <c r="AH429" s="481" t="str">
        <f t="shared" si="113"/>
        <v/>
      </c>
      <c r="AI429" s="477" t="str">
        <f>IF($AC$429="","",IFERROR(INDEX($AZ$74:$AZ$119,MATCH($AH$429,$AY$74:$AY$119,0)),"AUTRE"))</f>
        <v/>
      </c>
      <c r="AJ429" s="482" t="str">
        <f>IF($AC$429="","",IFERROR(INDEX($BA$74:$BA$119,MATCH($AH$429,$AY$74:$AY$119,0)),1))</f>
        <v/>
      </c>
      <c r="AK429" s="482" t="str">
        <f t="shared" si="114"/>
        <v/>
      </c>
      <c r="AL429" s="477" t="str">
        <f>IF($AC$429="","",IFERROR(INDEX($BB$74:$BB$119,MATCH($AH$429,$AY$74:$AY$119,0)),$AH$429))</f>
        <v/>
      </c>
      <c r="AM429" s="483" t="str">
        <f t="shared" si="115"/>
        <v/>
      </c>
      <c r="AN429" s="484" t="str">
        <f t="shared" si="116"/>
        <v/>
      </c>
      <c r="AO429" s="473" t="str">
        <f t="shared" si="117"/>
        <v/>
      </c>
      <c r="AP429" s="473" t="str">
        <f t="shared" si="118"/>
        <v/>
      </c>
      <c r="AQ429" s="473" t="str">
        <f t="shared" si="119"/>
        <v/>
      </c>
      <c r="AR429" s="473" t="str">
        <f t="shared" si="120"/>
        <v/>
      </c>
      <c r="AS429" s="473" t="str">
        <f t="shared" si="121"/>
        <v/>
      </c>
      <c r="AT429" s="473" t="str">
        <f t="shared" si="122"/>
        <v/>
      </c>
      <c r="AU429" s="473" t="str">
        <f t="shared" si="123"/>
        <v/>
      </c>
      <c r="AY429" s="497" t="s">
        <v>465</v>
      </c>
      <c r="AZ429" s="32" t="s">
        <v>8131</v>
      </c>
      <c r="BA429" s="34" t="s">
        <v>6122</v>
      </c>
      <c r="BB429" s="499"/>
      <c r="BC429" s="271"/>
      <c r="BD429" s="279">
        <v>1</v>
      </c>
      <c r="BE429" s="271"/>
      <c r="BF429" s="271"/>
      <c r="BG429" s="271"/>
      <c r="BH429" s="271"/>
      <c r="BI429" s="271"/>
      <c r="BJ429" s="271"/>
      <c r="BK429" s="271"/>
      <c r="BL429" s="271"/>
    </row>
    <row r="430" spans="1:64" ht="21" customHeight="1" x14ac:dyDescent="0.25">
      <c r="R430" s="34" t="s">
        <v>6124</v>
      </c>
      <c r="S430" s="451"/>
      <c r="T430" s="31" t="s">
        <v>26</v>
      </c>
      <c r="V430" s="475">
        <v>10</v>
      </c>
      <c r="W430" s="475" t="str">
        <f>IF($AC$430="","",$W$396)</f>
        <v>N° 10</v>
      </c>
      <c r="X430" s="476" t="str">
        <f>IF($AC$430="","",$X$396)</f>
        <v>RILLETTE DE SAUMON A L'ANETH</v>
      </c>
      <c r="Y430" s="477">
        <f>IF($X$430="","",$Y$396)</f>
        <v>27</v>
      </c>
      <c r="Z430" s="477">
        <f>IF($X$430="","",$Z$396)</f>
        <v>100</v>
      </c>
      <c r="AA430" s="477">
        <f>IF($AC$430="","",ROW($A$430)-ROW($A$396))</f>
        <v>34</v>
      </c>
      <c r="AB430" s="478"/>
      <c r="AC430" s="34" t="s">
        <v>478</v>
      </c>
      <c r="AD430" s="356"/>
      <c r="AE430" s="18">
        <v>1</v>
      </c>
      <c r="AF430" s="33" t="s">
        <v>462</v>
      </c>
      <c r="AG430" s="491">
        <f t="shared" si="112"/>
        <v>1</v>
      </c>
      <c r="AH430" s="481" t="str">
        <f t="shared" si="113"/>
        <v>BAC(S)</v>
      </c>
      <c r="AI430" s="477" t="str">
        <f>IF($AC$430="","",IFERROR(INDEX($AZ$74:$AZ$119,MATCH($AH$430,$AY$74:$AY$119,0)),"AUTRE"))</f>
        <v>AUTRE</v>
      </c>
      <c r="AJ430" s="482">
        <f>IF($AC$430="","",IFERROR(INDEX($BA$74:$BA$119,MATCH($AH$430,$AY$74:$AY$119,0)),1))</f>
        <v>1</v>
      </c>
      <c r="AK430" s="482">
        <f t="shared" si="114"/>
        <v>1</v>
      </c>
      <c r="AL430" s="477" t="str">
        <f>IF($AC$430="","",IFERROR(INDEX($BB$74:$BB$119,MATCH($AH$430,$AY$74:$AY$119,0)),$AH$430))</f>
        <v>bac(s)</v>
      </c>
      <c r="AM430" s="483" t="str">
        <f t="shared" si="115"/>
        <v>OK</v>
      </c>
      <c r="AN430" s="484">
        <f t="shared" si="116"/>
        <v>1</v>
      </c>
      <c r="AO430" s="473" t="str">
        <f t="shared" si="117"/>
        <v/>
      </c>
      <c r="AP430" s="473" t="str">
        <f t="shared" si="118"/>
        <v/>
      </c>
      <c r="AQ430" s="473" t="str">
        <f t="shared" si="119"/>
        <v/>
      </c>
      <c r="AR430" s="473" t="str">
        <f t="shared" si="120"/>
        <v/>
      </c>
      <c r="AS430" s="473" t="str">
        <f t="shared" si="121"/>
        <v/>
      </c>
      <c r="AT430" s="473" t="str">
        <f t="shared" si="122"/>
        <v/>
      </c>
      <c r="AU430" s="473" t="str">
        <f t="shared" si="123"/>
        <v/>
      </c>
      <c r="AY430" s="497" t="s">
        <v>466</v>
      </c>
      <c r="AZ430" s="32" t="s">
        <v>309</v>
      </c>
      <c r="BA430" s="34" t="s">
        <v>6123</v>
      </c>
      <c r="BB430" s="503" t="s">
        <v>8166</v>
      </c>
      <c r="BC430" s="271"/>
      <c r="BD430" s="279">
        <v>1</v>
      </c>
      <c r="BE430" s="271"/>
      <c r="BF430" s="271"/>
      <c r="BG430" s="271"/>
      <c r="BH430" s="271"/>
      <c r="BI430" s="271"/>
      <c r="BJ430" s="271"/>
      <c r="BK430" s="271"/>
      <c r="BL430" s="271"/>
    </row>
    <row r="431" spans="1:64" ht="21" customHeight="1" x14ac:dyDescent="0.25">
      <c r="R431" s="34" t="s">
        <v>6125</v>
      </c>
      <c r="S431" s="451"/>
      <c r="T431" s="31" t="s">
        <v>27</v>
      </c>
      <c r="V431" s="271"/>
      <c r="W431" s="271"/>
      <c r="X431" s="271"/>
      <c r="Y431" s="271"/>
      <c r="Z431" s="271"/>
      <c r="AA431" s="271"/>
      <c r="AB431" s="271"/>
      <c r="AC431" s="271"/>
      <c r="AD431" s="271"/>
      <c r="AE431" s="271"/>
      <c r="AF431" s="271"/>
      <c r="AG431" s="271"/>
      <c r="AH431" s="271"/>
      <c r="AI431" s="271"/>
      <c r="AJ431" s="271"/>
      <c r="AK431" s="271"/>
      <c r="AL431" s="271"/>
      <c r="AM431" s="271"/>
      <c r="AN431" s="271"/>
      <c r="AO431" s="271"/>
      <c r="AP431" s="271"/>
      <c r="AY431" s="271"/>
      <c r="AZ431" s="32" t="s">
        <v>311</v>
      </c>
      <c r="BA431" s="34" t="s">
        <v>6124</v>
      </c>
      <c r="BB431" s="271"/>
      <c r="BC431" s="271"/>
      <c r="BD431" s="504" t="s">
        <v>5889</v>
      </c>
      <c r="BE431" s="271"/>
      <c r="BF431" s="271"/>
      <c r="BG431" s="271"/>
      <c r="BH431" s="271"/>
      <c r="BI431" s="271"/>
      <c r="BJ431" s="271"/>
      <c r="BK431" s="271"/>
      <c r="BL431" s="271"/>
    </row>
    <row r="432" spans="1:64" ht="21" customHeight="1" x14ac:dyDescent="0.25">
      <c r="A432" s="279">
        <v>1</v>
      </c>
      <c r="B432" s="279">
        <v>1</v>
      </c>
      <c r="C432" s="279">
        <v>1</v>
      </c>
      <c r="D432" s="279">
        <v>1</v>
      </c>
      <c r="E432" s="279">
        <v>1</v>
      </c>
      <c r="F432" s="279">
        <v>1</v>
      </c>
      <c r="G432" s="279">
        <v>1</v>
      </c>
      <c r="H432" s="279">
        <v>1</v>
      </c>
      <c r="I432" s="279">
        <v>1</v>
      </c>
      <c r="J432" s="279">
        <v>1</v>
      </c>
      <c r="K432" s="279">
        <v>1</v>
      </c>
      <c r="L432" s="279">
        <v>1</v>
      </c>
      <c r="M432" s="279">
        <v>1</v>
      </c>
      <c r="N432" s="279">
        <v>1</v>
      </c>
      <c r="O432" s="279">
        <v>1</v>
      </c>
      <c r="P432" s="279">
        <v>1</v>
      </c>
      <c r="Q432" s="279">
        <v>1</v>
      </c>
      <c r="R432" s="279">
        <v>1</v>
      </c>
      <c r="S432" s="279">
        <v>1</v>
      </c>
      <c r="T432" s="279">
        <v>1</v>
      </c>
      <c r="U432" s="279">
        <v>1</v>
      </c>
      <c r="V432" s="279">
        <v>1</v>
      </c>
      <c r="W432" s="279">
        <v>1</v>
      </c>
      <c r="X432" s="279">
        <v>1</v>
      </c>
      <c r="Y432" s="279">
        <v>1</v>
      </c>
      <c r="Z432" s="279">
        <v>1</v>
      </c>
      <c r="AA432" s="279">
        <v>1</v>
      </c>
      <c r="AB432" s="279">
        <v>1</v>
      </c>
      <c r="AC432" s="279">
        <v>1</v>
      </c>
      <c r="AD432" s="279">
        <v>1</v>
      </c>
      <c r="AE432" s="279">
        <v>1</v>
      </c>
      <c r="AF432" s="279">
        <v>1</v>
      </c>
      <c r="AG432" s="279">
        <v>1</v>
      </c>
      <c r="AH432" s="279">
        <v>1</v>
      </c>
      <c r="AI432" s="279">
        <v>1</v>
      </c>
      <c r="AJ432" s="279">
        <v>1</v>
      </c>
      <c r="AK432" s="279"/>
      <c r="AL432" s="279">
        <v>1</v>
      </c>
      <c r="AM432" s="279">
        <v>1</v>
      </c>
      <c r="AN432" s="279">
        <v>1</v>
      </c>
      <c r="AO432" s="279">
        <v>1</v>
      </c>
      <c r="AP432" s="279">
        <v>1</v>
      </c>
      <c r="AQ432" s="279">
        <v>1</v>
      </c>
      <c r="AR432" s="279">
        <v>1</v>
      </c>
      <c r="AS432" s="279">
        <v>1</v>
      </c>
      <c r="AT432" s="279">
        <v>1</v>
      </c>
      <c r="AU432" s="279">
        <v>1</v>
      </c>
      <c r="AV432" s="279">
        <v>1</v>
      </c>
      <c r="AW432" s="279"/>
      <c r="AX432" s="279"/>
      <c r="AY432" s="279">
        <v>1</v>
      </c>
      <c r="AZ432" s="279">
        <v>1</v>
      </c>
      <c r="BA432" s="279">
        <v>1</v>
      </c>
      <c r="BB432" s="279">
        <v>1</v>
      </c>
      <c r="BC432" s="279">
        <v>1</v>
      </c>
      <c r="BD432" s="505" t="str">
        <f>ADDRESS(ROW(),COLUMN(),4)</f>
        <v>BD432</v>
      </c>
      <c r="BE432" s="271"/>
      <c r="BF432" s="271"/>
      <c r="BG432" s="271"/>
      <c r="BH432" s="271"/>
      <c r="BI432" s="271"/>
      <c r="BJ432" s="271"/>
      <c r="BK432" s="271"/>
      <c r="BL432" s="271"/>
    </row>
    <row r="433" spans="18:64" ht="21" customHeight="1" x14ac:dyDescent="0.25">
      <c r="S433" s="451"/>
      <c r="V433" s="271"/>
      <c r="W433" s="271"/>
      <c r="X433" s="271"/>
      <c r="Y433" s="271"/>
      <c r="Z433" s="271"/>
      <c r="AA433" s="271"/>
      <c r="AB433" s="271"/>
      <c r="AC433" s="271"/>
      <c r="AD433" s="271"/>
      <c r="AE433" s="271"/>
      <c r="AF433" s="271"/>
      <c r="AG433" s="271"/>
      <c r="AH433" s="271"/>
      <c r="AI433" s="271"/>
      <c r="AJ433" s="271"/>
      <c r="AK433" s="271"/>
      <c r="AL433" s="271"/>
      <c r="AM433" s="271"/>
      <c r="AN433" s="271"/>
      <c r="AO433" s="271"/>
      <c r="AP433" s="271"/>
      <c r="AY433" s="271"/>
      <c r="AZ433" s="271"/>
      <c r="BA433" s="271"/>
      <c r="BB433" s="271"/>
      <c r="BC433" s="271"/>
      <c r="BE433" s="271"/>
      <c r="BF433" s="271"/>
      <c r="BG433" s="271"/>
      <c r="BH433" s="271"/>
      <c r="BI433" s="271"/>
      <c r="BJ433" s="271"/>
      <c r="BK433" s="271"/>
      <c r="BL433" s="271"/>
    </row>
    <row r="434" spans="18:64" ht="21" customHeight="1" x14ac:dyDescent="0.25">
      <c r="S434" s="451"/>
      <c r="V434" s="271"/>
      <c r="W434" s="271"/>
      <c r="X434" s="271"/>
      <c r="Y434" s="271"/>
      <c r="Z434" s="271"/>
      <c r="AA434" s="271"/>
      <c r="AB434" s="271"/>
      <c r="AC434" s="271"/>
      <c r="AD434" s="271"/>
      <c r="AE434" s="271"/>
      <c r="AF434" s="271"/>
      <c r="AG434" s="271"/>
      <c r="AH434" s="271"/>
      <c r="AI434" s="271"/>
      <c r="AJ434" s="271"/>
      <c r="AK434" s="271"/>
      <c r="AL434" s="271"/>
      <c r="AM434" s="271"/>
      <c r="AN434" s="271"/>
      <c r="AO434" s="271"/>
      <c r="AP434" s="271"/>
      <c r="AY434" s="271"/>
      <c r="AZ434" s="271"/>
      <c r="BA434" s="271"/>
      <c r="BB434" s="271"/>
      <c r="BC434" s="271"/>
      <c r="BE434" s="271"/>
      <c r="BF434" s="271"/>
      <c r="BG434" s="271"/>
      <c r="BH434" s="271"/>
      <c r="BI434" s="271"/>
      <c r="BJ434" s="271"/>
      <c r="BK434" s="271"/>
      <c r="BL434" s="271"/>
    </row>
    <row r="435" spans="18:64" ht="21" customHeight="1" x14ac:dyDescent="0.25">
      <c r="S435" s="451"/>
    </row>
    <row r="436" spans="18:64" ht="21" customHeight="1" x14ac:dyDescent="0.25">
      <c r="S436" s="451"/>
    </row>
    <row r="437" spans="18:64" ht="21" customHeight="1" x14ac:dyDescent="0.25">
      <c r="S437" s="451"/>
    </row>
    <row r="438" spans="18:64" ht="21" customHeight="1" x14ac:dyDescent="0.25">
      <c r="S438" s="451"/>
    </row>
    <row r="439" spans="18:64" ht="21" customHeight="1" x14ac:dyDescent="0.25">
      <c r="S439" s="451"/>
    </row>
    <row r="440" spans="18:64" ht="21" customHeight="1" x14ac:dyDescent="0.25">
      <c r="R440" s="451"/>
      <c r="S440" s="451"/>
    </row>
    <row r="441" spans="18:64" ht="21" customHeight="1" x14ac:dyDescent="0.25">
      <c r="R441" s="451"/>
      <c r="S441" s="451"/>
    </row>
    <row r="442" spans="18:64" ht="21" customHeight="1" x14ac:dyDescent="0.25">
      <c r="R442" s="451"/>
      <c r="S442" s="451"/>
    </row>
    <row r="443" spans="18:64" ht="21" customHeight="1" x14ac:dyDescent="0.25"/>
    <row r="444" spans="18:64" ht="21" customHeight="1" x14ac:dyDescent="0.25"/>
    <row r="445" spans="18:64" ht="21" customHeight="1" x14ac:dyDescent="0.25"/>
    <row r="446" spans="18:64" ht="21" customHeight="1" x14ac:dyDescent="0.25"/>
    <row r="447" spans="18:64" ht="21" customHeight="1" x14ac:dyDescent="0.25"/>
    <row r="448" spans="18:64" ht="21" customHeight="1" x14ac:dyDescent="0.25"/>
    <row r="449" ht="21" customHeight="1" x14ac:dyDescent="0.25"/>
    <row r="450" ht="21" customHeight="1" x14ac:dyDescent="0.25"/>
    <row r="451" ht="21" customHeight="1" x14ac:dyDescent="0.25"/>
    <row r="452" ht="21" customHeight="1" x14ac:dyDescent="0.25"/>
    <row r="453" ht="21" customHeight="1" x14ac:dyDescent="0.25"/>
    <row r="454" ht="21" customHeight="1" x14ac:dyDescent="0.25"/>
  </sheetData>
  <mergeCells count="106">
    <mergeCell ref="A1:I1"/>
    <mergeCell ref="U1:AA1"/>
    <mergeCell ref="A2:I2"/>
    <mergeCell ref="U2:AA4"/>
    <mergeCell ref="AG3:AH3"/>
    <mergeCell ref="A4:I4"/>
    <mergeCell ref="R4:S5"/>
    <mergeCell ref="C5:I5"/>
    <mergeCell ref="AG5:AH5"/>
    <mergeCell ref="A9:I9"/>
    <mergeCell ref="AG9:AH9"/>
    <mergeCell ref="A10:D10"/>
    <mergeCell ref="F10:I10"/>
    <mergeCell ref="U10:AA11"/>
    <mergeCell ref="AG10:AH10"/>
    <mergeCell ref="B11:D11"/>
    <mergeCell ref="B6:I6"/>
    <mergeCell ref="U6:AA6"/>
    <mergeCell ref="AG6:AH6"/>
    <mergeCell ref="B7:C7"/>
    <mergeCell ref="E7:F7"/>
    <mergeCell ref="H7:I7"/>
    <mergeCell ref="U7:AA8"/>
    <mergeCell ref="AG7:AH7"/>
    <mergeCell ref="AG8:AH8"/>
    <mergeCell ref="A19:I19"/>
    <mergeCell ref="E20:F20"/>
    <mergeCell ref="G20:I20"/>
    <mergeCell ref="U20:U21"/>
    <mergeCell ref="V20:V21"/>
    <mergeCell ref="W20:AA21"/>
    <mergeCell ref="U12:AA13"/>
    <mergeCell ref="F13:I14"/>
    <mergeCell ref="A15:I15"/>
    <mergeCell ref="U15:AA15"/>
    <mergeCell ref="B16:I16"/>
    <mergeCell ref="U16:U17"/>
    <mergeCell ref="V16:V17"/>
    <mergeCell ref="W16:AA17"/>
    <mergeCell ref="B17:I17"/>
    <mergeCell ref="K17:Q21"/>
    <mergeCell ref="U22:U23"/>
    <mergeCell ref="V22:V23"/>
    <mergeCell ref="W22:AA23"/>
    <mergeCell ref="U24:U25"/>
    <mergeCell ref="V24:V25"/>
    <mergeCell ref="W24:AA25"/>
    <mergeCell ref="AG17:AH17"/>
    <mergeCell ref="U18:U19"/>
    <mergeCell ref="V18:V19"/>
    <mergeCell ref="W18:AA19"/>
    <mergeCell ref="U30:AA30"/>
    <mergeCell ref="AG30:AH30"/>
    <mergeCell ref="U31:V32"/>
    <mergeCell ref="W31:AA32"/>
    <mergeCell ref="AG31:AH31"/>
    <mergeCell ref="AG32:AH32"/>
    <mergeCell ref="U26:U27"/>
    <mergeCell ref="V26:V27"/>
    <mergeCell ref="W26:AA27"/>
    <mergeCell ref="AG26:AH26"/>
    <mergeCell ref="AG27:AH27"/>
    <mergeCell ref="U28:U29"/>
    <mergeCell ref="W28:AA29"/>
    <mergeCell ref="AG29:AH29"/>
    <mergeCell ref="U37:V38"/>
    <mergeCell ref="W37:AA38"/>
    <mergeCell ref="AG37:AH37"/>
    <mergeCell ref="AG38:AH38"/>
    <mergeCell ref="U39:V40"/>
    <mergeCell ref="W39:AA40"/>
    <mergeCell ref="AG39:AH39"/>
    <mergeCell ref="AG40:AH40"/>
    <mergeCell ref="U33:V34"/>
    <mergeCell ref="W33:AA34"/>
    <mergeCell ref="AG33:AH33"/>
    <mergeCell ref="AG34:AH34"/>
    <mergeCell ref="U35:V36"/>
    <mergeCell ref="W35:AA36"/>
    <mergeCell ref="AG35:AH35"/>
    <mergeCell ref="AG46:AH46"/>
    <mergeCell ref="AN55:BB65"/>
    <mergeCell ref="A58:I58"/>
    <mergeCell ref="A60:I60"/>
    <mergeCell ref="B61:I63"/>
    <mergeCell ref="AN66:BB67"/>
    <mergeCell ref="AB67:AC68"/>
    <mergeCell ref="U41:AA41"/>
    <mergeCell ref="AG41:AH41"/>
    <mergeCell ref="U42:V43"/>
    <mergeCell ref="W42:AA43"/>
    <mergeCell ref="AG43:AH43"/>
    <mergeCell ref="U44:V45"/>
    <mergeCell ref="W44:AA45"/>
    <mergeCell ref="AG44:AH44"/>
    <mergeCell ref="AG45:AH45"/>
    <mergeCell ref="AP287:AU287"/>
    <mergeCell ref="AP323:AU323"/>
    <mergeCell ref="AP359:AU359"/>
    <mergeCell ref="AP395:AU395"/>
    <mergeCell ref="AP71:AU71"/>
    <mergeCell ref="AP107:AU107"/>
    <mergeCell ref="AP143:AU143"/>
    <mergeCell ref="AP179:AU179"/>
    <mergeCell ref="AP215:AU215"/>
    <mergeCell ref="AP251:AU251"/>
  </mergeCells>
  <conditionalFormatting sqref="I22:I56">
    <cfRule type="expression" dxfId="7" priority="1">
      <formula>I22="A CONTROLER"</formula>
    </cfRule>
    <cfRule type="expression" dxfId="6" priority="2">
      <formula>I22="OK"</formula>
    </cfRule>
  </conditionalFormatting>
  <dataValidations count="1">
    <dataValidation type="list" sqref="B5" xr:uid="{5E1C89D9-9BEE-44EE-B147-7AC6949B3989}">
      <formula1>"1,2,3,4,5,6,7,8,9,10"</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191E5-F0BE-4F69-B933-9BB0BCCD84F1}">
  <dimension ref="A1:DG454"/>
  <sheetViews>
    <sheetView workbookViewId="0">
      <selection activeCell="Q28" sqref="Q28"/>
    </sheetView>
  </sheetViews>
  <sheetFormatPr baseColWidth="10" defaultColWidth="10.28515625" defaultRowHeight="15.75" x14ac:dyDescent="0.25"/>
  <cols>
    <col min="1" max="1" width="23.7109375" style="151" customWidth="1"/>
    <col min="2" max="2" width="40.28515625" style="151" customWidth="1"/>
    <col min="3" max="3" width="13.140625" style="151" customWidth="1"/>
    <col min="4" max="4" width="16.28515625" style="151" customWidth="1"/>
    <col min="5" max="5" width="15.140625" style="151" customWidth="1"/>
    <col min="6" max="6" width="18.85546875" style="151" customWidth="1"/>
    <col min="7" max="7" width="15.42578125" style="151" customWidth="1"/>
    <col min="8" max="8" width="13.140625" style="151" customWidth="1"/>
    <col min="9" max="9" width="19.7109375" style="151" customWidth="1"/>
    <col min="10" max="12" width="10.28515625" style="151"/>
    <col min="13" max="13" width="31.140625" style="151" customWidth="1"/>
    <col min="14" max="14" width="14.85546875" style="151" customWidth="1"/>
    <col min="15" max="15" width="10.28515625" style="151"/>
    <col min="16" max="17" width="14.85546875" style="151" customWidth="1"/>
    <col min="18" max="18" width="41.7109375" style="151" customWidth="1"/>
    <col min="19" max="19" width="10.5703125" style="151" customWidth="1"/>
    <col min="20" max="20" width="18.85546875" style="151" customWidth="1"/>
    <col min="21" max="21" width="7.42578125" style="151" customWidth="1"/>
    <col min="22" max="22" width="16.85546875" style="151" customWidth="1"/>
    <col min="23" max="23" width="17.7109375" style="151" customWidth="1"/>
    <col min="24" max="24" width="55.7109375" style="151" customWidth="1"/>
    <col min="25" max="25" width="12" style="151" customWidth="1"/>
    <col min="26" max="26" width="10.85546875" style="151" customWidth="1"/>
    <col min="27" max="27" width="11.42578125" style="151" customWidth="1"/>
    <col min="28" max="28" width="23.7109375" style="151" customWidth="1"/>
    <col min="29" max="29" width="46.5703125" style="151" customWidth="1"/>
    <col min="30" max="30" width="25.7109375" style="151" customWidth="1"/>
    <col min="31" max="31" width="18.5703125" style="151" customWidth="1"/>
    <col min="32" max="34" width="18.28515625" style="151" customWidth="1"/>
    <col min="35" max="35" width="16.85546875" style="151" customWidth="1"/>
    <col min="36" max="38" width="16" style="151" customWidth="1"/>
    <col min="39" max="39" width="32.28515625" style="151" customWidth="1"/>
    <col min="40" max="40" width="16" style="151" customWidth="1"/>
    <col min="41" max="41" width="24.5703125" style="151" customWidth="1"/>
    <col min="42" max="42" width="20.5703125" style="151" customWidth="1"/>
    <col min="43" max="50" width="10.28515625" style="151"/>
    <col min="51" max="51" width="20.28515625" style="151" customWidth="1"/>
    <col min="52" max="52" width="16" style="151" customWidth="1"/>
    <col min="53" max="53" width="35.42578125" style="151" customWidth="1"/>
    <col min="54" max="54" width="17.140625" style="151" customWidth="1"/>
    <col min="55" max="55" width="13.7109375" style="151" customWidth="1"/>
    <col min="56" max="56" width="10.28515625" style="92"/>
    <col min="57" max="57" width="11.42578125" style="151" customWidth="1"/>
    <col min="58" max="58" width="14.85546875" style="151" customWidth="1"/>
    <col min="59" max="59" width="3.42578125" style="151" customWidth="1"/>
    <col min="60" max="60" width="11.42578125" style="151" customWidth="1"/>
    <col min="61" max="61" width="13.7109375" style="151" customWidth="1"/>
    <col min="62" max="62" width="11.42578125" style="151" customWidth="1"/>
    <col min="63" max="64" width="14.85546875" style="151" customWidth="1"/>
    <col min="65" max="16384" width="10.28515625" style="151"/>
  </cols>
  <sheetData>
    <row r="1" spans="1:111" ht="48" customHeight="1" x14ac:dyDescent="0.25">
      <c r="A1" s="753" t="str">
        <f>"RECETTES DE COLLECTIVITÉ &gt; LES POTAGES"&amp;" - "&amp;B6</f>
        <v>RECETTES DE COLLECTIVITÉ &gt; LES POTAGES - GASPACHO</v>
      </c>
      <c r="B1" s="754"/>
      <c r="C1" s="754"/>
      <c r="D1" s="754"/>
      <c r="E1" s="754"/>
      <c r="F1" s="754"/>
      <c r="G1" s="754"/>
      <c r="H1" s="754"/>
      <c r="I1" s="755"/>
      <c r="J1" s="271"/>
      <c r="K1" s="272" t="s">
        <v>7897</v>
      </c>
      <c r="L1" s="273"/>
      <c r="M1" s="273"/>
      <c r="N1" s="273"/>
      <c r="O1" s="273"/>
      <c r="P1" s="274"/>
      <c r="Q1" s="274"/>
      <c r="R1" s="274"/>
      <c r="S1" s="274"/>
      <c r="T1" s="274"/>
      <c r="U1" s="538" t="s">
        <v>7898</v>
      </c>
      <c r="V1" s="539"/>
      <c r="W1" s="539"/>
      <c r="X1" s="539"/>
      <c r="Y1" s="539"/>
      <c r="Z1" s="539"/>
      <c r="AA1" s="540"/>
      <c r="AC1" s="275"/>
      <c r="AD1" s="276" t="s">
        <v>7899</v>
      </c>
      <c r="AE1" s="277"/>
      <c r="AF1" s="277"/>
      <c r="AG1" s="277"/>
      <c r="AH1" s="277"/>
      <c r="AI1" s="277"/>
      <c r="AJ1" s="277"/>
      <c r="AK1" s="277"/>
      <c r="AL1" s="277"/>
      <c r="AM1" s="277"/>
      <c r="AN1" s="277"/>
      <c r="AO1" s="277"/>
      <c r="AP1" s="277"/>
      <c r="AQ1" s="277"/>
      <c r="AS1" s="278" t="s">
        <v>0</v>
      </c>
      <c r="BB1" s="271"/>
      <c r="BC1" s="271"/>
      <c r="BD1" s="279">
        <v>1</v>
      </c>
      <c r="BE1" s="271"/>
      <c r="BF1" s="271"/>
      <c r="BG1" s="271"/>
      <c r="BH1" s="271"/>
      <c r="BI1" s="271"/>
      <c r="BJ1" s="271"/>
      <c r="BK1" s="271"/>
      <c r="BL1" s="271"/>
    </row>
    <row r="2" spans="1:111" ht="21.95" customHeight="1" x14ac:dyDescent="0.25">
      <c r="A2" s="705" t="s">
        <v>7900</v>
      </c>
      <c r="B2" s="706"/>
      <c r="C2" s="706"/>
      <c r="D2" s="706"/>
      <c r="E2" s="706"/>
      <c r="F2" s="706"/>
      <c r="G2" s="706"/>
      <c r="H2" s="706"/>
      <c r="I2" s="707"/>
      <c r="J2" s="271"/>
      <c r="K2" s="280"/>
      <c r="L2" s="280"/>
      <c r="M2" s="280"/>
      <c r="N2" s="281" t="s">
        <v>8218</v>
      </c>
      <c r="O2" s="280"/>
      <c r="P2" s="274"/>
      <c r="Q2" s="274"/>
      <c r="R2" s="274"/>
      <c r="S2" s="274"/>
      <c r="T2" s="274"/>
      <c r="U2" s="541" t="s">
        <v>7901</v>
      </c>
      <c r="V2" s="542"/>
      <c r="W2" s="542"/>
      <c r="X2" s="542"/>
      <c r="Y2" s="542"/>
      <c r="Z2" s="542"/>
      <c r="AA2" s="543"/>
      <c r="AC2" s="275"/>
      <c r="AD2" s="282" t="s">
        <v>7902</v>
      </c>
      <c r="AE2" s="283"/>
      <c r="AF2" s="283"/>
      <c r="AG2" s="283"/>
      <c r="AH2" s="283"/>
      <c r="AI2" s="283"/>
      <c r="AJ2" s="283"/>
      <c r="AK2" s="283"/>
      <c r="AL2" s="283"/>
      <c r="AM2" s="283"/>
      <c r="AN2" s="283"/>
      <c r="AO2" s="283"/>
      <c r="AP2" s="283"/>
      <c r="AQ2" s="283"/>
      <c r="BC2" s="271"/>
      <c r="BD2" s="279">
        <v>1</v>
      </c>
      <c r="BE2" s="271"/>
      <c r="BF2" s="271"/>
      <c r="BG2" s="271"/>
      <c r="BH2" s="271"/>
      <c r="BI2" s="271"/>
      <c r="BJ2" s="271"/>
      <c r="BK2" s="271"/>
      <c r="BL2" s="271"/>
    </row>
    <row r="3" spans="1:111" ht="21.95" customHeight="1" thickBot="1" x14ac:dyDescent="0.3">
      <c r="A3" s="152" t="s">
        <v>7903</v>
      </c>
      <c r="B3" s="284"/>
      <c r="C3" s="284"/>
      <c r="D3" s="284"/>
      <c r="E3" s="284"/>
      <c r="F3" s="284"/>
      <c r="G3" s="284"/>
      <c r="H3" s="284"/>
      <c r="I3" s="284"/>
      <c r="J3" s="271"/>
      <c r="K3" s="285" t="s">
        <v>344</v>
      </c>
      <c r="R3" s="274"/>
      <c r="S3" s="274"/>
      <c r="T3" s="274"/>
      <c r="U3" s="544"/>
      <c r="V3" s="545"/>
      <c r="W3" s="545"/>
      <c r="X3" s="545"/>
      <c r="Y3" s="545"/>
      <c r="Z3" s="545"/>
      <c r="AA3" s="546"/>
      <c r="AC3" s="275"/>
      <c r="AD3" s="286" t="s">
        <v>5975</v>
      </c>
      <c r="AE3" s="287" t="s">
        <v>7904</v>
      </c>
      <c r="AF3" s="287" t="s">
        <v>7905</v>
      </c>
      <c r="AG3" s="550" t="s">
        <v>7906</v>
      </c>
      <c r="AH3" s="550"/>
      <c r="AI3" s="288" t="s">
        <v>7907</v>
      </c>
      <c r="AJ3" s="289"/>
      <c r="AK3" s="289"/>
      <c r="AL3" s="289"/>
      <c r="AM3" s="290"/>
      <c r="AN3" s="290"/>
      <c r="AO3" s="290"/>
      <c r="AP3" s="290"/>
      <c r="AQ3" s="290"/>
      <c r="BC3" s="271"/>
      <c r="BD3" s="279">
        <v>1</v>
      </c>
      <c r="BE3" s="271"/>
      <c r="BF3" s="271"/>
      <c r="BG3" s="271"/>
      <c r="BH3" s="271"/>
      <c r="BI3" s="271"/>
      <c r="BJ3" s="271"/>
      <c r="BK3" s="271"/>
      <c r="BL3" s="271"/>
    </row>
    <row r="4" spans="1:111" ht="21.95" customHeight="1" x14ac:dyDescent="0.25">
      <c r="A4" s="756" t="s">
        <v>328</v>
      </c>
      <c r="B4" s="757"/>
      <c r="C4" s="757"/>
      <c r="D4" s="757"/>
      <c r="E4" s="757"/>
      <c r="F4" s="757"/>
      <c r="G4" s="757"/>
      <c r="H4" s="757"/>
      <c r="I4" s="758"/>
      <c r="J4" s="271"/>
      <c r="K4" s="291" t="s">
        <v>7908</v>
      </c>
      <c r="L4" s="292"/>
      <c r="M4" s="292"/>
      <c r="N4" s="292"/>
      <c r="O4" s="292"/>
      <c r="P4" s="292"/>
      <c r="Q4" s="292"/>
      <c r="R4" s="711" t="s">
        <v>5849</v>
      </c>
      <c r="S4" s="711"/>
      <c r="T4" s="293" t="str">
        <f>$BD$432</f>
        <v>BD432</v>
      </c>
      <c r="U4" s="547"/>
      <c r="V4" s="548"/>
      <c r="W4" s="548"/>
      <c r="X4" s="548"/>
      <c r="Y4" s="548"/>
      <c r="Z4" s="548"/>
      <c r="AA4" s="549"/>
      <c r="AC4" s="275"/>
      <c r="AD4" s="294" t="s">
        <v>7909</v>
      </c>
      <c r="AE4" s="295"/>
      <c r="AF4" s="296"/>
      <c r="AG4" s="295"/>
      <c r="AH4" s="295"/>
      <c r="AI4" s="295"/>
      <c r="AJ4" s="295"/>
      <c r="AK4" s="295"/>
      <c r="AL4" s="295"/>
      <c r="AM4" s="295"/>
      <c r="AN4" s="295"/>
      <c r="AO4" s="295"/>
      <c r="AP4" s="295"/>
      <c r="AQ4" s="295"/>
      <c r="BC4" s="271"/>
      <c r="BD4" s="279">
        <v>1</v>
      </c>
      <c r="BE4" s="271"/>
      <c r="BF4" s="271"/>
      <c r="BG4" s="271"/>
    </row>
    <row r="5" spans="1:111" ht="21.95" customHeight="1" x14ac:dyDescent="0.25">
      <c r="A5" s="297" t="s">
        <v>8170</v>
      </c>
      <c r="B5" s="153">
        <v>1</v>
      </c>
      <c r="C5" s="712" t="s">
        <v>7911</v>
      </c>
      <c r="D5" s="712"/>
      <c r="E5" s="712"/>
      <c r="F5" s="712"/>
      <c r="G5" s="712"/>
      <c r="H5" s="712"/>
      <c r="I5" s="713"/>
      <c r="J5" s="271"/>
      <c r="K5" s="298" t="s">
        <v>324</v>
      </c>
      <c r="L5" s="298" t="s">
        <v>7912</v>
      </c>
      <c r="M5" s="298" t="s">
        <v>326</v>
      </c>
      <c r="N5" s="298" t="s">
        <v>7913</v>
      </c>
      <c r="O5" s="298" t="s">
        <v>7914</v>
      </c>
      <c r="P5" s="298" t="s">
        <v>333</v>
      </c>
      <c r="Q5" s="298" t="s">
        <v>327</v>
      </c>
      <c r="R5" s="711"/>
      <c r="S5" s="711"/>
      <c r="U5" s="299"/>
      <c r="V5" s="271"/>
      <c r="W5" s="271"/>
      <c r="X5" s="271"/>
      <c r="Y5" s="271"/>
      <c r="Z5" s="271"/>
      <c r="AA5" s="300"/>
      <c r="AC5" s="275"/>
      <c r="AD5" s="301" t="s">
        <v>7858</v>
      </c>
      <c r="AE5" s="302" t="s">
        <v>7910</v>
      </c>
      <c r="AF5" s="303" t="s">
        <v>7915</v>
      </c>
      <c r="AG5" s="551" t="s">
        <v>281</v>
      </c>
      <c r="AH5" s="551"/>
      <c r="AI5" s="304" t="s">
        <v>7916</v>
      </c>
      <c r="AJ5" s="304"/>
      <c r="AK5" s="304"/>
      <c r="AL5" s="304"/>
      <c r="AM5" s="304"/>
      <c r="AN5" s="304"/>
      <c r="AO5" s="304"/>
      <c r="AP5" s="304"/>
      <c r="AQ5" s="304"/>
      <c r="BC5" s="271"/>
      <c r="BD5" s="279">
        <v>1</v>
      </c>
      <c r="BE5" s="271"/>
      <c r="BF5" s="271"/>
      <c r="BG5" s="271"/>
    </row>
    <row r="6" spans="1:111" ht="21.95" customHeight="1" x14ac:dyDescent="0.25">
      <c r="A6" s="305" t="s">
        <v>329</v>
      </c>
      <c r="B6" s="698" t="str" cm="1">
        <f t="array" ref="B6">IFERROR(INDEX($M$6:$M$15,$B$5),"")</f>
        <v>GASPACHO</v>
      </c>
      <c r="C6" s="698"/>
      <c r="D6" s="698"/>
      <c r="E6" s="698"/>
      <c r="F6" s="698"/>
      <c r="G6" s="698"/>
      <c r="H6" s="698"/>
      <c r="I6" s="699"/>
      <c r="J6" s="271"/>
      <c r="K6" s="154">
        <f>$V$72</f>
        <v>1</v>
      </c>
      <c r="L6" s="306" t="str">
        <f>$W$72</f>
        <v>N° 39</v>
      </c>
      <c r="M6" s="307" t="str">
        <f>$X$72</f>
        <v>GASPACHO</v>
      </c>
      <c r="N6" s="308">
        <f>IF(AK72="","",AK72)</f>
        <v>12</v>
      </c>
      <c r="O6" s="308" t="str">
        <f>IF(AL72="","",AL72)</f>
        <v>L</v>
      </c>
      <c r="P6" s="309">
        <f>$Z$72</f>
        <v>100</v>
      </c>
      <c r="Q6" s="310">
        <f>$Y$72</f>
        <v>56</v>
      </c>
      <c r="U6" s="558" t="s">
        <v>7917</v>
      </c>
      <c r="V6" s="559"/>
      <c r="W6" s="559"/>
      <c r="X6" s="559"/>
      <c r="Y6" s="559"/>
      <c r="Z6" s="559"/>
      <c r="AA6" s="560"/>
      <c r="AC6" s="275"/>
      <c r="AD6" s="301" t="s">
        <v>7858</v>
      </c>
      <c r="AE6" s="302" t="s">
        <v>7912</v>
      </c>
      <c r="AF6" s="303" t="s">
        <v>7918</v>
      </c>
      <c r="AG6" s="561" t="s">
        <v>7919</v>
      </c>
      <c r="AH6" s="561"/>
      <c r="AI6" s="311" t="s">
        <v>7920</v>
      </c>
      <c r="AJ6" s="311"/>
      <c r="AK6" s="311"/>
      <c r="AL6" s="311"/>
      <c r="AM6" s="311"/>
      <c r="AN6" s="311"/>
      <c r="AO6" s="311"/>
      <c r="AP6" s="311"/>
      <c r="AQ6" s="311"/>
      <c r="BC6" s="271"/>
      <c r="BD6" s="279">
        <v>1</v>
      </c>
      <c r="BE6" s="271"/>
      <c r="BF6" s="271"/>
      <c r="BG6" s="271"/>
    </row>
    <row r="7" spans="1:111" ht="15.75" customHeight="1" x14ac:dyDescent="0.25">
      <c r="A7" s="312" t="s">
        <v>325</v>
      </c>
      <c r="B7" s="700" t="str" cm="1">
        <f t="array" ref="B7">IFERROR(INDEX($L$6:$L$15,$B$5),"")</f>
        <v>N° 39</v>
      </c>
      <c r="C7" s="700"/>
      <c r="D7" s="313" t="s">
        <v>330</v>
      </c>
      <c r="E7" s="700" t="s">
        <v>3</v>
      </c>
      <c r="F7" s="700"/>
      <c r="G7" s="313" t="s">
        <v>327</v>
      </c>
      <c r="H7" s="700" cm="1">
        <f t="array" ref="H7">IFERROR(INDEX($Y$72:$Y$430,1+($B$5-1)*36),"")</f>
        <v>56</v>
      </c>
      <c r="I7" s="701"/>
      <c r="J7" s="271"/>
      <c r="K7" s="155">
        <f>$V$108</f>
        <v>2</v>
      </c>
      <c r="L7" s="306" t="str">
        <f>$W$108</f>
        <v>N° 40</v>
      </c>
      <c r="M7" s="307" t="str">
        <f>$X$108</f>
        <v>SOUPE DE POISSON</v>
      </c>
      <c r="N7" s="308">
        <f>IF(AK108="","",AK108)</f>
        <v>25</v>
      </c>
      <c r="O7" s="308" t="str">
        <f>IF(AL108="","",AL108)</f>
        <v>L</v>
      </c>
      <c r="P7" s="309">
        <f>$Z$108</f>
        <v>100</v>
      </c>
      <c r="Q7" s="310">
        <f>$Y$108</f>
        <v>57</v>
      </c>
      <c r="U7" s="562" t="s">
        <v>7921</v>
      </c>
      <c r="V7" s="563"/>
      <c r="W7" s="563"/>
      <c r="X7" s="563"/>
      <c r="Y7" s="563"/>
      <c r="Z7" s="563"/>
      <c r="AA7" s="564"/>
      <c r="AC7" s="275"/>
      <c r="AD7" s="301" t="s">
        <v>7858</v>
      </c>
      <c r="AE7" s="302" t="s">
        <v>326</v>
      </c>
      <c r="AF7" s="303" t="s">
        <v>7922</v>
      </c>
      <c r="AG7" s="565" t="s">
        <v>7923</v>
      </c>
      <c r="AH7" s="565"/>
      <c r="AI7" s="311" t="s">
        <v>7924</v>
      </c>
      <c r="AJ7" s="311"/>
      <c r="AK7" s="311"/>
      <c r="AL7" s="311"/>
      <c r="AM7" s="311"/>
      <c r="AN7" s="311"/>
      <c r="AO7" s="311"/>
      <c r="AP7" s="311"/>
      <c r="AQ7" s="311"/>
      <c r="BC7" s="271"/>
      <c r="BD7" s="279">
        <v>1</v>
      </c>
      <c r="BE7" s="271"/>
      <c r="BF7" s="271"/>
      <c r="BG7" s="271"/>
    </row>
    <row r="8" spans="1:111" ht="23.1" customHeight="1" x14ac:dyDescent="0.25">
      <c r="A8" s="284"/>
      <c r="B8" s="284"/>
      <c r="C8" s="284"/>
      <c r="D8" s="284"/>
      <c r="E8" s="284"/>
      <c r="F8" s="284"/>
      <c r="G8" s="284"/>
      <c r="H8" s="284"/>
      <c r="I8" s="284"/>
      <c r="J8" s="271" t="s">
        <v>7925</v>
      </c>
      <c r="K8" s="155">
        <f>$V$144</f>
        <v>3</v>
      </c>
      <c r="L8" s="306" t="str">
        <f>$W$144</f>
        <v>N°41</v>
      </c>
      <c r="M8" s="307" t="str">
        <f>$X$144</f>
        <v>MINESTRONE</v>
      </c>
      <c r="N8" s="308">
        <f>IF(AK144="","",AK144)</f>
        <v>20</v>
      </c>
      <c r="O8" s="308" t="str">
        <f>IF(AL144="","",AL144)</f>
        <v>L</v>
      </c>
      <c r="P8" s="309">
        <f>$Z$144</f>
        <v>100</v>
      </c>
      <c r="Q8" s="310">
        <f>$Y$144</f>
        <v>58</v>
      </c>
      <c r="U8" s="553"/>
      <c r="V8" s="554"/>
      <c r="W8" s="554"/>
      <c r="X8" s="554"/>
      <c r="Y8" s="554"/>
      <c r="Z8" s="554"/>
      <c r="AA8" s="555"/>
      <c r="AC8" s="275"/>
      <c r="AD8" s="301" t="s">
        <v>7858</v>
      </c>
      <c r="AE8" s="302" t="s">
        <v>327</v>
      </c>
      <c r="AF8" s="303" t="s">
        <v>7926</v>
      </c>
      <c r="AG8" s="566" t="s">
        <v>7927</v>
      </c>
      <c r="AH8" s="566"/>
      <c r="AI8" s="311" t="s">
        <v>7928</v>
      </c>
      <c r="AJ8" s="311"/>
      <c r="AK8" s="311"/>
      <c r="AL8" s="311"/>
      <c r="AM8" s="311"/>
      <c r="AN8" s="311"/>
      <c r="AO8" s="311"/>
      <c r="AP8" s="311"/>
      <c r="AQ8" s="311"/>
      <c r="BC8" s="271"/>
      <c r="BD8" s="279">
        <v>1</v>
      </c>
      <c r="BE8" s="271"/>
      <c r="BF8" s="271"/>
      <c r="BG8" s="271"/>
    </row>
    <row r="9" spans="1:111" ht="23.1" customHeight="1" x14ac:dyDescent="0.25">
      <c r="A9" s="750" t="s">
        <v>331</v>
      </c>
      <c r="B9" s="751"/>
      <c r="C9" s="751"/>
      <c r="D9" s="751"/>
      <c r="E9" s="751"/>
      <c r="F9" s="751"/>
      <c r="G9" s="751"/>
      <c r="H9" s="751"/>
      <c r="I9" s="752"/>
      <c r="J9" s="271"/>
      <c r="K9" s="155">
        <f>$V$180</f>
        <v>4</v>
      </c>
      <c r="L9" s="306" t="str">
        <f>$W$180</f>
        <v>N° 42</v>
      </c>
      <c r="M9" s="307" t="str">
        <f>$X$180</f>
        <v>POTAGE CULTIVATEUR</v>
      </c>
      <c r="N9" s="308">
        <f>IF(AK180="","",AK180)</f>
        <v>25</v>
      </c>
      <c r="O9" s="308" t="str">
        <f>IF(AL180="","",AL180)</f>
        <v>L</v>
      </c>
      <c r="P9" s="309">
        <f>$Z$180</f>
        <v>100</v>
      </c>
      <c r="Q9" s="310">
        <f>$Y$180</f>
        <v>59</v>
      </c>
      <c r="U9" s="314" t="s">
        <v>7929</v>
      </c>
      <c r="V9" s="315"/>
      <c r="W9" s="315"/>
      <c r="X9" s="315"/>
      <c r="Y9" s="315"/>
      <c r="Z9" s="315"/>
      <c r="AA9" s="316"/>
      <c r="AC9" s="275"/>
      <c r="AD9" s="301" t="s">
        <v>7858</v>
      </c>
      <c r="AE9" s="317" t="s">
        <v>7930</v>
      </c>
      <c r="AF9" s="303" t="s">
        <v>7931</v>
      </c>
      <c r="AG9" s="552" t="s">
        <v>239</v>
      </c>
      <c r="AH9" s="551"/>
      <c r="AI9" s="304" t="s">
        <v>7932</v>
      </c>
      <c r="AJ9" s="304"/>
      <c r="AK9" s="304"/>
      <c r="AL9" s="304"/>
      <c r="AM9" s="304"/>
      <c r="AN9" s="304"/>
      <c r="AO9" s="304"/>
      <c r="AP9" s="304"/>
      <c r="AQ9" s="304"/>
      <c r="BC9" s="271"/>
      <c r="BD9" s="279">
        <v>1</v>
      </c>
      <c r="BE9" s="271"/>
      <c r="BF9" s="271"/>
      <c r="BG9" s="271"/>
      <c r="CL9" s="151">
        <v>1</v>
      </c>
      <c r="CM9" s="151">
        <v>2</v>
      </c>
      <c r="CN9" s="151">
        <v>3</v>
      </c>
      <c r="CO9" s="151">
        <v>4</v>
      </c>
      <c r="CP9" s="151">
        <v>5</v>
      </c>
      <c r="CQ9" s="151">
        <v>6</v>
      </c>
      <c r="CR9" s="151">
        <v>7</v>
      </c>
      <c r="CS9" s="151">
        <v>8</v>
      </c>
      <c r="CT9" s="151">
        <v>9</v>
      </c>
      <c r="CU9" s="151">
        <v>10</v>
      </c>
      <c r="CV9" s="151">
        <v>11</v>
      </c>
      <c r="CW9" s="151">
        <v>12</v>
      </c>
      <c r="CX9" s="151">
        <v>13</v>
      </c>
      <c r="CY9" s="151">
        <v>14</v>
      </c>
      <c r="CZ9" s="151">
        <v>15</v>
      </c>
      <c r="DA9" s="151">
        <v>16</v>
      </c>
      <c r="DB9" s="151">
        <v>17</v>
      </c>
      <c r="DC9" s="151">
        <v>18</v>
      </c>
      <c r="DD9" s="151">
        <v>19</v>
      </c>
      <c r="DE9" s="151">
        <v>20</v>
      </c>
      <c r="DF9" s="151">
        <v>21</v>
      </c>
      <c r="DG9" s="151">
        <v>22</v>
      </c>
    </row>
    <row r="10" spans="1:111" ht="23.1" customHeight="1" thickBot="1" x14ac:dyDescent="0.3">
      <c r="A10" s="690" t="s">
        <v>7933</v>
      </c>
      <c r="B10" s="691"/>
      <c r="C10" s="691"/>
      <c r="D10" s="692"/>
      <c r="E10" s="318"/>
      <c r="F10" s="693" t="s">
        <v>7934</v>
      </c>
      <c r="G10" s="694"/>
      <c r="H10" s="694"/>
      <c r="I10" s="695"/>
      <c r="J10" s="271"/>
      <c r="K10" s="155">
        <f>$V$216</f>
        <v>5</v>
      </c>
      <c r="L10" s="306" t="str">
        <f>$W$216</f>
        <v>N°43</v>
      </c>
      <c r="M10" s="307" t="str">
        <f>$X$216</f>
        <v>POTAGE CRÈME DE LÉGUMES</v>
      </c>
      <c r="N10" s="308">
        <f>IF(AK216="","",AK216)</f>
        <v>20</v>
      </c>
      <c r="O10" s="308" t="str">
        <f>IF(AL216="","",AL216)</f>
        <v>L</v>
      </c>
      <c r="P10" s="309">
        <f>$Z$216</f>
        <v>100</v>
      </c>
      <c r="Q10" s="310">
        <f>$Y$216</f>
        <v>60</v>
      </c>
      <c r="U10" s="553" t="s">
        <v>7935</v>
      </c>
      <c r="V10" s="554"/>
      <c r="W10" s="554"/>
      <c r="X10" s="554"/>
      <c r="Y10" s="554"/>
      <c r="Z10" s="554"/>
      <c r="AA10" s="555"/>
      <c r="AC10" s="275"/>
      <c r="AD10" s="319" t="s">
        <v>7936</v>
      </c>
      <c r="AE10" s="320" t="s">
        <v>7937</v>
      </c>
      <c r="AF10" s="321" t="s">
        <v>7938</v>
      </c>
      <c r="AG10" s="556" t="s">
        <v>7939</v>
      </c>
      <c r="AH10" s="557"/>
      <c r="AI10" s="311" t="s">
        <v>7940</v>
      </c>
      <c r="AJ10" s="311"/>
      <c r="AK10" s="311"/>
      <c r="AL10" s="311"/>
      <c r="AM10" s="311"/>
      <c r="AN10" s="311"/>
      <c r="AO10" s="311"/>
      <c r="AP10" s="311"/>
      <c r="AQ10" s="311"/>
      <c r="BC10" s="271"/>
      <c r="BD10" s="279">
        <v>1</v>
      </c>
      <c r="BE10" s="271"/>
      <c r="BF10" s="271"/>
      <c r="BG10" s="271"/>
    </row>
    <row r="11" spans="1:111" ht="23.1" customHeight="1" x14ac:dyDescent="0.25">
      <c r="A11" s="323" t="s">
        <v>332</v>
      </c>
      <c r="B11" s="696" t="str" cm="1">
        <f t="array" ref="B11">IFERROR(INDEX($AC$72:$AC$430,1+($B$5-1)*36),"")</f>
        <v>Coulis de tomate</v>
      </c>
      <c r="C11" s="696"/>
      <c r="D11" s="697"/>
      <c r="E11" s="318"/>
      <c r="F11" s="324" t="s">
        <v>333</v>
      </c>
      <c r="G11" s="325" cm="1">
        <f t="array" ref="G11">IFERROR(INDEX($Z$72:$Z$430,1+($B$5-1)*36),"")</f>
        <v>100</v>
      </c>
      <c r="H11" s="326" t="s">
        <v>7941</v>
      </c>
      <c r="I11" s="327"/>
      <c r="J11" s="271"/>
      <c r="K11" s="155">
        <f>$V$252</f>
        <v>6</v>
      </c>
      <c r="L11" s="306" t="str">
        <f>$W$252</f>
        <v>N° 44</v>
      </c>
      <c r="M11" s="307" t="str">
        <f>$X$252</f>
        <v>GRATINÉE A L'OIGNON</v>
      </c>
      <c r="N11" s="308">
        <f>IF(AK252="","",AK252)</f>
        <v>25</v>
      </c>
      <c r="O11" s="308" t="str">
        <f>IF(AL252="","",AL252)</f>
        <v>L</v>
      </c>
      <c r="P11" s="309">
        <f>$Z$252</f>
        <v>100</v>
      </c>
      <c r="Q11" s="310">
        <f>$Y$252</f>
        <v>61</v>
      </c>
      <c r="U11" s="553"/>
      <c r="V11" s="554"/>
      <c r="W11" s="554"/>
      <c r="X11" s="554"/>
      <c r="Y11" s="554"/>
      <c r="Z11" s="554"/>
      <c r="AA11" s="555"/>
      <c r="AC11" s="275"/>
      <c r="AD11" s="328" t="s">
        <v>7942</v>
      </c>
      <c r="AE11" s="329"/>
      <c r="AF11" s="330"/>
      <c r="AG11" s="329"/>
      <c r="AH11" s="329"/>
      <c r="AI11" s="329"/>
      <c r="AJ11" s="329"/>
      <c r="AK11" s="329"/>
      <c r="AL11" s="329"/>
      <c r="AM11" s="329"/>
      <c r="AN11" s="329"/>
      <c r="AO11" s="329"/>
      <c r="AP11" s="329"/>
      <c r="AQ11" s="329"/>
      <c r="BC11" s="271"/>
      <c r="BD11" s="279">
        <v>1</v>
      </c>
      <c r="BE11" s="271"/>
      <c r="BF11" s="271"/>
      <c r="BG11" s="271"/>
    </row>
    <row r="12" spans="1:111" ht="23.1" customHeight="1" x14ac:dyDescent="0.25">
      <c r="A12" s="305" t="s">
        <v>334</v>
      </c>
      <c r="B12" s="331" cm="1">
        <f t="array" ref="B12">IFERROR(INDEX($N$6:$N$15,$B$5),"")</f>
        <v>12</v>
      </c>
      <c r="C12" s="332" t="str" cm="1">
        <f t="array" ref="C12">IFERROR(INDEX($O$6:$O$15,$B$5),"")</f>
        <v>L</v>
      </c>
      <c r="D12" s="333"/>
      <c r="E12" s="506" t="s">
        <v>8169</v>
      </c>
      <c r="F12" s="334" t="s">
        <v>335</v>
      </c>
      <c r="G12" s="335">
        <v>200</v>
      </c>
      <c r="H12" s="336" t="s">
        <v>7941</v>
      </c>
      <c r="I12" s="337"/>
      <c r="J12" s="271"/>
      <c r="K12" s="155">
        <f>$V$288</f>
        <v>7</v>
      </c>
      <c r="L12" s="306" t="str">
        <f>$W$288</f>
        <v>N° 00 ?</v>
      </c>
      <c r="M12" s="307" t="str">
        <f>$X$288</f>
        <v>Saisissez votre recette X288</v>
      </c>
      <c r="N12" s="308" t="str">
        <f>IF(AK288="","",AK288)</f>
        <v/>
      </c>
      <c r="O12" s="308" t="str">
        <f>IF(AL288="","",AL288)</f>
        <v/>
      </c>
      <c r="P12" s="309">
        <f>$Z$288</f>
        <v>100</v>
      </c>
      <c r="Q12" s="310">
        <f>$Y$288</f>
        <v>0</v>
      </c>
      <c r="U12" s="553" t="s">
        <v>7943</v>
      </c>
      <c r="V12" s="554"/>
      <c r="W12" s="554"/>
      <c r="X12" s="554"/>
      <c r="Y12" s="554"/>
      <c r="Z12" s="554"/>
      <c r="AA12" s="555"/>
      <c r="AC12" s="275"/>
      <c r="AD12" s="301" t="s">
        <v>7944</v>
      </c>
      <c r="AE12" s="311" t="s">
        <v>7945</v>
      </c>
      <c r="AF12" s="303" t="s">
        <v>7946</v>
      </c>
      <c r="AG12" s="17" t="s">
        <v>7947</v>
      </c>
      <c r="AH12" s="17"/>
      <c r="AI12" s="311" t="s">
        <v>7948</v>
      </c>
      <c r="AJ12" s="311"/>
      <c r="AK12" s="311"/>
      <c r="AL12" s="311"/>
      <c r="AM12" s="311"/>
      <c r="AN12" s="311"/>
      <c r="AO12" s="311"/>
      <c r="AP12" s="311"/>
      <c r="AQ12" s="311"/>
      <c r="BC12" s="271"/>
      <c r="BD12" s="279">
        <v>1</v>
      </c>
      <c r="BE12" s="271"/>
      <c r="BF12" s="271"/>
      <c r="BG12" s="271"/>
    </row>
    <row r="13" spans="1:111" ht="23.1" customHeight="1" x14ac:dyDescent="0.25">
      <c r="A13" s="338" t="s">
        <v>336</v>
      </c>
      <c r="B13" s="339">
        <v>2</v>
      </c>
      <c r="C13" s="340" t="s">
        <v>7949</v>
      </c>
      <c r="D13" s="341"/>
      <c r="E13" s="318"/>
      <c r="F13" s="676" t="s">
        <v>7950</v>
      </c>
      <c r="G13" s="676"/>
      <c r="H13" s="676"/>
      <c r="I13" s="676"/>
      <c r="J13" s="271"/>
      <c r="K13" s="155">
        <f>$V$324</f>
        <v>8</v>
      </c>
      <c r="L13" s="306" t="str">
        <f>$W$324</f>
        <v>N°00 ?</v>
      </c>
      <c r="M13" s="307" t="str">
        <f>$X$324</f>
        <v>Saisissez votre recette X324</v>
      </c>
      <c r="N13" s="308" t="str">
        <f>IF(AK324="","",AK324)</f>
        <v/>
      </c>
      <c r="O13" s="308" t="str">
        <f>IF(AL324="","",AL324)</f>
        <v/>
      </c>
      <c r="P13" s="309">
        <f>$Z$324</f>
        <v>100</v>
      </c>
      <c r="Q13" s="310">
        <f>$Y$324</f>
        <v>0</v>
      </c>
      <c r="U13" s="567"/>
      <c r="V13" s="568"/>
      <c r="W13" s="568"/>
      <c r="X13" s="568"/>
      <c r="Y13" s="568"/>
      <c r="Z13" s="568"/>
      <c r="AA13" s="569"/>
      <c r="AC13" s="275"/>
      <c r="AD13" s="301" t="s">
        <v>7828</v>
      </c>
      <c r="AE13" s="322" t="s">
        <v>338</v>
      </c>
      <c r="AF13" s="303" t="s">
        <v>7951</v>
      </c>
      <c r="AG13" s="34" t="s">
        <v>7952</v>
      </c>
      <c r="AH13" s="34"/>
      <c r="AI13" s="311" t="s">
        <v>7953</v>
      </c>
      <c r="AJ13" s="311"/>
      <c r="AK13" s="311"/>
      <c r="AL13" s="311"/>
      <c r="AM13" s="311"/>
      <c r="AN13" s="311"/>
      <c r="AO13" s="311"/>
      <c r="AP13" s="311"/>
      <c r="AQ13" s="311"/>
      <c r="BC13" s="271"/>
      <c r="BD13" s="279">
        <v>1</v>
      </c>
      <c r="BE13" s="271"/>
      <c r="BF13" s="271"/>
      <c r="BG13" s="271"/>
    </row>
    <row r="14" spans="1:111" ht="23.1" customHeight="1" x14ac:dyDescent="0.25">
      <c r="A14" s="284"/>
      <c r="B14" s="507" t="s">
        <v>8167</v>
      </c>
      <c r="C14" s="507" t="s">
        <v>8168</v>
      </c>
      <c r="D14" s="284"/>
      <c r="E14" s="318"/>
      <c r="F14" s="677"/>
      <c r="G14" s="677"/>
      <c r="H14" s="677"/>
      <c r="I14" s="677"/>
      <c r="J14" s="271"/>
      <c r="K14" s="155">
        <f>$V$360</f>
        <v>9</v>
      </c>
      <c r="L14" s="306" t="str">
        <f>$W$360</f>
        <v>N°00 ?</v>
      </c>
      <c r="M14" s="307" t="str">
        <f>$X$360</f>
        <v>Saisissez votre recette X360</v>
      </c>
      <c r="N14" s="308" t="str">
        <f>IF(AK360="","",AK360)</f>
        <v/>
      </c>
      <c r="O14" s="308" t="str">
        <f>IF(AL360="","",AL360)</f>
        <v/>
      </c>
      <c r="P14" s="309">
        <f>$Z$360</f>
        <v>100</v>
      </c>
      <c r="Q14" s="310">
        <f>$Y$360</f>
        <v>0</v>
      </c>
      <c r="U14" s="299"/>
      <c r="V14" s="271"/>
      <c r="W14" s="271"/>
      <c r="X14" s="271"/>
      <c r="Y14" s="271"/>
      <c r="Z14" s="271"/>
      <c r="AA14" s="300"/>
      <c r="AC14" s="275"/>
      <c r="AD14" s="301" t="s">
        <v>7828</v>
      </c>
      <c r="AE14" s="322" t="s">
        <v>338</v>
      </c>
      <c r="AF14" s="303" t="s">
        <v>7951</v>
      </c>
      <c r="AG14" s="34" t="s">
        <v>7954</v>
      </c>
      <c r="AH14" s="34"/>
      <c r="AI14" s="311" t="s">
        <v>7955</v>
      </c>
      <c r="AJ14" s="311"/>
      <c r="AK14" s="311"/>
      <c r="AL14" s="311"/>
      <c r="AM14" s="311"/>
      <c r="AN14" s="311"/>
      <c r="AO14" s="311"/>
      <c r="AP14" s="311"/>
      <c r="AQ14" s="311"/>
      <c r="BC14" s="271"/>
      <c r="BD14" s="279">
        <v>1</v>
      </c>
      <c r="BE14" s="271"/>
      <c r="BF14" s="271"/>
      <c r="BG14" s="271"/>
    </row>
    <row r="15" spans="1:111" ht="23.1" customHeight="1" x14ac:dyDescent="0.25">
      <c r="A15" s="750" t="s">
        <v>7956</v>
      </c>
      <c r="B15" s="751"/>
      <c r="C15" s="751"/>
      <c r="D15" s="751"/>
      <c r="E15" s="751"/>
      <c r="F15" s="751"/>
      <c r="G15" s="751"/>
      <c r="H15" s="751"/>
      <c r="I15" s="752"/>
      <c r="J15" s="271"/>
      <c r="K15" s="157">
        <f>$V$396</f>
        <v>10</v>
      </c>
      <c r="L15" s="342" t="str">
        <f>$W$396</f>
        <v>N°00 ?</v>
      </c>
      <c r="M15" s="343" t="str">
        <f>$X$396</f>
        <v>Saisissez votre recette X396</v>
      </c>
      <c r="N15" s="344" t="str">
        <f>IF(AK396="","",AK396)</f>
        <v/>
      </c>
      <c r="O15" s="344" t="str">
        <f>IF(AL396="","",AL396)</f>
        <v/>
      </c>
      <c r="P15" s="345">
        <f>$Z$396</f>
        <v>100</v>
      </c>
      <c r="Q15" s="346">
        <f>$Y$396</f>
        <v>0</v>
      </c>
      <c r="U15" s="558" t="s">
        <v>7899</v>
      </c>
      <c r="V15" s="559"/>
      <c r="W15" s="559"/>
      <c r="X15" s="559"/>
      <c r="Y15" s="559"/>
      <c r="Z15" s="559"/>
      <c r="AA15" s="560"/>
      <c r="AC15" s="275"/>
      <c r="AD15" s="301" t="s">
        <v>7828</v>
      </c>
      <c r="AE15" s="322" t="s">
        <v>338</v>
      </c>
      <c r="AF15" s="303" t="s">
        <v>7951</v>
      </c>
      <c r="AG15" s="34" t="s">
        <v>139</v>
      </c>
      <c r="AH15" s="34"/>
      <c r="AI15" s="311" t="s">
        <v>7957</v>
      </c>
      <c r="AJ15" s="311"/>
      <c r="AK15" s="311"/>
      <c r="AL15" s="311"/>
      <c r="AM15" s="311"/>
      <c r="AN15" s="311"/>
      <c r="AO15" s="311"/>
      <c r="AP15" s="311"/>
      <c r="AQ15" s="311"/>
      <c r="BC15" s="271"/>
      <c r="BD15" s="279">
        <v>1</v>
      </c>
      <c r="BE15" s="271"/>
      <c r="BF15" s="271"/>
      <c r="BG15" s="271"/>
    </row>
    <row r="16" spans="1:111" ht="23.1" customHeight="1" x14ac:dyDescent="0.25">
      <c r="A16" s="347" t="s">
        <v>7958</v>
      </c>
      <c r="B16" s="678" t="str">
        <f>IF(AND($B$13&lt;&gt;"",$G$12&lt;&gt;""),"DEUX CALCULS ACTIFS — A ET B",IF($B$13&lt;&gt;"","MODE A ACTIF — ÉLÉMENT PRINCIPAL",IF($G$12&lt;&gt;"","MODE B ACTIF — COUVERTS","AUCUN CALCUL ACTIF")))</f>
        <v>DEUX CALCULS ACTIFS — A ET B</v>
      </c>
      <c r="C16" s="678"/>
      <c r="D16" s="678"/>
      <c r="E16" s="678"/>
      <c r="F16" s="678"/>
      <c r="G16" s="678"/>
      <c r="H16" s="678"/>
      <c r="I16" s="678"/>
      <c r="J16" s="271"/>
      <c r="K16" s="271"/>
      <c r="L16" s="271"/>
      <c r="M16" s="271"/>
      <c r="N16" s="271"/>
      <c r="O16" s="271"/>
      <c r="P16" s="271"/>
      <c r="Q16" s="271"/>
      <c r="U16" s="570" t="s">
        <v>281</v>
      </c>
      <c r="V16" s="572" t="s">
        <v>7959</v>
      </c>
      <c r="W16" s="574" t="s">
        <v>7911</v>
      </c>
      <c r="X16" s="574"/>
      <c r="Y16" s="574"/>
      <c r="Z16" s="574"/>
      <c r="AA16" s="575"/>
      <c r="AC16" s="275"/>
      <c r="AD16" s="301" t="s">
        <v>7828</v>
      </c>
      <c r="AE16" s="322" t="s">
        <v>7960</v>
      </c>
      <c r="AF16" s="303" t="s">
        <v>7951</v>
      </c>
      <c r="AG16" s="34" t="s">
        <v>7961</v>
      </c>
      <c r="AH16" s="34"/>
      <c r="AI16" s="311" t="s">
        <v>7962</v>
      </c>
      <c r="AJ16" s="311"/>
      <c r="AK16" s="311"/>
      <c r="AL16" s="311"/>
      <c r="AM16" s="311"/>
      <c r="AN16" s="311"/>
      <c r="AO16" s="311"/>
      <c r="AP16" s="311"/>
      <c r="AQ16" s="311"/>
      <c r="BC16" s="271"/>
      <c r="BD16" s="279">
        <v>1</v>
      </c>
      <c r="BE16" s="271"/>
      <c r="BF16" s="271"/>
      <c r="BG16" s="271"/>
    </row>
    <row r="17" spans="1:59" ht="23.1" customHeight="1" thickBot="1" x14ac:dyDescent="0.3">
      <c r="A17" s="348" t="s">
        <v>6113</v>
      </c>
      <c r="B17" s="679" t="str">
        <f>IF(AND(COUNTIF(B22:B57,"*~**")=0,COUNTIF(B22:B57,"*~?*")=0),"",IF(COUNTIF(B22:B57,"*~**")&gt;0,COUNTIF(B22:B57,"*~**")&amp;" allergène"&amp;IF(COUNTIF(B22:B57,"*~**")&gt;1,"s","")&amp;" repéré"&amp;IF(COUNTIF(B22:B57,"*~**")&gt;1,"s","")&amp;" par *","")&amp;IF(AND(COUNTIF(B22:B57,"*~**")&gt;0,COUNTIF(B22:B57,"*~?*")&gt;0)," | ","")&amp;IF(COUNTIF(B22:B57,"*~?*")&gt;0,COUNTIF(B22:B57,"*~?*")&amp;" produit"&amp;IF(COUNTIF(B22:B57,"*~?*")&gt;1,"s","")&amp;" à vérifier par ?",""))</f>
        <v>2 allergènes repérés par * | 1 produit à vérifier par ?</v>
      </c>
      <c r="C17" s="679"/>
      <c r="D17" s="679"/>
      <c r="E17" s="679"/>
      <c r="F17" s="679"/>
      <c r="G17" s="679"/>
      <c r="H17" s="679"/>
      <c r="I17" s="680"/>
      <c r="J17" s="271"/>
      <c r="K17" s="681" t="s">
        <v>7963</v>
      </c>
      <c r="L17" s="682"/>
      <c r="M17" s="682"/>
      <c r="N17" s="682"/>
      <c r="O17" s="682"/>
      <c r="P17" s="682"/>
      <c r="Q17" s="683"/>
      <c r="U17" s="571"/>
      <c r="V17" s="573"/>
      <c r="W17" s="576"/>
      <c r="X17" s="576"/>
      <c r="Y17" s="576"/>
      <c r="Z17" s="576"/>
      <c r="AA17" s="577"/>
      <c r="AC17" s="275"/>
      <c r="AD17" s="301" t="s">
        <v>7964</v>
      </c>
      <c r="AE17" s="322" t="s">
        <v>7965</v>
      </c>
      <c r="AF17" s="303" t="s">
        <v>7966</v>
      </c>
      <c r="AG17" s="578" t="s">
        <v>7967</v>
      </c>
      <c r="AH17" s="578"/>
      <c r="AI17" s="311" t="s">
        <v>7968</v>
      </c>
      <c r="AJ17" s="311"/>
      <c r="AK17" s="311"/>
      <c r="AL17" s="311"/>
      <c r="AM17" s="311"/>
      <c r="AN17" s="311"/>
      <c r="AO17" s="311"/>
      <c r="AP17" s="311"/>
      <c r="AQ17" s="311"/>
      <c r="BC17" s="271"/>
      <c r="BD17" s="279">
        <v>1</v>
      </c>
      <c r="BE17" s="271"/>
      <c r="BF17" s="271"/>
      <c r="BG17" s="271"/>
    </row>
    <row r="18" spans="1:59" ht="18.75" x14ac:dyDescent="0.25">
      <c r="A18" s="349"/>
      <c r="B18" s="350" t="s">
        <v>6114</v>
      </c>
      <c r="C18" s="351"/>
      <c r="D18" s="351"/>
      <c r="E18" s="351"/>
      <c r="F18" s="351"/>
      <c r="G18" s="351"/>
      <c r="H18" s="351"/>
      <c r="I18" s="351"/>
      <c r="J18" s="271"/>
      <c r="K18" s="684"/>
      <c r="L18" s="685"/>
      <c r="M18" s="685"/>
      <c r="N18" s="685"/>
      <c r="O18" s="685"/>
      <c r="P18" s="685"/>
      <c r="Q18" s="686"/>
      <c r="U18" s="579" t="s">
        <v>6154</v>
      </c>
      <c r="V18" s="581" t="s">
        <v>7969</v>
      </c>
      <c r="W18" s="583" t="s">
        <v>7970</v>
      </c>
      <c r="X18" s="583"/>
      <c r="Y18" s="583"/>
      <c r="Z18" s="583"/>
      <c r="AA18" s="584"/>
      <c r="AC18" s="275"/>
      <c r="AD18" s="352" t="s">
        <v>7971</v>
      </c>
      <c r="AE18" s="353"/>
      <c r="AF18" s="354"/>
      <c r="AG18" s="353"/>
      <c r="AH18" s="353"/>
      <c r="AI18" s="353"/>
      <c r="AJ18" s="353"/>
      <c r="AK18" s="353"/>
      <c r="AL18" s="353"/>
      <c r="AM18" s="353"/>
      <c r="AN18" s="353"/>
      <c r="AO18" s="353"/>
      <c r="AP18" s="353"/>
      <c r="AQ18" s="353"/>
      <c r="BC18" s="271"/>
      <c r="BD18" s="279">
        <v>1</v>
      </c>
      <c r="BE18" s="271"/>
      <c r="BF18" s="271"/>
      <c r="BG18" s="271"/>
    </row>
    <row r="19" spans="1:59" ht="23.1" customHeight="1" x14ac:dyDescent="0.25">
      <c r="A19" s="750" t="s">
        <v>7972</v>
      </c>
      <c r="B19" s="751"/>
      <c r="C19" s="751"/>
      <c r="D19" s="751"/>
      <c r="E19" s="751"/>
      <c r="F19" s="751"/>
      <c r="G19" s="751"/>
      <c r="H19" s="751"/>
      <c r="I19" s="752"/>
      <c r="J19" s="271"/>
      <c r="K19" s="684"/>
      <c r="L19" s="685"/>
      <c r="M19" s="685"/>
      <c r="N19" s="685"/>
      <c r="O19" s="685"/>
      <c r="P19" s="685"/>
      <c r="Q19" s="686"/>
      <c r="U19" s="580"/>
      <c r="V19" s="582"/>
      <c r="W19" s="585"/>
      <c r="X19" s="585"/>
      <c r="Y19" s="585"/>
      <c r="Z19" s="585"/>
      <c r="AA19" s="586"/>
      <c r="AC19" s="275"/>
      <c r="AD19" s="301" t="s">
        <v>7973</v>
      </c>
      <c r="AE19" s="355" t="s">
        <v>7974</v>
      </c>
      <c r="AF19" s="303" t="s">
        <v>7975</v>
      </c>
      <c r="AG19" s="356" t="s">
        <v>7976</v>
      </c>
      <c r="AH19" s="357"/>
      <c r="AI19" s="358" t="s">
        <v>7977</v>
      </c>
      <c r="AJ19" s="358"/>
      <c r="AK19" s="358"/>
      <c r="AL19" s="358"/>
      <c r="AM19" s="358"/>
      <c r="AN19" s="358"/>
      <c r="AO19" s="358"/>
      <c r="AP19" s="358"/>
      <c r="AQ19" s="358"/>
      <c r="BC19" s="271"/>
      <c r="BD19" s="279">
        <v>1</v>
      </c>
      <c r="BE19" s="271"/>
      <c r="BF19" s="271"/>
      <c r="BG19" s="271"/>
    </row>
    <row r="20" spans="1:59" ht="21.95" customHeight="1" x14ac:dyDescent="0.25">
      <c r="A20" s="359"/>
      <c r="B20" s="359"/>
      <c r="C20" s="360" cm="1">
        <f t="array" ref="C20">IFERROR(INDEX($P$6:$P$15,$B$5),"")</f>
        <v>100</v>
      </c>
      <c r="D20" s="361" t="s">
        <v>7941</v>
      </c>
      <c r="E20" s="673" t="str">
        <f>IF($B$13="","MODE A NON RENSEIGNÉ","MODE A — "&amp;$B$13&amp;" "&amp;$C$13)</f>
        <v>MODE A — 2 Kg</v>
      </c>
      <c r="F20" s="673"/>
      <c r="G20" s="674" t="str">
        <f>IF($G$12="","MODE B NON RENSEIGNÉ","MODE B — "&amp;$G$12&amp;" COUVERTS")</f>
        <v>MODE B — 200 COUVERTS</v>
      </c>
      <c r="H20" s="674"/>
      <c r="I20" s="675"/>
      <c r="J20" s="271"/>
      <c r="K20" s="684"/>
      <c r="L20" s="685"/>
      <c r="M20" s="685"/>
      <c r="N20" s="685"/>
      <c r="O20" s="685"/>
      <c r="P20" s="685"/>
      <c r="Q20" s="686"/>
      <c r="U20" s="587" t="s">
        <v>6146</v>
      </c>
      <c r="V20" s="589" t="s">
        <v>7978</v>
      </c>
      <c r="W20" s="591" t="s">
        <v>7979</v>
      </c>
      <c r="X20" s="591"/>
      <c r="Y20" s="591"/>
      <c r="Z20" s="591"/>
      <c r="AA20" s="592"/>
      <c r="AC20" s="275"/>
      <c r="AD20" s="301" t="s">
        <v>7973</v>
      </c>
      <c r="AE20" s="355" t="s">
        <v>7974</v>
      </c>
      <c r="AF20" s="303" t="s">
        <v>7975</v>
      </c>
      <c r="AG20" s="356" t="s">
        <v>7980</v>
      </c>
      <c r="AH20" s="357"/>
      <c r="AI20" s="362" t="s">
        <v>7981</v>
      </c>
      <c r="AJ20" s="362"/>
      <c r="AK20" s="362"/>
      <c r="AL20" s="362"/>
      <c r="AM20" s="362"/>
      <c r="AN20" s="362"/>
      <c r="AO20" s="362"/>
      <c r="AP20" s="362"/>
      <c r="AQ20" s="362"/>
      <c r="BC20" s="271"/>
      <c r="BD20" s="279">
        <v>1</v>
      </c>
      <c r="BE20" s="271"/>
      <c r="BF20" s="271"/>
      <c r="BG20" s="271"/>
    </row>
    <row r="21" spans="1:59" ht="21.95" customHeight="1" x14ac:dyDescent="0.25">
      <c r="A21" s="363" t="s">
        <v>337</v>
      </c>
      <c r="B21" s="364" t="s">
        <v>338</v>
      </c>
      <c r="C21" s="364" t="s">
        <v>339</v>
      </c>
      <c r="D21" s="364" t="s">
        <v>340</v>
      </c>
      <c r="E21" s="365" t="s">
        <v>7982</v>
      </c>
      <c r="F21" s="366" t="s">
        <v>341</v>
      </c>
      <c r="G21" s="367" t="s">
        <v>7983</v>
      </c>
      <c r="H21" s="368" t="s">
        <v>342</v>
      </c>
      <c r="I21" s="369" t="s">
        <v>343</v>
      </c>
      <c r="J21" s="271"/>
      <c r="K21" s="687"/>
      <c r="L21" s="688"/>
      <c r="M21" s="688"/>
      <c r="N21" s="688"/>
      <c r="O21" s="688"/>
      <c r="P21" s="688"/>
      <c r="Q21" s="689"/>
      <c r="U21" s="588"/>
      <c r="V21" s="590"/>
      <c r="W21" s="593"/>
      <c r="X21" s="593"/>
      <c r="Y21" s="593"/>
      <c r="Z21" s="593"/>
      <c r="AA21" s="594"/>
      <c r="AC21" s="275"/>
      <c r="AD21" s="370" t="s">
        <v>7984</v>
      </c>
      <c r="AE21" s="371" t="s">
        <v>7974</v>
      </c>
      <c r="AF21" s="372" t="s">
        <v>7975</v>
      </c>
      <c r="AG21" s="356" t="s">
        <v>7985</v>
      </c>
      <c r="AH21" s="357"/>
      <c r="AI21" s="373" t="s">
        <v>7986</v>
      </c>
      <c r="AJ21" s="373"/>
      <c r="AK21" s="373"/>
      <c r="AL21" s="373"/>
      <c r="AM21" s="373"/>
      <c r="AN21" s="373"/>
      <c r="AO21" s="373"/>
      <c r="AP21" s="373"/>
      <c r="AQ21" s="373"/>
      <c r="BC21" s="271"/>
      <c r="BD21" s="279">
        <v>1</v>
      </c>
      <c r="BE21" s="271"/>
      <c r="BF21" s="271"/>
      <c r="BG21" s="271"/>
    </row>
    <row r="22" spans="1:59" ht="21.95" customHeight="1" thickBot="1" x14ac:dyDescent="0.3">
      <c r="A22" s="374">
        <f>IF($B22="","",0)</f>
        <v>0</v>
      </c>
      <c r="B22" s="375" t="str" cm="1">
        <f t="array" ref="B22">IFERROR(IF(INDEX($AC$72:$AC$430,$K22)="","",INDEX($AC$72:$AC$430,$K22)),"")</f>
        <v>Coulis de tomate</v>
      </c>
      <c r="C22" s="376" cm="1">
        <f t="array" ref="C22">IF($B22="","",INDEX($AG$72:$AG$430,$K22))</f>
        <v>12</v>
      </c>
      <c r="D22" s="377" t="str" cm="1">
        <f t="array" ref="D22">IF($B22="","",INDEX($AH$72:$AH$430,$K22))</f>
        <v>L</v>
      </c>
      <c r="E22" s="378">
        <f t="shared" ref="E22:E56" si="0">IF($B22="","",IF(UPPER(TRIM($D22))="QT. SUFFISANTE","",IF($N22="","",IF($L22="MASSE",IF($N22&gt;=1,ROUND($N22,2),ROUND($N22*1000,0)),IF($L22="VOLUME",IF($N22&gt;=1,ROUND($N22,2),ROUND($N22*100,0)),ROUND($N22,0))))))</f>
        <v>2</v>
      </c>
      <c r="F22" s="379" t="str" cm="1">
        <f t="array" ref="F22">IF($B22="","",IF(UPPER(TRIM($D22))="QT. SUFFISANTE","Qt. suffisante",IF($N22="","",IF($L22="MASSE",IF($N22&gt;=1,"Kg","g"),IF($L22="VOLUME",IF($N22&gt;=1,"L","cl"),INDEX($AL$72:$AL$430,$K22))))))</f>
        <v>L</v>
      </c>
      <c r="G22" s="380">
        <f t="shared" ref="G22:G56" si="1">IF($B22="","",IF(UPPER(TRIM($D22))="QT. SUFFISANTE","",IF($O22="","",IF($L22="MASSE",IF($O22&gt;=1,ROUND($O22,2),ROUND($O22*1000,0)),IF($L22="VOLUME",IF($O22&gt;=1,ROUND($O22,2),ROUND($O22*100,0)),ROUND($O22,0))))))</f>
        <v>24</v>
      </c>
      <c r="H22" s="381" t="str" cm="1">
        <f t="array" ref="H22">IF($B22="","",IF(UPPER(TRIM($D22))="QT. SUFFISANTE","Qt. suffisante",IF($O22="","",IF($L22="MASSE",IF($O22&gt;=1,"Kg","g"),IF($L22="VOLUME",IF($O22&gt;=1,"L","cl"),INDEX($AL$72:$AL$430,$K22))))))</f>
        <v>L</v>
      </c>
      <c r="I22" s="382" t="str" cm="1">
        <f t="array" ref="I22">IF($B22="","",INDEX($AM$72:$AM$430,$K22))</f>
        <v>OK</v>
      </c>
      <c r="J22" s="271"/>
      <c r="K22" s="383">
        <f>1+($B$5-1)*36+0</f>
        <v>1</v>
      </c>
      <c r="L22" s="383" t="str" cm="1">
        <f t="array" ref="L22">IF($B22="","",INDEX($AI$72:$AI$430,$K22))</f>
        <v>VOLUME</v>
      </c>
      <c r="M22" s="383" cm="1">
        <f t="array" ref="M22">IF($B22="","",INDEX($AJ$72:$AJ$430,$K22))</f>
        <v>1</v>
      </c>
      <c r="N22" s="384" cm="1">
        <f t="array" ref="N22">IF(OR($B22="",$B$13="",$B$12="",$B$12=0),"",IF($L$22="AUTRE",IFERROR(INDEX($AK$72:$AK$430,$K22)*($B$13/$B$12),""),IF(OR($C$12="",$C$13=""),"",IFERROR(INDEX($AK$72:$AK$430,$K22)*(($B$13*VLOOKUP($C$13,$AY$74:$BA$119,3,FALSE))/($B$12*VLOOKUP($C$12,$AY$74:$BA$119,3,FALSE))),""))))</f>
        <v>2</v>
      </c>
      <c r="O22" s="384" cm="1">
        <f t="array" ref="O22">IF(OR($B22="",$G$12="",$G$11="",$G$11=0),"",IFERROR(INDEX($AK$72:$AK$430,$K22)*($G$12/$G$11),""))</f>
        <v>24</v>
      </c>
      <c r="U22" s="602" t="s">
        <v>6174</v>
      </c>
      <c r="V22" s="604" t="s">
        <v>7987</v>
      </c>
      <c r="W22" s="606" t="s">
        <v>7988</v>
      </c>
      <c r="X22" s="606"/>
      <c r="Y22" s="606"/>
      <c r="Z22" s="606"/>
      <c r="AA22" s="607"/>
      <c r="AC22" s="275"/>
      <c r="AD22" s="370" t="s">
        <v>7984</v>
      </c>
      <c r="AE22" s="385" t="s">
        <v>7974</v>
      </c>
      <c r="AF22" s="372" t="s">
        <v>7975</v>
      </c>
      <c r="AG22" s="356" t="s">
        <v>7989</v>
      </c>
      <c r="AH22" s="357"/>
      <c r="AI22" s="373" t="s">
        <v>7990</v>
      </c>
      <c r="AJ22" s="373"/>
      <c r="AK22" s="373"/>
      <c r="AL22" s="373"/>
      <c r="AM22" s="373"/>
      <c r="AN22" s="373"/>
      <c r="AO22" s="373"/>
      <c r="AP22" s="373"/>
      <c r="AQ22" s="373"/>
      <c r="BC22" s="271"/>
      <c r="BD22" s="279">
        <v>1</v>
      </c>
      <c r="BE22" s="271"/>
      <c r="BF22" s="271"/>
      <c r="BG22" s="271"/>
    </row>
    <row r="23" spans="1:59" ht="21.95" customHeight="1" x14ac:dyDescent="0.25">
      <c r="A23" s="374">
        <f>IF($B23="","",1)</f>
        <v>1</v>
      </c>
      <c r="B23" s="375" t="str" cm="1">
        <f t="array" ref="B23">IFERROR(IF(INDEX($AC$72:$AC$430,$K23)="","",INDEX($AC$72:$AC$430,$K23)),"")</f>
        <v>Poivrons rouges</v>
      </c>
      <c r="C23" s="376" cm="1">
        <f t="array" ref="C23">IF($B23="","",INDEX($AG$72:$AG$430,$K23))</f>
        <v>1</v>
      </c>
      <c r="D23" s="377" t="str" cm="1">
        <f t="array" ref="D23">IF($B23="","",INDEX($AH$72:$AH$430,$K23))</f>
        <v>KG</v>
      </c>
      <c r="E23" s="378">
        <f t="shared" si="0"/>
        <v>167</v>
      </c>
      <c r="F23" s="379" t="str" cm="1">
        <f t="array" ref="F23">IF($B23="","",IF(UPPER(TRIM($D23))="QT. SUFFISANTE","Qt. suffisante",IF($N23="","",IF($L23="MASSE",IF($N23&gt;=1,"Kg","g"),IF($L23="VOLUME",IF($N23&gt;=1,"L","cl"),INDEX($AL$72:$AL$430,$K23))))))</f>
        <v>g</v>
      </c>
      <c r="G23" s="380">
        <f t="shared" si="1"/>
        <v>2</v>
      </c>
      <c r="H23" s="381" t="str" cm="1">
        <f t="array" ref="H23">IF($B23="","",IF(UPPER(TRIM($D23))="QT. SUFFISANTE","Qt. suffisante",IF($O23="","",IF($L23="MASSE",IF($O23&gt;=1,"Kg","g"),IF($L23="VOLUME",IF($O23&gt;=1,"L","cl"),INDEX($AL$72:$AL$430,$K23))))))</f>
        <v>Kg</v>
      </c>
      <c r="I23" s="382" t="str" cm="1">
        <f t="array" ref="I23">IF($B23="","",INDEX($AM$72:$AM$430,$K23))</f>
        <v>OK</v>
      </c>
      <c r="J23" s="271"/>
      <c r="K23" s="383">
        <f>1+($B$5-1)*36+1</f>
        <v>2</v>
      </c>
      <c r="L23" s="383" t="str" cm="1">
        <f t="array" ref="L23">IF($B23="","",INDEX($AI$72:$AI$430,$K23))</f>
        <v>MASSE</v>
      </c>
      <c r="M23" s="383" cm="1">
        <f t="array" ref="M23">IF($B23="","",INDEX($AJ$72:$AJ$430,$K23))</f>
        <v>1</v>
      </c>
      <c r="N23" s="384" cm="1">
        <f t="array" ref="N23">IF(OR($B23="",$B$13="",$B$12="",$B$12=0),"",IF($L$22="AUTRE",IFERROR(INDEX($AK$72:$AK$430,$K23)*($B$13/$B$12),""),IF(OR($C$12="",$C$13=""),"",IFERROR(INDEX($AK$72:$AK$430,$K23)*(($B$13*VLOOKUP($C$13,$AY$74:$BA$119,3,FALSE))/($B$12*VLOOKUP($C$12,$AY$74:$BA$119,3,FALSE))),""))))</f>
        <v>0.16666666666666666</v>
      </c>
      <c r="O23" s="384" cm="1">
        <f t="array" ref="O23">IF(OR($B23="",$G$12="",$G$11="",$G$11=0),"",IFERROR(INDEX($AK$72:$AK$430,$K23)*($G$12/$G$11),""))</f>
        <v>2</v>
      </c>
      <c r="U23" s="603"/>
      <c r="V23" s="605"/>
      <c r="W23" s="608"/>
      <c r="X23" s="608"/>
      <c r="Y23" s="608"/>
      <c r="Z23" s="608"/>
      <c r="AA23" s="609"/>
      <c r="AC23" s="275"/>
      <c r="AD23" s="386" t="s">
        <v>7991</v>
      </c>
      <c r="AE23" s="387"/>
      <c r="AF23" s="388"/>
      <c r="AG23" s="387"/>
      <c r="AH23" s="387"/>
      <c r="AI23" s="387"/>
      <c r="AJ23" s="387"/>
      <c r="AK23" s="387"/>
      <c r="AL23" s="387"/>
      <c r="AM23" s="387"/>
      <c r="AN23" s="387"/>
      <c r="AO23" s="387"/>
      <c r="AP23" s="387"/>
      <c r="AQ23" s="387"/>
      <c r="BB23" s="271"/>
      <c r="BC23" s="271"/>
      <c r="BD23" s="279">
        <v>1</v>
      </c>
      <c r="BE23" s="271"/>
      <c r="BF23" s="271"/>
      <c r="BG23" s="271"/>
    </row>
    <row r="24" spans="1:59" ht="21.95" customHeight="1" x14ac:dyDescent="0.25">
      <c r="A24" s="374">
        <f>IF($B24="","",2)</f>
        <v>2</v>
      </c>
      <c r="B24" s="375" t="str" cm="1">
        <f t="array" ref="B24">IFERROR(IF(INDEX($AC$72:$AC$430,$K24)="","",INDEX($AC$72:$AC$430,$K24)),"")</f>
        <v>Poivrons verts</v>
      </c>
      <c r="C24" s="376" cm="1">
        <f t="array" ref="C24">IF($B24="","",INDEX($AG$72:$AG$430,$K24))</f>
        <v>1</v>
      </c>
      <c r="D24" s="377" t="str" cm="1">
        <f t="array" ref="D24">IF($B24="","",INDEX($AH$72:$AH$430,$K24))</f>
        <v>KG</v>
      </c>
      <c r="E24" s="378">
        <f t="shared" si="0"/>
        <v>167</v>
      </c>
      <c r="F24" s="379" t="str" cm="1">
        <f t="array" ref="F24">IF($B24="","",IF(UPPER(TRIM($D24))="QT. SUFFISANTE","Qt. suffisante",IF($N24="","",IF($L24="MASSE",IF($N24&gt;=1,"Kg","g"),IF($L24="VOLUME",IF($N24&gt;=1,"L","cl"),INDEX($AL$72:$AL$430,$K24))))))</f>
        <v>g</v>
      </c>
      <c r="G24" s="380">
        <f t="shared" si="1"/>
        <v>2</v>
      </c>
      <c r="H24" s="381" t="str" cm="1">
        <f t="array" ref="H24">IF($B24="","",IF(UPPER(TRIM($D24))="QT. SUFFISANTE","Qt. suffisante",IF($O24="","",IF($L24="MASSE",IF($O24&gt;=1,"Kg","g"),IF($L24="VOLUME",IF($O24&gt;=1,"L","cl"),INDEX($AL$72:$AL$430,$K24))))))</f>
        <v>Kg</v>
      </c>
      <c r="I24" s="382" t="str" cm="1">
        <f t="array" ref="I24">IF($B24="","",INDEX($AM$72:$AM$430,$K24))</f>
        <v>OK</v>
      </c>
      <c r="J24" s="271"/>
      <c r="K24" s="383">
        <f>1+($B$5-1)*36+2</f>
        <v>3</v>
      </c>
      <c r="L24" s="383" t="str" cm="1">
        <f t="array" ref="L24">IF($B24="","",INDEX($AI$72:$AI$430,$K24))</f>
        <v>MASSE</v>
      </c>
      <c r="M24" s="383" cm="1">
        <f t="array" ref="M24">IF($B24="","",INDEX($AJ$72:$AJ$430,$K24))</f>
        <v>1</v>
      </c>
      <c r="N24" s="384" cm="1">
        <f t="array" ref="N24">IF(OR($B24="",$B$13="",$B$12="",$B$12=0),"",IF($L$22="AUTRE",IFERROR(INDEX($AK$72:$AK$430,$K24)*($B$13/$B$12),""),IF(OR($C$12="",$C$13=""),"",IFERROR(INDEX($AK$72:$AK$430,$K24)*(($B$13*VLOOKUP($C$13,$AY$74:$BA$119,3,FALSE))/($B$12*VLOOKUP($C$12,$AY$74:$BA$119,3,FALSE))),""))))</f>
        <v>0.16666666666666666</v>
      </c>
      <c r="O24" s="384" cm="1">
        <f t="array" ref="O24">IF(OR($B24="",$G$12="",$G$11="",$G$11=0),"",IFERROR(INDEX($AK$72:$AK$430,$K24)*($G$12/$G$11),""))</f>
        <v>2</v>
      </c>
      <c r="U24" s="610" t="s">
        <v>136</v>
      </c>
      <c r="V24" s="612" t="s">
        <v>7992</v>
      </c>
      <c r="W24" s="614" t="s">
        <v>7993</v>
      </c>
      <c r="X24" s="614"/>
      <c r="Y24" s="614"/>
      <c r="Z24" s="614"/>
      <c r="AA24" s="615"/>
      <c r="AC24" s="275"/>
      <c r="AD24" s="301" t="s">
        <v>7994</v>
      </c>
      <c r="AE24" s="322" t="s">
        <v>339</v>
      </c>
      <c r="AF24" s="303" t="s">
        <v>7995</v>
      </c>
      <c r="AG24" s="389" t="s">
        <v>136</v>
      </c>
      <c r="AH24" s="14"/>
      <c r="AI24" s="304" t="s">
        <v>7996</v>
      </c>
      <c r="AJ24" s="304"/>
      <c r="AK24" s="304"/>
      <c r="AL24" s="304"/>
      <c r="AM24" s="304"/>
      <c r="AN24" s="304"/>
      <c r="AO24" s="304"/>
      <c r="AP24" s="304"/>
      <c r="AQ24" s="304"/>
      <c r="BB24" s="271"/>
      <c r="BC24" s="271"/>
      <c r="BD24" s="279">
        <v>1</v>
      </c>
      <c r="BE24" s="271"/>
      <c r="BF24" s="271"/>
      <c r="BG24" s="271"/>
    </row>
    <row r="25" spans="1:59" ht="21.95" customHeight="1" x14ac:dyDescent="0.25">
      <c r="A25" s="374">
        <f>IF($B25="","",3)</f>
        <v>3</v>
      </c>
      <c r="B25" s="375" t="str" cm="1">
        <f t="array" ref="B25">IFERROR(IF(INDEX($AC$72:$AC$430,$K25)="","",INDEX($AC$72:$AC$430,$K25)),"")</f>
        <v>Ail</v>
      </c>
      <c r="C25" s="376" cm="1">
        <f t="array" ref="C25">IF($B25="","",INDEX($AG$72:$AG$430,$K25))</f>
        <v>150</v>
      </c>
      <c r="D25" s="377" t="str" cm="1">
        <f t="array" ref="D25">IF($B25="","",INDEX($AH$72:$AH$430,$K25))</f>
        <v>G</v>
      </c>
      <c r="E25" s="378">
        <f t="shared" si="0"/>
        <v>25</v>
      </c>
      <c r="F25" s="379" t="str" cm="1">
        <f t="array" ref="F25">IF($B25="","",IF(UPPER(TRIM($D25))="QT. SUFFISANTE","Qt. suffisante",IF($N25="","",IF($L25="MASSE",IF($N25&gt;=1,"Kg","g"),IF($L25="VOLUME",IF($N25&gt;=1,"L","cl"),INDEX($AL$72:$AL$430,$K25))))))</f>
        <v>g</v>
      </c>
      <c r="G25" s="380">
        <f t="shared" si="1"/>
        <v>300</v>
      </c>
      <c r="H25" s="381" t="str" cm="1">
        <f t="array" ref="H25">IF($B25="","",IF(UPPER(TRIM($D25))="QT. SUFFISANTE","Qt. suffisante",IF($O25="","",IF($L25="MASSE",IF($O25&gt;=1,"Kg","g"),IF($L25="VOLUME",IF($O25&gt;=1,"L","cl"),INDEX($AL$72:$AL$430,$K25))))))</f>
        <v>g</v>
      </c>
      <c r="I25" s="382" t="str" cm="1">
        <f t="array" ref="I25">IF($B25="","",INDEX($AM$72:$AM$430,$K25))</f>
        <v>OK</v>
      </c>
      <c r="J25" s="271"/>
      <c r="K25" s="383">
        <f>1+($B$5-1)*36+3</f>
        <v>4</v>
      </c>
      <c r="L25" s="383" t="str" cm="1">
        <f t="array" ref="L25">IF($B25="","",INDEX($AI$72:$AI$430,$K25))</f>
        <v>MASSE</v>
      </c>
      <c r="M25" s="383" cm="1">
        <f t="array" ref="M25">IF($B25="","",INDEX($AJ$72:$AJ$430,$K25))</f>
        <v>1E-3</v>
      </c>
      <c r="N25" s="384" cm="1">
        <f t="array" ref="N25">IF(OR($B25="",$B$13="",$B$12="",$B$12=0),"",IF($L$22="AUTRE",IFERROR(INDEX($AK$72:$AK$430,$K25)*($B$13/$B$12),""),IF(OR($C$12="",$C$13=""),"",IFERROR(INDEX($AK$72:$AK$430,$K25)*(($B$13*VLOOKUP($C$13,$AY$74:$BA$119,3,FALSE))/($B$12*VLOOKUP($C$12,$AY$74:$BA$119,3,FALSE))),""))))</f>
        <v>2.4999999999999998E-2</v>
      </c>
      <c r="O25" s="384" cm="1">
        <f t="array" ref="O25">IF(OR($B25="",$G$12="",$G$11="",$G$11=0),"",IFERROR(INDEX($AK$72:$AK$430,$K25)*($G$12/$G$11),""))</f>
        <v>0.3</v>
      </c>
      <c r="U25" s="611"/>
      <c r="V25" s="613"/>
      <c r="W25" s="616"/>
      <c r="X25" s="616"/>
      <c r="Y25" s="616"/>
      <c r="Z25" s="616"/>
      <c r="AA25" s="617"/>
      <c r="AC25" s="275"/>
      <c r="AD25" s="301" t="s">
        <v>7994</v>
      </c>
      <c r="AE25" s="322" t="s">
        <v>7997</v>
      </c>
      <c r="AF25" s="303" t="s">
        <v>7998</v>
      </c>
      <c r="AG25" s="390"/>
      <c r="AH25" s="391" t="s">
        <v>7999</v>
      </c>
      <c r="AI25" s="311" t="s">
        <v>8000</v>
      </c>
      <c r="AJ25" s="311"/>
      <c r="AK25" s="311"/>
      <c r="AL25" s="311"/>
      <c r="AM25" s="311"/>
      <c r="AN25" s="311"/>
      <c r="AO25" s="311"/>
      <c r="AP25" s="311"/>
      <c r="AQ25" s="311"/>
      <c r="BB25" s="271"/>
      <c r="BC25" s="271"/>
      <c r="BD25" s="279">
        <v>1</v>
      </c>
      <c r="BE25" s="271"/>
      <c r="BF25" s="271"/>
      <c r="BG25" s="271"/>
    </row>
    <row r="26" spans="1:59" ht="21.95" customHeight="1" x14ac:dyDescent="0.25">
      <c r="A26" s="374">
        <f>IF($B26="","",4)</f>
        <v>4</v>
      </c>
      <c r="B26" s="375" t="str" cm="1">
        <f t="array" ref="B26">IFERROR(IF(INDEX($AC$72:$AC$430,$K26)="","",INDEX($AC$72:$AC$430,$K26)),"")</f>
        <v>Concombres</v>
      </c>
      <c r="C26" s="376" cm="1">
        <f t="array" ref="C26">IF($B26="","",INDEX($AG$72:$AG$430,$K26))</f>
        <v>2.5</v>
      </c>
      <c r="D26" s="377" t="str" cm="1">
        <f t="array" ref="D26">IF($B26="","",INDEX($AH$72:$AH$430,$K26))</f>
        <v>KG</v>
      </c>
      <c r="E26" s="378">
        <f t="shared" si="0"/>
        <v>417</v>
      </c>
      <c r="F26" s="379" t="str" cm="1">
        <f t="array" ref="F26">IF($B26="","",IF(UPPER(TRIM($D26))="QT. SUFFISANTE","Qt. suffisante",IF($N26="","",IF($L26="MASSE",IF($N26&gt;=1,"Kg","g"),IF($L26="VOLUME",IF($N26&gt;=1,"L","cl"),INDEX($AL$72:$AL$430,$K26))))))</f>
        <v>g</v>
      </c>
      <c r="G26" s="380">
        <f t="shared" si="1"/>
        <v>5</v>
      </c>
      <c r="H26" s="381" t="str" cm="1">
        <f t="array" ref="H26">IF($B26="","",IF(UPPER(TRIM($D26))="QT. SUFFISANTE","Qt. suffisante",IF($O26="","",IF($L26="MASSE",IF($O26&gt;=1,"Kg","g"),IF($L26="VOLUME",IF($O26&gt;=1,"L","cl"),INDEX($AL$72:$AL$430,$K26))))))</f>
        <v>Kg</v>
      </c>
      <c r="I26" s="382" t="str" cm="1">
        <f t="array" ref="I26">IF($B26="","",INDEX($AM$72:$AM$430,$K26))</f>
        <v>OK</v>
      </c>
      <c r="J26" s="271"/>
      <c r="K26" s="383">
        <f>1+($B$5-1)*36+4</f>
        <v>5</v>
      </c>
      <c r="L26" s="383" t="str" cm="1">
        <f t="array" ref="L26">IF($B26="","",INDEX($AI$72:$AI$430,$K26))</f>
        <v>MASSE</v>
      </c>
      <c r="M26" s="383" cm="1">
        <f t="array" ref="M26">IF($B26="","",INDEX($AJ$72:$AJ$430,$K26))</f>
        <v>1</v>
      </c>
      <c r="N26" s="384" cm="1">
        <f t="array" ref="N26">IF(OR($B26="",$B$13="",$B$12="",$B$12=0),"",IF($L$22="AUTRE",IFERROR(INDEX($AK$72:$AK$430,$K26)*($B$13/$B$12),""),IF(OR($C$12="",$C$13=""),"",IFERROR(INDEX($AK$72:$AK$430,$K26)*(($B$13*VLOOKUP($C$13,$AY$74:$BA$119,3,FALSE))/($B$12*VLOOKUP($C$12,$AY$74:$BA$119,3,FALSE))),""))))</f>
        <v>0.41666666666666663</v>
      </c>
      <c r="O26" s="384" cm="1">
        <f t="array" ref="O26">IF(OR($B26="",$G$12="",$G$11="",$G$11=0),"",IFERROR(INDEX($AK$72:$AK$430,$K26)*($G$12/$G$11),""))</f>
        <v>5</v>
      </c>
      <c r="U26" s="618" t="s">
        <v>8001</v>
      </c>
      <c r="V26" s="619" t="s">
        <v>8002</v>
      </c>
      <c r="W26" s="620" t="s">
        <v>8003</v>
      </c>
      <c r="X26" s="620"/>
      <c r="Y26" s="620"/>
      <c r="Z26" s="620"/>
      <c r="AA26" s="621"/>
      <c r="AC26" s="275"/>
      <c r="AD26" s="301" t="s">
        <v>8004</v>
      </c>
      <c r="AE26" s="322" t="s">
        <v>8005</v>
      </c>
      <c r="AF26" s="303" t="s">
        <v>8006</v>
      </c>
      <c r="AG26" s="624" t="s">
        <v>8007</v>
      </c>
      <c r="AH26" s="624"/>
      <c r="AI26" s="311" t="s">
        <v>8008</v>
      </c>
      <c r="AJ26" s="311"/>
      <c r="AK26" s="311"/>
      <c r="AL26" s="311"/>
      <c r="AM26" s="311"/>
      <c r="AN26" s="311"/>
      <c r="AO26" s="311"/>
      <c r="AP26" s="311"/>
      <c r="AQ26" s="311"/>
      <c r="BB26" s="271"/>
      <c r="BC26" s="271"/>
      <c r="BD26" s="279">
        <v>1</v>
      </c>
      <c r="BE26" s="271"/>
      <c r="BF26" s="271"/>
      <c r="BG26" s="271"/>
    </row>
    <row r="27" spans="1:59" ht="21.95" customHeight="1" thickBot="1" x14ac:dyDescent="0.3">
      <c r="A27" s="374">
        <f>IF($B27="","",5)</f>
        <v>5</v>
      </c>
      <c r="B27" s="375" t="str" cm="1">
        <f t="array" ref="B27">IFERROR(IF(INDEX($AC$72:$AC$430,$K27)="","",INDEX($AC$72:$AC$430,$K27)),"")</f>
        <v>Oignons</v>
      </c>
      <c r="C27" s="376" cm="1">
        <f t="array" ref="C27">IF($B27="","",INDEX($AG$72:$AG$430,$K27))</f>
        <v>1.5</v>
      </c>
      <c r="D27" s="377" t="str" cm="1">
        <f t="array" ref="D27">IF($B27="","",INDEX($AH$72:$AH$430,$K27))</f>
        <v>KG</v>
      </c>
      <c r="E27" s="378">
        <f t="shared" si="0"/>
        <v>250</v>
      </c>
      <c r="F27" s="379" t="str" cm="1">
        <f t="array" ref="F27">IF($B27="","",IF(UPPER(TRIM($D27))="QT. SUFFISANTE","Qt. suffisante",IF($N27="","",IF($L27="MASSE",IF($N27&gt;=1,"Kg","g"),IF($L27="VOLUME",IF($N27&gt;=1,"L","cl"),INDEX($AL$72:$AL$430,$K27))))))</f>
        <v>g</v>
      </c>
      <c r="G27" s="380">
        <f t="shared" si="1"/>
        <v>3</v>
      </c>
      <c r="H27" s="381" t="str" cm="1">
        <f t="array" ref="H27">IF($B27="","",IF(UPPER(TRIM($D27))="QT. SUFFISANTE","Qt. suffisante",IF($O27="","",IF($L27="MASSE",IF($O27&gt;=1,"Kg","g"),IF($L27="VOLUME",IF($O27&gt;=1,"L","cl"),INDEX($AL$72:$AL$430,$K27))))))</f>
        <v>Kg</v>
      </c>
      <c r="I27" s="382" t="str" cm="1">
        <f t="array" ref="I27">IF($B27="","",INDEX($AM$72:$AM$430,$K27))</f>
        <v>OK</v>
      </c>
      <c r="J27" s="271"/>
      <c r="K27" s="383">
        <f>1+($B$5-1)*36+5</f>
        <v>6</v>
      </c>
      <c r="L27" s="383" t="str" cm="1">
        <f t="array" ref="L27">IF($B27="","",INDEX($AI$72:$AI$430,$K27))</f>
        <v>MASSE</v>
      </c>
      <c r="M27" s="383" cm="1">
        <f t="array" ref="M27">IF($B27="","",INDEX($AJ$72:$AJ$430,$K27))</f>
        <v>1</v>
      </c>
      <c r="N27" s="384" cm="1">
        <f t="array" ref="N27">IF(OR($B27="",$B$13="",$B$12="",$B$12=0),"",IF($L$22="AUTRE",IFERROR(INDEX($AK$72:$AK$430,$K27)*($B$13/$B$12),""),IF(OR($C$12="",$C$13=""),"",IFERROR(INDEX($AK$72:$AK$430,$K27)*(($B$13*VLOOKUP($C$13,$AY$74:$BA$119,3,FALSE))/($B$12*VLOOKUP($C$12,$AY$74:$BA$119,3,FALSE))),""))))</f>
        <v>0.25</v>
      </c>
      <c r="O27" s="384" cm="1">
        <f t="array" ref="O27">IF(OR($B27="",$G$12="",$G$11="",$G$11=0),"",IFERROR(INDEX($AK$72:$AK$430,$K27)*($G$12/$G$11),""))</f>
        <v>3</v>
      </c>
      <c r="U27" s="588"/>
      <c r="V27" s="590"/>
      <c r="W27" s="622"/>
      <c r="X27" s="622"/>
      <c r="Y27" s="622"/>
      <c r="Z27" s="622"/>
      <c r="AA27" s="623"/>
      <c r="AC27" s="275"/>
      <c r="AD27" s="301" t="s">
        <v>8009</v>
      </c>
      <c r="AE27" s="355" t="s">
        <v>8010</v>
      </c>
      <c r="AF27" s="303" t="s">
        <v>8011</v>
      </c>
      <c r="AG27" s="625" t="s">
        <v>8012</v>
      </c>
      <c r="AH27" s="625"/>
      <c r="AI27" s="304" t="s">
        <v>8013</v>
      </c>
      <c r="AJ27" s="304"/>
      <c r="AK27" s="304"/>
      <c r="AL27" s="304"/>
      <c r="AM27" s="304"/>
      <c r="AN27" s="304"/>
      <c r="AO27" s="304"/>
      <c r="AP27" s="304"/>
      <c r="AQ27" s="304"/>
      <c r="BB27" s="271"/>
      <c r="BC27" s="271"/>
      <c r="BD27" s="279">
        <v>1</v>
      </c>
      <c r="BE27" s="271"/>
      <c r="BF27" s="271"/>
      <c r="BG27" s="271"/>
    </row>
    <row r="28" spans="1:59" ht="21.95" customHeight="1" x14ac:dyDescent="0.25">
      <c r="A28" s="374">
        <f>IF($B28="","",6)</f>
        <v>6</v>
      </c>
      <c r="B28" s="375" t="str" cm="1">
        <f t="array" ref="B28">IFERROR(IF(INDEX($AC$72:$AC$430,$K28)="","",INDEX($AC$72:$AC$430,$K28)),"")</f>
        <v>Céleri-branche *</v>
      </c>
      <c r="C28" s="376" cm="1">
        <f t="array" ref="C28">IF($B28="","",INDEX($AG$72:$AG$430,$K28))</f>
        <v>300</v>
      </c>
      <c r="D28" s="377" t="str" cm="1">
        <f t="array" ref="D28">IF($B28="","",INDEX($AH$72:$AH$430,$K28))</f>
        <v>G</v>
      </c>
      <c r="E28" s="378">
        <f t="shared" si="0"/>
        <v>50</v>
      </c>
      <c r="F28" s="379" t="str" cm="1">
        <f t="array" ref="F28">IF($B28="","",IF(UPPER(TRIM($D28))="QT. SUFFISANTE","Qt. suffisante",IF($N28="","",IF($L28="MASSE",IF($N28&gt;=1,"Kg","g"),IF($L28="VOLUME",IF($N28&gt;=1,"L","cl"),INDEX($AL$72:$AL$430,$K28))))))</f>
        <v>g</v>
      </c>
      <c r="G28" s="380">
        <f t="shared" si="1"/>
        <v>600</v>
      </c>
      <c r="H28" s="381" t="str" cm="1">
        <f t="array" ref="H28">IF($B28="","",IF(UPPER(TRIM($D28))="QT. SUFFISANTE","Qt. suffisante",IF($O28="","",IF($L28="MASSE",IF($O28&gt;=1,"Kg","g"),IF($L28="VOLUME",IF($O28&gt;=1,"L","cl"),INDEX($AL$72:$AL$430,$K28))))))</f>
        <v>g</v>
      </c>
      <c r="I28" s="382" t="str" cm="1">
        <f t="array" ref="I28">IF($B28="","",INDEX($AM$72:$AM$430,$K28))</f>
        <v>OK</v>
      </c>
      <c r="J28" s="271"/>
      <c r="K28" s="383">
        <f>1+($B$5-1)*36+6</f>
        <v>7</v>
      </c>
      <c r="L28" s="383" t="str" cm="1">
        <f t="array" ref="L28">IF($B28="","",INDEX($AI$72:$AI$430,$K28))</f>
        <v>MASSE</v>
      </c>
      <c r="M28" s="383" cm="1">
        <f t="array" ref="M28">IF($B28="","",INDEX($AJ$72:$AJ$430,$K28))</f>
        <v>1E-3</v>
      </c>
      <c r="N28" s="384" cm="1">
        <f t="array" ref="N28">IF(OR($B28="",$B$13="",$B$12="",$B$12=0),"",IF($L$22="AUTRE",IFERROR(INDEX($AK$72:$AK$430,$K28)*($B$13/$B$12),""),IF(OR($C$12="",$C$13=""),"",IFERROR(INDEX($AK$72:$AK$430,$K28)*(($B$13*VLOOKUP($C$13,$AY$74:$BA$119,3,FALSE))/($B$12*VLOOKUP($C$12,$AY$74:$BA$119,3,FALSE))),""))))</f>
        <v>4.9999999999999996E-2</v>
      </c>
      <c r="O28" s="384" cm="1">
        <f t="array" ref="O28">IF(OR($B28="",$G$12="",$G$11="",$G$11=0),"",IFERROR(INDEX($AK$72:$AK$430,$K28)*($G$12/$G$11),""))</f>
        <v>0.6</v>
      </c>
      <c r="U28" s="595" t="s">
        <v>8014</v>
      </c>
      <c r="V28" s="392" t="s">
        <v>4</v>
      </c>
      <c r="W28" s="597" t="s">
        <v>8015</v>
      </c>
      <c r="X28" s="597"/>
      <c r="Y28" s="597"/>
      <c r="Z28" s="597"/>
      <c r="AA28" s="598"/>
      <c r="AC28" s="275"/>
      <c r="AD28" s="328" t="s">
        <v>8016</v>
      </c>
      <c r="AE28" s="329"/>
      <c r="AF28" s="330"/>
      <c r="AG28" s="329"/>
      <c r="AH28" s="329"/>
      <c r="AI28" s="329"/>
      <c r="AJ28" s="329"/>
      <c r="AK28" s="329"/>
      <c r="AL28" s="329"/>
      <c r="AM28" s="329"/>
      <c r="AN28" s="329"/>
      <c r="AO28" s="329"/>
      <c r="AP28" s="329"/>
      <c r="AQ28" s="329"/>
      <c r="BB28" s="271"/>
      <c r="BC28" s="271"/>
      <c r="BD28" s="279">
        <v>1</v>
      </c>
      <c r="BE28" s="271"/>
      <c r="BF28" s="271"/>
      <c r="BG28" s="271"/>
    </row>
    <row r="29" spans="1:59" ht="21.95" customHeight="1" x14ac:dyDescent="0.25">
      <c r="A29" s="374">
        <f>IF($B29="","",7)</f>
        <v>7</v>
      </c>
      <c r="B29" s="375" t="str" cm="1">
        <f t="array" ref="B29">IFERROR(IF(INDEX($AC$72:$AC$430,$K29)="","",INDEX($AC$72:$AC$430,$K29)),"")</f>
        <v>Huile d’olive</v>
      </c>
      <c r="C29" s="376" cm="1">
        <f t="array" ref="C29">IF($B29="","",INDEX($AG$72:$AG$430,$K29))</f>
        <v>1</v>
      </c>
      <c r="D29" s="377" t="str" cm="1">
        <f t="array" ref="D29">IF($B29="","",INDEX($AH$72:$AH$430,$K29))</f>
        <v>L</v>
      </c>
      <c r="E29" s="378">
        <f t="shared" si="0"/>
        <v>17</v>
      </c>
      <c r="F29" s="379" t="str" cm="1">
        <f t="array" ref="F29">IF($B29="","",IF(UPPER(TRIM($D29))="QT. SUFFISANTE","Qt. suffisante",IF($N29="","",IF($L29="MASSE",IF($N29&gt;=1,"Kg","g"),IF($L29="VOLUME",IF($N29&gt;=1,"L","cl"),INDEX($AL$72:$AL$430,$K29))))))</f>
        <v>cl</v>
      </c>
      <c r="G29" s="380">
        <f t="shared" si="1"/>
        <v>2</v>
      </c>
      <c r="H29" s="381" t="str" cm="1">
        <f t="array" ref="H29">IF($B29="","",IF(UPPER(TRIM($D29))="QT. SUFFISANTE","Qt. suffisante",IF($O29="","",IF($L29="MASSE",IF($O29&gt;=1,"Kg","g"),IF($L29="VOLUME",IF($O29&gt;=1,"L","cl"),INDEX($AL$72:$AL$430,$K29))))))</f>
        <v>L</v>
      </c>
      <c r="I29" s="382" t="str" cm="1">
        <f t="array" ref="I29">IF($B29="","",INDEX($AM$72:$AM$430,$K29))</f>
        <v>OK</v>
      </c>
      <c r="J29" s="271"/>
      <c r="K29" s="383">
        <f>1+($B$5-1)*36+7</f>
        <v>8</v>
      </c>
      <c r="L29" s="383" t="str" cm="1">
        <f t="array" ref="L29">IF($B29="","",INDEX($AI$72:$AI$430,$K29))</f>
        <v>VOLUME</v>
      </c>
      <c r="M29" s="383" cm="1">
        <f t="array" ref="M29">IF($B29="","",INDEX($AJ$72:$AJ$430,$K29))</f>
        <v>1</v>
      </c>
      <c r="N29" s="384" cm="1">
        <f t="array" ref="N29">IF(OR($B29="",$B$13="",$B$12="",$B$12=0),"",IF($L$22="AUTRE",IFERROR(INDEX($AK$72:$AK$430,$K29)*($B$13/$B$12),""),IF(OR($C$12="",$C$13=""),"",IFERROR(INDEX($AK$72:$AK$430,$K29)*(($B$13*VLOOKUP($C$13,$AY$74:$BA$119,3,FALSE))/($B$12*VLOOKUP($C$12,$AY$74:$BA$119,3,FALSE))),""))))</f>
        <v>0.16666666666666666</v>
      </c>
      <c r="O29" s="384" cm="1">
        <f t="array" ref="O29">IF(OR($B29="",$G$12="",$G$11="",$G$11=0),"",IFERROR(INDEX($AK$72:$AK$430,$K29)*($G$12/$G$11),""))</f>
        <v>2</v>
      </c>
      <c r="U29" s="596"/>
      <c r="V29" s="393"/>
      <c r="W29" s="599"/>
      <c r="X29" s="599"/>
      <c r="Y29" s="599"/>
      <c r="Z29" s="599"/>
      <c r="AA29" s="600"/>
      <c r="AC29" s="275"/>
      <c r="AD29" s="319" t="s">
        <v>8017</v>
      </c>
      <c r="AE29" s="394" t="s">
        <v>8018</v>
      </c>
      <c r="AF29" s="395" t="s">
        <v>8019</v>
      </c>
      <c r="AG29" s="601" t="s">
        <v>8020</v>
      </c>
      <c r="AH29" s="601"/>
      <c r="AI29" s="304" t="s">
        <v>8021</v>
      </c>
      <c r="AJ29" s="304"/>
      <c r="AK29" s="304"/>
      <c r="AL29" s="304"/>
      <c r="AM29" s="304"/>
      <c r="AN29" s="304"/>
      <c r="AO29" s="304"/>
      <c r="AP29" s="304"/>
      <c r="AQ29" s="304"/>
      <c r="BB29" s="271"/>
      <c r="BC29" s="271"/>
      <c r="BD29" s="279">
        <v>1</v>
      </c>
      <c r="BE29" s="271"/>
      <c r="BF29" s="271"/>
      <c r="BG29" s="271"/>
    </row>
    <row r="30" spans="1:59" ht="21.95" customHeight="1" x14ac:dyDescent="0.25">
      <c r="A30" s="374">
        <f>IF($B30="","",8)</f>
        <v>8</v>
      </c>
      <c r="B30" s="375" t="str" cm="1">
        <f t="array" ref="B30">IFERROR(IF(INDEX($AC$72:$AC$430,$K30)="","",INDEX($AC$72:$AC$430,$K30)),"")</f>
        <v>Vinaigre de vin ?</v>
      </c>
      <c r="C30" s="376" cm="1">
        <f t="array" ref="C30">IF($B30="","",INDEX($AG$72:$AG$430,$K30))</f>
        <v>0.75</v>
      </c>
      <c r="D30" s="377" t="str" cm="1">
        <f t="array" ref="D30">IF($B30="","",INDEX($AH$72:$AH$430,$K30))</f>
        <v>L</v>
      </c>
      <c r="E30" s="378">
        <f t="shared" si="0"/>
        <v>13</v>
      </c>
      <c r="F30" s="379" t="str" cm="1">
        <f t="array" ref="F30">IF($B30="","",IF(UPPER(TRIM($D30))="QT. SUFFISANTE","Qt. suffisante",IF($N30="","",IF($L30="MASSE",IF($N30&gt;=1,"Kg","g"),IF($L30="VOLUME",IF($N30&gt;=1,"L","cl"),INDEX($AL$72:$AL$430,$K30))))))</f>
        <v>cl</v>
      </c>
      <c r="G30" s="380">
        <f t="shared" si="1"/>
        <v>1.5</v>
      </c>
      <c r="H30" s="381" t="str" cm="1">
        <f t="array" ref="H30">IF($B30="","",IF(UPPER(TRIM($D30))="QT. SUFFISANTE","Qt. suffisante",IF($O30="","",IF($L30="MASSE",IF($O30&gt;=1,"Kg","g"),IF($L30="VOLUME",IF($O30&gt;=1,"L","cl"),INDEX($AL$72:$AL$430,$K30))))))</f>
        <v>L</v>
      </c>
      <c r="I30" s="382" t="str" cm="1">
        <f t="array" ref="I30">IF($B30="","",INDEX($AM$72:$AM$430,$K30))</f>
        <v>OK</v>
      </c>
      <c r="J30" s="271"/>
      <c r="K30" s="383">
        <f>1+($B$5-1)*36+8</f>
        <v>9</v>
      </c>
      <c r="L30" s="383" t="str" cm="1">
        <f t="array" ref="L30">IF($B30="","",INDEX($AI$72:$AI$430,$K30))</f>
        <v>VOLUME</v>
      </c>
      <c r="M30" s="383" cm="1">
        <f t="array" ref="M30">IF($B30="","",INDEX($AJ$72:$AJ$430,$K30))</f>
        <v>1</v>
      </c>
      <c r="N30" s="384" cm="1">
        <f t="array" ref="N30">IF(OR($B30="",$B$13="",$B$12="",$B$12=0),"",IF($L$22="AUTRE",IFERROR(INDEX($AK$72:$AK$430,$K30)*($B$13/$B$12),""),IF(OR($C$12="",$C$13=""),"",IFERROR(INDEX($AK$72:$AK$430,$K30)*(($B$13*VLOOKUP($C$13,$AY$74:$BA$119,3,FALSE))/($B$12*VLOOKUP($C$12,$AY$74:$BA$119,3,FALSE))),""))))</f>
        <v>0.125</v>
      </c>
      <c r="O30" s="384" cm="1">
        <f t="array" ref="O30">IF(OR($B30="",$G$12="",$G$11="",$G$11=0),"",IFERROR(INDEX($AK$72:$AK$430,$K30)*($G$12/$G$11),""))</f>
        <v>1.5</v>
      </c>
      <c r="U30" s="626" t="s">
        <v>8022</v>
      </c>
      <c r="V30" s="627"/>
      <c r="W30" s="627"/>
      <c r="X30" s="627"/>
      <c r="Y30" s="627"/>
      <c r="Z30" s="627"/>
      <c r="AA30" s="628"/>
      <c r="AC30" s="275"/>
      <c r="AD30" s="319" t="s">
        <v>8017</v>
      </c>
      <c r="AE30" s="320" t="s">
        <v>8023</v>
      </c>
      <c r="AF30" s="395" t="s">
        <v>8024</v>
      </c>
      <c r="AG30" s="629" t="s">
        <v>7</v>
      </c>
      <c r="AH30" s="629"/>
      <c r="AI30" s="304" t="s">
        <v>8025</v>
      </c>
      <c r="AJ30" s="304"/>
      <c r="AK30" s="304"/>
      <c r="AL30" s="304"/>
      <c r="AM30" s="304"/>
      <c r="AN30" s="304"/>
      <c r="AO30" s="304"/>
      <c r="AP30" s="304"/>
      <c r="AQ30" s="304"/>
      <c r="BB30" s="271"/>
      <c r="BC30" s="271"/>
      <c r="BD30" s="279">
        <v>1</v>
      </c>
      <c r="BE30" s="271"/>
      <c r="BF30" s="271"/>
      <c r="BG30" s="271"/>
    </row>
    <row r="31" spans="1:59" ht="21.95" customHeight="1" x14ac:dyDescent="0.25">
      <c r="A31" s="374">
        <f>IF($B31="","",9)</f>
        <v>9</v>
      </c>
      <c r="B31" s="375" t="str" cm="1">
        <f t="array" ref="B31">IFERROR(IF(INDEX($AC$72:$AC$430,$K31)="","",INDEX($AC$72:$AC$430,$K31)),"")</f>
        <v>Sel</v>
      </c>
      <c r="C31" s="376" cm="1">
        <f t="array" ref="C31">IF($B31="","",INDEX($AG$72:$AG$430,$K31))</f>
        <v>60</v>
      </c>
      <c r="D31" s="377" t="str" cm="1">
        <f t="array" ref="D31">IF($B31="","",INDEX($AH$72:$AH$430,$K31))</f>
        <v>G</v>
      </c>
      <c r="E31" s="378">
        <f t="shared" si="0"/>
        <v>10</v>
      </c>
      <c r="F31" s="379" t="str" cm="1">
        <f t="array" ref="F31">IF($B31="","",IF(UPPER(TRIM($D31))="QT. SUFFISANTE","Qt. suffisante",IF($N31="","",IF($L31="MASSE",IF($N31&gt;=1,"Kg","g"),IF($L31="VOLUME",IF($N31&gt;=1,"L","cl"),INDEX($AL$72:$AL$430,$K31))))))</f>
        <v>g</v>
      </c>
      <c r="G31" s="380">
        <f t="shared" si="1"/>
        <v>120</v>
      </c>
      <c r="H31" s="381" t="str" cm="1">
        <f t="array" ref="H31">IF($B31="","",IF(UPPER(TRIM($D31))="QT. SUFFISANTE","Qt. suffisante",IF($O31="","",IF($L31="MASSE",IF($O31&gt;=1,"Kg","g"),IF($L31="VOLUME",IF($O31&gt;=1,"L","cl"),INDEX($AL$72:$AL$430,$K31))))))</f>
        <v>g</v>
      </c>
      <c r="I31" s="382" t="str" cm="1">
        <f t="array" ref="I31">IF($B31="","",INDEX($AM$72:$AM$430,$K31))</f>
        <v>OK</v>
      </c>
      <c r="J31" s="271"/>
      <c r="K31" s="383">
        <f>1+($B$5-1)*36+9</f>
        <v>10</v>
      </c>
      <c r="L31" s="383" t="str" cm="1">
        <f t="array" ref="L31">IF($B31="","",INDEX($AI$72:$AI$430,$K31))</f>
        <v>MASSE</v>
      </c>
      <c r="M31" s="383" cm="1">
        <f t="array" ref="M31">IF($B31="","",INDEX($AJ$72:$AJ$430,$K31))</f>
        <v>1E-3</v>
      </c>
      <c r="N31" s="384" cm="1">
        <f t="array" ref="N31">IF(OR($B31="",$B$13="",$B$12="",$B$12=0),"",IF($L$22="AUTRE",IFERROR(INDEX($AK$72:$AK$430,$K31)*($B$13/$B$12),""),IF(OR($C$12="",$C$13=""),"",IFERROR(INDEX($AK$72:$AK$430,$K31)*(($B$13*VLOOKUP($C$13,$AY$74:$BA$119,3,FALSE))/($B$12*VLOOKUP($C$12,$AY$74:$BA$119,3,FALSE))),""))))</f>
        <v>9.9999999999999985E-3</v>
      </c>
      <c r="O31" s="384" cm="1">
        <f t="array" ref="O31">IF(OR($B31="",$G$12="",$G$11="",$G$11=0),"",IFERROR(INDEX($AK$72:$AK$430,$K31)*($G$12/$G$11),""))</f>
        <v>0.12</v>
      </c>
      <c r="U31" s="630" t="s">
        <v>8026</v>
      </c>
      <c r="V31" s="631"/>
      <c r="W31" s="632" t="s">
        <v>8027</v>
      </c>
      <c r="X31" s="632"/>
      <c r="Y31" s="632"/>
      <c r="Z31" s="632"/>
      <c r="AA31" s="633"/>
      <c r="AC31" s="275"/>
      <c r="AD31" s="319" t="s">
        <v>8017</v>
      </c>
      <c r="AE31" s="320" t="s">
        <v>330</v>
      </c>
      <c r="AF31" s="395" t="s">
        <v>8028</v>
      </c>
      <c r="AG31" s="634" t="s">
        <v>8029</v>
      </c>
      <c r="AH31" s="634"/>
      <c r="AI31" s="304" t="s">
        <v>8030</v>
      </c>
      <c r="AJ31" s="304"/>
      <c r="AK31" s="304"/>
      <c r="AL31" s="304"/>
      <c r="AM31" s="304"/>
      <c r="AN31" s="304"/>
      <c r="AO31" s="304"/>
      <c r="AP31" s="304"/>
      <c r="AQ31" s="304"/>
      <c r="BB31" s="271"/>
      <c r="BC31" s="271"/>
      <c r="BD31" s="279">
        <v>1</v>
      </c>
      <c r="BE31" s="271"/>
      <c r="BF31" s="271"/>
      <c r="BG31" s="271"/>
    </row>
    <row r="32" spans="1:59" ht="21.95" customHeight="1" x14ac:dyDescent="0.25">
      <c r="A32" s="374">
        <f>IF($B32="","",10)</f>
        <v>10</v>
      </c>
      <c r="B32" s="375" t="str" cm="1">
        <f t="array" ref="B32">IFERROR(IF(INDEX($AC$72:$AC$430,$K32)="","",INDEX($AC$72:$AC$430,$K32)),"")</f>
        <v>Poivre</v>
      </c>
      <c r="C32" s="376" cm="1">
        <f t="array" ref="C32">IF($B32="","",INDEX($AG$72:$AG$430,$K32))</f>
        <v>15</v>
      </c>
      <c r="D32" s="377" t="str" cm="1">
        <f t="array" ref="D32">IF($B32="","",INDEX($AH$72:$AH$430,$K32))</f>
        <v>G</v>
      </c>
      <c r="E32" s="378">
        <f t="shared" si="0"/>
        <v>3</v>
      </c>
      <c r="F32" s="379" t="str" cm="1">
        <f t="array" ref="F32">IF($B32="","",IF(UPPER(TRIM($D32))="QT. SUFFISANTE","Qt. suffisante",IF($N32="","",IF($L32="MASSE",IF($N32&gt;=1,"Kg","g"),IF($L32="VOLUME",IF($N32&gt;=1,"L","cl"),INDEX($AL$72:$AL$430,$K32))))))</f>
        <v>g</v>
      </c>
      <c r="G32" s="380">
        <f t="shared" si="1"/>
        <v>30</v>
      </c>
      <c r="H32" s="381" t="str" cm="1">
        <f t="array" ref="H32">IF($B32="","",IF(UPPER(TRIM($D32))="QT. SUFFISANTE","Qt. suffisante",IF($O32="","",IF($L32="MASSE",IF($O32&gt;=1,"Kg","g"),IF($L32="VOLUME",IF($O32&gt;=1,"L","cl"),INDEX($AL$72:$AL$430,$K32))))))</f>
        <v>g</v>
      </c>
      <c r="I32" s="382" t="str" cm="1">
        <f t="array" ref="I32">IF($B32="","",INDEX($AM$72:$AM$430,$K32))</f>
        <v>OK</v>
      </c>
      <c r="J32" s="271"/>
      <c r="K32" s="383">
        <f>1+($B$5-1)*36+10</f>
        <v>11</v>
      </c>
      <c r="L32" s="383" t="str" cm="1">
        <f t="array" ref="L32">IF($B32="","",INDEX($AI$72:$AI$430,$K32))</f>
        <v>MASSE</v>
      </c>
      <c r="M32" s="383" cm="1">
        <f t="array" ref="M32">IF($B32="","",INDEX($AJ$72:$AJ$430,$K32))</f>
        <v>1E-3</v>
      </c>
      <c r="N32" s="384" cm="1">
        <f t="array" ref="N32">IF(OR($B32="",$B$13="",$B$12="",$B$12=0),"",IF($L$22="AUTRE",IFERROR(INDEX($AK$72:$AK$430,$K32)*($B$13/$B$12),""),IF(OR($C$12="",$C$13=""),"",IFERROR(INDEX($AK$72:$AK$430,$K32)*(($B$13*VLOOKUP($C$13,$AY$74:$BA$119,3,FALSE))/($B$12*VLOOKUP($C$12,$AY$74:$BA$119,3,FALSE))),""))))</f>
        <v>2.4999999999999996E-3</v>
      </c>
      <c r="O32" s="384" cm="1">
        <f t="array" ref="O32">IF(OR($B32="",$G$12="",$G$11="",$G$11=0),"",IFERROR(INDEX($AK$72:$AK$430,$K32)*($G$12/$G$11),""))</f>
        <v>0.03</v>
      </c>
      <c r="U32" s="630"/>
      <c r="V32" s="631"/>
      <c r="W32" s="632"/>
      <c r="X32" s="632"/>
      <c r="Y32" s="632"/>
      <c r="Z32" s="632"/>
      <c r="AA32" s="633"/>
      <c r="AC32" s="275"/>
      <c r="AD32" s="319" t="s">
        <v>8017</v>
      </c>
      <c r="AE32" s="320" t="s">
        <v>8031</v>
      </c>
      <c r="AF32" s="395" t="s">
        <v>8032</v>
      </c>
      <c r="AG32" s="634" t="s">
        <v>8033</v>
      </c>
      <c r="AH32" s="634"/>
      <c r="AI32" s="311" t="s">
        <v>8034</v>
      </c>
      <c r="AJ32" s="311"/>
      <c r="AK32" s="311"/>
      <c r="AL32" s="311"/>
      <c r="AM32" s="311"/>
      <c r="AN32" s="311"/>
      <c r="AO32" s="311"/>
      <c r="AP32" s="311"/>
      <c r="AQ32" s="311"/>
      <c r="BB32" s="271"/>
      <c r="BC32" s="271"/>
      <c r="BD32" s="279">
        <v>1</v>
      </c>
      <c r="BE32" s="271"/>
      <c r="BF32" s="271"/>
      <c r="BG32" s="271"/>
    </row>
    <row r="33" spans="1:59" ht="21.95" customHeight="1" x14ac:dyDescent="0.25">
      <c r="A33" s="374">
        <f>IF($B33="","",11)</f>
        <v>11</v>
      </c>
      <c r="B33" s="375" t="str" cm="1">
        <f t="array" ref="B33">IFERROR(IF(INDEX($AC$72:$AC$430,$K33)="","",INDEX($AC$72:$AC$430,$K33)),"")</f>
        <v>Cumin</v>
      </c>
      <c r="C33" s="376" cm="1">
        <f t="array" ref="C33">IF($B33="","",INDEX($AG$72:$AG$430,$K33))</f>
        <v>2</v>
      </c>
      <c r="D33" s="377" t="str" cm="1">
        <f t="array" ref="D33">IF($B33="","",INDEX($AH$72:$AH$430,$K33))</f>
        <v>G</v>
      </c>
      <c r="E33" s="378">
        <f t="shared" si="0"/>
        <v>0</v>
      </c>
      <c r="F33" s="379" t="str" cm="1">
        <f t="array" ref="F33">IF($B33="","",IF(UPPER(TRIM($D33))="QT. SUFFISANTE","Qt. suffisante",IF($N33="","",IF($L33="MASSE",IF($N33&gt;=1,"Kg","g"),IF($L33="VOLUME",IF($N33&gt;=1,"L","cl"),INDEX($AL$72:$AL$430,$K33))))))</f>
        <v>g</v>
      </c>
      <c r="G33" s="380">
        <f t="shared" si="1"/>
        <v>4</v>
      </c>
      <c r="H33" s="381" t="str" cm="1">
        <f t="array" ref="H33">IF($B33="","",IF(UPPER(TRIM($D33))="QT. SUFFISANTE","Qt. suffisante",IF($O33="","",IF($L33="MASSE",IF($O33&gt;=1,"Kg","g"),IF($L33="VOLUME",IF($O33&gt;=1,"L","cl"),INDEX($AL$72:$AL$430,$K33))))))</f>
        <v>g</v>
      </c>
      <c r="I33" s="382" t="str" cm="1">
        <f t="array" ref="I33">IF($B33="","",INDEX($AM$72:$AM$430,$K33))</f>
        <v>OK</v>
      </c>
      <c r="J33" s="271"/>
      <c r="K33" s="383">
        <f>1+($B$5-1)*36+11</f>
        <v>12</v>
      </c>
      <c r="L33" s="383" t="str" cm="1">
        <f t="array" ref="L33">IF($B33="","",INDEX($AI$72:$AI$430,$K33))</f>
        <v>MASSE</v>
      </c>
      <c r="M33" s="383" cm="1">
        <f t="array" ref="M33">IF($B33="","",INDEX($AJ$72:$AJ$430,$K33))</f>
        <v>1E-3</v>
      </c>
      <c r="N33" s="384" cm="1">
        <f t="array" ref="N33">IF(OR($B33="",$B$13="",$B$12="",$B$12=0),"",IF($L$22="AUTRE",IFERROR(INDEX($AK$72:$AK$430,$K33)*($B$13/$B$12),""),IF(OR($C$12="",$C$13=""),"",IFERROR(INDEX($AK$72:$AK$430,$K33)*(($B$13*VLOOKUP($C$13,$AY$74:$BA$119,3,FALSE))/($B$12*VLOOKUP($C$12,$AY$74:$BA$119,3,FALSE))),""))))</f>
        <v>3.3333333333333332E-4</v>
      </c>
      <c r="O33" s="384" cm="1">
        <f t="array" ref="O33">IF(OR($B33="",$G$12="",$G$11="",$G$11=0),"",IFERROR(INDEX($AK$72:$AK$430,$K33)*($G$12/$G$11),""))</f>
        <v>4.0000000000000001E-3</v>
      </c>
      <c r="U33" s="635" t="s">
        <v>8035</v>
      </c>
      <c r="V33" s="636"/>
      <c r="W33" s="637" t="s">
        <v>8036</v>
      </c>
      <c r="X33" s="637"/>
      <c r="Y33" s="637"/>
      <c r="Z33" s="637"/>
      <c r="AA33" s="638"/>
      <c r="AC33" s="275"/>
      <c r="AD33" s="319" t="s">
        <v>8017</v>
      </c>
      <c r="AE33" s="394" t="s">
        <v>8037</v>
      </c>
      <c r="AF33" s="395" t="s">
        <v>8038</v>
      </c>
      <c r="AG33" s="634" t="s">
        <v>8039</v>
      </c>
      <c r="AH33" s="634"/>
      <c r="AI33" s="311" t="s">
        <v>8040</v>
      </c>
      <c r="AJ33" s="311"/>
      <c r="AK33" s="311"/>
      <c r="AL33" s="311"/>
      <c r="AM33" s="311"/>
      <c r="AN33" s="311"/>
      <c r="AO33" s="311"/>
      <c r="AP33" s="311"/>
      <c r="AQ33" s="311"/>
      <c r="BB33" s="271"/>
      <c r="BC33" s="271"/>
      <c r="BD33" s="279">
        <v>1</v>
      </c>
      <c r="BE33" s="271"/>
      <c r="BF33" s="271"/>
      <c r="BG33" s="271"/>
    </row>
    <row r="34" spans="1:59" ht="21.95" customHeight="1" x14ac:dyDescent="0.25">
      <c r="A34" s="374">
        <f>IF($B34="","",12)</f>
        <v>12</v>
      </c>
      <c r="B34" s="375" t="str" cm="1">
        <f t="array" ref="B34">IFERROR(IF(INDEX($AC$72:$AC$430,$K34)="","",INDEX($AC$72:$AC$430,$K34)),"")</f>
        <v>Pain rassis (flûte) *</v>
      </c>
      <c r="C34" s="376" cm="1">
        <f t="array" ref="C34">IF($B34="","",INDEX($AG$72:$AG$430,$K34))</f>
        <v>2</v>
      </c>
      <c r="D34" s="377" t="str" cm="1">
        <f t="array" ref="D34">IF($B34="","",INDEX($AH$72:$AH$430,$K34))</f>
        <v>KG</v>
      </c>
      <c r="E34" s="378">
        <f t="shared" si="0"/>
        <v>333</v>
      </c>
      <c r="F34" s="379" t="str" cm="1">
        <f t="array" ref="F34">IF($B34="","",IF(UPPER(TRIM($D34))="QT. SUFFISANTE","Qt. suffisante",IF($N34="","",IF($L34="MASSE",IF($N34&gt;=1,"Kg","g"),IF($L34="VOLUME",IF($N34&gt;=1,"L","cl"),INDEX($AL$72:$AL$430,$K34))))))</f>
        <v>g</v>
      </c>
      <c r="G34" s="380">
        <f t="shared" si="1"/>
        <v>4</v>
      </c>
      <c r="H34" s="381" t="str" cm="1">
        <f t="array" ref="H34">IF($B34="","",IF(UPPER(TRIM($D34))="QT. SUFFISANTE","Qt. suffisante",IF($O34="","",IF($L34="MASSE",IF($O34&gt;=1,"Kg","g"),IF($L34="VOLUME",IF($O34&gt;=1,"L","cl"),INDEX($AL$72:$AL$430,$K34))))))</f>
        <v>Kg</v>
      </c>
      <c r="I34" s="382" t="str" cm="1">
        <f t="array" ref="I34">IF($B34="","",INDEX($AM$72:$AM$430,$K34))</f>
        <v>OK</v>
      </c>
      <c r="J34" s="271"/>
      <c r="K34" s="383">
        <f>1+($B$5-1)*36+12</f>
        <v>13</v>
      </c>
      <c r="L34" s="383" t="str" cm="1">
        <f t="array" ref="L34">IF($B34="","",INDEX($AI$72:$AI$430,$K34))</f>
        <v>MASSE</v>
      </c>
      <c r="M34" s="383" cm="1">
        <f t="array" ref="M34">IF($B34="","",INDEX($AJ$72:$AJ$430,$K34))</f>
        <v>1</v>
      </c>
      <c r="N34" s="384" cm="1">
        <f t="array" ref="N34">IF(OR($B34="",$B$13="",$B$12="",$B$12=0),"",IF($L$22="AUTRE",IFERROR(INDEX($AK$72:$AK$430,$K34)*($B$13/$B$12),""),IF(OR($C$12="",$C$13=""),"",IFERROR(INDEX($AK$72:$AK$430,$K34)*(($B$13*VLOOKUP($C$13,$AY$74:$BA$119,3,FALSE))/($B$12*VLOOKUP($C$12,$AY$74:$BA$119,3,FALSE))),""))))</f>
        <v>0.33333333333333331</v>
      </c>
      <c r="O34" s="384" cm="1">
        <f t="array" ref="O34">IF(OR($B34="",$G$12="",$G$11="",$G$11=0),"",IFERROR(INDEX($AK$72:$AK$430,$K34)*($G$12/$G$11),""))</f>
        <v>4</v>
      </c>
      <c r="U34" s="635"/>
      <c r="V34" s="636"/>
      <c r="W34" s="637"/>
      <c r="X34" s="637"/>
      <c r="Y34" s="637"/>
      <c r="Z34" s="637"/>
      <c r="AA34" s="638"/>
      <c r="AC34" s="275"/>
      <c r="AD34" s="319" t="s">
        <v>8017</v>
      </c>
      <c r="AE34" s="320" t="s">
        <v>8041</v>
      </c>
      <c r="AF34" s="395" t="s">
        <v>8042</v>
      </c>
      <c r="AG34" s="634" t="s">
        <v>8043</v>
      </c>
      <c r="AH34" s="634"/>
      <c r="AI34" s="311" t="s">
        <v>8044</v>
      </c>
      <c r="AJ34" s="311"/>
      <c r="AK34" s="311"/>
      <c r="AL34" s="311"/>
      <c r="AM34" s="311"/>
      <c r="AN34" s="311"/>
      <c r="AO34" s="311"/>
      <c r="AP34" s="311"/>
      <c r="AQ34" s="311"/>
      <c r="BB34" s="271"/>
      <c r="BC34" s="271"/>
      <c r="BD34" s="279">
        <v>1</v>
      </c>
      <c r="BE34" s="271"/>
      <c r="BF34" s="271"/>
      <c r="BG34" s="271"/>
    </row>
    <row r="35" spans="1:59" ht="21.95" customHeight="1" thickBot="1" x14ac:dyDescent="0.3">
      <c r="A35" s="374" t="str">
        <f>IF($B35="","",13)</f>
        <v/>
      </c>
      <c r="B35" s="375" t="str" cm="1">
        <f t="array" ref="B35">IFERROR(IF(INDEX($AC$72:$AC$430,$K35)="","",INDEX($AC$72:$AC$430,$K35)),"")</f>
        <v/>
      </c>
      <c r="C35" s="376" t="str" cm="1">
        <f t="array" ref="C35">IF($B35="","",INDEX($AG$72:$AG$430,$K35))</f>
        <v/>
      </c>
      <c r="D35" s="377" t="str" cm="1">
        <f t="array" ref="D35">IF($B35="","",INDEX($AH$72:$AH$430,$K35))</f>
        <v/>
      </c>
      <c r="E35" s="378" t="str">
        <f t="shared" si="0"/>
        <v/>
      </c>
      <c r="F35" s="379" t="str" cm="1">
        <f t="array" ref="F35">IF($B35="","",IF(UPPER(TRIM($D35))="QT. SUFFISANTE","Qt. suffisante",IF($N35="","",IF($L35="MASSE",IF($N35&gt;=1,"Kg","g"),IF($L35="VOLUME",IF($N35&gt;=1,"L","cl"),INDEX($AL$72:$AL$430,$K35))))))</f>
        <v/>
      </c>
      <c r="G35" s="380" t="str">
        <f t="shared" si="1"/>
        <v/>
      </c>
      <c r="H35" s="381" t="str" cm="1">
        <f t="array" ref="H35">IF($B35="","",IF(UPPER(TRIM($D35))="QT. SUFFISANTE","Qt. suffisante",IF($O35="","",IF($L35="MASSE",IF($O35&gt;=1,"Kg","g"),IF($L35="VOLUME",IF($O35&gt;=1,"L","cl"),INDEX($AL$72:$AL$430,$K35))))))</f>
        <v/>
      </c>
      <c r="I35" s="382" t="str" cm="1">
        <f t="array" ref="I35">IF($B35="","",INDEX($AM$72:$AM$430,$K35))</f>
        <v/>
      </c>
      <c r="J35" s="271"/>
      <c r="K35" s="383">
        <f>1+($B$5-1)*36+13</f>
        <v>14</v>
      </c>
      <c r="L35" s="383" t="str" cm="1">
        <f t="array" ref="L35">IF($B35="","",INDEX($AI$72:$AI$430,$K35))</f>
        <v/>
      </c>
      <c r="M35" s="383" t="str" cm="1">
        <f t="array" ref="M35">IF($B35="","",INDEX($AJ$72:$AJ$430,$K35))</f>
        <v/>
      </c>
      <c r="N35" s="384" t="str" cm="1">
        <f t="array" ref="N35">IF(OR($B35="",$B$13="",$B$12="",$B$12=0),"",IF($L$22="AUTRE",IFERROR(INDEX($AK$72:$AK$430,$K35)*($B$13/$B$12),""),IF(OR($C$12="",$C$13=""),"",IFERROR(INDEX($AK$72:$AK$430,$K35)*(($B$13*VLOOKUP($C$13,$AY$74:$BA$119,3,FALSE))/($B$12*VLOOKUP($C$12,$AY$74:$BA$119,3,FALSE))),""))))</f>
        <v/>
      </c>
      <c r="O35" s="384" t="str" cm="1">
        <f t="array" ref="O35">IF(OR($B35="",$G$12="",$G$11="",$G$11=0),"",IFERROR(INDEX($AK$72:$AK$430,$K35)*($G$12/$G$11),""))</f>
        <v/>
      </c>
      <c r="U35" s="635" t="s">
        <v>8045</v>
      </c>
      <c r="V35" s="636"/>
      <c r="W35" s="637" t="s">
        <v>8046</v>
      </c>
      <c r="X35" s="637"/>
      <c r="Y35" s="637"/>
      <c r="Z35" s="637"/>
      <c r="AA35" s="638"/>
      <c r="AC35" s="275"/>
      <c r="AD35" s="301" t="s">
        <v>343</v>
      </c>
      <c r="AE35" s="322" t="s">
        <v>343</v>
      </c>
      <c r="AF35" s="396" t="s">
        <v>8047</v>
      </c>
      <c r="AG35" s="639" t="s">
        <v>8048</v>
      </c>
      <c r="AH35" s="639"/>
      <c r="AI35" s="311" t="s">
        <v>8049</v>
      </c>
      <c r="AJ35" s="311"/>
      <c r="AK35" s="311"/>
      <c r="AL35" s="311"/>
      <c r="AM35" s="311"/>
      <c r="AN35" s="311"/>
      <c r="AO35" s="311"/>
      <c r="AP35" s="311"/>
      <c r="AQ35" s="311"/>
      <c r="BB35" s="271"/>
      <c r="BC35" s="271"/>
      <c r="BD35" s="279">
        <v>1</v>
      </c>
      <c r="BE35" s="271"/>
      <c r="BF35" s="271"/>
      <c r="BG35" s="271"/>
    </row>
    <row r="36" spans="1:59" ht="20.100000000000001" customHeight="1" x14ac:dyDescent="0.25">
      <c r="A36" s="374" t="str">
        <f>IF($B36="","",14)</f>
        <v/>
      </c>
      <c r="B36" s="375" t="str" cm="1">
        <f t="array" ref="B36">IFERROR(IF(INDEX($AC$72:$AC$430,$K36)="","",INDEX($AC$72:$AC$430,$K36)),"")</f>
        <v/>
      </c>
      <c r="C36" s="376" t="str" cm="1">
        <f t="array" ref="C36">IF($B36="","",INDEX($AG$72:$AG$430,$K36))</f>
        <v/>
      </c>
      <c r="D36" s="377" t="str" cm="1">
        <f t="array" ref="D36">IF($B36="","",INDEX($AH$72:$AH$430,$K36))</f>
        <v/>
      </c>
      <c r="E36" s="378" t="str">
        <f t="shared" si="0"/>
        <v/>
      </c>
      <c r="F36" s="379" t="str" cm="1">
        <f t="array" ref="F36">IF($B36="","",IF(UPPER(TRIM($D36))="QT. SUFFISANTE","Qt. suffisante",IF($N36="","",IF($L36="MASSE",IF($N36&gt;=1,"Kg","g"),IF($L36="VOLUME",IF($N36&gt;=1,"L","cl"),INDEX($AL$72:$AL$430,$K36))))))</f>
        <v/>
      </c>
      <c r="G36" s="380" t="str">
        <f t="shared" si="1"/>
        <v/>
      </c>
      <c r="H36" s="381" t="str" cm="1">
        <f t="array" ref="H36">IF($B36="","",IF(UPPER(TRIM($D36))="QT. SUFFISANTE","Qt. suffisante",IF($O36="","",IF($L36="MASSE",IF($O36&gt;=1,"Kg","g"),IF($L36="VOLUME",IF($O36&gt;=1,"L","cl"),INDEX($AL$72:$AL$430,$K36))))))</f>
        <v/>
      </c>
      <c r="I36" s="382" t="str" cm="1">
        <f t="array" ref="I36">IF($B36="","",INDEX($AM$72:$AM$430,$K36))</f>
        <v/>
      </c>
      <c r="J36" s="271"/>
      <c r="K36" s="383">
        <f>1+($B$5-1)*36+14</f>
        <v>15</v>
      </c>
      <c r="L36" s="383" t="str" cm="1">
        <f t="array" ref="L36">IF($B36="","",INDEX($AI$72:$AI$430,$K36))</f>
        <v/>
      </c>
      <c r="M36" s="383" t="str" cm="1">
        <f t="array" ref="M36">IF($B36="","",INDEX($AJ$72:$AJ$430,$K36))</f>
        <v/>
      </c>
      <c r="N36" s="384" t="str" cm="1">
        <f t="array" ref="N36">IF(OR($B36="",$B$13="",$B$12="",$B$12=0),"",IF($L$22="AUTRE",IFERROR(INDEX($AK$72:$AK$430,$K36)*($B$13/$B$12),""),IF(OR($C$12="",$C$13=""),"",IFERROR(INDEX($AK$72:$AK$430,$K36)*(($B$13*VLOOKUP($C$13,$AY$74:$BA$119,3,FALSE))/($B$12*VLOOKUP($C$12,$AY$74:$BA$119,3,FALSE))),""))))</f>
        <v/>
      </c>
      <c r="O36" s="384" t="str" cm="1">
        <f t="array" ref="O36">IF(OR($B36="",$G$12="",$G$11="",$G$11=0),"",IFERROR(INDEX($AK$72:$AK$430,$K36)*($G$12/$G$11),""))</f>
        <v/>
      </c>
      <c r="U36" s="635"/>
      <c r="V36" s="636"/>
      <c r="W36" s="637"/>
      <c r="X36" s="637"/>
      <c r="Y36" s="637"/>
      <c r="Z36" s="637"/>
      <c r="AA36" s="638"/>
      <c r="AC36" s="275"/>
      <c r="AD36" s="352" t="s">
        <v>8050</v>
      </c>
      <c r="AE36" s="353"/>
      <c r="AF36" s="354"/>
      <c r="AG36" s="353"/>
      <c r="AH36" s="353"/>
      <c r="AI36" s="353"/>
      <c r="AJ36" s="353"/>
      <c r="AK36" s="353"/>
      <c r="AL36" s="353"/>
      <c r="AM36" s="353"/>
      <c r="AN36" s="353"/>
      <c r="AO36" s="353"/>
      <c r="AP36" s="353"/>
      <c r="AQ36" s="353"/>
      <c r="BB36" s="271"/>
      <c r="BC36" s="271"/>
      <c r="BD36" s="279">
        <v>1</v>
      </c>
      <c r="BE36" s="271"/>
      <c r="BF36" s="271"/>
      <c r="BG36" s="271"/>
    </row>
    <row r="37" spans="1:59" ht="23.1" customHeight="1" x14ac:dyDescent="0.25">
      <c r="A37" s="374" t="str">
        <f>IF($B37="","",15)</f>
        <v/>
      </c>
      <c r="B37" s="375" t="str" cm="1">
        <f t="array" ref="B37">IFERROR(IF(INDEX($AC$72:$AC$430,$K37)="","",INDEX($AC$72:$AC$430,$K37)),"")</f>
        <v/>
      </c>
      <c r="C37" s="376" t="str" cm="1">
        <f t="array" ref="C37">IF($B37="","",INDEX($AG$72:$AG$430,$K37))</f>
        <v/>
      </c>
      <c r="D37" s="377" t="str" cm="1">
        <f t="array" ref="D37">IF($B37="","",INDEX($AH$72:$AH$430,$K37))</f>
        <v/>
      </c>
      <c r="E37" s="378" t="str">
        <f t="shared" si="0"/>
        <v/>
      </c>
      <c r="F37" s="379" t="str" cm="1">
        <f t="array" ref="F37">IF($B37="","",IF(UPPER(TRIM($D37))="QT. SUFFISANTE","Qt. suffisante",IF($N37="","",IF($L37="MASSE",IF($N37&gt;=1,"Kg","g"),IF($L37="VOLUME",IF($N37&gt;=1,"L","cl"),INDEX($AL$72:$AL$430,$K37))))))</f>
        <v/>
      </c>
      <c r="G37" s="380" t="str">
        <f t="shared" si="1"/>
        <v/>
      </c>
      <c r="H37" s="381" t="str" cm="1">
        <f t="array" ref="H37">IF($B37="","",IF(UPPER(TRIM($D37))="QT. SUFFISANTE","Qt. suffisante",IF($O37="","",IF($L37="MASSE",IF($O37&gt;=1,"Kg","g"),IF($L37="VOLUME",IF($O37&gt;=1,"L","cl"),INDEX($AL$72:$AL$430,$K37))))))</f>
        <v/>
      </c>
      <c r="I37" s="382" t="str" cm="1">
        <f t="array" ref="I37">IF($B37="","",INDEX($AM$72:$AM$430,$K37))</f>
        <v/>
      </c>
      <c r="J37" s="271"/>
      <c r="K37" s="383">
        <f>1+($B$5-1)*36+15</f>
        <v>16</v>
      </c>
      <c r="L37" s="383" t="str" cm="1">
        <f t="array" ref="L37">IF($B37="","",INDEX($AI$72:$AI$430,$K37))</f>
        <v/>
      </c>
      <c r="M37" s="383" t="str" cm="1">
        <f t="array" ref="M37">IF($B37="","",INDEX($AJ$72:$AJ$430,$K37))</f>
        <v/>
      </c>
      <c r="N37" s="384" t="str" cm="1">
        <f t="array" ref="N37">IF(OR($B37="",$B$13="",$B$12="",$B$12=0),"",IF($L$22="AUTRE",IFERROR(INDEX($AK$72:$AK$430,$K37)*($B$13/$B$12),""),IF(OR($C$12="",$C$13=""),"",IFERROR(INDEX($AK$72:$AK$430,$K37)*(($B$13*VLOOKUP($C$13,$AY$74:$BA$119,3,FALSE))/($B$12*VLOOKUP($C$12,$AY$74:$BA$119,3,FALSE))),""))))</f>
        <v/>
      </c>
      <c r="O37" s="384" t="str" cm="1">
        <f t="array" ref="O37">IF(OR($B37="",$G$12="",$G$11="",$G$11=0),"",IFERROR(INDEX($AK$72:$AK$430,$K37)*($G$12/$G$11),""))</f>
        <v/>
      </c>
      <c r="U37" s="635" t="s">
        <v>8051</v>
      </c>
      <c r="V37" s="636"/>
      <c r="W37" s="637" t="s">
        <v>8052</v>
      </c>
      <c r="X37" s="637"/>
      <c r="Y37" s="637"/>
      <c r="Z37" s="637"/>
      <c r="AA37" s="638"/>
      <c r="AC37" s="275"/>
      <c r="AD37" s="398" t="s">
        <v>343</v>
      </c>
      <c r="AE37" s="397" t="s">
        <v>8048</v>
      </c>
      <c r="AF37" s="396" t="s">
        <v>8047</v>
      </c>
      <c r="AG37" s="639" t="s">
        <v>8048</v>
      </c>
      <c r="AH37" s="639"/>
      <c r="AI37" s="399" t="s">
        <v>8053</v>
      </c>
      <c r="AJ37" s="399"/>
      <c r="AK37" s="399"/>
      <c r="AL37" s="399"/>
      <c r="AM37" s="399"/>
      <c r="AN37" s="399"/>
      <c r="AO37" s="399"/>
      <c r="AP37" s="399"/>
      <c r="AQ37" s="399"/>
      <c r="BB37" s="271"/>
      <c r="BC37" s="271"/>
      <c r="BD37" s="279">
        <v>1</v>
      </c>
      <c r="BE37" s="271"/>
      <c r="BF37" s="271"/>
      <c r="BG37" s="271"/>
    </row>
    <row r="38" spans="1:59" ht="20.100000000000001" customHeight="1" x14ac:dyDescent="0.25">
      <c r="A38" s="374" t="str">
        <f>IF($B38="","",16)</f>
        <v/>
      </c>
      <c r="B38" s="375" t="str" cm="1">
        <f t="array" ref="B38">IFERROR(IF(INDEX($AC$72:$AC$430,$K38)="","",INDEX($AC$72:$AC$430,$K38)),"")</f>
        <v/>
      </c>
      <c r="C38" s="376" t="str" cm="1">
        <f t="array" ref="C38">IF($B38="","",INDEX($AG$72:$AG$430,$K38))</f>
        <v/>
      </c>
      <c r="D38" s="377" t="str" cm="1">
        <f t="array" ref="D38">IF($B38="","",INDEX($AH$72:$AH$430,$K38))</f>
        <v/>
      </c>
      <c r="E38" s="378" t="str">
        <f t="shared" si="0"/>
        <v/>
      </c>
      <c r="F38" s="379" t="str" cm="1">
        <f t="array" ref="F38">IF($B38="","",IF(UPPER(TRIM($D38))="QT. SUFFISANTE","Qt. suffisante",IF($N38="","",IF($L38="MASSE",IF($N38&gt;=1,"Kg","g"),IF($L38="VOLUME",IF($N38&gt;=1,"L","cl"),INDEX($AL$72:$AL$430,$K38))))))</f>
        <v/>
      </c>
      <c r="G38" s="380" t="str">
        <f t="shared" si="1"/>
        <v/>
      </c>
      <c r="H38" s="381" t="str" cm="1">
        <f t="array" ref="H38">IF($B38="","",IF(UPPER(TRIM($D38))="QT. SUFFISANTE","Qt. suffisante",IF($O38="","",IF($L38="MASSE",IF($O38&gt;=1,"Kg","g"),IF($L38="VOLUME",IF($O38&gt;=1,"L","cl"),INDEX($AL$72:$AL$430,$K38))))))</f>
        <v/>
      </c>
      <c r="I38" s="382" t="str" cm="1">
        <f t="array" ref="I38">IF($B38="","",INDEX($AM$72:$AM$430,$K38))</f>
        <v/>
      </c>
      <c r="J38" s="271"/>
      <c r="K38" s="383">
        <f>1+($B$5-1)*36+16</f>
        <v>17</v>
      </c>
      <c r="L38" s="383" t="str" cm="1">
        <f t="array" ref="L38">IF($B38="","",INDEX($AI$72:$AI$430,$K38))</f>
        <v/>
      </c>
      <c r="M38" s="383" t="str" cm="1">
        <f t="array" ref="M38">IF($B38="","",INDEX($AJ$72:$AJ$430,$K38))</f>
        <v/>
      </c>
      <c r="N38" s="384" t="str" cm="1">
        <f t="array" ref="N38">IF(OR($B38="",$B$13="",$B$12="",$B$12=0),"",IF($L$22="AUTRE",IFERROR(INDEX($AK$72:$AK$430,$K38)*($B$13/$B$12),""),IF(OR($C$12="",$C$13=""),"",IFERROR(INDEX($AK$72:$AK$430,$K38)*(($B$13*VLOOKUP($C$13,$AY$74:$BA$119,3,FALSE))/($B$12*VLOOKUP($C$12,$AY$74:$BA$119,3,FALSE))),""))))</f>
        <v/>
      </c>
      <c r="O38" s="384" t="str" cm="1">
        <f t="array" ref="O38">IF(OR($B38="",$G$12="",$G$11="",$G$11=0),"",IFERROR(INDEX($AK$72:$AK$430,$K38)*($G$12/$G$11),""))</f>
        <v/>
      </c>
      <c r="U38" s="635"/>
      <c r="V38" s="636"/>
      <c r="W38" s="637"/>
      <c r="X38" s="637"/>
      <c r="Y38" s="637"/>
      <c r="Z38" s="637"/>
      <c r="AA38" s="638"/>
      <c r="AC38" s="275"/>
      <c r="AD38" s="400" t="s">
        <v>343</v>
      </c>
      <c r="AE38" s="401" t="s">
        <v>8054</v>
      </c>
      <c r="AF38" s="396" t="s">
        <v>8047</v>
      </c>
      <c r="AG38" s="644" t="s">
        <v>8054</v>
      </c>
      <c r="AH38" s="644"/>
      <c r="AI38" s="402" t="s">
        <v>8055</v>
      </c>
      <c r="AJ38" s="403"/>
      <c r="AK38" s="403"/>
      <c r="AL38" s="403"/>
      <c r="AM38" s="403"/>
      <c r="AN38" s="403"/>
      <c r="AO38" s="403"/>
      <c r="AP38" s="403"/>
      <c r="AQ38" s="403"/>
      <c r="BB38" s="271"/>
      <c r="BC38" s="271"/>
      <c r="BD38" s="279">
        <v>1</v>
      </c>
      <c r="BE38" s="271"/>
      <c r="BF38" s="271"/>
      <c r="BG38" s="271"/>
    </row>
    <row r="39" spans="1:59" ht="20.100000000000001" customHeight="1" x14ac:dyDescent="0.25">
      <c r="A39" s="374" t="str">
        <f>IF($B39="","",17)</f>
        <v/>
      </c>
      <c r="B39" s="375" t="str" cm="1">
        <f t="array" ref="B39">IFERROR(IF(INDEX($AC$72:$AC$430,$K39)="","",INDEX($AC$72:$AC$430,$K39)),"")</f>
        <v/>
      </c>
      <c r="C39" s="376" t="str" cm="1">
        <f t="array" ref="C39">IF($B39="","",INDEX($AG$72:$AG$430,$K39))</f>
        <v/>
      </c>
      <c r="D39" s="377" t="str" cm="1">
        <f t="array" ref="D39">IF($B39="","",INDEX($AH$72:$AH$430,$K39))</f>
        <v/>
      </c>
      <c r="E39" s="378" t="str">
        <f t="shared" si="0"/>
        <v/>
      </c>
      <c r="F39" s="379" t="str" cm="1">
        <f t="array" ref="F39">IF($B39="","",IF(UPPER(TRIM($D39))="QT. SUFFISANTE","Qt. suffisante",IF($N39="","",IF($L39="MASSE",IF($N39&gt;=1,"Kg","g"),IF($L39="VOLUME",IF($N39&gt;=1,"L","cl"),INDEX($AL$72:$AL$430,$K39))))))</f>
        <v/>
      </c>
      <c r="G39" s="380" t="str">
        <f t="shared" si="1"/>
        <v/>
      </c>
      <c r="H39" s="381" t="str" cm="1">
        <f t="array" ref="H39">IF($B39="","",IF(UPPER(TRIM($D39))="QT. SUFFISANTE","Qt. suffisante",IF($O39="","",IF($L39="MASSE",IF($O39&gt;=1,"Kg","g"),IF($L39="VOLUME",IF($O39&gt;=1,"L","cl"),INDEX($AL$72:$AL$430,$K39))))))</f>
        <v/>
      </c>
      <c r="I39" s="382" t="str" cm="1">
        <f t="array" ref="I39">IF($B39="","",INDEX($AM$72:$AM$430,$K39))</f>
        <v/>
      </c>
      <c r="J39" s="271"/>
      <c r="K39" s="383">
        <f>1+($B$5-1)*36+17</f>
        <v>18</v>
      </c>
      <c r="L39" s="383" t="str" cm="1">
        <f t="array" ref="L39">IF($B39="","",INDEX($AI$72:$AI$430,$K39))</f>
        <v/>
      </c>
      <c r="M39" s="383" t="str" cm="1">
        <f t="array" ref="M39">IF($B39="","",INDEX($AJ$72:$AJ$430,$K39))</f>
        <v/>
      </c>
      <c r="N39" s="384" t="str" cm="1">
        <f t="array" ref="N39">IF(OR($B39="",$B$13="",$B$12="",$B$12=0),"",IF($L$22="AUTRE",IFERROR(INDEX($AK$72:$AK$430,$K39)*($B$13/$B$12),""),IF(OR($C$12="",$C$13=""),"",IFERROR(INDEX($AK$72:$AK$430,$K39)*(($B$13*VLOOKUP($C$13,$AY$74:$BA$119,3,FALSE))/($B$12*VLOOKUP($C$12,$AY$74:$BA$119,3,FALSE))),""))))</f>
        <v/>
      </c>
      <c r="O39" s="384" t="str" cm="1">
        <f t="array" ref="O39">IF(OR($B39="",$G$12="",$G$11="",$G$11=0),"",IFERROR(INDEX($AK$72:$AK$430,$K39)*($G$12/$G$11),""))</f>
        <v/>
      </c>
      <c r="U39" s="635" t="s">
        <v>8056</v>
      </c>
      <c r="V39" s="636"/>
      <c r="W39" s="637" t="s">
        <v>8057</v>
      </c>
      <c r="X39" s="637"/>
      <c r="Y39" s="637"/>
      <c r="Z39" s="637"/>
      <c r="AA39" s="638"/>
      <c r="AC39" s="275"/>
      <c r="AD39" s="370" t="s">
        <v>343</v>
      </c>
      <c r="AE39" s="404" t="s">
        <v>8058</v>
      </c>
      <c r="AF39" s="396" t="s">
        <v>8047</v>
      </c>
      <c r="AG39" s="645" t="s">
        <v>8058</v>
      </c>
      <c r="AH39" s="645"/>
      <c r="AI39" s="405" t="s">
        <v>8059</v>
      </c>
      <c r="AJ39" s="406"/>
      <c r="AK39" s="406"/>
      <c r="AL39" s="406"/>
      <c r="AM39" s="406"/>
      <c r="AN39" s="406"/>
      <c r="AO39" s="406"/>
      <c r="AP39" s="406"/>
      <c r="AQ39" s="406"/>
      <c r="BB39" s="271"/>
      <c r="BC39" s="271"/>
      <c r="BD39" s="279">
        <v>1</v>
      </c>
      <c r="BE39" s="271"/>
      <c r="BF39" s="271"/>
      <c r="BG39" s="271"/>
    </row>
    <row r="40" spans="1:59" ht="20.100000000000001" customHeight="1" x14ac:dyDescent="0.25">
      <c r="A40" s="374" t="str">
        <f>IF($B40="","",18)</f>
        <v/>
      </c>
      <c r="B40" s="375" t="str" cm="1">
        <f t="array" ref="B40">IFERROR(IF(INDEX($AC$72:$AC$430,$K40)="","",INDEX($AC$72:$AC$430,$K40)),"")</f>
        <v/>
      </c>
      <c r="C40" s="376" t="str" cm="1">
        <f t="array" ref="C40">IF($B40="","",INDEX($AG$72:$AG$430,$K40))</f>
        <v/>
      </c>
      <c r="D40" s="377" t="str" cm="1">
        <f t="array" ref="D40">IF($B40="","",INDEX($AH$72:$AH$430,$K40))</f>
        <v/>
      </c>
      <c r="E40" s="378" t="str">
        <f t="shared" si="0"/>
        <v/>
      </c>
      <c r="F40" s="379" t="str" cm="1">
        <f t="array" ref="F40">IF($B40="","",IF(UPPER(TRIM($D40))="QT. SUFFISANTE","Qt. suffisante",IF($N40="","",IF($L40="MASSE",IF($N40&gt;=1,"Kg","g"),IF($L40="VOLUME",IF($N40&gt;=1,"L","cl"),INDEX($AL$72:$AL$430,$K40))))))</f>
        <v/>
      </c>
      <c r="G40" s="380" t="str">
        <f t="shared" si="1"/>
        <v/>
      </c>
      <c r="H40" s="381" t="str" cm="1">
        <f t="array" ref="H40">IF($B40="","",IF(UPPER(TRIM($D40))="QT. SUFFISANTE","Qt. suffisante",IF($O40="","",IF($L40="MASSE",IF($O40&gt;=1,"Kg","g"),IF($L40="VOLUME",IF($O40&gt;=1,"L","cl"),INDEX($AL$72:$AL$430,$K40))))))</f>
        <v/>
      </c>
      <c r="I40" s="382" t="str" cm="1">
        <f t="array" ref="I40">IF($B40="","",INDEX($AM$72:$AM$430,$K40))</f>
        <v/>
      </c>
      <c r="J40" s="271"/>
      <c r="K40" s="383">
        <f>1+($B$5-1)*36+18</f>
        <v>19</v>
      </c>
      <c r="L40" s="383" t="str" cm="1">
        <f t="array" ref="L40">IF($B40="","",INDEX($AI$72:$AI$430,$K40))</f>
        <v/>
      </c>
      <c r="M40" s="383" t="str" cm="1">
        <f t="array" ref="M40">IF($B40="","",INDEX($AJ$72:$AJ$430,$K40))</f>
        <v/>
      </c>
      <c r="N40" s="384" t="str" cm="1">
        <f t="array" ref="N40">IF(OR($B40="",$B$13="",$B$12="",$B$12=0),"",IF($L$22="AUTRE",IFERROR(INDEX($AK$72:$AK$430,$K40)*($B$13/$B$12),""),IF(OR($C$12="",$C$13=""),"",IFERROR(INDEX($AK$72:$AK$430,$K40)*(($B$13*VLOOKUP($C$13,$AY$74:$BA$119,3,FALSE))/($B$12*VLOOKUP($C$12,$AY$74:$BA$119,3,FALSE))),""))))</f>
        <v/>
      </c>
      <c r="O40" s="384" t="str" cm="1">
        <f t="array" ref="O40">IF(OR($B40="",$G$12="",$G$11="",$G$11=0),"",IFERROR(INDEX($AK$72:$AK$430,$K40)*($G$12/$G$11),""))</f>
        <v/>
      </c>
      <c r="U40" s="635"/>
      <c r="V40" s="636"/>
      <c r="W40" s="637"/>
      <c r="X40" s="637"/>
      <c r="Y40" s="637"/>
      <c r="Z40" s="637"/>
      <c r="AA40" s="638"/>
      <c r="AC40" s="275"/>
      <c r="AD40" s="370" t="s">
        <v>343</v>
      </c>
      <c r="AE40" s="407" t="s">
        <v>8060</v>
      </c>
      <c r="AF40" s="396" t="s">
        <v>8047</v>
      </c>
      <c r="AG40" s="646" t="s">
        <v>8060</v>
      </c>
      <c r="AH40" s="646"/>
      <c r="AI40" s="406" t="s">
        <v>8061</v>
      </c>
      <c r="AJ40" s="406"/>
      <c r="AK40" s="406"/>
      <c r="AL40" s="406"/>
      <c r="AM40" s="406"/>
      <c r="AN40" s="406"/>
      <c r="AO40" s="406"/>
      <c r="AP40" s="406"/>
      <c r="AQ40" s="406"/>
      <c r="BB40" s="271"/>
      <c r="BC40" s="271"/>
      <c r="BD40" s="279">
        <v>1</v>
      </c>
      <c r="BE40" s="271"/>
      <c r="BF40" s="271"/>
      <c r="BG40" s="271"/>
    </row>
    <row r="41" spans="1:59" ht="20.100000000000001" customHeight="1" thickBot="1" x14ac:dyDescent="0.3">
      <c r="A41" s="374" t="str">
        <f>IF($B41="","",19)</f>
        <v/>
      </c>
      <c r="B41" s="375" t="str" cm="1">
        <f t="array" ref="B41">IFERROR(IF(INDEX($AC$72:$AC$430,$K41)="","",INDEX($AC$72:$AC$430,$K41)),"")</f>
        <v/>
      </c>
      <c r="C41" s="376" t="str" cm="1">
        <f t="array" ref="C41">IF($B41="","",INDEX($AG$72:$AG$430,$K41))</f>
        <v/>
      </c>
      <c r="D41" s="377" t="str" cm="1">
        <f t="array" ref="D41">IF($B41="","",INDEX($AH$72:$AH$430,$K41))</f>
        <v/>
      </c>
      <c r="E41" s="378" t="str">
        <f t="shared" si="0"/>
        <v/>
      </c>
      <c r="F41" s="379" t="str" cm="1">
        <f t="array" ref="F41">IF($B41="","",IF(UPPER(TRIM($D41))="QT. SUFFISANTE","Qt. suffisante",IF($N41="","",IF($L41="MASSE",IF($N41&gt;=1,"Kg","g"),IF($L41="VOLUME",IF($N41&gt;=1,"L","cl"),INDEX($AL$72:$AL$430,$K41))))))</f>
        <v/>
      </c>
      <c r="G41" s="380" t="str">
        <f t="shared" si="1"/>
        <v/>
      </c>
      <c r="H41" s="381" t="str" cm="1">
        <f t="array" ref="H41">IF($B41="","",IF(UPPER(TRIM($D41))="QT. SUFFISANTE","Qt. suffisante",IF($O41="","",IF($L41="MASSE",IF($O41&gt;=1,"Kg","g"),IF($L41="VOLUME",IF($O41&gt;=1,"L","cl"),INDEX($AL$72:$AL$430,$K41))))))</f>
        <v/>
      </c>
      <c r="I41" s="382" t="str" cm="1">
        <f t="array" ref="I41">IF($B41="","",INDEX($AM$72:$AM$430,$K41))</f>
        <v/>
      </c>
      <c r="J41" s="271"/>
      <c r="K41" s="383">
        <f>1+($B$5-1)*36+19</f>
        <v>20</v>
      </c>
      <c r="L41" s="383" t="str" cm="1">
        <f t="array" ref="L41">IF($B41="","",INDEX($AI$72:$AI$430,$K41))</f>
        <v/>
      </c>
      <c r="M41" s="383" t="str" cm="1">
        <f t="array" ref="M41">IF($B41="","",INDEX($AJ$72:$AJ$430,$K41))</f>
        <v/>
      </c>
      <c r="N41" s="384" t="str" cm="1">
        <f t="array" ref="N41">IF(OR($B41="",$B$13="",$B$12="",$B$12=0),"",IF($L$22="AUTRE",IFERROR(INDEX($AK$72:$AK$430,$K41)*($B$13/$B$12),""),IF(OR($C$12="",$C$13=""),"",IFERROR(INDEX($AK$72:$AK$430,$K41)*(($B$13*VLOOKUP($C$13,$AY$74:$BA$119,3,FALSE))/($B$12*VLOOKUP($C$12,$AY$74:$BA$119,3,FALSE))),""))))</f>
        <v/>
      </c>
      <c r="O41" s="384" t="str" cm="1">
        <f t="array" ref="O41">IF(OR($B41="",$G$12="",$G$11="",$G$11=0),"",IFERROR(INDEX($AK$72:$AK$430,$K41)*($G$12/$G$11),""))</f>
        <v/>
      </c>
      <c r="U41" s="647" t="s">
        <v>8062</v>
      </c>
      <c r="V41" s="648"/>
      <c r="W41" s="648"/>
      <c r="X41" s="648"/>
      <c r="Y41" s="648"/>
      <c r="Z41" s="648"/>
      <c r="AA41" s="649"/>
      <c r="AD41" s="408" t="s">
        <v>8063</v>
      </c>
      <c r="AE41" s="409" t="s">
        <v>8064</v>
      </c>
      <c r="AF41" s="410" t="s">
        <v>8065</v>
      </c>
      <c r="AG41" s="650" t="s">
        <v>8066</v>
      </c>
      <c r="AH41" s="650"/>
      <c r="AI41" s="411" t="s">
        <v>8067</v>
      </c>
      <c r="AJ41" s="411"/>
      <c r="AK41" s="411"/>
      <c r="AL41" s="411"/>
      <c r="AM41" s="411"/>
      <c r="AN41" s="411"/>
      <c r="AO41" s="411"/>
      <c r="AP41" s="411"/>
      <c r="AQ41" s="411"/>
      <c r="BB41" s="271"/>
      <c r="BC41" s="271"/>
      <c r="BD41" s="279">
        <v>1</v>
      </c>
      <c r="BE41" s="271"/>
      <c r="BF41" s="271"/>
      <c r="BG41" s="271"/>
    </row>
    <row r="42" spans="1:59" ht="20.100000000000001" customHeight="1" x14ac:dyDescent="0.25">
      <c r="A42" s="374" t="str">
        <f>IF($B42="","",20)</f>
        <v/>
      </c>
      <c r="B42" s="375" t="str" cm="1">
        <f t="array" ref="B42">IFERROR(IF(INDEX($AC$72:$AC$430,$K42)="","",INDEX($AC$72:$AC$430,$K42)),"")</f>
        <v/>
      </c>
      <c r="C42" s="376" t="str" cm="1">
        <f t="array" ref="C42">IF($B42="","",INDEX($AG$72:$AG$430,$K42))</f>
        <v/>
      </c>
      <c r="D42" s="377" t="str" cm="1">
        <f t="array" ref="D42">IF($B42="","",INDEX($AH$72:$AH$430,$K42))</f>
        <v/>
      </c>
      <c r="E42" s="378" t="str">
        <f t="shared" si="0"/>
        <v/>
      </c>
      <c r="F42" s="379" t="str" cm="1">
        <f t="array" ref="F42">IF($B42="","",IF(UPPER(TRIM($D42))="QT. SUFFISANTE","Qt. suffisante",IF($N42="","",IF($L42="MASSE",IF($N42&gt;=1,"Kg","g"),IF($L42="VOLUME",IF($N42&gt;=1,"L","cl"),INDEX($AL$72:$AL$430,$K42))))))</f>
        <v/>
      </c>
      <c r="G42" s="380" t="str">
        <f t="shared" si="1"/>
        <v/>
      </c>
      <c r="H42" s="381" t="str" cm="1">
        <f t="array" ref="H42">IF($B42="","",IF(UPPER(TRIM($D42))="QT. SUFFISANTE","Qt. suffisante",IF($O42="","",IF($L42="MASSE",IF($O42&gt;=1,"Kg","g"),IF($L42="VOLUME",IF($O42&gt;=1,"L","cl"),INDEX($AL$72:$AL$430,$K42))))))</f>
        <v/>
      </c>
      <c r="I42" s="382" t="str" cm="1">
        <f t="array" ref="I42">IF($B42="","",INDEX($AM$72:$AM$430,$K42))</f>
        <v/>
      </c>
      <c r="J42" s="271"/>
      <c r="K42" s="383">
        <f>1+($B$5-1)*36+20</f>
        <v>21</v>
      </c>
      <c r="L42" s="383" t="str" cm="1">
        <f t="array" ref="L42">IF($B42="","",INDEX($AI$72:$AI$430,$K42))</f>
        <v/>
      </c>
      <c r="M42" s="383" t="str" cm="1">
        <f t="array" ref="M42">IF($B42="","",INDEX($AJ$72:$AJ$430,$K42))</f>
        <v/>
      </c>
      <c r="N42" s="384" t="str" cm="1">
        <f t="array" ref="N42">IF(OR($B42="",$B$13="",$B$12="",$B$12=0),"",IF($L$22="AUTRE",IFERROR(INDEX($AK$72:$AK$430,$K42)*($B$13/$B$12),""),IF(OR($C$12="",$C$13=""),"",IFERROR(INDEX($AK$72:$AK$430,$K42)*(($B$13*VLOOKUP($C$13,$AY$74:$BA$119,3,FALSE))/($B$12*VLOOKUP($C$12,$AY$74:$BA$119,3,FALSE))),""))))</f>
        <v/>
      </c>
      <c r="O42" s="384" t="str" cm="1">
        <f t="array" ref="O42">IF(OR($B42="",$G$12="",$G$11="",$G$11=0),"",IFERROR(INDEX($AK$72:$AK$430,$K42)*($G$12/$G$11),""))</f>
        <v/>
      </c>
      <c r="U42" s="651" t="s">
        <v>8068</v>
      </c>
      <c r="V42" s="652"/>
      <c r="W42" s="653" t="s">
        <v>8069</v>
      </c>
      <c r="X42" s="653"/>
      <c r="Y42" s="653"/>
      <c r="Z42" s="653"/>
      <c r="AA42" s="654"/>
      <c r="AD42" s="294" t="s">
        <v>8070</v>
      </c>
      <c r="AE42" s="295"/>
      <c r="AF42" s="296"/>
      <c r="AG42" s="295"/>
      <c r="AH42" s="295"/>
      <c r="AI42" s="295"/>
      <c r="AJ42" s="295"/>
      <c r="AK42" s="295"/>
      <c r="AL42" s="295"/>
      <c r="AM42" s="295"/>
      <c r="AN42" s="295"/>
      <c r="AO42" s="295"/>
      <c r="AP42" s="295"/>
      <c r="AQ42" s="295"/>
      <c r="BB42" s="271"/>
      <c r="BC42" s="271"/>
      <c r="BD42" s="279">
        <v>1</v>
      </c>
      <c r="BE42" s="271"/>
      <c r="BF42" s="271"/>
      <c r="BG42" s="271"/>
    </row>
    <row r="43" spans="1:59" ht="20.100000000000001" customHeight="1" x14ac:dyDescent="0.25">
      <c r="A43" s="374" t="str">
        <f>IF($B43="","",21)</f>
        <v/>
      </c>
      <c r="B43" s="375" t="str" cm="1">
        <f t="array" ref="B43">IFERROR(IF(INDEX($AC$72:$AC$430,$K43)="","",INDEX($AC$72:$AC$430,$K43)),"")</f>
        <v/>
      </c>
      <c r="C43" s="376" t="str" cm="1">
        <f t="array" ref="C43">IF($B43="","",INDEX($AG$72:$AG$430,$K43))</f>
        <v/>
      </c>
      <c r="D43" s="377" t="str" cm="1">
        <f t="array" ref="D43">IF($B43="","",INDEX($AH$72:$AH$430,$K43))</f>
        <v/>
      </c>
      <c r="E43" s="378" t="str">
        <f t="shared" si="0"/>
        <v/>
      </c>
      <c r="F43" s="379" t="str" cm="1">
        <f t="array" ref="F43">IF($B43="","",IF(UPPER(TRIM($D43))="QT. SUFFISANTE","Qt. suffisante",IF($N43="","",IF($L43="MASSE",IF($N43&gt;=1,"Kg","g"),IF($L43="VOLUME",IF($N43&gt;=1,"L","cl"),INDEX($AL$72:$AL$430,$K43))))))</f>
        <v/>
      </c>
      <c r="G43" s="380" t="str">
        <f t="shared" si="1"/>
        <v/>
      </c>
      <c r="H43" s="381" t="str" cm="1">
        <f t="array" ref="H43">IF($B43="","",IF(UPPER(TRIM($D43))="QT. SUFFISANTE","Qt. suffisante",IF($O43="","",IF($L43="MASSE",IF($O43&gt;=1,"Kg","g"),IF($L43="VOLUME",IF($O43&gt;=1,"L","cl"),INDEX($AL$72:$AL$430,$K43))))))</f>
        <v/>
      </c>
      <c r="I43" s="382" t="str" cm="1">
        <f t="array" ref="I43">IF($B43="","",INDEX($AM$72:$AM$430,$K43))</f>
        <v/>
      </c>
      <c r="J43" s="271"/>
      <c r="K43" s="383">
        <f>1+($B$5-1)*36+21</f>
        <v>22</v>
      </c>
      <c r="L43" s="383" t="str" cm="1">
        <f t="array" ref="L43">IF($B43="","",INDEX($AI$72:$AI$430,$K43))</f>
        <v/>
      </c>
      <c r="M43" s="383" t="str" cm="1">
        <f t="array" ref="M43">IF($B43="","",INDEX($AJ$72:$AJ$430,$K43))</f>
        <v/>
      </c>
      <c r="N43" s="384" t="str" cm="1">
        <f t="array" ref="N43">IF(OR($B43="",$B$13="",$B$12="",$B$12=0),"",IF($L$22="AUTRE",IFERROR(INDEX($AK$72:$AK$430,$K43)*($B$13/$B$12),""),IF(OR($C$12="",$C$13=""),"",IFERROR(INDEX($AK$72:$AK$430,$K43)*(($B$13*VLOOKUP($C$13,$AY$74:$BA$119,3,FALSE))/($B$12*VLOOKUP($C$12,$AY$74:$BA$119,3,FALSE))),""))))</f>
        <v/>
      </c>
      <c r="O43" s="384" t="str" cm="1">
        <f t="array" ref="O43">IF(OR($B43="",$G$12="",$G$11="",$G$11=0),"",IFERROR(INDEX($AK$72:$AK$430,$K43)*($G$12/$G$11),""))</f>
        <v/>
      </c>
      <c r="U43" s="651"/>
      <c r="V43" s="652"/>
      <c r="W43" s="653"/>
      <c r="X43" s="653"/>
      <c r="Y43" s="653"/>
      <c r="Z43" s="653"/>
      <c r="AA43" s="654"/>
      <c r="AD43" s="301" t="s">
        <v>8071</v>
      </c>
      <c r="AE43" s="322" t="s">
        <v>8072</v>
      </c>
      <c r="AF43" s="303"/>
      <c r="AG43" s="557" t="s">
        <v>8073</v>
      </c>
      <c r="AH43" s="557"/>
      <c r="AI43" s="311" t="s">
        <v>8074</v>
      </c>
      <c r="AJ43" s="311"/>
      <c r="AK43" s="311"/>
      <c r="AL43" s="311"/>
      <c r="AM43" s="311"/>
      <c r="AN43" s="311"/>
      <c r="AO43" s="311"/>
      <c r="AP43" s="311"/>
      <c r="AQ43" s="311"/>
      <c r="BB43" s="271"/>
      <c r="BC43" s="271"/>
      <c r="BD43" s="279">
        <v>1</v>
      </c>
      <c r="BE43" s="271"/>
      <c r="BF43" s="271"/>
      <c r="BG43" s="271"/>
    </row>
    <row r="44" spans="1:59" ht="20.100000000000001" customHeight="1" x14ac:dyDescent="0.25">
      <c r="A44" s="374" t="str">
        <f>IF($B44="","",22)</f>
        <v/>
      </c>
      <c r="B44" s="375" t="str" cm="1">
        <f t="array" ref="B44">IFERROR(IF(INDEX($AC$72:$AC$430,$K44)="","",INDEX($AC$72:$AC$430,$K44)),"")</f>
        <v/>
      </c>
      <c r="C44" s="376" t="str" cm="1">
        <f t="array" ref="C44">IF($B44="","",INDEX($AG$72:$AG$430,$K44))</f>
        <v/>
      </c>
      <c r="D44" s="377" t="str" cm="1">
        <f t="array" ref="D44">IF($B44="","",INDEX($AH$72:$AH$430,$K44))</f>
        <v/>
      </c>
      <c r="E44" s="378" t="str">
        <f t="shared" si="0"/>
        <v/>
      </c>
      <c r="F44" s="379" t="str" cm="1">
        <f t="array" ref="F44">IF($B44="","",IF(UPPER(TRIM($D44))="QT. SUFFISANTE","Qt. suffisante",IF($N44="","",IF($L44="MASSE",IF($N44&gt;=1,"Kg","g"),IF($L44="VOLUME",IF($N44&gt;=1,"L","cl"),INDEX($AL$72:$AL$430,$K44))))))</f>
        <v/>
      </c>
      <c r="G44" s="380" t="str">
        <f t="shared" si="1"/>
        <v/>
      </c>
      <c r="H44" s="381" t="str" cm="1">
        <f t="array" ref="H44">IF($B44="","",IF(UPPER(TRIM($D44))="QT. SUFFISANTE","Qt. suffisante",IF($O44="","",IF($L44="MASSE",IF($O44&gt;=1,"Kg","g"),IF($L44="VOLUME",IF($O44&gt;=1,"L","cl"),INDEX($AL$72:$AL$430,$K44))))))</f>
        <v/>
      </c>
      <c r="I44" s="382" t="str" cm="1">
        <f t="array" ref="I44">IF($B44="","",INDEX($AM$72:$AM$430,$K44))</f>
        <v/>
      </c>
      <c r="J44" s="271"/>
      <c r="K44" s="383">
        <f>1+($B$5-1)*36+22</f>
        <v>23</v>
      </c>
      <c r="L44" s="383" t="str" cm="1">
        <f t="array" ref="L44">IF($B44="","",INDEX($AI$72:$AI$430,$K44))</f>
        <v/>
      </c>
      <c r="M44" s="383" t="str" cm="1">
        <f t="array" ref="M44">IF($B44="","",INDEX($AJ$72:$AJ$430,$K44))</f>
        <v/>
      </c>
      <c r="N44" s="384" t="str" cm="1">
        <f t="array" ref="N44">IF(OR($B44="",$B$13="",$B$12="",$B$12=0),"",IF($L$22="AUTRE",IFERROR(INDEX($AK$72:$AK$430,$K44)*($B$13/$B$12),""),IF(OR($C$12="",$C$13=""),"",IFERROR(INDEX($AK$72:$AK$430,$K44)*(($B$13*VLOOKUP($C$13,$AY$74:$BA$119,3,FALSE))/($B$12*VLOOKUP($C$12,$AY$74:$BA$119,3,FALSE))),""))))</f>
        <v/>
      </c>
      <c r="O44" s="384" t="str" cm="1">
        <f t="array" ref="O44">IF(OR($B44="",$G$12="",$G$11="",$G$11=0),"",IFERROR(INDEX($AK$72:$AK$430,$K44)*($G$12/$G$11),""))</f>
        <v/>
      </c>
      <c r="U44" s="640" t="s">
        <v>343</v>
      </c>
      <c r="V44" s="641"/>
      <c r="W44" s="642" t="s">
        <v>8075</v>
      </c>
      <c r="X44" s="642"/>
      <c r="Y44" s="642"/>
      <c r="Z44" s="642"/>
      <c r="AA44" s="643"/>
      <c r="AD44" s="301" t="s">
        <v>8071</v>
      </c>
      <c r="AE44" s="322" t="s">
        <v>8076</v>
      </c>
      <c r="AF44" s="303"/>
      <c r="AG44" s="557" t="s">
        <v>8077</v>
      </c>
      <c r="AH44" s="557"/>
      <c r="AI44" s="311" t="s">
        <v>8078</v>
      </c>
      <c r="AJ44" s="311"/>
      <c r="AK44" s="311"/>
      <c r="AL44" s="311"/>
      <c r="AM44" s="311"/>
      <c r="AN44" s="311"/>
      <c r="AO44" s="311"/>
      <c r="AP44" s="311"/>
      <c r="AQ44" s="311"/>
      <c r="BB44" s="271"/>
      <c r="BC44" s="271"/>
      <c r="BD44" s="279">
        <v>1</v>
      </c>
      <c r="BE44" s="271"/>
      <c r="BF44" s="271"/>
      <c r="BG44" s="271"/>
    </row>
    <row r="45" spans="1:59" ht="20.100000000000001" customHeight="1" x14ac:dyDescent="0.25">
      <c r="A45" s="374" t="str">
        <f>IF($B45="","",23)</f>
        <v/>
      </c>
      <c r="B45" s="375" t="str" cm="1">
        <f t="array" ref="B45">IFERROR(IF(INDEX($AC$72:$AC$430,$K45)="","",INDEX($AC$72:$AC$430,$K45)),"")</f>
        <v/>
      </c>
      <c r="C45" s="376" t="str" cm="1">
        <f t="array" ref="C45">IF($B45="","",INDEX($AG$72:$AG$430,$K45))</f>
        <v/>
      </c>
      <c r="D45" s="377" t="str" cm="1">
        <f t="array" ref="D45">IF($B45="","",INDEX($AH$72:$AH$430,$K45))</f>
        <v/>
      </c>
      <c r="E45" s="378" t="str">
        <f t="shared" si="0"/>
        <v/>
      </c>
      <c r="F45" s="379" t="str" cm="1">
        <f t="array" ref="F45">IF($B45="","",IF(UPPER(TRIM($D45))="QT. SUFFISANTE","Qt. suffisante",IF($N45="","",IF($L45="MASSE",IF($N45&gt;=1,"Kg","g"),IF($L45="VOLUME",IF($N45&gt;=1,"L","cl"),INDEX($AL$72:$AL$430,$K45))))))</f>
        <v/>
      </c>
      <c r="G45" s="380" t="str">
        <f t="shared" si="1"/>
        <v/>
      </c>
      <c r="H45" s="381" t="str" cm="1">
        <f t="array" ref="H45">IF($B45="","",IF(UPPER(TRIM($D45))="QT. SUFFISANTE","Qt. suffisante",IF($O45="","",IF($L45="MASSE",IF($O45&gt;=1,"Kg","g"),IF($L45="VOLUME",IF($O45&gt;=1,"L","cl"),INDEX($AL$72:$AL$430,$K45))))))</f>
        <v/>
      </c>
      <c r="I45" s="382" t="str" cm="1">
        <f t="array" ref="I45">IF($B45="","",INDEX($AM$72:$AM$430,$K45))</f>
        <v/>
      </c>
      <c r="J45" s="271"/>
      <c r="K45" s="383">
        <f>1+($B$5-1)*36+23</f>
        <v>24</v>
      </c>
      <c r="L45" s="383" t="str" cm="1">
        <f t="array" ref="L45">IF($B45="","",INDEX($AI$72:$AI$430,$K45))</f>
        <v/>
      </c>
      <c r="M45" s="383" t="str" cm="1">
        <f t="array" ref="M45">IF($B45="","",INDEX($AJ$72:$AJ$430,$K45))</f>
        <v/>
      </c>
      <c r="N45" s="384" t="str" cm="1">
        <f t="array" ref="N45">IF(OR($B45="",$B$13="",$B$12="",$B$12=0),"",IF($L$22="AUTRE",IFERROR(INDEX($AK$72:$AK$430,$K45)*($B$13/$B$12),""),IF(OR($C$12="",$C$13=""),"",IFERROR(INDEX($AK$72:$AK$430,$K45)*(($B$13*VLOOKUP($C$13,$AY$74:$BA$119,3,FALSE))/($B$12*VLOOKUP($C$12,$AY$74:$BA$119,3,FALSE))),""))))</f>
        <v/>
      </c>
      <c r="O45" s="384" t="str" cm="1">
        <f t="array" ref="O45">IF(OR($B45="",$G$12="",$G$11="",$G$11=0),"",IFERROR(INDEX($AK$72:$AK$430,$K45)*($G$12/$G$11),""))</f>
        <v/>
      </c>
      <c r="U45" s="640"/>
      <c r="V45" s="641"/>
      <c r="W45" s="642"/>
      <c r="X45" s="642"/>
      <c r="Y45" s="642"/>
      <c r="Z45" s="642"/>
      <c r="AA45" s="643"/>
      <c r="AD45" s="301" t="s">
        <v>8071</v>
      </c>
      <c r="AE45" s="322" t="s">
        <v>8079</v>
      </c>
      <c r="AF45" s="303"/>
      <c r="AG45" s="557" t="s">
        <v>8080</v>
      </c>
      <c r="AH45" s="557"/>
      <c r="AI45" s="311" t="s">
        <v>8081</v>
      </c>
      <c r="AJ45" s="311"/>
      <c r="AK45" s="311"/>
      <c r="AL45" s="311"/>
      <c r="AM45" s="311"/>
      <c r="AN45" s="311"/>
      <c r="AO45" s="311"/>
      <c r="AP45" s="311"/>
      <c r="AQ45" s="311"/>
      <c r="BB45" s="271"/>
      <c r="BC45" s="271"/>
      <c r="BD45" s="279">
        <v>1</v>
      </c>
      <c r="BE45" s="271"/>
      <c r="BF45" s="271"/>
      <c r="BG45" s="271"/>
    </row>
    <row r="46" spans="1:59" ht="20.100000000000001" customHeight="1" x14ac:dyDescent="0.25">
      <c r="A46" s="374" t="str">
        <f>IF($B46="","",24)</f>
        <v/>
      </c>
      <c r="B46" s="375" t="str" cm="1">
        <f t="array" ref="B46">IFERROR(IF(INDEX($AC$72:$AC$430,$K46)="","",INDEX($AC$72:$AC$430,$K46)),"")</f>
        <v/>
      </c>
      <c r="C46" s="376" t="str" cm="1">
        <f t="array" ref="C46">IF($B46="","",INDEX($AG$72:$AG$430,$K46))</f>
        <v/>
      </c>
      <c r="D46" s="377" t="str" cm="1">
        <f t="array" ref="D46">IF($B46="","",INDEX($AH$72:$AH$430,$K46))</f>
        <v/>
      </c>
      <c r="E46" s="378" t="str">
        <f t="shared" si="0"/>
        <v/>
      </c>
      <c r="F46" s="379" t="str" cm="1">
        <f t="array" ref="F46">IF($B46="","",IF(UPPER(TRIM($D46))="QT. SUFFISANTE","Qt. suffisante",IF($N46="","",IF($L46="MASSE",IF($N46&gt;=1,"Kg","g"),IF($L46="VOLUME",IF($N46&gt;=1,"L","cl"),INDEX($AL$72:$AL$430,$K46))))))</f>
        <v/>
      </c>
      <c r="G46" s="380" t="str">
        <f t="shared" si="1"/>
        <v/>
      </c>
      <c r="H46" s="381" t="str" cm="1">
        <f t="array" ref="H46">IF($B46="","",IF(UPPER(TRIM($D46))="QT. SUFFISANTE","Qt. suffisante",IF($O46="","",IF($L46="MASSE",IF($O46&gt;=1,"Kg","g"),IF($L46="VOLUME",IF($O46&gt;=1,"L","cl"),INDEX($AL$72:$AL$430,$K46))))))</f>
        <v/>
      </c>
      <c r="I46" s="382" t="str" cm="1">
        <f t="array" ref="I46">IF($B46="","",INDEX($AM$72:$AM$430,$K46))</f>
        <v/>
      </c>
      <c r="J46" s="271"/>
      <c r="K46" s="383">
        <f>1+($B$5-1)*36+24</f>
        <v>25</v>
      </c>
      <c r="L46" s="383" t="str" cm="1">
        <f t="array" ref="L46">IF($B46="","",INDEX($AI$72:$AI$430,$K46))</f>
        <v/>
      </c>
      <c r="M46" s="383" t="str" cm="1">
        <f t="array" ref="M46">IF($B46="","",INDEX($AJ$72:$AJ$430,$K46))</f>
        <v/>
      </c>
      <c r="N46" s="384" t="str" cm="1">
        <f t="array" ref="N46">IF(OR($B46="",$B$13="",$B$12="",$B$12=0),"",IF($L$22="AUTRE",IFERROR(INDEX($AK$72:$AK$430,$K46)*($B$13/$B$12),""),IF(OR($C$12="",$C$13=""),"",IFERROR(INDEX($AK$72:$AK$430,$K46)*(($B$13*VLOOKUP($C$13,$AY$74:$BA$119,3,FALSE))/($B$12*VLOOKUP($C$12,$AY$74:$BA$119,3,FALSE))),""))))</f>
        <v/>
      </c>
      <c r="O46" s="384" t="str" cm="1">
        <f t="array" ref="O46">IF(OR($B46="",$G$12="",$G$11="",$G$11=0),"",IFERROR(INDEX($AK$72:$AK$430,$K46)*($G$12/$G$11),""))</f>
        <v/>
      </c>
      <c r="U46" s="156"/>
      <c r="V46" s="156"/>
      <c r="W46" s="156"/>
      <c r="X46" s="156"/>
      <c r="Y46" s="156"/>
      <c r="Z46" s="156"/>
      <c r="AA46" s="156"/>
      <c r="AD46" s="412" t="s">
        <v>8082</v>
      </c>
      <c r="AE46" s="413" t="s">
        <v>8035</v>
      </c>
      <c r="AF46" s="414"/>
      <c r="AG46" s="658" t="s">
        <v>33</v>
      </c>
      <c r="AH46" s="658"/>
      <c r="AI46" s="415" t="s">
        <v>8083</v>
      </c>
      <c r="AJ46" s="415"/>
      <c r="AK46" s="415"/>
      <c r="AL46" s="415"/>
      <c r="AM46" s="415"/>
      <c r="AN46" s="415"/>
      <c r="AO46" s="415"/>
      <c r="AP46" s="415"/>
      <c r="AQ46" s="415"/>
      <c r="AY46" s="416" t="s">
        <v>8084</v>
      </c>
      <c r="AZ46" s="220"/>
      <c r="BA46" s="220"/>
      <c r="BB46" s="220"/>
      <c r="BC46" s="271"/>
      <c r="BD46" s="279">
        <v>1</v>
      </c>
      <c r="BE46" s="271"/>
      <c r="BF46" s="271"/>
      <c r="BG46" s="271"/>
    </row>
    <row r="47" spans="1:59" ht="20.100000000000001" customHeight="1" x14ac:dyDescent="0.25">
      <c r="A47" s="374" t="str">
        <f>IF($B47="","",25)</f>
        <v/>
      </c>
      <c r="B47" s="375" t="str" cm="1">
        <f t="array" ref="B47">IFERROR(IF(INDEX($AC$72:$AC$430,$K47)="","",INDEX($AC$72:$AC$430,$K47)),"")</f>
        <v/>
      </c>
      <c r="C47" s="376" t="str" cm="1">
        <f t="array" ref="C47">IF($B47="","",INDEX($AG$72:$AG$430,$K47))</f>
        <v/>
      </c>
      <c r="D47" s="377" t="str" cm="1">
        <f t="array" ref="D47">IF($B47="","",INDEX($AH$72:$AH$430,$K47))</f>
        <v/>
      </c>
      <c r="E47" s="378" t="str">
        <f t="shared" si="0"/>
        <v/>
      </c>
      <c r="F47" s="379" t="str" cm="1">
        <f t="array" ref="F47">IF($B47="","",IF(UPPER(TRIM($D47))="QT. SUFFISANTE","Qt. suffisante",IF($N47="","",IF($L47="MASSE",IF($N47&gt;=1,"Kg","g"),IF($L47="VOLUME",IF($N47&gt;=1,"L","cl"),INDEX($AL$72:$AL$430,$K47))))))</f>
        <v/>
      </c>
      <c r="G47" s="380" t="str">
        <f t="shared" si="1"/>
        <v/>
      </c>
      <c r="H47" s="381" t="str" cm="1">
        <f t="array" ref="H47">IF($B47="","",IF(UPPER(TRIM($D47))="QT. SUFFISANTE","Qt. suffisante",IF($O47="","",IF($L47="MASSE",IF($O47&gt;=1,"Kg","g"),IF($L47="VOLUME",IF($O47&gt;=1,"L","cl"),INDEX($AL$72:$AL$430,$K47))))))</f>
        <v/>
      </c>
      <c r="I47" s="382" t="str" cm="1">
        <f t="array" ref="I47">IF($B47="","",INDEX($AM$72:$AM$430,$K47))</f>
        <v/>
      </c>
      <c r="J47" s="271"/>
      <c r="K47" s="383">
        <f>1+($B$5-1)*36+25</f>
        <v>26</v>
      </c>
      <c r="L47" s="383" t="str" cm="1">
        <f t="array" ref="L47">IF($B47="","",INDEX($AI$72:$AI$430,$K47))</f>
        <v/>
      </c>
      <c r="M47" s="383" t="str" cm="1">
        <f t="array" ref="M47">IF($B47="","",INDEX($AJ$72:$AJ$430,$K47))</f>
        <v/>
      </c>
      <c r="N47" s="384" t="str" cm="1">
        <f t="array" ref="N47">IF(OR($B47="",$B$13="",$B$12="",$B$12=0),"",IF($L$22="AUTRE",IFERROR(INDEX($AK$72:$AK$430,$K47)*($B$13/$B$12),""),IF(OR($C$12="",$C$13=""),"",IFERROR(INDEX($AK$72:$AK$430,$K47)*(($B$13*VLOOKUP($C$13,$AY$74:$BA$119,3,FALSE))/($B$12*VLOOKUP($C$12,$AY$74:$BA$119,3,FALSE))),""))))</f>
        <v/>
      </c>
      <c r="O47" s="384" t="str" cm="1">
        <f t="array" ref="O47">IF(OR($B47="",$G$12="",$G$11="",$G$11=0),"",IFERROR(INDEX($AK$72:$AK$430,$K47)*($G$12/$G$11),""))</f>
        <v/>
      </c>
      <c r="U47" s="156"/>
      <c r="V47" s="156"/>
      <c r="W47" s="156"/>
      <c r="X47" s="156"/>
      <c r="Y47" s="156"/>
      <c r="Z47" s="156"/>
      <c r="AA47" s="156"/>
      <c r="AY47" s="28" t="s">
        <v>21</v>
      </c>
      <c r="AZ47" s="417" t="s">
        <v>35</v>
      </c>
      <c r="BA47" s="418">
        <v>2.835E-2</v>
      </c>
      <c r="BB47" s="419" t="s">
        <v>36</v>
      </c>
      <c r="BC47" s="271"/>
      <c r="BD47" s="279">
        <v>1</v>
      </c>
      <c r="BE47" s="271"/>
      <c r="BF47" s="271"/>
      <c r="BG47" s="271"/>
    </row>
    <row r="48" spans="1:59" ht="20.100000000000001" customHeight="1" x14ac:dyDescent="0.25">
      <c r="A48" s="374" t="str">
        <f>IF($B48="","",26)</f>
        <v/>
      </c>
      <c r="B48" s="375" t="str" cm="1">
        <f t="array" ref="B48">IFERROR(IF(INDEX($AC$72:$AC$430,$K48)="","",INDEX($AC$72:$AC$430,$K48)),"")</f>
        <v/>
      </c>
      <c r="C48" s="376" t="str" cm="1">
        <f t="array" ref="C48">IF($B48="","",INDEX($AG$72:$AG$430,$K48))</f>
        <v/>
      </c>
      <c r="D48" s="377" t="str" cm="1">
        <f t="array" ref="D48">IF($B48="","",INDEX($AH$72:$AH$430,$K48))</f>
        <v/>
      </c>
      <c r="E48" s="378" t="str">
        <f t="shared" si="0"/>
        <v/>
      </c>
      <c r="F48" s="379" t="str" cm="1">
        <f t="array" ref="F48">IF($B48="","",IF(UPPER(TRIM($D48))="QT. SUFFISANTE","Qt. suffisante",IF($N48="","",IF($L48="MASSE",IF($N48&gt;=1,"Kg","g"),IF($L48="VOLUME",IF($N48&gt;=1,"L","cl"),INDEX($AL$72:$AL$430,$K48))))))</f>
        <v/>
      </c>
      <c r="G48" s="380" t="str">
        <f t="shared" si="1"/>
        <v/>
      </c>
      <c r="H48" s="381" t="str" cm="1">
        <f t="array" ref="H48">IF($B48="","",IF(UPPER(TRIM($D48))="QT. SUFFISANTE","Qt. suffisante",IF($O48="","",IF($L48="MASSE",IF($O48&gt;=1,"Kg","g"),IF($L48="VOLUME",IF($O48&gt;=1,"L","cl"),INDEX($AL$72:$AL$430,$K48))))))</f>
        <v/>
      </c>
      <c r="I48" s="382" t="str" cm="1">
        <f t="array" ref="I48">IF($B48="","",INDEX($AM$72:$AM$430,$K48))</f>
        <v/>
      </c>
      <c r="J48" s="271"/>
      <c r="K48" s="383">
        <f>1+($B$5-1)*36+26</f>
        <v>27</v>
      </c>
      <c r="L48" s="383" t="str" cm="1">
        <f t="array" ref="L48">IF($B48="","",INDEX($AI$72:$AI$430,$K48))</f>
        <v/>
      </c>
      <c r="M48" s="383" t="str" cm="1">
        <f t="array" ref="M48">IF($B48="","",INDEX($AJ$72:$AJ$430,$K48))</f>
        <v/>
      </c>
      <c r="N48" s="384" t="str" cm="1">
        <f t="array" ref="N48">IF(OR($B48="",$B$13="",$B$12="",$B$12=0),"",IF($L$22="AUTRE",IFERROR(INDEX($AK$72:$AK$430,$K48)*($B$13/$B$12),""),IF(OR($C$12="",$C$13=""),"",IFERROR(INDEX($AK$72:$AK$430,$K48)*(($B$13*VLOOKUP($C$13,$AY$74:$BA$119,3,FALSE))/($B$12*VLOOKUP($C$12,$AY$74:$BA$119,3,FALSE))),""))))</f>
        <v/>
      </c>
      <c r="O48" s="384" t="str" cm="1">
        <f t="array" ref="O48">IF(OR($B48="",$G$12="",$G$11="",$G$11=0),"",IFERROR(INDEX($AK$72:$AK$430,$K48)*($G$12/$G$11),""))</f>
        <v/>
      </c>
      <c r="U48" s="156"/>
      <c r="V48" s="156"/>
      <c r="W48" s="156"/>
      <c r="X48" s="156"/>
      <c r="Y48" s="156"/>
      <c r="Z48" s="156"/>
      <c r="AA48" s="156"/>
      <c r="AD48" s="10" t="s">
        <v>8171</v>
      </c>
      <c r="AY48" s="28" t="s">
        <v>22</v>
      </c>
      <c r="AZ48" s="417" t="s">
        <v>35</v>
      </c>
      <c r="BA48" s="418">
        <v>0.13</v>
      </c>
      <c r="BB48" s="419" t="s">
        <v>36</v>
      </c>
      <c r="BC48" s="271"/>
      <c r="BD48" s="279">
        <v>1</v>
      </c>
      <c r="BE48" s="271"/>
      <c r="BF48" s="271"/>
      <c r="BG48" s="271"/>
    </row>
    <row r="49" spans="1:64" ht="20.100000000000001" customHeight="1" x14ac:dyDescent="0.25">
      <c r="A49" s="374" t="str">
        <f>IF($B49="","",27)</f>
        <v/>
      </c>
      <c r="B49" s="375" t="str" cm="1">
        <f t="array" ref="B49">IFERROR(IF(INDEX($AC$72:$AC$430,$K49)="","",INDEX($AC$72:$AC$430,$K49)),"")</f>
        <v/>
      </c>
      <c r="C49" s="376" t="str" cm="1">
        <f t="array" ref="C49">IF($B49="","",INDEX($AG$72:$AG$430,$K49))</f>
        <v/>
      </c>
      <c r="D49" s="377" t="str" cm="1">
        <f t="array" ref="D49">IF($B49="","",INDEX($AH$72:$AH$430,$K49))</f>
        <v/>
      </c>
      <c r="E49" s="378" t="str">
        <f t="shared" si="0"/>
        <v/>
      </c>
      <c r="F49" s="379" t="str" cm="1">
        <f t="array" ref="F49">IF($B49="","",IF(UPPER(TRIM($D49))="QT. SUFFISANTE","Qt. suffisante",IF($N49="","",IF($L49="MASSE",IF($N49&gt;=1,"Kg","g"),IF($L49="VOLUME",IF($N49&gt;=1,"L","cl"),INDEX($AL$72:$AL$430,$K49))))))</f>
        <v/>
      </c>
      <c r="G49" s="380" t="str">
        <f t="shared" si="1"/>
        <v/>
      </c>
      <c r="H49" s="381" t="str" cm="1">
        <f t="array" ref="H49">IF($B49="","",IF(UPPER(TRIM($D49))="QT. SUFFISANTE","Qt. suffisante",IF($O49="","",IF($L49="MASSE",IF($O49&gt;=1,"Kg","g"),IF($L49="VOLUME",IF($O49&gt;=1,"L","cl"),INDEX($AL$72:$AL$430,$K49))))))</f>
        <v/>
      </c>
      <c r="I49" s="382" t="str" cm="1">
        <f t="array" ref="I49">IF($B49="","",INDEX($AM$72:$AM$430,$K49))</f>
        <v/>
      </c>
      <c r="J49" s="271"/>
      <c r="K49" s="383">
        <f>1+($B$5-1)*36+27</f>
        <v>28</v>
      </c>
      <c r="L49" s="383" t="str" cm="1">
        <f t="array" ref="L49">IF($B49="","",INDEX($AI$72:$AI$430,$K49))</f>
        <v/>
      </c>
      <c r="M49" s="383" t="str" cm="1">
        <f t="array" ref="M49">IF($B49="","",INDEX($AJ$72:$AJ$430,$K49))</f>
        <v/>
      </c>
      <c r="N49" s="384" t="str" cm="1">
        <f t="array" ref="N49">IF(OR($B49="",$B$13="",$B$12="",$B$12=0),"",IF($L$22="AUTRE",IFERROR(INDEX($AK$72:$AK$430,$K49)*($B$13/$B$12),""),IF(OR($C$12="",$C$13=""),"",IFERROR(INDEX($AK$72:$AK$430,$K49)*(($B$13*VLOOKUP($C$13,$AY$74:$BA$119,3,FALSE))/($B$12*VLOOKUP($C$12,$AY$74:$BA$119,3,FALSE))),""))))</f>
        <v/>
      </c>
      <c r="O49" s="384" t="str" cm="1">
        <f t="array" ref="O49">IF(OR($B49="",$G$12="",$G$11="",$G$11=0),"",IFERROR(INDEX($AK$72:$AK$430,$K49)*($G$12/$G$11),""))</f>
        <v/>
      </c>
      <c r="U49" s="156"/>
      <c r="V49" s="156"/>
      <c r="W49" s="156"/>
      <c r="X49" s="156"/>
      <c r="Y49" s="156"/>
      <c r="Z49" s="156"/>
      <c r="AA49" s="156"/>
      <c r="AD49" s="2" t="s">
        <v>1</v>
      </c>
      <c r="AY49" s="28" t="s">
        <v>23</v>
      </c>
      <c r="AZ49" s="417" t="s">
        <v>35</v>
      </c>
      <c r="BA49" s="418">
        <v>0.2</v>
      </c>
      <c r="BB49" s="419" t="s">
        <v>36</v>
      </c>
      <c r="BC49" s="271"/>
      <c r="BD49" s="279">
        <v>1</v>
      </c>
      <c r="BE49" s="271"/>
      <c r="BF49" s="271"/>
      <c r="BG49" s="271"/>
    </row>
    <row r="50" spans="1:64" ht="20.100000000000001" customHeight="1" x14ac:dyDescent="0.25">
      <c r="A50" s="374" t="str">
        <f>IF($B50="","",28)</f>
        <v/>
      </c>
      <c r="B50" s="375" t="str" cm="1">
        <f t="array" ref="B50">IFERROR(IF(INDEX($AC$72:$AC$430,$K50)="","",INDEX($AC$72:$AC$430,$K50)),"")</f>
        <v/>
      </c>
      <c r="C50" s="376" t="str" cm="1">
        <f t="array" ref="C50">IF($B50="","",INDEX($AG$72:$AG$430,$K50))</f>
        <v/>
      </c>
      <c r="D50" s="377" t="str" cm="1">
        <f t="array" ref="D50">IF($B50="","",INDEX($AH$72:$AH$430,$K50))</f>
        <v/>
      </c>
      <c r="E50" s="378" t="str">
        <f t="shared" si="0"/>
        <v/>
      </c>
      <c r="F50" s="379" t="str" cm="1">
        <f t="array" ref="F50">IF($B50="","",IF(UPPER(TRIM($D50))="QT. SUFFISANTE","Qt. suffisante",IF($N50="","",IF($L50="MASSE",IF($N50&gt;=1,"Kg","g"),IF($L50="VOLUME",IF($N50&gt;=1,"L","cl"),INDEX($AL$72:$AL$430,$K50))))))</f>
        <v/>
      </c>
      <c r="G50" s="380" t="str">
        <f t="shared" si="1"/>
        <v/>
      </c>
      <c r="H50" s="381" t="str" cm="1">
        <f t="array" ref="H50">IF($B50="","",IF(UPPER(TRIM($D50))="QT. SUFFISANTE","Qt. suffisante",IF($O50="","",IF($L50="MASSE",IF($O50&gt;=1,"Kg","g"),IF($L50="VOLUME",IF($O50&gt;=1,"L","cl"),INDEX($AL$72:$AL$430,$K50))))))</f>
        <v/>
      </c>
      <c r="I50" s="382" t="str" cm="1">
        <f t="array" ref="I50">IF($B50="","",INDEX($AM$72:$AM$430,$K50))</f>
        <v/>
      </c>
      <c r="J50" s="271"/>
      <c r="K50" s="383">
        <f>1+($B$5-1)*36+28</f>
        <v>29</v>
      </c>
      <c r="L50" s="383" t="str" cm="1">
        <f t="array" ref="L50">IF($B50="","",INDEX($AI$72:$AI$430,$K50))</f>
        <v/>
      </c>
      <c r="M50" s="383" t="str" cm="1">
        <f t="array" ref="M50">IF($B50="","",INDEX($AJ$72:$AJ$430,$K50))</f>
        <v/>
      </c>
      <c r="N50" s="384" t="str" cm="1">
        <f t="array" ref="N50">IF(OR($B50="",$B$13="",$B$12="",$B$12=0),"",IF($L$22="AUTRE",IFERROR(INDEX($AK$72:$AK$430,$K50)*($B$13/$B$12),""),IF(OR($C$12="",$C$13=""),"",IFERROR(INDEX($AK$72:$AK$430,$K50)*(($B$13*VLOOKUP($C$13,$AY$74:$BA$119,3,FALSE))/($B$12*VLOOKUP($C$12,$AY$74:$BA$119,3,FALSE))),""))))</f>
        <v/>
      </c>
      <c r="O50" s="384" t="str" cm="1">
        <f t="array" ref="O50">IF(OR($B50="",$G$12="",$G$11="",$G$11=0),"",IFERROR(INDEX($AK$72:$AK$430,$K50)*($G$12/$G$11),""))</f>
        <v/>
      </c>
      <c r="U50" s="156"/>
      <c r="V50" s="156"/>
      <c r="W50" s="156"/>
      <c r="X50" s="156"/>
      <c r="Y50" s="156"/>
      <c r="Z50" s="156"/>
      <c r="AA50" s="156"/>
      <c r="AD50" s="2" t="s">
        <v>8219</v>
      </c>
      <c r="AY50" s="28" t="s">
        <v>24</v>
      </c>
      <c r="AZ50" s="417" t="s">
        <v>35</v>
      </c>
      <c r="BA50" s="418">
        <v>0.23</v>
      </c>
      <c r="BB50" s="419" t="s">
        <v>36</v>
      </c>
      <c r="BC50" s="271"/>
      <c r="BD50" s="279">
        <v>1</v>
      </c>
      <c r="BE50" s="271"/>
      <c r="BF50" s="271"/>
      <c r="BG50" s="271"/>
    </row>
    <row r="51" spans="1:64" ht="23.1" customHeight="1" x14ac:dyDescent="0.25">
      <c r="A51" s="374" t="str">
        <f>IF($B51="","",29)</f>
        <v/>
      </c>
      <c r="B51" s="375" t="str" cm="1">
        <f t="array" ref="B51">IFERROR(IF(INDEX($AC$72:$AC$430,$K51)="","",INDEX($AC$72:$AC$430,$K51)),"")</f>
        <v/>
      </c>
      <c r="C51" s="376" t="str" cm="1">
        <f t="array" ref="C51">IF($B51="","",INDEX($AG$72:$AG$430,$K51))</f>
        <v/>
      </c>
      <c r="D51" s="377" t="str" cm="1">
        <f t="array" ref="D51">IF($B51="","",INDEX($AH$72:$AH$430,$K51))</f>
        <v/>
      </c>
      <c r="E51" s="378" t="str">
        <f t="shared" si="0"/>
        <v/>
      </c>
      <c r="F51" s="379" t="str" cm="1">
        <f t="array" ref="F51">IF($B51="","",IF(UPPER(TRIM($D51))="QT. SUFFISANTE","Qt. suffisante",IF($N51="","",IF($L51="MASSE",IF($N51&gt;=1,"Kg","g"),IF($L51="VOLUME",IF($N51&gt;=1,"L","cl"),INDEX($AL$72:$AL$430,$K51))))))</f>
        <v/>
      </c>
      <c r="G51" s="380" t="str">
        <f t="shared" si="1"/>
        <v/>
      </c>
      <c r="H51" s="381" t="str" cm="1">
        <f t="array" ref="H51">IF($B51="","",IF(UPPER(TRIM($D51))="QT. SUFFISANTE","Qt. suffisante",IF($O51="","",IF($L51="MASSE",IF($O51&gt;=1,"Kg","g"),IF($L51="VOLUME",IF($O51&gt;=1,"L","cl"),INDEX($AL$72:$AL$430,$K51))))))</f>
        <v/>
      </c>
      <c r="I51" s="382" t="str" cm="1">
        <f t="array" ref="I51">IF($B51="","",INDEX($AM$72:$AM$430,$K51))</f>
        <v/>
      </c>
      <c r="J51" s="271"/>
      <c r="K51" s="383">
        <f>1+($B$5-1)*36+29</f>
        <v>30</v>
      </c>
      <c r="L51" s="383" t="str" cm="1">
        <f t="array" ref="L51">IF($B51="","",INDEX($AI$72:$AI$430,$K51))</f>
        <v/>
      </c>
      <c r="M51" s="383" t="str" cm="1">
        <f t="array" ref="M51">IF($B51="","",INDEX($AJ$72:$AJ$430,$K51))</f>
        <v/>
      </c>
      <c r="N51" s="384" t="str" cm="1">
        <f t="array" ref="N51">IF(OR($B51="",$B$13="",$B$12="",$B$12=0),"",IF($L$22="AUTRE",IFERROR(INDEX($AK$72:$AK$430,$K51)*($B$13/$B$12),""),IF(OR($C$12="",$C$13=""),"",IFERROR(INDEX($AK$72:$AK$430,$K51)*(($B$13*VLOOKUP($C$13,$AY$74:$BA$119,3,FALSE))/($B$12*VLOOKUP($C$12,$AY$74:$BA$119,3,FALSE))),""))))</f>
        <v/>
      </c>
      <c r="O51" s="384" t="str" cm="1">
        <f t="array" ref="O51">IF(OR($B51="",$G$12="",$G$11="",$G$11=0),"",IFERROR(INDEX($AK$72:$AK$430,$K51)*($G$12/$G$11),""))</f>
        <v/>
      </c>
      <c r="U51" s="156"/>
      <c r="V51" s="156"/>
      <c r="W51" s="156"/>
      <c r="X51" s="156"/>
      <c r="Y51" s="156"/>
      <c r="Z51" s="156"/>
      <c r="AA51" s="156"/>
      <c r="AY51" s="31" t="s">
        <v>25</v>
      </c>
      <c r="AZ51" s="417" t="s">
        <v>37</v>
      </c>
      <c r="BA51" s="418">
        <v>0.22500000000000001</v>
      </c>
      <c r="BB51" s="419" t="s">
        <v>9</v>
      </c>
      <c r="BC51" s="271"/>
      <c r="BD51" s="279">
        <v>1</v>
      </c>
      <c r="BE51" s="271"/>
      <c r="BF51" s="271"/>
      <c r="BG51" s="271"/>
    </row>
    <row r="52" spans="1:64" ht="21" customHeight="1" x14ac:dyDescent="0.25">
      <c r="A52" s="374" t="str">
        <f>IF($B52="","",30)</f>
        <v/>
      </c>
      <c r="B52" s="375" t="str" cm="1">
        <f t="array" ref="B52">IFERROR(IF(INDEX($AC$72:$AC$430,$K52)="","",INDEX($AC$72:$AC$430,$K52)),"")</f>
        <v/>
      </c>
      <c r="C52" s="376" t="str" cm="1">
        <f t="array" ref="C52">IF($B52="","",INDEX($AG$72:$AG$430,$K52))</f>
        <v/>
      </c>
      <c r="D52" s="377" t="str" cm="1">
        <f t="array" ref="D52">IF($B52="","",INDEX($AH$72:$AH$430,$K52))</f>
        <v/>
      </c>
      <c r="E52" s="378" t="str">
        <f t="shared" si="0"/>
        <v/>
      </c>
      <c r="F52" s="379" t="str" cm="1">
        <f t="array" ref="F52">IF($B52="","",IF(UPPER(TRIM($D52))="QT. SUFFISANTE","Qt. suffisante",IF($N52="","",IF($L52="MASSE",IF($N52&gt;=1,"Kg","g"),IF($L52="VOLUME",IF($N52&gt;=1,"L","cl"),INDEX($AL$72:$AL$430,$K52))))))</f>
        <v/>
      </c>
      <c r="G52" s="380" t="str">
        <f t="shared" si="1"/>
        <v/>
      </c>
      <c r="H52" s="381" t="str" cm="1">
        <f t="array" ref="H52">IF($B52="","",IF(UPPER(TRIM($D52))="QT. SUFFISANTE","Qt. suffisante",IF($O52="","",IF($L52="MASSE",IF($O52&gt;=1,"Kg","g"),IF($L52="VOLUME",IF($O52&gt;=1,"L","cl"),INDEX($AL$72:$AL$430,$K52))))))</f>
        <v/>
      </c>
      <c r="I52" s="382" t="str" cm="1">
        <f t="array" ref="I52">IF($B52="","",INDEX($AM$72:$AM$430,$K52))</f>
        <v/>
      </c>
      <c r="J52" s="271"/>
      <c r="K52" s="383">
        <f>1+($B$5-1)*36+30</f>
        <v>31</v>
      </c>
      <c r="L52" s="383" t="str" cm="1">
        <f t="array" ref="L52">IF($B52="","",INDEX($AI$72:$AI$430,$K52))</f>
        <v/>
      </c>
      <c r="M52" s="383" t="str" cm="1">
        <f t="array" ref="M52">IF($B52="","",INDEX($AJ$72:$AJ$430,$K52))</f>
        <v/>
      </c>
      <c r="N52" s="384" t="str" cm="1">
        <f t="array" ref="N52">IF(OR($B52="",$B$13="",$B$12="",$B$12=0),"",IF($L$22="AUTRE",IFERROR(INDEX($AK$72:$AK$430,$K52)*($B$13/$B$12),""),IF(OR($C$12="",$C$13=""),"",IFERROR(INDEX($AK$72:$AK$430,$K52)*(($B$13*VLOOKUP($C$13,$AY$74:$BA$119,3,FALSE))/($B$12*VLOOKUP($C$12,$AY$74:$BA$119,3,FALSE))),""))))</f>
        <v/>
      </c>
      <c r="O52" s="384" t="str" cm="1">
        <f t="array" ref="O52">IF(OR($B52="",$G$12="",$G$11="",$G$11=0),"",IFERROR(INDEX($AK$72:$AK$430,$K52)*($G$12/$G$11),""))</f>
        <v/>
      </c>
      <c r="U52" s="156"/>
      <c r="V52" s="156"/>
      <c r="W52" s="156"/>
      <c r="X52" s="156"/>
      <c r="Y52" s="156"/>
      <c r="Z52" s="156"/>
      <c r="AA52" s="156"/>
      <c r="AY52" s="31" t="s">
        <v>26</v>
      </c>
      <c r="AZ52" s="417" t="s">
        <v>37</v>
      </c>
      <c r="BA52" s="418">
        <v>0.35</v>
      </c>
      <c r="BB52" s="419" t="s">
        <v>9</v>
      </c>
      <c r="BC52" s="271"/>
      <c r="BD52" s="279">
        <v>1</v>
      </c>
      <c r="BE52" s="271"/>
      <c r="BF52" s="271"/>
      <c r="BG52" s="271"/>
    </row>
    <row r="53" spans="1:64" ht="21" customHeight="1" x14ac:dyDescent="0.25">
      <c r="A53" s="374" t="str">
        <f>IF($B53="","",31)</f>
        <v/>
      </c>
      <c r="B53" s="375" t="str" cm="1">
        <f t="array" ref="B53">IFERROR(IF(INDEX($AC$72:$AC$430,$K53)="","",INDEX($AC$72:$AC$430,$K53)),"")</f>
        <v/>
      </c>
      <c r="C53" s="376" t="str" cm="1">
        <f t="array" ref="C53">IF($B53="","",INDEX($AG$72:$AG$430,$K53))</f>
        <v/>
      </c>
      <c r="D53" s="377" t="str" cm="1">
        <f t="array" ref="D53">IF($B53="","",INDEX($AH$72:$AH$430,$K53))</f>
        <v/>
      </c>
      <c r="E53" s="378" t="str">
        <f t="shared" si="0"/>
        <v/>
      </c>
      <c r="F53" s="379" t="str" cm="1">
        <f t="array" ref="F53">IF($B53="","",IF(UPPER(TRIM($D53))="QT. SUFFISANTE","Qt. suffisante",IF($N53="","",IF($L53="MASSE",IF($N53&gt;=1,"Kg","g"),IF($L53="VOLUME",IF($N53&gt;=1,"L","cl"),INDEX($AL$72:$AL$430,$K53))))))</f>
        <v/>
      </c>
      <c r="G53" s="380" t="str">
        <f t="shared" si="1"/>
        <v/>
      </c>
      <c r="H53" s="381" t="str" cm="1">
        <f t="array" ref="H53">IF($B53="","",IF(UPPER(TRIM($D53))="QT. SUFFISANTE","Qt. suffisante",IF($O53="","",IF($L53="MASSE",IF($O53&gt;=1,"Kg","g"),IF($L53="VOLUME",IF($O53&gt;=1,"L","cl"),INDEX($AL$72:$AL$430,$K53))))))</f>
        <v/>
      </c>
      <c r="I53" s="382" t="str" cm="1">
        <f t="array" ref="I53">IF($B53="","",INDEX($AM$72:$AM$430,$K53))</f>
        <v/>
      </c>
      <c r="J53" s="271"/>
      <c r="K53" s="383">
        <f>1+($B$5-1)*36+31</f>
        <v>32</v>
      </c>
      <c r="L53" s="383" t="str" cm="1">
        <f t="array" ref="L53">IF($B53="","",INDEX($AI$72:$AI$430,$K53))</f>
        <v/>
      </c>
      <c r="M53" s="383" t="str" cm="1">
        <f t="array" ref="M53">IF($B53="","",INDEX($AJ$72:$AJ$430,$K53))</f>
        <v/>
      </c>
      <c r="N53" s="384" t="str" cm="1">
        <f t="array" ref="N53">IF(OR($B53="",$B$13="",$B$12="",$B$12=0),"",IF($L$22="AUTRE",IFERROR(INDEX($AK$72:$AK$430,$K53)*($B$13/$B$12),""),IF(OR($C$12="",$C$13=""),"",IFERROR(INDEX($AK$72:$AK$430,$K53)*(($B$13*VLOOKUP($C$13,$AY$74:$BA$119,3,FALSE))/($B$12*VLOOKUP($C$12,$AY$74:$BA$119,3,FALSE))),""))))</f>
        <v/>
      </c>
      <c r="O53" s="384" t="str" cm="1">
        <f t="array" ref="O53">IF(OR($B53="",$G$12="",$G$11="",$G$11=0),"",IFERROR(INDEX($AK$72:$AK$430,$K53)*($G$12/$G$11),""))</f>
        <v/>
      </c>
      <c r="U53" s="420" t="s">
        <v>7905</v>
      </c>
      <c r="V53" s="421"/>
      <c r="W53" s="421" t="s">
        <v>8085</v>
      </c>
      <c r="X53" s="421"/>
      <c r="Y53" s="421"/>
      <c r="Z53" s="421"/>
      <c r="AA53" s="421"/>
      <c r="AY53" s="31" t="s">
        <v>31</v>
      </c>
      <c r="AZ53" s="417" t="s">
        <v>37</v>
      </c>
      <c r="BA53" s="418">
        <v>0.22500000000000001</v>
      </c>
      <c r="BB53" s="419" t="s">
        <v>9</v>
      </c>
      <c r="BC53" s="271"/>
      <c r="BD53" s="279">
        <v>1</v>
      </c>
      <c r="BE53" s="271"/>
      <c r="BF53" s="271"/>
      <c r="BG53" s="271"/>
    </row>
    <row r="54" spans="1:64" ht="21" customHeight="1" x14ac:dyDescent="0.25">
      <c r="A54" s="374" t="str">
        <f>IF($B54="","",32)</f>
        <v/>
      </c>
      <c r="B54" s="375" t="str" cm="1">
        <f t="array" ref="B54">IFERROR(IF(INDEX($AC$72:$AC$430,$K54)="","",INDEX($AC$72:$AC$430,$K54)),"")</f>
        <v/>
      </c>
      <c r="C54" s="376" t="str" cm="1">
        <f t="array" ref="C54">IF($B54="","",INDEX($AG$72:$AG$430,$K54))</f>
        <v/>
      </c>
      <c r="D54" s="377" t="str" cm="1">
        <f t="array" ref="D54">IF($B54="","",INDEX($AH$72:$AH$430,$K54))</f>
        <v/>
      </c>
      <c r="E54" s="378" t="str">
        <f t="shared" si="0"/>
        <v/>
      </c>
      <c r="F54" s="379" t="str" cm="1">
        <f t="array" ref="F54">IF($B54="","",IF(UPPER(TRIM($D54))="QT. SUFFISANTE","Qt. suffisante",IF($N54="","",IF($L54="MASSE",IF($N54&gt;=1,"Kg","g"),IF($L54="VOLUME",IF($N54&gt;=1,"L","cl"),INDEX($AL$72:$AL$430,$K54))))))</f>
        <v/>
      </c>
      <c r="G54" s="380" t="str">
        <f t="shared" si="1"/>
        <v/>
      </c>
      <c r="H54" s="381" t="str" cm="1">
        <f t="array" ref="H54">IF($B54="","",IF(UPPER(TRIM($D54))="QT. SUFFISANTE","Qt. suffisante",IF($O54="","",IF($L54="MASSE",IF($O54&gt;=1,"Kg","g"),IF($L54="VOLUME",IF($O54&gt;=1,"L","cl"),INDEX($AL$72:$AL$430,$K54))))))</f>
        <v/>
      </c>
      <c r="I54" s="382" t="str" cm="1">
        <f t="array" ref="I54">IF($B54="","",INDEX($AM$72:$AM$430,$K54))</f>
        <v/>
      </c>
      <c r="J54" s="271"/>
      <c r="K54" s="383">
        <f>1+($B$5-1)*36+32</f>
        <v>33</v>
      </c>
      <c r="L54" s="383" t="str" cm="1">
        <f t="array" ref="L54">IF($B54="","",INDEX($AI$72:$AI$430,$K54))</f>
        <v/>
      </c>
      <c r="M54" s="383" t="str" cm="1">
        <f t="array" ref="M54">IF($B54="","",INDEX($AJ$72:$AJ$430,$K54))</f>
        <v/>
      </c>
      <c r="N54" s="384" t="str" cm="1">
        <f t="array" ref="N54">IF(OR($B54="",$B$13="",$B$12="",$B$12=0),"",IF($L$22="AUTRE",IFERROR(INDEX($AK$72:$AK$430,$K54)*($B$13/$B$12),""),IF(OR($C$12="",$C$13=""),"",IFERROR(INDEX($AK$72:$AK$430,$K54)*(($B$13*VLOOKUP($C$13,$AY$74:$BA$119,3,FALSE))/($B$12*VLOOKUP($C$12,$AY$74:$BA$119,3,FALSE))),""))))</f>
        <v/>
      </c>
      <c r="O54" s="384" t="str" cm="1">
        <f t="array" ref="O54">IF(OR($B54="",$G$12="",$G$11="",$G$11=0),"",IFERROR(INDEX($AK$72:$AK$430,$K54)*($G$12/$G$11),""))</f>
        <v/>
      </c>
      <c r="U54" s="422" t="s">
        <v>7915</v>
      </c>
      <c r="V54" s="423" t="s">
        <v>8086</v>
      </c>
      <c r="W54" s="156"/>
      <c r="X54" s="156"/>
      <c r="Y54" s="156"/>
      <c r="Z54" s="156"/>
      <c r="AA54" s="156"/>
      <c r="AN54" s="424" t="s">
        <v>8087</v>
      </c>
      <c r="BD54" s="279">
        <v>1</v>
      </c>
    </row>
    <row r="55" spans="1:64" ht="21" customHeight="1" x14ac:dyDescent="0.25">
      <c r="A55" s="374">
        <f>IF($B55="","",33)</f>
        <v>33</v>
      </c>
      <c r="B55" s="375" t="str" cm="1">
        <f t="array" ref="B55">IFERROR(IF(INDEX($AC$72:$AC$430,$K55)="","",INDEX($AC$72:$AC$430,$K55)),"")</f>
        <v>grille(s) de cuisson GN 1/1</v>
      </c>
      <c r="C55" s="376" cm="1">
        <f t="array" ref="C55">IF($B55="","",INDEX($AG$72:$AG$430,$K55))</f>
        <v>6</v>
      </c>
      <c r="D55" s="377" t="str" cm="1">
        <f t="array" ref="D55">IF($B55="","",INDEX($AH$72:$AH$430,$K55))</f>
        <v>GRILLE(S)</v>
      </c>
      <c r="E55" s="378">
        <f t="shared" si="0"/>
        <v>1</v>
      </c>
      <c r="F55" s="379" t="str" cm="1">
        <f t="array" ref="F55">IF($B55="","",IF(UPPER(TRIM($D55))="QT. SUFFISANTE","Qt. suffisante",IF($N55="","",IF($L55="MASSE",IF($N55&gt;=1,"Kg","g"),IF($L55="VOLUME",IF($N55&gt;=1,"L","cl"),INDEX($AL$72:$AL$430,$K55))))))</f>
        <v>grille(s)</v>
      </c>
      <c r="G55" s="380">
        <f t="shared" si="1"/>
        <v>12</v>
      </c>
      <c r="H55" s="381" t="str" cm="1">
        <f t="array" ref="H55">IF($B55="","",IF(UPPER(TRIM($D55))="QT. SUFFISANTE","Qt. suffisante",IF($O55="","",IF($L55="MASSE",IF($O55&gt;=1,"Kg","g"),IF($L55="VOLUME",IF($O55&gt;=1,"L","cl"),INDEX($AL$72:$AL$430,$K55))))))</f>
        <v>grille(s)</v>
      </c>
      <c r="I55" s="382" t="str" cm="1">
        <f t="array" ref="I55">IF($B55="","",INDEX($AM$72:$AM$430,$K55))</f>
        <v>OK</v>
      </c>
      <c r="J55" s="271"/>
      <c r="K55" s="383">
        <f>1+($B$5-1)*36+33</f>
        <v>34</v>
      </c>
      <c r="L55" s="383" t="str" cm="1">
        <f t="array" ref="L55">IF($B55="","",INDEX($AI$72:$AI$430,$K55))</f>
        <v>AUTRE</v>
      </c>
      <c r="M55" s="383" cm="1">
        <f t="array" ref="M55">IF($B55="","",INDEX($AJ$72:$AJ$430,$K55))</f>
        <v>1</v>
      </c>
      <c r="N55" s="384" cm="1">
        <f t="array" ref="N55">IF(OR($B55="",$B$13="",$B$12="",$B$12=0),"",IF($L$22="AUTRE",IFERROR(INDEX($AK$72:$AK$430,$K55)*($B$13/$B$12),""),IF(OR($C$12="",$C$13=""),"",IFERROR(INDEX($AK$72:$AK$430,$K55)*(($B$13*VLOOKUP($C$13,$AY$74:$BA$119,3,FALSE))/($B$12*VLOOKUP($C$12,$AY$74:$BA$119,3,FALSE))),""))))</f>
        <v>1</v>
      </c>
      <c r="O55" s="384" cm="1">
        <f t="array" ref="O55">IF(OR($B55="",$G$12="",$G$11="",$G$11=0),"",IFERROR(INDEX($AK$72:$AK$430,$K55)*($G$12/$G$11),""))</f>
        <v>12</v>
      </c>
      <c r="U55" s="422" t="s">
        <v>7918</v>
      </c>
      <c r="V55" s="423" t="s">
        <v>8088</v>
      </c>
      <c r="W55" s="156"/>
      <c r="X55" s="156"/>
      <c r="Y55" s="156"/>
      <c r="Z55" s="156"/>
      <c r="AA55" s="156"/>
      <c r="AN55" s="659" t="s">
        <v>8089</v>
      </c>
      <c r="AO55" s="659"/>
      <c r="AP55" s="659"/>
      <c r="AQ55" s="659"/>
      <c r="AR55" s="659"/>
      <c r="AS55" s="659"/>
      <c r="AT55" s="659"/>
      <c r="AU55" s="659"/>
      <c r="AV55" s="659"/>
      <c r="AW55" s="659"/>
      <c r="AX55" s="659"/>
      <c r="AY55" s="659"/>
      <c r="AZ55" s="659"/>
      <c r="BA55" s="659"/>
      <c r="BB55" s="659"/>
      <c r="BD55" s="279">
        <v>1</v>
      </c>
    </row>
    <row r="56" spans="1:64" ht="21" customHeight="1" x14ac:dyDescent="0.25">
      <c r="A56" s="374">
        <f>IF($B56="","",34)</f>
        <v>34</v>
      </c>
      <c r="B56" s="375" t="str" cm="1">
        <f t="array" ref="B56">IFERROR(IF(INDEX($AC$72:$AC$430,$K56)="","",INDEX($AC$72:$AC$430,$K56)),"")</f>
        <v>bac(s) GN 1/2 H 250 plein(s)</v>
      </c>
      <c r="C56" s="376" cm="1">
        <f t="array" ref="C56">IF($B56="","",INDEX($AG$72:$AG$430,$K56))</f>
        <v>1</v>
      </c>
      <c r="D56" s="377" t="str" cm="1">
        <f t="array" ref="D56">IF($B56="","",INDEX($AH$72:$AH$430,$K56))</f>
        <v>BAC(S)</v>
      </c>
      <c r="E56" s="378">
        <f t="shared" si="0"/>
        <v>0</v>
      </c>
      <c r="F56" s="379" t="str" cm="1">
        <f t="array" ref="F56">IF($B56="","",IF(UPPER(TRIM($D56))="QT. SUFFISANTE","Qt. suffisante",IF($N56="","",IF($L56="MASSE",IF($N56&gt;=1,"Kg","g"),IF($L56="VOLUME",IF($N56&gt;=1,"L","cl"),INDEX($AL$72:$AL$430,$K56))))))</f>
        <v>bac(s)</v>
      </c>
      <c r="G56" s="380">
        <f t="shared" si="1"/>
        <v>2</v>
      </c>
      <c r="H56" s="381" t="str" cm="1">
        <f t="array" ref="H56">IF($B56="","",IF(UPPER(TRIM($D56))="QT. SUFFISANTE","Qt. suffisante",IF($O56="","",IF($L56="MASSE",IF($O56&gt;=1,"Kg","g"),IF($L56="VOLUME",IF($O56&gt;=1,"L","cl"),INDEX($AL$72:$AL$430,$K56))))))</f>
        <v>bac(s)</v>
      </c>
      <c r="I56" s="382" t="str" cm="1">
        <f t="array" ref="I56">IF($B56="","",INDEX($AM$72:$AM$430,$K56))</f>
        <v>OK</v>
      </c>
      <c r="J56" s="271"/>
      <c r="K56" s="383">
        <f>1+($B$5-1)*36+34</f>
        <v>35</v>
      </c>
      <c r="L56" s="383" t="str" cm="1">
        <f t="array" ref="L56">IF($B56="","",INDEX($AI$72:$AI$430,$K56))</f>
        <v>AUTRE</v>
      </c>
      <c r="M56" s="383" cm="1">
        <f t="array" ref="M56">IF($B56="","",INDEX($AJ$72:$AJ$430,$K56))</f>
        <v>1</v>
      </c>
      <c r="N56" s="384" cm="1">
        <f t="array" ref="N56">IF(OR($B56="",$B$13="",$B$12="",$B$12=0),"",IF($L$22="AUTRE",IFERROR(INDEX($AK$72:$AK$430,$K56)*($B$13/$B$12),""),IF(OR($C$12="",$C$13=""),"",IFERROR(INDEX($AK$72:$AK$430,$K56)*(($B$13*VLOOKUP($C$13,$AY$74:$BA$119,3,FALSE))/($B$12*VLOOKUP($C$12,$AY$74:$BA$119,3,FALSE))),""))))</f>
        <v>0.16666666666666666</v>
      </c>
      <c r="O56" s="384" cm="1">
        <f t="array" ref="O56">IF(OR($B56="",$G$12="",$G$11="",$G$11=0),"",IFERROR(INDEX($AK$72:$AK$430,$K56)*($G$12/$G$11),""))</f>
        <v>2</v>
      </c>
      <c r="U56" s="422" t="s">
        <v>7922</v>
      </c>
      <c r="V56" s="423" t="s">
        <v>8090</v>
      </c>
      <c r="W56" s="156"/>
      <c r="X56" s="156"/>
      <c r="Y56" s="156"/>
      <c r="Z56" s="156"/>
      <c r="AA56" s="156"/>
      <c r="AN56" s="659"/>
      <c r="AO56" s="659"/>
      <c r="AP56" s="659"/>
      <c r="AQ56" s="659"/>
      <c r="AR56" s="659"/>
      <c r="AS56" s="659"/>
      <c r="AT56" s="659"/>
      <c r="AU56" s="659"/>
      <c r="AV56" s="659"/>
      <c r="AW56" s="659"/>
      <c r="AX56" s="659"/>
      <c r="AY56" s="659"/>
      <c r="AZ56" s="659"/>
      <c r="BA56" s="659"/>
      <c r="BB56" s="659"/>
      <c r="BD56" s="279">
        <v>1</v>
      </c>
    </row>
    <row r="57" spans="1:64" ht="21" customHeight="1" x14ac:dyDescent="0.25">
      <c r="A57" s="284"/>
      <c r="B57" s="425"/>
      <c r="C57" s="426"/>
      <c r="D57" s="426"/>
      <c r="E57" s="427"/>
      <c r="F57" s="427"/>
      <c r="G57" s="427"/>
      <c r="H57" s="427"/>
      <c r="I57" s="284"/>
      <c r="J57" s="271"/>
      <c r="U57" s="422" t="s">
        <v>7926</v>
      </c>
      <c r="V57" s="423" t="s">
        <v>8091</v>
      </c>
      <c r="W57" s="156"/>
      <c r="X57" s="156"/>
      <c r="Y57" s="156"/>
      <c r="Z57" s="156"/>
      <c r="AA57" s="156"/>
      <c r="AN57" s="659"/>
      <c r="AO57" s="659"/>
      <c r="AP57" s="659"/>
      <c r="AQ57" s="659"/>
      <c r="AR57" s="659"/>
      <c r="AS57" s="659"/>
      <c r="AT57" s="659"/>
      <c r="AU57" s="659"/>
      <c r="AV57" s="659"/>
      <c r="AW57" s="659"/>
      <c r="AX57" s="659"/>
      <c r="AY57" s="659"/>
      <c r="AZ57" s="659"/>
      <c r="BA57" s="659"/>
      <c r="BB57" s="659"/>
      <c r="BD57" s="279">
        <v>1</v>
      </c>
      <c r="BI57" s="271"/>
      <c r="BJ57" s="271"/>
      <c r="BK57" s="271"/>
      <c r="BL57" s="271"/>
    </row>
    <row r="58" spans="1:64" ht="21" customHeight="1" x14ac:dyDescent="0.25">
      <c r="A58" s="661" t="s">
        <v>8092</v>
      </c>
      <c r="B58" s="662"/>
      <c r="C58" s="662"/>
      <c r="D58" s="662"/>
      <c r="E58" s="662"/>
      <c r="F58" s="662"/>
      <c r="G58" s="662"/>
      <c r="H58" s="662"/>
      <c r="I58" s="663"/>
      <c r="J58" s="271"/>
      <c r="U58" s="422" t="s">
        <v>7931</v>
      </c>
      <c r="V58" s="423" t="s">
        <v>8093</v>
      </c>
      <c r="W58" s="156"/>
      <c r="X58" s="156"/>
      <c r="Y58" s="156"/>
      <c r="Z58" s="156"/>
      <c r="AA58" s="156"/>
      <c r="AN58" s="659"/>
      <c r="AO58" s="659"/>
      <c r="AP58" s="659"/>
      <c r="AQ58" s="659"/>
      <c r="AR58" s="659"/>
      <c r="AS58" s="659"/>
      <c r="AT58" s="659"/>
      <c r="AU58" s="659"/>
      <c r="AV58" s="659"/>
      <c r="AW58" s="659"/>
      <c r="AX58" s="659"/>
      <c r="AY58" s="659"/>
      <c r="AZ58" s="659"/>
      <c r="BA58" s="659"/>
      <c r="BB58" s="659"/>
      <c r="BD58" s="279">
        <v>1</v>
      </c>
      <c r="BI58" s="271"/>
      <c r="BJ58" s="271"/>
      <c r="BK58" s="271"/>
      <c r="BL58" s="271"/>
    </row>
    <row r="59" spans="1:64" ht="21" customHeight="1" x14ac:dyDescent="0.25">
      <c r="A59" s="284"/>
      <c r="B59" s="284"/>
      <c r="C59" s="284"/>
      <c r="D59" s="284"/>
      <c r="E59" s="284"/>
      <c r="F59" s="284"/>
      <c r="G59" s="284"/>
      <c r="H59" s="284"/>
      <c r="I59" s="284"/>
      <c r="J59" s="271"/>
      <c r="U59" s="422" t="s">
        <v>7938</v>
      </c>
      <c r="V59" s="423" t="s">
        <v>8094</v>
      </c>
      <c r="W59" s="156"/>
      <c r="X59" s="156"/>
      <c r="Y59" s="156"/>
      <c r="Z59" s="156"/>
      <c r="AA59" s="156"/>
      <c r="AN59" s="659"/>
      <c r="AO59" s="659"/>
      <c r="AP59" s="659"/>
      <c r="AQ59" s="659"/>
      <c r="AR59" s="659"/>
      <c r="AS59" s="659"/>
      <c r="AT59" s="659"/>
      <c r="AU59" s="659"/>
      <c r="AV59" s="659"/>
      <c r="AW59" s="659"/>
      <c r="AX59" s="659"/>
      <c r="AY59" s="659"/>
      <c r="AZ59" s="659"/>
      <c r="BA59" s="659"/>
      <c r="BB59" s="659"/>
      <c r="BD59" s="279">
        <v>1</v>
      </c>
      <c r="BI59" s="271"/>
      <c r="BJ59" s="271"/>
      <c r="BK59" s="271"/>
      <c r="BL59" s="271"/>
    </row>
    <row r="60" spans="1:64" ht="21" customHeight="1" x14ac:dyDescent="0.25">
      <c r="A60" s="750" t="s">
        <v>8095</v>
      </c>
      <c r="B60" s="751"/>
      <c r="C60" s="751"/>
      <c r="D60" s="751"/>
      <c r="E60" s="751"/>
      <c r="F60" s="751"/>
      <c r="G60" s="751"/>
      <c r="H60" s="751"/>
      <c r="I60" s="752"/>
      <c r="J60" s="271"/>
      <c r="U60" s="422" t="s">
        <v>7946</v>
      </c>
      <c r="V60" s="423" t="s">
        <v>8096</v>
      </c>
      <c r="W60" s="156"/>
      <c r="X60" s="156"/>
      <c r="Y60" s="156"/>
      <c r="Z60" s="156"/>
      <c r="AA60" s="156"/>
      <c r="AN60" s="659"/>
      <c r="AO60" s="659"/>
      <c r="AP60" s="659"/>
      <c r="AQ60" s="659"/>
      <c r="AR60" s="659"/>
      <c r="AS60" s="659"/>
      <c r="AT60" s="659"/>
      <c r="AU60" s="659"/>
      <c r="AV60" s="659"/>
      <c r="AW60" s="659"/>
      <c r="AX60" s="659"/>
      <c r="AY60" s="659"/>
      <c r="AZ60" s="659"/>
      <c r="BA60" s="659"/>
      <c r="BB60" s="659"/>
      <c r="BD60" s="279">
        <v>1</v>
      </c>
      <c r="BI60" s="271"/>
      <c r="BJ60" s="271"/>
      <c r="BK60" s="271"/>
      <c r="BL60" s="271"/>
    </row>
    <row r="61" spans="1:64" ht="21" customHeight="1" x14ac:dyDescent="0.25">
      <c r="A61" s="428"/>
      <c r="B61" s="667" t="s">
        <v>8097</v>
      </c>
      <c r="C61" s="667"/>
      <c r="D61" s="667"/>
      <c r="E61" s="667"/>
      <c r="F61" s="667"/>
      <c r="G61" s="667"/>
      <c r="H61" s="667"/>
      <c r="I61" s="668"/>
      <c r="J61" s="271"/>
      <c r="U61" s="422" t="s">
        <v>7951</v>
      </c>
      <c r="V61" s="423" t="s">
        <v>8098</v>
      </c>
      <c r="W61" s="156"/>
      <c r="X61" s="156"/>
      <c r="Y61" s="156"/>
      <c r="Z61" s="156"/>
      <c r="AA61" s="156"/>
      <c r="AN61" s="659"/>
      <c r="AO61" s="659"/>
      <c r="AP61" s="659"/>
      <c r="AQ61" s="659"/>
      <c r="AR61" s="659"/>
      <c r="AS61" s="659"/>
      <c r="AT61" s="659"/>
      <c r="AU61" s="659"/>
      <c r="AV61" s="659"/>
      <c r="AW61" s="659"/>
      <c r="AX61" s="659"/>
      <c r="AY61" s="659"/>
      <c r="AZ61" s="659"/>
      <c r="BA61" s="659"/>
      <c r="BB61" s="659"/>
      <c r="BD61" s="279">
        <v>1</v>
      </c>
      <c r="BI61" s="271"/>
      <c r="BJ61" s="271"/>
      <c r="BK61" s="271"/>
      <c r="BL61" s="271"/>
    </row>
    <row r="62" spans="1:64" ht="21" customHeight="1" x14ac:dyDescent="0.25">
      <c r="A62" s="429"/>
      <c r="B62" s="669"/>
      <c r="C62" s="669"/>
      <c r="D62" s="669"/>
      <c r="E62" s="669"/>
      <c r="F62" s="669"/>
      <c r="G62" s="669"/>
      <c r="H62" s="669"/>
      <c r="I62" s="670"/>
      <c r="J62" s="271"/>
      <c r="U62" s="422" t="s">
        <v>7975</v>
      </c>
      <c r="V62" s="430" t="s">
        <v>8099</v>
      </c>
      <c r="W62" s="156"/>
      <c r="X62" s="156"/>
      <c r="Y62" s="156"/>
      <c r="Z62" s="156"/>
      <c r="AA62" s="156"/>
      <c r="AN62" s="659"/>
      <c r="AO62" s="659"/>
      <c r="AP62" s="659"/>
      <c r="AQ62" s="659"/>
      <c r="AR62" s="659"/>
      <c r="AS62" s="659"/>
      <c r="AT62" s="659"/>
      <c r="AU62" s="659"/>
      <c r="AV62" s="659"/>
      <c r="AW62" s="659"/>
      <c r="AX62" s="659"/>
      <c r="AY62" s="659"/>
      <c r="AZ62" s="659"/>
      <c r="BA62" s="659"/>
      <c r="BB62" s="659"/>
      <c r="BD62" s="279">
        <v>1</v>
      </c>
      <c r="BI62" s="271"/>
      <c r="BJ62" s="271"/>
      <c r="BK62" s="271"/>
      <c r="BL62" s="271"/>
    </row>
    <row r="63" spans="1:64" ht="21" customHeight="1" x14ac:dyDescent="0.25">
      <c r="A63" s="431"/>
      <c r="B63" s="671"/>
      <c r="C63" s="671"/>
      <c r="D63" s="671"/>
      <c r="E63" s="671"/>
      <c r="F63" s="671"/>
      <c r="G63" s="671"/>
      <c r="H63" s="671"/>
      <c r="I63" s="672"/>
      <c r="J63" s="271"/>
      <c r="U63" s="422" t="s">
        <v>7995</v>
      </c>
      <c r="V63" s="423" t="s">
        <v>8100</v>
      </c>
      <c r="W63" s="156"/>
      <c r="X63" s="156"/>
      <c r="Y63" s="156"/>
      <c r="Z63" s="156"/>
      <c r="AA63" s="156"/>
      <c r="AN63" s="659"/>
      <c r="AO63" s="659"/>
      <c r="AP63" s="659"/>
      <c r="AQ63" s="659"/>
      <c r="AR63" s="659"/>
      <c r="AS63" s="659"/>
      <c r="AT63" s="659"/>
      <c r="AU63" s="659"/>
      <c r="AV63" s="659"/>
      <c r="AW63" s="659"/>
      <c r="AX63" s="659"/>
      <c r="AY63" s="659"/>
      <c r="AZ63" s="659"/>
      <c r="BA63" s="659"/>
      <c r="BB63" s="659"/>
      <c r="BC63" s="271"/>
      <c r="BD63" s="279">
        <v>1</v>
      </c>
      <c r="BE63" s="271"/>
      <c r="BF63" s="271"/>
      <c r="BG63" s="271"/>
      <c r="BH63" s="271"/>
      <c r="BI63" s="271"/>
      <c r="BJ63" s="271"/>
      <c r="BK63" s="271"/>
      <c r="BL63" s="271"/>
    </row>
    <row r="64" spans="1:64" ht="15.75" customHeight="1" x14ac:dyDescent="0.25">
      <c r="A64" s="432" t="s">
        <v>2</v>
      </c>
      <c r="B64" s="433" t="str" cm="1">
        <f t="array" aca="1" ref="B64" ca="1">CELL("nomfichier")</f>
        <v>D:\Données\1.UPRT\0-UPRT.fait\1-UPRT.FR-SITE-WEB\ff-fiches-fabrications\ff.fiches.fabrication.2023\ffr-restaurant-2026\[02-06-recettes-entrees-cuisine-collective-fiches-techniques.xlsx]H.O.FROIDS.11.à.20</v>
      </c>
      <c r="C64" s="271"/>
      <c r="D64" s="271"/>
      <c r="E64" s="271"/>
      <c r="F64" s="271"/>
      <c r="G64" s="271"/>
      <c r="H64" s="271"/>
      <c r="I64" s="271"/>
      <c r="J64" s="271"/>
      <c r="K64" s="271"/>
      <c r="L64" s="271"/>
      <c r="M64" s="271"/>
      <c r="N64" s="271"/>
      <c r="O64" s="271"/>
      <c r="P64" s="271"/>
      <c r="Q64" s="271"/>
      <c r="R64" s="271"/>
      <c r="S64" s="271"/>
      <c r="U64" s="422" t="s">
        <v>7998</v>
      </c>
      <c r="V64" s="423" t="s">
        <v>8101</v>
      </c>
      <c r="W64" s="156"/>
      <c r="X64" s="156"/>
      <c r="Y64" s="156"/>
      <c r="Z64" s="156"/>
      <c r="AA64" s="156"/>
      <c r="AB64" s="220"/>
      <c r="AC64" s="220"/>
      <c r="AD64" s="220"/>
      <c r="AE64" s="220"/>
      <c r="AF64" s="220"/>
      <c r="AG64" s="220"/>
      <c r="AH64" s="220"/>
      <c r="AI64" s="220"/>
      <c r="AJ64" s="220"/>
      <c r="AK64" s="220"/>
      <c r="AL64" s="220"/>
      <c r="AN64" s="659"/>
      <c r="AO64" s="659"/>
      <c r="AP64" s="659"/>
      <c r="AQ64" s="659"/>
      <c r="AR64" s="659"/>
      <c r="AS64" s="659"/>
      <c r="AT64" s="659"/>
      <c r="AU64" s="659"/>
      <c r="AV64" s="659"/>
      <c r="AW64" s="659"/>
      <c r="AX64" s="659"/>
      <c r="AY64" s="659"/>
      <c r="AZ64" s="659"/>
      <c r="BA64" s="659"/>
      <c r="BB64" s="659"/>
      <c r="BC64" s="271"/>
      <c r="BD64" s="279">
        <v>1</v>
      </c>
      <c r="BE64" s="271"/>
      <c r="BF64" s="271"/>
      <c r="BG64" s="271"/>
      <c r="BH64" s="271"/>
      <c r="BI64" s="271"/>
      <c r="BJ64" s="271"/>
      <c r="BK64" s="271"/>
      <c r="BL64" s="271"/>
    </row>
    <row r="65" spans="1:111" x14ac:dyDescent="0.25">
      <c r="A65" s="271"/>
      <c r="B65" s="271"/>
      <c r="C65" s="271"/>
      <c r="D65" s="271"/>
      <c r="E65" s="271"/>
      <c r="F65" s="271"/>
      <c r="G65" s="271"/>
      <c r="H65" s="271"/>
      <c r="I65" s="271"/>
      <c r="J65" s="271"/>
      <c r="K65" s="271"/>
      <c r="L65" s="271"/>
      <c r="M65" s="271"/>
      <c r="N65" s="271"/>
      <c r="O65" s="271"/>
      <c r="P65" s="271"/>
      <c r="Q65" s="271"/>
      <c r="R65" s="271"/>
      <c r="S65" s="271"/>
      <c r="T65" s="271"/>
      <c r="U65" s="422" t="s">
        <v>8102</v>
      </c>
      <c r="V65" s="434" t="s">
        <v>8103</v>
      </c>
      <c r="W65" s="156"/>
      <c r="X65" s="156"/>
      <c r="Y65" s="156"/>
      <c r="Z65" s="156"/>
      <c r="AA65" s="156"/>
      <c r="AB65" s="220"/>
      <c r="AC65" s="220"/>
      <c r="AD65" s="220"/>
      <c r="AE65" s="220"/>
      <c r="AF65" s="220"/>
      <c r="AG65" s="220"/>
      <c r="AH65" s="220"/>
      <c r="AI65" s="220"/>
      <c r="AJ65" s="220"/>
      <c r="AK65" s="271"/>
      <c r="AL65" s="271"/>
      <c r="AN65" s="659"/>
      <c r="AO65" s="659"/>
      <c r="AP65" s="659"/>
      <c r="AQ65" s="659"/>
      <c r="AR65" s="659"/>
      <c r="AS65" s="659"/>
      <c r="AT65" s="659"/>
      <c r="AU65" s="659"/>
      <c r="AV65" s="659"/>
      <c r="AW65" s="659"/>
      <c r="AX65" s="659"/>
      <c r="AY65" s="659"/>
      <c r="AZ65" s="659"/>
      <c r="BA65" s="659"/>
      <c r="BB65" s="659"/>
      <c r="BC65" s="271"/>
      <c r="BD65" s="279">
        <v>1</v>
      </c>
      <c r="BE65" s="271"/>
      <c r="BF65" s="271"/>
      <c r="BG65" s="271"/>
      <c r="BH65" s="271"/>
      <c r="BI65" s="271"/>
      <c r="BJ65" s="271"/>
      <c r="BK65" s="271"/>
      <c r="BL65" s="271"/>
      <c r="BM65" s="271"/>
      <c r="BN65" s="271"/>
      <c r="BO65" s="271"/>
      <c r="BP65" s="271"/>
      <c r="BQ65" s="271"/>
      <c r="BR65" s="271"/>
      <c r="BS65" s="271"/>
      <c r="BT65" s="271"/>
      <c r="BU65" s="271"/>
      <c r="BV65" s="271"/>
      <c r="BW65" s="271"/>
      <c r="BX65" s="271"/>
      <c r="BY65" s="271"/>
      <c r="BZ65" s="271"/>
      <c r="CA65" s="271"/>
      <c r="CB65" s="271"/>
      <c r="CC65" s="271"/>
      <c r="CD65" s="271"/>
      <c r="CE65" s="271"/>
      <c r="CF65" s="271"/>
      <c r="CG65" s="271"/>
      <c r="CH65" s="271"/>
      <c r="CI65" s="271"/>
      <c r="CJ65" s="271"/>
      <c r="CK65" s="271"/>
      <c r="CL65" s="271"/>
      <c r="CM65" s="271"/>
      <c r="CN65" s="271"/>
      <c r="CO65" s="271"/>
      <c r="CP65" s="271"/>
      <c r="CQ65" s="271"/>
      <c r="CR65" s="271"/>
      <c r="CS65" s="271"/>
      <c r="CT65" s="271"/>
      <c r="CU65" s="271"/>
      <c r="CV65" s="271"/>
      <c r="CW65" s="271"/>
      <c r="CX65" s="271"/>
      <c r="CY65" s="271"/>
      <c r="CZ65" s="271"/>
      <c r="DA65" s="271"/>
      <c r="DB65" s="271"/>
      <c r="DC65" s="271"/>
      <c r="DD65" s="271"/>
      <c r="DE65" s="271"/>
      <c r="DF65" s="271"/>
      <c r="DG65" s="271"/>
    </row>
    <row r="66" spans="1:111" ht="15.75" customHeight="1" x14ac:dyDescent="0.25">
      <c r="U66" s="422" t="s">
        <v>8047</v>
      </c>
      <c r="V66" s="434" t="s">
        <v>8104</v>
      </c>
      <c r="W66" s="435"/>
      <c r="X66" s="435"/>
      <c r="Y66" s="435"/>
      <c r="Z66" s="435"/>
      <c r="AA66" s="435"/>
      <c r="AB66" s="271"/>
      <c r="AC66" s="271"/>
      <c r="AD66" s="220"/>
      <c r="AE66" s="220"/>
      <c r="AF66" s="220"/>
      <c r="AG66" s="220"/>
      <c r="AH66" s="220"/>
      <c r="AI66" s="220"/>
      <c r="AJ66" s="220"/>
      <c r="AK66" s="271"/>
      <c r="AL66" s="271"/>
      <c r="AM66" s="271"/>
      <c r="AN66" s="660" t="s">
        <v>8105</v>
      </c>
      <c r="AO66" s="660"/>
      <c r="AP66" s="660"/>
      <c r="AQ66" s="660"/>
      <c r="AR66" s="660"/>
      <c r="AS66" s="660"/>
      <c r="AT66" s="660"/>
      <c r="AU66" s="660"/>
      <c r="AV66" s="660"/>
      <c r="AW66" s="660"/>
      <c r="AX66" s="660"/>
      <c r="AY66" s="660"/>
      <c r="AZ66" s="660"/>
      <c r="BA66" s="660"/>
      <c r="BB66" s="660"/>
      <c r="BC66" s="271"/>
      <c r="BD66" s="279">
        <v>1</v>
      </c>
      <c r="BE66" s="271"/>
      <c r="BF66" s="271"/>
      <c r="BG66" s="271"/>
      <c r="BH66" s="271"/>
      <c r="BI66" s="271"/>
      <c r="BJ66" s="271"/>
      <c r="BK66" s="271"/>
      <c r="BL66" s="271"/>
    </row>
    <row r="67" spans="1:111" ht="15.75" customHeight="1" x14ac:dyDescent="0.25">
      <c r="U67" s="156"/>
      <c r="V67" s="435"/>
      <c r="W67" s="435"/>
      <c r="X67" s="435"/>
      <c r="Y67" s="435"/>
      <c r="Z67" s="435"/>
      <c r="AA67" s="435"/>
      <c r="AB67" s="655" t="str">
        <f>IF(AND(COUNTIF(AC72:AC430,"*~**")=0,COUNTIF(AC72:AC430,"*~?*")=0),"",IF(COUNTIF(AC72:AC430,"*~**")&gt;0,COUNTIF(AC72:AC430,"*~**")&amp;" allergène"&amp;IF(COUNTIF(AC72:AC430,"*~**")&gt;1,"s","")&amp;" repéré"&amp;IF(COUNTIF(AC72:AC430,"*~**")&gt;1,"s","")&amp;" par *","")&amp;IF(AND(COUNTIF(AC72:AC430,"*~**")&gt;0,COUNTIF(AC72:AC430,"*~?*")&gt;0)," | ","")&amp;IF(COUNTIF(AC72:AC430,"*~?*")&gt;0,COUNTIF(AC72:AC430,"*~?*")&amp;" produit"&amp;IF(COUNTIF(AC72:AC430,"*~?*")&gt;1,"s","")&amp;" à vérifier par ?",""))</f>
        <v>20 allergènes repérés par * | 2 produits à vérifier par ?</v>
      </c>
      <c r="AC67" s="655"/>
      <c r="AD67" s="436" t="s">
        <v>8106</v>
      </c>
      <c r="AE67" s="436"/>
      <c r="AF67" s="436"/>
      <c r="AG67" s="271"/>
      <c r="AH67" s="271"/>
      <c r="AI67" s="271"/>
      <c r="AJ67" s="271"/>
      <c r="AK67" s="271"/>
      <c r="AL67" s="271"/>
      <c r="AM67" s="271"/>
      <c r="AN67" s="660"/>
      <c r="AO67" s="660"/>
      <c r="AP67" s="660"/>
      <c r="AQ67" s="660"/>
      <c r="AR67" s="660"/>
      <c r="AS67" s="660"/>
      <c r="AT67" s="660"/>
      <c r="AU67" s="660"/>
      <c r="AV67" s="660"/>
      <c r="AW67" s="660"/>
      <c r="AX67" s="660"/>
      <c r="AY67" s="660"/>
      <c r="AZ67" s="660"/>
      <c r="BA67" s="660"/>
      <c r="BB67" s="660"/>
      <c r="BC67" s="271"/>
      <c r="BD67" s="279"/>
      <c r="BE67" s="271"/>
      <c r="BF67" s="271"/>
      <c r="BG67" s="271"/>
      <c r="BH67" s="271"/>
      <c r="BI67" s="271"/>
      <c r="BJ67" s="271"/>
      <c r="BK67" s="271"/>
      <c r="BL67" s="271"/>
    </row>
    <row r="68" spans="1:111" ht="15.75" customHeight="1" x14ac:dyDescent="0.25">
      <c r="R68" s="437" t="s">
        <v>8107</v>
      </c>
      <c r="U68" s="156"/>
      <c r="V68" s="435"/>
      <c r="W68" s="435"/>
      <c r="X68" s="435"/>
      <c r="Y68" s="435"/>
      <c r="Z68" s="435"/>
      <c r="AA68" s="435"/>
      <c r="AB68" s="655"/>
      <c r="AC68" s="655"/>
      <c r="AD68" s="436" t="s">
        <v>8108</v>
      </c>
      <c r="AE68" s="436"/>
      <c r="AF68" s="436"/>
      <c r="AG68" s="271"/>
      <c r="AH68" s="271"/>
      <c r="AI68" s="271"/>
      <c r="AJ68" s="271"/>
      <c r="AK68" s="271"/>
      <c r="AL68" s="271"/>
      <c r="AM68" s="271"/>
      <c r="AN68" s="438" t="s">
        <v>8109</v>
      </c>
      <c r="AO68" s="438"/>
      <c r="AP68" s="271"/>
      <c r="BC68" s="271"/>
      <c r="BD68" s="279">
        <v>1</v>
      </c>
      <c r="BE68" s="271"/>
      <c r="BF68" s="271"/>
      <c r="BG68" s="271"/>
      <c r="BH68" s="271"/>
      <c r="BI68" s="271"/>
      <c r="BJ68" s="271"/>
      <c r="BK68" s="271"/>
      <c r="BL68" s="271"/>
    </row>
    <row r="69" spans="1:111" x14ac:dyDescent="0.25">
      <c r="R69" s="422" t="str">
        <f>SUBSTITUTE(ADDRESS(1,COLUMN(),4),"1","")</f>
        <v>R</v>
      </c>
      <c r="T69" s="422" t="str">
        <f>SUBSTITUTE(ADDRESS(1,COLUMN(),4),"1","")</f>
        <v>T</v>
      </c>
      <c r="V69" s="422" t="str">
        <f t="shared" ref="V69:AF69" si="2">SUBSTITUTE(ADDRESS(1,COLUMN(),4),"1","")</f>
        <v>V</v>
      </c>
      <c r="W69" s="422" t="str">
        <f t="shared" si="2"/>
        <v>W</v>
      </c>
      <c r="X69" s="422" t="str">
        <f t="shared" si="2"/>
        <v>X</v>
      </c>
      <c r="Y69" s="422" t="str">
        <f t="shared" si="2"/>
        <v>Y</v>
      </c>
      <c r="Z69" s="422" t="str">
        <f t="shared" si="2"/>
        <v>Z</v>
      </c>
      <c r="AA69" s="422" t="str">
        <f t="shared" si="2"/>
        <v>AA</v>
      </c>
      <c r="AB69" s="422" t="str">
        <f t="shared" si="2"/>
        <v>AB</v>
      </c>
      <c r="AC69" s="422" t="str">
        <f t="shared" si="2"/>
        <v>AC</v>
      </c>
      <c r="AD69" s="422" t="str">
        <f t="shared" si="2"/>
        <v>AD</v>
      </c>
      <c r="AE69" s="422" t="str">
        <f t="shared" si="2"/>
        <v>AE</v>
      </c>
      <c r="AF69" s="422" t="str">
        <f t="shared" si="2"/>
        <v>AF</v>
      </c>
      <c r="AG69" s="395"/>
      <c r="AH69" s="395"/>
      <c r="AI69" s="395"/>
      <c r="AJ69" s="395"/>
      <c r="AK69" s="395"/>
      <c r="AL69" s="395"/>
      <c r="AM69" s="439" t="str">
        <f>SUBSTITUTE(ADDRESS(1,COLUMN(),4),"1","")</f>
        <v>AM</v>
      </c>
      <c r="AN69" s="395" t="str">
        <f>SUBSTITUTE(ADDRESS(1,COLUMN(),4),"1","")</f>
        <v>AN</v>
      </c>
      <c r="AO69" s="395" t="str">
        <f>SUBSTITUTE(ADDRESS(1,COLUMN(),4),"1","")</f>
        <v>AO</v>
      </c>
      <c r="AP69" s="395" t="str">
        <f t="shared" ref="AP69:AU69" si="3">SUBSTITUTE(ADDRESS(1,COLUMN(),4),"1","")</f>
        <v>AP</v>
      </c>
      <c r="AQ69" s="395" t="str">
        <f t="shared" si="3"/>
        <v>AQ</v>
      </c>
      <c r="AR69" s="395" t="str">
        <f t="shared" si="3"/>
        <v>AR</v>
      </c>
      <c r="AS69" s="395" t="str">
        <f t="shared" si="3"/>
        <v>AS</v>
      </c>
      <c r="AT69" s="395" t="str">
        <f t="shared" si="3"/>
        <v>AT</v>
      </c>
      <c r="AU69" s="395" t="str">
        <f t="shared" si="3"/>
        <v>AU</v>
      </c>
      <c r="BC69" s="271"/>
      <c r="BD69" s="279">
        <v>1</v>
      </c>
      <c r="BE69" s="271"/>
      <c r="BF69" s="271"/>
      <c r="BG69" s="271"/>
      <c r="BH69" s="271"/>
      <c r="BI69" s="271"/>
      <c r="BJ69" s="271"/>
      <c r="BK69" s="271"/>
      <c r="BL69" s="271"/>
    </row>
    <row r="70" spans="1:111" ht="35.25" customHeight="1" x14ac:dyDescent="0.25">
      <c r="R70" s="440" t="s">
        <v>484</v>
      </c>
      <c r="T70" s="440" t="s">
        <v>8110</v>
      </c>
      <c r="V70" s="441" t="s">
        <v>8111</v>
      </c>
      <c r="W70" s="442"/>
      <c r="X70" s="442"/>
      <c r="Y70" s="442"/>
      <c r="Z70" s="442"/>
      <c r="AA70" s="442"/>
      <c r="AB70" s="442"/>
      <c r="AC70" s="442"/>
      <c r="AD70" s="443"/>
      <c r="AE70" s="442"/>
      <c r="AF70" s="442"/>
      <c r="AG70" s="444" t="s">
        <v>8112</v>
      </c>
      <c r="AH70" s="445"/>
      <c r="AI70" s="445"/>
      <c r="AJ70" s="445"/>
      <c r="AK70" s="445"/>
      <c r="AL70" s="445"/>
      <c r="AM70" s="446"/>
      <c r="AN70" s="444" t="s">
        <v>8112</v>
      </c>
      <c r="AO70" s="447"/>
      <c r="AP70" s="447"/>
      <c r="AQ70" s="447"/>
      <c r="AR70" s="447"/>
      <c r="AS70" s="447"/>
      <c r="AT70" s="447"/>
      <c r="AU70" s="447"/>
      <c r="AY70" s="448" t="str">
        <f>ADDRESS(ROW(),COLUMN(),4)</f>
        <v>AY70</v>
      </c>
      <c r="AZ70" s="449"/>
      <c r="BA70" s="449"/>
      <c r="BB70" s="450"/>
      <c r="BD70" s="279">
        <v>1</v>
      </c>
      <c r="BG70" s="271"/>
      <c r="BH70" s="271"/>
      <c r="BI70" s="271"/>
      <c r="BJ70" s="271"/>
      <c r="BK70" s="271"/>
      <c r="BL70" s="271"/>
    </row>
    <row r="71" spans="1:111" ht="34.5" customHeight="1" x14ac:dyDescent="0.25">
      <c r="R71" s="25" t="s">
        <v>6115</v>
      </c>
      <c r="S71" s="451"/>
      <c r="T71" s="452" t="s">
        <v>8113</v>
      </c>
      <c r="V71" s="453" t="s">
        <v>324</v>
      </c>
      <c r="W71" s="453" t="s">
        <v>7912</v>
      </c>
      <c r="X71" s="453" t="s">
        <v>326</v>
      </c>
      <c r="Y71" s="453" t="s">
        <v>327</v>
      </c>
      <c r="Z71" s="454" t="s">
        <v>7930</v>
      </c>
      <c r="AA71" s="453" t="s">
        <v>7937</v>
      </c>
      <c r="AB71" s="455" t="s">
        <v>39</v>
      </c>
      <c r="AC71" s="455" t="s">
        <v>338</v>
      </c>
      <c r="AD71" s="455" t="s">
        <v>8114</v>
      </c>
      <c r="AE71" s="455" t="s">
        <v>339</v>
      </c>
      <c r="AF71" s="455" t="s">
        <v>7997</v>
      </c>
      <c r="AG71" s="456" t="s">
        <v>8018</v>
      </c>
      <c r="AH71" s="456" t="s">
        <v>8023</v>
      </c>
      <c r="AI71" s="456" t="s">
        <v>330</v>
      </c>
      <c r="AJ71" s="456" t="s">
        <v>8031</v>
      </c>
      <c r="AK71" s="453" t="s">
        <v>8037</v>
      </c>
      <c r="AL71" s="453" t="s">
        <v>8041</v>
      </c>
      <c r="AM71" s="456" t="s">
        <v>343</v>
      </c>
      <c r="AN71" s="457" t="s">
        <v>8115</v>
      </c>
      <c r="AO71" s="457" t="s">
        <v>8116</v>
      </c>
      <c r="AP71" s="656" t="s">
        <v>8117</v>
      </c>
      <c r="AQ71" s="656"/>
      <c r="AR71" s="656"/>
      <c r="AS71" s="656"/>
      <c r="AT71" s="656"/>
      <c r="AU71" s="657"/>
      <c r="AY71" s="448" t="s">
        <v>8118</v>
      </c>
      <c r="AZ71" s="448" t="s">
        <v>8119</v>
      </c>
      <c r="BA71" s="448"/>
      <c r="BB71" s="458"/>
      <c r="BD71" s="279">
        <v>1</v>
      </c>
      <c r="BG71" s="271"/>
      <c r="BH71" s="271"/>
      <c r="BI71" s="271"/>
      <c r="BJ71" s="271"/>
      <c r="BK71" s="271"/>
      <c r="BL71" s="271"/>
    </row>
    <row r="72" spans="1:111" ht="30" customHeight="1" x14ac:dyDescent="0.25">
      <c r="R72" s="34" t="s">
        <v>471</v>
      </c>
      <c r="S72" s="451"/>
      <c r="T72" s="14" t="s">
        <v>7</v>
      </c>
      <c r="V72" s="459">
        <v>1</v>
      </c>
      <c r="W72" s="460" t="s">
        <v>241</v>
      </c>
      <c r="X72" s="461" t="s">
        <v>240</v>
      </c>
      <c r="Y72" s="462">
        <v>56</v>
      </c>
      <c r="Z72" s="463">
        <v>100</v>
      </c>
      <c r="AA72" s="464">
        <f>IF($AC$396="","",ROW($A$396)-ROW($A$396))</f>
        <v>0</v>
      </c>
      <c r="AB72" s="461"/>
      <c r="AC72" s="465" t="s">
        <v>162</v>
      </c>
      <c r="AD72" s="390"/>
      <c r="AE72" s="13">
        <v>12</v>
      </c>
      <c r="AF72" s="20" t="s">
        <v>9</v>
      </c>
      <c r="AG72" s="467">
        <f t="shared" ref="AG72:AG106" si="4">IF($AC72="","",IF(LEN($AN72&amp;"")=0,"",$AN72))</f>
        <v>12</v>
      </c>
      <c r="AH72" s="468" t="str">
        <f t="shared" ref="AH72:AH106" si="5">IF($AC72="","",IF($AF72&lt;&gt;"",UPPER(TRIM(SUBSTITUTE(SUBSTITUTE($AF72&amp;"",CHAR(160)," ")," "," "))),$AP72))</f>
        <v>L</v>
      </c>
      <c r="AI72" s="469" t="str">
        <f>IF($AC$72="","",IFERROR(INDEX($AZ$74:$AZ$119,MATCH($AH$72,$AY$74:$AY$119,0)),"AUTRE"))</f>
        <v>VOLUME</v>
      </c>
      <c r="AJ72" s="470">
        <f>IF($AC$72="","",IFERROR(INDEX($BA$74:$BA$119,MATCH($AH$72,$AY$74:$AY$119,0)),1))</f>
        <v>1</v>
      </c>
      <c r="AK72" s="470">
        <f t="shared" ref="AK72:AK106" si="6">IF(OR(AG72="",AJ72=""),"",AG72*AJ72)</f>
        <v>12</v>
      </c>
      <c r="AL72" s="469" t="str">
        <f>IF($AC$72="","",IFERROR(INDEX($BB$74:$BB$119,MATCH($AH$72,$AY$74:$AY$119,0)),$AH$72))</f>
        <v>L</v>
      </c>
      <c r="AM72" s="471" t="str">
        <f t="shared" ref="AM72:AM106" si="7">IF($AC72="","",IF($AH72="QT. SUFFISANTE","OK",IF($AG72="","TEXTE",IF(NOT(ISNUMBER($AG72)),"QUANTITÉ À CONTRÔLER",IF(COUNTIF($AY$74:$AY$119,$AH72)=0,"UNITÉ À CONTRÔLER","OK")))))</f>
        <v>OK</v>
      </c>
      <c r="AN72" s="472">
        <f>IF($AE72&lt;&gt;"",$AE72,IF($AD72="","",IF(ISNUMBER($AD72),$AD72,IF($AO72="QT",0,IF($AO72="","",IFERROR(IF(ISNUMBER(SEARCH("/",$AO72)),VALUE(TRIM(LEFT($AO72,SEARCH("/",$AO72)-1)))/VALUE(TRIM(MID($AO72,SEARCH("/",$AO72)+1,99))),VALUE(SUBSTITUTE($AO72,".",","))),""))))))</f>
        <v>12</v>
      </c>
      <c r="AO72" s="473" t="str">
        <f t="shared" ref="AO72:AO106" si="8">IF($AD72="","",IF(ISNUMBER($AD72),$AD72,IF(OR(LEFT($AQ72,3)="QT.",LEFT($AQ72,4)="QUAN"),"QT",IF($AR72=999,$AQ72,TRIM(LEFT($AQ72,$AR72-1))))))</f>
        <v/>
      </c>
      <c r="AP72" s="473" t="str">
        <f t="shared" ref="AP72:AP106" si="9">IF($AD72="","",IF(ISNUMBER($AD72),"",IF(OR(LEFT($AQ72,3)="QT.",LEFT($AQ72,4)="QUAN"),"QT. SUFFISANTE",IF($AO72="","",TRIM(MID($AQ72,LEN($AO72&amp;"")+1,999))))))</f>
        <v/>
      </c>
      <c r="AQ72" s="474" t="str">
        <f t="shared" ref="AQ72:AQ106" si="10">IF($AD72="","",UPPER(TRIM(SUBSTITUTE(SUBSTITUTE($AD72&amp;"",CHAR(160)," ")," "," "))))</f>
        <v/>
      </c>
      <c r="AR72" s="474" t="str">
        <f t="shared" ref="AR72:AR106" si="11">IF($AQ72="","",MIN($AS72,$AT72,$AU72))</f>
        <v/>
      </c>
      <c r="AS72" s="474" t="str">
        <f t="shared" ref="AS72:AS106" si="12">IF($AQ72="","",MIN(IFERROR(SEARCH("A",$AQ72),999),IFERROR(SEARCH("B",$AQ72),999),IFERROR(SEARCH("C",$AQ72),999),IFERROR(SEARCH("D",$AQ72),999),IFERROR(SEARCH("E",$AQ72),999),IFERROR(SEARCH("F",$AQ72),999),IFERROR(SEARCH("G",$AQ72),999),IFERROR(SEARCH("H",$AQ72),999),IFERROR(SEARCH("I",$AQ72),999)))</f>
        <v/>
      </c>
      <c r="AT72" s="474" t="str">
        <f t="shared" ref="AT72:AT106" si="13">IF($AQ72="","",MIN(IFERROR(SEARCH("J",$AQ72),999),IFERROR(SEARCH("K",$AQ72),999),IFERROR(SEARCH("L",$AQ72),999),IFERROR(SEARCH("M",$AQ72),999),IFERROR(SEARCH("N",$AQ72),999),IFERROR(SEARCH("O",$AQ72),999),IFERROR(SEARCH("P",$AQ72),999),IFERROR(SEARCH("Q",$AQ72),999),IFERROR(SEARCH("R",$AQ72),999)))</f>
        <v/>
      </c>
      <c r="AU72" s="474" t="str">
        <f t="shared" ref="AU72:AU106" si="14">IF($AQ72="","",MIN(IFERROR(SEARCH("S",$AQ72),999),IFERROR(SEARCH("T",$AQ72),999),IFERROR(SEARCH("U",$AQ72),999),IFERROR(SEARCH("V",$AQ72),999),IFERROR(SEARCH("W",$AQ72),999),IFERROR(SEARCH("X",$AQ72),999),IFERROR(SEARCH("Y",$AQ72),999),IFERROR(SEARCH("Z",$AQ72),999)))</f>
        <v/>
      </c>
      <c r="AY72" s="418"/>
      <c r="AZ72" s="418"/>
      <c r="BA72" s="418"/>
      <c r="BB72" s="419"/>
      <c r="BD72" s="279">
        <v>1</v>
      </c>
      <c r="BG72" s="271"/>
      <c r="BH72" s="271"/>
      <c r="BI72" s="271"/>
      <c r="BJ72" s="271"/>
      <c r="BK72" s="271"/>
      <c r="BL72" s="271"/>
    </row>
    <row r="73" spans="1:111" ht="21" customHeight="1" x14ac:dyDescent="0.25">
      <c r="R73" s="34" t="s">
        <v>472</v>
      </c>
      <c r="S73" s="451"/>
      <c r="T73" s="27" t="s">
        <v>8</v>
      </c>
      <c r="V73" s="475">
        <f>$V$72</f>
        <v>1</v>
      </c>
      <c r="W73" s="475" t="str">
        <f>IF($AC$73="","",$W$72)</f>
        <v>N° 39</v>
      </c>
      <c r="X73" s="476" t="str">
        <f>IF($AC$73="","",$X$72)</f>
        <v>GASPACHO</v>
      </c>
      <c r="Y73" s="477">
        <f>IF($X$73="","",$Y$72)</f>
        <v>56</v>
      </c>
      <c r="Z73" s="477">
        <f>IF($X$73="","",$Z$72)</f>
        <v>100</v>
      </c>
      <c r="AA73" s="477">
        <f>IF($AC$73="","",ROW($A$73)-ROW($A$72))</f>
        <v>1</v>
      </c>
      <c r="AB73" s="478"/>
      <c r="AC73" s="34" t="s">
        <v>176</v>
      </c>
      <c r="AD73" s="356"/>
      <c r="AE73" s="18">
        <v>1</v>
      </c>
      <c r="AF73" s="11" t="s">
        <v>7</v>
      </c>
      <c r="AG73" s="480">
        <f t="shared" si="4"/>
        <v>1</v>
      </c>
      <c r="AH73" s="481" t="str">
        <f t="shared" si="5"/>
        <v>KG</v>
      </c>
      <c r="AI73" s="477" t="str">
        <f>IF($AC$73="","",IFERROR(INDEX($AZ$74:$AZ$119,MATCH($AH$73,$AY$74:$AY$119,0)),"AUTRE"))</f>
        <v>MASSE</v>
      </c>
      <c r="AJ73" s="482">
        <f>IF($AC$73="","",IFERROR(INDEX($BA$74:$BA$119,MATCH($AH$73,$AY$74:$AY$119,0)),1))</f>
        <v>1</v>
      </c>
      <c r="AK73" s="482">
        <f t="shared" si="6"/>
        <v>1</v>
      </c>
      <c r="AL73" s="477" t="str">
        <f>IF($AC$73="","",IFERROR(INDEX($BB$74:$BB$119,MATCH($AH$73,$AY$74:$AY$119,0)),$AH$73))</f>
        <v>kg</v>
      </c>
      <c r="AM73" s="483" t="str">
        <f t="shared" si="7"/>
        <v>OK</v>
      </c>
      <c r="AN73" s="484">
        <f t="shared" ref="AN73:AN106" si="15">IF($AE73&lt;&gt;"",$AE73,IF($AD73="","",IF(ISNUMBER($AD73),$AD73,IF($AO73="QT",0,IF($AO73="","",IFERROR(IF(ISNUMBER(SEARCH("/",$AO73)),VALUE(TRIM(LEFT($AO73,SEARCH("/",$AO73)-1)))/VALUE(TRIM(MID($AO73,SEARCH("/",$AO73)+1,99))),VALUE(SUBSTITUTE($AO73,".",","))),""))))))</f>
        <v>1</v>
      </c>
      <c r="AO73" s="473" t="str">
        <f t="shared" si="8"/>
        <v/>
      </c>
      <c r="AP73" s="473" t="str">
        <f t="shared" si="9"/>
        <v/>
      </c>
      <c r="AQ73" s="473" t="str">
        <f t="shared" si="10"/>
        <v/>
      </c>
      <c r="AR73" s="473" t="str">
        <f t="shared" si="11"/>
        <v/>
      </c>
      <c r="AS73" s="473" t="str">
        <f t="shared" si="12"/>
        <v/>
      </c>
      <c r="AT73" s="473" t="str">
        <f t="shared" si="13"/>
        <v/>
      </c>
      <c r="AU73" s="473" t="str">
        <f t="shared" si="14"/>
        <v/>
      </c>
      <c r="AY73" s="440" t="s">
        <v>8110</v>
      </c>
      <c r="AZ73" s="485" t="s">
        <v>34</v>
      </c>
      <c r="BA73" s="485" t="s">
        <v>8123</v>
      </c>
      <c r="BB73" s="486" t="s">
        <v>8124</v>
      </c>
      <c r="BD73" s="279">
        <v>1</v>
      </c>
      <c r="BG73" s="271"/>
      <c r="BH73" s="271"/>
      <c r="BI73" s="271"/>
      <c r="BJ73" s="271"/>
      <c r="BK73" s="271"/>
      <c r="BL73" s="271"/>
    </row>
    <row r="74" spans="1:111" ht="21" customHeight="1" x14ac:dyDescent="0.25">
      <c r="R74" s="34" t="s">
        <v>6112</v>
      </c>
      <c r="S74" s="451"/>
      <c r="T74" s="28" t="s">
        <v>13</v>
      </c>
      <c r="V74" s="475">
        <v>1</v>
      </c>
      <c r="W74" s="475" t="str">
        <f>IF($AC$74="","",$W$72)</f>
        <v>N° 39</v>
      </c>
      <c r="X74" s="476" t="str">
        <f>IF($AC$74="","",$X$72)</f>
        <v>GASPACHO</v>
      </c>
      <c r="Y74" s="477">
        <f>IF($X$74="","",$Y$72)</f>
        <v>56</v>
      </c>
      <c r="Z74" s="477">
        <f>IF($X$74="","",$Z$72)</f>
        <v>100</v>
      </c>
      <c r="AA74" s="477">
        <f>IF($AC$74="","",ROW($A$74)-ROW($A$72))</f>
        <v>2</v>
      </c>
      <c r="AB74" s="487"/>
      <c r="AC74" s="34" t="s">
        <v>242</v>
      </c>
      <c r="AD74" s="356"/>
      <c r="AE74" s="18">
        <v>1</v>
      </c>
      <c r="AF74" s="11" t="s">
        <v>7</v>
      </c>
      <c r="AG74" s="480">
        <f t="shared" si="4"/>
        <v>1</v>
      </c>
      <c r="AH74" s="481" t="str">
        <f t="shared" si="5"/>
        <v>KG</v>
      </c>
      <c r="AI74" s="477" t="str">
        <f>IF($AC$74="","",IFERROR(INDEX($AZ$74:$AZ$119,MATCH($AH$74,$AY$74:$AY$119,0)),"AUTRE"))</f>
        <v>MASSE</v>
      </c>
      <c r="AJ74" s="482">
        <f>IF($AC$74="","",IFERROR(INDEX($BA$74:$BA$119,MATCH($AH$74,$AY$74:$AY$119,0)),1))</f>
        <v>1</v>
      </c>
      <c r="AK74" s="482">
        <f t="shared" si="6"/>
        <v>1</v>
      </c>
      <c r="AL74" s="477" t="str">
        <f>IF($AC$74="","",IFERROR(INDEX($BB$74:$BB$119,MATCH($AH$74,$AY$74:$AY$119,0)),$AH$74))</f>
        <v>kg</v>
      </c>
      <c r="AM74" s="483" t="str">
        <f t="shared" si="7"/>
        <v>OK</v>
      </c>
      <c r="AN74" s="484">
        <f t="shared" si="15"/>
        <v>1</v>
      </c>
      <c r="AO74" s="473" t="str">
        <f t="shared" si="8"/>
        <v/>
      </c>
      <c r="AP74" s="473" t="str">
        <f t="shared" si="9"/>
        <v/>
      </c>
      <c r="AQ74" s="473" t="str">
        <f t="shared" si="10"/>
        <v/>
      </c>
      <c r="AR74" s="473" t="str">
        <f t="shared" si="11"/>
        <v/>
      </c>
      <c r="AS74" s="473" t="str">
        <f t="shared" si="12"/>
        <v/>
      </c>
      <c r="AT74" s="473" t="str">
        <f t="shared" si="13"/>
        <v/>
      </c>
      <c r="AU74" s="473" t="str">
        <f t="shared" si="14"/>
        <v/>
      </c>
      <c r="AY74" s="14" t="s">
        <v>7</v>
      </c>
      <c r="AZ74" s="488" t="s">
        <v>35</v>
      </c>
      <c r="BA74" s="418">
        <v>1</v>
      </c>
      <c r="BB74" s="419" t="s">
        <v>36</v>
      </c>
      <c r="BD74" s="279">
        <v>1</v>
      </c>
      <c r="BG74" s="271"/>
      <c r="BH74" s="271"/>
      <c r="BI74" s="271"/>
      <c r="BJ74" s="271"/>
      <c r="BK74" s="271"/>
      <c r="BL74" s="271"/>
    </row>
    <row r="75" spans="1:111" ht="21" customHeight="1" x14ac:dyDescent="0.25">
      <c r="R75" s="25" t="s">
        <v>6116</v>
      </c>
      <c r="S75" s="451"/>
      <c r="T75" s="28" t="s">
        <v>14</v>
      </c>
      <c r="V75" s="475">
        <v>1</v>
      </c>
      <c r="W75" s="475" t="str">
        <f>IF($AC$75="","",$W$72)</f>
        <v>N° 39</v>
      </c>
      <c r="X75" s="476" t="str">
        <f>IF($AC$75="","",$X$72)</f>
        <v>GASPACHO</v>
      </c>
      <c r="Y75" s="477">
        <f>IF($X$75="","",$Y$72)</f>
        <v>56</v>
      </c>
      <c r="Z75" s="477">
        <f>IF($X$75="","",$Z$72)</f>
        <v>100</v>
      </c>
      <c r="AA75" s="477">
        <f>IF($AC$75="","",ROW($A$75)-ROW($A$72))</f>
        <v>3</v>
      </c>
      <c r="AB75" s="478"/>
      <c r="AC75" s="34" t="s">
        <v>41</v>
      </c>
      <c r="AD75" s="356"/>
      <c r="AE75" s="18">
        <v>150</v>
      </c>
      <c r="AF75" s="16" t="s">
        <v>8</v>
      </c>
      <c r="AG75" s="480">
        <f t="shared" si="4"/>
        <v>150</v>
      </c>
      <c r="AH75" s="481" t="str">
        <f t="shared" si="5"/>
        <v>G</v>
      </c>
      <c r="AI75" s="477" t="str">
        <f>IF($AC$75="","",IFERROR(INDEX($AZ$74:$AZ$119,MATCH($AH$75,$AY$74:$AY$119,0)),"AUTRE"))</f>
        <v>MASSE</v>
      </c>
      <c r="AJ75" s="482">
        <f>IF($AC$75="","",IFERROR(INDEX($BA$74:$BA$119,MATCH($AH$75,$AY$74:$AY$119,0)),1))</f>
        <v>1E-3</v>
      </c>
      <c r="AK75" s="482">
        <f t="shared" si="6"/>
        <v>0.15</v>
      </c>
      <c r="AL75" s="477" t="str">
        <f>IF($AC$75="","",IFERROR(INDEX($BB$74:$BB$119,MATCH($AH$75,$AY$74:$AY$119,0)),$AH$75))</f>
        <v>kg</v>
      </c>
      <c r="AM75" s="483" t="str">
        <f t="shared" si="7"/>
        <v>OK</v>
      </c>
      <c r="AN75" s="484">
        <f t="shared" si="15"/>
        <v>150</v>
      </c>
      <c r="AO75" s="473" t="str">
        <f t="shared" si="8"/>
        <v/>
      </c>
      <c r="AP75" s="473" t="str">
        <f t="shared" si="9"/>
        <v/>
      </c>
      <c r="AQ75" s="473" t="str">
        <f t="shared" si="10"/>
        <v/>
      </c>
      <c r="AR75" s="473" t="str">
        <f t="shared" si="11"/>
        <v/>
      </c>
      <c r="AS75" s="473" t="str">
        <f t="shared" si="12"/>
        <v/>
      </c>
      <c r="AT75" s="473" t="str">
        <f t="shared" si="13"/>
        <v/>
      </c>
      <c r="AU75" s="473" t="str">
        <f t="shared" si="14"/>
        <v/>
      </c>
      <c r="AY75" s="27" t="s">
        <v>8</v>
      </c>
      <c r="AZ75" s="488" t="s">
        <v>35</v>
      </c>
      <c r="BA75" s="489">
        <v>1E-3</v>
      </c>
      <c r="BB75" s="419" t="s">
        <v>36</v>
      </c>
      <c r="BD75" s="279">
        <v>1</v>
      </c>
      <c r="BG75" s="271"/>
      <c r="BH75" s="271"/>
      <c r="BI75" s="271"/>
      <c r="BJ75" s="271"/>
      <c r="BK75" s="271"/>
      <c r="BL75" s="271"/>
    </row>
    <row r="76" spans="1:111" ht="21" customHeight="1" x14ac:dyDescent="0.25">
      <c r="R76" s="34" t="s">
        <v>6117</v>
      </c>
      <c r="S76" s="451"/>
      <c r="T76" s="28" t="s">
        <v>15</v>
      </c>
      <c r="V76" s="475">
        <v>1</v>
      </c>
      <c r="W76" s="475" t="str">
        <f>IF($AC$76="","",$W$72)</f>
        <v>N° 39</v>
      </c>
      <c r="X76" s="476" t="str">
        <f>IF($AC$76="","",$X$72)</f>
        <v>GASPACHO</v>
      </c>
      <c r="Y76" s="477">
        <f>IF($X$76="","",$Y$72)</f>
        <v>56</v>
      </c>
      <c r="Z76" s="477">
        <f>IF($X$76="","",$Z$72)</f>
        <v>100</v>
      </c>
      <c r="AA76" s="477">
        <f>IF($AC$76="","",ROW($A$76)-ROW($A$72))</f>
        <v>4</v>
      </c>
      <c r="AB76" s="478"/>
      <c r="AC76" s="34" t="s">
        <v>109</v>
      </c>
      <c r="AD76" s="356"/>
      <c r="AE76" s="18">
        <v>2.5</v>
      </c>
      <c r="AF76" s="11" t="s">
        <v>7</v>
      </c>
      <c r="AG76" s="480">
        <f t="shared" si="4"/>
        <v>2.5</v>
      </c>
      <c r="AH76" s="481" t="str">
        <f t="shared" si="5"/>
        <v>KG</v>
      </c>
      <c r="AI76" s="477" t="str">
        <f>IF($AC$76="","",IFERROR(INDEX($AZ$74:$AZ$119,MATCH($AH$76,$AY$74:$AY$119,0)),"AUTRE"))</f>
        <v>MASSE</v>
      </c>
      <c r="AJ76" s="482">
        <f>IF($AC$76="","",IFERROR(INDEX($BA$74:$BA$119,MATCH($AH$76,$AY$74:$AY$119,0)),1))</f>
        <v>1</v>
      </c>
      <c r="AK76" s="482">
        <f t="shared" si="6"/>
        <v>2.5</v>
      </c>
      <c r="AL76" s="477" t="str">
        <f>IF($AC$76="","",IFERROR(INDEX($BB$74:$BB$119,MATCH($AH$76,$AY$74:$AY$119,0)),$AH$76))</f>
        <v>kg</v>
      </c>
      <c r="AM76" s="483" t="str">
        <f t="shared" si="7"/>
        <v>OK</v>
      </c>
      <c r="AN76" s="484">
        <f t="shared" si="15"/>
        <v>2.5</v>
      </c>
      <c r="AO76" s="473" t="str">
        <f t="shared" si="8"/>
        <v/>
      </c>
      <c r="AP76" s="473" t="str">
        <f t="shared" si="9"/>
        <v/>
      </c>
      <c r="AQ76" s="473" t="str">
        <f t="shared" si="10"/>
        <v/>
      </c>
      <c r="AR76" s="473" t="str">
        <f t="shared" si="11"/>
        <v/>
      </c>
      <c r="AS76" s="473" t="str">
        <f t="shared" si="12"/>
        <v/>
      </c>
      <c r="AT76" s="473" t="str">
        <f t="shared" si="13"/>
        <v/>
      </c>
      <c r="AU76" s="473" t="str">
        <f t="shared" si="14"/>
        <v/>
      </c>
      <c r="AY76" s="28" t="s">
        <v>13</v>
      </c>
      <c r="AZ76" s="488" t="s">
        <v>35</v>
      </c>
      <c r="BA76" s="489">
        <v>0.25</v>
      </c>
      <c r="BB76" s="419" t="s">
        <v>36</v>
      </c>
      <c r="BD76" s="279">
        <v>1</v>
      </c>
      <c r="BG76" s="271"/>
      <c r="BH76" s="271"/>
      <c r="BI76" s="271"/>
      <c r="BJ76" s="271"/>
      <c r="BK76" s="271"/>
      <c r="BL76" s="271"/>
    </row>
    <row r="77" spans="1:111" ht="21" customHeight="1" x14ac:dyDescent="0.25">
      <c r="R77" s="34" t="s">
        <v>469</v>
      </c>
      <c r="S77" s="451"/>
      <c r="T77" s="28" t="s">
        <v>21</v>
      </c>
      <c r="V77" s="475">
        <v>1</v>
      </c>
      <c r="W77" s="475" t="str">
        <f>IF($AC$77="","",$W$72)</f>
        <v>N° 39</v>
      </c>
      <c r="X77" s="476" t="str">
        <f>IF($AC$77="","",$X$72)</f>
        <v>GASPACHO</v>
      </c>
      <c r="Y77" s="477">
        <f>IF($X$77="","",$Y$72)</f>
        <v>56</v>
      </c>
      <c r="Z77" s="477">
        <f>IF($X$77="","",$Z$72)</f>
        <v>100</v>
      </c>
      <c r="AA77" s="477">
        <f>IF($AC$77="","",ROW($A$77)-ROW($A$72))</f>
        <v>5</v>
      </c>
      <c r="AB77" s="478"/>
      <c r="AC77" s="34" t="s">
        <v>123</v>
      </c>
      <c r="AD77" s="356"/>
      <c r="AE77" s="18">
        <v>1.5</v>
      </c>
      <c r="AF77" s="11" t="s">
        <v>7</v>
      </c>
      <c r="AG77" s="480">
        <f t="shared" si="4"/>
        <v>1.5</v>
      </c>
      <c r="AH77" s="481" t="str">
        <f t="shared" si="5"/>
        <v>KG</v>
      </c>
      <c r="AI77" s="477" t="str">
        <f>IF($AC$77="","",IFERROR(INDEX($AZ$74:$AZ$119,MATCH($AH$77,$AY$74:$AY$119,0)),"AUTRE"))</f>
        <v>MASSE</v>
      </c>
      <c r="AJ77" s="482">
        <f>IF($AC$77="","",IFERROR(INDEX($BA$74:$BA$119,MATCH($AH$77,$AY$74:$AY$119,0)),1))</f>
        <v>1</v>
      </c>
      <c r="AK77" s="482">
        <f t="shared" si="6"/>
        <v>1.5</v>
      </c>
      <c r="AL77" s="477" t="str">
        <f>IF($AC$77="","",IFERROR(INDEX($BB$74:$BB$119,MATCH($AH$77,$AY$74:$AY$119,0)),$AH$77))</f>
        <v>kg</v>
      </c>
      <c r="AM77" s="483" t="str">
        <f t="shared" si="7"/>
        <v>OK</v>
      </c>
      <c r="AN77" s="484">
        <f t="shared" si="15"/>
        <v>1.5</v>
      </c>
      <c r="AO77" s="473" t="str">
        <f t="shared" si="8"/>
        <v/>
      </c>
      <c r="AP77" s="473" t="str">
        <f t="shared" si="9"/>
        <v/>
      </c>
      <c r="AQ77" s="473" t="str">
        <f t="shared" si="10"/>
        <v/>
      </c>
      <c r="AR77" s="473" t="str">
        <f t="shared" si="11"/>
        <v/>
      </c>
      <c r="AS77" s="473" t="str">
        <f t="shared" si="12"/>
        <v/>
      </c>
      <c r="AT77" s="473" t="str">
        <f t="shared" si="13"/>
        <v/>
      </c>
      <c r="AU77" s="473" t="str">
        <f t="shared" si="14"/>
        <v/>
      </c>
      <c r="AY77" s="28" t="s">
        <v>14</v>
      </c>
      <c r="AZ77" s="488" t="s">
        <v>35</v>
      </c>
      <c r="BA77" s="489">
        <v>0.33333333300000001</v>
      </c>
      <c r="BB77" s="419" t="s">
        <v>36</v>
      </c>
      <c r="BD77" s="279">
        <v>1</v>
      </c>
      <c r="BG77" s="271"/>
      <c r="BH77" s="271"/>
      <c r="BI77" s="271"/>
      <c r="BJ77" s="271"/>
      <c r="BK77" s="271"/>
      <c r="BL77" s="271"/>
    </row>
    <row r="78" spans="1:111" ht="21" customHeight="1" x14ac:dyDescent="0.25">
      <c r="R78" s="34" t="s">
        <v>6118</v>
      </c>
      <c r="S78" s="451"/>
      <c r="T78" s="28" t="s">
        <v>22</v>
      </c>
      <c r="V78" s="475">
        <v>1</v>
      </c>
      <c r="W78" s="475" t="str">
        <f>IF($AC$78="","",$W$72)</f>
        <v>N° 39</v>
      </c>
      <c r="X78" s="476" t="str">
        <f>IF($AC$78="","",$X$72)</f>
        <v>GASPACHO</v>
      </c>
      <c r="Y78" s="477">
        <f>IF($X$78="","",$Y$72)</f>
        <v>56</v>
      </c>
      <c r="Z78" s="477">
        <f>IF($X$78="","",$Z$72)</f>
        <v>100</v>
      </c>
      <c r="AA78" s="477">
        <f>IF($AC$78="","",ROW($A$78)-ROW($A$72))</f>
        <v>6</v>
      </c>
      <c r="AB78" s="478"/>
      <c r="AC78" s="34" t="s">
        <v>499</v>
      </c>
      <c r="AD78" s="356"/>
      <c r="AE78" s="18">
        <v>300</v>
      </c>
      <c r="AF78" s="16" t="s">
        <v>8</v>
      </c>
      <c r="AG78" s="480">
        <f t="shared" si="4"/>
        <v>300</v>
      </c>
      <c r="AH78" s="481" t="str">
        <f t="shared" si="5"/>
        <v>G</v>
      </c>
      <c r="AI78" s="477" t="str">
        <f>IF($AC$78="","",IFERROR(INDEX($AZ$74:$AZ$119,MATCH($AH$78,$AY$74:$AY$119,0)),"AUTRE"))</f>
        <v>MASSE</v>
      </c>
      <c r="AJ78" s="482">
        <f>IF($AC$78="","",IFERROR(INDEX($BA$74:$BA$119,MATCH($AH$78,$AY$74:$AY$119,0)),1))</f>
        <v>1E-3</v>
      </c>
      <c r="AK78" s="482">
        <f t="shared" si="6"/>
        <v>0.3</v>
      </c>
      <c r="AL78" s="477" t="str">
        <f>IF($AC$78="","",IFERROR(INDEX($BB$74:$BB$119,MATCH($AH$78,$AY$74:$AY$119,0)),$AH$78))</f>
        <v>kg</v>
      </c>
      <c r="AM78" s="483" t="str">
        <f t="shared" si="7"/>
        <v>OK</v>
      </c>
      <c r="AN78" s="484">
        <f t="shared" si="15"/>
        <v>300</v>
      </c>
      <c r="AO78" s="473" t="str">
        <f t="shared" si="8"/>
        <v/>
      </c>
      <c r="AP78" s="473" t="str">
        <f t="shared" si="9"/>
        <v/>
      </c>
      <c r="AQ78" s="473" t="str">
        <f t="shared" si="10"/>
        <v/>
      </c>
      <c r="AR78" s="473" t="str">
        <f t="shared" si="11"/>
        <v/>
      </c>
      <c r="AS78" s="473" t="str">
        <f t="shared" si="12"/>
        <v/>
      </c>
      <c r="AT78" s="473" t="str">
        <f t="shared" si="13"/>
        <v/>
      </c>
      <c r="AU78" s="473" t="str">
        <f t="shared" si="14"/>
        <v/>
      </c>
      <c r="AY78" s="28" t="s">
        <v>15</v>
      </c>
      <c r="AZ78" s="488" t="s">
        <v>35</v>
      </c>
      <c r="BA78" s="489">
        <v>0.5</v>
      </c>
      <c r="BB78" s="419" t="s">
        <v>36</v>
      </c>
      <c r="BD78" s="279">
        <v>1</v>
      </c>
      <c r="BG78" s="271"/>
      <c r="BH78" s="271"/>
      <c r="BI78" s="271"/>
      <c r="BJ78" s="271"/>
      <c r="BK78" s="271"/>
      <c r="BL78" s="271"/>
    </row>
    <row r="79" spans="1:111" ht="21" customHeight="1" x14ac:dyDescent="0.25">
      <c r="R79" s="34" t="s">
        <v>492</v>
      </c>
      <c r="S79" s="451"/>
      <c r="T79" s="28" t="s">
        <v>23</v>
      </c>
      <c r="V79" s="475">
        <v>1</v>
      </c>
      <c r="W79" s="475" t="str">
        <f>IF($AC$79="","",$W$72)</f>
        <v>N° 39</v>
      </c>
      <c r="X79" s="476" t="str">
        <f>IF($AC$79="","",$X$72)</f>
        <v>GASPACHO</v>
      </c>
      <c r="Y79" s="477">
        <f>IF($X$79="","",$Y$72)</f>
        <v>56</v>
      </c>
      <c r="Z79" s="477">
        <f>IF($X$79="","",$Z$72)</f>
        <v>100</v>
      </c>
      <c r="AA79" s="477">
        <f>IF($AC$79="","",ROW($A$79)-ROW($A$72))</f>
        <v>7</v>
      </c>
      <c r="AB79" s="478"/>
      <c r="AC79" s="34" t="s">
        <v>42</v>
      </c>
      <c r="AD79" s="356"/>
      <c r="AE79" s="18">
        <v>1</v>
      </c>
      <c r="AF79" s="20" t="s">
        <v>9</v>
      </c>
      <c r="AG79" s="480">
        <f t="shared" si="4"/>
        <v>1</v>
      </c>
      <c r="AH79" s="481" t="str">
        <f t="shared" si="5"/>
        <v>L</v>
      </c>
      <c r="AI79" s="477" t="str">
        <f>IF($AC$79="","",IFERROR(INDEX($AZ$74:$AZ$119,MATCH($AH$79,$AY$74:$AY$119,0)),"AUTRE"))</f>
        <v>VOLUME</v>
      </c>
      <c r="AJ79" s="482">
        <f>IF($AC$79="","",IFERROR(INDEX($BA$74:$BA$119,MATCH($AH$79,$AY$74:$AY$119,0)),1))</f>
        <v>1</v>
      </c>
      <c r="AK79" s="482">
        <f t="shared" si="6"/>
        <v>1</v>
      </c>
      <c r="AL79" s="477" t="str">
        <f>IF($AC$79="","",IFERROR(INDEX($BB$74:$BB$119,MATCH($AH$79,$AY$74:$AY$119,0)),$AH$79))</f>
        <v>L</v>
      </c>
      <c r="AM79" s="483" t="str">
        <f t="shared" si="7"/>
        <v>OK</v>
      </c>
      <c r="AN79" s="484">
        <f t="shared" si="15"/>
        <v>1</v>
      </c>
      <c r="AO79" s="473" t="str">
        <f t="shared" si="8"/>
        <v/>
      </c>
      <c r="AP79" s="473" t="str">
        <f t="shared" si="9"/>
        <v/>
      </c>
      <c r="AQ79" s="473" t="str">
        <f t="shared" si="10"/>
        <v/>
      </c>
      <c r="AR79" s="473" t="str">
        <f t="shared" si="11"/>
        <v/>
      </c>
      <c r="AS79" s="473" t="str">
        <f t="shared" si="12"/>
        <v/>
      </c>
      <c r="AT79" s="473" t="str">
        <f t="shared" si="13"/>
        <v/>
      </c>
      <c r="AU79" s="473" t="str">
        <f t="shared" si="14"/>
        <v/>
      </c>
      <c r="AY79" s="29" t="s">
        <v>9</v>
      </c>
      <c r="AZ79" s="488" t="s">
        <v>37</v>
      </c>
      <c r="BA79" s="489">
        <v>1</v>
      </c>
      <c r="BB79" s="419" t="s">
        <v>9</v>
      </c>
      <c r="BD79" s="279">
        <v>1</v>
      </c>
      <c r="BG79" s="271"/>
      <c r="BH79" s="271"/>
      <c r="BI79" s="271"/>
      <c r="BJ79" s="271"/>
      <c r="BK79" s="271"/>
      <c r="BL79" s="271"/>
    </row>
    <row r="80" spans="1:111" ht="21" customHeight="1" x14ac:dyDescent="0.25">
      <c r="R80" s="34" t="s">
        <v>458</v>
      </c>
      <c r="S80" s="451"/>
      <c r="T80" s="28" t="s">
        <v>24</v>
      </c>
      <c r="V80" s="475">
        <v>1</v>
      </c>
      <c r="W80" s="475" t="str">
        <f>IF($AC$80="","",$W$72)</f>
        <v>N° 39</v>
      </c>
      <c r="X80" s="476" t="str">
        <f>IF($AC$80="","",$X$72)</f>
        <v>GASPACHO</v>
      </c>
      <c r="Y80" s="477">
        <f>IF($X$80="","",$Y$72)</f>
        <v>56</v>
      </c>
      <c r="Z80" s="477">
        <f>IF($X$80="","",$Z$72)</f>
        <v>100</v>
      </c>
      <c r="AA80" s="477">
        <f>IF($AC$80="","",ROW($A$80)-ROW($A$72))</f>
        <v>8</v>
      </c>
      <c r="AB80" s="478"/>
      <c r="AC80" s="34" t="s">
        <v>347</v>
      </c>
      <c r="AD80" s="356"/>
      <c r="AE80" s="18">
        <v>0.75</v>
      </c>
      <c r="AF80" s="20" t="s">
        <v>9</v>
      </c>
      <c r="AG80" s="480">
        <f t="shared" si="4"/>
        <v>0.75</v>
      </c>
      <c r="AH80" s="481" t="str">
        <f t="shared" si="5"/>
        <v>L</v>
      </c>
      <c r="AI80" s="477" t="str">
        <f>IF($AC$80="","",IFERROR(INDEX($AZ$74:$AZ$119,MATCH($AH$80,$AY$74:$AY$119,0)),"AUTRE"))</f>
        <v>VOLUME</v>
      </c>
      <c r="AJ80" s="482">
        <f>IF($AC$80="","",IFERROR(INDEX($BA$74:$BA$119,MATCH($AH$80,$AY$74:$AY$119,0)),1))</f>
        <v>1</v>
      </c>
      <c r="AK80" s="482">
        <f t="shared" si="6"/>
        <v>0.75</v>
      </c>
      <c r="AL80" s="477" t="str">
        <f>IF($AC$80="","",IFERROR(INDEX($BB$74:$BB$119,MATCH($AH$80,$AY$74:$AY$119,0)),$AH$80))</f>
        <v>L</v>
      </c>
      <c r="AM80" s="483" t="str">
        <f t="shared" si="7"/>
        <v>OK</v>
      </c>
      <c r="AN80" s="484">
        <f t="shared" si="15"/>
        <v>0.75</v>
      </c>
      <c r="AO80" s="473" t="str">
        <f t="shared" si="8"/>
        <v/>
      </c>
      <c r="AP80" s="473" t="str">
        <f t="shared" si="9"/>
        <v/>
      </c>
      <c r="AQ80" s="473" t="str">
        <f t="shared" si="10"/>
        <v/>
      </c>
      <c r="AR80" s="473" t="str">
        <f t="shared" si="11"/>
        <v/>
      </c>
      <c r="AS80" s="473" t="str">
        <f t="shared" si="12"/>
        <v/>
      </c>
      <c r="AT80" s="473" t="str">
        <f t="shared" si="13"/>
        <v/>
      </c>
      <c r="AU80" s="473" t="str">
        <f t="shared" si="14"/>
        <v/>
      </c>
      <c r="AY80" s="30" t="s">
        <v>10</v>
      </c>
      <c r="AZ80" s="488" t="s">
        <v>37</v>
      </c>
      <c r="BA80" s="489">
        <v>0.1</v>
      </c>
      <c r="BB80" s="419" t="s">
        <v>9</v>
      </c>
      <c r="BD80" s="279">
        <v>1</v>
      </c>
      <c r="BG80" s="271"/>
      <c r="BH80" s="271"/>
      <c r="BI80" s="271"/>
      <c r="BJ80" s="271"/>
      <c r="BK80" s="271"/>
      <c r="BL80" s="271"/>
    </row>
    <row r="81" spans="18:64" ht="21" customHeight="1" x14ac:dyDescent="0.25">
      <c r="R81" s="490"/>
      <c r="S81" s="451"/>
      <c r="T81" s="29" t="s">
        <v>9</v>
      </c>
      <c r="V81" s="475">
        <v>1</v>
      </c>
      <c r="W81" s="475" t="str">
        <f>IF($AC$81="","",$W$72)</f>
        <v>N° 39</v>
      </c>
      <c r="X81" s="476" t="str">
        <f>IF($AC$81="","",$X$72)</f>
        <v>GASPACHO</v>
      </c>
      <c r="Y81" s="477">
        <f>IF($X$81="","",$Y$72)</f>
        <v>56</v>
      </c>
      <c r="Z81" s="477">
        <f>IF($X$81="","",$Z$72)</f>
        <v>100</v>
      </c>
      <c r="AA81" s="477">
        <f>IF($AC$81="","",ROW($A$81)-ROW($A$72))</f>
        <v>9</v>
      </c>
      <c r="AB81" s="478"/>
      <c r="AC81" s="34" t="s">
        <v>67</v>
      </c>
      <c r="AD81" s="356"/>
      <c r="AE81" s="18">
        <v>60</v>
      </c>
      <c r="AF81" s="16" t="s">
        <v>8</v>
      </c>
      <c r="AG81" s="480">
        <f t="shared" si="4"/>
        <v>60</v>
      </c>
      <c r="AH81" s="481" t="str">
        <f t="shared" si="5"/>
        <v>G</v>
      </c>
      <c r="AI81" s="477" t="str">
        <f>IF($AC$81="","",IFERROR(INDEX($AZ$74:$AZ$119,MATCH($AH$81,$AY$74:$AY$119,0)),"AUTRE"))</f>
        <v>MASSE</v>
      </c>
      <c r="AJ81" s="482">
        <f>IF($AC$81="","",IFERROR(INDEX($BA$74:$BA$119,MATCH($AH$81,$AY$74:$AY$119,0)),1))</f>
        <v>1E-3</v>
      </c>
      <c r="AK81" s="482">
        <f t="shared" si="6"/>
        <v>0.06</v>
      </c>
      <c r="AL81" s="477" t="str">
        <f>IF($AC$81="","",IFERROR(INDEX($BB$74:$BB$119,MATCH($AH$81,$AY$74:$AY$119,0)),$AH$81))</f>
        <v>kg</v>
      </c>
      <c r="AM81" s="483" t="str">
        <f t="shared" si="7"/>
        <v>OK</v>
      </c>
      <c r="AN81" s="484">
        <f t="shared" si="15"/>
        <v>60</v>
      </c>
      <c r="AO81" s="473" t="str">
        <f t="shared" si="8"/>
        <v/>
      </c>
      <c r="AP81" s="473" t="str">
        <f t="shared" si="9"/>
        <v/>
      </c>
      <c r="AQ81" s="473" t="str">
        <f t="shared" si="10"/>
        <v/>
      </c>
      <c r="AR81" s="473" t="str">
        <f t="shared" si="11"/>
        <v/>
      </c>
      <c r="AS81" s="473" t="str">
        <f t="shared" si="12"/>
        <v/>
      </c>
      <c r="AT81" s="473" t="str">
        <f t="shared" si="13"/>
        <v/>
      </c>
      <c r="AU81" s="473" t="str">
        <f t="shared" si="14"/>
        <v/>
      </c>
      <c r="AY81" s="30" t="s">
        <v>11</v>
      </c>
      <c r="AZ81" s="488" t="s">
        <v>37</v>
      </c>
      <c r="BA81" s="489">
        <v>0.01</v>
      </c>
      <c r="BB81" s="419" t="s">
        <v>9</v>
      </c>
      <c r="BD81" s="279">
        <v>1</v>
      </c>
      <c r="BG81" s="271"/>
      <c r="BH81" s="271"/>
      <c r="BI81" s="271"/>
      <c r="BJ81" s="271"/>
      <c r="BK81" s="271"/>
      <c r="BL81" s="271"/>
    </row>
    <row r="82" spans="18:64" ht="21" customHeight="1" x14ac:dyDescent="0.25">
      <c r="R82" s="25" t="s">
        <v>6119</v>
      </c>
      <c r="S82" s="451"/>
      <c r="T82" s="30" t="s">
        <v>10</v>
      </c>
      <c r="V82" s="475">
        <v>1</v>
      </c>
      <c r="W82" s="475" t="str">
        <f>IF($AC$82="","",$W$72)</f>
        <v>N° 39</v>
      </c>
      <c r="X82" s="476" t="str">
        <f>IF($AC$82="","",$X$72)</f>
        <v>GASPACHO</v>
      </c>
      <c r="Y82" s="477">
        <f>IF($X$82="","",$Y$72)</f>
        <v>56</v>
      </c>
      <c r="Z82" s="477">
        <f>IF($X$82="","",$Z$72)</f>
        <v>100</v>
      </c>
      <c r="AA82" s="477">
        <f>IF($AC$82="","",ROW($A$82)-ROW($A$72))</f>
        <v>10</v>
      </c>
      <c r="AB82" s="478"/>
      <c r="AC82" s="34" t="s">
        <v>44</v>
      </c>
      <c r="AD82" s="356"/>
      <c r="AE82" s="18">
        <v>15</v>
      </c>
      <c r="AF82" s="16" t="s">
        <v>8</v>
      </c>
      <c r="AG82" s="480">
        <f t="shared" si="4"/>
        <v>15</v>
      </c>
      <c r="AH82" s="481" t="str">
        <f t="shared" si="5"/>
        <v>G</v>
      </c>
      <c r="AI82" s="477" t="str">
        <f>IF($AC$82="","",IFERROR(INDEX($AZ$74:$AZ$119,MATCH($AH$82,$AY$74:$AY$119,0)),"AUTRE"))</f>
        <v>MASSE</v>
      </c>
      <c r="AJ82" s="482">
        <f>IF($AC$82="","",IFERROR(INDEX($BA$74:$BA$119,MATCH($AH$82,$AY$74:$AY$119,0)),1))</f>
        <v>1E-3</v>
      </c>
      <c r="AK82" s="482">
        <f t="shared" si="6"/>
        <v>1.4999999999999999E-2</v>
      </c>
      <c r="AL82" s="477" t="str">
        <f>IF($AC$82="","",IFERROR(INDEX($BB$74:$BB$119,MATCH($AH$82,$AY$74:$AY$119,0)),$AH$82))</f>
        <v>kg</v>
      </c>
      <c r="AM82" s="483" t="str">
        <f t="shared" si="7"/>
        <v>OK</v>
      </c>
      <c r="AN82" s="484">
        <f t="shared" si="15"/>
        <v>15</v>
      </c>
      <c r="AO82" s="473" t="str">
        <f t="shared" si="8"/>
        <v/>
      </c>
      <c r="AP82" s="473" t="str">
        <f t="shared" si="9"/>
        <v/>
      </c>
      <c r="AQ82" s="473" t="str">
        <f t="shared" si="10"/>
        <v/>
      </c>
      <c r="AR82" s="473" t="str">
        <f t="shared" si="11"/>
        <v/>
      </c>
      <c r="AS82" s="473" t="str">
        <f t="shared" si="12"/>
        <v/>
      </c>
      <c r="AT82" s="473" t="str">
        <f t="shared" si="13"/>
        <v/>
      </c>
      <c r="AU82" s="473" t="str">
        <f t="shared" si="14"/>
        <v/>
      </c>
      <c r="AY82" s="30" t="s">
        <v>12</v>
      </c>
      <c r="AZ82" s="488" t="s">
        <v>37</v>
      </c>
      <c r="BA82" s="489">
        <v>1E-3</v>
      </c>
      <c r="BB82" s="419" t="s">
        <v>9</v>
      </c>
      <c r="BD82" s="279">
        <v>1</v>
      </c>
      <c r="BG82" s="271"/>
      <c r="BH82" s="271"/>
      <c r="BI82" s="271"/>
      <c r="BJ82" s="271"/>
      <c r="BK82" s="271"/>
      <c r="BL82" s="271"/>
    </row>
    <row r="83" spans="18:64" ht="21" customHeight="1" x14ac:dyDescent="0.25">
      <c r="R83" s="34" t="s">
        <v>6120</v>
      </c>
      <c r="S83" s="451"/>
      <c r="T83" s="30" t="s">
        <v>11</v>
      </c>
      <c r="V83" s="475">
        <v>1</v>
      </c>
      <c r="W83" s="475" t="str">
        <f>IF($AC$83="","",$W$72)</f>
        <v>N° 39</v>
      </c>
      <c r="X83" s="476" t="str">
        <f>IF($AC$83="","",$X$72)</f>
        <v>GASPACHO</v>
      </c>
      <c r="Y83" s="477">
        <f>IF($X$83="","",$Y$72)</f>
        <v>56</v>
      </c>
      <c r="Z83" s="477">
        <f>IF($X$83="","",$Z$72)</f>
        <v>100</v>
      </c>
      <c r="AA83" s="477">
        <f>IF($AC$83="","",ROW($A$83)-ROW($A$72))</f>
        <v>11</v>
      </c>
      <c r="AB83" s="478"/>
      <c r="AC83" s="34" t="s">
        <v>243</v>
      </c>
      <c r="AD83" s="356"/>
      <c r="AE83" s="18">
        <v>2</v>
      </c>
      <c r="AF83" s="16" t="s">
        <v>8</v>
      </c>
      <c r="AG83" s="480">
        <f t="shared" si="4"/>
        <v>2</v>
      </c>
      <c r="AH83" s="481" t="str">
        <f t="shared" si="5"/>
        <v>G</v>
      </c>
      <c r="AI83" s="477" t="str">
        <f>IF($AC$83="","",IFERROR(INDEX($AZ$74:$AZ$119,MATCH($AH$83,$AY$74:$AY$119,0)),"AUTRE"))</f>
        <v>MASSE</v>
      </c>
      <c r="AJ83" s="482">
        <f>IF($AC$83="","",IFERROR(INDEX($BA$74:$BA$119,MATCH($AH$83,$AY$74:$AY$119,0)),1))</f>
        <v>1E-3</v>
      </c>
      <c r="AK83" s="482">
        <f t="shared" si="6"/>
        <v>2E-3</v>
      </c>
      <c r="AL83" s="477" t="str">
        <f>IF($AC$83="","",IFERROR(INDEX($BB$74:$BB$119,MATCH($AH$83,$AY$74:$AY$119,0)),$AH$83))</f>
        <v>kg</v>
      </c>
      <c r="AM83" s="483" t="str">
        <f t="shared" si="7"/>
        <v>OK</v>
      </c>
      <c r="AN83" s="484">
        <f t="shared" si="15"/>
        <v>2</v>
      </c>
      <c r="AO83" s="473" t="str">
        <f t="shared" si="8"/>
        <v/>
      </c>
      <c r="AP83" s="473" t="str">
        <f t="shared" si="9"/>
        <v/>
      </c>
      <c r="AQ83" s="473" t="str">
        <f t="shared" si="10"/>
        <v/>
      </c>
      <c r="AR83" s="473" t="str">
        <f t="shared" si="11"/>
        <v/>
      </c>
      <c r="AS83" s="473" t="str">
        <f t="shared" si="12"/>
        <v/>
      </c>
      <c r="AT83" s="473" t="str">
        <f t="shared" si="13"/>
        <v/>
      </c>
      <c r="AU83" s="473" t="str">
        <f t="shared" si="14"/>
        <v/>
      </c>
      <c r="AY83" s="31" t="s">
        <v>16</v>
      </c>
      <c r="AZ83" s="488" t="s">
        <v>37</v>
      </c>
      <c r="BA83" s="489">
        <v>0.5</v>
      </c>
      <c r="BB83" s="419" t="s">
        <v>9</v>
      </c>
      <c r="BD83" s="279">
        <v>1</v>
      </c>
      <c r="BG83" s="271"/>
      <c r="BH83" s="271"/>
      <c r="BI83" s="271"/>
      <c r="BJ83" s="271"/>
      <c r="BK83" s="271"/>
      <c r="BL83" s="271"/>
    </row>
    <row r="84" spans="18:64" ht="21" customHeight="1" x14ac:dyDescent="0.25">
      <c r="R84" s="34" t="s">
        <v>6121</v>
      </c>
      <c r="S84" s="451"/>
      <c r="T84" s="30" t="s">
        <v>12</v>
      </c>
      <c r="V84" s="475">
        <v>1</v>
      </c>
      <c r="W84" s="475" t="str">
        <f>IF($AC$84="","",$W$72)</f>
        <v>N° 39</v>
      </c>
      <c r="X84" s="476" t="str">
        <f>IF($AC$84="","",$X$72)</f>
        <v>GASPACHO</v>
      </c>
      <c r="Y84" s="477">
        <f>IF($X$84="","",$Y$72)</f>
        <v>56</v>
      </c>
      <c r="Z84" s="477">
        <f>IF($X$84="","",$Z$72)</f>
        <v>100</v>
      </c>
      <c r="AA84" s="477">
        <f>IF($AC$84="","",ROW($A$84)-ROW($A$72))</f>
        <v>12</v>
      </c>
      <c r="AB84" s="478"/>
      <c r="AC84" s="34" t="s">
        <v>500</v>
      </c>
      <c r="AD84" s="356"/>
      <c r="AE84" s="18">
        <v>2</v>
      </c>
      <c r="AF84" s="11" t="s">
        <v>7</v>
      </c>
      <c r="AG84" s="480">
        <f t="shared" si="4"/>
        <v>2</v>
      </c>
      <c r="AH84" s="481" t="str">
        <f t="shared" si="5"/>
        <v>KG</v>
      </c>
      <c r="AI84" s="477" t="str">
        <f>IF($AC$84="","",IFERROR(INDEX($AZ$74:$AZ$119,MATCH($AH$84,$AY$74:$AY$119,0)),"AUTRE"))</f>
        <v>MASSE</v>
      </c>
      <c r="AJ84" s="482">
        <f>IF($AC$84="","",IFERROR(INDEX($BA$74:$BA$119,MATCH($AH$84,$AY$74:$AY$119,0)),1))</f>
        <v>1</v>
      </c>
      <c r="AK84" s="482">
        <f t="shared" si="6"/>
        <v>2</v>
      </c>
      <c r="AL84" s="477" t="str">
        <f>IF($AC$84="","",IFERROR(INDEX($BB$74:$BB$119,MATCH($AH$84,$AY$74:$AY$119,0)),$AH$84))</f>
        <v>kg</v>
      </c>
      <c r="AM84" s="483" t="str">
        <f t="shared" si="7"/>
        <v>OK</v>
      </c>
      <c r="AN84" s="484">
        <f t="shared" si="15"/>
        <v>2</v>
      </c>
      <c r="AO84" s="473" t="str">
        <f t="shared" si="8"/>
        <v/>
      </c>
      <c r="AP84" s="473" t="str">
        <f t="shared" si="9"/>
        <v/>
      </c>
      <c r="AQ84" s="473" t="str">
        <f t="shared" si="10"/>
        <v/>
      </c>
      <c r="AR84" s="473" t="str">
        <f t="shared" si="11"/>
        <v/>
      </c>
      <c r="AS84" s="473" t="str">
        <f t="shared" si="12"/>
        <v/>
      </c>
      <c r="AT84" s="473" t="str">
        <f t="shared" si="13"/>
        <v/>
      </c>
      <c r="AU84" s="473" t="str">
        <f t="shared" si="14"/>
        <v/>
      </c>
      <c r="AY84" s="31" t="s">
        <v>17</v>
      </c>
      <c r="AZ84" s="488" t="s">
        <v>37</v>
      </c>
      <c r="BA84" s="489">
        <v>0.25</v>
      </c>
      <c r="BB84" s="419" t="s">
        <v>9</v>
      </c>
      <c r="BD84" s="279">
        <v>1</v>
      </c>
      <c r="BG84" s="271"/>
      <c r="BH84" s="271"/>
      <c r="BI84" s="271"/>
      <c r="BJ84" s="271"/>
      <c r="BK84" s="271"/>
      <c r="BL84" s="271"/>
    </row>
    <row r="85" spans="18:64" ht="21" customHeight="1" x14ac:dyDescent="0.25">
      <c r="R85" s="34" t="s">
        <v>6122</v>
      </c>
      <c r="S85" s="451"/>
      <c r="T85" s="31" t="s">
        <v>16</v>
      </c>
      <c r="V85" s="475">
        <v>1</v>
      </c>
      <c r="W85" s="475" t="str">
        <f>IF($AC$85="","",$W$72)</f>
        <v/>
      </c>
      <c r="X85" s="476" t="str">
        <f>IF($AC$85="","",$X$72)</f>
        <v/>
      </c>
      <c r="Y85" s="477" t="str">
        <f>IF($X$85="","",$Y$72)</f>
        <v/>
      </c>
      <c r="Z85" s="477" t="str">
        <f>IF($X$85="","",$Z$72)</f>
        <v/>
      </c>
      <c r="AA85" s="477" t="str">
        <f>IF($AC$85="","",ROW($A$85)-ROW($A$72))</f>
        <v/>
      </c>
      <c r="AB85" s="478"/>
      <c r="AC85" s="34"/>
      <c r="AD85" s="356"/>
      <c r="AE85" s="18"/>
      <c r="AF85" s="19"/>
      <c r="AG85" s="480" t="str">
        <f t="shared" si="4"/>
        <v/>
      </c>
      <c r="AH85" s="481" t="str">
        <f t="shared" si="5"/>
        <v/>
      </c>
      <c r="AI85" s="477" t="str">
        <f>IF($AC$85="","",IFERROR(INDEX($AZ$74:$AZ$119,MATCH($AH$85,$AY$74:$AY$119,0)),"AUTRE"))</f>
        <v/>
      </c>
      <c r="AJ85" s="482" t="str">
        <f>IF($AC$85="","",IFERROR(INDEX($BA$74:$BA$119,MATCH($AH$85,$AY$74:$AY$119,0)),1))</f>
        <v/>
      </c>
      <c r="AK85" s="482" t="str">
        <f t="shared" si="6"/>
        <v/>
      </c>
      <c r="AL85" s="477" t="str">
        <f>IF($AC$85="","",IFERROR(INDEX($BB$74:$BB$119,MATCH($AH$85,$AY$74:$AY$119,0)),$AH$85))</f>
        <v/>
      </c>
      <c r="AM85" s="483" t="str">
        <f t="shared" si="7"/>
        <v/>
      </c>
      <c r="AN85" s="484" t="str">
        <f t="shared" si="15"/>
        <v/>
      </c>
      <c r="AO85" s="473" t="str">
        <f t="shared" si="8"/>
        <v/>
      </c>
      <c r="AP85" s="473" t="str">
        <f t="shared" si="9"/>
        <v/>
      </c>
      <c r="AQ85" s="473" t="str">
        <f t="shared" si="10"/>
        <v/>
      </c>
      <c r="AR85" s="473" t="str">
        <f t="shared" si="11"/>
        <v/>
      </c>
      <c r="AS85" s="473" t="str">
        <f t="shared" si="12"/>
        <v/>
      </c>
      <c r="AT85" s="473" t="str">
        <f t="shared" si="13"/>
        <v/>
      </c>
      <c r="AU85" s="473" t="str">
        <f t="shared" si="14"/>
        <v/>
      </c>
      <c r="AY85" s="31" t="s">
        <v>18</v>
      </c>
      <c r="AZ85" s="488" t="s">
        <v>37</v>
      </c>
      <c r="BA85" s="489">
        <v>0.75</v>
      </c>
      <c r="BB85" s="419" t="s">
        <v>9</v>
      </c>
      <c r="BD85" s="279">
        <v>1</v>
      </c>
      <c r="BG85" s="271"/>
      <c r="BH85" s="271"/>
      <c r="BI85" s="271"/>
      <c r="BJ85" s="271"/>
      <c r="BK85" s="271"/>
      <c r="BL85" s="271"/>
    </row>
    <row r="86" spans="18:64" ht="21" customHeight="1" x14ac:dyDescent="0.25">
      <c r="R86" s="34" t="s">
        <v>6123</v>
      </c>
      <c r="S86" s="451"/>
      <c r="T86" s="31" t="s">
        <v>17</v>
      </c>
      <c r="V86" s="475">
        <v>1</v>
      </c>
      <c r="W86" s="475" t="str">
        <f>IF($AC$86="","",$W$72)</f>
        <v/>
      </c>
      <c r="X86" s="476" t="str">
        <f>IF($AC$86="","",$X$72)</f>
        <v/>
      </c>
      <c r="Y86" s="477" t="str">
        <f>IF($X$86="","",$Y$72)</f>
        <v/>
      </c>
      <c r="Z86" s="477" t="str">
        <f>IF($X$86="","",$Z$72)</f>
        <v/>
      </c>
      <c r="AA86" s="477" t="str">
        <f>IF($AC$86="","",ROW($A$86)-ROW($A$72))</f>
        <v/>
      </c>
      <c r="AB86" s="478"/>
      <c r="AC86" s="34"/>
      <c r="AD86" s="356"/>
      <c r="AE86" s="18"/>
      <c r="AF86" s="19"/>
      <c r="AG86" s="480" t="str">
        <f t="shared" si="4"/>
        <v/>
      </c>
      <c r="AH86" s="481" t="str">
        <f t="shared" si="5"/>
        <v/>
      </c>
      <c r="AI86" s="477" t="str">
        <f>IF($AC$86="","",IFERROR(INDEX($AZ$74:$AZ$119,MATCH($AH$86,$AY$74:$AY$119,0)),"AUTRE"))</f>
        <v/>
      </c>
      <c r="AJ86" s="482" t="str">
        <f>IF($AC$86="","",IFERROR(INDEX($BA$74:$BA$119,MATCH($AH$86,$AY$74:$AY$119,0)),1))</f>
        <v/>
      </c>
      <c r="AK86" s="482" t="str">
        <f t="shared" si="6"/>
        <v/>
      </c>
      <c r="AL86" s="477" t="str">
        <f>IF($AC$86="","",IFERROR(INDEX($BB$74:$BB$119,MATCH($AH$86,$AY$74:$AY$119,0)),$AH$86))</f>
        <v/>
      </c>
      <c r="AM86" s="483" t="str">
        <f t="shared" si="7"/>
        <v/>
      </c>
      <c r="AN86" s="484" t="str">
        <f t="shared" si="15"/>
        <v/>
      </c>
      <c r="AO86" s="473" t="str">
        <f t="shared" si="8"/>
        <v/>
      </c>
      <c r="AP86" s="473" t="str">
        <f t="shared" si="9"/>
        <v/>
      </c>
      <c r="AQ86" s="473" t="str">
        <f t="shared" si="10"/>
        <v/>
      </c>
      <c r="AR86" s="473" t="str">
        <f t="shared" si="11"/>
        <v/>
      </c>
      <c r="AS86" s="473" t="str">
        <f t="shared" si="12"/>
        <v/>
      </c>
      <c r="AT86" s="473" t="str">
        <f t="shared" si="13"/>
        <v/>
      </c>
      <c r="AU86" s="473" t="str">
        <f t="shared" si="14"/>
        <v/>
      </c>
      <c r="AY86" s="31" t="s">
        <v>19</v>
      </c>
      <c r="AZ86" s="488" t="s">
        <v>37</v>
      </c>
      <c r="BA86" s="489">
        <v>0.33333333300000001</v>
      </c>
      <c r="BB86" s="419" t="s">
        <v>9</v>
      </c>
      <c r="BD86" s="279">
        <v>1</v>
      </c>
      <c r="BG86" s="271"/>
      <c r="BH86" s="271"/>
      <c r="BI86" s="271"/>
      <c r="BJ86" s="271"/>
      <c r="BK86" s="271"/>
      <c r="BL86" s="271"/>
    </row>
    <row r="87" spans="18:64" ht="21" customHeight="1" x14ac:dyDescent="0.25">
      <c r="R87" s="34" t="s">
        <v>6124</v>
      </c>
      <c r="S87" s="451"/>
      <c r="T87" s="31" t="s">
        <v>18</v>
      </c>
      <c r="V87" s="475">
        <v>1</v>
      </c>
      <c r="W87" s="475" t="str">
        <f>IF($AC$87="","",$W$72)</f>
        <v/>
      </c>
      <c r="X87" s="476" t="str">
        <f>IF($AC$87="","",$X$72)</f>
        <v/>
      </c>
      <c r="Y87" s="477" t="str">
        <f>IF($X$87="","",$Y$72)</f>
        <v/>
      </c>
      <c r="Z87" s="477" t="str">
        <f>IF($X$87="","",$Z$72)</f>
        <v/>
      </c>
      <c r="AA87" s="477" t="str">
        <f>IF($AC$87="","",ROW($A$87)-ROW($A$72))</f>
        <v/>
      </c>
      <c r="AB87" s="478"/>
      <c r="AC87" s="34"/>
      <c r="AD87" s="356"/>
      <c r="AE87" s="18"/>
      <c r="AF87" s="19"/>
      <c r="AG87" s="480" t="str">
        <f t="shared" si="4"/>
        <v/>
      </c>
      <c r="AH87" s="481" t="str">
        <f t="shared" si="5"/>
        <v/>
      </c>
      <c r="AI87" s="477" t="str">
        <f>IF($AC$87="","",IFERROR(INDEX($AZ$74:$AZ$119,MATCH($AH$87,$AY$74:$AY$119,0)),"AUTRE"))</f>
        <v/>
      </c>
      <c r="AJ87" s="482" t="str">
        <f>IF($AC$87="","",IFERROR(INDEX($BA$74:$BA$119,MATCH($AH$87,$AY$74:$AY$119,0)),1))</f>
        <v/>
      </c>
      <c r="AK87" s="482" t="str">
        <f t="shared" si="6"/>
        <v/>
      </c>
      <c r="AL87" s="477" t="str">
        <f>IF($AC$87="","",IFERROR(INDEX($BB$74:$BB$119,MATCH($AH$87,$AY$74:$AY$119,0)),$AH$87))</f>
        <v/>
      </c>
      <c r="AM87" s="483" t="str">
        <f t="shared" si="7"/>
        <v/>
      </c>
      <c r="AN87" s="484" t="str">
        <f t="shared" si="15"/>
        <v/>
      </c>
      <c r="AO87" s="473" t="str">
        <f t="shared" si="8"/>
        <v/>
      </c>
      <c r="AP87" s="473" t="str">
        <f t="shared" si="9"/>
        <v/>
      </c>
      <c r="AQ87" s="473" t="str">
        <f t="shared" si="10"/>
        <v/>
      </c>
      <c r="AR87" s="473" t="str">
        <f t="shared" si="11"/>
        <v/>
      </c>
      <c r="AS87" s="473" t="str">
        <f t="shared" si="12"/>
        <v/>
      </c>
      <c r="AT87" s="473" t="str">
        <f t="shared" si="13"/>
        <v/>
      </c>
      <c r="AU87" s="473" t="str">
        <f t="shared" si="14"/>
        <v/>
      </c>
      <c r="AY87" s="31" t="s">
        <v>211</v>
      </c>
      <c r="AZ87" s="488" t="s">
        <v>37</v>
      </c>
      <c r="BA87" s="489">
        <v>0.66666666699999999</v>
      </c>
      <c r="BB87" s="419" t="s">
        <v>9</v>
      </c>
      <c r="BD87" s="279">
        <v>1</v>
      </c>
      <c r="BG87" s="271"/>
      <c r="BH87" s="271"/>
      <c r="BI87" s="271"/>
      <c r="BJ87" s="271"/>
      <c r="BK87" s="271"/>
      <c r="BL87" s="271"/>
    </row>
    <row r="88" spans="18:64" ht="21" customHeight="1" x14ac:dyDescent="0.25">
      <c r="R88" s="34" t="s">
        <v>6125</v>
      </c>
      <c r="S88" s="451"/>
      <c r="T88" s="31" t="s">
        <v>19</v>
      </c>
      <c r="V88" s="475">
        <v>1</v>
      </c>
      <c r="W88" s="475" t="str">
        <f>IF($AC$88="","",$W$72)</f>
        <v/>
      </c>
      <c r="X88" s="476" t="str">
        <f>IF($AC$88="","",$X$72)</f>
        <v/>
      </c>
      <c r="Y88" s="477" t="str">
        <f>IF($X$88="","",$Y$72)</f>
        <v/>
      </c>
      <c r="Z88" s="477" t="str">
        <f>IF($X$88="","",$Z$72)</f>
        <v/>
      </c>
      <c r="AA88" s="477" t="str">
        <f>IF($AC$88="","",ROW($A$88)-ROW($A$72))</f>
        <v/>
      </c>
      <c r="AB88" s="478"/>
      <c r="AC88" s="34"/>
      <c r="AD88" s="356"/>
      <c r="AE88" s="18"/>
      <c r="AF88" s="19"/>
      <c r="AG88" s="480" t="str">
        <f t="shared" si="4"/>
        <v/>
      </c>
      <c r="AH88" s="481" t="str">
        <f t="shared" si="5"/>
        <v/>
      </c>
      <c r="AI88" s="477" t="str">
        <f>IF($AC$88="","",IFERROR(INDEX($AZ$74:$AZ$119,MATCH($AH$88,$AY$74:$AY$119,0)),"AUTRE"))</f>
        <v/>
      </c>
      <c r="AJ88" s="482" t="str">
        <f>IF($AC$88="","",IFERROR(INDEX($BA$74:$BA$119,MATCH($AH$88,$AY$74:$AY$119,0)),1))</f>
        <v/>
      </c>
      <c r="AK88" s="482" t="str">
        <f t="shared" si="6"/>
        <v/>
      </c>
      <c r="AL88" s="477" t="str">
        <f>IF($AC$88="","",IFERROR(INDEX($BB$74:$BB$119,MATCH($AH$88,$AY$74:$AY$119,0)),$AH$88))</f>
        <v/>
      </c>
      <c r="AM88" s="483" t="str">
        <f t="shared" si="7"/>
        <v/>
      </c>
      <c r="AN88" s="484" t="str">
        <f t="shared" si="15"/>
        <v/>
      </c>
      <c r="AO88" s="473" t="str">
        <f t="shared" si="8"/>
        <v/>
      </c>
      <c r="AP88" s="473" t="str">
        <f t="shared" si="9"/>
        <v/>
      </c>
      <c r="AQ88" s="473" t="str">
        <f t="shared" si="10"/>
        <v/>
      </c>
      <c r="AR88" s="473" t="str">
        <f t="shared" si="11"/>
        <v/>
      </c>
      <c r="AS88" s="473" t="str">
        <f t="shared" si="12"/>
        <v/>
      </c>
      <c r="AT88" s="473" t="str">
        <f t="shared" si="13"/>
        <v/>
      </c>
      <c r="AU88" s="473" t="str">
        <f t="shared" si="14"/>
        <v/>
      </c>
      <c r="AY88" s="31" t="s">
        <v>20</v>
      </c>
      <c r="AZ88" s="488" t="s">
        <v>37</v>
      </c>
      <c r="BA88" s="489">
        <v>0.2</v>
      </c>
      <c r="BB88" s="419" t="s">
        <v>9</v>
      </c>
      <c r="BD88" s="279">
        <v>1</v>
      </c>
      <c r="BG88" s="271"/>
      <c r="BH88" s="271"/>
      <c r="BI88" s="271"/>
      <c r="BJ88" s="271"/>
      <c r="BK88" s="271"/>
      <c r="BL88" s="271"/>
    </row>
    <row r="89" spans="18:64" ht="21" customHeight="1" x14ac:dyDescent="0.25">
      <c r="R89" s="34" t="s">
        <v>6126</v>
      </c>
      <c r="S89" s="451"/>
      <c r="T89" s="31" t="s">
        <v>211</v>
      </c>
      <c r="V89" s="475">
        <v>1</v>
      </c>
      <c r="W89" s="475" t="str">
        <f>IF($AC$89="","",$W$72)</f>
        <v/>
      </c>
      <c r="X89" s="476" t="str">
        <f>IF($AC$89="","",$X$72)</f>
        <v/>
      </c>
      <c r="Y89" s="477" t="str">
        <f>IF($X$89="","",$Y$72)</f>
        <v/>
      </c>
      <c r="Z89" s="477" t="str">
        <f>IF($X$89="","",$Z$72)</f>
        <v/>
      </c>
      <c r="AA89" s="477" t="str">
        <f>IF($AC$89="","",ROW($A$89)-ROW($A$72))</f>
        <v/>
      </c>
      <c r="AB89" s="478"/>
      <c r="AC89" s="34"/>
      <c r="AD89" s="356"/>
      <c r="AE89" s="18"/>
      <c r="AF89" s="19"/>
      <c r="AG89" s="480" t="str">
        <f t="shared" si="4"/>
        <v/>
      </c>
      <c r="AH89" s="481" t="str">
        <f t="shared" si="5"/>
        <v/>
      </c>
      <c r="AI89" s="477" t="str">
        <f>IF($AC$89="","",IFERROR(INDEX($AZ$74:$AZ$119,MATCH($AH$89,$AY$74:$AY$119,0)),"AUTRE"))</f>
        <v/>
      </c>
      <c r="AJ89" s="482" t="str">
        <f>IF($AC$89="","",IFERROR(INDEX($BA$74:$BA$119,MATCH($AH$89,$AY$74:$AY$119,0)),1))</f>
        <v/>
      </c>
      <c r="AK89" s="482" t="str">
        <f t="shared" si="6"/>
        <v/>
      </c>
      <c r="AL89" s="477" t="str">
        <f>IF($AC$89="","",IFERROR(INDEX($BB$74:$BB$119,MATCH($AH$89,$AY$74:$AY$119,0)),$AH$89))</f>
        <v/>
      </c>
      <c r="AM89" s="483" t="str">
        <f t="shared" si="7"/>
        <v/>
      </c>
      <c r="AN89" s="484" t="str">
        <f t="shared" si="15"/>
        <v/>
      </c>
      <c r="AO89" s="473" t="str">
        <f t="shared" si="8"/>
        <v/>
      </c>
      <c r="AP89" s="473" t="str">
        <f t="shared" si="9"/>
        <v/>
      </c>
      <c r="AQ89" s="473" t="str">
        <f t="shared" si="10"/>
        <v/>
      </c>
      <c r="AR89" s="473" t="str">
        <f t="shared" si="11"/>
        <v/>
      </c>
      <c r="AS89" s="473" t="str">
        <f t="shared" si="12"/>
        <v/>
      </c>
      <c r="AT89" s="473" t="str">
        <f t="shared" si="13"/>
        <v/>
      </c>
      <c r="AU89" s="473" t="str">
        <f t="shared" si="14"/>
        <v/>
      </c>
      <c r="AY89" s="31" t="s">
        <v>304</v>
      </c>
      <c r="AZ89" s="488" t="s">
        <v>37</v>
      </c>
      <c r="BA89" s="489">
        <v>0.125</v>
      </c>
      <c r="BB89" s="419" t="s">
        <v>9</v>
      </c>
      <c r="BC89" s="271"/>
      <c r="BD89" s="279">
        <v>1</v>
      </c>
      <c r="BG89" s="271"/>
      <c r="BH89" s="271"/>
      <c r="BI89" s="271"/>
      <c r="BJ89" s="271"/>
      <c r="BK89" s="271"/>
      <c r="BL89" s="271"/>
    </row>
    <row r="90" spans="18:64" ht="21" customHeight="1" x14ac:dyDescent="0.25">
      <c r="R90" s="34" t="s">
        <v>6127</v>
      </c>
      <c r="S90" s="451"/>
      <c r="T90" s="31" t="s">
        <v>20</v>
      </c>
      <c r="V90" s="475">
        <v>1</v>
      </c>
      <c r="W90" s="475" t="str">
        <f>IF($AC$90="","",$W$72)</f>
        <v/>
      </c>
      <c r="X90" s="476" t="str">
        <f>IF($AC$90="","",$X$72)</f>
        <v/>
      </c>
      <c r="Y90" s="477" t="str">
        <f>IF($X$90="","",$Y$72)</f>
        <v/>
      </c>
      <c r="Z90" s="477" t="str">
        <f>IF($X$90="","",$Z$72)</f>
        <v/>
      </c>
      <c r="AA90" s="477" t="str">
        <f>IF($AC$90="","",ROW($A$90)-ROW($A$72))</f>
        <v/>
      </c>
      <c r="AB90" s="478"/>
      <c r="AC90" s="34"/>
      <c r="AD90" s="356"/>
      <c r="AE90" s="18"/>
      <c r="AF90" s="19"/>
      <c r="AG90" s="480" t="str">
        <f t="shared" si="4"/>
        <v/>
      </c>
      <c r="AH90" s="481" t="str">
        <f t="shared" si="5"/>
        <v/>
      </c>
      <c r="AI90" s="477" t="str">
        <f>IF($AC$90="","",IFERROR(INDEX($AZ$74:$AZ$119,MATCH($AH$90,$AY$74:$AY$119,0)),"AUTRE"))</f>
        <v/>
      </c>
      <c r="AJ90" s="482" t="str">
        <f>IF($AC$90="","",IFERROR(INDEX($BA$74:$BA$119,MATCH($AH$90,$AY$74:$AY$119,0)),1))</f>
        <v/>
      </c>
      <c r="AK90" s="482" t="str">
        <f t="shared" si="6"/>
        <v/>
      </c>
      <c r="AL90" s="477" t="str">
        <f>IF($AC$90="","",IFERROR(INDEX($BB$74:$BB$119,MATCH($AH$90,$AY$74:$AY$119,0)),$AH$90))</f>
        <v/>
      </c>
      <c r="AM90" s="483" t="str">
        <f t="shared" si="7"/>
        <v/>
      </c>
      <c r="AN90" s="484" t="str">
        <f t="shared" si="15"/>
        <v/>
      </c>
      <c r="AO90" s="473" t="str">
        <f t="shared" si="8"/>
        <v/>
      </c>
      <c r="AP90" s="473" t="str">
        <f t="shared" si="9"/>
        <v/>
      </c>
      <c r="AQ90" s="473" t="str">
        <f t="shared" si="10"/>
        <v/>
      </c>
      <c r="AR90" s="473" t="str">
        <f t="shared" si="11"/>
        <v/>
      </c>
      <c r="AS90" s="473" t="str">
        <f t="shared" si="12"/>
        <v/>
      </c>
      <c r="AT90" s="473" t="str">
        <f t="shared" si="13"/>
        <v/>
      </c>
      <c r="AU90" s="473" t="str">
        <f t="shared" si="14"/>
        <v/>
      </c>
      <c r="AY90" s="31" t="s">
        <v>352</v>
      </c>
      <c r="AZ90" s="488" t="s">
        <v>37</v>
      </c>
      <c r="BA90" s="489">
        <v>0.125</v>
      </c>
      <c r="BB90" s="419" t="s">
        <v>9</v>
      </c>
      <c r="BC90" s="271"/>
      <c r="BD90" s="279">
        <v>1</v>
      </c>
      <c r="BG90" s="271"/>
      <c r="BH90" s="271"/>
      <c r="BI90" s="271"/>
      <c r="BJ90" s="271"/>
      <c r="BK90" s="271"/>
      <c r="BL90" s="271"/>
    </row>
    <row r="91" spans="18:64" ht="21" customHeight="1" x14ac:dyDescent="0.25">
      <c r="R91" s="25" t="s">
        <v>6128</v>
      </c>
      <c r="S91" s="451"/>
      <c r="T91" s="31" t="s">
        <v>304</v>
      </c>
      <c r="V91" s="475">
        <v>1</v>
      </c>
      <c r="W91" s="475" t="str">
        <f>IF($AC$91="","",$W$72)</f>
        <v/>
      </c>
      <c r="X91" s="476" t="str">
        <f>IF($AC$91="","",$X$72)</f>
        <v/>
      </c>
      <c r="Y91" s="477" t="str">
        <f>IF($X$91="","",$Y$72)</f>
        <v/>
      </c>
      <c r="Z91" s="477" t="str">
        <f>IF($X$91="","",$Z$72)</f>
        <v/>
      </c>
      <c r="AA91" s="477" t="str">
        <f>IF($AC$91="","",ROW($A$91)-ROW($A$72))</f>
        <v/>
      </c>
      <c r="AB91" s="478"/>
      <c r="AC91" s="34"/>
      <c r="AD91" s="356"/>
      <c r="AE91" s="18"/>
      <c r="AF91" s="19"/>
      <c r="AG91" s="480" t="str">
        <f t="shared" si="4"/>
        <v/>
      </c>
      <c r="AH91" s="481" t="str">
        <f t="shared" si="5"/>
        <v/>
      </c>
      <c r="AI91" s="477" t="str">
        <f>IF($AC$91="","",IFERROR(INDEX($AZ$74:$AZ$119,MATCH($AH$91,$AY$74:$AY$119,0)),"AUTRE"))</f>
        <v/>
      </c>
      <c r="AJ91" s="482" t="str">
        <f>IF($AC$91="","",IFERROR(INDEX($BA$74:$BA$119,MATCH($AH$91,$AY$74:$AY$119,0)),1))</f>
        <v/>
      </c>
      <c r="AK91" s="482" t="str">
        <f t="shared" si="6"/>
        <v/>
      </c>
      <c r="AL91" s="477" t="str">
        <f>IF($AC$91="","",IFERROR(INDEX($BB$74:$BB$119,MATCH($AH$91,$AY$74:$AY$119,0)),$AH$91))</f>
        <v/>
      </c>
      <c r="AM91" s="483" t="str">
        <f t="shared" si="7"/>
        <v/>
      </c>
      <c r="AN91" s="484" t="str">
        <f t="shared" si="15"/>
        <v/>
      </c>
      <c r="AO91" s="473" t="str">
        <f t="shared" si="8"/>
        <v/>
      </c>
      <c r="AP91" s="473" t="str">
        <f t="shared" si="9"/>
        <v/>
      </c>
      <c r="AQ91" s="473" t="str">
        <f t="shared" si="10"/>
        <v/>
      </c>
      <c r="AR91" s="473" t="str">
        <f t="shared" si="11"/>
        <v/>
      </c>
      <c r="AS91" s="473" t="str">
        <f t="shared" si="12"/>
        <v/>
      </c>
      <c r="AT91" s="473" t="str">
        <f t="shared" si="13"/>
        <v/>
      </c>
      <c r="AU91" s="473" t="str">
        <f t="shared" si="14"/>
        <v/>
      </c>
      <c r="AY91" s="31" t="s">
        <v>27</v>
      </c>
      <c r="AZ91" s="488" t="s">
        <v>37</v>
      </c>
      <c r="BA91" s="489">
        <v>5.0000000000000001E-3</v>
      </c>
      <c r="BB91" s="419" t="s">
        <v>9</v>
      </c>
      <c r="BC91" s="271"/>
      <c r="BD91" s="279">
        <v>1</v>
      </c>
      <c r="BG91" s="271"/>
      <c r="BH91" s="271"/>
      <c r="BI91" s="271"/>
      <c r="BJ91" s="271"/>
      <c r="BK91" s="271"/>
      <c r="BL91" s="271"/>
    </row>
    <row r="92" spans="18:64" ht="21" customHeight="1" x14ac:dyDescent="0.25">
      <c r="R92" s="34" t="s">
        <v>474</v>
      </c>
      <c r="S92" s="451"/>
      <c r="T92" s="31" t="s">
        <v>352</v>
      </c>
      <c r="V92" s="475">
        <v>1</v>
      </c>
      <c r="W92" s="475" t="str">
        <f>IF($AC$92="","",$W$72)</f>
        <v/>
      </c>
      <c r="X92" s="476" t="str">
        <f>IF($AC$92="","",$X$72)</f>
        <v/>
      </c>
      <c r="Y92" s="477" t="str">
        <f>IF($X$92="","",$Y$72)</f>
        <v/>
      </c>
      <c r="Z92" s="477" t="str">
        <f>IF($X$92="","",$Z$72)</f>
        <v/>
      </c>
      <c r="AA92" s="477" t="str">
        <f>IF($AC$92="","",ROW($A$92)-ROW($A$72))</f>
        <v/>
      </c>
      <c r="AB92" s="478"/>
      <c r="AC92" s="34"/>
      <c r="AD92" s="356"/>
      <c r="AE92" s="18"/>
      <c r="AF92" s="19"/>
      <c r="AG92" s="480" t="str">
        <f t="shared" si="4"/>
        <v/>
      </c>
      <c r="AH92" s="481" t="str">
        <f t="shared" si="5"/>
        <v/>
      </c>
      <c r="AI92" s="477" t="str">
        <f>IF($AC$92="","",IFERROR(INDEX($AZ$74:$AZ$119,MATCH($AH$92,$AY$74:$AY$119,0)),"AUTRE"))</f>
        <v/>
      </c>
      <c r="AJ92" s="482" t="str">
        <f>IF($AC$92="","",IFERROR(INDEX($BA$74:$BA$119,MATCH($AH$92,$AY$74:$AY$119,0)),1))</f>
        <v/>
      </c>
      <c r="AK92" s="482" t="str">
        <f t="shared" si="6"/>
        <v/>
      </c>
      <c r="AL92" s="477" t="str">
        <f>IF($AC$92="","",IFERROR(INDEX($BB$74:$BB$119,MATCH($AH$92,$AY$74:$AY$119,0)),$AH$92))</f>
        <v/>
      </c>
      <c r="AM92" s="483" t="str">
        <f t="shared" si="7"/>
        <v/>
      </c>
      <c r="AN92" s="484" t="str">
        <f t="shared" si="15"/>
        <v/>
      </c>
      <c r="AO92" s="473" t="str">
        <f t="shared" si="8"/>
        <v/>
      </c>
      <c r="AP92" s="473" t="str">
        <f t="shared" si="9"/>
        <v/>
      </c>
      <c r="AQ92" s="473" t="str">
        <f t="shared" si="10"/>
        <v/>
      </c>
      <c r="AR92" s="473" t="str">
        <f t="shared" si="11"/>
        <v/>
      </c>
      <c r="AS92" s="473" t="str">
        <f t="shared" si="12"/>
        <v/>
      </c>
      <c r="AT92" s="473" t="str">
        <f t="shared" si="13"/>
        <v/>
      </c>
      <c r="AU92" s="473" t="str">
        <f t="shared" si="14"/>
        <v/>
      </c>
      <c r="AY92" s="31" t="s">
        <v>28</v>
      </c>
      <c r="AZ92" s="488" t="s">
        <v>37</v>
      </c>
      <c r="BA92" s="489">
        <v>5.0000000000000001E-3</v>
      </c>
      <c r="BB92" s="419" t="s">
        <v>9</v>
      </c>
      <c r="BC92" s="271"/>
      <c r="BD92" s="279">
        <v>1</v>
      </c>
      <c r="BG92" s="271"/>
      <c r="BH92" s="271"/>
      <c r="BI92" s="271"/>
      <c r="BJ92" s="271"/>
      <c r="BK92" s="271"/>
      <c r="BL92" s="271"/>
    </row>
    <row r="93" spans="18:64" ht="21" customHeight="1" x14ac:dyDescent="0.25">
      <c r="R93" s="34" t="s">
        <v>490</v>
      </c>
      <c r="S93" s="451"/>
      <c r="T93" s="31" t="s">
        <v>25</v>
      </c>
      <c r="V93" s="475">
        <v>1</v>
      </c>
      <c r="W93" s="475" t="str">
        <f>IF($AC$93="","",$W$72)</f>
        <v/>
      </c>
      <c r="X93" s="476" t="str">
        <f>IF($AC$93="","",$X$72)</f>
        <v/>
      </c>
      <c r="Y93" s="477" t="str">
        <f>IF($X$93="","",$Y$72)</f>
        <v/>
      </c>
      <c r="Z93" s="477" t="str">
        <f>IF($X$93="","",$Z$72)</f>
        <v/>
      </c>
      <c r="AA93" s="477" t="str">
        <f>IF($AC$93="","",ROW($A$93)-ROW($A$72))</f>
        <v/>
      </c>
      <c r="AB93" s="478"/>
      <c r="AC93" s="34"/>
      <c r="AD93" s="356"/>
      <c r="AE93" s="18"/>
      <c r="AF93" s="19"/>
      <c r="AG93" s="480" t="str">
        <f t="shared" si="4"/>
        <v/>
      </c>
      <c r="AH93" s="481" t="str">
        <f t="shared" si="5"/>
        <v/>
      </c>
      <c r="AI93" s="477" t="str">
        <f>IF($AC$93="","",IFERROR(INDEX($AZ$74:$AZ$119,MATCH($AH$93,$AY$74:$AY$119,0)),"AUTRE"))</f>
        <v/>
      </c>
      <c r="AJ93" s="482" t="str">
        <f>IF($AC$93="","",IFERROR(INDEX($BA$74:$BA$119,MATCH($AH$93,$AY$74:$AY$119,0)),1))</f>
        <v/>
      </c>
      <c r="AK93" s="482" t="str">
        <f t="shared" si="6"/>
        <v/>
      </c>
      <c r="AL93" s="477" t="str">
        <f>IF($AC$93="","",IFERROR(INDEX($BB$74:$BB$119,MATCH($AH$93,$AY$74:$AY$119,0)),$AH$93))</f>
        <v/>
      </c>
      <c r="AM93" s="483" t="str">
        <f t="shared" si="7"/>
        <v/>
      </c>
      <c r="AN93" s="484" t="str">
        <f t="shared" si="15"/>
        <v/>
      </c>
      <c r="AO93" s="473" t="str">
        <f t="shared" si="8"/>
        <v/>
      </c>
      <c r="AP93" s="473" t="str">
        <f t="shared" si="9"/>
        <v/>
      </c>
      <c r="AQ93" s="473" t="str">
        <f t="shared" si="10"/>
        <v/>
      </c>
      <c r="AR93" s="473" t="str">
        <f t="shared" si="11"/>
        <v/>
      </c>
      <c r="AS93" s="473" t="str">
        <f t="shared" si="12"/>
        <v/>
      </c>
      <c r="AT93" s="473" t="str">
        <f t="shared" si="13"/>
        <v/>
      </c>
      <c r="AU93" s="473" t="str">
        <f t="shared" si="14"/>
        <v/>
      </c>
      <c r="AY93" s="31" t="s">
        <v>29</v>
      </c>
      <c r="AZ93" s="488" t="s">
        <v>37</v>
      </c>
      <c r="BA93" s="489">
        <v>1.4999999999999999E-2</v>
      </c>
      <c r="BB93" s="419" t="s">
        <v>9</v>
      </c>
      <c r="BC93" s="271"/>
      <c r="BD93" s="279">
        <v>1</v>
      </c>
      <c r="BG93" s="271"/>
      <c r="BH93" s="271"/>
      <c r="BI93" s="271"/>
      <c r="BJ93" s="271"/>
      <c r="BK93" s="271"/>
      <c r="BL93" s="271"/>
    </row>
    <row r="94" spans="18:64" ht="21" customHeight="1" x14ac:dyDescent="0.25">
      <c r="R94" s="34" t="s">
        <v>6129</v>
      </c>
      <c r="S94" s="451"/>
      <c r="T94" s="31" t="s">
        <v>26</v>
      </c>
      <c r="V94" s="475">
        <v>1</v>
      </c>
      <c r="W94" s="475" t="str">
        <f>IF($AC$94="","",$W$72)</f>
        <v/>
      </c>
      <c r="X94" s="476" t="str">
        <f>IF($AC$94="","",$X$72)</f>
        <v/>
      </c>
      <c r="Y94" s="477" t="str">
        <f>IF($X$94="","",$Y$72)</f>
        <v/>
      </c>
      <c r="Z94" s="477" t="str">
        <f>IF($X$94="","",$Z$72)</f>
        <v/>
      </c>
      <c r="AA94" s="477" t="str">
        <f>IF($AC$94="","",ROW($A$94)-ROW($A$72))</f>
        <v/>
      </c>
      <c r="AB94" s="478"/>
      <c r="AC94" s="34"/>
      <c r="AD94" s="356"/>
      <c r="AE94" s="18"/>
      <c r="AF94" s="19"/>
      <c r="AG94" s="480" t="str">
        <f t="shared" si="4"/>
        <v/>
      </c>
      <c r="AH94" s="481" t="str">
        <f t="shared" si="5"/>
        <v/>
      </c>
      <c r="AI94" s="477" t="str">
        <f>IF($AC$94="","",IFERROR(INDEX($AZ$74:$AZ$119,MATCH($AH$94,$AY$74:$AY$119,0)),"AUTRE"))</f>
        <v/>
      </c>
      <c r="AJ94" s="482" t="str">
        <f>IF($AC$94="","",IFERROR(INDEX($BA$74:$BA$119,MATCH($AH$94,$AY$74:$AY$119,0)),1))</f>
        <v/>
      </c>
      <c r="AK94" s="482" t="str">
        <f t="shared" si="6"/>
        <v/>
      </c>
      <c r="AL94" s="477" t="str">
        <f>IF($AC$94="","",IFERROR(INDEX($BB$74:$BB$119,MATCH($AH$94,$AY$74:$AY$119,0)),$AH$94))</f>
        <v/>
      </c>
      <c r="AM94" s="483" t="str">
        <f t="shared" si="7"/>
        <v/>
      </c>
      <c r="AN94" s="484" t="str">
        <f t="shared" si="15"/>
        <v/>
      </c>
      <c r="AO94" s="473" t="str">
        <f t="shared" si="8"/>
        <v/>
      </c>
      <c r="AP94" s="473" t="str">
        <f t="shared" si="9"/>
        <v/>
      </c>
      <c r="AQ94" s="473" t="str">
        <f t="shared" si="10"/>
        <v/>
      </c>
      <c r="AR94" s="473" t="str">
        <f t="shared" si="11"/>
        <v/>
      </c>
      <c r="AS94" s="473" t="str">
        <f t="shared" si="12"/>
        <v/>
      </c>
      <c r="AT94" s="473" t="str">
        <f t="shared" si="13"/>
        <v/>
      </c>
      <c r="AU94" s="473" t="str">
        <f t="shared" si="14"/>
        <v/>
      </c>
      <c r="AY94" s="31" t="s">
        <v>30</v>
      </c>
      <c r="AZ94" s="488" t="s">
        <v>37</v>
      </c>
      <c r="BA94" s="489">
        <v>0.1</v>
      </c>
      <c r="BB94" s="419" t="s">
        <v>9</v>
      </c>
      <c r="BC94" s="271"/>
      <c r="BD94" s="279">
        <v>1</v>
      </c>
      <c r="BG94" s="271"/>
      <c r="BH94" s="271"/>
      <c r="BI94" s="271"/>
      <c r="BJ94" s="271"/>
      <c r="BK94" s="271"/>
      <c r="BL94" s="271"/>
    </row>
    <row r="95" spans="18:64" ht="21" customHeight="1" x14ac:dyDescent="0.25">
      <c r="R95" s="34" t="s">
        <v>478</v>
      </c>
      <c r="S95" s="451"/>
      <c r="T95" s="31" t="s">
        <v>27</v>
      </c>
      <c r="V95" s="475">
        <v>1</v>
      </c>
      <c r="W95" s="475" t="str">
        <f>IF($AC$95="","",$W$72)</f>
        <v/>
      </c>
      <c r="X95" s="476" t="str">
        <f>IF($AC$95="","",$X$72)</f>
        <v/>
      </c>
      <c r="Y95" s="477" t="str">
        <f>IF($X$95="","",$Y$72)</f>
        <v/>
      </c>
      <c r="Z95" s="477" t="str">
        <f>IF($X$95="","",$Z$72)</f>
        <v/>
      </c>
      <c r="AA95" s="477" t="str">
        <f>IF($AC$95="","",ROW($A$95)-ROW($A$72))</f>
        <v/>
      </c>
      <c r="AB95" s="478"/>
      <c r="AC95" s="34"/>
      <c r="AD95" s="356"/>
      <c r="AE95" s="18"/>
      <c r="AF95" s="19"/>
      <c r="AG95" s="480" t="str">
        <f t="shared" si="4"/>
        <v/>
      </c>
      <c r="AH95" s="481" t="str">
        <f t="shared" si="5"/>
        <v/>
      </c>
      <c r="AI95" s="477" t="str">
        <f>IF($AC$95="","",IFERROR(INDEX($AZ$74:$AZ$119,MATCH($AH$95,$AY$74:$AY$119,0)),"AUTRE"))</f>
        <v/>
      </c>
      <c r="AJ95" s="482" t="str">
        <f>IF($AC$95="","",IFERROR(INDEX($BA$74:$BA$119,MATCH($AH$95,$AY$74:$AY$119,0)),1))</f>
        <v/>
      </c>
      <c r="AK95" s="482" t="str">
        <f t="shared" si="6"/>
        <v/>
      </c>
      <c r="AL95" s="477" t="str">
        <f>IF($AC$95="","",IFERROR(INDEX($BB$74:$BB$119,MATCH($AH$95,$AY$74:$AY$119,0)),$AH$95))</f>
        <v/>
      </c>
      <c r="AM95" s="483" t="str">
        <f t="shared" si="7"/>
        <v/>
      </c>
      <c r="AN95" s="484" t="str">
        <f t="shared" si="15"/>
        <v/>
      </c>
      <c r="AO95" s="473" t="str">
        <f t="shared" si="8"/>
        <v/>
      </c>
      <c r="AP95" s="473" t="str">
        <f t="shared" si="9"/>
        <v/>
      </c>
      <c r="AQ95" s="473" t="str">
        <f t="shared" si="10"/>
        <v/>
      </c>
      <c r="AR95" s="473" t="str">
        <f t="shared" si="11"/>
        <v/>
      </c>
      <c r="AS95" s="473" t="str">
        <f t="shared" si="12"/>
        <v/>
      </c>
      <c r="AT95" s="473" t="str">
        <f t="shared" si="13"/>
        <v/>
      </c>
      <c r="AU95" s="473" t="str">
        <f t="shared" si="14"/>
        <v/>
      </c>
      <c r="AY95" s="32" t="s">
        <v>33</v>
      </c>
      <c r="AZ95" s="488" t="s">
        <v>38</v>
      </c>
      <c r="BA95" s="489">
        <v>1</v>
      </c>
      <c r="BB95" s="419" t="s">
        <v>8035</v>
      </c>
      <c r="BC95" s="271"/>
      <c r="BD95" s="279">
        <v>1</v>
      </c>
      <c r="BG95" s="271"/>
      <c r="BH95" s="271"/>
      <c r="BI95" s="271"/>
      <c r="BJ95" s="271"/>
      <c r="BK95" s="271"/>
      <c r="BL95" s="271"/>
    </row>
    <row r="96" spans="18:64" ht="21" customHeight="1" x14ac:dyDescent="0.25">
      <c r="R96" s="34" t="s">
        <v>6130</v>
      </c>
      <c r="S96" s="451"/>
      <c r="T96" s="31" t="s">
        <v>28</v>
      </c>
      <c r="V96" s="475">
        <v>1</v>
      </c>
      <c r="W96" s="475" t="str">
        <f>IF($AC$96="","",$W$72)</f>
        <v/>
      </c>
      <c r="X96" s="476" t="str">
        <f>IF($AC$96="","",$X$72)</f>
        <v/>
      </c>
      <c r="Y96" s="477" t="str">
        <f>IF($X$96="","",$Y$72)</f>
        <v/>
      </c>
      <c r="Z96" s="477" t="str">
        <f>IF($X$96="","",$Z$72)</f>
        <v/>
      </c>
      <c r="AA96" s="477" t="str">
        <f>IF($AC$96="","",ROW($A$96)-ROW($A$72))</f>
        <v/>
      </c>
      <c r="AB96" s="478"/>
      <c r="AC96" s="34"/>
      <c r="AD96" s="356"/>
      <c r="AE96" s="18"/>
      <c r="AF96" s="19"/>
      <c r="AG96" s="480" t="str">
        <f t="shared" si="4"/>
        <v/>
      </c>
      <c r="AH96" s="481" t="str">
        <f t="shared" si="5"/>
        <v/>
      </c>
      <c r="AI96" s="477" t="str">
        <f>IF($AC$96="","",IFERROR(INDEX($AZ$74:$AZ$119,MATCH($AH$96,$AY$74:$AY$119,0)),"AUTRE"))</f>
        <v/>
      </c>
      <c r="AJ96" s="482" t="str">
        <f>IF($AC$96="","",IFERROR(INDEX($BA$74:$BA$119,MATCH($AH$96,$AY$74:$AY$119,0)),1))</f>
        <v/>
      </c>
      <c r="AK96" s="482" t="str">
        <f t="shared" si="6"/>
        <v/>
      </c>
      <c r="AL96" s="477" t="str">
        <f>IF($AC$96="","",IFERROR(INDEX($BB$74:$BB$119,MATCH($AH$96,$AY$74:$AY$119,0)),$AH$96))</f>
        <v/>
      </c>
      <c r="AM96" s="483" t="str">
        <f t="shared" si="7"/>
        <v/>
      </c>
      <c r="AN96" s="484" t="str">
        <f t="shared" si="15"/>
        <v/>
      </c>
      <c r="AO96" s="473" t="str">
        <f t="shared" si="8"/>
        <v/>
      </c>
      <c r="AP96" s="473" t="str">
        <f t="shared" si="9"/>
        <v/>
      </c>
      <c r="AQ96" s="473" t="str">
        <f t="shared" si="10"/>
        <v/>
      </c>
      <c r="AR96" s="473" t="str">
        <f t="shared" si="11"/>
        <v/>
      </c>
      <c r="AS96" s="473" t="str">
        <f t="shared" si="12"/>
        <v/>
      </c>
      <c r="AT96" s="473" t="str">
        <f t="shared" si="13"/>
        <v/>
      </c>
      <c r="AU96" s="473" t="str">
        <f t="shared" si="14"/>
        <v/>
      </c>
      <c r="AY96" s="32" t="s">
        <v>8125</v>
      </c>
      <c r="AZ96" s="488" t="s">
        <v>38</v>
      </c>
      <c r="BA96" s="489">
        <v>1</v>
      </c>
      <c r="BB96" s="419" t="s">
        <v>8126</v>
      </c>
      <c r="BC96" s="271"/>
      <c r="BD96" s="279">
        <v>1</v>
      </c>
      <c r="BG96" s="271"/>
      <c r="BH96" s="271"/>
      <c r="BI96" s="271"/>
      <c r="BJ96" s="271"/>
      <c r="BK96" s="271"/>
      <c r="BL96" s="271"/>
    </row>
    <row r="97" spans="18:64" ht="21" customHeight="1" x14ac:dyDescent="0.25">
      <c r="R97" s="34" t="s">
        <v>486</v>
      </c>
      <c r="S97" s="451"/>
      <c r="T97" s="31" t="s">
        <v>29</v>
      </c>
      <c r="V97" s="475">
        <v>1</v>
      </c>
      <c r="W97" s="475" t="str">
        <f>IF($AC$97="","",$W$72)</f>
        <v/>
      </c>
      <c r="X97" s="476" t="str">
        <f>IF($AC$97="","",$X$72)</f>
        <v/>
      </c>
      <c r="Y97" s="477" t="str">
        <f>IF($X$97="","",$Y$72)</f>
        <v/>
      </c>
      <c r="Z97" s="477" t="str">
        <f>IF($X$97="","",$Z$72)</f>
        <v/>
      </c>
      <c r="AA97" s="477" t="str">
        <f>IF($AC$97="","",ROW($A$97)-ROW($A$72))</f>
        <v/>
      </c>
      <c r="AB97" s="478"/>
      <c r="AC97" s="34"/>
      <c r="AD97" s="356"/>
      <c r="AE97" s="18"/>
      <c r="AF97" s="19"/>
      <c r="AG97" s="480" t="str">
        <f t="shared" si="4"/>
        <v/>
      </c>
      <c r="AH97" s="481" t="str">
        <f t="shared" si="5"/>
        <v/>
      </c>
      <c r="AI97" s="477" t="str">
        <f>IF($AC$97="","",IFERROR(INDEX($AZ$74:$AZ$119,MATCH($AH$97,$AY$74:$AY$119,0)),"AUTRE"))</f>
        <v/>
      </c>
      <c r="AJ97" s="482" t="str">
        <f>IF($AC$97="","",IFERROR(INDEX($BA$74:$BA$119,MATCH($AH$97,$AY$74:$AY$119,0)),1))</f>
        <v/>
      </c>
      <c r="AK97" s="482" t="str">
        <f t="shared" si="6"/>
        <v/>
      </c>
      <c r="AL97" s="477" t="str">
        <f>IF($AC$97="","",IFERROR(INDEX($BB$74:$BB$119,MATCH($AH$97,$AY$74:$AY$119,0)),$AH$97))</f>
        <v/>
      </c>
      <c r="AM97" s="483" t="str">
        <f t="shared" si="7"/>
        <v/>
      </c>
      <c r="AN97" s="484" t="str">
        <f t="shared" si="15"/>
        <v/>
      </c>
      <c r="AO97" s="473" t="str">
        <f t="shared" si="8"/>
        <v/>
      </c>
      <c r="AP97" s="473" t="str">
        <f t="shared" si="9"/>
        <v/>
      </c>
      <c r="AQ97" s="473" t="str">
        <f t="shared" si="10"/>
        <v/>
      </c>
      <c r="AR97" s="473" t="str">
        <f t="shared" si="11"/>
        <v/>
      </c>
      <c r="AS97" s="473" t="str">
        <f t="shared" si="12"/>
        <v/>
      </c>
      <c r="AT97" s="473" t="str">
        <f t="shared" si="13"/>
        <v/>
      </c>
      <c r="AU97" s="473" t="str">
        <f t="shared" si="14"/>
        <v/>
      </c>
      <c r="AY97" s="32" t="s">
        <v>8127</v>
      </c>
      <c r="AZ97" s="488" t="s">
        <v>38</v>
      </c>
      <c r="BA97" s="489">
        <v>1</v>
      </c>
      <c r="BB97" s="419" t="s">
        <v>8128</v>
      </c>
      <c r="BC97" s="271"/>
      <c r="BD97" s="279">
        <v>1</v>
      </c>
      <c r="BG97" s="271"/>
      <c r="BH97" s="271"/>
      <c r="BI97" s="271"/>
      <c r="BJ97" s="271"/>
      <c r="BK97" s="271"/>
      <c r="BL97" s="271"/>
    </row>
    <row r="98" spans="18:64" ht="21" customHeight="1" x14ac:dyDescent="0.25">
      <c r="R98" s="34" t="s">
        <v>479</v>
      </c>
      <c r="S98" s="451"/>
      <c r="T98" s="31" t="s">
        <v>30</v>
      </c>
      <c r="V98" s="475">
        <v>1</v>
      </c>
      <c r="W98" s="475" t="str">
        <f>IF($AC$98="","",$W$72)</f>
        <v/>
      </c>
      <c r="X98" s="476" t="str">
        <f>IF($AC$98="","",$X$72)</f>
        <v/>
      </c>
      <c r="Y98" s="477" t="str">
        <f>IF($X$98="","",$Y$72)</f>
        <v/>
      </c>
      <c r="Z98" s="477" t="str">
        <f>IF($X$98="","",$Z$72)</f>
        <v/>
      </c>
      <c r="AA98" s="477" t="str">
        <f>IF($AC$98="","",ROW($A$98)-ROW($A$72))</f>
        <v/>
      </c>
      <c r="AB98" s="478"/>
      <c r="AC98" s="34"/>
      <c r="AD98" s="356"/>
      <c r="AE98" s="18"/>
      <c r="AF98" s="19"/>
      <c r="AG98" s="480" t="str">
        <f t="shared" si="4"/>
        <v/>
      </c>
      <c r="AH98" s="481" t="str">
        <f t="shared" si="5"/>
        <v/>
      </c>
      <c r="AI98" s="477" t="str">
        <f>IF($AC$98="","",IFERROR(INDEX($AZ$74:$AZ$119,MATCH($AH$98,$AY$74:$AY$119,0)),"AUTRE"))</f>
        <v/>
      </c>
      <c r="AJ98" s="482" t="str">
        <f>IF($AC$98="","",IFERROR(INDEX($BA$74:$BA$119,MATCH($AH$98,$AY$74:$AY$119,0)),1))</f>
        <v/>
      </c>
      <c r="AK98" s="482" t="str">
        <f t="shared" si="6"/>
        <v/>
      </c>
      <c r="AL98" s="477" t="str">
        <f>IF($AC$98="","",IFERROR(INDEX($BB$74:$BB$119,MATCH($AH$98,$AY$74:$AY$119,0)),$AH$98))</f>
        <v/>
      </c>
      <c r="AM98" s="483" t="str">
        <f t="shared" si="7"/>
        <v/>
      </c>
      <c r="AN98" s="484" t="str">
        <f t="shared" si="15"/>
        <v/>
      </c>
      <c r="AO98" s="473" t="str">
        <f t="shared" si="8"/>
        <v/>
      </c>
      <c r="AP98" s="473" t="str">
        <f t="shared" si="9"/>
        <v/>
      </c>
      <c r="AQ98" s="473" t="str">
        <f t="shared" si="10"/>
        <v/>
      </c>
      <c r="AR98" s="473" t="str">
        <f t="shared" si="11"/>
        <v/>
      </c>
      <c r="AS98" s="473" t="str">
        <f t="shared" si="12"/>
        <v/>
      </c>
      <c r="AT98" s="473" t="str">
        <f t="shared" si="13"/>
        <v/>
      </c>
      <c r="AU98" s="473" t="str">
        <f t="shared" si="14"/>
        <v/>
      </c>
      <c r="AY98" s="32" t="s">
        <v>320</v>
      </c>
      <c r="AZ98" s="488" t="s">
        <v>38</v>
      </c>
      <c r="BA98" s="489">
        <v>1</v>
      </c>
      <c r="BB98" s="419" t="s">
        <v>321</v>
      </c>
      <c r="BC98" s="271"/>
      <c r="BD98" s="279">
        <v>1</v>
      </c>
      <c r="BG98" s="271"/>
      <c r="BH98" s="271"/>
      <c r="BI98" s="271"/>
      <c r="BJ98" s="271"/>
      <c r="BK98" s="271"/>
      <c r="BL98" s="271"/>
    </row>
    <row r="99" spans="18:64" ht="21" customHeight="1" x14ac:dyDescent="0.25">
      <c r="R99" s="34" t="s">
        <v>6131</v>
      </c>
      <c r="S99" s="451"/>
      <c r="T99" s="31" t="s">
        <v>31</v>
      </c>
      <c r="V99" s="475">
        <v>1</v>
      </c>
      <c r="W99" s="475" t="str">
        <f>IF($AC$99="","",$W$72)</f>
        <v/>
      </c>
      <c r="X99" s="476" t="str">
        <f>IF($AC$99="","",$X$72)</f>
        <v/>
      </c>
      <c r="Y99" s="477" t="str">
        <f>IF($X$99="","",$Y$72)</f>
        <v/>
      </c>
      <c r="Z99" s="477" t="str">
        <f>IF($X$99="","",$Z$72)</f>
        <v/>
      </c>
      <c r="AA99" s="477" t="str">
        <f>IF($AC$99="","",ROW($A$99)-ROW($A$72))</f>
        <v/>
      </c>
      <c r="AB99" s="478"/>
      <c r="AC99" s="34"/>
      <c r="AD99" s="356"/>
      <c r="AE99" s="18"/>
      <c r="AF99" s="19"/>
      <c r="AG99" s="480" t="str">
        <f t="shared" si="4"/>
        <v/>
      </c>
      <c r="AH99" s="481" t="str">
        <f t="shared" si="5"/>
        <v/>
      </c>
      <c r="AI99" s="477" t="str">
        <f>IF($AC$99="","",IFERROR(INDEX($AZ$74:$AZ$119,MATCH($AH$99,$AY$74:$AY$119,0)),"AUTRE"))</f>
        <v/>
      </c>
      <c r="AJ99" s="482" t="str">
        <f>IF($AC$99="","",IFERROR(INDEX($BA$74:$BA$119,MATCH($AH$99,$AY$74:$AY$119,0)),1))</f>
        <v/>
      </c>
      <c r="AK99" s="482" t="str">
        <f t="shared" si="6"/>
        <v/>
      </c>
      <c r="AL99" s="477" t="str">
        <f>IF($AC$99="","",IFERROR(INDEX($BB$74:$BB$119,MATCH($AH$99,$AY$74:$AY$119,0)),$AH$99))</f>
        <v/>
      </c>
      <c r="AM99" s="483" t="str">
        <f t="shared" si="7"/>
        <v/>
      </c>
      <c r="AN99" s="484" t="str">
        <f t="shared" si="15"/>
        <v/>
      </c>
      <c r="AO99" s="473" t="str">
        <f t="shared" si="8"/>
        <v/>
      </c>
      <c r="AP99" s="473" t="str">
        <f t="shared" si="9"/>
        <v/>
      </c>
      <c r="AQ99" s="473" t="str">
        <f t="shared" si="10"/>
        <v/>
      </c>
      <c r="AR99" s="473" t="str">
        <f t="shared" si="11"/>
        <v/>
      </c>
      <c r="AS99" s="473" t="str">
        <f t="shared" si="12"/>
        <v/>
      </c>
      <c r="AT99" s="473" t="str">
        <f t="shared" si="13"/>
        <v/>
      </c>
      <c r="AU99" s="473" t="str">
        <f t="shared" si="14"/>
        <v/>
      </c>
      <c r="AY99" s="32" t="s">
        <v>318</v>
      </c>
      <c r="AZ99" s="488" t="s">
        <v>38</v>
      </c>
      <c r="BA99" s="489">
        <v>1</v>
      </c>
      <c r="BB99" s="419" t="s">
        <v>319</v>
      </c>
      <c r="BC99" s="271"/>
      <c r="BD99" s="279">
        <v>1</v>
      </c>
      <c r="BG99" s="271"/>
      <c r="BH99" s="271"/>
      <c r="BI99" s="271"/>
      <c r="BJ99" s="271"/>
      <c r="BK99" s="271"/>
      <c r="BL99" s="271"/>
    </row>
    <row r="100" spans="18:64" ht="21" customHeight="1" x14ac:dyDescent="0.25">
      <c r="R100" s="34" t="s">
        <v>485</v>
      </c>
      <c r="S100" s="451"/>
      <c r="T100" s="32" t="s">
        <v>33</v>
      </c>
      <c r="V100" s="475">
        <v>1</v>
      </c>
      <c r="W100" s="475" t="str">
        <f>IF($AC$100="","",$W$72)</f>
        <v/>
      </c>
      <c r="X100" s="476" t="str">
        <f>IF($AC$100="","",$X$72)</f>
        <v/>
      </c>
      <c r="Y100" s="477" t="str">
        <f>IF($X$100="","",$Y$72)</f>
        <v/>
      </c>
      <c r="Z100" s="477" t="str">
        <f>IF($X$100="","",$Z$72)</f>
        <v/>
      </c>
      <c r="AA100" s="477" t="str">
        <f>IF($AC$100="","",ROW($A$100)-ROW($A$72))</f>
        <v/>
      </c>
      <c r="AB100" s="478"/>
      <c r="AC100" s="34"/>
      <c r="AD100" s="356"/>
      <c r="AE100" s="18"/>
      <c r="AF100" s="19"/>
      <c r="AG100" s="480" t="str">
        <f t="shared" si="4"/>
        <v/>
      </c>
      <c r="AH100" s="481" t="str">
        <f t="shared" si="5"/>
        <v/>
      </c>
      <c r="AI100" s="477" t="str">
        <f>IF($AC$100="","",IFERROR(INDEX($AZ$74:$AZ$119,MATCH($AH$100,$AY$74:$AY$119,0)),"AUTRE"))</f>
        <v/>
      </c>
      <c r="AJ100" s="482" t="str">
        <f>IF($AC$100="","",IFERROR(INDEX($BA$74:$BA$119,MATCH($AH$100,$AY$74:$AY$119,0)),1))</f>
        <v/>
      </c>
      <c r="AK100" s="482" t="str">
        <f t="shared" si="6"/>
        <v/>
      </c>
      <c r="AL100" s="477" t="str">
        <f>IF($AC$100="","",IFERROR(INDEX($BB$74:$BB$119,MATCH($AH$100,$AY$74:$AY$119,0)),$AH$100))</f>
        <v/>
      </c>
      <c r="AM100" s="483" t="str">
        <f t="shared" si="7"/>
        <v/>
      </c>
      <c r="AN100" s="484" t="str">
        <f t="shared" si="15"/>
        <v/>
      </c>
      <c r="AO100" s="473" t="str">
        <f t="shared" si="8"/>
        <v/>
      </c>
      <c r="AP100" s="473" t="str">
        <f t="shared" si="9"/>
        <v/>
      </c>
      <c r="AQ100" s="473" t="str">
        <f t="shared" si="10"/>
        <v/>
      </c>
      <c r="AR100" s="473" t="str">
        <f t="shared" si="11"/>
        <v/>
      </c>
      <c r="AS100" s="473" t="str">
        <f t="shared" si="12"/>
        <v/>
      </c>
      <c r="AT100" s="473" t="str">
        <f t="shared" si="13"/>
        <v/>
      </c>
      <c r="AU100" s="473" t="str">
        <f t="shared" si="14"/>
        <v/>
      </c>
      <c r="AY100" s="32" t="s">
        <v>316</v>
      </c>
      <c r="AZ100" s="488" t="s">
        <v>38</v>
      </c>
      <c r="BA100" s="489">
        <v>1</v>
      </c>
      <c r="BB100" s="419" t="s">
        <v>317</v>
      </c>
      <c r="BC100" s="271"/>
      <c r="BD100" s="279">
        <v>1</v>
      </c>
      <c r="BG100" s="271"/>
      <c r="BH100" s="271"/>
      <c r="BI100" s="271"/>
      <c r="BJ100" s="271"/>
      <c r="BK100" s="271"/>
      <c r="BL100" s="271"/>
    </row>
    <row r="101" spans="18:64" ht="21" customHeight="1" x14ac:dyDescent="0.25">
      <c r="R101" s="34" t="s">
        <v>6132</v>
      </c>
      <c r="S101" s="451"/>
      <c r="T101" s="32" t="s">
        <v>8125</v>
      </c>
      <c r="V101" s="475">
        <v>1</v>
      </c>
      <c r="W101" s="475" t="str">
        <f>IF($AC$101="","",$W$72)</f>
        <v/>
      </c>
      <c r="X101" s="476" t="str">
        <f>IF($AC$101="","",$X$72)</f>
        <v/>
      </c>
      <c r="Y101" s="477" t="str">
        <f>IF($X$101="","",$Y$72)</f>
        <v/>
      </c>
      <c r="Z101" s="477" t="str">
        <f>IF($X$101="","",$Z$72)</f>
        <v/>
      </c>
      <c r="AA101" s="477" t="str">
        <f>IF($AC$101="","",ROW($A$101)-ROW($A$72))</f>
        <v/>
      </c>
      <c r="AB101" s="478"/>
      <c r="AC101" s="34"/>
      <c r="AD101" s="356"/>
      <c r="AE101" s="18"/>
      <c r="AF101" s="19"/>
      <c r="AG101" s="480" t="str">
        <f t="shared" si="4"/>
        <v/>
      </c>
      <c r="AH101" s="481" t="str">
        <f t="shared" si="5"/>
        <v/>
      </c>
      <c r="AI101" s="477" t="str">
        <f>IF($AC$101="","",IFERROR(INDEX($AZ$74:$AZ$119,MATCH($AH$101,$AY$74:$AY$119,0)),"AUTRE"))</f>
        <v/>
      </c>
      <c r="AJ101" s="482" t="str">
        <f>IF($AC$101="","",IFERROR(INDEX($BA$74:$BA$119,MATCH($AH$101,$AY$74:$AY$119,0)),1))</f>
        <v/>
      </c>
      <c r="AK101" s="482" t="str">
        <f t="shared" si="6"/>
        <v/>
      </c>
      <c r="AL101" s="477" t="str">
        <f>IF($AC$101="","",IFERROR(INDEX($BB$74:$BB$119,MATCH($AH$101,$AY$74:$AY$119,0)),$AH$101))</f>
        <v/>
      </c>
      <c r="AM101" s="483" t="str">
        <f t="shared" si="7"/>
        <v/>
      </c>
      <c r="AN101" s="484" t="str">
        <f t="shared" si="15"/>
        <v/>
      </c>
      <c r="AO101" s="473" t="str">
        <f t="shared" si="8"/>
        <v/>
      </c>
      <c r="AP101" s="473" t="str">
        <f t="shared" si="9"/>
        <v/>
      </c>
      <c r="AQ101" s="473" t="str">
        <f t="shared" si="10"/>
        <v/>
      </c>
      <c r="AR101" s="473" t="str">
        <f t="shared" si="11"/>
        <v/>
      </c>
      <c r="AS101" s="473" t="str">
        <f t="shared" si="12"/>
        <v/>
      </c>
      <c r="AT101" s="473" t="str">
        <f t="shared" si="13"/>
        <v/>
      </c>
      <c r="AU101" s="473" t="str">
        <f t="shared" si="14"/>
        <v/>
      </c>
      <c r="AY101" s="32" t="s">
        <v>313</v>
      </c>
      <c r="AZ101" s="488" t="s">
        <v>38</v>
      </c>
      <c r="BA101" s="489">
        <v>1</v>
      </c>
      <c r="BB101" s="419" t="s">
        <v>314</v>
      </c>
      <c r="BC101" s="271"/>
      <c r="BD101" s="279">
        <v>1</v>
      </c>
      <c r="BG101" s="271"/>
      <c r="BH101" s="271"/>
      <c r="BI101" s="271"/>
      <c r="BJ101" s="271"/>
      <c r="BK101" s="271"/>
      <c r="BL101" s="271"/>
    </row>
    <row r="102" spans="18:64" ht="21" customHeight="1" x14ac:dyDescent="0.25">
      <c r="R102" s="25" t="s">
        <v>6133</v>
      </c>
      <c r="S102" s="451"/>
      <c r="T102" s="32" t="s">
        <v>8127</v>
      </c>
      <c r="V102" s="475">
        <v>1</v>
      </c>
      <c r="W102" s="475" t="str">
        <f>IF($AC$102="","",$W$72)</f>
        <v/>
      </c>
      <c r="X102" s="476" t="str">
        <f>IF($AC$102="","",$X$72)</f>
        <v/>
      </c>
      <c r="Y102" s="477" t="str">
        <f>IF($X$102="","",$Y$72)</f>
        <v/>
      </c>
      <c r="Z102" s="477" t="str">
        <f>IF($X$102="","",$Z$72)</f>
        <v/>
      </c>
      <c r="AA102" s="477" t="str">
        <f>IF($AC$102="","",ROW($A$102)-ROW($A$72))</f>
        <v/>
      </c>
      <c r="AB102" s="478"/>
      <c r="AC102" s="34"/>
      <c r="AD102" s="356"/>
      <c r="AE102" s="18"/>
      <c r="AF102" s="19"/>
      <c r="AG102" s="480" t="str">
        <f t="shared" si="4"/>
        <v/>
      </c>
      <c r="AH102" s="481" t="str">
        <f t="shared" si="5"/>
        <v/>
      </c>
      <c r="AI102" s="477" t="str">
        <f>IF($AC$102="","",IFERROR(INDEX($AZ$74:$AZ$119,MATCH($AH$102,$AY$74:$AY$119,0)),"AUTRE"))</f>
        <v/>
      </c>
      <c r="AJ102" s="482" t="str">
        <f>IF($AC$102="","",IFERROR(INDEX($BA$74:$BA$119,MATCH($AH$102,$AY$74:$AY$119,0)),1))</f>
        <v/>
      </c>
      <c r="AK102" s="482" t="str">
        <f t="shared" si="6"/>
        <v/>
      </c>
      <c r="AL102" s="477" t="str">
        <f>IF($AC$102="","",IFERROR(INDEX($BB$74:$BB$119,MATCH($AH$102,$AY$74:$AY$119,0)),$AH$102))</f>
        <v/>
      </c>
      <c r="AM102" s="483" t="str">
        <f t="shared" si="7"/>
        <v/>
      </c>
      <c r="AN102" s="484" t="str">
        <f t="shared" si="15"/>
        <v/>
      </c>
      <c r="AO102" s="473" t="str">
        <f t="shared" si="8"/>
        <v/>
      </c>
      <c r="AP102" s="473" t="str">
        <f t="shared" si="9"/>
        <v/>
      </c>
      <c r="AQ102" s="473" t="str">
        <f t="shared" si="10"/>
        <v/>
      </c>
      <c r="AR102" s="473" t="str">
        <f t="shared" si="11"/>
        <v/>
      </c>
      <c r="AS102" s="473" t="str">
        <f t="shared" si="12"/>
        <v/>
      </c>
      <c r="AT102" s="473" t="str">
        <f t="shared" si="13"/>
        <v/>
      </c>
      <c r="AU102" s="473" t="str">
        <f t="shared" si="14"/>
        <v/>
      </c>
      <c r="AY102" s="32" t="s">
        <v>307</v>
      </c>
      <c r="AZ102" s="488" t="s">
        <v>38</v>
      </c>
      <c r="BA102" s="489">
        <v>1</v>
      </c>
      <c r="BB102" s="419" t="s">
        <v>308</v>
      </c>
      <c r="BC102" s="271"/>
      <c r="BD102" s="279">
        <v>1</v>
      </c>
      <c r="BG102" s="271"/>
      <c r="BH102" s="271"/>
      <c r="BI102" s="271"/>
      <c r="BJ102" s="271"/>
      <c r="BK102" s="271"/>
      <c r="BL102" s="271"/>
    </row>
    <row r="103" spans="18:64" ht="21" customHeight="1" x14ac:dyDescent="0.25">
      <c r="R103" s="34" t="s">
        <v>476</v>
      </c>
      <c r="S103" s="451"/>
      <c r="T103" s="32" t="s">
        <v>320</v>
      </c>
      <c r="V103" s="475">
        <v>1</v>
      </c>
      <c r="W103" s="475" t="str">
        <f>IF($AC$103="","",$W$72)</f>
        <v/>
      </c>
      <c r="X103" s="476" t="str">
        <f>IF($AC$103="","",$X$72)</f>
        <v/>
      </c>
      <c r="Y103" s="477" t="str">
        <f>IF($X$103="","",$Y$72)</f>
        <v/>
      </c>
      <c r="Z103" s="477" t="str">
        <f>IF($X$103="","",$Z$72)</f>
        <v/>
      </c>
      <c r="AA103" s="477" t="str">
        <f>IF($AC$103="","",ROW($A$103)-ROW($A$72))</f>
        <v/>
      </c>
      <c r="AB103" s="478"/>
      <c r="AC103" s="34"/>
      <c r="AD103" s="356"/>
      <c r="AE103" s="18"/>
      <c r="AF103" s="19"/>
      <c r="AG103" s="480" t="str">
        <f t="shared" si="4"/>
        <v/>
      </c>
      <c r="AH103" s="481" t="str">
        <f t="shared" si="5"/>
        <v/>
      </c>
      <c r="AI103" s="477" t="str">
        <f>IF($AC$103="","",IFERROR(INDEX($AZ$74:$AZ$119,MATCH($AH$103,$AY$74:$AY$119,0)),"AUTRE"))</f>
        <v/>
      </c>
      <c r="AJ103" s="482" t="str">
        <f>IF($AC$103="","",IFERROR(INDEX($BA$74:$BA$119,MATCH($AH$103,$AY$74:$AY$119,0)),1))</f>
        <v/>
      </c>
      <c r="AK103" s="482" t="str">
        <f t="shared" si="6"/>
        <v/>
      </c>
      <c r="AL103" s="477" t="str">
        <f>IF($AC$103="","",IFERROR(INDEX($BB$74:$BB$119,MATCH($AH$103,$AY$74:$AY$119,0)),$AH$103))</f>
        <v/>
      </c>
      <c r="AM103" s="483" t="str">
        <f t="shared" si="7"/>
        <v/>
      </c>
      <c r="AN103" s="484" t="str">
        <f t="shared" si="15"/>
        <v/>
      </c>
      <c r="AO103" s="473" t="str">
        <f t="shared" si="8"/>
        <v/>
      </c>
      <c r="AP103" s="473" t="str">
        <f t="shared" si="9"/>
        <v/>
      </c>
      <c r="AQ103" s="473" t="str">
        <f t="shared" si="10"/>
        <v/>
      </c>
      <c r="AR103" s="473" t="str">
        <f t="shared" si="11"/>
        <v/>
      </c>
      <c r="AS103" s="473" t="str">
        <f t="shared" si="12"/>
        <v/>
      </c>
      <c r="AT103" s="473" t="str">
        <f t="shared" si="13"/>
        <v/>
      </c>
      <c r="AU103" s="473" t="str">
        <f t="shared" si="14"/>
        <v/>
      </c>
      <c r="AY103" s="32" t="s">
        <v>322</v>
      </c>
      <c r="AZ103" s="488" t="s">
        <v>38</v>
      </c>
      <c r="BA103" s="489">
        <v>1</v>
      </c>
      <c r="BB103" s="419" t="s">
        <v>323</v>
      </c>
      <c r="BC103" s="271"/>
      <c r="BD103" s="279">
        <v>1</v>
      </c>
      <c r="BG103" s="271"/>
      <c r="BH103" s="271"/>
      <c r="BI103" s="271"/>
      <c r="BJ103" s="271"/>
      <c r="BK103" s="271"/>
      <c r="BL103" s="271"/>
    </row>
    <row r="104" spans="18:64" ht="21" customHeight="1" x14ac:dyDescent="0.25">
      <c r="R104" s="34" t="s">
        <v>468</v>
      </c>
      <c r="S104" s="451"/>
      <c r="T104" s="32" t="s">
        <v>318</v>
      </c>
      <c r="V104" s="475">
        <v>1</v>
      </c>
      <c r="W104" s="475" t="str">
        <f>IF($AC$104="","",$W$72)</f>
        <v/>
      </c>
      <c r="X104" s="476" t="str">
        <f>IF($AC$104="","",$X$72)</f>
        <v/>
      </c>
      <c r="Y104" s="477" t="str">
        <f>IF($X$104="","",$Y$72)</f>
        <v/>
      </c>
      <c r="Z104" s="477" t="str">
        <f>IF($X$104="","",$Z$72)</f>
        <v/>
      </c>
      <c r="AA104" s="477" t="str">
        <f>IF($AC$104="","",ROW($A$104)-ROW($A$72))</f>
        <v/>
      </c>
      <c r="AB104" s="478"/>
      <c r="AC104" s="34"/>
      <c r="AD104" s="356"/>
      <c r="AE104" s="18"/>
      <c r="AF104" s="19"/>
      <c r="AG104" s="480" t="str">
        <f t="shared" si="4"/>
        <v/>
      </c>
      <c r="AH104" s="481" t="str">
        <f t="shared" si="5"/>
        <v/>
      </c>
      <c r="AI104" s="477" t="str">
        <f>IF($AC$104="","",IFERROR(INDEX($AZ$74:$AZ$119,MATCH($AH$104,$AY$74:$AY$119,0)),"AUTRE"))</f>
        <v/>
      </c>
      <c r="AJ104" s="482" t="str">
        <f>IF($AC$104="","",IFERROR(INDEX($BA$74:$BA$119,MATCH($AH$104,$AY$74:$AY$119,0)),1))</f>
        <v/>
      </c>
      <c r="AK104" s="482" t="str">
        <f t="shared" si="6"/>
        <v/>
      </c>
      <c r="AL104" s="477" t="str">
        <f>IF($AC$104="","",IFERROR(INDEX($BB$74:$BB$119,MATCH($AH$104,$AY$74:$AY$119,0)),$AH$104))</f>
        <v/>
      </c>
      <c r="AM104" s="483" t="str">
        <f t="shared" si="7"/>
        <v/>
      </c>
      <c r="AN104" s="484" t="str">
        <f t="shared" si="15"/>
        <v/>
      </c>
      <c r="AO104" s="473" t="str">
        <f t="shared" si="8"/>
        <v/>
      </c>
      <c r="AP104" s="473" t="str">
        <f t="shared" si="9"/>
        <v/>
      </c>
      <c r="AQ104" s="473" t="str">
        <f t="shared" si="10"/>
        <v/>
      </c>
      <c r="AR104" s="473" t="str">
        <f t="shared" si="11"/>
        <v/>
      </c>
      <c r="AS104" s="473" t="str">
        <f t="shared" si="12"/>
        <v/>
      </c>
      <c r="AT104" s="473" t="str">
        <f t="shared" si="13"/>
        <v/>
      </c>
      <c r="AU104" s="473" t="str">
        <f t="shared" si="14"/>
        <v/>
      </c>
      <c r="AY104" s="32" t="s">
        <v>305</v>
      </c>
      <c r="AZ104" s="488" t="s">
        <v>38</v>
      </c>
      <c r="BA104" s="489">
        <v>1</v>
      </c>
      <c r="BB104" s="419" t="s">
        <v>306</v>
      </c>
      <c r="BC104" s="271"/>
      <c r="BD104" s="279">
        <v>1</v>
      </c>
      <c r="BG104" s="271"/>
      <c r="BH104" s="271"/>
      <c r="BI104" s="271"/>
      <c r="BJ104" s="271"/>
      <c r="BK104" s="271"/>
      <c r="BL104" s="271"/>
    </row>
    <row r="105" spans="18:64" ht="21" customHeight="1" x14ac:dyDescent="0.25">
      <c r="R105" s="34" t="s">
        <v>473</v>
      </c>
      <c r="S105" s="451"/>
      <c r="T105" s="32" t="s">
        <v>316</v>
      </c>
      <c r="V105" s="475">
        <v>1</v>
      </c>
      <c r="W105" s="475" t="str">
        <f>IF($AC$105="","",$W$72)</f>
        <v>N° 39</v>
      </c>
      <c r="X105" s="476" t="str">
        <f>IF($AC$105="","",$X$72)</f>
        <v>GASPACHO</v>
      </c>
      <c r="Y105" s="477">
        <f>IF($X$105="","",$Y$72)</f>
        <v>56</v>
      </c>
      <c r="Z105" s="477">
        <f>IF($X$105="","",$Z$72)</f>
        <v>100</v>
      </c>
      <c r="AA105" s="477">
        <f>IF($AC$105="","",ROW($A$105)-ROW($A$72))</f>
        <v>33</v>
      </c>
      <c r="AB105" s="478"/>
      <c r="AC105" s="34" t="s">
        <v>457</v>
      </c>
      <c r="AD105" s="356"/>
      <c r="AE105" s="18">
        <v>6</v>
      </c>
      <c r="AF105" s="33" t="s">
        <v>465</v>
      </c>
      <c r="AG105" s="480">
        <f t="shared" si="4"/>
        <v>6</v>
      </c>
      <c r="AH105" s="481" t="str">
        <f t="shared" si="5"/>
        <v>GRILLE(S)</v>
      </c>
      <c r="AI105" s="477" t="str">
        <f>IF($AC$105="","",IFERROR(INDEX($AZ$74:$AZ$119,MATCH($AH$105,$AY$74:$AY$119,0)),"AUTRE"))</f>
        <v>AUTRE</v>
      </c>
      <c r="AJ105" s="482">
        <f>IF($AC$105="","",IFERROR(INDEX($BA$74:$BA$119,MATCH($AH$105,$AY$74:$AY$119,0)),1))</f>
        <v>1</v>
      </c>
      <c r="AK105" s="482">
        <f t="shared" si="6"/>
        <v>6</v>
      </c>
      <c r="AL105" s="477" t="str">
        <f>IF($AC$105="","",IFERROR(INDEX($BB$74:$BB$119,MATCH($AH$105,$AY$74:$AY$119,0)),$AH$105))</f>
        <v>grille(s)</v>
      </c>
      <c r="AM105" s="483" t="str">
        <f t="shared" si="7"/>
        <v>OK</v>
      </c>
      <c r="AN105" s="484">
        <f t="shared" si="15"/>
        <v>6</v>
      </c>
      <c r="AO105" s="473" t="str">
        <f t="shared" si="8"/>
        <v/>
      </c>
      <c r="AP105" s="473" t="str">
        <f t="shared" si="9"/>
        <v/>
      </c>
      <c r="AQ105" s="473" t="str">
        <f t="shared" si="10"/>
        <v/>
      </c>
      <c r="AR105" s="473" t="str">
        <f t="shared" si="11"/>
        <v/>
      </c>
      <c r="AS105" s="473" t="str">
        <f t="shared" si="12"/>
        <v/>
      </c>
      <c r="AT105" s="473" t="str">
        <f t="shared" si="13"/>
        <v/>
      </c>
      <c r="AU105" s="473" t="str">
        <f t="shared" si="14"/>
        <v/>
      </c>
      <c r="AY105" s="32" t="s">
        <v>8129</v>
      </c>
      <c r="AZ105" s="488" t="s">
        <v>38</v>
      </c>
      <c r="BA105" s="489">
        <v>1</v>
      </c>
      <c r="BB105" s="419" t="s">
        <v>8130</v>
      </c>
      <c r="BC105" s="271"/>
      <c r="BD105" s="279">
        <v>1</v>
      </c>
      <c r="BG105" s="271"/>
      <c r="BH105" s="271"/>
      <c r="BI105" s="271"/>
      <c r="BJ105" s="271"/>
      <c r="BK105" s="271"/>
      <c r="BL105" s="271"/>
    </row>
    <row r="106" spans="18:64" ht="21" customHeight="1" x14ac:dyDescent="0.25">
      <c r="R106" s="34" t="s">
        <v>497</v>
      </c>
      <c r="S106" s="451"/>
      <c r="T106" s="32" t="s">
        <v>313</v>
      </c>
      <c r="V106" s="475">
        <v>1</v>
      </c>
      <c r="W106" s="475" t="str">
        <f>IF($AC$106="","",$W$72)</f>
        <v>N° 39</v>
      </c>
      <c r="X106" s="476" t="str">
        <f>IF($AC$106="","",$X$72)</f>
        <v>GASPACHO</v>
      </c>
      <c r="Y106" s="477">
        <f>IF($X$106="","",$Y$72)</f>
        <v>56</v>
      </c>
      <c r="Z106" s="477">
        <f>IF($X$106="","",$Z$72)</f>
        <v>100</v>
      </c>
      <c r="AA106" s="477">
        <f>IF($AC$106="","",ROW($A$106)-ROW($A$72))</f>
        <v>34</v>
      </c>
      <c r="AB106" s="478"/>
      <c r="AC106" s="34" t="s">
        <v>498</v>
      </c>
      <c r="AD106" s="356"/>
      <c r="AE106" s="18">
        <v>1</v>
      </c>
      <c r="AF106" s="33" t="s">
        <v>462</v>
      </c>
      <c r="AG106" s="491">
        <f t="shared" si="4"/>
        <v>1</v>
      </c>
      <c r="AH106" s="481" t="str">
        <f t="shared" si="5"/>
        <v>BAC(S)</v>
      </c>
      <c r="AI106" s="477" t="str">
        <f>IF($AC$106="","",IFERROR(INDEX($AZ$74:$AZ$119,MATCH($AH$106,$AY$74:$AY$119,0)),"AUTRE"))</f>
        <v>AUTRE</v>
      </c>
      <c r="AJ106" s="482">
        <f>IF($AC$106="","",IFERROR(INDEX($BA$74:$BA$119,MATCH($AH$106,$AY$74:$AY$119,0)),1))</f>
        <v>1</v>
      </c>
      <c r="AK106" s="482">
        <f t="shared" si="6"/>
        <v>1</v>
      </c>
      <c r="AL106" s="477" t="str">
        <f>IF($AC$106="","",IFERROR(INDEX($BB$74:$BB$119,MATCH($AH$106,$AY$74:$AY$119,0)),$AH$106))</f>
        <v>bac(s)</v>
      </c>
      <c r="AM106" s="483" t="str">
        <f t="shared" si="7"/>
        <v>OK</v>
      </c>
      <c r="AN106" s="484">
        <f t="shared" si="15"/>
        <v>1</v>
      </c>
      <c r="AO106" s="473" t="str">
        <f t="shared" si="8"/>
        <v/>
      </c>
      <c r="AP106" s="473" t="str">
        <f t="shared" si="9"/>
        <v/>
      </c>
      <c r="AQ106" s="473" t="str">
        <f t="shared" si="10"/>
        <v/>
      </c>
      <c r="AR106" s="473" t="str">
        <f t="shared" si="11"/>
        <v/>
      </c>
      <c r="AS106" s="473" t="str">
        <f t="shared" si="12"/>
        <v/>
      </c>
      <c r="AT106" s="473" t="str">
        <f t="shared" si="13"/>
        <v/>
      </c>
      <c r="AU106" s="473" t="str">
        <f t="shared" si="14"/>
        <v/>
      </c>
      <c r="AY106" s="32" t="s">
        <v>8131</v>
      </c>
      <c r="AZ106" s="488" t="s">
        <v>38</v>
      </c>
      <c r="BA106" s="489">
        <v>1</v>
      </c>
      <c r="BB106" s="419" t="s">
        <v>8132</v>
      </c>
      <c r="BC106" s="271"/>
      <c r="BD106" s="279">
        <v>1</v>
      </c>
      <c r="BE106" s="271"/>
      <c r="BF106" s="271"/>
      <c r="BG106" s="271"/>
      <c r="BH106" s="271"/>
      <c r="BI106" s="271"/>
      <c r="BJ106" s="271"/>
      <c r="BK106" s="271"/>
      <c r="BL106" s="271"/>
    </row>
    <row r="107" spans="18:64" ht="30" customHeight="1" x14ac:dyDescent="0.25">
      <c r="R107" s="34" t="s">
        <v>470</v>
      </c>
      <c r="S107" s="451"/>
      <c r="T107" s="32" t="s">
        <v>307</v>
      </c>
      <c r="V107" s="453" t="s">
        <v>324</v>
      </c>
      <c r="W107" s="453" t="s">
        <v>7912</v>
      </c>
      <c r="X107" s="453" t="s">
        <v>326</v>
      </c>
      <c r="Y107" s="453" t="s">
        <v>327</v>
      </c>
      <c r="Z107" s="454" t="s">
        <v>7930</v>
      </c>
      <c r="AA107" s="453" t="s">
        <v>7937</v>
      </c>
      <c r="AB107" s="455" t="s">
        <v>39</v>
      </c>
      <c r="AC107" s="455" t="s">
        <v>338</v>
      </c>
      <c r="AD107" s="455" t="s">
        <v>8114</v>
      </c>
      <c r="AE107" s="455" t="s">
        <v>339</v>
      </c>
      <c r="AF107" s="455" t="s">
        <v>7997</v>
      </c>
      <c r="AG107" s="453" t="s">
        <v>8018</v>
      </c>
      <c r="AH107" s="453" t="s">
        <v>8023</v>
      </c>
      <c r="AI107" s="453" t="s">
        <v>330</v>
      </c>
      <c r="AJ107" s="453" t="s">
        <v>8031</v>
      </c>
      <c r="AK107" s="453" t="s">
        <v>8037</v>
      </c>
      <c r="AL107" s="453" t="s">
        <v>8041</v>
      </c>
      <c r="AM107" s="453" t="s">
        <v>343</v>
      </c>
      <c r="AN107" s="457" t="s">
        <v>8115</v>
      </c>
      <c r="AO107" s="457" t="s">
        <v>8116</v>
      </c>
      <c r="AP107" s="656" t="s">
        <v>8117</v>
      </c>
      <c r="AQ107" s="656"/>
      <c r="AR107" s="656"/>
      <c r="AS107" s="656"/>
      <c r="AT107" s="656"/>
      <c r="AU107" s="657"/>
      <c r="AY107" s="32" t="s">
        <v>309</v>
      </c>
      <c r="AZ107" s="488" t="s">
        <v>38</v>
      </c>
      <c r="BA107" s="489">
        <v>1</v>
      </c>
      <c r="BB107" s="419" t="s">
        <v>310</v>
      </c>
      <c r="BC107" s="271"/>
      <c r="BD107" s="279">
        <v>1</v>
      </c>
      <c r="BE107" s="271"/>
      <c r="BF107" s="271"/>
      <c r="BG107" s="271"/>
      <c r="BH107" s="271"/>
      <c r="BI107" s="271"/>
      <c r="BJ107" s="271"/>
      <c r="BK107" s="271"/>
      <c r="BL107" s="271"/>
    </row>
    <row r="108" spans="18:64" ht="30" customHeight="1" x14ac:dyDescent="0.25">
      <c r="R108" s="34" t="s">
        <v>477</v>
      </c>
      <c r="S108" s="451"/>
      <c r="T108" s="32" t="s">
        <v>322</v>
      </c>
      <c r="V108" s="459">
        <v>2</v>
      </c>
      <c r="W108" s="12" t="s">
        <v>244</v>
      </c>
      <c r="X108" s="492" t="s">
        <v>253</v>
      </c>
      <c r="Y108" s="15">
        <v>57</v>
      </c>
      <c r="Z108" s="463">
        <v>100</v>
      </c>
      <c r="AA108" s="464">
        <v>0</v>
      </c>
      <c r="AB108" s="493"/>
      <c r="AC108" s="494" t="s">
        <v>375</v>
      </c>
      <c r="AD108" s="495"/>
      <c r="AE108" s="13">
        <v>25</v>
      </c>
      <c r="AF108" s="20" t="s">
        <v>9</v>
      </c>
      <c r="AG108" s="467">
        <f t="shared" ref="AG108:AG142" si="16">IF($AC108="","",IF(LEN($AN108&amp;"")=0,"",$AN108))</f>
        <v>25</v>
      </c>
      <c r="AH108" s="468" t="str">
        <f t="shared" ref="AH108:AH142" si="17">IF($AC108="","",IF($AF108&lt;&gt;"",UPPER(TRIM(SUBSTITUTE(SUBSTITUTE($AF108&amp;"",CHAR(160)," ")," "," "))),$AP108))</f>
        <v>L</v>
      </c>
      <c r="AI108" s="469" t="str">
        <f>IF($AC$108="","",IFERROR(INDEX($AZ$74:$AZ$119,MATCH($AH$108,$AY$74:$AY$119,0)),"AUTRE"))</f>
        <v>VOLUME</v>
      </c>
      <c r="AJ108" s="470">
        <f>IF($AC$108="","",IFERROR(INDEX($BA$74:$BA$119,MATCH($AH$108,$AY$74:$AY$119,0)),1))</f>
        <v>1</v>
      </c>
      <c r="AK108" s="470">
        <f t="shared" ref="AK108:AK142" si="18">IF(OR(AG108="",AJ108=""),"",AG108*AJ108)</f>
        <v>25</v>
      </c>
      <c r="AL108" s="469" t="str">
        <f>IF($AC$108="","",IFERROR(INDEX($BB$74:$BB$119,MATCH($AH$108,$AY$74:$AY$119,0)),$AH$108))</f>
        <v>L</v>
      </c>
      <c r="AM108" s="471" t="str">
        <f t="shared" ref="AM108:AM142" si="19">IF($AC108="","",IF($AH108="QT. SUFFISANTE","OK",IF($AG108="","TEXTE",IF(NOT(ISNUMBER($AG108)),"QUANTITÉ À CONTRÔLER",IF(COUNTIF($AY$74:$AY$119,$AH108)=0,"UNITÉ À CONTRÔLER","OK")))))</f>
        <v>OK</v>
      </c>
      <c r="AN108" s="474">
        <f t="shared" ref="AN108:AN142" si="20">IF($AE108&lt;&gt;"",$AE108,IF($AD108="","",IF(ISNUMBER($AD108),$AD108,IF($AO108="QT",0,IF($AO108="","",IFERROR(IF(ISNUMBER(SEARCH("/",$AO108)),VALUE(TRIM(LEFT($AO108,SEARCH("/",$AO108)-1)))/VALUE(TRIM(MID($AO108,SEARCH("/",$AO108)+1,99))),VALUE(SUBSTITUTE($AO108,".",","))),""))))))</f>
        <v>25</v>
      </c>
      <c r="AO108" s="473" t="str">
        <f t="shared" ref="AO108:AO142" si="21">IF($AD108="","",IF(ISNUMBER($AD108),$AD108,IF(OR(LEFT($AQ108,3)="QT.",LEFT($AQ108,4)="QUAN"),"QT",IF($AR108=999,$AQ108,TRIM(LEFT($AQ108,$AR108-1))))))</f>
        <v/>
      </c>
      <c r="AP108" s="473" t="str">
        <f t="shared" ref="AP108:AP142" si="22">IF($AD108="","",IF(ISNUMBER($AD108),"",IF(OR(LEFT($AQ108,3)="QT.",LEFT($AQ108,4)="QUAN"),"QT. SUFFISANTE",IF($AO108="","",TRIM(MID($AQ108,LEN($AO108&amp;"")+1,999))))))</f>
        <v/>
      </c>
      <c r="AQ108" s="473" t="str">
        <f t="shared" ref="AQ108:AQ142" si="23">IF($AD108="","",UPPER(TRIM(SUBSTITUTE(SUBSTITUTE($AD108&amp;"",CHAR(160)," ")," "," "))))</f>
        <v/>
      </c>
      <c r="AR108" s="473" t="str">
        <f t="shared" ref="AR108:AR142" si="24">IF($AQ108="","",MIN($AS108,$AT108,$AU108))</f>
        <v/>
      </c>
      <c r="AS108" s="473" t="str">
        <f t="shared" ref="AS108:AS142" si="25">IF($AQ108="","",MIN(IFERROR(SEARCH("A",$AQ108),999),IFERROR(SEARCH("B",$AQ108),999),IFERROR(SEARCH("C",$AQ108),999),IFERROR(SEARCH("D",$AQ108),999),IFERROR(SEARCH("E",$AQ108),999),IFERROR(SEARCH("F",$AQ108),999),IFERROR(SEARCH("G",$AQ108),999),IFERROR(SEARCH("H",$AQ108),999),IFERROR(SEARCH("I",$AQ108),999)))</f>
        <v/>
      </c>
      <c r="AT108" s="473" t="str">
        <f t="shared" ref="AT108:AT142" si="26">IF($AQ108="","",MIN(IFERROR(SEARCH("J",$AQ108),999),IFERROR(SEARCH("K",$AQ108),999),IFERROR(SEARCH("L",$AQ108),999),IFERROR(SEARCH("M",$AQ108),999),IFERROR(SEARCH("N",$AQ108),999),IFERROR(SEARCH("O",$AQ108),999),IFERROR(SEARCH("P",$AQ108),999),IFERROR(SEARCH("Q",$AQ108),999),IFERROR(SEARCH("R",$AQ108),999)))</f>
        <v/>
      </c>
      <c r="AU108" s="473" t="str">
        <f t="shared" ref="AU108:AU142" si="27">IF($AQ108="","",MIN(IFERROR(SEARCH("S",$AQ108),999),IFERROR(SEARCH("T",$AQ108),999),IFERROR(SEARCH("U",$AQ108),999),IFERROR(SEARCH("V",$AQ108),999),IFERROR(SEARCH("W",$AQ108),999),IFERROR(SEARCH("X",$AQ108),999),IFERROR(SEARCH("Y",$AQ108),999),IFERROR(SEARCH("Z",$AQ108),999)))</f>
        <v/>
      </c>
      <c r="AY108" s="32" t="s">
        <v>311</v>
      </c>
      <c r="AZ108" s="488" t="s">
        <v>38</v>
      </c>
      <c r="BA108" s="489">
        <v>1</v>
      </c>
      <c r="BB108" s="419" t="s">
        <v>312</v>
      </c>
      <c r="BC108" s="271"/>
      <c r="BD108" s="279">
        <v>1</v>
      </c>
      <c r="BE108" s="271"/>
      <c r="BF108" s="271"/>
      <c r="BG108" s="271"/>
      <c r="BH108" s="271"/>
      <c r="BI108" s="271"/>
      <c r="BJ108" s="271"/>
      <c r="BK108" s="271"/>
      <c r="BL108" s="271"/>
    </row>
    <row r="109" spans="18:64" ht="21" customHeight="1" x14ac:dyDescent="0.25">
      <c r="S109" s="451"/>
      <c r="T109" s="32" t="s">
        <v>305</v>
      </c>
      <c r="V109" s="475">
        <f>$V$108</f>
        <v>2</v>
      </c>
      <c r="W109" s="475" t="str">
        <f>IF($AC$109="","",$W$108)</f>
        <v>N° 40</v>
      </c>
      <c r="X109" s="476" t="str">
        <f>IF($AC$109="","",$X$108)</f>
        <v>SOUPE DE POISSON</v>
      </c>
      <c r="Y109" s="477">
        <f>IF($X$109="","",$Y$108)</f>
        <v>57</v>
      </c>
      <c r="Z109" s="477">
        <f>IF($X$109="","",$Z$108)</f>
        <v>100</v>
      </c>
      <c r="AA109" s="477">
        <f>IF($AC$109="","",ROW($A$109)-ROW($A$108))</f>
        <v>1</v>
      </c>
      <c r="AB109" s="478"/>
      <c r="AC109" s="34" t="s">
        <v>139</v>
      </c>
      <c r="AD109" s="356"/>
      <c r="AE109" s="18">
        <v>3</v>
      </c>
      <c r="AF109" s="11" t="s">
        <v>7</v>
      </c>
      <c r="AG109" s="480">
        <f t="shared" si="16"/>
        <v>3</v>
      </c>
      <c r="AH109" s="481" t="str">
        <f t="shared" si="17"/>
        <v>KG</v>
      </c>
      <c r="AI109" s="477" t="str">
        <f>IF($AC$109="","",IFERROR(INDEX($AZ$74:$AZ$119,MATCH($AH$109,$AY$74:$AY$119,0)),"AUTRE"))</f>
        <v>MASSE</v>
      </c>
      <c r="AJ109" s="482">
        <f>IF($AC$109="","",IFERROR(INDEX($BA$74:$BA$119,MATCH($AH$109,$AY$74:$AY$119,0)),1))</f>
        <v>1</v>
      </c>
      <c r="AK109" s="482">
        <f t="shared" si="18"/>
        <v>3</v>
      </c>
      <c r="AL109" s="477" t="str">
        <f>IF($AC$109="","",IFERROR(INDEX($BB$74:$BB$119,MATCH($AH$109,$AY$74:$AY$119,0)),$AH$109))</f>
        <v>kg</v>
      </c>
      <c r="AM109" s="483" t="str">
        <f t="shared" si="19"/>
        <v>OK</v>
      </c>
      <c r="AN109" s="484">
        <f t="shared" si="20"/>
        <v>3</v>
      </c>
      <c r="AO109" s="473" t="str">
        <f t="shared" si="21"/>
        <v/>
      </c>
      <c r="AP109" s="473" t="str">
        <f t="shared" si="22"/>
        <v/>
      </c>
      <c r="AQ109" s="473" t="str">
        <f t="shared" si="23"/>
        <v/>
      </c>
      <c r="AR109" s="473" t="str">
        <f t="shared" si="24"/>
        <v/>
      </c>
      <c r="AS109" s="473" t="str">
        <f t="shared" si="25"/>
        <v/>
      </c>
      <c r="AT109" s="473" t="str">
        <f t="shared" si="26"/>
        <v/>
      </c>
      <c r="AU109" s="473" t="str">
        <f t="shared" si="27"/>
        <v/>
      </c>
      <c r="AY109" s="32" t="s">
        <v>8135</v>
      </c>
      <c r="AZ109" s="488" t="s">
        <v>38</v>
      </c>
      <c r="BA109" s="489">
        <v>1</v>
      </c>
      <c r="BB109" s="419" t="s">
        <v>8136</v>
      </c>
      <c r="BC109" s="271"/>
      <c r="BD109" s="279">
        <v>1</v>
      </c>
      <c r="BE109" s="271"/>
      <c r="BF109" s="271"/>
      <c r="BG109" s="271"/>
      <c r="BH109" s="271"/>
      <c r="BI109" s="271"/>
      <c r="BJ109" s="271"/>
      <c r="BK109" s="271"/>
      <c r="BL109" s="271"/>
    </row>
    <row r="110" spans="18:64" ht="21" customHeight="1" x14ac:dyDescent="0.25">
      <c r="R110" s="25" t="s">
        <v>6134</v>
      </c>
      <c r="S110" s="451"/>
      <c r="T110" s="32" t="s">
        <v>309</v>
      </c>
      <c r="V110" s="475">
        <v>2</v>
      </c>
      <c r="W110" s="475" t="str">
        <f>IF($AC$110="","",$W$108)</f>
        <v>N° 40</v>
      </c>
      <c r="X110" s="476" t="str">
        <f>IF($AC$110="","",$X$108)</f>
        <v>SOUPE DE POISSON</v>
      </c>
      <c r="Y110" s="477">
        <f>IF($X$110="","",$Y$108)</f>
        <v>57</v>
      </c>
      <c r="Z110" s="477">
        <f>IF($X$110="","",$Z$108)</f>
        <v>100</v>
      </c>
      <c r="AA110" s="477">
        <f>IF($AC$110="","",ROW($A$110)-ROW($A$108))</f>
        <v>2</v>
      </c>
      <c r="AB110" s="478"/>
      <c r="AC110" s="34" t="s">
        <v>245</v>
      </c>
      <c r="AD110" s="356"/>
      <c r="AE110" s="18">
        <v>2</v>
      </c>
      <c r="AF110" s="11" t="s">
        <v>7</v>
      </c>
      <c r="AG110" s="480">
        <f t="shared" si="16"/>
        <v>2</v>
      </c>
      <c r="AH110" s="481" t="str">
        <f t="shared" si="17"/>
        <v>KG</v>
      </c>
      <c r="AI110" s="477" t="str">
        <f>IF($AC$110="","",IFERROR(INDEX($AZ$74:$AZ$119,MATCH($AH$110,$AY$74:$AY$119,0)),"AUTRE"))</f>
        <v>MASSE</v>
      </c>
      <c r="AJ110" s="482">
        <f>IF($AC$110="","",IFERROR(INDEX($BA$74:$BA$119,MATCH($AH$110,$AY$74:$AY$119,0)),1))</f>
        <v>1</v>
      </c>
      <c r="AK110" s="482">
        <f t="shared" si="18"/>
        <v>2</v>
      </c>
      <c r="AL110" s="477" t="str">
        <f>IF($AC$110="","",IFERROR(INDEX($BB$74:$BB$119,MATCH($AH$110,$AY$74:$AY$119,0)),$AH$110))</f>
        <v>kg</v>
      </c>
      <c r="AM110" s="483" t="str">
        <f t="shared" si="19"/>
        <v>OK</v>
      </c>
      <c r="AN110" s="484">
        <f t="shared" si="20"/>
        <v>2</v>
      </c>
      <c r="AO110" s="473" t="str">
        <f t="shared" si="21"/>
        <v/>
      </c>
      <c r="AP110" s="473" t="str">
        <f t="shared" si="22"/>
        <v/>
      </c>
      <c r="AQ110" s="473" t="str">
        <f t="shared" si="23"/>
        <v/>
      </c>
      <c r="AR110" s="473" t="str">
        <f t="shared" si="24"/>
        <v/>
      </c>
      <c r="AS110" s="473" t="str">
        <f t="shared" si="25"/>
        <v/>
      </c>
      <c r="AT110" s="473" t="str">
        <f t="shared" si="26"/>
        <v/>
      </c>
      <c r="AU110" s="473" t="str">
        <f t="shared" si="27"/>
        <v/>
      </c>
      <c r="AY110" s="32" t="s">
        <v>8137</v>
      </c>
      <c r="AZ110" s="488" t="s">
        <v>38</v>
      </c>
      <c r="BA110" s="489">
        <v>1</v>
      </c>
      <c r="BB110" s="419" t="s">
        <v>8138</v>
      </c>
      <c r="BC110" s="271"/>
      <c r="BD110" s="279">
        <v>1</v>
      </c>
      <c r="BE110" s="271"/>
      <c r="BF110" s="271"/>
      <c r="BG110" s="271"/>
      <c r="BH110" s="271"/>
      <c r="BI110" s="271"/>
      <c r="BJ110" s="271"/>
      <c r="BK110" s="271"/>
      <c r="BL110" s="271"/>
    </row>
    <row r="111" spans="18:64" ht="21" customHeight="1" x14ac:dyDescent="0.25">
      <c r="R111" s="34" t="s">
        <v>481</v>
      </c>
      <c r="S111" s="451"/>
      <c r="T111" s="32" t="s">
        <v>311</v>
      </c>
      <c r="V111" s="475">
        <v>2</v>
      </c>
      <c r="W111" s="475" t="str">
        <f>IF($AC$111="","",$W$108)</f>
        <v>N° 40</v>
      </c>
      <c r="X111" s="476" t="str">
        <f>IF($AC$111="","",$X$108)</f>
        <v>SOUPE DE POISSON</v>
      </c>
      <c r="Y111" s="477">
        <f>IF($X$111="","",$Y$108)</f>
        <v>57</v>
      </c>
      <c r="Z111" s="477">
        <f>IF($X$111="","",$Z$108)</f>
        <v>100</v>
      </c>
      <c r="AA111" s="477">
        <f>IF($AC$111="","",ROW($A$111)-ROW($A$108))</f>
        <v>3</v>
      </c>
      <c r="AB111" s="478"/>
      <c r="AC111" s="34" t="s">
        <v>48</v>
      </c>
      <c r="AD111" s="356"/>
      <c r="AE111" s="18">
        <v>350</v>
      </c>
      <c r="AF111" s="16" t="s">
        <v>8</v>
      </c>
      <c r="AG111" s="480">
        <f t="shared" si="16"/>
        <v>350</v>
      </c>
      <c r="AH111" s="481" t="str">
        <f t="shared" si="17"/>
        <v>G</v>
      </c>
      <c r="AI111" s="477" t="str">
        <f>IF($AC$111="","",IFERROR(INDEX($AZ$74:$AZ$119,MATCH($AH$111,$AY$74:$AY$119,0)),"AUTRE"))</f>
        <v>MASSE</v>
      </c>
      <c r="AJ111" s="482">
        <f>IF($AC$111="","",IFERROR(INDEX($BA$74:$BA$119,MATCH($AH$111,$AY$74:$AY$119,0)),1))</f>
        <v>1E-3</v>
      </c>
      <c r="AK111" s="482">
        <f t="shared" si="18"/>
        <v>0.35000000000000003</v>
      </c>
      <c r="AL111" s="477" t="str">
        <f>IF($AC$111="","",IFERROR(INDEX($BB$74:$BB$119,MATCH($AH$111,$AY$74:$AY$119,0)),$AH$111))</f>
        <v>kg</v>
      </c>
      <c r="AM111" s="483" t="str">
        <f t="shared" si="19"/>
        <v>OK</v>
      </c>
      <c r="AN111" s="484">
        <f t="shared" si="20"/>
        <v>350</v>
      </c>
      <c r="AO111" s="473" t="str">
        <f t="shared" si="21"/>
        <v/>
      </c>
      <c r="AP111" s="473" t="str">
        <f t="shared" si="22"/>
        <v/>
      </c>
      <c r="AQ111" s="473" t="str">
        <f t="shared" si="23"/>
        <v/>
      </c>
      <c r="AR111" s="473" t="str">
        <f t="shared" si="24"/>
        <v/>
      </c>
      <c r="AS111" s="473" t="str">
        <f t="shared" si="25"/>
        <v/>
      </c>
      <c r="AT111" s="473" t="str">
        <f t="shared" si="26"/>
        <v/>
      </c>
      <c r="AU111" s="473" t="str">
        <f t="shared" si="27"/>
        <v/>
      </c>
      <c r="AY111" s="32" t="s">
        <v>8139</v>
      </c>
      <c r="AZ111" s="488" t="s">
        <v>38</v>
      </c>
      <c r="BA111" s="489">
        <v>1</v>
      </c>
      <c r="BB111" s="419" t="s">
        <v>8140</v>
      </c>
      <c r="BC111" s="271"/>
      <c r="BD111" s="279">
        <v>1</v>
      </c>
      <c r="BE111" s="271"/>
      <c r="BF111" s="271"/>
      <c r="BG111" s="271"/>
      <c r="BH111" s="271"/>
      <c r="BI111" s="271"/>
      <c r="BJ111" s="271"/>
      <c r="BK111" s="271"/>
      <c r="BL111" s="271"/>
    </row>
    <row r="112" spans="18:64" ht="21" customHeight="1" x14ac:dyDescent="0.25">
      <c r="R112" s="34" t="s">
        <v>475</v>
      </c>
      <c r="S112" s="451"/>
      <c r="T112" s="32" t="s">
        <v>8135</v>
      </c>
      <c r="V112" s="475">
        <v>2</v>
      </c>
      <c r="W112" s="475" t="str">
        <f>IF($AC$112="","",$W$108)</f>
        <v>N° 40</v>
      </c>
      <c r="X112" s="476" t="str">
        <f>IF($AC$112="","",$X$108)</f>
        <v>SOUPE DE POISSON</v>
      </c>
      <c r="Y112" s="477">
        <f>IF($X$112="","",$Y$108)</f>
        <v>57</v>
      </c>
      <c r="Z112" s="477">
        <f>IF($X$112="","",$Z$108)</f>
        <v>100</v>
      </c>
      <c r="AA112" s="477">
        <f>IF($AC$112="","",ROW($A$112)-ROW($A$108))</f>
        <v>4</v>
      </c>
      <c r="AB112" s="478"/>
      <c r="AC112" s="34" t="s">
        <v>246</v>
      </c>
      <c r="AD112" s="356"/>
      <c r="AE112" s="18">
        <v>750</v>
      </c>
      <c r="AF112" s="16" t="s">
        <v>8</v>
      </c>
      <c r="AG112" s="480">
        <f t="shared" si="16"/>
        <v>750</v>
      </c>
      <c r="AH112" s="481" t="str">
        <f t="shared" si="17"/>
        <v>G</v>
      </c>
      <c r="AI112" s="477" t="str">
        <f>IF($AC$112="","",IFERROR(INDEX($AZ$74:$AZ$119,MATCH($AH$112,$AY$74:$AY$119,0)),"AUTRE"))</f>
        <v>MASSE</v>
      </c>
      <c r="AJ112" s="482">
        <f>IF($AC$112="","",IFERROR(INDEX($BA$74:$BA$119,MATCH($AH$112,$AY$74:$AY$119,0)),1))</f>
        <v>1E-3</v>
      </c>
      <c r="AK112" s="482">
        <f t="shared" si="18"/>
        <v>0.75</v>
      </c>
      <c r="AL112" s="477" t="str">
        <f>IF($AC$112="","",IFERROR(INDEX($BB$74:$BB$119,MATCH($AH$112,$AY$74:$AY$119,0)),$AH$112))</f>
        <v>kg</v>
      </c>
      <c r="AM112" s="483" t="str">
        <f t="shared" si="19"/>
        <v>OK</v>
      </c>
      <c r="AN112" s="484">
        <f t="shared" si="20"/>
        <v>750</v>
      </c>
      <c r="AO112" s="473" t="str">
        <f t="shared" si="21"/>
        <v/>
      </c>
      <c r="AP112" s="473" t="str">
        <f t="shared" si="22"/>
        <v/>
      </c>
      <c r="AQ112" s="473" t="str">
        <f t="shared" si="23"/>
        <v/>
      </c>
      <c r="AR112" s="473" t="str">
        <f t="shared" si="24"/>
        <v/>
      </c>
      <c r="AS112" s="473" t="str">
        <f t="shared" si="25"/>
        <v/>
      </c>
      <c r="AT112" s="473" t="str">
        <f t="shared" si="26"/>
        <v/>
      </c>
      <c r="AU112" s="473" t="str">
        <f t="shared" si="27"/>
        <v/>
      </c>
      <c r="AY112" s="32" t="s">
        <v>8141</v>
      </c>
      <c r="AZ112" s="488" t="s">
        <v>38</v>
      </c>
      <c r="BA112" s="489">
        <v>1</v>
      </c>
      <c r="BB112" s="419" t="s">
        <v>8142</v>
      </c>
      <c r="BC112" s="271"/>
      <c r="BD112" s="279">
        <v>1</v>
      </c>
      <c r="BE112" s="271"/>
      <c r="BF112" s="271"/>
      <c r="BG112" s="271"/>
      <c r="BH112" s="271"/>
      <c r="BI112" s="271"/>
      <c r="BJ112" s="271"/>
      <c r="BK112" s="271"/>
      <c r="BL112" s="271"/>
    </row>
    <row r="113" spans="18:64" ht="21" customHeight="1" x14ac:dyDescent="0.25">
      <c r="R113" s="34" t="s">
        <v>457</v>
      </c>
      <c r="S113" s="451"/>
      <c r="T113" s="497" t="s">
        <v>462</v>
      </c>
      <c r="V113" s="475">
        <v>2</v>
      </c>
      <c r="W113" s="475" t="str">
        <f>IF($AC$113="","",$W$108)</f>
        <v>N° 40</v>
      </c>
      <c r="X113" s="476" t="str">
        <f>IF($AC$113="","",$X$108)</f>
        <v>SOUPE DE POISSON</v>
      </c>
      <c r="Y113" s="477">
        <f>IF($X$113="","",$Y$108)</f>
        <v>57</v>
      </c>
      <c r="Z113" s="477">
        <f>IF($X$113="","",$Z$108)</f>
        <v>100</v>
      </c>
      <c r="AA113" s="477">
        <f>IF($AC$113="","",ROW($A$113)-ROW($A$108))</f>
        <v>5</v>
      </c>
      <c r="AB113" s="478"/>
      <c r="AC113" s="34" t="s">
        <v>499</v>
      </c>
      <c r="AD113" s="356"/>
      <c r="AE113" s="18">
        <v>750</v>
      </c>
      <c r="AF113" s="16" t="s">
        <v>8</v>
      </c>
      <c r="AG113" s="480">
        <f t="shared" si="16"/>
        <v>750</v>
      </c>
      <c r="AH113" s="481" t="str">
        <f t="shared" si="17"/>
        <v>G</v>
      </c>
      <c r="AI113" s="477" t="str">
        <f>IF($AC$113="","",IFERROR(INDEX($AZ$74:$AZ$119,MATCH($AH$113,$AY$74:$AY$119,0)),"AUTRE"))</f>
        <v>MASSE</v>
      </c>
      <c r="AJ113" s="482">
        <f>IF($AC$113="","",IFERROR(INDEX($BA$74:$BA$119,MATCH($AH$113,$AY$74:$AY$119,0)),1))</f>
        <v>1E-3</v>
      </c>
      <c r="AK113" s="482">
        <f t="shared" si="18"/>
        <v>0.75</v>
      </c>
      <c r="AL113" s="477" t="str">
        <f>IF($AC$113="","",IFERROR(INDEX($BB$74:$BB$119,MATCH($AH$113,$AY$74:$AY$119,0)),$AH$113))</f>
        <v>kg</v>
      </c>
      <c r="AM113" s="483" t="str">
        <f t="shared" si="19"/>
        <v>OK</v>
      </c>
      <c r="AN113" s="484">
        <f t="shared" si="20"/>
        <v>750</v>
      </c>
      <c r="AO113" s="473" t="str">
        <f t="shared" si="21"/>
        <v/>
      </c>
      <c r="AP113" s="473" t="str">
        <f t="shared" si="22"/>
        <v/>
      </c>
      <c r="AQ113" s="473" t="str">
        <f t="shared" si="23"/>
        <v/>
      </c>
      <c r="AR113" s="473" t="str">
        <f t="shared" si="24"/>
        <v/>
      </c>
      <c r="AS113" s="473" t="str">
        <f t="shared" si="25"/>
        <v/>
      </c>
      <c r="AT113" s="473" t="str">
        <f t="shared" si="26"/>
        <v/>
      </c>
      <c r="AU113" s="473" t="str">
        <f t="shared" si="27"/>
        <v/>
      </c>
      <c r="AY113" s="32" t="s">
        <v>8143</v>
      </c>
      <c r="AZ113" s="488" t="s">
        <v>38</v>
      </c>
      <c r="BA113" s="489">
        <v>1</v>
      </c>
      <c r="BB113" s="419" t="s">
        <v>8144</v>
      </c>
      <c r="BC113" s="271"/>
      <c r="BD113" s="279">
        <v>1</v>
      </c>
      <c r="BE113" s="271"/>
      <c r="BF113" s="271"/>
      <c r="BG113" s="271"/>
      <c r="BH113" s="271"/>
      <c r="BI113" s="271"/>
      <c r="BJ113" s="271"/>
      <c r="BK113" s="271"/>
      <c r="BL113" s="271"/>
    </row>
    <row r="114" spans="18:64" ht="21" customHeight="1" x14ac:dyDescent="0.25">
      <c r="R114" s="34" t="s">
        <v>482</v>
      </c>
      <c r="S114" s="451"/>
      <c r="T114" s="497" t="s">
        <v>463</v>
      </c>
      <c r="V114" s="475">
        <v>2</v>
      </c>
      <c r="W114" s="475" t="str">
        <f>IF($AC$114="","",$W$108)</f>
        <v>N° 40</v>
      </c>
      <c r="X114" s="476" t="str">
        <f>IF($AC$114="","",$X$108)</f>
        <v>SOUPE DE POISSON</v>
      </c>
      <c r="Y114" s="477">
        <f>IF($X$114="","",$Y$108)</f>
        <v>57</v>
      </c>
      <c r="Z114" s="477">
        <f>IF($X$114="","",$Z$108)</f>
        <v>100</v>
      </c>
      <c r="AA114" s="477">
        <f>IF($AC$114="","",ROW($A$114)-ROW($A$108))</f>
        <v>6</v>
      </c>
      <c r="AB114" s="478"/>
      <c r="AC114" s="34" t="s">
        <v>247</v>
      </c>
      <c r="AD114" s="356"/>
      <c r="AE114" s="18">
        <v>150</v>
      </c>
      <c r="AF114" s="16" t="s">
        <v>8</v>
      </c>
      <c r="AG114" s="480">
        <f t="shared" si="16"/>
        <v>150</v>
      </c>
      <c r="AH114" s="481" t="str">
        <f t="shared" si="17"/>
        <v>G</v>
      </c>
      <c r="AI114" s="477" t="str">
        <f>IF($AC$114="","",IFERROR(INDEX($AZ$74:$AZ$119,MATCH($AH$114,$AY$74:$AY$119,0)),"AUTRE"))</f>
        <v>MASSE</v>
      </c>
      <c r="AJ114" s="482">
        <f>IF($AC$114="","",IFERROR(INDEX($BA$74:$BA$119,MATCH($AH$114,$AY$74:$AY$119,0)),1))</f>
        <v>1E-3</v>
      </c>
      <c r="AK114" s="482">
        <f t="shared" si="18"/>
        <v>0.15</v>
      </c>
      <c r="AL114" s="477" t="str">
        <f>IF($AC$114="","",IFERROR(INDEX($BB$74:$BB$119,MATCH($AH$114,$AY$74:$AY$119,0)),$AH$114))</f>
        <v>kg</v>
      </c>
      <c r="AM114" s="483" t="str">
        <f t="shared" si="19"/>
        <v>OK</v>
      </c>
      <c r="AN114" s="484">
        <f t="shared" si="20"/>
        <v>150</v>
      </c>
      <c r="AO114" s="473" t="str">
        <f t="shared" si="21"/>
        <v/>
      </c>
      <c r="AP114" s="473" t="str">
        <f t="shared" si="22"/>
        <v/>
      </c>
      <c r="AQ114" s="473" t="str">
        <f t="shared" si="23"/>
        <v/>
      </c>
      <c r="AR114" s="473" t="str">
        <f t="shared" si="24"/>
        <v/>
      </c>
      <c r="AS114" s="473" t="str">
        <f t="shared" si="25"/>
        <v/>
      </c>
      <c r="AT114" s="473" t="str">
        <f t="shared" si="26"/>
        <v/>
      </c>
      <c r="AU114" s="473" t="str">
        <f t="shared" si="27"/>
        <v/>
      </c>
      <c r="AY114" s="497" t="s">
        <v>8145</v>
      </c>
      <c r="AZ114" s="488" t="s">
        <v>38</v>
      </c>
      <c r="BA114" s="489">
        <v>1</v>
      </c>
      <c r="BB114" s="419" t="s">
        <v>8146</v>
      </c>
      <c r="BC114" s="271"/>
      <c r="BD114" s="279">
        <v>1</v>
      </c>
      <c r="BE114" s="271"/>
      <c r="BF114" s="271"/>
      <c r="BG114" s="271"/>
      <c r="BH114" s="271"/>
      <c r="BI114" s="271"/>
      <c r="BJ114" s="271"/>
      <c r="BK114" s="271"/>
      <c r="BL114" s="271"/>
    </row>
    <row r="115" spans="18:64" ht="21" customHeight="1" x14ac:dyDescent="0.25">
      <c r="R115" s="34" t="s">
        <v>496</v>
      </c>
      <c r="S115" s="451"/>
      <c r="T115" s="497" t="s">
        <v>8147</v>
      </c>
      <c r="V115" s="475">
        <v>2</v>
      </c>
      <c r="W115" s="475" t="str">
        <f>IF($AC$115="","",$W$108)</f>
        <v>N° 40</v>
      </c>
      <c r="X115" s="476" t="str">
        <f>IF($AC$115="","",$X$108)</f>
        <v>SOUPE DE POISSON</v>
      </c>
      <c r="Y115" s="477">
        <f>IF($X$115="","",$Y$108)</f>
        <v>57</v>
      </c>
      <c r="Z115" s="477">
        <f>IF($X$115="","",$Z$108)</f>
        <v>100</v>
      </c>
      <c r="AA115" s="477">
        <f>IF($AC$115="","",ROW($A$115)-ROW($A$108))</f>
        <v>7</v>
      </c>
      <c r="AB115" s="478"/>
      <c r="AC115" s="34" t="s">
        <v>248</v>
      </c>
      <c r="AD115" s="356"/>
      <c r="AE115" s="18">
        <v>500</v>
      </c>
      <c r="AF115" s="16" t="s">
        <v>8</v>
      </c>
      <c r="AG115" s="480">
        <f t="shared" si="16"/>
        <v>500</v>
      </c>
      <c r="AH115" s="481" t="str">
        <f t="shared" si="17"/>
        <v>G</v>
      </c>
      <c r="AI115" s="477" t="str">
        <f>IF($AC$115="","",IFERROR(INDEX($AZ$74:$AZ$119,MATCH($AH$115,$AY$74:$AY$119,0)),"AUTRE"))</f>
        <v>MASSE</v>
      </c>
      <c r="AJ115" s="482">
        <f>IF($AC$115="","",IFERROR(INDEX($BA$74:$BA$119,MATCH($AH$115,$AY$74:$AY$119,0)),1))</f>
        <v>1E-3</v>
      </c>
      <c r="AK115" s="482">
        <f t="shared" si="18"/>
        <v>0.5</v>
      </c>
      <c r="AL115" s="477" t="str">
        <f>IF($AC$115="","",IFERROR(INDEX($BB$74:$BB$119,MATCH($AH$115,$AY$74:$AY$119,0)),$AH$115))</f>
        <v>kg</v>
      </c>
      <c r="AM115" s="483" t="str">
        <f t="shared" si="19"/>
        <v>OK</v>
      </c>
      <c r="AN115" s="484">
        <f t="shared" si="20"/>
        <v>500</v>
      </c>
      <c r="AO115" s="473" t="str">
        <f t="shared" si="21"/>
        <v/>
      </c>
      <c r="AP115" s="473" t="str">
        <f t="shared" si="22"/>
        <v/>
      </c>
      <c r="AQ115" s="473" t="str">
        <f t="shared" si="23"/>
        <v/>
      </c>
      <c r="AR115" s="473" t="str">
        <f t="shared" si="24"/>
        <v/>
      </c>
      <c r="AS115" s="473" t="str">
        <f t="shared" si="25"/>
        <v/>
      </c>
      <c r="AT115" s="473" t="str">
        <f t="shared" si="26"/>
        <v/>
      </c>
      <c r="AU115" s="473" t="str">
        <f t="shared" si="27"/>
        <v/>
      </c>
      <c r="AY115" s="497" t="s">
        <v>462</v>
      </c>
      <c r="AZ115" s="488" t="s">
        <v>38</v>
      </c>
      <c r="BA115" s="489">
        <v>1</v>
      </c>
      <c r="BB115" s="419" t="s">
        <v>461</v>
      </c>
      <c r="BC115" s="271"/>
      <c r="BD115" s="279">
        <v>1</v>
      </c>
      <c r="BE115" s="271"/>
      <c r="BF115" s="271"/>
      <c r="BG115" s="271"/>
      <c r="BH115" s="271"/>
      <c r="BI115" s="271"/>
      <c r="BJ115" s="271"/>
      <c r="BK115" s="271"/>
      <c r="BL115" s="271"/>
    </row>
    <row r="116" spans="18:64" ht="21" customHeight="1" x14ac:dyDescent="0.25">
      <c r="R116" s="34" t="s">
        <v>483</v>
      </c>
      <c r="S116" s="451"/>
      <c r="T116" s="497" t="s">
        <v>465</v>
      </c>
      <c r="V116" s="475">
        <v>2</v>
      </c>
      <c r="W116" s="475" t="str">
        <f>IF($AC$116="","",$W$108)</f>
        <v>N° 40</v>
      </c>
      <c r="X116" s="476" t="str">
        <f>IF($AC$116="","",$X$108)</f>
        <v>SOUPE DE POISSON</v>
      </c>
      <c r="Y116" s="477">
        <f>IF($X$116="","",$Y$108)</f>
        <v>57</v>
      </c>
      <c r="Z116" s="477">
        <f>IF($X$116="","",$Z$108)</f>
        <v>100</v>
      </c>
      <c r="AA116" s="477">
        <f>IF($AC$116="","",ROW($A$116)-ROW($A$108))</f>
        <v>8</v>
      </c>
      <c r="AB116" s="478"/>
      <c r="AC116" s="34" t="s">
        <v>42</v>
      </c>
      <c r="AD116" s="356"/>
      <c r="AE116" s="18">
        <v>1</v>
      </c>
      <c r="AF116" s="22" t="s">
        <v>16</v>
      </c>
      <c r="AG116" s="480">
        <f t="shared" si="16"/>
        <v>1</v>
      </c>
      <c r="AH116" s="481" t="str">
        <f t="shared" si="17"/>
        <v>DEMI/L</v>
      </c>
      <c r="AI116" s="477" t="str">
        <f>IF($AC$116="","",IFERROR(INDEX($AZ$74:$AZ$119,MATCH($AH$116,$AY$74:$AY$119,0)),"AUTRE"))</f>
        <v>VOLUME</v>
      </c>
      <c r="AJ116" s="482">
        <f>IF($AC$116="","",IFERROR(INDEX($BA$74:$BA$119,MATCH($AH$116,$AY$74:$AY$119,0)),1))</f>
        <v>0.5</v>
      </c>
      <c r="AK116" s="482">
        <f t="shared" si="18"/>
        <v>0.5</v>
      </c>
      <c r="AL116" s="477" t="str">
        <f>IF($AC$116="","",IFERROR(INDEX($BB$74:$BB$119,MATCH($AH$116,$AY$74:$AY$119,0)),$AH$116))</f>
        <v>L</v>
      </c>
      <c r="AM116" s="483" t="str">
        <f t="shared" si="19"/>
        <v>OK</v>
      </c>
      <c r="AN116" s="484">
        <f t="shared" si="20"/>
        <v>1</v>
      </c>
      <c r="AO116" s="473" t="str">
        <f t="shared" si="21"/>
        <v/>
      </c>
      <c r="AP116" s="473" t="str">
        <f t="shared" si="22"/>
        <v/>
      </c>
      <c r="AQ116" s="473" t="str">
        <f t="shared" si="23"/>
        <v/>
      </c>
      <c r="AR116" s="473" t="str">
        <f t="shared" si="24"/>
        <v/>
      </c>
      <c r="AS116" s="473" t="str">
        <f t="shared" si="25"/>
        <v/>
      </c>
      <c r="AT116" s="473" t="str">
        <f t="shared" si="26"/>
        <v/>
      </c>
      <c r="AU116" s="473" t="str">
        <f t="shared" si="27"/>
        <v/>
      </c>
      <c r="AY116" s="497" t="s">
        <v>463</v>
      </c>
      <c r="AZ116" s="488" t="s">
        <v>38</v>
      </c>
      <c r="BA116" s="489">
        <v>1</v>
      </c>
      <c r="BB116" s="419" t="s">
        <v>464</v>
      </c>
      <c r="BC116" s="271"/>
      <c r="BD116" s="279">
        <v>1</v>
      </c>
      <c r="BE116" s="271"/>
      <c r="BF116" s="271"/>
      <c r="BG116" s="271"/>
      <c r="BH116" s="271"/>
      <c r="BI116" s="271"/>
      <c r="BJ116" s="271"/>
      <c r="BK116" s="271"/>
      <c r="BL116" s="271"/>
    </row>
    <row r="117" spans="18:64" ht="21" customHeight="1" x14ac:dyDescent="0.25">
      <c r="R117" s="34" t="s">
        <v>493</v>
      </c>
      <c r="S117" s="451"/>
      <c r="T117" s="497" t="s">
        <v>466</v>
      </c>
      <c r="V117" s="475">
        <v>2</v>
      </c>
      <c r="W117" s="475" t="str">
        <f>IF($AC$117="","",$W$108)</f>
        <v>N° 40</v>
      </c>
      <c r="X117" s="476" t="str">
        <f>IF($AC$117="","",$X$108)</f>
        <v>SOUPE DE POISSON</v>
      </c>
      <c r="Y117" s="477">
        <f>IF($X$117="","",$Y$108)</f>
        <v>57</v>
      </c>
      <c r="Z117" s="477">
        <f>IF($X$117="","",$Z$108)</f>
        <v>100</v>
      </c>
      <c r="AA117" s="477">
        <f>IF($AC$117="","",ROW($A$117)-ROW($A$108))</f>
        <v>9</v>
      </c>
      <c r="AB117" s="478"/>
      <c r="AC117" s="34" t="s">
        <v>249</v>
      </c>
      <c r="AD117" s="356"/>
      <c r="AE117" s="18">
        <v>10</v>
      </c>
      <c r="AF117" s="16" t="s">
        <v>8</v>
      </c>
      <c r="AG117" s="480">
        <f t="shared" si="16"/>
        <v>10</v>
      </c>
      <c r="AH117" s="481" t="str">
        <f t="shared" si="17"/>
        <v>G</v>
      </c>
      <c r="AI117" s="477" t="str">
        <f>IF($AC$117="","",IFERROR(INDEX($AZ$74:$AZ$119,MATCH($AH$117,$AY$74:$AY$119,0)),"AUTRE"))</f>
        <v>MASSE</v>
      </c>
      <c r="AJ117" s="482">
        <f>IF($AC$117="","",IFERROR(INDEX($BA$74:$BA$119,MATCH($AH$117,$AY$74:$AY$119,0)),1))</f>
        <v>1E-3</v>
      </c>
      <c r="AK117" s="482">
        <f t="shared" si="18"/>
        <v>0.01</v>
      </c>
      <c r="AL117" s="477" t="str">
        <f>IF($AC$117="","",IFERROR(INDEX($BB$74:$BB$119,MATCH($AH$117,$AY$74:$AY$119,0)),$AH$117))</f>
        <v>kg</v>
      </c>
      <c r="AM117" s="483" t="str">
        <f t="shared" si="19"/>
        <v>OK</v>
      </c>
      <c r="AN117" s="484">
        <f t="shared" si="20"/>
        <v>10</v>
      </c>
      <c r="AO117" s="473" t="str">
        <f t="shared" si="21"/>
        <v/>
      </c>
      <c r="AP117" s="473" t="str">
        <f t="shared" si="22"/>
        <v/>
      </c>
      <c r="AQ117" s="473" t="str">
        <f t="shared" si="23"/>
        <v/>
      </c>
      <c r="AR117" s="473" t="str">
        <f t="shared" si="24"/>
        <v/>
      </c>
      <c r="AS117" s="473" t="str">
        <f t="shared" si="25"/>
        <v/>
      </c>
      <c r="AT117" s="473" t="str">
        <f t="shared" si="26"/>
        <v/>
      </c>
      <c r="AU117" s="473" t="str">
        <f t="shared" si="27"/>
        <v/>
      </c>
      <c r="AY117" s="497" t="s">
        <v>8147</v>
      </c>
      <c r="AZ117" s="488" t="s">
        <v>38</v>
      </c>
      <c r="BA117" s="489">
        <v>1</v>
      </c>
      <c r="BB117" s="419" t="s">
        <v>8148</v>
      </c>
      <c r="BC117" s="271"/>
      <c r="BD117" s="279">
        <v>1</v>
      </c>
      <c r="BE117" s="271"/>
      <c r="BF117" s="271"/>
      <c r="BG117" s="271"/>
      <c r="BH117" s="271"/>
      <c r="BI117" s="271"/>
      <c r="BJ117" s="271"/>
      <c r="BK117" s="271"/>
      <c r="BL117" s="271"/>
    </row>
    <row r="118" spans="18:64" ht="21" customHeight="1" x14ac:dyDescent="0.25">
      <c r="R118" s="34" t="s">
        <v>494</v>
      </c>
      <c r="S118" s="451"/>
      <c r="T118" s="440" t="s">
        <v>8110</v>
      </c>
      <c r="V118" s="475">
        <v>2</v>
      </c>
      <c r="W118" s="475" t="str">
        <f>IF($AC$118="","",$W$108)</f>
        <v>N° 40</v>
      </c>
      <c r="X118" s="476" t="str">
        <f>IF($AC$118="","",$X$108)</f>
        <v>SOUPE DE POISSON</v>
      </c>
      <c r="Y118" s="477">
        <f>IF($X$118="","",$Y$108)</f>
        <v>57</v>
      </c>
      <c r="Z118" s="477">
        <f>IF($X$118="","",$Z$108)</f>
        <v>100</v>
      </c>
      <c r="AA118" s="477">
        <f>IF($AC$118="","",ROW($A$118)-ROW($A$108))</f>
        <v>10</v>
      </c>
      <c r="AB118" s="478"/>
      <c r="AC118" s="34" t="s">
        <v>250</v>
      </c>
      <c r="AD118" s="356"/>
      <c r="AE118" s="18">
        <v>5</v>
      </c>
      <c r="AF118" s="16" t="s">
        <v>8</v>
      </c>
      <c r="AG118" s="480">
        <f t="shared" si="16"/>
        <v>5</v>
      </c>
      <c r="AH118" s="481" t="str">
        <f t="shared" si="17"/>
        <v>G</v>
      </c>
      <c r="AI118" s="477" t="str">
        <f>IF($AC$118="","",IFERROR(INDEX($AZ$74:$AZ$119,MATCH($AH$118,$AY$74:$AY$119,0)),"AUTRE"))</f>
        <v>MASSE</v>
      </c>
      <c r="AJ118" s="482">
        <f>IF($AC$118="","",IFERROR(INDEX($BA$74:$BA$119,MATCH($AH$118,$AY$74:$AY$119,0)),1))</f>
        <v>1E-3</v>
      </c>
      <c r="AK118" s="482">
        <f t="shared" si="18"/>
        <v>5.0000000000000001E-3</v>
      </c>
      <c r="AL118" s="477" t="str">
        <f>IF($AC$118="","",IFERROR(INDEX($BB$74:$BB$119,MATCH($AH$118,$AY$74:$AY$119,0)),$AH$118))</f>
        <v>kg</v>
      </c>
      <c r="AM118" s="483" t="str">
        <f t="shared" si="19"/>
        <v>OK</v>
      </c>
      <c r="AN118" s="484">
        <f t="shared" si="20"/>
        <v>5</v>
      </c>
      <c r="AO118" s="473" t="str">
        <f t="shared" si="21"/>
        <v/>
      </c>
      <c r="AP118" s="473" t="str">
        <f t="shared" si="22"/>
        <v/>
      </c>
      <c r="AQ118" s="473" t="str">
        <f t="shared" si="23"/>
        <v/>
      </c>
      <c r="AR118" s="473" t="str">
        <f t="shared" si="24"/>
        <v/>
      </c>
      <c r="AS118" s="473" t="str">
        <f t="shared" si="25"/>
        <v/>
      </c>
      <c r="AT118" s="473" t="str">
        <f t="shared" si="26"/>
        <v/>
      </c>
      <c r="AU118" s="473" t="str">
        <f t="shared" si="27"/>
        <v/>
      </c>
      <c r="AY118" s="497" t="s">
        <v>465</v>
      </c>
      <c r="AZ118" s="488" t="s">
        <v>38</v>
      </c>
      <c r="BA118" s="489">
        <v>1</v>
      </c>
      <c r="BB118" s="419" t="s">
        <v>460</v>
      </c>
      <c r="BC118" s="271"/>
      <c r="BD118" s="279">
        <v>1</v>
      </c>
      <c r="BE118" s="271"/>
      <c r="BF118" s="271"/>
      <c r="BG118" s="271"/>
      <c r="BH118" s="271"/>
      <c r="BI118" s="271"/>
      <c r="BJ118" s="271"/>
      <c r="BK118" s="271"/>
      <c r="BL118" s="271"/>
    </row>
    <row r="119" spans="18:64" ht="21" customHeight="1" x14ac:dyDescent="0.25">
      <c r="S119" s="451"/>
      <c r="T119" s="452" t="s">
        <v>8113</v>
      </c>
      <c r="V119" s="475">
        <v>2</v>
      </c>
      <c r="W119" s="475" t="str">
        <f>IF($AC$119="","",$W$108)</f>
        <v>N° 40</v>
      </c>
      <c r="X119" s="476" t="str">
        <f>IF($AC$119="","",$X$108)</f>
        <v>SOUPE DE POISSON</v>
      </c>
      <c r="Y119" s="477">
        <f>IF($X$119="","",$Y$108)</f>
        <v>57</v>
      </c>
      <c r="Z119" s="477">
        <f>IF($X$119="","",$Z$108)</f>
        <v>100</v>
      </c>
      <c r="AA119" s="477">
        <f>IF($AC$119="","",ROW($A$119)-ROW($A$108))</f>
        <v>11</v>
      </c>
      <c r="AB119" s="478"/>
      <c r="AC119" s="34" t="s">
        <v>251</v>
      </c>
      <c r="AD119" s="356"/>
      <c r="AE119" s="18">
        <v>15</v>
      </c>
      <c r="AF119" s="16" t="s">
        <v>8</v>
      </c>
      <c r="AG119" s="480">
        <f t="shared" si="16"/>
        <v>15</v>
      </c>
      <c r="AH119" s="481" t="str">
        <f t="shared" si="17"/>
        <v>G</v>
      </c>
      <c r="AI119" s="477" t="str">
        <f>IF($AC$119="","",IFERROR(INDEX($AZ$74:$AZ$119,MATCH($AH$119,$AY$74:$AY$119,0)),"AUTRE"))</f>
        <v>MASSE</v>
      </c>
      <c r="AJ119" s="482">
        <f>IF($AC$119="","",IFERROR(INDEX($BA$74:$BA$119,MATCH($AH$119,$AY$74:$AY$119,0)),1))</f>
        <v>1E-3</v>
      </c>
      <c r="AK119" s="482">
        <f t="shared" si="18"/>
        <v>1.4999999999999999E-2</v>
      </c>
      <c r="AL119" s="477" t="str">
        <f>IF($AC$119="","",IFERROR(INDEX($BB$74:$BB$119,MATCH($AH$119,$AY$74:$AY$119,0)),$AH$119))</f>
        <v>kg</v>
      </c>
      <c r="AM119" s="483" t="str">
        <f t="shared" si="19"/>
        <v>OK</v>
      </c>
      <c r="AN119" s="484">
        <f t="shared" si="20"/>
        <v>15</v>
      </c>
      <c r="AO119" s="473" t="str">
        <f t="shared" si="21"/>
        <v/>
      </c>
      <c r="AP119" s="473" t="str">
        <f t="shared" si="22"/>
        <v/>
      </c>
      <c r="AQ119" s="473" t="str">
        <f t="shared" si="23"/>
        <v/>
      </c>
      <c r="AR119" s="473" t="str">
        <f t="shared" si="24"/>
        <v/>
      </c>
      <c r="AS119" s="473" t="str">
        <f t="shared" si="25"/>
        <v/>
      </c>
      <c r="AT119" s="473" t="str">
        <f t="shared" si="26"/>
        <v/>
      </c>
      <c r="AU119" s="473" t="str">
        <f t="shared" si="27"/>
        <v/>
      </c>
      <c r="AY119" s="497" t="s">
        <v>466</v>
      </c>
      <c r="AZ119" s="488" t="s">
        <v>38</v>
      </c>
      <c r="BA119" s="489">
        <v>1</v>
      </c>
      <c r="BB119" s="419" t="s">
        <v>467</v>
      </c>
      <c r="BC119" s="271"/>
      <c r="BD119" s="279">
        <v>1</v>
      </c>
      <c r="BE119" s="271"/>
      <c r="BF119" s="271"/>
      <c r="BG119" s="271"/>
      <c r="BH119" s="271"/>
      <c r="BI119" s="271"/>
      <c r="BJ119" s="271"/>
      <c r="BK119" s="271"/>
      <c r="BL119" s="271"/>
    </row>
    <row r="120" spans="18:64" ht="21" customHeight="1" x14ac:dyDescent="0.25">
      <c r="R120" s="25" t="s">
        <v>6115</v>
      </c>
      <c r="S120" s="451"/>
      <c r="T120" s="14" t="s">
        <v>7</v>
      </c>
      <c r="V120" s="475">
        <v>2</v>
      </c>
      <c r="W120" s="475" t="str">
        <f>IF($AC$120="","",$W$108)</f>
        <v>N° 40</v>
      </c>
      <c r="X120" s="476" t="str">
        <f>IF($AC$120="","",$X$108)</f>
        <v>SOUPE DE POISSON</v>
      </c>
      <c r="Y120" s="477">
        <f>IF($X$120="","",$Y$108)</f>
        <v>57</v>
      </c>
      <c r="Z120" s="477">
        <f>IF($X$120="","",$Z$108)</f>
        <v>100</v>
      </c>
      <c r="AA120" s="477">
        <f>IF($AC$120="","",ROW($A$120)-ROW($A$108))</f>
        <v>12</v>
      </c>
      <c r="AB120" s="478"/>
      <c r="AC120" s="34" t="s">
        <v>252</v>
      </c>
      <c r="AD120" s="356"/>
      <c r="AE120" s="18">
        <v>15</v>
      </c>
      <c r="AF120" s="16" t="s">
        <v>8</v>
      </c>
      <c r="AG120" s="480">
        <f t="shared" si="16"/>
        <v>15</v>
      </c>
      <c r="AH120" s="481" t="str">
        <f t="shared" si="17"/>
        <v>G</v>
      </c>
      <c r="AI120" s="477" t="str">
        <f>IF($AC$120="","",IFERROR(INDEX($AZ$74:$AZ$119,MATCH($AH$120,$AY$74:$AY$119,0)),"AUTRE"))</f>
        <v>MASSE</v>
      </c>
      <c r="AJ120" s="482">
        <f>IF($AC$120="","",IFERROR(INDEX($BA$74:$BA$119,MATCH($AH$120,$AY$74:$AY$119,0)),1))</f>
        <v>1E-3</v>
      </c>
      <c r="AK120" s="482">
        <f t="shared" si="18"/>
        <v>1.4999999999999999E-2</v>
      </c>
      <c r="AL120" s="477" t="str">
        <f>IF($AC$120="","",IFERROR(INDEX($BB$74:$BB$119,MATCH($AH$120,$AY$74:$AY$119,0)),$AH$120))</f>
        <v>kg</v>
      </c>
      <c r="AM120" s="483" t="str">
        <f t="shared" si="19"/>
        <v>OK</v>
      </c>
      <c r="AN120" s="484">
        <f t="shared" si="20"/>
        <v>15</v>
      </c>
      <c r="AO120" s="473" t="str">
        <f t="shared" si="21"/>
        <v/>
      </c>
      <c r="AP120" s="473" t="str">
        <f t="shared" si="22"/>
        <v/>
      </c>
      <c r="AQ120" s="473" t="str">
        <f t="shared" si="23"/>
        <v/>
      </c>
      <c r="AR120" s="473" t="str">
        <f t="shared" si="24"/>
        <v/>
      </c>
      <c r="AS120" s="473" t="str">
        <f t="shared" si="25"/>
        <v/>
      </c>
      <c r="AT120" s="473" t="str">
        <f t="shared" si="26"/>
        <v/>
      </c>
      <c r="AU120" s="473" t="str">
        <f t="shared" si="27"/>
        <v/>
      </c>
      <c r="AY120" s="498"/>
      <c r="AZ120" s="498"/>
      <c r="BA120" s="498"/>
      <c r="BB120" s="448" t="str">
        <f>ADDRESS(ROW(),COLUMN(),4)</f>
        <v>BB120</v>
      </c>
      <c r="BC120" s="271"/>
      <c r="BD120" s="279">
        <v>1</v>
      </c>
      <c r="BE120" s="271"/>
      <c r="BF120" s="271"/>
      <c r="BG120" s="271"/>
      <c r="BH120" s="271"/>
      <c r="BI120" s="271"/>
      <c r="BJ120" s="271"/>
      <c r="BK120" s="271"/>
      <c r="BL120" s="271"/>
    </row>
    <row r="121" spans="18:64" ht="21" customHeight="1" x14ac:dyDescent="0.25">
      <c r="R121" s="34" t="s">
        <v>471</v>
      </c>
      <c r="S121" s="451"/>
      <c r="T121" s="27" t="s">
        <v>8</v>
      </c>
      <c r="V121" s="475">
        <v>2</v>
      </c>
      <c r="W121" s="475" t="str">
        <f>IF($AC$121="","",$W$108)</f>
        <v>N° 40</v>
      </c>
      <c r="X121" s="476" t="str">
        <f>IF($AC$121="","",$X$108)</f>
        <v>SOUPE DE POISSON</v>
      </c>
      <c r="Y121" s="477">
        <f>IF($X$121="","",$Y$108)</f>
        <v>57</v>
      </c>
      <c r="Z121" s="477">
        <f>IF($X$121="","",$Z$108)</f>
        <v>100</v>
      </c>
      <c r="AA121" s="477">
        <f>IF($AC$121="","",ROW($A$121)-ROW($A$108))</f>
        <v>13</v>
      </c>
      <c r="AB121" s="478"/>
      <c r="AC121" s="34" t="s">
        <v>60</v>
      </c>
      <c r="AD121" s="356"/>
      <c r="AE121" s="23" t="s">
        <v>33</v>
      </c>
      <c r="AF121" s="19"/>
      <c r="AG121" s="480" t="str">
        <f t="shared" si="16"/>
        <v>QT. SUFFISANTE</v>
      </c>
      <c r="AH121" s="481" t="str">
        <f t="shared" si="17"/>
        <v/>
      </c>
      <c r="AI121" s="477" t="str">
        <f>IF($AC$121="","",IFERROR(INDEX($AZ$74:$AZ$119,MATCH($AH$121,$AY$74:$AY$119,0)),"AUTRE"))</f>
        <v>AUTRE</v>
      </c>
      <c r="AJ121" s="482">
        <f>IF($AC$121="","",IFERROR(INDEX($BA$74:$BA$119,MATCH($AH$121,$AY$74:$AY$119,0)),1))</f>
        <v>1</v>
      </c>
      <c r="AK121" s="482" t="e">
        <f t="shared" si="18"/>
        <v>#VALUE!</v>
      </c>
      <c r="AL121" s="477" t="str">
        <f>IF($AC$121="","",IFERROR(INDEX($BB$74:$BB$119,MATCH($AH$121,$AY$74:$AY$119,0)),$AH$121))</f>
        <v/>
      </c>
      <c r="AM121" s="483" t="str">
        <f t="shared" si="19"/>
        <v>QUANTITÉ À CONTRÔLER</v>
      </c>
      <c r="AN121" s="484" t="str">
        <f t="shared" si="20"/>
        <v>QT. SUFFISANTE</v>
      </c>
      <c r="AO121" s="473" t="str">
        <f t="shared" si="21"/>
        <v/>
      </c>
      <c r="AP121" s="473" t="str">
        <f t="shared" si="22"/>
        <v/>
      </c>
      <c r="AQ121" s="473" t="str">
        <f t="shared" si="23"/>
        <v/>
      </c>
      <c r="AR121" s="473" t="str">
        <f t="shared" si="24"/>
        <v/>
      </c>
      <c r="AS121" s="473" t="str">
        <f t="shared" si="25"/>
        <v/>
      </c>
      <c r="AT121" s="473" t="str">
        <f t="shared" si="26"/>
        <v/>
      </c>
      <c r="AU121" s="473" t="str">
        <f t="shared" si="27"/>
        <v/>
      </c>
      <c r="AY121" s="271"/>
      <c r="AZ121" s="14" t="s">
        <v>7</v>
      </c>
      <c r="BA121" s="25" t="s">
        <v>6115</v>
      </c>
      <c r="BB121" s="499"/>
      <c r="BC121" s="271"/>
      <c r="BD121" s="279">
        <v>1</v>
      </c>
      <c r="BE121" s="271"/>
      <c r="BF121" s="271"/>
      <c r="BG121" s="271"/>
      <c r="BH121" s="271"/>
      <c r="BI121" s="271"/>
      <c r="BJ121" s="271"/>
      <c r="BK121" s="271"/>
      <c r="BL121" s="271"/>
    </row>
    <row r="122" spans="18:64" ht="21" customHeight="1" x14ac:dyDescent="0.25">
      <c r="R122" s="34" t="s">
        <v>472</v>
      </c>
      <c r="S122" s="451"/>
      <c r="T122" s="28" t="s">
        <v>13</v>
      </c>
      <c r="V122" s="475">
        <v>2</v>
      </c>
      <c r="W122" s="475" t="str">
        <f>IF($AC$122="","",$W$108)</f>
        <v>N° 40</v>
      </c>
      <c r="X122" s="476" t="str">
        <f>IF($AC$122="","",$X$108)</f>
        <v>SOUPE DE POISSON</v>
      </c>
      <c r="Y122" s="477">
        <f>IF($X$122="","",$Y$108)</f>
        <v>57</v>
      </c>
      <c r="Z122" s="477">
        <f>IF($X$122="","",$Z$108)</f>
        <v>100</v>
      </c>
      <c r="AA122" s="477">
        <f>IF($AC$122="","",ROW($A$122)-ROW($A$108))</f>
        <v>14</v>
      </c>
      <c r="AB122" s="478"/>
      <c r="AC122" s="34" t="s">
        <v>250</v>
      </c>
      <c r="AD122" s="356"/>
      <c r="AE122" s="18">
        <v>5</v>
      </c>
      <c r="AF122" s="16" t="s">
        <v>8</v>
      </c>
      <c r="AG122" s="480">
        <f t="shared" si="16"/>
        <v>5</v>
      </c>
      <c r="AH122" s="481" t="str">
        <f t="shared" si="17"/>
        <v>G</v>
      </c>
      <c r="AI122" s="477" t="str">
        <f>IF($AC$122="","",IFERROR(INDEX($AZ$74:$AZ$119,MATCH($AH$122,$AY$74:$AY$119,0)),"AUTRE"))</f>
        <v>MASSE</v>
      </c>
      <c r="AJ122" s="482">
        <f>IF($AC$122="","",IFERROR(INDEX($BA$74:$BA$119,MATCH($AH$122,$AY$74:$AY$119,0)),1))</f>
        <v>1E-3</v>
      </c>
      <c r="AK122" s="482">
        <f t="shared" si="18"/>
        <v>5.0000000000000001E-3</v>
      </c>
      <c r="AL122" s="477" t="str">
        <f>IF($AC$122="","",IFERROR(INDEX($BB$74:$BB$119,MATCH($AH$122,$AY$74:$AY$119,0)),$AH$122))</f>
        <v>kg</v>
      </c>
      <c r="AM122" s="483" t="str">
        <f t="shared" si="19"/>
        <v>OK</v>
      </c>
      <c r="AN122" s="484">
        <f t="shared" si="20"/>
        <v>5</v>
      </c>
      <c r="AO122" s="473" t="str">
        <f t="shared" si="21"/>
        <v/>
      </c>
      <c r="AP122" s="473" t="str">
        <f t="shared" si="22"/>
        <v/>
      </c>
      <c r="AQ122" s="473" t="str">
        <f t="shared" si="23"/>
        <v/>
      </c>
      <c r="AR122" s="473" t="str">
        <f t="shared" si="24"/>
        <v/>
      </c>
      <c r="AS122" s="473" t="str">
        <f t="shared" si="25"/>
        <v/>
      </c>
      <c r="AT122" s="473" t="str">
        <f t="shared" si="26"/>
        <v/>
      </c>
      <c r="AU122" s="473" t="str">
        <f t="shared" si="27"/>
        <v/>
      </c>
      <c r="AZ122" s="27" t="s">
        <v>8</v>
      </c>
      <c r="BA122" s="34" t="s">
        <v>471</v>
      </c>
      <c r="BB122" s="500"/>
      <c r="BC122" s="271"/>
      <c r="BD122" s="279">
        <v>1</v>
      </c>
      <c r="BE122" s="271"/>
      <c r="BF122" s="271"/>
      <c r="BG122" s="271"/>
      <c r="BH122" s="271"/>
      <c r="BI122" s="271"/>
      <c r="BJ122" s="271"/>
      <c r="BK122" s="271"/>
      <c r="BL122" s="271"/>
    </row>
    <row r="123" spans="18:64" ht="21" customHeight="1" x14ac:dyDescent="0.25">
      <c r="R123" s="34" t="s">
        <v>6112</v>
      </c>
      <c r="S123" s="451"/>
      <c r="T123" s="28" t="s">
        <v>14</v>
      </c>
      <c r="V123" s="475">
        <v>2</v>
      </c>
      <c r="W123" s="475" t="str">
        <f>IF($AC$123="","",$W$108)</f>
        <v>N° 40</v>
      </c>
      <c r="X123" s="476" t="str">
        <f>IF($AC$123="","",$X$108)</f>
        <v>SOUPE DE POISSON</v>
      </c>
      <c r="Y123" s="477">
        <f>IF($X$123="","",$Y$108)</f>
        <v>57</v>
      </c>
      <c r="Z123" s="477">
        <f>IF($X$123="","",$Z$108)</f>
        <v>100</v>
      </c>
      <c r="AA123" s="477">
        <f>IF($AC$123="","",ROW($A$123)-ROW($A$108))</f>
        <v>15</v>
      </c>
      <c r="AB123" s="478"/>
      <c r="AC123" s="34" t="s">
        <v>251</v>
      </c>
      <c r="AD123" s="356"/>
      <c r="AE123" s="18">
        <v>15</v>
      </c>
      <c r="AF123" s="16" t="s">
        <v>8</v>
      </c>
      <c r="AG123" s="480">
        <f t="shared" si="16"/>
        <v>15</v>
      </c>
      <c r="AH123" s="481" t="str">
        <f t="shared" si="17"/>
        <v>G</v>
      </c>
      <c r="AI123" s="477" t="str">
        <f>IF($AC$123="","",IFERROR(INDEX($AZ$74:$AZ$119,MATCH($AH$123,$AY$74:$AY$119,0)),"AUTRE"))</f>
        <v>MASSE</v>
      </c>
      <c r="AJ123" s="482">
        <f>IF($AC$123="","",IFERROR(INDEX($BA$74:$BA$119,MATCH($AH$123,$AY$74:$AY$119,0)),1))</f>
        <v>1E-3</v>
      </c>
      <c r="AK123" s="482">
        <f t="shared" si="18"/>
        <v>1.4999999999999999E-2</v>
      </c>
      <c r="AL123" s="477" t="str">
        <f>IF($AC$123="","",IFERROR(INDEX($BB$74:$BB$119,MATCH($AH$123,$AY$74:$AY$119,0)),$AH$123))</f>
        <v>kg</v>
      </c>
      <c r="AM123" s="483" t="str">
        <f t="shared" si="19"/>
        <v>OK</v>
      </c>
      <c r="AN123" s="484">
        <f t="shared" si="20"/>
        <v>15</v>
      </c>
      <c r="AO123" s="473" t="str">
        <f t="shared" si="21"/>
        <v/>
      </c>
      <c r="AP123" s="473" t="str">
        <f t="shared" si="22"/>
        <v/>
      </c>
      <c r="AQ123" s="473" t="str">
        <f t="shared" si="23"/>
        <v/>
      </c>
      <c r="AR123" s="473" t="str">
        <f t="shared" si="24"/>
        <v/>
      </c>
      <c r="AS123" s="473" t="str">
        <f t="shared" si="25"/>
        <v/>
      </c>
      <c r="AT123" s="473" t="str">
        <f t="shared" si="26"/>
        <v/>
      </c>
      <c r="AU123" s="473" t="str">
        <f t="shared" si="27"/>
        <v/>
      </c>
      <c r="AZ123" s="28" t="s">
        <v>13</v>
      </c>
      <c r="BA123" s="34" t="s">
        <v>472</v>
      </c>
      <c r="BB123" s="500"/>
      <c r="BC123" s="271"/>
      <c r="BD123" s="279">
        <v>1</v>
      </c>
      <c r="BE123" s="271"/>
      <c r="BF123" s="271"/>
      <c r="BG123" s="271"/>
      <c r="BH123" s="271"/>
      <c r="BI123" s="271"/>
      <c r="BJ123" s="271"/>
      <c r="BK123" s="271"/>
      <c r="BL123" s="271"/>
    </row>
    <row r="124" spans="18:64" ht="21" customHeight="1" x14ac:dyDescent="0.25">
      <c r="R124" s="25" t="s">
        <v>6116</v>
      </c>
      <c r="S124" s="451"/>
      <c r="T124" s="28" t="s">
        <v>15</v>
      </c>
      <c r="V124" s="475">
        <v>2</v>
      </c>
      <c r="W124" s="475" t="str">
        <f>IF($AC$124="","",$W$108)</f>
        <v>N° 40</v>
      </c>
      <c r="X124" s="476" t="str">
        <f>IF($AC$124="","",$X$108)</f>
        <v>SOUPE DE POISSON</v>
      </c>
      <c r="Y124" s="477">
        <f>IF($X$124="","",$Y$108)</f>
        <v>57</v>
      </c>
      <c r="Z124" s="477">
        <f>IF($X$124="","",$Z$108)</f>
        <v>100</v>
      </c>
      <c r="AA124" s="477">
        <f>IF($AC$124="","",ROW($A$124)-ROW($A$108))</f>
        <v>16</v>
      </c>
      <c r="AB124" s="478"/>
      <c r="AC124" s="34" t="s">
        <v>252</v>
      </c>
      <c r="AD124" s="356"/>
      <c r="AE124" s="18">
        <v>15</v>
      </c>
      <c r="AF124" s="16" t="s">
        <v>8</v>
      </c>
      <c r="AG124" s="480">
        <f t="shared" si="16"/>
        <v>15</v>
      </c>
      <c r="AH124" s="481" t="str">
        <f t="shared" si="17"/>
        <v>G</v>
      </c>
      <c r="AI124" s="477" t="str">
        <f>IF($AC$124="","",IFERROR(INDEX($AZ$74:$AZ$119,MATCH($AH$124,$AY$74:$AY$119,0)),"AUTRE"))</f>
        <v>MASSE</v>
      </c>
      <c r="AJ124" s="482">
        <f>IF($AC$124="","",IFERROR(INDEX($BA$74:$BA$119,MATCH($AH$124,$AY$74:$AY$119,0)),1))</f>
        <v>1E-3</v>
      </c>
      <c r="AK124" s="482">
        <f t="shared" si="18"/>
        <v>1.4999999999999999E-2</v>
      </c>
      <c r="AL124" s="477" t="str">
        <f>IF($AC$124="","",IFERROR(INDEX($BB$74:$BB$119,MATCH($AH$124,$AY$74:$AY$119,0)),$AH$124))</f>
        <v>kg</v>
      </c>
      <c r="AM124" s="483" t="str">
        <f t="shared" si="19"/>
        <v>OK</v>
      </c>
      <c r="AN124" s="484">
        <f t="shared" si="20"/>
        <v>15</v>
      </c>
      <c r="AO124" s="473" t="str">
        <f t="shared" si="21"/>
        <v/>
      </c>
      <c r="AP124" s="473" t="str">
        <f t="shared" si="22"/>
        <v/>
      </c>
      <c r="AQ124" s="473" t="str">
        <f t="shared" si="23"/>
        <v/>
      </c>
      <c r="AR124" s="473" t="str">
        <f t="shared" si="24"/>
        <v/>
      </c>
      <c r="AS124" s="473" t="str">
        <f t="shared" si="25"/>
        <v/>
      </c>
      <c r="AT124" s="473" t="str">
        <f t="shared" si="26"/>
        <v/>
      </c>
      <c r="AU124" s="473" t="str">
        <f t="shared" si="27"/>
        <v/>
      </c>
      <c r="AZ124" s="28" t="s">
        <v>14</v>
      </c>
      <c r="BA124" s="34" t="s">
        <v>6112</v>
      </c>
      <c r="BB124" s="500"/>
      <c r="BC124" s="271"/>
      <c r="BD124" s="279">
        <v>1</v>
      </c>
      <c r="BE124" s="271"/>
      <c r="BF124" s="271"/>
      <c r="BG124" s="271"/>
      <c r="BH124" s="271"/>
      <c r="BI124" s="271"/>
      <c r="BJ124" s="271"/>
      <c r="BK124" s="271"/>
      <c r="BL124" s="271"/>
    </row>
    <row r="125" spans="18:64" ht="21" customHeight="1" x14ac:dyDescent="0.25">
      <c r="R125" s="34" t="s">
        <v>6117</v>
      </c>
      <c r="S125" s="451"/>
      <c r="T125" s="28" t="s">
        <v>21</v>
      </c>
      <c r="V125" s="475">
        <v>2</v>
      </c>
      <c r="W125" s="475" t="str">
        <f>IF($AC$125="","",$W$108)</f>
        <v>N° 40</v>
      </c>
      <c r="X125" s="476" t="str">
        <f>IF($AC$125="","",$X$108)</f>
        <v>SOUPE DE POISSON</v>
      </c>
      <c r="Y125" s="477">
        <f>IF($X$125="","",$Y$108)</f>
        <v>57</v>
      </c>
      <c r="Z125" s="477">
        <f>IF($X$125="","",$Z$108)</f>
        <v>100</v>
      </c>
      <c r="AA125" s="477">
        <f>IF($AC$125="","",ROW($A$125)-ROW($A$108))</f>
        <v>17</v>
      </c>
      <c r="AB125" s="478"/>
      <c r="AC125" s="34" t="s">
        <v>60</v>
      </c>
      <c r="AD125" s="356"/>
      <c r="AE125" s="23" t="s">
        <v>33</v>
      </c>
      <c r="AF125" s="19"/>
      <c r="AG125" s="480" t="str">
        <f t="shared" si="16"/>
        <v>QT. SUFFISANTE</v>
      </c>
      <c r="AH125" s="481" t="str">
        <f t="shared" si="17"/>
        <v/>
      </c>
      <c r="AI125" s="477" t="str">
        <f>IF($AC$125="","",IFERROR(INDEX($AZ$74:$AZ$119,MATCH($AH$125,$AY$74:$AY$119,0)),"AUTRE"))</f>
        <v>AUTRE</v>
      </c>
      <c r="AJ125" s="482">
        <f>IF($AC$125="","",IFERROR(INDEX($BA$74:$BA$119,MATCH($AH$125,$AY$74:$AY$119,0)),1))</f>
        <v>1</v>
      </c>
      <c r="AK125" s="482" t="e">
        <f t="shared" si="18"/>
        <v>#VALUE!</v>
      </c>
      <c r="AL125" s="477" t="str">
        <f>IF($AC$125="","",IFERROR(INDEX($BB$74:$BB$119,MATCH($AH$125,$AY$74:$AY$119,0)),$AH$125))</f>
        <v/>
      </c>
      <c r="AM125" s="483" t="str">
        <f t="shared" si="19"/>
        <v>QUANTITÉ À CONTRÔLER</v>
      </c>
      <c r="AN125" s="484" t="str">
        <f t="shared" si="20"/>
        <v>QT. SUFFISANTE</v>
      </c>
      <c r="AO125" s="473" t="str">
        <f t="shared" si="21"/>
        <v/>
      </c>
      <c r="AP125" s="473" t="str">
        <f t="shared" si="22"/>
        <v/>
      </c>
      <c r="AQ125" s="473" t="str">
        <f t="shared" si="23"/>
        <v/>
      </c>
      <c r="AR125" s="473" t="str">
        <f t="shared" si="24"/>
        <v/>
      </c>
      <c r="AS125" s="473" t="str">
        <f t="shared" si="25"/>
        <v/>
      </c>
      <c r="AT125" s="473" t="str">
        <f t="shared" si="26"/>
        <v/>
      </c>
      <c r="AU125" s="473" t="str">
        <f t="shared" si="27"/>
        <v/>
      </c>
      <c r="AZ125" s="28" t="s">
        <v>15</v>
      </c>
      <c r="BA125" s="25" t="s">
        <v>6116</v>
      </c>
      <c r="BB125" s="500"/>
      <c r="BC125" s="271"/>
      <c r="BD125" s="279">
        <v>1</v>
      </c>
      <c r="BE125" s="271"/>
      <c r="BF125" s="271"/>
      <c r="BG125" s="271"/>
      <c r="BH125" s="271"/>
      <c r="BI125" s="271"/>
      <c r="BJ125" s="271"/>
      <c r="BK125" s="271"/>
      <c r="BL125" s="271"/>
    </row>
    <row r="126" spans="18:64" ht="21" customHeight="1" x14ac:dyDescent="0.25">
      <c r="R126" s="34" t="s">
        <v>469</v>
      </c>
      <c r="S126" s="451"/>
      <c r="T126" s="28" t="s">
        <v>22</v>
      </c>
      <c r="V126" s="475">
        <v>2</v>
      </c>
      <c r="W126" s="475" t="str">
        <f>IF($AC$126="","",$W$108)</f>
        <v/>
      </c>
      <c r="X126" s="476" t="str">
        <f>IF($AC$126="","",$X$108)</f>
        <v/>
      </c>
      <c r="Y126" s="477" t="str">
        <f>IF($X$126="","",$Y$108)</f>
        <v/>
      </c>
      <c r="Z126" s="477" t="str">
        <f>IF($X$126="","",$Z$108)</f>
        <v/>
      </c>
      <c r="AA126" s="477" t="str">
        <f>IF($AC$126="","",ROW($A$126)-ROW($A$108))</f>
        <v/>
      </c>
      <c r="AB126" s="478"/>
      <c r="AC126" s="34" t="s">
        <v>345</v>
      </c>
      <c r="AD126" s="356"/>
      <c r="AE126" s="18"/>
      <c r="AF126" s="19"/>
      <c r="AG126" s="480" t="str">
        <f t="shared" si="16"/>
        <v/>
      </c>
      <c r="AH126" s="481" t="str">
        <f t="shared" si="17"/>
        <v/>
      </c>
      <c r="AI126" s="477" t="str">
        <f>IF($AC$126="","",IFERROR(INDEX($AZ$74:$AZ$119,MATCH($AH$126,$AY$74:$AY$119,0)),"AUTRE"))</f>
        <v/>
      </c>
      <c r="AJ126" s="482" t="str">
        <f>IF($AC$126="","",IFERROR(INDEX($BA$74:$BA$119,MATCH($AH$126,$AY$74:$AY$119,0)),1))</f>
        <v/>
      </c>
      <c r="AK126" s="482" t="str">
        <f t="shared" si="18"/>
        <v/>
      </c>
      <c r="AL126" s="477" t="str">
        <f>IF($AC$126="","",IFERROR(INDEX($BB$74:$BB$119,MATCH($AH$126,$AY$74:$AY$119,0)),$AH$126))</f>
        <v/>
      </c>
      <c r="AM126" s="483" t="str">
        <f t="shared" si="19"/>
        <v/>
      </c>
      <c r="AN126" s="484" t="str">
        <f t="shared" si="20"/>
        <v/>
      </c>
      <c r="AO126" s="473" t="str">
        <f t="shared" si="21"/>
        <v/>
      </c>
      <c r="AP126" s="473" t="str">
        <f t="shared" si="22"/>
        <v/>
      </c>
      <c r="AQ126" s="473" t="str">
        <f t="shared" si="23"/>
        <v/>
      </c>
      <c r="AR126" s="473" t="str">
        <f t="shared" si="24"/>
        <v/>
      </c>
      <c r="AS126" s="473" t="str">
        <f t="shared" si="25"/>
        <v/>
      </c>
      <c r="AT126" s="473" t="str">
        <f t="shared" si="26"/>
        <v/>
      </c>
      <c r="AU126" s="473" t="str">
        <f t="shared" si="27"/>
        <v/>
      </c>
      <c r="AZ126" s="29" t="s">
        <v>9</v>
      </c>
      <c r="BA126" s="34" t="s">
        <v>6117</v>
      </c>
      <c r="BB126" s="500"/>
      <c r="BC126" s="271"/>
      <c r="BD126" s="279">
        <v>1</v>
      </c>
      <c r="BE126" s="271"/>
      <c r="BF126" s="271"/>
      <c r="BG126" s="271"/>
      <c r="BH126" s="271"/>
      <c r="BI126" s="271"/>
      <c r="BJ126" s="271"/>
      <c r="BK126" s="271"/>
      <c r="BL126" s="271"/>
    </row>
    <row r="127" spans="18:64" ht="21" customHeight="1" x14ac:dyDescent="0.25">
      <c r="R127" s="34" t="s">
        <v>6118</v>
      </c>
      <c r="S127" s="451"/>
      <c r="T127" s="28" t="s">
        <v>23</v>
      </c>
      <c r="V127" s="475">
        <v>2</v>
      </c>
      <c r="W127" s="475" t="str">
        <f>IF($AC$127="","",$W$108)</f>
        <v>N° 40</v>
      </c>
      <c r="X127" s="476" t="str">
        <f>IF($AC$127="","",$X$108)</f>
        <v>SOUPE DE POISSON</v>
      </c>
      <c r="Y127" s="477">
        <f>IF($X$127="","",$Y$108)</f>
        <v>57</v>
      </c>
      <c r="Z127" s="477">
        <f>IF($X$127="","",$Z$108)</f>
        <v>100</v>
      </c>
      <c r="AA127" s="477">
        <f>IF($AC$127="","",ROW($A$127)-ROW($A$108))</f>
        <v>19</v>
      </c>
      <c r="AB127" s="478"/>
      <c r="AC127" s="34" t="s">
        <v>382</v>
      </c>
      <c r="AD127" s="356"/>
      <c r="AE127" s="18">
        <v>800</v>
      </c>
      <c r="AF127" s="16" t="s">
        <v>8</v>
      </c>
      <c r="AG127" s="480">
        <f t="shared" si="16"/>
        <v>800</v>
      </c>
      <c r="AH127" s="481" t="str">
        <f t="shared" si="17"/>
        <v>G</v>
      </c>
      <c r="AI127" s="477" t="str">
        <f>IF($AC$127="","",IFERROR(INDEX($AZ$74:$AZ$119,MATCH($AH$127,$AY$74:$AY$119,0)),"AUTRE"))</f>
        <v>MASSE</v>
      </c>
      <c r="AJ127" s="482">
        <f>IF($AC$127="","",IFERROR(INDEX($BA$74:$BA$119,MATCH($AH$127,$AY$74:$AY$119,0)),1))</f>
        <v>1E-3</v>
      </c>
      <c r="AK127" s="482">
        <f t="shared" si="18"/>
        <v>0.8</v>
      </c>
      <c r="AL127" s="477" t="str">
        <f>IF($AC$127="","",IFERROR(INDEX($BB$74:$BB$119,MATCH($AH$127,$AY$74:$AY$119,0)),$AH$127))</f>
        <v>kg</v>
      </c>
      <c r="AM127" s="483" t="str">
        <f t="shared" si="19"/>
        <v>OK</v>
      </c>
      <c r="AN127" s="484">
        <f t="shared" si="20"/>
        <v>800</v>
      </c>
      <c r="AO127" s="473" t="str">
        <f t="shared" si="21"/>
        <v/>
      </c>
      <c r="AP127" s="473" t="str">
        <f t="shared" si="22"/>
        <v/>
      </c>
      <c r="AQ127" s="473" t="str">
        <f t="shared" si="23"/>
        <v/>
      </c>
      <c r="AR127" s="473" t="str">
        <f t="shared" si="24"/>
        <v/>
      </c>
      <c r="AS127" s="473" t="str">
        <f t="shared" si="25"/>
        <v/>
      </c>
      <c r="AT127" s="473" t="str">
        <f t="shared" si="26"/>
        <v/>
      </c>
      <c r="AU127" s="473" t="str">
        <f t="shared" si="27"/>
        <v/>
      </c>
      <c r="AZ127" s="30" t="s">
        <v>10</v>
      </c>
      <c r="BA127" s="34" t="s">
        <v>469</v>
      </c>
      <c r="BB127" s="500"/>
      <c r="BC127" s="271"/>
      <c r="BD127" s="279">
        <v>1</v>
      </c>
      <c r="BE127" s="271"/>
      <c r="BF127" s="271"/>
      <c r="BG127" s="271"/>
      <c r="BH127" s="271"/>
      <c r="BI127" s="271"/>
      <c r="BJ127" s="271"/>
      <c r="BK127" s="271"/>
      <c r="BL127" s="271"/>
    </row>
    <row r="128" spans="18:64" ht="21" customHeight="1" x14ac:dyDescent="0.25">
      <c r="R128" s="34" t="s">
        <v>492</v>
      </c>
      <c r="S128" s="451"/>
      <c r="T128" s="28" t="s">
        <v>24</v>
      </c>
      <c r="V128" s="475">
        <v>2</v>
      </c>
      <c r="W128" s="475" t="str">
        <f>IF($AC$128="","",$W$108)</f>
        <v>N° 40</v>
      </c>
      <c r="X128" s="476" t="str">
        <f>IF($AC$128="","",$X$108)</f>
        <v>SOUPE DE POISSON</v>
      </c>
      <c r="Y128" s="477">
        <f>IF($X$128="","",$Y$108)</f>
        <v>57</v>
      </c>
      <c r="Z128" s="477">
        <f>IF($X$128="","",$Z$108)</f>
        <v>100</v>
      </c>
      <c r="AA128" s="477">
        <f>IF($AC$128="","",ROW($A$128)-ROW($A$108))</f>
        <v>20</v>
      </c>
      <c r="AB128" s="478"/>
      <c r="AC128" s="34" t="s">
        <v>501</v>
      </c>
      <c r="AD128" s="356"/>
      <c r="AE128" s="18">
        <v>800</v>
      </c>
      <c r="AF128" s="16" t="s">
        <v>8</v>
      </c>
      <c r="AG128" s="480">
        <f t="shared" si="16"/>
        <v>800</v>
      </c>
      <c r="AH128" s="481" t="str">
        <f t="shared" si="17"/>
        <v>G</v>
      </c>
      <c r="AI128" s="477" t="str">
        <f>IF($AC$128="","",IFERROR(INDEX($AZ$74:$AZ$119,MATCH($AH$128,$AY$74:$AY$119,0)),"AUTRE"))</f>
        <v>MASSE</v>
      </c>
      <c r="AJ128" s="482">
        <f>IF($AC$128="","",IFERROR(INDEX($BA$74:$BA$119,MATCH($AH$128,$AY$74:$AY$119,0)),1))</f>
        <v>1E-3</v>
      </c>
      <c r="AK128" s="482">
        <f t="shared" si="18"/>
        <v>0.8</v>
      </c>
      <c r="AL128" s="477" t="str">
        <f>IF($AC$128="","",IFERROR(INDEX($BB$74:$BB$119,MATCH($AH$128,$AY$74:$AY$119,0)),$AH$128))</f>
        <v>kg</v>
      </c>
      <c r="AM128" s="483" t="str">
        <f t="shared" si="19"/>
        <v>OK</v>
      </c>
      <c r="AN128" s="484">
        <f t="shared" si="20"/>
        <v>800</v>
      </c>
      <c r="AO128" s="473" t="str">
        <f t="shared" si="21"/>
        <v/>
      </c>
      <c r="AP128" s="473" t="str">
        <f t="shared" si="22"/>
        <v/>
      </c>
      <c r="AQ128" s="473" t="str">
        <f t="shared" si="23"/>
        <v/>
      </c>
      <c r="AR128" s="473" t="str">
        <f t="shared" si="24"/>
        <v/>
      </c>
      <c r="AS128" s="473" t="str">
        <f t="shared" si="25"/>
        <v/>
      </c>
      <c r="AT128" s="473" t="str">
        <f t="shared" si="26"/>
        <v/>
      </c>
      <c r="AU128" s="473" t="str">
        <f t="shared" si="27"/>
        <v/>
      </c>
      <c r="AZ128" s="30" t="s">
        <v>11</v>
      </c>
      <c r="BA128" s="34" t="s">
        <v>6118</v>
      </c>
      <c r="BB128" s="500"/>
      <c r="BC128" s="271"/>
      <c r="BD128" s="279">
        <v>1</v>
      </c>
      <c r="BE128" s="271"/>
      <c r="BF128" s="271"/>
      <c r="BG128" s="271"/>
      <c r="BH128" s="271"/>
      <c r="BI128" s="271"/>
      <c r="BJ128" s="271"/>
      <c r="BK128" s="271"/>
      <c r="BL128" s="271"/>
    </row>
    <row r="129" spans="18:64" ht="21" customHeight="1" x14ac:dyDescent="0.25">
      <c r="R129" s="34" t="s">
        <v>458</v>
      </c>
      <c r="S129" s="451"/>
      <c r="T129" s="29" t="s">
        <v>9</v>
      </c>
      <c r="V129" s="475">
        <v>2</v>
      </c>
      <c r="W129" s="475" t="str">
        <f>IF($AC$129="","",$W$108)</f>
        <v/>
      </c>
      <c r="X129" s="476" t="str">
        <f>IF($AC$129="","",$X$108)</f>
        <v/>
      </c>
      <c r="Y129" s="477" t="str">
        <f>IF($X$129="","",$Y$108)</f>
        <v/>
      </c>
      <c r="Z129" s="477" t="str">
        <f>IF($X$129="","",$Z$108)</f>
        <v/>
      </c>
      <c r="AA129" s="477" t="str">
        <f>IF($AC$129="","",ROW($A$129)-ROW($A$108))</f>
        <v/>
      </c>
      <c r="AB129" s="478"/>
      <c r="AC129" s="34"/>
      <c r="AD129" s="356"/>
      <c r="AE129" s="18"/>
      <c r="AF129" s="19"/>
      <c r="AG129" s="480" t="str">
        <f t="shared" si="16"/>
        <v/>
      </c>
      <c r="AH129" s="481" t="str">
        <f t="shared" si="17"/>
        <v/>
      </c>
      <c r="AI129" s="477" t="str">
        <f>IF($AC$129="","",IFERROR(INDEX($AZ$74:$AZ$119,MATCH($AH$129,$AY$74:$AY$119,0)),"AUTRE"))</f>
        <v/>
      </c>
      <c r="AJ129" s="482" t="str">
        <f>IF($AC$129="","",IFERROR(INDEX($BA$74:$BA$119,MATCH($AH$129,$AY$74:$AY$119,0)),1))</f>
        <v/>
      </c>
      <c r="AK129" s="482" t="str">
        <f t="shared" si="18"/>
        <v/>
      </c>
      <c r="AL129" s="477" t="str">
        <f>IF($AC$129="","",IFERROR(INDEX($BB$74:$BB$119,MATCH($AH$129,$AY$74:$AY$119,0)),$AH$129))</f>
        <v/>
      </c>
      <c r="AM129" s="483" t="str">
        <f t="shared" si="19"/>
        <v/>
      </c>
      <c r="AN129" s="484" t="str">
        <f t="shared" si="20"/>
        <v/>
      </c>
      <c r="AO129" s="473" t="str">
        <f t="shared" si="21"/>
        <v/>
      </c>
      <c r="AP129" s="473" t="str">
        <f t="shared" si="22"/>
        <v/>
      </c>
      <c r="AQ129" s="473" t="str">
        <f t="shared" si="23"/>
        <v/>
      </c>
      <c r="AR129" s="473" t="str">
        <f t="shared" si="24"/>
        <v/>
      </c>
      <c r="AS129" s="473" t="str">
        <f t="shared" si="25"/>
        <v/>
      </c>
      <c r="AT129" s="473" t="str">
        <f t="shared" si="26"/>
        <v/>
      </c>
      <c r="AU129" s="473" t="str">
        <f t="shared" si="27"/>
        <v/>
      </c>
      <c r="AZ129" s="30" t="s">
        <v>12</v>
      </c>
      <c r="BA129" s="34" t="s">
        <v>492</v>
      </c>
      <c r="BB129" s="500"/>
      <c r="BC129" s="271"/>
      <c r="BD129" s="279">
        <v>1</v>
      </c>
      <c r="BE129" s="271"/>
      <c r="BF129" s="271"/>
      <c r="BG129" s="271"/>
      <c r="BH129" s="271"/>
      <c r="BI129" s="271"/>
      <c r="BJ129" s="271"/>
      <c r="BK129" s="271"/>
      <c r="BL129" s="271"/>
    </row>
    <row r="130" spans="18:64" ht="21" customHeight="1" x14ac:dyDescent="0.25">
      <c r="R130" s="490"/>
      <c r="S130" s="451"/>
      <c r="T130" s="30" t="s">
        <v>10</v>
      </c>
      <c r="V130" s="475">
        <v>2</v>
      </c>
      <c r="W130" s="475" t="str">
        <f>IF($AC$130="","",$W$108)</f>
        <v/>
      </c>
      <c r="X130" s="476" t="str">
        <f>IF($AC$130="","",$X$108)</f>
        <v/>
      </c>
      <c r="Y130" s="477" t="str">
        <f>IF($X$130="","",$Y$108)</f>
        <v/>
      </c>
      <c r="Z130" s="477" t="str">
        <f>IF($X$130="","",$Z$108)</f>
        <v/>
      </c>
      <c r="AA130" s="477" t="str">
        <f>IF($AC$130="","",ROW($A$130)-ROW($A$108))</f>
        <v/>
      </c>
      <c r="AB130" s="478"/>
      <c r="AC130" s="34"/>
      <c r="AD130" s="356"/>
      <c r="AE130" s="18"/>
      <c r="AF130" s="19"/>
      <c r="AG130" s="480" t="str">
        <f t="shared" si="16"/>
        <v/>
      </c>
      <c r="AH130" s="481" t="str">
        <f t="shared" si="17"/>
        <v/>
      </c>
      <c r="AI130" s="477" t="str">
        <f>IF($AC$130="","",IFERROR(INDEX($AZ$74:$AZ$119,MATCH($AH$130,$AY$74:$AY$119,0)),"AUTRE"))</f>
        <v/>
      </c>
      <c r="AJ130" s="482" t="str">
        <f>IF($AC$130="","",IFERROR(INDEX($BA$74:$BA$119,MATCH($AH$130,$AY$74:$AY$119,0)),1))</f>
        <v/>
      </c>
      <c r="AK130" s="482" t="str">
        <f t="shared" si="18"/>
        <v/>
      </c>
      <c r="AL130" s="477" t="str">
        <f>IF($AC$130="","",IFERROR(INDEX($BB$74:$BB$119,MATCH($AH$130,$AY$74:$AY$119,0)),$AH$130))</f>
        <v/>
      </c>
      <c r="AM130" s="483" t="str">
        <f t="shared" si="19"/>
        <v/>
      </c>
      <c r="AN130" s="484" t="str">
        <f t="shared" si="20"/>
        <v/>
      </c>
      <c r="AO130" s="473" t="str">
        <f t="shared" si="21"/>
        <v/>
      </c>
      <c r="AP130" s="473" t="str">
        <f t="shared" si="22"/>
        <v/>
      </c>
      <c r="AQ130" s="473" t="str">
        <f t="shared" si="23"/>
        <v/>
      </c>
      <c r="AR130" s="473" t="str">
        <f t="shared" si="24"/>
        <v/>
      </c>
      <c r="AS130" s="473" t="str">
        <f t="shared" si="25"/>
        <v/>
      </c>
      <c r="AT130" s="473" t="str">
        <f t="shared" si="26"/>
        <v/>
      </c>
      <c r="AU130" s="473" t="str">
        <f t="shared" si="27"/>
        <v/>
      </c>
      <c r="AZ130" s="31" t="s">
        <v>16</v>
      </c>
      <c r="BA130" s="34" t="s">
        <v>458</v>
      </c>
      <c r="BB130" s="500"/>
      <c r="BC130" s="271"/>
      <c r="BD130" s="279">
        <v>1</v>
      </c>
      <c r="BE130" s="271"/>
      <c r="BF130" s="271"/>
      <c r="BG130" s="271"/>
      <c r="BH130" s="271"/>
      <c r="BI130" s="271"/>
      <c r="BJ130" s="271"/>
      <c r="BK130" s="271"/>
      <c r="BL130" s="271"/>
    </row>
    <row r="131" spans="18:64" ht="21" customHeight="1" x14ac:dyDescent="0.25">
      <c r="R131" s="25" t="s">
        <v>6119</v>
      </c>
      <c r="S131" s="451"/>
      <c r="T131" s="30" t="s">
        <v>11</v>
      </c>
      <c r="V131" s="475">
        <v>2</v>
      </c>
      <c r="W131" s="475" t="str">
        <f>IF($AC$131="","",$W$108)</f>
        <v/>
      </c>
      <c r="X131" s="476" t="str">
        <f>IF($AC$131="","",$X$108)</f>
        <v/>
      </c>
      <c r="Y131" s="477" t="str">
        <f>IF($X$131="","",$Y$108)</f>
        <v/>
      </c>
      <c r="Z131" s="477" t="str">
        <f>IF($X$131="","",$Z$108)</f>
        <v/>
      </c>
      <c r="AA131" s="477" t="str">
        <f>IF($AC$131="","",ROW($A$131)-ROW($A$108))</f>
        <v/>
      </c>
      <c r="AB131" s="478"/>
      <c r="AC131" s="34"/>
      <c r="AD131" s="356"/>
      <c r="AE131" s="18"/>
      <c r="AF131" s="19"/>
      <c r="AG131" s="480" t="str">
        <f t="shared" si="16"/>
        <v/>
      </c>
      <c r="AH131" s="481" t="str">
        <f t="shared" si="17"/>
        <v/>
      </c>
      <c r="AI131" s="477" t="str">
        <f>IF($AC$131="","",IFERROR(INDEX($AZ$74:$AZ$119,MATCH($AH$131,$AY$74:$AY$119,0)),"AUTRE"))</f>
        <v/>
      </c>
      <c r="AJ131" s="482" t="str">
        <f>IF($AC$131="","",IFERROR(INDEX($BA$74:$BA$119,MATCH($AH$131,$AY$74:$AY$119,0)),1))</f>
        <v/>
      </c>
      <c r="AK131" s="482" t="str">
        <f t="shared" si="18"/>
        <v/>
      </c>
      <c r="AL131" s="477" t="str">
        <f>IF($AC$131="","",IFERROR(INDEX($BB$74:$BB$119,MATCH($AH$131,$AY$74:$AY$119,0)),$AH$131))</f>
        <v/>
      </c>
      <c r="AM131" s="483" t="str">
        <f t="shared" si="19"/>
        <v/>
      </c>
      <c r="AN131" s="484" t="str">
        <f t="shared" si="20"/>
        <v/>
      </c>
      <c r="AO131" s="473" t="str">
        <f t="shared" si="21"/>
        <v/>
      </c>
      <c r="AP131" s="473" t="str">
        <f t="shared" si="22"/>
        <v/>
      </c>
      <c r="AQ131" s="473" t="str">
        <f t="shared" si="23"/>
        <v/>
      </c>
      <c r="AR131" s="473" t="str">
        <f t="shared" si="24"/>
        <v/>
      </c>
      <c r="AS131" s="473" t="str">
        <f t="shared" si="25"/>
        <v/>
      </c>
      <c r="AT131" s="473" t="str">
        <f t="shared" si="26"/>
        <v/>
      </c>
      <c r="AU131" s="473" t="str">
        <f t="shared" si="27"/>
        <v/>
      </c>
      <c r="AZ131" s="31" t="s">
        <v>17</v>
      </c>
      <c r="BA131" s="490"/>
      <c r="BB131" s="500"/>
      <c r="BC131" s="271"/>
      <c r="BD131" s="279">
        <v>1</v>
      </c>
      <c r="BE131" s="271"/>
      <c r="BF131" s="271"/>
      <c r="BG131" s="271"/>
      <c r="BH131" s="271"/>
      <c r="BI131" s="271"/>
      <c r="BJ131" s="271"/>
      <c r="BK131" s="271"/>
      <c r="BL131" s="271"/>
    </row>
    <row r="132" spans="18:64" ht="21" customHeight="1" x14ac:dyDescent="0.25">
      <c r="R132" s="34" t="s">
        <v>6120</v>
      </c>
      <c r="S132" s="451"/>
      <c r="T132" s="30" t="s">
        <v>12</v>
      </c>
      <c r="V132" s="475">
        <v>2</v>
      </c>
      <c r="W132" s="475" t="str">
        <f>IF($AC$132="","",$W$108)</f>
        <v/>
      </c>
      <c r="X132" s="476" t="str">
        <f>IF($AC$132="","",$X$108)</f>
        <v/>
      </c>
      <c r="Y132" s="477" t="str">
        <f>IF($X$132="","",$Y$108)</f>
        <v/>
      </c>
      <c r="Z132" s="477" t="str">
        <f>IF($X$132="","",$Z$108)</f>
        <v/>
      </c>
      <c r="AA132" s="477" t="str">
        <f>IF($AC$132="","",ROW($A$132)-ROW($A$108))</f>
        <v/>
      </c>
      <c r="AB132" s="478"/>
      <c r="AC132" s="34"/>
      <c r="AD132" s="356"/>
      <c r="AE132" s="18"/>
      <c r="AF132" s="19"/>
      <c r="AG132" s="480" t="str">
        <f t="shared" si="16"/>
        <v/>
      </c>
      <c r="AH132" s="481" t="str">
        <f t="shared" si="17"/>
        <v/>
      </c>
      <c r="AI132" s="477" t="str">
        <f>IF($AC$132="","",IFERROR(INDEX($AZ$74:$AZ$119,MATCH($AH$132,$AY$74:$AY$119,0)),"AUTRE"))</f>
        <v/>
      </c>
      <c r="AJ132" s="482" t="str">
        <f>IF($AC$132="","",IFERROR(INDEX($BA$74:$BA$119,MATCH($AH$132,$AY$74:$AY$119,0)),1))</f>
        <v/>
      </c>
      <c r="AK132" s="482" t="str">
        <f t="shared" si="18"/>
        <v/>
      </c>
      <c r="AL132" s="477" t="str">
        <f>IF($AC$132="","",IFERROR(INDEX($BB$74:$BB$119,MATCH($AH$132,$AY$74:$AY$119,0)),$AH$132))</f>
        <v/>
      </c>
      <c r="AM132" s="483" t="str">
        <f t="shared" si="19"/>
        <v/>
      </c>
      <c r="AN132" s="484" t="str">
        <f t="shared" si="20"/>
        <v/>
      </c>
      <c r="AO132" s="473" t="str">
        <f t="shared" si="21"/>
        <v/>
      </c>
      <c r="AP132" s="473" t="str">
        <f t="shared" si="22"/>
        <v/>
      </c>
      <c r="AQ132" s="473" t="str">
        <f t="shared" si="23"/>
        <v/>
      </c>
      <c r="AR132" s="473" t="str">
        <f t="shared" si="24"/>
        <v/>
      </c>
      <c r="AS132" s="473" t="str">
        <f t="shared" si="25"/>
        <v/>
      </c>
      <c r="AT132" s="473" t="str">
        <f t="shared" si="26"/>
        <v/>
      </c>
      <c r="AU132" s="473" t="str">
        <f t="shared" si="27"/>
        <v/>
      </c>
      <c r="AZ132" s="31" t="s">
        <v>18</v>
      </c>
      <c r="BA132" s="25" t="s">
        <v>6119</v>
      </c>
      <c r="BB132" s="500"/>
      <c r="BC132" s="271"/>
      <c r="BD132" s="279">
        <v>1</v>
      </c>
      <c r="BE132" s="271"/>
      <c r="BF132" s="271"/>
      <c r="BG132" s="271"/>
      <c r="BH132" s="271"/>
      <c r="BI132" s="271"/>
      <c r="BJ132" s="271"/>
      <c r="BK132" s="271"/>
      <c r="BL132" s="271"/>
    </row>
    <row r="133" spans="18:64" ht="21" customHeight="1" x14ac:dyDescent="0.25">
      <c r="R133" s="34" t="s">
        <v>6121</v>
      </c>
      <c r="S133" s="451"/>
      <c r="T133" s="31" t="s">
        <v>16</v>
      </c>
      <c r="V133" s="475">
        <v>2</v>
      </c>
      <c r="W133" s="475" t="str">
        <f>IF($AC$133="","",$W$108)</f>
        <v/>
      </c>
      <c r="X133" s="476" t="str">
        <f>IF($AC$133="","",$X$108)</f>
        <v/>
      </c>
      <c r="Y133" s="477" t="str">
        <f>IF($X$133="","",$Y$108)</f>
        <v/>
      </c>
      <c r="Z133" s="477" t="str">
        <f>IF($X$133="","",$Z$108)</f>
        <v/>
      </c>
      <c r="AA133" s="477" t="str">
        <f>IF($AC$133="","",ROW($A$133)-ROW($A$108))</f>
        <v/>
      </c>
      <c r="AB133" s="478"/>
      <c r="AC133" s="34"/>
      <c r="AD133" s="356"/>
      <c r="AE133" s="18"/>
      <c r="AF133" s="19"/>
      <c r="AG133" s="480" t="str">
        <f t="shared" si="16"/>
        <v/>
      </c>
      <c r="AH133" s="481" t="str">
        <f t="shared" si="17"/>
        <v/>
      </c>
      <c r="AI133" s="477" t="str">
        <f>IF($AC$133="","",IFERROR(INDEX($AZ$74:$AZ$119,MATCH($AH$133,$AY$74:$AY$119,0)),"AUTRE"))</f>
        <v/>
      </c>
      <c r="AJ133" s="482" t="str">
        <f>IF($AC$133="","",IFERROR(INDEX($BA$74:$BA$119,MATCH($AH$133,$AY$74:$AY$119,0)),1))</f>
        <v/>
      </c>
      <c r="AK133" s="482" t="str">
        <f t="shared" si="18"/>
        <v/>
      </c>
      <c r="AL133" s="477" t="str">
        <f>IF($AC$133="","",IFERROR(INDEX($BB$74:$BB$119,MATCH($AH$133,$AY$74:$AY$119,0)),$AH$133))</f>
        <v/>
      </c>
      <c r="AM133" s="483" t="str">
        <f t="shared" si="19"/>
        <v/>
      </c>
      <c r="AN133" s="484" t="str">
        <f t="shared" si="20"/>
        <v/>
      </c>
      <c r="AO133" s="473" t="str">
        <f t="shared" si="21"/>
        <v/>
      </c>
      <c r="AP133" s="473" t="str">
        <f t="shared" si="22"/>
        <v/>
      </c>
      <c r="AQ133" s="473" t="str">
        <f t="shared" si="23"/>
        <v/>
      </c>
      <c r="AR133" s="473" t="str">
        <f t="shared" si="24"/>
        <v/>
      </c>
      <c r="AS133" s="473" t="str">
        <f t="shared" si="25"/>
        <v/>
      </c>
      <c r="AT133" s="473" t="str">
        <f t="shared" si="26"/>
        <v/>
      </c>
      <c r="AU133" s="473" t="str">
        <f t="shared" si="27"/>
        <v/>
      </c>
      <c r="AZ133" s="31" t="s">
        <v>19</v>
      </c>
      <c r="BA133" s="34" t="s">
        <v>6120</v>
      </c>
      <c r="BB133" s="500"/>
      <c r="BC133" s="271"/>
      <c r="BD133" s="279">
        <v>1</v>
      </c>
      <c r="BE133" s="271"/>
      <c r="BF133" s="271"/>
      <c r="BG133" s="271"/>
      <c r="BH133" s="271"/>
      <c r="BI133" s="271"/>
      <c r="BJ133" s="271"/>
      <c r="BK133" s="271"/>
      <c r="BL133" s="271"/>
    </row>
    <row r="134" spans="18:64" ht="21" customHeight="1" x14ac:dyDescent="0.25">
      <c r="R134" s="34" t="s">
        <v>6122</v>
      </c>
      <c r="S134" s="451"/>
      <c r="T134" s="31" t="s">
        <v>17</v>
      </c>
      <c r="V134" s="475">
        <v>2</v>
      </c>
      <c r="W134" s="475" t="str">
        <f>IF($AC$134="","",$W$108)</f>
        <v/>
      </c>
      <c r="X134" s="476" t="str">
        <f>IF($AC$134="","",$X$108)</f>
        <v/>
      </c>
      <c r="Y134" s="477" t="str">
        <f>IF($X$134="","",$Y$108)</f>
        <v/>
      </c>
      <c r="Z134" s="477" t="str">
        <f>IF($X$134="","",$Z$108)</f>
        <v/>
      </c>
      <c r="AA134" s="477" t="str">
        <f>IF($AC$134="","",ROW($A$134)-ROW($A$108))</f>
        <v/>
      </c>
      <c r="AB134" s="478"/>
      <c r="AC134" s="34"/>
      <c r="AD134" s="356"/>
      <c r="AE134" s="18"/>
      <c r="AF134" s="19"/>
      <c r="AG134" s="480" t="str">
        <f t="shared" si="16"/>
        <v/>
      </c>
      <c r="AH134" s="481" t="str">
        <f t="shared" si="17"/>
        <v/>
      </c>
      <c r="AI134" s="477" t="str">
        <f>IF($AC$134="","",IFERROR(INDEX($AZ$74:$AZ$119,MATCH($AH$134,$AY$74:$AY$119,0)),"AUTRE"))</f>
        <v/>
      </c>
      <c r="AJ134" s="482" t="str">
        <f>IF($AC$134="","",IFERROR(INDEX($BA$74:$BA$119,MATCH($AH$134,$AY$74:$AY$119,0)),1))</f>
        <v/>
      </c>
      <c r="AK134" s="482" t="str">
        <f t="shared" si="18"/>
        <v/>
      </c>
      <c r="AL134" s="477" t="str">
        <f>IF($AC$134="","",IFERROR(INDEX($BB$74:$BB$119,MATCH($AH$134,$AY$74:$AY$119,0)),$AH$134))</f>
        <v/>
      </c>
      <c r="AM134" s="483" t="str">
        <f t="shared" si="19"/>
        <v/>
      </c>
      <c r="AN134" s="484" t="str">
        <f t="shared" si="20"/>
        <v/>
      </c>
      <c r="AO134" s="473" t="str">
        <f t="shared" si="21"/>
        <v/>
      </c>
      <c r="AP134" s="473" t="str">
        <f t="shared" si="22"/>
        <v/>
      </c>
      <c r="AQ134" s="473" t="str">
        <f t="shared" si="23"/>
        <v/>
      </c>
      <c r="AR134" s="473" t="str">
        <f t="shared" si="24"/>
        <v/>
      </c>
      <c r="AS134" s="473" t="str">
        <f t="shared" si="25"/>
        <v/>
      </c>
      <c r="AT134" s="473" t="str">
        <f t="shared" si="26"/>
        <v/>
      </c>
      <c r="AU134" s="473" t="str">
        <f t="shared" si="27"/>
        <v/>
      </c>
      <c r="AZ134" s="31" t="s">
        <v>211</v>
      </c>
      <c r="BA134" s="34" t="s">
        <v>6121</v>
      </c>
      <c r="BB134" s="500"/>
      <c r="BC134" s="271"/>
      <c r="BD134" s="279">
        <v>1</v>
      </c>
      <c r="BE134" s="271"/>
      <c r="BF134" s="271"/>
      <c r="BG134" s="271"/>
      <c r="BH134" s="271"/>
      <c r="BI134" s="271"/>
      <c r="BJ134" s="271"/>
      <c r="BK134" s="271"/>
      <c r="BL134" s="271"/>
    </row>
    <row r="135" spans="18:64" ht="21" customHeight="1" x14ac:dyDescent="0.25">
      <c r="R135" s="34" t="s">
        <v>6123</v>
      </c>
      <c r="S135" s="451"/>
      <c r="T135" s="31" t="s">
        <v>18</v>
      </c>
      <c r="V135" s="475">
        <v>2</v>
      </c>
      <c r="W135" s="475" t="str">
        <f>IF($AC$135="","",$W$108)</f>
        <v/>
      </c>
      <c r="X135" s="476" t="str">
        <f>IF($AC$135="","",$X$108)</f>
        <v/>
      </c>
      <c r="Y135" s="477" t="str">
        <f>IF($X$135="","",$Y$108)</f>
        <v/>
      </c>
      <c r="Z135" s="477" t="str">
        <f>IF($X$135="","",$Z$108)</f>
        <v/>
      </c>
      <c r="AA135" s="477" t="str">
        <f>IF($AC$135="","",ROW($A$135)-ROW($A$108))</f>
        <v/>
      </c>
      <c r="AB135" s="478"/>
      <c r="AC135" s="34"/>
      <c r="AD135" s="356"/>
      <c r="AE135" s="18"/>
      <c r="AF135" s="19"/>
      <c r="AG135" s="480" t="str">
        <f t="shared" si="16"/>
        <v/>
      </c>
      <c r="AH135" s="481" t="str">
        <f t="shared" si="17"/>
        <v/>
      </c>
      <c r="AI135" s="477" t="str">
        <f>IF($AC$135="","",IFERROR(INDEX($AZ$74:$AZ$119,MATCH($AH$135,$AY$74:$AY$119,0)),"AUTRE"))</f>
        <v/>
      </c>
      <c r="AJ135" s="482" t="str">
        <f>IF($AC$135="","",IFERROR(INDEX($BA$74:$BA$119,MATCH($AH$135,$AY$74:$AY$119,0)),1))</f>
        <v/>
      </c>
      <c r="AK135" s="482" t="str">
        <f t="shared" si="18"/>
        <v/>
      </c>
      <c r="AL135" s="477" t="str">
        <f>IF($AC$135="","",IFERROR(INDEX($BB$74:$BB$119,MATCH($AH$135,$AY$74:$AY$119,0)),$AH$135))</f>
        <v/>
      </c>
      <c r="AM135" s="483" t="str">
        <f t="shared" si="19"/>
        <v/>
      </c>
      <c r="AN135" s="484" t="str">
        <f t="shared" si="20"/>
        <v/>
      </c>
      <c r="AO135" s="473" t="str">
        <f t="shared" si="21"/>
        <v/>
      </c>
      <c r="AP135" s="473" t="str">
        <f t="shared" si="22"/>
        <v/>
      </c>
      <c r="AQ135" s="473" t="str">
        <f t="shared" si="23"/>
        <v/>
      </c>
      <c r="AR135" s="473" t="str">
        <f t="shared" si="24"/>
        <v/>
      </c>
      <c r="AS135" s="473" t="str">
        <f t="shared" si="25"/>
        <v/>
      </c>
      <c r="AT135" s="473" t="str">
        <f t="shared" si="26"/>
        <v/>
      </c>
      <c r="AU135" s="473" t="str">
        <f t="shared" si="27"/>
        <v/>
      </c>
      <c r="AZ135" s="31" t="s">
        <v>20</v>
      </c>
      <c r="BA135" s="34" t="s">
        <v>6122</v>
      </c>
      <c r="BB135" s="500"/>
      <c r="BC135" s="271"/>
      <c r="BD135" s="279">
        <v>1</v>
      </c>
      <c r="BE135" s="271"/>
      <c r="BF135" s="271"/>
      <c r="BG135" s="271"/>
      <c r="BH135" s="271"/>
      <c r="BI135" s="271"/>
      <c r="BJ135" s="271"/>
      <c r="BK135" s="271"/>
      <c r="BL135" s="271"/>
    </row>
    <row r="136" spans="18:64" ht="21" customHeight="1" x14ac:dyDescent="0.25">
      <c r="R136" s="34" t="s">
        <v>6124</v>
      </c>
      <c r="S136" s="451"/>
      <c r="T136" s="31" t="s">
        <v>19</v>
      </c>
      <c r="V136" s="475">
        <v>2</v>
      </c>
      <c r="W136" s="475" t="str">
        <f>IF($AC$136="","",$W$108)</f>
        <v/>
      </c>
      <c r="X136" s="476" t="str">
        <f>IF($AC$136="","",$X$108)</f>
        <v/>
      </c>
      <c r="Y136" s="477" t="str">
        <f>IF($X$136="","",$Y$108)</f>
        <v/>
      </c>
      <c r="Z136" s="477" t="str">
        <f>IF($X$136="","",$Z$108)</f>
        <v/>
      </c>
      <c r="AA136" s="477" t="str">
        <f>IF($AC$136="","",ROW($A$136)-ROW($A$108))</f>
        <v/>
      </c>
      <c r="AB136" s="478"/>
      <c r="AC136" s="34"/>
      <c r="AD136" s="356"/>
      <c r="AE136" s="18"/>
      <c r="AF136" s="19"/>
      <c r="AG136" s="480" t="str">
        <f t="shared" si="16"/>
        <v/>
      </c>
      <c r="AH136" s="481" t="str">
        <f t="shared" si="17"/>
        <v/>
      </c>
      <c r="AI136" s="477" t="str">
        <f>IF($AC$136="","",IFERROR(INDEX($AZ$74:$AZ$119,MATCH($AH$136,$AY$74:$AY$119,0)),"AUTRE"))</f>
        <v/>
      </c>
      <c r="AJ136" s="482" t="str">
        <f>IF($AC$136="","",IFERROR(INDEX($BA$74:$BA$119,MATCH($AH$136,$AY$74:$AY$119,0)),1))</f>
        <v/>
      </c>
      <c r="AK136" s="482" t="str">
        <f t="shared" si="18"/>
        <v/>
      </c>
      <c r="AL136" s="477" t="str">
        <f>IF($AC$136="","",IFERROR(INDEX($BB$74:$BB$119,MATCH($AH$136,$AY$74:$AY$119,0)),$AH$136))</f>
        <v/>
      </c>
      <c r="AM136" s="483" t="str">
        <f t="shared" si="19"/>
        <v/>
      </c>
      <c r="AN136" s="484" t="str">
        <f t="shared" si="20"/>
        <v/>
      </c>
      <c r="AO136" s="473" t="str">
        <f t="shared" si="21"/>
        <v/>
      </c>
      <c r="AP136" s="473" t="str">
        <f t="shared" si="22"/>
        <v/>
      </c>
      <c r="AQ136" s="473" t="str">
        <f t="shared" si="23"/>
        <v/>
      </c>
      <c r="AR136" s="473" t="str">
        <f t="shared" si="24"/>
        <v/>
      </c>
      <c r="AS136" s="473" t="str">
        <f t="shared" si="25"/>
        <v/>
      </c>
      <c r="AT136" s="473" t="str">
        <f t="shared" si="26"/>
        <v/>
      </c>
      <c r="AU136" s="473" t="str">
        <f t="shared" si="27"/>
        <v/>
      </c>
      <c r="AZ136" s="31" t="s">
        <v>304</v>
      </c>
      <c r="BA136" s="34" t="s">
        <v>6123</v>
      </c>
      <c r="BB136" s="500"/>
      <c r="BC136" s="271"/>
      <c r="BD136" s="279">
        <v>1</v>
      </c>
      <c r="BE136" s="271"/>
      <c r="BF136" s="271"/>
      <c r="BG136" s="271"/>
      <c r="BH136" s="271"/>
      <c r="BI136" s="271"/>
      <c r="BJ136" s="271"/>
      <c r="BK136" s="271"/>
      <c r="BL136" s="271"/>
    </row>
    <row r="137" spans="18:64" ht="21" customHeight="1" x14ac:dyDescent="0.25">
      <c r="R137" s="34" t="s">
        <v>6125</v>
      </c>
      <c r="S137" s="451"/>
      <c r="T137" s="31" t="s">
        <v>211</v>
      </c>
      <c r="V137" s="475">
        <v>2</v>
      </c>
      <c r="W137" s="475" t="str">
        <f>IF($AC$137="","",$W$108)</f>
        <v/>
      </c>
      <c r="X137" s="476" t="str">
        <f>IF($AC$137="","",$X$108)</f>
        <v/>
      </c>
      <c r="Y137" s="477" t="str">
        <f>IF($X$137="","",$Y$108)</f>
        <v/>
      </c>
      <c r="Z137" s="477" t="str">
        <f>IF($X$137="","",$Z$108)</f>
        <v/>
      </c>
      <c r="AA137" s="477" t="str">
        <f>IF($AC$137="","",ROW($A$137)-ROW($A$108))</f>
        <v/>
      </c>
      <c r="AB137" s="478"/>
      <c r="AC137" s="34"/>
      <c r="AD137" s="356"/>
      <c r="AE137" s="18"/>
      <c r="AF137" s="19"/>
      <c r="AG137" s="480" t="str">
        <f t="shared" si="16"/>
        <v/>
      </c>
      <c r="AH137" s="481" t="str">
        <f t="shared" si="17"/>
        <v/>
      </c>
      <c r="AI137" s="477" t="str">
        <f>IF($AC$137="","",IFERROR(INDEX($AZ$74:$AZ$119,MATCH($AH$137,$AY$74:$AY$119,0)),"AUTRE"))</f>
        <v/>
      </c>
      <c r="AJ137" s="482" t="str">
        <f>IF($AC$137="","",IFERROR(INDEX($BA$74:$BA$119,MATCH($AH$137,$AY$74:$AY$119,0)),1))</f>
        <v/>
      </c>
      <c r="AK137" s="482" t="str">
        <f t="shared" si="18"/>
        <v/>
      </c>
      <c r="AL137" s="477" t="str">
        <f>IF($AC$137="","",IFERROR(INDEX($BB$74:$BB$119,MATCH($AH$137,$AY$74:$AY$119,0)),$AH$137))</f>
        <v/>
      </c>
      <c r="AM137" s="483" t="str">
        <f t="shared" si="19"/>
        <v/>
      </c>
      <c r="AN137" s="484" t="str">
        <f t="shared" si="20"/>
        <v/>
      </c>
      <c r="AO137" s="473" t="str">
        <f t="shared" si="21"/>
        <v/>
      </c>
      <c r="AP137" s="473" t="str">
        <f t="shared" si="22"/>
        <v/>
      </c>
      <c r="AQ137" s="473" t="str">
        <f t="shared" si="23"/>
        <v/>
      </c>
      <c r="AR137" s="473" t="str">
        <f t="shared" si="24"/>
        <v/>
      </c>
      <c r="AS137" s="473" t="str">
        <f t="shared" si="25"/>
        <v/>
      </c>
      <c r="AT137" s="473" t="str">
        <f t="shared" si="26"/>
        <v/>
      </c>
      <c r="AU137" s="473" t="str">
        <f t="shared" si="27"/>
        <v/>
      </c>
      <c r="AY137" s="497" t="s">
        <v>8145</v>
      </c>
      <c r="AZ137" s="31" t="s">
        <v>352</v>
      </c>
      <c r="BA137" s="34" t="s">
        <v>6124</v>
      </c>
      <c r="BB137" s="500"/>
      <c r="BC137" s="271"/>
      <c r="BD137" s="279">
        <v>1</v>
      </c>
      <c r="BE137" s="271"/>
      <c r="BF137" s="271"/>
      <c r="BG137" s="271"/>
      <c r="BH137" s="271"/>
      <c r="BI137" s="271"/>
      <c r="BJ137" s="271"/>
      <c r="BK137" s="271"/>
      <c r="BL137" s="271"/>
    </row>
    <row r="138" spans="18:64" ht="21" customHeight="1" x14ac:dyDescent="0.25">
      <c r="R138" s="34" t="s">
        <v>6126</v>
      </c>
      <c r="S138" s="451"/>
      <c r="T138" s="31" t="s">
        <v>20</v>
      </c>
      <c r="V138" s="475">
        <v>2</v>
      </c>
      <c r="W138" s="475" t="str">
        <f>IF($AC$138="","",$W$108)</f>
        <v/>
      </c>
      <c r="X138" s="476" t="str">
        <f>IF($AC$138="","",$X$108)</f>
        <v/>
      </c>
      <c r="Y138" s="477" t="str">
        <f>IF($X$138="","",$Y$108)</f>
        <v/>
      </c>
      <c r="Z138" s="477" t="str">
        <f>IF($X$138="","",$Z$108)</f>
        <v/>
      </c>
      <c r="AA138" s="477" t="str">
        <f>IF($AC$138="","",ROW($A$138)-ROW($A$108))</f>
        <v/>
      </c>
      <c r="AB138" s="478"/>
      <c r="AC138" s="34"/>
      <c r="AD138" s="356"/>
      <c r="AE138" s="18"/>
      <c r="AF138" s="19"/>
      <c r="AG138" s="480" t="str">
        <f t="shared" si="16"/>
        <v/>
      </c>
      <c r="AH138" s="481" t="str">
        <f t="shared" si="17"/>
        <v/>
      </c>
      <c r="AI138" s="477" t="str">
        <f>IF($AC$138="","",IFERROR(INDEX($AZ$74:$AZ$119,MATCH($AH$138,$AY$74:$AY$119,0)),"AUTRE"))</f>
        <v/>
      </c>
      <c r="AJ138" s="482" t="str">
        <f>IF($AC$138="","",IFERROR(INDEX($BA$74:$BA$119,MATCH($AH$138,$AY$74:$AY$119,0)),1))</f>
        <v/>
      </c>
      <c r="AK138" s="482" t="str">
        <f t="shared" si="18"/>
        <v/>
      </c>
      <c r="AL138" s="477" t="str">
        <f>IF($AC$138="","",IFERROR(INDEX($BB$74:$BB$119,MATCH($AH$138,$AY$74:$AY$119,0)),$AH$138))</f>
        <v/>
      </c>
      <c r="AM138" s="483" t="str">
        <f t="shared" si="19"/>
        <v/>
      </c>
      <c r="AN138" s="484" t="str">
        <f t="shared" si="20"/>
        <v/>
      </c>
      <c r="AO138" s="473" t="str">
        <f t="shared" si="21"/>
        <v/>
      </c>
      <c r="AP138" s="473" t="str">
        <f t="shared" si="22"/>
        <v/>
      </c>
      <c r="AQ138" s="473" t="str">
        <f t="shared" si="23"/>
        <v/>
      </c>
      <c r="AR138" s="473" t="str">
        <f t="shared" si="24"/>
        <v/>
      </c>
      <c r="AS138" s="473" t="str">
        <f t="shared" si="25"/>
        <v/>
      </c>
      <c r="AT138" s="473" t="str">
        <f t="shared" si="26"/>
        <v/>
      </c>
      <c r="AU138" s="473" t="str">
        <f t="shared" si="27"/>
        <v/>
      </c>
      <c r="AY138" s="497" t="s">
        <v>462</v>
      </c>
      <c r="AZ138" s="31" t="s">
        <v>27</v>
      </c>
      <c r="BA138" s="34" t="s">
        <v>6125</v>
      </c>
      <c r="BB138" s="500"/>
      <c r="BC138" s="271"/>
      <c r="BD138" s="279">
        <v>1</v>
      </c>
      <c r="BE138" s="271"/>
      <c r="BF138" s="271"/>
      <c r="BG138" s="271"/>
      <c r="BH138" s="271"/>
      <c r="BI138" s="271"/>
      <c r="BJ138" s="271"/>
      <c r="BK138" s="271"/>
      <c r="BL138" s="271"/>
    </row>
    <row r="139" spans="18:64" ht="21" customHeight="1" x14ac:dyDescent="0.25">
      <c r="R139" s="34" t="s">
        <v>6127</v>
      </c>
      <c r="S139" s="451"/>
      <c r="T139" s="31" t="s">
        <v>304</v>
      </c>
      <c r="V139" s="475">
        <v>2</v>
      </c>
      <c r="W139" s="475" t="str">
        <f>IF($AC$139="","",$W$108)</f>
        <v/>
      </c>
      <c r="X139" s="476" t="str">
        <f>IF($AC$139="","",$X$108)</f>
        <v/>
      </c>
      <c r="Y139" s="477" t="str">
        <f>IF($X$139="","",$Y$108)</f>
        <v/>
      </c>
      <c r="Z139" s="477" t="str">
        <f>IF($X$139="","",$Z$108)</f>
        <v/>
      </c>
      <c r="AA139" s="477" t="str">
        <f>IF($AC$139="","",ROW($A$139)-ROW($A$108))</f>
        <v/>
      </c>
      <c r="AB139" s="478"/>
      <c r="AC139" s="34"/>
      <c r="AD139" s="356"/>
      <c r="AE139" s="18"/>
      <c r="AF139" s="19"/>
      <c r="AG139" s="480" t="str">
        <f t="shared" si="16"/>
        <v/>
      </c>
      <c r="AH139" s="481" t="str">
        <f t="shared" si="17"/>
        <v/>
      </c>
      <c r="AI139" s="477" t="str">
        <f>IF($AC$139="","",IFERROR(INDEX($AZ$74:$AZ$119,MATCH($AH$139,$AY$74:$AY$119,0)),"AUTRE"))</f>
        <v/>
      </c>
      <c r="AJ139" s="482" t="str">
        <f>IF($AC$139="","",IFERROR(INDEX($BA$74:$BA$119,MATCH($AH$139,$AY$74:$AY$119,0)),1))</f>
        <v/>
      </c>
      <c r="AK139" s="482" t="str">
        <f t="shared" si="18"/>
        <v/>
      </c>
      <c r="AL139" s="477" t="str">
        <f>IF($AC$139="","",IFERROR(INDEX($BB$74:$BB$119,MATCH($AH$139,$AY$74:$AY$119,0)),$AH$139))</f>
        <v/>
      </c>
      <c r="AM139" s="483" t="str">
        <f t="shared" si="19"/>
        <v/>
      </c>
      <c r="AN139" s="484" t="str">
        <f t="shared" si="20"/>
        <v/>
      </c>
      <c r="AO139" s="473" t="str">
        <f t="shared" si="21"/>
        <v/>
      </c>
      <c r="AP139" s="473" t="str">
        <f t="shared" si="22"/>
        <v/>
      </c>
      <c r="AQ139" s="473" t="str">
        <f t="shared" si="23"/>
        <v/>
      </c>
      <c r="AR139" s="473" t="str">
        <f t="shared" si="24"/>
        <v/>
      </c>
      <c r="AS139" s="473" t="str">
        <f t="shared" si="25"/>
        <v/>
      </c>
      <c r="AT139" s="473" t="str">
        <f t="shared" si="26"/>
        <v/>
      </c>
      <c r="AU139" s="473" t="str">
        <f t="shared" si="27"/>
        <v/>
      </c>
      <c r="AY139" s="497" t="s">
        <v>463</v>
      </c>
      <c r="AZ139" s="31" t="s">
        <v>28</v>
      </c>
      <c r="BA139" s="34" t="s">
        <v>6126</v>
      </c>
      <c r="BB139" s="500"/>
      <c r="BC139" s="271"/>
      <c r="BD139" s="279">
        <v>1</v>
      </c>
      <c r="BE139" s="271"/>
      <c r="BF139" s="271"/>
      <c r="BG139" s="271"/>
      <c r="BH139" s="271"/>
      <c r="BI139" s="271"/>
      <c r="BJ139" s="271"/>
      <c r="BK139" s="271"/>
      <c r="BL139" s="271"/>
    </row>
    <row r="140" spans="18:64" ht="21" customHeight="1" x14ac:dyDescent="0.25">
      <c r="R140" s="25" t="s">
        <v>6128</v>
      </c>
      <c r="S140" s="451"/>
      <c r="T140" s="31" t="s">
        <v>352</v>
      </c>
      <c r="V140" s="475">
        <v>2</v>
      </c>
      <c r="W140" s="475" t="str">
        <f>IF($AC$140="","",$W$108)</f>
        <v/>
      </c>
      <c r="X140" s="476" t="str">
        <f>IF($AC$140="","",$X$108)</f>
        <v/>
      </c>
      <c r="Y140" s="477" t="str">
        <f>IF($X$140="","",$Y$108)</f>
        <v/>
      </c>
      <c r="Z140" s="477" t="str">
        <f>IF($X$140="","",$Z$108)</f>
        <v/>
      </c>
      <c r="AA140" s="477" t="str">
        <f>IF($AC$140="","",ROW($A$140)-ROW($A$108))</f>
        <v/>
      </c>
      <c r="AB140" s="478"/>
      <c r="AC140" s="34"/>
      <c r="AD140" s="356"/>
      <c r="AE140" s="18"/>
      <c r="AF140" s="19"/>
      <c r="AG140" s="480" t="str">
        <f t="shared" si="16"/>
        <v/>
      </c>
      <c r="AH140" s="481" t="str">
        <f t="shared" si="17"/>
        <v/>
      </c>
      <c r="AI140" s="477" t="str">
        <f>IF($AC$140="","",IFERROR(INDEX($AZ$74:$AZ$119,MATCH($AH$140,$AY$74:$AY$119,0)),"AUTRE"))</f>
        <v/>
      </c>
      <c r="AJ140" s="482" t="str">
        <f>IF($AC$140="","",IFERROR(INDEX($BA$74:$BA$119,MATCH($AH$140,$AY$74:$AY$119,0)),1))</f>
        <v/>
      </c>
      <c r="AK140" s="482" t="str">
        <f t="shared" si="18"/>
        <v/>
      </c>
      <c r="AL140" s="477" t="str">
        <f>IF($AC$140="","",IFERROR(INDEX($BB$74:$BB$119,MATCH($AH$140,$AY$74:$AY$119,0)),$AH$140))</f>
        <v/>
      </c>
      <c r="AM140" s="483" t="str">
        <f t="shared" si="19"/>
        <v/>
      </c>
      <c r="AN140" s="484" t="str">
        <f t="shared" si="20"/>
        <v/>
      </c>
      <c r="AO140" s="473" t="str">
        <f t="shared" si="21"/>
        <v/>
      </c>
      <c r="AP140" s="473" t="str">
        <f t="shared" si="22"/>
        <v/>
      </c>
      <c r="AQ140" s="473" t="str">
        <f t="shared" si="23"/>
        <v/>
      </c>
      <c r="AR140" s="473" t="str">
        <f t="shared" si="24"/>
        <v/>
      </c>
      <c r="AS140" s="473" t="str">
        <f t="shared" si="25"/>
        <v/>
      </c>
      <c r="AT140" s="473" t="str">
        <f t="shared" si="26"/>
        <v/>
      </c>
      <c r="AU140" s="473" t="str">
        <f t="shared" si="27"/>
        <v/>
      </c>
      <c r="AY140" s="497" t="s">
        <v>8147</v>
      </c>
      <c r="AZ140" s="31" t="s">
        <v>29</v>
      </c>
      <c r="BA140" s="34" t="s">
        <v>6127</v>
      </c>
      <c r="BB140" s="500"/>
      <c r="BC140" s="271"/>
      <c r="BD140" s="279">
        <v>1</v>
      </c>
      <c r="BE140" s="271"/>
      <c r="BF140" s="271"/>
      <c r="BG140" s="271"/>
      <c r="BH140" s="271"/>
      <c r="BI140" s="271"/>
      <c r="BJ140" s="271"/>
      <c r="BK140" s="271"/>
      <c r="BL140" s="271"/>
    </row>
    <row r="141" spans="18:64" ht="21" customHeight="1" x14ac:dyDescent="0.25">
      <c r="R141" s="34" t="s">
        <v>474</v>
      </c>
      <c r="S141" s="451"/>
      <c r="T141" s="31" t="s">
        <v>25</v>
      </c>
      <c r="V141" s="475">
        <v>2</v>
      </c>
      <c r="W141" s="475" t="str">
        <f>IF($AC$141="","",$W$108)</f>
        <v/>
      </c>
      <c r="X141" s="476" t="str">
        <f>IF($AC$141="","",$X$108)</f>
        <v/>
      </c>
      <c r="Y141" s="477" t="str">
        <f>IF($X$141="","",$Y$108)</f>
        <v/>
      </c>
      <c r="Z141" s="477" t="str">
        <f>IF($X$141="","",$Z$108)</f>
        <v/>
      </c>
      <c r="AA141" s="477" t="str">
        <f>IF($AC$141="","",ROW($A$141)-ROW($A$108))</f>
        <v/>
      </c>
      <c r="AB141" s="478"/>
      <c r="AC141" s="34"/>
      <c r="AD141" s="356"/>
      <c r="AE141" s="18"/>
      <c r="AF141" s="19"/>
      <c r="AG141" s="480" t="str">
        <f t="shared" si="16"/>
        <v/>
      </c>
      <c r="AH141" s="481" t="str">
        <f t="shared" si="17"/>
        <v/>
      </c>
      <c r="AI141" s="477" t="str">
        <f>IF($AC$141="","",IFERROR(INDEX($AZ$74:$AZ$119,MATCH($AH$141,$AY$74:$AY$119,0)),"AUTRE"))</f>
        <v/>
      </c>
      <c r="AJ141" s="482" t="str">
        <f>IF($AC$141="","",IFERROR(INDEX($BA$74:$BA$119,MATCH($AH$141,$AY$74:$AY$119,0)),1))</f>
        <v/>
      </c>
      <c r="AK141" s="482" t="str">
        <f t="shared" si="18"/>
        <v/>
      </c>
      <c r="AL141" s="477" t="str">
        <f>IF($AC$141="","",IFERROR(INDEX($BB$74:$BB$119,MATCH($AH$141,$AY$74:$AY$119,0)),$AH$141))</f>
        <v/>
      </c>
      <c r="AM141" s="483" t="str">
        <f t="shared" si="19"/>
        <v/>
      </c>
      <c r="AN141" s="484" t="str">
        <f t="shared" si="20"/>
        <v/>
      </c>
      <c r="AO141" s="473" t="str">
        <f t="shared" si="21"/>
        <v/>
      </c>
      <c r="AP141" s="473" t="str">
        <f t="shared" si="22"/>
        <v/>
      </c>
      <c r="AQ141" s="473" t="str">
        <f t="shared" si="23"/>
        <v/>
      </c>
      <c r="AR141" s="473" t="str">
        <f t="shared" si="24"/>
        <v/>
      </c>
      <c r="AS141" s="473" t="str">
        <f t="shared" si="25"/>
        <v/>
      </c>
      <c r="AT141" s="473" t="str">
        <f t="shared" si="26"/>
        <v/>
      </c>
      <c r="AU141" s="473" t="str">
        <f t="shared" si="27"/>
        <v/>
      </c>
      <c r="AY141" s="497" t="s">
        <v>465</v>
      </c>
      <c r="AZ141" s="31" t="s">
        <v>30</v>
      </c>
      <c r="BA141" s="25" t="s">
        <v>6128</v>
      </c>
      <c r="BB141" s="500"/>
      <c r="BC141" s="271"/>
      <c r="BD141" s="279">
        <v>1</v>
      </c>
      <c r="BE141" s="271"/>
      <c r="BF141" s="271"/>
      <c r="BG141" s="271"/>
      <c r="BH141" s="271"/>
      <c r="BI141" s="271"/>
      <c r="BJ141" s="271"/>
      <c r="BK141" s="271"/>
      <c r="BL141" s="271"/>
    </row>
    <row r="142" spans="18:64" ht="21" customHeight="1" x14ac:dyDescent="0.25">
      <c r="R142" s="34" t="s">
        <v>490</v>
      </c>
      <c r="S142" s="451"/>
      <c r="T142" s="31" t="s">
        <v>26</v>
      </c>
      <c r="V142" s="475">
        <v>2</v>
      </c>
      <c r="W142" s="475" t="str">
        <f>IF($AC$142="","",$W$108)</f>
        <v/>
      </c>
      <c r="X142" s="476" t="str">
        <f>IF($AC$142="","",$X$108)</f>
        <v/>
      </c>
      <c r="Y142" s="477" t="str">
        <f>IF($X$142="","",$Y$108)</f>
        <v/>
      </c>
      <c r="Z142" s="477" t="str">
        <f>IF($X$142="","",$Z$108)</f>
        <v/>
      </c>
      <c r="AA142" s="477" t="str">
        <f>IF($AC$142="","",ROW($A$142)-ROW($A$108))</f>
        <v/>
      </c>
      <c r="AB142" s="478"/>
      <c r="AC142" s="34"/>
      <c r="AD142" s="356"/>
      <c r="AE142" s="18"/>
      <c r="AF142" s="24"/>
      <c r="AG142" s="491" t="str">
        <f t="shared" si="16"/>
        <v/>
      </c>
      <c r="AH142" s="481" t="str">
        <f t="shared" si="17"/>
        <v/>
      </c>
      <c r="AI142" s="477" t="str">
        <f>IF($AC$142="","",IFERROR(INDEX($AZ$74:$AZ$119,MATCH($AH$142,$AY$74:$AY$119,0)),"AUTRE"))</f>
        <v/>
      </c>
      <c r="AJ142" s="482" t="str">
        <f>IF($AC$142="","",IFERROR(INDEX($BA$74:$BA$119,MATCH($AH$142,$AY$74:$AY$119,0)),1))</f>
        <v/>
      </c>
      <c r="AK142" s="482" t="str">
        <f t="shared" si="18"/>
        <v/>
      </c>
      <c r="AL142" s="477" t="str">
        <f>IF($AC$142="","",IFERROR(INDEX($BB$74:$BB$119,MATCH($AH$142,$AY$74:$AY$119,0)),$AH$142))</f>
        <v/>
      </c>
      <c r="AM142" s="483" t="str">
        <f t="shared" si="19"/>
        <v/>
      </c>
      <c r="AN142" s="484" t="str">
        <f t="shared" si="20"/>
        <v/>
      </c>
      <c r="AO142" s="473" t="str">
        <f t="shared" si="21"/>
        <v/>
      </c>
      <c r="AP142" s="473" t="str">
        <f t="shared" si="22"/>
        <v/>
      </c>
      <c r="AQ142" s="473" t="str">
        <f t="shared" si="23"/>
        <v/>
      </c>
      <c r="AR142" s="473" t="str">
        <f t="shared" si="24"/>
        <v/>
      </c>
      <c r="AS142" s="473" t="str">
        <f t="shared" si="25"/>
        <v/>
      </c>
      <c r="AT142" s="473" t="str">
        <f t="shared" si="26"/>
        <v/>
      </c>
      <c r="AU142" s="473" t="str">
        <f t="shared" si="27"/>
        <v/>
      </c>
      <c r="AY142" s="497" t="s">
        <v>466</v>
      </c>
      <c r="AZ142" s="32" t="s">
        <v>33</v>
      </c>
      <c r="BA142" s="34" t="s">
        <v>474</v>
      </c>
      <c r="BB142" s="500"/>
      <c r="BC142" s="271"/>
      <c r="BD142" s="279">
        <v>1</v>
      </c>
      <c r="BE142" s="271"/>
      <c r="BF142" s="271"/>
      <c r="BG142" s="271"/>
      <c r="BH142" s="271"/>
      <c r="BI142" s="271"/>
      <c r="BJ142" s="271"/>
      <c r="BK142" s="271"/>
      <c r="BL142" s="271"/>
    </row>
    <row r="143" spans="18:64" ht="30" customHeight="1" x14ac:dyDescent="0.25">
      <c r="R143" s="34" t="s">
        <v>6129</v>
      </c>
      <c r="S143" s="451"/>
      <c r="T143" s="31" t="s">
        <v>27</v>
      </c>
      <c r="V143" s="453" t="s">
        <v>324</v>
      </c>
      <c r="W143" s="453" t="s">
        <v>7912</v>
      </c>
      <c r="X143" s="453" t="s">
        <v>326</v>
      </c>
      <c r="Y143" s="453" t="s">
        <v>327</v>
      </c>
      <c r="Z143" s="453" t="s">
        <v>7930</v>
      </c>
      <c r="AA143" s="453" t="s">
        <v>7937</v>
      </c>
      <c r="AB143" s="455" t="s">
        <v>39</v>
      </c>
      <c r="AC143" s="455" t="s">
        <v>338</v>
      </c>
      <c r="AD143" s="455" t="s">
        <v>8114</v>
      </c>
      <c r="AE143" s="455" t="s">
        <v>339</v>
      </c>
      <c r="AF143" s="455" t="s">
        <v>7997</v>
      </c>
      <c r="AG143" s="453" t="s">
        <v>8018</v>
      </c>
      <c r="AH143" s="453" t="s">
        <v>8023</v>
      </c>
      <c r="AI143" s="453" t="s">
        <v>330</v>
      </c>
      <c r="AJ143" s="453" t="s">
        <v>8031</v>
      </c>
      <c r="AK143" s="453" t="s">
        <v>8037</v>
      </c>
      <c r="AL143" s="453" t="s">
        <v>8041</v>
      </c>
      <c r="AM143" s="453" t="s">
        <v>343</v>
      </c>
      <c r="AN143" s="457" t="s">
        <v>8115</v>
      </c>
      <c r="AO143" s="457" t="s">
        <v>8116</v>
      </c>
      <c r="AP143" s="656" t="s">
        <v>8117</v>
      </c>
      <c r="AQ143" s="656"/>
      <c r="AR143" s="656"/>
      <c r="AS143" s="656"/>
      <c r="AT143" s="656"/>
      <c r="AU143" s="657"/>
      <c r="AZ143" s="32" t="s">
        <v>8125</v>
      </c>
      <c r="BA143" s="34" t="s">
        <v>490</v>
      </c>
      <c r="BB143" s="500"/>
      <c r="BC143" s="271"/>
      <c r="BD143" s="279">
        <v>1</v>
      </c>
      <c r="BE143" s="271"/>
      <c r="BF143" s="271"/>
      <c r="BG143" s="271"/>
      <c r="BH143" s="271"/>
      <c r="BI143" s="271"/>
      <c r="BJ143" s="271"/>
      <c r="BK143" s="271"/>
      <c r="BL143" s="271"/>
    </row>
    <row r="144" spans="18:64" ht="30" customHeight="1" x14ac:dyDescent="0.25">
      <c r="R144" s="34" t="s">
        <v>478</v>
      </c>
      <c r="S144" s="451"/>
      <c r="T144" s="31" t="s">
        <v>28</v>
      </c>
      <c r="V144" s="459">
        <v>3</v>
      </c>
      <c r="W144" s="460" t="s">
        <v>255</v>
      </c>
      <c r="X144" s="461" t="s">
        <v>254</v>
      </c>
      <c r="Y144" s="462">
        <v>58</v>
      </c>
      <c r="Z144" s="463">
        <v>100</v>
      </c>
      <c r="AA144" s="464">
        <f>IF($AC$396="","",ROW($A$396)-ROW($A$396))</f>
        <v>0</v>
      </c>
      <c r="AB144" s="461"/>
      <c r="AC144" s="465" t="s">
        <v>91</v>
      </c>
      <c r="AD144" s="390"/>
      <c r="AE144" s="13">
        <v>20</v>
      </c>
      <c r="AF144" s="20" t="s">
        <v>9</v>
      </c>
      <c r="AG144" s="467">
        <f t="shared" ref="AG144:AG178" si="28">IF($AC144="","",IF(LEN($AN144&amp;"")=0,"",$AN144))</f>
        <v>20</v>
      </c>
      <c r="AH144" s="468" t="str">
        <f t="shared" ref="AH144:AH178" si="29">IF($AC144="","",IF($AF144&lt;&gt;"",UPPER(TRIM(SUBSTITUTE(SUBSTITUTE($AF144&amp;"",CHAR(160)," ")," "," "))),$AP144))</f>
        <v>L</v>
      </c>
      <c r="AI144" s="469" t="str">
        <f>IF($AC$144="","",IFERROR(INDEX($AZ$74:$AZ$119,MATCH($AH$144,$AY$74:$AY$119,0)),"AUTRE"))</f>
        <v>VOLUME</v>
      </c>
      <c r="AJ144" s="470">
        <f>IF($AC$144="","",IFERROR(INDEX($BA$74:$BA$119,MATCH($AH$144,$AY$74:$AY$119,0)),1))</f>
        <v>1</v>
      </c>
      <c r="AK144" s="470">
        <f t="shared" ref="AK144:AK178" si="30">IF(OR(AG144="",AJ144=""),"",AG144*AJ144)</f>
        <v>20</v>
      </c>
      <c r="AL144" s="469" t="str">
        <f>IF($AC$144="","",IFERROR(INDEX($BB$74:$BB$119,MATCH($AH$144,$AY$74:$AY$119,0)),$AH$144))</f>
        <v>L</v>
      </c>
      <c r="AM144" s="471" t="str">
        <f t="shared" ref="AM144:AM178" si="31">IF($AC144="","",IF($AH144="QT. SUFFISANTE","OK",IF($AG144="","TEXTE",IF(NOT(ISNUMBER($AG144)),"QUANTITÉ À CONTRÔLER",IF(COUNTIF($AY$74:$AY$119,$AH144)=0,"UNITÉ À CONTRÔLER","OK")))))</f>
        <v>OK</v>
      </c>
      <c r="AN144" s="474">
        <f t="shared" ref="AN144:AN178" si="32">IF($AE144&lt;&gt;"",$AE144,IF($AD144="","",IF(ISNUMBER($AD144),$AD144,IF($AO144="QT",0,IF($AO144="","",IFERROR(IF(ISNUMBER(SEARCH("/",$AO144)),VALUE(TRIM(LEFT($AO144,SEARCH("/",$AO144)-1)))/VALUE(TRIM(MID($AO144,SEARCH("/",$AO144)+1,99))),VALUE(SUBSTITUTE($AO144,".",","))),""))))))</f>
        <v>20</v>
      </c>
      <c r="AO144" s="473" t="str">
        <f t="shared" ref="AO144:AO178" si="33">IF($AD144="","",IF(ISNUMBER($AD144),$AD144,IF(OR(LEFT($AQ144,3)="QT.",LEFT($AQ144,4)="QUAN"),"QT",IF($AR144=999,$AQ144,TRIM(LEFT($AQ144,$AR144-1))))))</f>
        <v/>
      </c>
      <c r="AP144" s="473" t="str">
        <f t="shared" ref="AP144:AP178" si="34">IF($AD144="","",IF(ISNUMBER($AD144),"",IF(OR(LEFT($AQ144,3)="QT.",LEFT($AQ144,4)="QUAN"),"QT. SUFFISANTE",IF($AO144="","",TRIM(MID($AQ144,LEN($AO144&amp;"")+1,999))))))</f>
        <v/>
      </c>
      <c r="AQ144" s="473" t="str">
        <f t="shared" ref="AQ144:AQ178" si="35">IF($AD144="","",UPPER(TRIM(SUBSTITUTE(SUBSTITUTE($AD144&amp;"",CHAR(160)," ")," "," "))))</f>
        <v/>
      </c>
      <c r="AR144" s="473" t="str">
        <f t="shared" ref="AR144:AR178" si="36">IF($AQ144="","",MIN($AS144,$AT144,$AU144))</f>
        <v/>
      </c>
      <c r="AS144" s="473" t="str">
        <f t="shared" ref="AS144:AS178" si="37">IF($AQ144="","",MIN(IFERROR(SEARCH("A",$AQ144),999),IFERROR(SEARCH("B",$AQ144),999),IFERROR(SEARCH("C",$AQ144),999),IFERROR(SEARCH("D",$AQ144),999),IFERROR(SEARCH("E",$AQ144),999),IFERROR(SEARCH("F",$AQ144),999),IFERROR(SEARCH("G",$AQ144),999),IFERROR(SEARCH("H",$AQ144),999),IFERROR(SEARCH("I",$AQ144),999)))</f>
        <v/>
      </c>
      <c r="AT144" s="473" t="str">
        <f t="shared" ref="AT144:AT178" si="38">IF($AQ144="","",MIN(IFERROR(SEARCH("J",$AQ144),999),IFERROR(SEARCH("K",$AQ144),999),IFERROR(SEARCH("L",$AQ144),999),IFERROR(SEARCH("M",$AQ144),999),IFERROR(SEARCH("N",$AQ144),999),IFERROR(SEARCH("O",$AQ144),999),IFERROR(SEARCH("P",$AQ144),999),IFERROR(SEARCH("Q",$AQ144),999),IFERROR(SEARCH("R",$AQ144),999)))</f>
        <v/>
      </c>
      <c r="AU144" s="473" t="str">
        <f t="shared" ref="AU144:AU178" si="39">IF($AQ144="","",MIN(IFERROR(SEARCH("S",$AQ144),999),IFERROR(SEARCH("T",$AQ144),999),IFERROR(SEARCH("U",$AQ144),999),IFERROR(SEARCH("V",$AQ144),999),IFERROR(SEARCH("W",$AQ144),999),IFERROR(SEARCH("X",$AQ144),999),IFERROR(SEARCH("Y",$AQ144),999),IFERROR(SEARCH("Z",$AQ144),999)))</f>
        <v/>
      </c>
      <c r="AZ144" s="32" t="s">
        <v>8127</v>
      </c>
      <c r="BA144" s="34" t="s">
        <v>6129</v>
      </c>
      <c r="BB144" s="500"/>
      <c r="BC144" s="271"/>
      <c r="BD144" s="279">
        <v>1</v>
      </c>
      <c r="BE144" s="271"/>
      <c r="BF144" s="271"/>
      <c r="BG144" s="271"/>
      <c r="BH144" s="271"/>
      <c r="BI144" s="271"/>
      <c r="BJ144" s="271"/>
      <c r="BK144" s="271"/>
      <c r="BL144" s="271"/>
    </row>
    <row r="145" spans="18:64" ht="21" customHeight="1" x14ac:dyDescent="0.25">
      <c r="R145" s="34" t="s">
        <v>6130</v>
      </c>
      <c r="S145" s="451"/>
      <c r="T145" s="31" t="s">
        <v>29</v>
      </c>
      <c r="V145" s="475">
        <f>$V$144</f>
        <v>3</v>
      </c>
      <c r="W145" s="475" t="str">
        <f>IF($AC$145="","",$W$144)</f>
        <v>N°41</v>
      </c>
      <c r="X145" s="476" t="str">
        <f>IF($AC$145="","",$X$144)</f>
        <v>MINESTRONE</v>
      </c>
      <c r="Y145" s="477">
        <f>IF($X$145="","",$Y$144)</f>
        <v>58</v>
      </c>
      <c r="Z145" s="477">
        <f>IF($X$145="","",$Z$144)</f>
        <v>100</v>
      </c>
      <c r="AA145" s="477">
        <f>IF($AC$145="","",ROW($A$145)-ROW($A$144))</f>
        <v>1</v>
      </c>
      <c r="AB145" s="478"/>
      <c r="AC145" s="34" t="s">
        <v>42</v>
      </c>
      <c r="AD145" s="356"/>
      <c r="AE145" s="18">
        <v>1</v>
      </c>
      <c r="AF145" s="23" t="s">
        <v>449</v>
      </c>
      <c r="AG145" s="480">
        <f t="shared" si="28"/>
        <v>1</v>
      </c>
      <c r="AH145" s="481" t="str">
        <f t="shared" si="29"/>
        <v>BOUTEILLE(S)</v>
      </c>
      <c r="AI145" s="477" t="str">
        <f>IF($AC$145="","",IFERROR(INDEX($AZ$74:$AZ$119,MATCH($AH$145,$AY$74:$AY$119,0)),"AUTRE"))</f>
        <v>AUTRE</v>
      </c>
      <c r="AJ145" s="482">
        <f>IF($AC$145="","",IFERROR(INDEX($BA$74:$BA$119,MATCH($AH$145,$AY$74:$AY$119,0)),1))</f>
        <v>1</v>
      </c>
      <c r="AK145" s="482">
        <f t="shared" si="30"/>
        <v>1</v>
      </c>
      <c r="AL145" s="477" t="str">
        <f>IF($AC$145="","",IFERROR(INDEX($BB$74:$BB$119,MATCH($AH$145,$AY$74:$AY$119,0)),$AH$145))</f>
        <v>bouteille(s)</v>
      </c>
      <c r="AM145" s="483" t="str">
        <f t="shared" si="31"/>
        <v>OK</v>
      </c>
      <c r="AN145" s="484">
        <f t="shared" si="32"/>
        <v>1</v>
      </c>
      <c r="AO145" s="473" t="str">
        <f t="shared" si="33"/>
        <v/>
      </c>
      <c r="AP145" s="473" t="str">
        <f t="shared" si="34"/>
        <v/>
      </c>
      <c r="AQ145" s="473" t="str">
        <f t="shared" si="35"/>
        <v/>
      </c>
      <c r="AR145" s="473" t="str">
        <f t="shared" si="36"/>
        <v/>
      </c>
      <c r="AS145" s="473" t="str">
        <f t="shared" si="37"/>
        <v/>
      </c>
      <c r="AT145" s="473" t="str">
        <f t="shared" si="38"/>
        <v/>
      </c>
      <c r="AU145" s="473" t="str">
        <f t="shared" si="39"/>
        <v/>
      </c>
      <c r="AZ145" s="32" t="s">
        <v>320</v>
      </c>
      <c r="BA145" s="34" t="s">
        <v>478</v>
      </c>
      <c r="BB145" s="500"/>
      <c r="BC145" s="271"/>
      <c r="BD145" s="279">
        <v>1</v>
      </c>
      <c r="BE145" s="271"/>
      <c r="BF145" s="271"/>
      <c r="BG145" s="271"/>
      <c r="BH145" s="271"/>
      <c r="BI145" s="271"/>
      <c r="BJ145" s="271"/>
      <c r="BK145" s="271"/>
      <c r="BL145" s="271"/>
    </row>
    <row r="146" spans="18:64" ht="21" customHeight="1" x14ac:dyDescent="0.25">
      <c r="R146" s="34" t="s">
        <v>486</v>
      </c>
      <c r="S146" s="451"/>
      <c r="T146" s="31" t="s">
        <v>30</v>
      </c>
      <c r="V146" s="475">
        <v>3</v>
      </c>
      <c r="W146" s="475" t="str">
        <f>IF($AC$146="","",$W$144)</f>
        <v>N°41</v>
      </c>
      <c r="X146" s="476" t="str">
        <f>IF($AC$146="","",$X$144)</f>
        <v>MINESTRONE</v>
      </c>
      <c r="Y146" s="477">
        <f>IF($X$146="","",$Y$144)</f>
        <v>58</v>
      </c>
      <c r="Z146" s="477">
        <f>IF($X$146="","",$Z$144)</f>
        <v>100</v>
      </c>
      <c r="AA146" s="477">
        <f>IF($AC$146="","",ROW($A$146)-ROW($A$144))</f>
        <v>2</v>
      </c>
      <c r="AB146" s="478"/>
      <c r="AC146" s="34" t="s">
        <v>256</v>
      </c>
      <c r="AD146" s="356"/>
      <c r="AE146" s="18">
        <v>2</v>
      </c>
      <c r="AF146" s="11" t="s">
        <v>7</v>
      </c>
      <c r="AG146" s="480">
        <f t="shared" si="28"/>
        <v>2</v>
      </c>
      <c r="AH146" s="481" t="str">
        <f t="shared" si="29"/>
        <v>KG</v>
      </c>
      <c r="AI146" s="477" t="str">
        <f>IF($AC$146="","",IFERROR(INDEX($AZ$74:$AZ$119,MATCH($AH$146,$AY$74:$AY$119,0)),"AUTRE"))</f>
        <v>MASSE</v>
      </c>
      <c r="AJ146" s="482">
        <f>IF($AC$146="","",IFERROR(INDEX($BA$74:$BA$119,MATCH($AH$146,$AY$74:$AY$119,0)),1))</f>
        <v>1</v>
      </c>
      <c r="AK146" s="482">
        <f t="shared" si="30"/>
        <v>2</v>
      </c>
      <c r="AL146" s="477" t="str">
        <f>IF($AC$146="","",IFERROR(INDEX($BB$74:$BB$119,MATCH($AH$146,$AY$74:$AY$119,0)),$AH$146))</f>
        <v>kg</v>
      </c>
      <c r="AM146" s="483" t="str">
        <f t="shared" si="31"/>
        <v>OK</v>
      </c>
      <c r="AN146" s="484">
        <f t="shared" si="32"/>
        <v>2</v>
      </c>
      <c r="AO146" s="473" t="str">
        <f t="shared" si="33"/>
        <v/>
      </c>
      <c r="AP146" s="473" t="str">
        <f t="shared" si="34"/>
        <v/>
      </c>
      <c r="AQ146" s="473" t="str">
        <f t="shared" si="35"/>
        <v/>
      </c>
      <c r="AR146" s="473" t="str">
        <f t="shared" si="36"/>
        <v/>
      </c>
      <c r="AS146" s="473" t="str">
        <f t="shared" si="37"/>
        <v/>
      </c>
      <c r="AT146" s="473" t="str">
        <f t="shared" si="38"/>
        <v/>
      </c>
      <c r="AU146" s="473" t="str">
        <f t="shared" si="39"/>
        <v/>
      </c>
      <c r="AZ146" s="32" t="s">
        <v>318</v>
      </c>
      <c r="BA146" s="34" t="s">
        <v>6130</v>
      </c>
      <c r="BB146" s="500"/>
      <c r="BC146" s="271"/>
      <c r="BD146" s="279">
        <v>1</v>
      </c>
      <c r="BE146" s="271"/>
      <c r="BF146" s="271"/>
      <c r="BG146" s="271"/>
      <c r="BH146" s="271"/>
      <c r="BI146" s="271"/>
      <c r="BJ146" s="271"/>
      <c r="BK146" s="271"/>
      <c r="BL146" s="271"/>
    </row>
    <row r="147" spans="18:64" ht="21" customHeight="1" x14ac:dyDescent="0.25">
      <c r="R147" s="34" t="s">
        <v>479</v>
      </c>
      <c r="S147" s="451"/>
      <c r="T147" s="31" t="s">
        <v>31</v>
      </c>
      <c r="V147" s="475">
        <v>3</v>
      </c>
      <c r="W147" s="475" t="str">
        <f>IF($AC$147="","",$W$144)</f>
        <v>N°41</v>
      </c>
      <c r="X147" s="476" t="str">
        <f>IF($AC$147="","",$X$144)</f>
        <v>MINESTRONE</v>
      </c>
      <c r="Y147" s="477">
        <f>IF($X$147="","",$Y$144)</f>
        <v>58</v>
      </c>
      <c r="Z147" s="477">
        <f>IF($X$147="","",$Z$144)</f>
        <v>100</v>
      </c>
      <c r="AA147" s="477">
        <f>IF($AC$147="","",ROW($A$147)-ROW($A$144))</f>
        <v>3</v>
      </c>
      <c r="AB147" s="478"/>
      <c r="AC147" s="34" t="s">
        <v>257</v>
      </c>
      <c r="AD147" s="356"/>
      <c r="AE147" s="18">
        <v>2</v>
      </c>
      <c r="AF147" s="11" t="s">
        <v>7</v>
      </c>
      <c r="AG147" s="480">
        <f t="shared" si="28"/>
        <v>2</v>
      </c>
      <c r="AH147" s="481" t="str">
        <f t="shared" si="29"/>
        <v>KG</v>
      </c>
      <c r="AI147" s="477" t="str">
        <f>IF($AC$147="","",IFERROR(INDEX($AZ$74:$AZ$119,MATCH($AH$147,$AY$74:$AY$119,0)),"AUTRE"))</f>
        <v>MASSE</v>
      </c>
      <c r="AJ147" s="482">
        <f>IF($AC$147="","",IFERROR(INDEX($BA$74:$BA$119,MATCH($AH$147,$AY$74:$AY$119,0)),1))</f>
        <v>1</v>
      </c>
      <c r="AK147" s="482">
        <f t="shared" si="30"/>
        <v>2</v>
      </c>
      <c r="AL147" s="477" t="str">
        <f>IF($AC$147="","",IFERROR(INDEX($BB$74:$BB$119,MATCH($AH$147,$AY$74:$AY$119,0)),$AH$147))</f>
        <v>kg</v>
      </c>
      <c r="AM147" s="483" t="str">
        <f t="shared" si="31"/>
        <v>OK</v>
      </c>
      <c r="AN147" s="484">
        <f t="shared" si="32"/>
        <v>2</v>
      </c>
      <c r="AO147" s="473" t="str">
        <f t="shared" si="33"/>
        <v/>
      </c>
      <c r="AP147" s="473" t="str">
        <f t="shared" si="34"/>
        <v/>
      </c>
      <c r="AQ147" s="473" t="str">
        <f t="shared" si="35"/>
        <v/>
      </c>
      <c r="AR147" s="473" t="str">
        <f t="shared" si="36"/>
        <v/>
      </c>
      <c r="AS147" s="473" t="str">
        <f t="shared" si="37"/>
        <v/>
      </c>
      <c r="AT147" s="473" t="str">
        <f t="shared" si="38"/>
        <v/>
      </c>
      <c r="AU147" s="473" t="str">
        <f t="shared" si="39"/>
        <v/>
      </c>
      <c r="AZ147" s="32" t="s">
        <v>316</v>
      </c>
      <c r="BA147" s="34" t="s">
        <v>486</v>
      </c>
      <c r="BB147" s="500"/>
      <c r="BC147" s="271"/>
      <c r="BD147" s="279">
        <v>1</v>
      </c>
      <c r="BE147" s="271"/>
      <c r="BF147" s="271"/>
      <c r="BG147" s="271"/>
      <c r="BH147" s="271"/>
      <c r="BI147" s="271"/>
      <c r="BJ147" s="271"/>
      <c r="BK147" s="271"/>
      <c r="BL147" s="271"/>
    </row>
    <row r="148" spans="18:64" ht="21" customHeight="1" x14ac:dyDescent="0.25">
      <c r="R148" s="34" t="s">
        <v>6131</v>
      </c>
      <c r="S148" s="451"/>
      <c r="T148" s="32" t="s">
        <v>33</v>
      </c>
      <c r="V148" s="475">
        <v>3</v>
      </c>
      <c r="W148" s="475" t="str">
        <f>IF($AC$148="","",$W$144)</f>
        <v>N°41</v>
      </c>
      <c r="X148" s="476" t="str">
        <f>IF($AC$148="","",$X$144)</f>
        <v>MINESTRONE</v>
      </c>
      <c r="Y148" s="477">
        <f>IF($X$148="","",$Y$144)</f>
        <v>58</v>
      </c>
      <c r="Z148" s="477">
        <f>IF($X$148="","",$Z$144)</f>
        <v>100</v>
      </c>
      <c r="AA148" s="477">
        <f>IF($AC$148="","",ROW($A$148)-ROW($A$144))</f>
        <v>4</v>
      </c>
      <c r="AB148" s="478"/>
      <c r="AC148" s="34" t="s">
        <v>258</v>
      </c>
      <c r="AD148" s="356"/>
      <c r="AE148" s="18">
        <v>1</v>
      </c>
      <c r="AF148" s="11" t="s">
        <v>7</v>
      </c>
      <c r="AG148" s="480">
        <f t="shared" si="28"/>
        <v>1</v>
      </c>
      <c r="AH148" s="481" t="str">
        <f t="shared" si="29"/>
        <v>KG</v>
      </c>
      <c r="AI148" s="477" t="str">
        <f>IF($AC$148="","",IFERROR(INDEX($AZ$74:$AZ$119,MATCH($AH$148,$AY$74:$AY$119,0)),"AUTRE"))</f>
        <v>MASSE</v>
      </c>
      <c r="AJ148" s="482">
        <f>IF($AC$148="","",IFERROR(INDEX($BA$74:$BA$119,MATCH($AH$148,$AY$74:$AY$119,0)),1))</f>
        <v>1</v>
      </c>
      <c r="AK148" s="482">
        <f t="shared" si="30"/>
        <v>1</v>
      </c>
      <c r="AL148" s="477" t="str">
        <f>IF($AC$148="","",IFERROR(INDEX($BB$74:$BB$119,MATCH($AH$148,$AY$74:$AY$119,0)),$AH$148))</f>
        <v>kg</v>
      </c>
      <c r="AM148" s="483" t="str">
        <f t="shared" si="31"/>
        <v>OK</v>
      </c>
      <c r="AN148" s="484">
        <f t="shared" si="32"/>
        <v>1</v>
      </c>
      <c r="AO148" s="473" t="str">
        <f t="shared" si="33"/>
        <v/>
      </c>
      <c r="AP148" s="473" t="str">
        <f t="shared" si="34"/>
        <v/>
      </c>
      <c r="AQ148" s="473" t="str">
        <f t="shared" si="35"/>
        <v/>
      </c>
      <c r="AR148" s="473" t="str">
        <f t="shared" si="36"/>
        <v/>
      </c>
      <c r="AS148" s="473" t="str">
        <f t="shared" si="37"/>
        <v/>
      </c>
      <c r="AT148" s="473" t="str">
        <f t="shared" si="38"/>
        <v/>
      </c>
      <c r="AU148" s="473" t="str">
        <f t="shared" si="39"/>
        <v/>
      </c>
      <c r="AZ148" s="32" t="s">
        <v>313</v>
      </c>
      <c r="BA148" s="34" t="s">
        <v>479</v>
      </c>
      <c r="BB148" s="500"/>
      <c r="BC148" s="271"/>
      <c r="BD148" s="279">
        <v>1</v>
      </c>
      <c r="BE148" s="271"/>
      <c r="BF148" s="271"/>
      <c r="BG148" s="271"/>
      <c r="BH148" s="271"/>
      <c r="BI148" s="271"/>
      <c r="BJ148" s="271"/>
      <c r="BK148" s="271"/>
      <c r="BL148" s="271"/>
    </row>
    <row r="149" spans="18:64" ht="21" customHeight="1" x14ac:dyDescent="0.25">
      <c r="R149" s="34" t="s">
        <v>485</v>
      </c>
      <c r="S149" s="451"/>
      <c r="T149" s="32" t="s">
        <v>8125</v>
      </c>
      <c r="V149" s="475">
        <v>3</v>
      </c>
      <c r="W149" s="475" t="str">
        <f>IF($AC$149="","",$W$144)</f>
        <v>N°41</v>
      </c>
      <c r="X149" s="476" t="str">
        <f>IF($AC$149="","",$X$144)</f>
        <v>MINESTRONE</v>
      </c>
      <c r="Y149" s="477">
        <f>IF($X$149="","",$Y$144)</f>
        <v>58</v>
      </c>
      <c r="Z149" s="477">
        <f>IF($X$149="","",$Z$144)</f>
        <v>100</v>
      </c>
      <c r="AA149" s="477">
        <f>IF($AC$149="","",ROW($A$149)-ROW($A$144))</f>
        <v>5</v>
      </c>
      <c r="AB149" s="478"/>
      <c r="AC149" s="34" t="s">
        <v>231</v>
      </c>
      <c r="AD149" s="356"/>
      <c r="AE149" s="18">
        <v>3</v>
      </c>
      <c r="AF149" s="11" t="s">
        <v>7</v>
      </c>
      <c r="AG149" s="480">
        <f t="shared" si="28"/>
        <v>3</v>
      </c>
      <c r="AH149" s="481" t="str">
        <f t="shared" si="29"/>
        <v>KG</v>
      </c>
      <c r="AI149" s="477" t="str">
        <f>IF($AC$149="","",IFERROR(INDEX($AZ$74:$AZ$119,MATCH($AH$149,$AY$74:$AY$119,0)),"AUTRE"))</f>
        <v>MASSE</v>
      </c>
      <c r="AJ149" s="482">
        <f>IF($AC$149="","",IFERROR(INDEX($BA$74:$BA$119,MATCH($AH$149,$AY$74:$AY$119,0)),1))</f>
        <v>1</v>
      </c>
      <c r="AK149" s="482">
        <f t="shared" si="30"/>
        <v>3</v>
      </c>
      <c r="AL149" s="477" t="str">
        <f>IF($AC$149="","",IFERROR(INDEX($BB$74:$BB$119,MATCH($AH$149,$AY$74:$AY$119,0)),$AH$149))</f>
        <v>kg</v>
      </c>
      <c r="AM149" s="483" t="str">
        <f t="shared" si="31"/>
        <v>OK</v>
      </c>
      <c r="AN149" s="484">
        <f t="shared" si="32"/>
        <v>3</v>
      </c>
      <c r="AO149" s="473" t="str">
        <f t="shared" si="33"/>
        <v/>
      </c>
      <c r="AP149" s="473" t="str">
        <f t="shared" si="34"/>
        <v/>
      </c>
      <c r="AQ149" s="473" t="str">
        <f t="shared" si="35"/>
        <v/>
      </c>
      <c r="AR149" s="473" t="str">
        <f t="shared" si="36"/>
        <v/>
      </c>
      <c r="AS149" s="473" t="str">
        <f t="shared" si="37"/>
        <v/>
      </c>
      <c r="AT149" s="473" t="str">
        <f t="shared" si="38"/>
        <v/>
      </c>
      <c r="AU149" s="473" t="str">
        <f t="shared" si="39"/>
        <v/>
      </c>
      <c r="AZ149" s="32" t="s">
        <v>307</v>
      </c>
      <c r="BA149" s="34" t="s">
        <v>6131</v>
      </c>
      <c r="BB149" s="500"/>
      <c r="BC149" s="271"/>
      <c r="BD149" s="279">
        <v>1</v>
      </c>
      <c r="BE149" s="271"/>
      <c r="BF149" s="271"/>
      <c r="BG149" s="271"/>
      <c r="BH149" s="271"/>
      <c r="BI149" s="271"/>
      <c r="BJ149" s="271"/>
      <c r="BK149" s="271"/>
      <c r="BL149" s="271"/>
    </row>
    <row r="150" spans="18:64" ht="21" customHeight="1" x14ac:dyDescent="0.25">
      <c r="R150" s="34" t="s">
        <v>6132</v>
      </c>
      <c r="S150" s="451"/>
      <c r="T150" s="32" t="s">
        <v>8127</v>
      </c>
      <c r="V150" s="475">
        <v>3</v>
      </c>
      <c r="W150" s="475" t="str">
        <f>IF($AC$150="","",$W$144)</f>
        <v>N°41</v>
      </c>
      <c r="X150" s="476" t="str">
        <f>IF($AC$150="","",$X$144)</f>
        <v>MINESTRONE</v>
      </c>
      <c r="Y150" s="477">
        <f>IF($X$150="","",$Y$144)</f>
        <v>58</v>
      </c>
      <c r="Z150" s="477">
        <f>IF($X$150="","",$Z$144)</f>
        <v>100</v>
      </c>
      <c r="AA150" s="477">
        <f>IF($AC$150="","",ROW($A$150)-ROW($A$144))</f>
        <v>6</v>
      </c>
      <c r="AB150" s="478"/>
      <c r="AC150" s="34" t="s">
        <v>111</v>
      </c>
      <c r="AD150" s="356"/>
      <c r="AE150" s="18">
        <v>2</v>
      </c>
      <c r="AF150" s="11" t="s">
        <v>7</v>
      </c>
      <c r="AG150" s="480">
        <f t="shared" si="28"/>
        <v>2</v>
      </c>
      <c r="AH150" s="481" t="str">
        <f t="shared" si="29"/>
        <v>KG</v>
      </c>
      <c r="AI150" s="477" t="str">
        <f>IF($AC$150="","",IFERROR(INDEX($AZ$74:$AZ$119,MATCH($AH$150,$AY$74:$AY$119,0)),"AUTRE"))</f>
        <v>MASSE</v>
      </c>
      <c r="AJ150" s="482">
        <f>IF($AC$150="","",IFERROR(INDEX($BA$74:$BA$119,MATCH($AH$150,$AY$74:$AY$119,0)),1))</f>
        <v>1</v>
      </c>
      <c r="AK150" s="482">
        <f t="shared" si="30"/>
        <v>2</v>
      </c>
      <c r="AL150" s="477" t="str">
        <f>IF($AC$150="","",IFERROR(INDEX($BB$74:$BB$119,MATCH($AH$150,$AY$74:$AY$119,0)),$AH$150))</f>
        <v>kg</v>
      </c>
      <c r="AM150" s="483" t="str">
        <f t="shared" si="31"/>
        <v>OK</v>
      </c>
      <c r="AN150" s="484">
        <f t="shared" si="32"/>
        <v>2</v>
      </c>
      <c r="AO150" s="473" t="str">
        <f t="shared" si="33"/>
        <v/>
      </c>
      <c r="AP150" s="473" t="str">
        <f t="shared" si="34"/>
        <v/>
      </c>
      <c r="AQ150" s="473" t="str">
        <f t="shared" si="35"/>
        <v/>
      </c>
      <c r="AR150" s="473" t="str">
        <f t="shared" si="36"/>
        <v/>
      </c>
      <c r="AS150" s="473" t="str">
        <f t="shared" si="37"/>
        <v/>
      </c>
      <c r="AT150" s="473" t="str">
        <f t="shared" si="38"/>
        <v/>
      </c>
      <c r="AU150" s="473" t="str">
        <f t="shared" si="39"/>
        <v/>
      </c>
      <c r="AZ150" s="32" t="s">
        <v>322</v>
      </c>
      <c r="BA150" s="34" t="s">
        <v>485</v>
      </c>
      <c r="BB150" s="500"/>
      <c r="BC150" s="271"/>
      <c r="BD150" s="279">
        <v>1</v>
      </c>
      <c r="BE150" s="271"/>
      <c r="BF150" s="271"/>
      <c r="BG150" s="271"/>
      <c r="BH150" s="271"/>
      <c r="BI150" s="271"/>
      <c r="BJ150" s="271"/>
      <c r="BK150" s="271"/>
      <c r="BL150" s="271"/>
    </row>
    <row r="151" spans="18:64" ht="21" customHeight="1" x14ac:dyDescent="0.25">
      <c r="R151" s="25" t="s">
        <v>6133</v>
      </c>
      <c r="S151" s="451"/>
      <c r="T151" s="32" t="s">
        <v>320</v>
      </c>
      <c r="V151" s="475">
        <v>3</v>
      </c>
      <c r="W151" s="475" t="str">
        <f>IF($AC$151="","",$W$144)</f>
        <v>N°41</v>
      </c>
      <c r="X151" s="476" t="str">
        <f>IF($AC$151="","",$X$144)</f>
        <v>MINESTRONE</v>
      </c>
      <c r="Y151" s="477">
        <f>IF($X$151="","",$Y$144)</f>
        <v>58</v>
      </c>
      <c r="Z151" s="477">
        <f>IF($X$151="","",$Z$144)</f>
        <v>100</v>
      </c>
      <c r="AA151" s="477">
        <f>IF($AC$151="","",ROW($A$151)-ROW($A$144))</f>
        <v>7</v>
      </c>
      <c r="AB151" s="478"/>
      <c r="AC151" s="34" t="s">
        <v>122</v>
      </c>
      <c r="AD151" s="356"/>
      <c r="AE151" s="18">
        <v>2</v>
      </c>
      <c r="AF151" s="11" t="s">
        <v>7</v>
      </c>
      <c r="AG151" s="480">
        <f t="shared" si="28"/>
        <v>2</v>
      </c>
      <c r="AH151" s="481" t="str">
        <f t="shared" si="29"/>
        <v>KG</v>
      </c>
      <c r="AI151" s="477" t="str">
        <f>IF($AC$151="","",IFERROR(INDEX($AZ$74:$AZ$119,MATCH($AH$151,$AY$74:$AY$119,0)),"AUTRE"))</f>
        <v>MASSE</v>
      </c>
      <c r="AJ151" s="482">
        <f>IF($AC$151="","",IFERROR(INDEX($BA$74:$BA$119,MATCH($AH$151,$AY$74:$AY$119,0)),1))</f>
        <v>1</v>
      </c>
      <c r="AK151" s="482">
        <f t="shared" si="30"/>
        <v>2</v>
      </c>
      <c r="AL151" s="477" t="str">
        <f>IF($AC$151="","",IFERROR(INDEX($BB$74:$BB$119,MATCH($AH$151,$AY$74:$AY$119,0)),$AH$151))</f>
        <v>kg</v>
      </c>
      <c r="AM151" s="483" t="str">
        <f t="shared" si="31"/>
        <v>OK</v>
      </c>
      <c r="AN151" s="484">
        <f t="shared" si="32"/>
        <v>2</v>
      </c>
      <c r="AO151" s="473" t="str">
        <f t="shared" si="33"/>
        <v/>
      </c>
      <c r="AP151" s="473" t="str">
        <f t="shared" si="34"/>
        <v/>
      </c>
      <c r="AQ151" s="473" t="str">
        <f t="shared" si="35"/>
        <v/>
      </c>
      <c r="AR151" s="473" t="str">
        <f t="shared" si="36"/>
        <v/>
      </c>
      <c r="AS151" s="473" t="str">
        <f t="shared" si="37"/>
        <v/>
      </c>
      <c r="AT151" s="473" t="str">
        <f t="shared" si="38"/>
        <v/>
      </c>
      <c r="AU151" s="473" t="str">
        <f t="shared" si="39"/>
        <v/>
      </c>
      <c r="AZ151" s="32" t="s">
        <v>305</v>
      </c>
      <c r="BA151" s="34" t="s">
        <v>6132</v>
      </c>
      <c r="BB151" s="500"/>
      <c r="BC151" s="271"/>
      <c r="BD151" s="279">
        <v>1</v>
      </c>
      <c r="BE151" s="271"/>
      <c r="BF151" s="271"/>
      <c r="BG151" s="271"/>
      <c r="BH151" s="271"/>
      <c r="BI151" s="271"/>
      <c r="BJ151" s="271"/>
      <c r="BK151" s="271"/>
      <c r="BL151" s="271"/>
    </row>
    <row r="152" spans="18:64" ht="21" customHeight="1" x14ac:dyDescent="0.25">
      <c r="R152" s="34" t="s">
        <v>476</v>
      </c>
      <c r="S152" s="451"/>
      <c r="T152" s="32" t="s">
        <v>318</v>
      </c>
      <c r="V152" s="475">
        <v>3</v>
      </c>
      <c r="W152" s="475" t="str">
        <f>IF($AC$152="","",$W$144)</f>
        <v>N°41</v>
      </c>
      <c r="X152" s="476" t="str">
        <f>IF($AC$152="","",$X$144)</f>
        <v>MINESTRONE</v>
      </c>
      <c r="Y152" s="477">
        <f>IF($X$152="","",$Y$144)</f>
        <v>58</v>
      </c>
      <c r="Z152" s="477">
        <f>IF($X$152="","",$Z$144)</f>
        <v>100</v>
      </c>
      <c r="AA152" s="477">
        <f>IF($AC$152="","",ROW($A$152)-ROW($A$144))</f>
        <v>8</v>
      </c>
      <c r="AB152" s="478"/>
      <c r="AC152" s="34" t="s">
        <v>259</v>
      </c>
      <c r="AD152" s="356"/>
      <c r="AE152" s="18">
        <v>1</v>
      </c>
      <c r="AF152" s="11" t="s">
        <v>7</v>
      </c>
      <c r="AG152" s="480">
        <f t="shared" si="28"/>
        <v>1</v>
      </c>
      <c r="AH152" s="481" t="str">
        <f t="shared" si="29"/>
        <v>KG</v>
      </c>
      <c r="AI152" s="477" t="str">
        <f>IF($AC$152="","",IFERROR(INDEX($AZ$74:$AZ$119,MATCH($AH$152,$AY$74:$AY$119,0)),"AUTRE"))</f>
        <v>MASSE</v>
      </c>
      <c r="AJ152" s="482">
        <f>IF($AC$152="","",IFERROR(INDEX($BA$74:$BA$119,MATCH($AH$152,$AY$74:$AY$119,0)),1))</f>
        <v>1</v>
      </c>
      <c r="AK152" s="482">
        <f t="shared" si="30"/>
        <v>1</v>
      </c>
      <c r="AL152" s="477" t="str">
        <f>IF($AC$152="","",IFERROR(INDEX($BB$74:$BB$119,MATCH($AH$152,$AY$74:$AY$119,0)),$AH$152))</f>
        <v>kg</v>
      </c>
      <c r="AM152" s="483" t="str">
        <f t="shared" si="31"/>
        <v>OK</v>
      </c>
      <c r="AN152" s="484">
        <f t="shared" si="32"/>
        <v>1</v>
      </c>
      <c r="AO152" s="473" t="str">
        <f t="shared" si="33"/>
        <v/>
      </c>
      <c r="AP152" s="473" t="str">
        <f t="shared" si="34"/>
        <v/>
      </c>
      <c r="AQ152" s="473" t="str">
        <f t="shared" si="35"/>
        <v/>
      </c>
      <c r="AR152" s="473" t="str">
        <f t="shared" si="36"/>
        <v/>
      </c>
      <c r="AS152" s="473" t="str">
        <f t="shared" si="37"/>
        <v/>
      </c>
      <c r="AT152" s="473" t="str">
        <f t="shared" si="38"/>
        <v/>
      </c>
      <c r="AU152" s="473" t="str">
        <f t="shared" si="39"/>
        <v/>
      </c>
      <c r="AZ152" s="32" t="s">
        <v>8129</v>
      </c>
      <c r="BA152" s="25" t="s">
        <v>6133</v>
      </c>
      <c r="BB152" s="500"/>
      <c r="BC152" s="271"/>
      <c r="BD152" s="279">
        <v>1</v>
      </c>
      <c r="BE152" s="271"/>
      <c r="BF152" s="271"/>
      <c r="BG152" s="271"/>
      <c r="BH152" s="271"/>
      <c r="BI152" s="271"/>
      <c r="BJ152" s="271"/>
      <c r="BK152" s="271"/>
      <c r="BL152" s="271"/>
    </row>
    <row r="153" spans="18:64" ht="21" customHeight="1" x14ac:dyDescent="0.25">
      <c r="R153" s="34" t="s">
        <v>468</v>
      </c>
      <c r="S153" s="451"/>
      <c r="T153" s="32" t="s">
        <v>316</v>
      </c>
      <c r="V153" s="475">
        <v>3</v>
      </c>
      <c r="W153" s="475" t="str">
        <f>IF($AC$153="","",$W$144)</f>
        <v>N°41</v>
      </c>
      <c r="X153" s="476" t="str">
        <f>IF($AC$153="","",$X$144)</f>
        <v>MINESTRONE</v>
      </c>
      <c r="Y153" s="477">
        <f>IF($X$153="","",$Y$144)</f>
        <v>58</v>
      </c>
      <c r="Z153" s="477">
        <f>IF($X$153="","",$Z$144)</f>
        <v>100</v>
      </c>
      <c r="AA153" s="477">
        <f>IF($AC$153="","",ROW($A$153)-ROW($A$144))</f>
        <v>9</v>
      </c>
      <c r="AB153" s="478"/>
      <c r="AC153" s="34" t="s">
        <v>260</v>
      </c>
      <c r="AD153" s="356"/>
      <c r="AE153" s="18">
        <v>3</v>
      </c>
      <c r="AF153" s="11" t="s">
        <v>7</v>
      </c>
      <c r="AG153" s="480">
        <f t="shared" si="28"/>
        <v>3</v>
      </c>
      <c r="AH153" s="481" t="str">
        <f t="shared" si="29"/>
        <v>KG</v>
      </c>
      <c r="AI153" s="477" t="str">
        <f>IF($AC$153="","",IFERROR(INDEX($AZ$74:$AZ$119,MATCH($AH$153,$AY$74:$AY$119,0)),"AUTRE"))</f>
        <v>MASSE</v>
      </c>
      <c r="AJ153" s="482">
        <f>IF($AC$153="","",IFERROR(INDEX($BA$74:$BA$119,MATCH($AH$153,$AY$74:$AY$119,0)),1))</f>
        <v>1</v>
      </c>
      <c r="AK153" s="482">
        <f t="shared" si="30"/>
        <v>3</v>
      </c>
      <c r="AL153" s="477" t="str">
        <f>IF($AC$153="","",IFERROR(INDEX($BB$74:$BB$119,MATCH($AH$153,$AY$74:$AY$119,0)),$AH$153))</f>
        <v>kg</v>
      </c>
      <c r="AM153" s="483" t="str">
        <f t="shared" si="31"/>
        <v>OK</v>
      </c>
      <c r="AN153" s="484">
        <f t="shared" si="32"/>
        <v>3</v>
      </c>
      <c r="AO153" s="473" t="str">
        <f t="shared" si="33"/>
        <v/>
      </c>
      <c r="AP153" s="473" t="str">
        <f t="shared" si="34"/>
        <v/>
      </c>
      <c r="AQ153" s="473" t="str">
        <f t="shared" si="35"/>
        <v/>
      </c>
      <c r="AR153" s="473" t="str">
        <f t="shared" si="36"/>
        <v/>
      </c>
      <c r="AS153" s="473" t="str">
        <f t="shared" si="37"/>
        <v/>
      </c>
      <c r="AT153" s="473" t="str">
        <f t="shared" si="38"/>
        <v/>
      </c>
      <c r="AU153" s="473" t="str">
        <f t="shared" si="39"/>
        <v/>
      </c>
      <c r="AZ153" s="32" t="s">
        <v>8131</v>
      </c>
      <c r="BA153" s="34" t="s">
        <v>476</v>
      </c>
      <c r="BB153" s="500"/>
      <c r="BC153" s="271"/>
      <c r="BD153" s="279">
        <v>1</v>
      </c>
      <c r="BE153" s="271"/>
      <c r="BF153" s="271"/>
      <c r="BG153" s="271"/>
      <c r="BH153" s="271"/>
      <c r="BI153" s="271"/>
      <c r="BJ153" s="271"/>
      <c r="BK153" s="271"/>
      <c r="BL153" s="271"/>
    </row>
    <row r="154" spans="18:64" ht="21" customHeight="1" x14ac:dyDescent="0.25">
      <c r="R154" s="34" t="s">
        <v>473</v>
      </c>
      <c r="S154" s="451"/>
      <c r="T154" s="32" t="s">
        <v>313</v>
      </c>
      <c r="V154" s="475">
        <v>3</v>
      </c>
      <c r="W154" s="475" t="str">
        <f>IF($AC$154="","",$W$144)</f>
        <v>N°41</v>
      </c>
      <c r="X154" s="476" t="str">
        <f>IF($AC$154="","",$X$144)</f>
        <v>MINESTRONE</v>
      </c>
      <c r="Y154" s="477">
        <f>IF($X$154="","",$Y$144)</f>
        <v>58</v>
      </c>
      <c r="Z154" s="477">
        <f>IF($X$154="","",$Z$144)</f>
        <v>100</v>
      </c>
      <c r="AA154" s="477">
        <f>IF($AC$154="","",ROW($A$154)-ROW($A$144))</f>
        <v>10</v>
      </c>
      <c r="AB154" s="478"/>
      <c r="AC154" s="34" t="s">
        <v>499</v>
      </c>
      <c r="AD154" s="356"/>
      <c r="AE154" s="18">
        <v>1</v>
      </c>
      <c r="AF154" s="11" t="s">
        <v>7</v>
      </c>
      <c r="AG154" s="480">
        <f t="shared" si="28"/>
        <v>1</v>
      </c>
      <c r="AH154" s="481" t="str">
        <f t="shared" si="29"/>
        <v>KG</v>
      </c>
      <c r="AI154" s="477" t="str">
        <f>IF($AC$154="","",IFERROR(INDEX($AZ$74:$AZ$119,MATCH($AH$154,$AY$74:$AY$119,0)),"AUTRE"))</f>
        <v>MASSE</v>
      </c>
      <c r="AJ154" s="482">
        <f>IF($AC$154="","",IFERROR(INDEX($BA$74:$BA$119,MATCH($AH$154,$AY$74:$AY$119,0)),1))</f>
        <v>1</v>
      </c>
      <c r="AK154" s="482">
        <f t="shared" si="30"/>
        <v>1</v>
      </c>
      <c r="AL154" s="477" t="str">
        <f>IF($AC$154="","",IFERROR(INDEX($BB$74:$BB$119,MATCH($AH$154,$AY$74:$AY$119,0)),$AH$154))</f>
        <v>kg</v>
      </c>
      <c r="AM154" s="483" t="str">
        <f t="shared" si="31"/>
        <v>OK</v>
      </c>
      <c r="AN154" s="484">
        <f t="shared" si="32"/>
        <v>1</v>
      </c>
      <c r="AO154" s="473" t="str">
        <f t="shared" si="33"/>
        <v/>
      </c>
      <c r="AP154" s="473" t="str">
        <f t="shared" si="34"/>
        <v/>
      </c>
      <c r="AQ154" s="473" t="str">
        <f t="shared" si="35"/>
        <v/>
      </c>
      <c r="AR154" s="473" t="str">
        <f t="shared" si="36"/>
        <v/>
      </c>
      <c r="AS154" s="473" t="str">
        <f t="shared" si="37"/>
        <v/>
      </c>
      <c r="AT154" s="473" t="str">
        <f t="shared" si="38"/>
        <v/>
      </c>
      <c r="AU154" s="473" t="str">
        <f t="shared" si="39"/>
        <v/>
      </c>
      <c r="AZ154" s="32" t="s">
        <v>309</v>
      </c>
      <c r="BA154" s="34" t="s">
        <v>468</v>
      </c>
      <c r="BB154" s="500"/>
      <c r="BC154" s="271"/>
      <c r="BD154" s="279">
        <v>1</v>
      </c>
      <c r="BE154" s="271"/>
      <c r="BF154" s="271"/>
      <c r="BG154" s="271"/>
      <c r="BH154" s="271"/>
      <c r="BI154" s="271"/>
      <c r="BJ154" s="271"/>
      <c r="BK154" s="271"/>
      <c r="BL154" s="271"/>
    </row>
    <row r="155" spans="18:64" ht="21" customHeight="1" x14ac:dyDescent="0.25">
      <c r="R155" s="34" t="s">
        <v>497</v>
      </c>
      <c r="S155" s="451"/>
      <c r="T155" s="32" t="s">
        <v>307</v>
      </c>
      <c r="V155" s="475">
        <v>3</v>
      </c>
      <c r="W155" s="475" t="str">
        <f>IF($AC$155="","",$W$144)</f>
        <v>N°41</v>
      </c>
      <c r="X155" s="476" t="str">
        <f>IF($AC$155="","",$X$144)</f>
        <v>MINESTRONE</v>
      </c>
      <c r="Y155" s="477">
        <f>IF($X$155="","",$Y$144)</f>
        <v>58</v>
      </c>
      <c r="Z155" s="477">
        <f>IF($X$155="","",$Z$144)</f>
        <v>100</v>
      </c>
      <c r="AA155" s="477">
        <f>IF($AC$155="","",ROW($A$155)-ROW($A$144))</f>
        <v>11</v>
      </c>
      <c r="AB155" s="478"/>
      <c r="AC155" s="34" t="s">
        <v>123</v>
      </c>
      <c r="AD155" s="356"/>
      <c r="AE155" s="18">
        <v>1.5</v>
      </c>
      <c r="AF155" s="11" t="s">
        <v>7</v>
      </c>
      <c r="AG155" s="480">
        <f t="shared" si="28"/>
        <v>1.5</v>
      </c>
      <c r="AH155" s="481" t="str">
        <f t="shared" si="29"/>
        <v>KG</v>
      </c>
      <c r="AI155" s="477" t="str">
        <f>IF($AC$155="","",IFERROR(INDEX($AZ$74:$AZ$119,MATCH($AH$155,$AY$74:$AY$119,0)),"AUTRE"))</f>
        <v>MASSE</v>
      </c>
      <c r="AJ155" s="482">
        <f>IF($AC$155="","",IFERROR(INDEX($BA$74:$BA$119,MATCH($AH$155,$AY$74:$AY$119,0)),1))</f>
        <v>1</v>
      </c>
      <c r="AK155" s="482">
        <f t="shared" si="30"/>
        <v>1.5</v>
      </c>
      <c r="AL155" s="477" t="str">
        <f>IF($AC$155="","",IFERROR(INDEX($BB$74:$BB$119,MATCH($AH$155,$AY$74:$AY$119,0)),$AH$155))</f>
        <v>kg</v>
      </c>
      <c r="AM155" s="483" t="str">
        <f t="shared" si="31"/>
        <v>OK</v>
      </c>
      <c r="AN155" s="484">
        <f t="shared" si="32"/>
        <v>1.5</v>
      </c>
      <c r="AO155" s="473" t="str">
        <f t="shared" si="33"/>
        <v/>
      </c>
      <c r="AP155" s="473" t="str">
        <f t="shared" si="34"/>
        <v/>
      </c>
      <c r="AQ155" s="473" t="str">
        <f t="shared" si="35"/>
        <v/>
      </c>
      <c r="AR155" s="473" t="str">
        <f t="shared" si="36"/>
        <v/>
      </c>
      <c r="AS155" s="473" t="str">
        <f t="shared" si="37"/>
        <v/>
      </c>
      <c r="AT155" s="473" t="str">
        <f t="shared" si="38"/>
        <v/>
      </c>
      <c r="AU155" s="473" t="str">
        <f t="shared" si="39"/>
        <v/>
      </c>
      <c r="AZ155" s="32" t="s">
        <v>311</v>
      </c>
      <c r="BA155" s="34" t="s">
        <v>473</v>
      </c>
      <c r="BB155" s="500"/>
      <c r="BC155" s="271"/>
      <c r="BD155" s="279">
        <v>1</v>
      </c>
      <c r="BE155" s="271"/>
      <c r="BF155" s="271"/>
      <c r="BG155" s="271"/>
      <c r="BH155" s="271"/>
      <c r="BI155" s="271"/>
      <c r="BJ155" s="271"/>
      <c r="BK155" s="271"/>
      <c r="BL155" s="271"/>
    </row>
    <row r="156" spans="18:64" ht="21" customHeight="1" x14ac:dyDescent="0.25">
      <c r="R156" s="34" t="s">
        <v>470</v>
      </c>
      <c r="S156" s="451"/>
      <c r="T156" s="32" t="s">
        <v>322</v>
      </c>
      <c r="V156" s="475">
        <v>3</v>
      </c>
      <c r="W156" s="475" t="str">
        <f>IF($AC$156="","",$W$144)</f>
        <v>N°41</v>
      </c>
      <c r="X156" s="476" t="str">
        <f>IF($AC$156="","",$X$144)</f>
        <v>MINESTRONE</v>
      </c>
      <c r="Y156" s="477">
        <f>IF($X$156="","",$Y$144)</f>
        <v>58</v>
      </c>
      <c r="Z156" s="477">
        <f>IF($X$156="","",$Z$144)</f>
        <v>100</v>
      </c>
      <c r="AA156" s="477">
        <f>IF($AC$156="","",ROW($A$156)-ROW($A$144))</f>
        <v>12</v>
      </c>
      <c r="AB156" s="478"/>
      <c r="AC156" s="34" t="s">
        <v>248</v>
      </c>
      <c r="AD156" s="356"/>
      <c r="AE156" s="18">
        <v>1</v>
      </c>
      <c r="AF156" s="23" t="s">
        <v>320</v>
      </c>
      <c r="AG156" s="480">
        <f t="shared" si="28"/>
        <v>1</v>
      </c>
      <c r="AH156" s="481" t="str">
        <f t="shared" si="29"/>
        <v>BTE(S) 4/4</v>
      </c>
      <c r="AI156" s="477" t="str">
        <f>IF($AC$156="","",IFERROR(INDEX($AZ$74:$AZ$119,MATCH($AH$156,$AY$74:$AY$119,0)),"AUTRE"))</f>
        <v>AUTRE</v>
      </c>
      <c r="AJ156" s="482">
        <f>IF($AC$156="","",IFERROR(INDEX($BA$74:$BA$119,MATCH($AH$156,$AY$74:$AY$119,0)),1))</f>
        <v>1</v>
      </c>
      <c r="AK156" s="482">
        <f t="shared" si="30"/>
        <v>1</v>
      </c>
      <c r="AL156" s="477" t="str">
        <f>IF($AC$156="","",IFERROR(INDEX($BB$74:$BB$119,MATCH($AH$156,$AY$74:$AY$119,0)),$AH$156))</f>
        <v>bte(s) 4/4</v>
      </c>
      <c r="AM156" s="483" t="str">
        <f t="shared" si="31"/>
        <v>OK</v>
      </c>
      <c r="AN156" s="484">
        <f t="shared" si="32"/>
        <v>1</v>
      </c>
      <c r="AO156" s="473" t="str">
        <f t="shared" si="33"/>
        <v/>
      </c>
      <c r="AP156" s="473" t="str">
        <f t="shared" si="34"/>
        <v/>
      </c>
      <c r="AQ156" s="473" t="str">
        <f t="shared" si="35"/>
        <v/>
      </c>
      <c r="AR156" s="473" t="str">
        <f t="shared" si="36"/>
        <v/>
      </c>
      <c r="AS156" s="473" t="str">
        <f t="shared" si="37"/>
        <v/>
      </c>
      <c r="AT156" s="473" t="str">
        <f t="shared" si="38"/>
        <v/>
      </c>
      <c r="AU156" s="473" t="str">
        <f t="shared" si="39"/>
        <v/>
      </c>
      <c r="AZ156" s="32" t="s">
        <v>8135</v>
      </c>
      <c r="BA156" s="34" t="s">
        <v>497</v>
      </c>
      <c r="BB156" s="500"/>
      <c r="BC156" s="271"/>
      <c r="BD156" s="279">
        <v>1</v>
      </c>
      <c r="BE156" s="271"/>
      <c r="BF156" s="271"/>
      <c r="BG156" s="271"/>
      <c r="BH156" s="271"/>
      <c r="BI156" s="271"/>
      <c r="BJ156" s="271"/>
      <c r="BK156" s="271"/>
      <c r="BL156" s="271"/>
    </row>
    <row r="157" spans="18:64" ht="21" customHeight="1" x14ac:dyDescent="0.25">
      <c r="R157" s="34" t="s">
        <v>477</v>
      </c>
      <c r="S157" s="451"/>
      <c r="T157" s="32" t="s">
        <v>305</v>
      </c>
      <c r="V157" s="475">
        <v>3</v>
      </c>
      <c r="W157" s="475" t="str">
        <f>IF($AC$157="","",$W$144)</f>
        <v>N°41</v>
      </c>
      <c r="X157" s="476" t="str">
        <f>IF($AC$157="","",$X$144)</f>
        <v>MINESTRONE</v>
      </c>
      <c r="Y157" s="477">
        <f>IF($X$157="","",$Y$144)</f>
        <v>58</v>
      </c>
      <c r="Z157" s="477">
        <f>IF($X$157="","",$Z$144)</f>
        <v>100</v>
      </c>
      <c r="AA157" s="477">
        <f>IF($AC$157="","",ROW($A$157)-ROW($A$144))</f>
        <v>13</v>
      </c>
      <c r="AB157" s="478"/>
      <c r="AC157" s="34" t="s">
        <v>261</v>
      </c>
      <c r="AD157" s="356"/>
      <c r="AE157" s="18">
        <v>500</v>
      </c>
      <c r="AF157" s="16" t="s">
        <v>8</v>
      </c>
      <c r="AG157" s="480">
        <f t="shared" si="28"/>
        <v>500</v>
      </c>
      <c r="AH157" s="481" t="str">
        <f t="shared" si="29"/>
        <v>G</v>
      </c>
      <c r="AI157" s="477" t="str">
        <f>IF($AC$157="","",IFERROR(INDEX($AZ$74:$AZ$119,MATCH($AH$157,$AY$74:$AY$119,0)),"AUTRE"))</f>
        <v>MASSE</v>
      </c>
      <c r="AJ157" s="482">
        <f>IF($AC$157="","",IFERROR(INDEX($BA$74:$BA$119,MATCH($AH$157,$AY$74:$AY$119,0)),1))</f>
        <v>1E-3</v>
      </c>
      <c r="AK157" s="482">
        <f t="shared" si="30"/>
        <v>0.5</v>
      </c>
      <c r="AL157" s="477" t="str">
        <f>IF($AC$157="","",IFERROR(INDEX($BB$74:$BB$119,MATCH($AH$157,$AY$74:$AY$119,0)),$AH$157))</f>
        <v>kg</v>
      </c>
      <c r="AM157" s="483" t="str">
        <f t="shared" si="31"/>
        <v>OK</v>
      </c>
      <c r="AN157" s="484">
        <f t="shared" si="32"/>
        <v>500</v>
      </c>
      <c r="AO157" s="473" t="str">
        <f t="shared" si="33"/>
        <v/>
      </c>
      <c r="AP157" s="473" t="str">
        <f t="shared" si="34"/>
        <v/>
      </c>
      <c r="AQ157" s="473" t="str">
        <f t="shared" si="35"/>
        <v/>
      </c>
      <c r="AR157" s="473" t="str">
        <f t="shared" si="36"/>
        <v/>
      </c>
      <c r="AS157" s="473" t="str">
        <f t="shared" si="37"/>
        <v/>
      </c>
      <c r="AT157" s="473" t="str">
        <f t="shared" si="38"/>
        <v/>
      </c>
      <c r="AU157" s="473" t="str">
        <f t="shared" si="39"/>
        <v/>
      </c>
      <c r="AZ157" s="32" t="s">
        <v>8137</v>
      </c>
      <c r="BA157" s="34" t="s">
        <v>470</v>
      </c>
      <c r="BB157" s="500"/>
      <c r="BC157" s="271"/>
      <c r="BD157" s="279">
        <v>1</v>
      </c>
      <c r="BE157" s="271"/>
      <c r="BF157" s="271"/>
      <c r="BG157" s="271"/>
      <c r="BH157" s="271"/>
      <c r="BI157" s="271"/>
      <c r="BJ157" s="271"/>
      <c r="BK157" s="271"/>
      <c r="BL157" s="271"/>
    </row>
    <row r="158" spans="18:64" ht="21" customHeight="1" x14ac:dyDescent="0.25">
      <c r="S158" s="451"/>
      <c r="T158" s="32" t="s">
        <v>309</v>
      </c>
      <c r="V158" s="475">
        <v>3</v>
      </c>
      <c r="W158" s="475" t="str">
        <f>IF($AC$158="","",$W$144)</f>
        <v>N°41</v>
      </c>
      <c r="X158" s="476" t="str">
        <f>IF($AC$158="","",$X$144)</f>
        <v>MINESTRONE</v>
      </c>
      <c r="Y158" s="477">
        <f>IF($X$158="","",$Y$144)</f>
        <v>58</v>
      </c>
      <c r="Z158" s="477">
        <f>IF($X$158="","",$Z$144)</f>
        <v>100</v>
      </c>
      <c r="AA158" s="477">
        <f>IF($AC$158="","",ROW($A$158)-ROW($A$144))</f>
        <v>14</v>
      </c>
      <c r="AB158" s="478"/>
      <c r="AC158" s="34" t="s">
        <v>502</v>
      </c>
      <c r="AD158" s="356"/>
      <c r="AE158" s="18">
        <v>500</v>
      </c>
      <c r="AF158" s="16" t="s">
        <v>8</v>
      </c>
      <c r="AG158" s="480">
        <f t="shared" si="28"/>
        <v>500</v>
      </c>
      <c r="AH158" s="481" t="str">
        <f t="shared" si="29"/>
        <v>G</v>
      </c>
      <c r="AI158" s="477" t="str">
        <f>IF($AC$158="","",IFERROR(INDEX($AZ$74:$AZ$119,MATCH($AH$158,$AY$74:$AY$119,0)),"AUTRE"))</f>
        <v>MASSE</v>
      </c>
      <c r="AJ158" s="482">
        <f>IF($AC$158="","",IFERROR(INDEX($BA$74:$BA$119,MATCH($AH$158,$AY$74:$AY$119,0)),1))</f>
        <v>1E-3</v>
      </c>
      <c r="AK158" s="482">
        <f t="shared" si="30"/>
        <v>0.5</v>
      </c>
      <c r="AL158" s="477" t="str">
        <f>IF($AC$158="","",IFERROR(INDEX($BB$74:$BB$119,MATCH($AH$158,$AY$74:$AY$119,0)),$AH$158))</f>
        <v>kg</v>
      </c>
      <c r="AM158" s="483" t="str">
        <f t="shared" si="31"/>
        <v>OK</v>
      </c>
      <c r="AN158" s="484">
        <f t="shared" si="32"/>
        <v>500</v>
      </c>
      <c r="AO158" s="473" t="str">
        <f t="shared" si="33"/>
        <v/>
      </c>
      <c r="AP158" s="473" t="str">
        <f t="shared" si="34"/>
        <v/>
      </c>
      <c r="AQ158" s="473" t="str">
        <f t="shared" si="35"/>
        <v/>
      </c>
      <c r="AR158" s="473" t="str">
        <f t="shared" si="36"/>
        <v/>
      </c>
      <c r="AS158" s="473" t="str">
        <f t="shared" si="37"/>
        <v/>
      </c>
      <c r="AT158" s="473" t="str">
        <f t="shared" si="38"/>
        <v/>
      </c>
      <c r="AU158" s="473" t="str">
        <f t="shared" si="39"/>
        <v/>
      </c>
      <c r="AZ158" s="32" t="s">
        <v>8139</v>
      </c>
      <c r="BA158" s="34" t="s">
        <v>477</v>
      </c>
      <c r="BB158" s="500"/>
      <c r="BC158" s="271"/>
      <c r="BD158" s="279">
        <v>1</v>
      </c>
      <c r="BE158" s="271"/>
      <c r="BF158" s="271"/>
      <c r="BG158" s="271"/>
      <c r="BH158" s="271"/>
      <c r="BI158" s="271"/>
      <c r="BJ158" s="271"/>
      <c r="BK158" s="271"/>
      <c r="BL158" s="271"/>
    </row>
    <row r="159" spans="18:64" ht="21" customHeight="1" x14ac:dyDescent="0.25">
      <c r="R159" s="25" t="s">
        <v>6134</v>
      </c>
      <c r="S159" s="451"/>
      <c r="T159" s="32" t="s">
        <v>311</v>
      </c>
      <c r="V159" s="475">
        <v>3</v>
      </c>
      <c r="W159" s="475" t="str">
        <f>IF($AC$159="","",$W$144)</f>
        <v>N°41</v>
      </c>
      <c r="X159" s="476" t="str">
        <f>IF($AC$159="","",$X$144)</f>
        <v>MINESTRONE</v>
      </c>
      <c r="Y159" s="477">
        <f>IF($X$159="","",$Y$144)</f>
        <v>58</v>
      </c>
      <c r="Z159" s="477">
        <f>IF($X$159="","",$Z$144)</f>
        <v>100</v>
      </c>
      <c r="AA159" s="477">
        <f>IF($AC$159="","",ROW($A$159)-ROW($A$144))</f>
        <v>15</v>
      </c>
      <c r="AB159" s="478"/>
      <c r="AC159" s="34" t="s">
        <v>262</v>
      </c>
      <c r="AD159" s="356"/>
      <c r="AE159" s="18">
        <v>500</v>
      </c>
      <c r="AF159" s="16" t="s">
        <v>8</v>
      </c>
      <c r="AG159" s="480">
        <f t="shared" si="28"/>
        <v>500</v>
      </c>
      <c r="AH159" s="481" t="str">
        <f t="shared" si="29"/>
        <v>G</v>
      </c>
      <c r="AI159" s="477" t="str">
        <f>IF($AC$159="","",IFERROR(INDEX($AZ$74:$AZ$119,MATCH($AH$159,$AY$74:$AY$119,0)),"AUTRE"))</f>
        <v>MASSE</v>
      </c>
      <c r="AJ159" s="482">
        <f>IF($AC$159="","",IFERROR(INDEX($BA$74:$BA$119,MATCH($AH$159,$AY$74:$AY$119,0)),1))</f>
        <v>1E-3</v>
      </c>
      <c r="AK159" s="482">
        <f t="shared" si="30"/>
        <v>0.5</v>
      </c>
      <c r="AL159" s="477" t="str">
        <f>IF($AC$159="","",IFERROR(INDEX($BB$74:$BB$119,MATCH($AH$159,$AY$74:$AY$119,0)),$AH$159))</f>
        <v>kg</v>
      </c>
      <c r="AM159" s="483" t="str">
        <f t="shared" si="31"/>
        <v>OK</v>
      </c>
      <c r="AN159" s="484">
        <f t="shared" si="32"/>
        <v>500</v>
      </c>
      <c r="AO159" s="473" t="str">
        <f t="shared" si="33"/>
        <v/>
      </c>
      <c r="AP159" s="473" t="str">
        <f t="shared" si="34"/>
        <v/>
      </c>
      <c r="AQ159" s="473" t="str">
        <f t="shared" si="35"/>
        <v/>
      </c>
      <c r="AR159" s="473" t="str">
        <f t="shared" si="36"/>
        <v/>
      </c>
      <c r="AS159" s="473" t="str">
        <f t="shared" si="37"/>
        <v/>
      </c>
      <c r="AT159" s="473" t="str">
        <f t="shared" si="38"/>
        <v/>
      </c>
      <c r="AU159" s="473" t="str">
        <f t="shared" si="39"/>
        <v/>
      </c>
      <c r="AZ159" s="32" t="s">
        <v>8141</v>
      </c>
      <c r="BB159" s="500"/>
      <c r="BC159" s="271"/>
      <c r="BD159" s="279">
        <v>1</v>
      </c>
      <c r="BE159" s="271"/>
      <c r="BF159" s="271"/>
      <c r="BG159" s="271"/>
      <c r="BH159" s="271"/>
      <c r="BI159" s="271"/>
      <c r="BJ159" s="271"/>
      <c r="BK159" s="271"/>
      <c r="BL159" s="271"/>
    </row>
    <row r="160" spans="18:64" ht="21" customHeight="1" x14ac:dyDescent="0.25">
      <c r="R160" s="34" t="s">
        <v>481</v>
      </c>
      <c r="S160" s="451"/>
      <c r="T160" s="32" t="s">
        <v>8135</v>
      </c>
      <c r="V160" s="475">
        <v>3</v>
      </c>
      <c r="W160" s="475" t="str">
        <f>IF($AC$160="","",$W$144)</f>
        <v>N°41</v>
      </c>
      <c r="X160" s="476" t="str">
        <f>IF($AC$160="","",$X$144)</f>
        <v>MINESTRONE</v>
      </c>
      <c r="Y160" s="477">
        <f>IF($X$160="","",$Y$144)</f>
        <v>58</v>
      </c>
      <c r="Z160" s="477">
        <f>IF($X$160="","",$Z$144)</f>
        <v>100</v>
      </c>
      <c r="AA160" s="477">
        <f>IF($AC$160="","",ROW($A$160)-ROW($A$144))</f>
        <v>16</v>
      </c>
      <c r="AB160" s="478"/>
      <c r="AC160" s="34" t="s">
        <v>67</v>
      </c>
      <c r="AD160" s="356"/>
      <c r="AE160" s="23" t="s">
        <v>33</v>
      </c>
      <c r="AF160" s="19" t="s">
        <v>9</v>
      </c>
      <c r="AG160" s="480" t="str">
        <f t="shared" si="28"/>
        <v>QT. SUFFISANTE</v>
      </c>
      <c r="AH160" s="481" t="str">
        <f t="shared" si="29"/>
        <v>L</v>
      </c>
      <c r="AI160" s="477" t="str">
        <f>IF($AC$160="","",IFERROR(INDEX($AZ$74:$AZ$119,MATCH($AH$160,$AY$74:$AY$119,0)),"AUTRE"))</f>
        <v>VOLUME</v>
      </c>
      <c r="AJ160" s="482">
        <f>IF($AC$160="","",IFERROR(INDEX($BA$74:$BA$119,MATCH($AH$160,$AY$74:$AY$119,0)),1))</f>
        <v>1</v>
      </c>
      <c r="AK160" s="482" t="e">
        <f t="shared" si="30"/>
        <v>#VALUE!</v>
      </c>
      <c r="AL160" s="477" t="str">
        <f>IF($AC$160="","",IFERROR(INDEX($BB$74:$BB$119,MATCH($AH$160,$AY$74:$AY$119,0)),$AH$160))</f>
        <v>L</v>
      </c>
      <c r="AM160" s="483" t="str">
        <f t="shared" si="31"/>
        <v>QUANTITÉ À CONTRÔLER</v>
      </c>
      <c r="AN160" s="484" t="str">
        <f t="shared" si="32"/>
        <v>QT. SUFFISANTE</v>
      </c>
      <c r="AO160" s="473" t="str">
        <f t="shared" si="33"/>
        <v/>
      </c>
      <c r="AP160" s="473" t="str">
        <f t="shared" si="34"/>
        <v/>
      </c>
      <c r="AQ160" s="473" t="str">
        <f t="shared" si="35"/>
        <v/>
      </c>
      <c r="AR160" s="473" t="str">
        <f t="shared" si="36"/>
        <v/>
      </c>
      <c r="AS160" s="473" t="str">
        <f t="shared" si="37"/>
        <v/>
      </c>
      <c r="AT160" s="473" t="str">
        <f t="shared" si="38"/>
        <v/>
      </c>
      <c r="AU160" s="473" t="str">
        <f t="shared" si="39"/>
        <v/>
      </c>
      <c r="AZ160" s="32" t="s">
        <v>8143</v>
      </c>
      <c r="BA160" s="25" t="s">
        <v>6134</v>
      </c>
      <c r="BB160" s="500"/>
      <c r="BC160" s="271"/>
      <c r="BD160" s="279">
        <v>1</v>
      </c>
      <c r="BE160" s="271"/>
      <c r="BF160" s="271"/>
      <c r="BG160" s="271"/>
      <c r="BH160" s="271"/>
      <c r="BI160" s="271"/>
      <c r="BJ160" s="271"/>
      <c r="BK160" s="271"/>
      <c r="BL160" s="271"/>
    </row>
    <row r="161" spans="18:64" ht="21" customHeight="1" x14ac:dyDescent="0.25">
      <c r="R161" s="34" t="s">
        <v>475</v>
      </c>
      <c r="S161" s="451"/>
      <c r="T161" s="497" t="s">
        <v>462</v>
      </c>
      <c r="V161" s="475">
        <v>3</v>
      </c>
      <c r="W161" s="475" t="str">
        <f>IF($AC$161="","",$W$144)</f>
        <v>N°41</v>
      </c>
      <c r="X161" s="476" t="str">
        <f>IF($AC$161="","",$X$144)</f>
        <v>MINESTRONE</v>
      </c>
      <c r="Y161" s="477">
        <f>IF($X$161="","",$Y$144)</f>
        <v>58</v>
      </c>
      <c r="Z161" s="477">
        <f>IF($X$161="","",$Z$144)</f>
        <v>100</v>
      </c>
      <c r="AA161" s="477">
        <f>IF($AC$161="","",ROW($A$161)-ROW($A$144))</f>
        <v>17</v>
      </c>
      <c r="AB161" s="478"/>
      <c r="AC161" s="34" t="s">
        <v>44</v>
      </c>
      <c r="AD161" s="356"/>
      <c r="AE161" s="23" t="s">
        <v>33</v>
      </c>
      <c r="AF161" s="19" t="s">
        <v>8</v>
      </c>
      <c r="AG161" s="480" t="str">
        <f t="shared" si="28"/>
        <v>QT. SUFFISANTE</v>
      </c>
      <c r="AH161" s="481" t="str">
        <f t="shared" si="29"/>
        <v>G</v>
      </c>
      <c r="AI161" s="477" t="str">
        <f>IF($AC$161="","",IFERROR(INDEX($AZ$74:$AZ$119,MATCH($AH$161,$AY$74:$AY$119,0)),"AUTRE"))</f>
        <v>MASSE</v>
      </c>
      <c r="AJ161" s="482">
        <f>IF($AC$161="","",IFERROR(INDEX($BA$74:$BA$119,MATCH($AH$161,$AY$74:$AY$119,0)),1))</f>
        <v>1E-3</v>
      </c>
      <c r="AK161" s="482" t="e">
        <f t="shared" si="30"/>
        <v>#VALUE!</v>
      </c>
      <c r="AL161" s="477" t="str">
        <f>IF($AC$161="","",IFERROR(INDEX($BB$74:$BB$119,MATCH($AH$161,$AY$74:$AY$119,0)),$AH$161))</f>
        <v>kg</v>
      </c>
      <c r="AM161" s="483" t="str">
        <f t="shared" si="31"/>
        <v>QUANTITÉ À CONTRÔLER</v>
      </c>
      <c r="AN161" s="484" t="str">
        <f t="shared" si="32"/>
        <v>QT. SUFFISANTE</v>
      </c>
      <c r="AO161" s="473" t="str">
        <f t="shared" si="33"/>
        <v/>
      </c>
      <c r="AP161" s="473" t="str">
        <f t="shared" si="34"/>
        <v/>
      </c>
      <c r="AQ161" s="473" t="str">
        <f t="shared" si="35"/>
        <v/>
      </c>
      <c r="AR161" s="473" t="str">
        <f t="shared" si="36"/>
        <v/>
      </c>
      <c r="AS161" s="473" t="str">
        <f t="shared" si="37"/>
        <v/>
      </c>
      <c r="AT161" s="473" t="str">
        <f t="shared" si="38"/>
        <v/>
      </c>
      <c r="AU161" s="473" t="str">
        <f t="shared" si="39"/>
        <v/>
      </c>
      <c r="AZ161" s="497" t="s">
        <v>8145</v>
      </c>
      <c r="BA161" s="34" t="s">
        <v>481</v>
      </c>
      <c r="BB161" s="500"/>
      <c r="BC161" s="271"/>
      <c r="BD161" s="279">
        <v>1</v>
      </c>
      <c r="BE161" s="271"/>
      <c r="BF161" s="271"/>
      <c r="BG161" s="271"/>
      <c r="BH161" s="271"/>
      <c r="BI161" s="271"/>
      <c r="BJ161" s="271"/>
      <c r="BK161" s="271"/>
      <c r="BL161" s="271"/>
    </row>
    <row r="162" spans="18:64" ht="21" customHeight="1" x14ac:dyDescent="0.25">
      <c r="R162" s="34" t="s">
        <v>457</v>
      </c>
      <c r="S162" s="451"/>
      <c r="T162" s="497" t="s">
        <v>463</v>
      </c>
      <c r="V162" s="475">
        <v>3</v>
      </c>
      <c r="W162" s="475" t="str">
        <f>IF($AC$162="","",$W$144)</f>
        <v>N°41</v>
      </c>
      <c r="X162" s="476" t="str">
        <f>IF($AC$162="","",$X$144)</f>
        <v>MINESTRONE</v>
      </c>
      <c r="Y162" s="477">
        <f>IF($X$162="","",$Y$144)</f>
        <v>58</v>
      </c>
      <c r="Z162" s="477">
        <f>IF($X$162="","",$Z$144)</f>
        <v>100</v>
      </c>
      <c r="AA162" s="477">
        <f>IF($AC$162="","",ROW($A$162)-ROW($A$144))</f>
        <v>18</v>
      </c>
      <c r="AB162" s="478"/>
      <c r="AC162" s="34" t="s">
        <v>503</v>
      </c>
      <c r="AD162" s="356"/>
      <c r="AE162" s="18">
        <v>1</v>
      </c>
      <c r="AF162" s="11" t="s">
        <v>7</v>
      </c>
      <c r="AG162" s="480">
        <f t="shared" si="28"/>
        <v>1</v>
      </c>
      <c r="AH162" s="481" t="str">
        <f t="shared" si="29"/>
        <v>KG</v>
      </c>
      <c r="AI162" s="477" t="str">
        <f>IF($AC$162="","",IFERROR(INDEX($AZ$74:$AZ$119,MATCH($AH$162,$AY$74:$AY$119,0)),"AUTRE"))</f>
        <v>MASSE</v>
      </c>
      <c r="AJ162" s="482">
        <f>IF($AC$162="","",IFERROR(INDEX($BA$74:$BA$119,MATCH($AH$162,$AY$74:$AY$119,0)),1))</f>
        <v>1</v>
      </c>
      <c r="AK162" s="482">
        <f t="shared" si="30"/>
        <v>1</v>
      </c>
      <c r="AL162" s="477" t="str">
        <f>IF($AC$162="","",IFERROR(INDEX($BB$74:$BB$119,MATCH($AH$162,$AY$74:$AY$119,0)),$AH$162))</f>
        <v>kg</v>
      </c>
      <c r="AM162" s="483" t="str">
        <f t="shared" si="31"/>
        <v>OK</v>
      </c>
      <c r="AN162" s="484">
        <f t="shared" si="32"/>
        <v>1</v>
      </c>
      <c r="AO162" s="473" t="str">
        <f t="shared" si="33"/>
        <v/>
      </c>
      <c r="AP162" s="473" t="str">
        <f t="shared" si="34"/>
        <v/>
      </c>
      <c r="AQ162" s="473" t="str">
        <f t="shared" si="35"/>
        <v/>
      </c>
      <c r="AR162" s="473" t="str">
        <f t="shared" si="36"/>
        <v/>
      </c>
      <c r="AS162" s="473" t="str">
        <f t="shared" si="37"/>
        <v/>
      </c>
      <c r="AT162" s="473" t="str">
        <f t="shared" si="38"/>
        <v/>
      </c>
      <c r="AU162" s="473" t="str">
        <f t="shared" si="39"/>
        <v/>
      </c>
      <c r="AZ162" s="497" t="s">
        <v>462</v>
      </c>
      <c r="BA162" s="34" t="s">
        <v>475</v>
      </c>
      <c r="BB162" s="500"/>
      <c r="BC162" s="271"/>
      <c r="BD162" s="279">
        <v>1</v>
      </c>
      <c r="BE162" s="271"/>
      <c r="BF162" s="271"/>
      <c r="BG162" s="271"/>
      <c r="BH162" s="271"/>
      <c r="BI162" s="271"/>
      <c r="BJ162" s="271"/>
      <c r="BK162" s="271"/>
      <c r="BL162" s="271"/>
    </row>
    <row r="163" spans="18:64" ht="21" customHeight="1" x14ac:dyDescent="0.25">
      <c r="R163" s="34" t="s">
        <v>482</v>
      </c>
      <c r="S163" s="451"/>
      <c r="T163" s="497" t="s">
        <v>8147</v>
      </c>
      <c r="V163" s="475">
        <v>3</v>
      </c>
      <c r="W163" s="475" t="str">
        <f>IF($AC$163="","",$W$144)</f>
        <v/>
      </c>
      <c r="X163" s="476" t="str">
        <f>IF($AC$163="","",$X$144)</f>
        <v/>
      </c>
      <c r="Y163" s="477" t="str">
        <f>IF($X$163="","",$Y$144)</f>
        <v/>
      </c>
      <c r="Z163" s="477" t="str">
        <f>IF($X$163="","",$Z$144)</f>
        <v/>
      </c>
      <c r="AA163" s="477" t="str">
        <f>IF($AC$163="","",ROW($A$163)-ROW($A$144))</f>
        <v/>
      </c>
      <c r="AB163" s="478"/>
      <c r="AC163" s="34" t="s">
        <v>345</v>
      </c>
      <c r="AD163" s="356"/>
      <c r="AE163" s="18"/>
      <c r="AF163" s="19"/>
      <c r="AG163" s="480" t="str">
        <f t="shared" si="28"/>
        <v/>
      </c>
      <c r="AH163" s="481" t="str">
        <f t="shared" si="29"/>
        <v/>
      </c>
      <c r="AI163" s="477" t="str">
        <f>IF($AC$163="","",IFERROR(INDEX($AZ$74:$AZ$119,MATCH($AH$163,$AY$74:$AY$119,0)),"AUTRE"))</f>
        <v/>
      </c>
      <c r="AJ163" s="482" t="str">
        <f>IF($AC$163="","",IFERROR(INDEX($BA$74:$BA$119,MATCH($AH$163,$AY$74:$AY$119,0)),1))</f>
        <v/>
      </c>
      <c r="AK163" s="482" t="str">
        <f t="shared" si="30"/>
        <v/>
      </c>
      <c r="AL163" s="477" t="str">
        <f>IF($AC$163="","",IFERROR(INDEX($BB$74:$BB$119,MATCH($AH$163,$AY$74:$AY$119,0)),$AH$163))</f>
        <v/>
      </c>
      <c r="AM163" s="483" t="str">
        <f t="shared" si="31"/>
        <v/>
      </c>
      <c r="AN163" s="484" t="str">
        <f t="shared" si="32"/>
        <v/>
      </c>
      <c r="AO163" s="473" t="str">
        <f t="shared" si="33"/>
        <v/>
      </c>
      <c r="AP163" s="473" t="str">
        <f t="shared" si="34"/>
        <v/>
      </c>
      <c r="AQ163" s="473" t="str">
        <f t="shared" si="35"/>
        <v/>
      </c>
      <c r="AR163" s="473" t="str">
        <f t="shared" si="36"/>
        <v/>
      </c>
      <c r="AS163" s="473" t="str">
        <f t="shared" si="37"/>
        <v/>
      </c>
      <c r="AT163" s="473" t="str">
        <f t="shared" si="38"/>
        <v/>
      </c>
      <c r="AU163" s="473" t="str">
        <f t="shared" si="39"/>
        <v/>
      </c>
      <c r="AZ163" s="497" t="s">
        <v>463</v>
      </c>
      <c r="BA163" s="34" t="s">
        <v>457</v>
      </c>
      <c r="BB163" s="500"/>
      <c r="BC163" s="271"/>
      <c r="BD163" s="279">
        <v>1</v>
      </c>
      <c r="BE163" s="271"/>
      <c r="BF163" s="271"/>
      <c r="BG163" s="271"/>
      <c r="BH163" s="271"/>
      <c r="BI163" s="271"/>
      <c r="BJ163" s="271"/>
      <c r="BK163" s="271"/>
      <c r="BL163" s="271"/>
    </row>
    <row r="164" spans="18:64" ht="21" customHeight="1" x14ac:dyDescent="0.25">
      <c r="R164" s="34" t="s">
        <v>496</v>
      </c>
      <c r="S164" s="451"/>
      <c r="T164" s="497" t="s">
        <v>465</v>
      </c>
      <c r="V164" s="475">
        <v>3</v>
      </c>
      <c r="W164" s="475" t="str">
        <f>IF($AC$164="","",$W$144)</f>
        <v>N°41</v>
      </c>
      <c r="X164" s="476" t="str">
        <f>IF($AC$164="","",$X$144)</f>
        <v>MINESTRONE</v>
      </c>
      <c r="Y164" s="477">
        <f>IF($X$164="","",$Y$144)</f>
        <v>58</v>
      </c>
      <c r="Z164" s="477">
        <f>IF($X$164="","",$Z$144)</f>
        <v>100</v>
      </c>
      <c r="AA164" s="477">
        <f>IF($AC$164="","",ROW($A$164)-ROW($A$144))</f>
        <v>20</v>
      </c>
      <c r="AB164" s="478"/>
      <c r="AC164" s="34" t="s">
        <v>48</v>
      </c>
      <c r="AD164" s="356"/>
      <c r="AE164" s="18">
        <v>150</v>
      </c>
      <c r="AF164" s="16" t="s">
        <v>8</v>
      </c>
      <c r="AG164" s="480">
        <f t="shared" si="28"/>
        <v>150</v>
      </c>
      <c r="AH164" s="481" t="str">
        <f t="shared" si="29"/>
        <v>G</v>
      </c>
      <c r="AI164" s="477" t="str">
        <f>IF($AC$164="","",IFERROR(INDEX($AZ$74:$AZ$119,MATCH($AH$164,$AY$74:$AY$119,0)),"AUTRE"))</f>
        <v>MASSE</v>
      </c>
      <c r="AJ164" s="482">
        <f>IF($AC$164="","",IFERROR(INDEX($BA$74:$BA$119,MATCH($AH$164,$AY$74:$AY$119,0)),1))</f>
        <v>1E-3</v>
      </c>
      <c r="AK164" s="482">
        <f t="shared" si="30"/>
        <v>0.15</v>
      </c>
      <c r="AL164" s="477" t="str">
        <f>IF($AC$164="","",IFERROR(INDEX($BB$74:$BB$119,MATCH($AH$164,$AY$74:$AY$119,0)),$AH$164))</f>
        <v>kg</v>
      </c>
      <c r="AM164" s="483" t="str">
        <f t="shared" si="31"/>
        <v>OK</v>
      </c>
      <c r="AN164" s="484">
        <f t="shared" si="32"/>
        <v>150</v>
      </c>
      <c r="AO164" s="473" t="str">
        <f t="shared" si="33"/>
        <v/>
      </c>
      <c r="AP164" s="473" t="str">
        <f t="shared" si="34"/>
        <v/>
      </c>
      <c r="AQ164" s="473" t="str">
        <f t="shared" si="35"/>
        <v/>
      </c>
      <c r="AR164" s="473" t="str">
        <f t="shared" si="36"/>
        <v/>
      </c>
      <c r="AS164" s="473" t="str">
        <f t="shared" si="37"/>
        <v/>
      </c>
      <c r="AT164" s="473" t="str">
        <f t="shared" si="38"/>
        <v/>
      </c>
      <c r="AU164" s="473" t="str">
        <f t="shared" si="39"/>
        <v/>
      </c>
      <c r="AZ164" s="497" t="s">
        <v>8147</v>
      </c>
      <c r="BA164" s="34" t="s">
        <v>482</v>
      </c>
      <c r="BB164" s="500"/>
      <c r="BC164" s="271"/>
      <c r="BD164" s="279">
        <v>1</v>
      </c>
      <c r="BE164" s="271"/>
      <c r="BF164" s="271"/>
      <c r="BG164" s="271"/>
      <c r="BH164" s="271"/>
      <c r="BI164" s="271"/>
      <c r="BJ164" s="271"/>
      <c r="BK164" s="271"/>
      <c r="BL164" s="271"/>
    </row>
    <row r="165" spans="18:64" ht="21" customHeight="1" x14ac:dyDescent="0.25">
      <c r="R165" s="34" t="s">
        <v>483</v>
      </c>
      <c r="S165" s="451"/>
      <c r="T165" s="497" t="s">
        <v>466</v>
      </c>
      <c r="V165" s="475">
        <v>3</v>
      </c>
      <c r="W165" s="475" t="str">
        <f>IF($AC$165="","",$W$144)</f>
        <v>N°41</v>
      </c>
      <c r="X165" s="476" t="str">
        <f>IF($AC$165="","",$X$144)</f>
        <v>MINESTRONE</v>
      </c>
      <c r="Y165" s="477">
        <f>IF($X$165="","",$Y$144)</f>
        <v>58</v>
      </c>
      <c r="Z165" s="477">
        <f>IF($X$165="","",$Z$144)</f>
        <v>100</v>
      </c>
      <c r="AA165" s="477">
        <f>IF($AC$165="","",ROW($A$165)-ROW($A$144))</f>
        <v>21</v>
      </c>
      <c r="AB165" s="478"/>
      <c r="AC165" s="34" t="s">
        <v>142</v>
      </c>
      <c r="AD165" s="356"/>
      <c r="AE165" s="18">
        <v>250</v>
      </c>
      <c r="AF165" s="16" t="s">
        <v>8</v>
      </c>
      <c r="AG165" s="480">
        <f t="shared" si="28"/>
        <v>250</v>
      </c>
      <c r="AH165" s="481" t="str">
        <f t="shared" si="29"/>
        <v>G</v>
      </c>
      <c r="AI165" s="477" t="str">
        <f>IF($AC$165="","",IFERROR(INDEX($AZ$74:$AZ$119,MATCH($AH$165,$AY$74:$AY$119,0)),"AUTRE"))</f>
        <v>MASSE</v>
      </c>
      <c r="AJ165" s="482">
        <f>IF($AC$165="","",IFERROR(INDEX($BA$74:$BA$119,MATCH($AH$165,$AY$74:$AY$119,0)),1))</f>
        <v>1E-3</v>
      </c>
      <c r="AK165" s="482">
        <f t="shared" si="30"/>
        <v>0.25</v>
      </c>
      <c r="AL165" s="477" t="str">
        <f>IF($AC$165="","",IFERROR(INDEX($BB$74:$BB$119,MATCH($AH$165,$AY$74:$AY$119,0)),$AH$165))</f>
        <v>kg</v>
      </c>
      <c r="AM165" s="483" t="str">
        <f t="shared" si="31"/>
        <v>OK</v>
      </c>
      <c r="AN165" s="484">
        <f t="shared" si="32"/>
        <v>250</v>
      </c>
      <c r="AO165" s="473" t="str">
        <f t="shared" si="33"/>
        <v/>
      </c>
      <c r="AP165" s="473" t="str">
        <f t="shared" si="34"/>
        <v/>
      </c>
      <c r="AQ165" s="473" t="str">
        <f t="shared" si="35"/>
        <v/>
      </c>
      <c r="AR165" s="473" t="str">
        <f t="shared" si="36"/>
        <v/>
      </c>
      <c r="AS165" s="473" t="str">
        <f t="shared" si="37"/>
        <v/>
      </c>
      <c r="AT165" s="473" t="str">
        <f t="shared" si="38"/>
        <v/>
      </c>
      <c r="AU165" s="473" t="str">
        <f t="shared" si="39"/>
        <v/>
      </c>
      <c r="AZ165" s="497" t="s">
        <v>465</v>
      </c>
      <c r="BA165" s="34" t="s">
        <v>496</v>
      </c>
      <c r="BB165" s="500"/>
      <c r="BC165" s="271"/>
      <c r="BD165" s="279">
        <v>1</v>
      </c>
      <c r="BE165" s="271"/>
      <c r="BF165" s="271"/>
      <c r="BG165" s="271"/>
      <c r="BH165" s="271"/>
      <c r="BI165" s="271"/>
      <c r="BJ165" s="271"/>
      <c r="BK165" s="271"/>
      <c r="BL165" s="271"/>
    </row>
    <row r="166" spans="18:64" ht="21" customHeight="1" x14ac:dyDescent="0.25">
      <c r="R166" s="34" t="s">
        <v>493</v>
      </c>
      <c r="S166" s="451"/>
      <c r="T166" s="440" t="s">
        <v>8110</v>
      </c>
      <c r="V166" s="475">
        <v>3</v>
      </c>
      <c r="W166" s="475" t="str">
        <f>IF($AC$166="","",$W$144)</f>
        <v>N°41</v>
      </c>
      <c r="X166" s="476" t="str">
        <f>IF($AC$166="","",$X$144)</f>
        <v>MINESTRONE</v>
      </c>
      <c r="Y166" s="477">
        <f>IF($X$166="","",$Y$144)</f>
        <v>58</v>
      </c>
      <c r="Z166" s="477">
        <f>IF($X$166="","",$Z$144)</f>
        <v>100</v>
      </c>
      <c r="AA166" s="477">
        <f>IF($AC$166="","",ROW($A$166)-ROW($A$144))</f>
        <v>22</v>
      </c>
      <c r="AB166" s="478"/>
      <c r="AC166" s="34" t="s">
        <v>151</v>
      </c>
      <c r="AD166" s="356"/>
      <c r="AE166" s="18">
        <v>100</v>
      </c>
      <c r="AF166" s="16" t="s">
        <v>8</v>
      </c>
      <c r="AG166" s="480">
        <f t="shared" si="28"/>
        <v>100</v>
      </c>
      <c r="AH166" s="481" t="str">
        <f t="shared" si="29"/>
        <v>G</v>
      </c>
      <c r="AI166" s="477" t="str">
        <f>IF($AC$166="","",IFERROR(INDEX($AZ$74:$AZ$119,MATCH($AH$166,$AY$74:$AY$119,0)),"AUTRE"))</f>
        <v>MASSE</v>
      </c>
      <c r="AJ166" s="482">
        <f>IF($AC$166="","",IFERROR(INDEX($BA$74:$BA$119,MATCH($AH$166,$AY$74:$AY$119,0)),1))</f>
        <v>1E-3</v>
      </c>
      <c r="AK166" s="482">
        <f t="shared" si="30"/>
        <v>0.1</v>
      </c>
      <c r="AL166" s="477" t="str">
        <f>IF($AC$166="","",IFERROR(INDEX($BB$74:$BB$119,MATCH($AH$166,$AY$74:$AY$119,0)),$AH$166))</f>
        <v>kg</v>
      </c>
      <c r="AM166" s="483" t="str">
        <f t="shared" si="31"/>
        <v>OK</v>
      </c>
      <c r="AN166" s="484">
        <f t="shared" si="32"/>
        <v>100</v>
      </c>
      <c r="AO166" s="473" t="str">
        <f t="shared" si="33"/>
        <v/>
      </c>
      <c r="AP166" s="473" t="str">
        <f t="shared" si="34"/>
        <v/>
      </c>
      <c r="AQ166" s="473" t="str">
        <f t="shared" si="35"/>
        <v/>
      </c>
      <c r="AR166" s="473" t="str">
        <f t="shared" si="36"/>
        <v/>
      </c>
      <c r="AS166" s="473" t="str">
        <f t="shared" si="37"/>
        <v/>
      </c>
      <c r="AT166" s="473" t="str">
        <f t="shared" si="38"/>
        <v/>
      </c>
      <c r="AU166" s="473" t="str">
        <f t="shared" si="39"/>
        <v/>
      </c>
      <c r="AZ166" s="497" t="s">
        <v>466</v>
      </c>
      <c r="BA166" s="34" t="s">
        <v>483</v>
      </c>
      <c r="BB166" s="500"/>
      <c r="BC166" s="271"/>
      <c r="BD166" s="279">
        <v>1</v>
      </c>
      <c r="BE166" s="271"/>
      <c r="BF166" s="271"/>
      <c r="BG166" s="271"/>
      <c r="BH166" s="271"/>
      <c r="BI166" s="271"/>
      <c r="BJ166" s="271"/>
      <c r="BK166" s="271"/>
      <c r="BL166" s="271"/>
    </row>
    <row r="167" spans="18:64" ht="21" customHeight="1" x14ac:dyDescent="0.25">
      <c r="R167" s="34" t="s">
        <v>494</v>
      </c>
      <c r="S167" s="451"/>
      <c r="T167" s="452" t="s">
        <v>8113</v>
      </c>
      <c r="V167" s="475">
        <v>3</v>
      </c>
      <c r="W167" s="475" t="str">
        <f>IF($AC$167="","",$W$144)</f>
        <v/>
      </c>
      <c r="X167" s="476" t="str">
        <f>IF($AC$167="","",$X$144)</f>
        <v/>
      </c>
      <c r="Y167" s="477" t="str">
        <f>IF($X$167="","",$Y$144)</f>
        <v/>
      </c>
      <c r="Z167" s="477" t="str">
        <f>IF($X$167="","",$Z$144)</f>
        <v/>
      </c>
      <c r="AA167" s="477" t="str">
        <f>IF($AC$167="","",ROW($A$167)-ROW($A$144))</f>
        <v/>
      </c>
      <c r="AB167" s="478"/>
      <c r="AC167" s="34"/>
      <c r="AD167" s="356"/>
      <c r="AE167" s="18"/>
      <c r="AF167" s="19"/>
      <c r="AG167" s="480" t="str">
        <f t="shared" si="28"/>
        <v/>
      </c>
      <c r="AH167" s="481" t="str">
        <f t="shared" si="29"/>
        <v/>
      </c>
      <c r="AI167" s="477" t="str">
        <f>IF($AC$167="","",IFERROR(INDEX($AZ$74:$AZ$119,MATCH($AH$167,$AY$74:$AY$119,0)),"AUTRE"))</f>
        <v/>
      </c>
      <c r="AJ167" s="482" t="str">
        <f>IF($AC$167="","",IFERROR(INDEX($BA$74:$BA$119,MATCH($AH$167,$AY$74:$AY$119,0)),1))</f>
        <v/>
      </c>
      <c r="AK167" s="482" t="str">
        <f t="shared" si="30"/>
        <v/>
      </c>
      <c r="AL167" s="477" t="str">
        <f>IF($AC$167="","",IFERROR(INDEX($BB$74:$BB$119,MATCH($AH$167,$AY$74:$AY$119,0)),$AH$167))</f>
        <v/>
      </c>
      <c r="AM167" s="483" t="str">
        <f t="shared" si="31"/>
        <v/>
      </c>
      <c r="AN167" s="484" t="str">
        <f t="shared" si="32"/>
        <v/>
      </c>
      <c r="AO167" s="473" t="str">
        <f t="shared" si="33"/>
        <v/>
      </c>
      <c r="AP167" s="473" t="str">
        <f t="shared" si="34"/>
        <v/>
      </c>
      <c r="AQ167" s="473" t="str">
        <f t="shared" si="35"/>
        <v/>
      </c>
      <c r="AR167" s="473" t="str">
        <f t="shared" si="36"/>
        <v/>
      </c>
      <c r="AS167" s="473" t="str">
        <f t="shared" si="37"/>
        <v/>
      </c>
      <c r="AT167" s="473" t="str">
        <f t="shared" si="38"/>
        <v/>
      </c>
      <c r="AU167" s="473" t="str">
        <f t="shared" si="39"/>
        <v/>
      </c>
      <c r="AZ167" s="14" t="s">
        <v>7</v>
      </c>
      <c r="BA167" s="34" t="s">
        <v>493</v>
      </c>
      <c r="BB167" s="500"/>
      <c r="BC167" s="271"/>
      <c r="BD167" s="279">
        <v>1</v>
      </c>
      <c r="BE167" s="271"/>
      <c r="BF167" s="271"/>
      <c r="BG167" s="271"/>
      <c r="BH167" s="271"/>
      <c r="BI167" s="271"/>
      <c r="BJ167" s="271"/>
      <c r="BK167" s="271"/>
      <c r="BL167" s="271"/>
    </row>
    <row r="168" spans="18:64" ht="21" customHeight="1" x14ac:dyDescent="0.25">
      <c r="S168" s="451"/>
      <c r="T168" s="14" t="s">
        <v>7</v>
      </c>
      <c r="V168" s="475">
        <v>3</v>
      </c>
      <c r="W168" s="475" t="str">
        <f>IF($AC$168="","",$W$144)</f>
        <v/>
      </c>
      <c r="X168" s="476" t="str">
        <f>IF($AC$168="","",$X$144)</f>
        <v/>
      </c>
      <c r="Y168" s="477" t="str">
        <f>IF($X$168="","",$Y$144)</f>
        <v/>
      </c>
      <c r="Z168" s="477" t="str">
        <f>IF($X$168="","",$Z$144)</f>
        <v/>
      </c>
      <c r="AA168" s="477" t="str">
        <f>IF($AC$168="","",ROW($A$168)-ROW($A$144))</f>
        <v/>
      </c>
      <c r="AB168" s="478"/>
      <c r="AC168" s="34"/>
      <c r="AD168" s="356"/>
      <c r="AE168" s="18"/>
      <c r="AF168" s="19"/>
      <c r="AG168" s="480" t="str">
        <f t="shared" si="28"/>
        <v/>
      </c>
      <c r="AH168" s="481" t="str">
        <f t="shared" si="29"/>
        <v/>
      </c>
      <c r="AI168" s="477" t="str">
        <f>IF($AC$168="","",IFERROR(INDEX($AZ$74:$AZ$119,MATCH($AH$168,$AY$74:$AY$119,0)),"AUTRE"))</f>
        <v/>
      </c>
      <c r="AJ168" s="482" t="str">
        <f>IF($AC$168="","",IFERROR(INDEX($BA$74:$BA$119,MATCH($AH$168,$AY$74:$AY$119,0)),1))</f>
        <v/>
      </c>
      <c r="AK168" s="482" t="str">
        <f t="shared" si="30"/>
        <v/>
      </c>
      <c r="AL168" s="477" t="str">
        <f>IF($AC$168="","",IFERROR(INDEX($BB$74:$BB$119,MATCH($AH$168,$AY$74:$AY$119,0)),$AH$168))</f>
        <v/>
      </c>
      <c r="AM168" s="483" t="str">
        <f t="shared" si="31"/>
        <v/>
      </c>
      <c r="AN168" s="484" t="str">
        <f t="shared" si="32"/>
        <v/>
      </c>
      <c r="AO168" s="473" t="str">
        <f t="shared" si="33"/>
        <v/>
      </c>
      <c r="AP168" s="473" t="str">
        <f t="shared" si="34"/>
        <v/>
      </c>
      <c r="AQ168" s="473" t="str">
        <f t="shared" si="35"/>
        <v/>
      </c>
      <c r="AR168" s="473" t="str">
        <f t="shared" si="36"/>
        <v/>
      </c>
      <c r="AS168" s="473" t="str">
        <f t="shared" si="37"/>
        <v/>
      </c>
      <c r="AT168" s="473" t="str">
        <f t="shared" si="38"/>
        <v/>
      </c>
      <c r="AU168" s="473" t="str">
        <f t="shared" si="39"/>
        <v/>
      </c>
      <c r="AZ168" s="27" t="s">
        <v>8</v>
      </c>
      <c r="BA168" s="34" t="s">
        <v>494</v>
      </c>
      <c r="BB168" s="500"/>
      <c r="BC168" s="271"/>
      <c r="BD168" s="279">
        <v>1</v>
      </c>
      <c r="BE168" s="271"/>
      <c r="BF168" s="271"/>
      <c r="BG168" s="271"/>
      <c r="BH168" s="271"/>
      <c r="BI168" s="271"/>
      <c r="BJ168" s="271"/>
      <c r="BK168" s="271"/>
      <c r="BL168" s="271"/>
    </row>
    <row r="169" spans="18:64" ht="21" customHeight="1" x14ac:dyDescent="0.25">
      <c r="R169" s="25" t="s">
        <v>6115</v>
      </c>
      <c r="S169" s="451"/>
      <c r="T169" s="27" t="s">
        <v>8</v>
      </c>
      <c r="V169" s="475">
        <v>3</v>
      </c>
      <c r="W169" s="475" t="str">
        <f>IF($AC$169="","",$W$144)</f>
        <v/>
      </c>
      <c r="X169" s="476" t="str">
        <f>IF($AC$169="","",$X$144)</f>
        <v/>
      </c>
      <c r="Y169" s="477" t="str">
        <f>IF($X$169="","",$Y$144)</f>
        <v/>
      </c>
      <c r="Z169" s="477" t="str">
        <f>IF($X$169="","",$Z$144)</f>
        <v/>
      </c>
      <c r="AA169" s="477" t="str">
        <f>IF($AC$169="","",ROW($A$169)-ROW($A$144))</f>
        <v/>
      </c>
      <c r="AB169" s="478"/>
      <c r="AC169" s="34"/>
      <c r="AD169" s="356"/>
      <c r="AE169" s="18"/>
      <c r="AF169" s="19"/>
      <c r="AG169" s="480" t="str">
        <f t="shared" si="28"/>
        <v/>
      </c>
      <c r="AH169" s="481" t="str">
        <f t="shared" si="29"/>
        <v/>
      </c>
      <c r="AI169" s="477" t="str">
        <f>IF($AC$169="","",IFERROR(INDEX($AZ$74:$AZ$119,MATCH($AH$169,$AY$74:$AY$119,0)),"AUTRE"))</f>
        <v/>
      </c>
      <c r="AJ169" s="482" t="str">
        <f>IF($AC$169="","",IFERROR(INDEX($BA$74:$BA$119,MATCH($AH$169,$AY$74:$AY$119,0)),1))</f>
        <v/>
      </c>
      <c r="AK169" s="482" t="str">
        <f t="shared" si="30"/>
        <v/>
      </c>
      <c r="AL169" s="477" t="str">
        <f>IF($AC$169="","",IFERROR(INDEX($BB$74:$BB$119,MATCH($AH$169,$AY$74:$AY$119,0)),$AH$169))</f>
        <v/>
      </c>
      <c r="AM169" s="483" t="str">
        <f t="shared" si="31"/>
        <v/>
      </c>
      <c r="AN169" s="484" t="str">
        <f t="shared" si="32"/>
        <v/>
      </c>
      <c r="AO169" s="473" t="str">
        <f t="shared" si="33"/>
        <v/>
      </c>
      <c r="AP169" s="473" t="str">
        <f t="shared" si="34"/>
        <v/>
      </c>
      <c r="AQ169" s="473" t="str">
        <f t="shared" si="35"/>
        <v/>
      </c>
      <c r="AR169" s="473" t="str">
        <f t="shared" si="36"/>
        <v/>
      </c>
      <c r="AS169" s="473" t="str">
        <f t="shared" si="37"/>
        <v/>
      </c>
      <c r="AT169" s="473" t="str">
        <f t="shared" si="38"/>
        <v/>
      </c>
      <c r="AU169" s="473" t="str">
        <f t="shared" si="39"/>
        <v/>
      </c>
      <c r="AZ169" s="28" t="s">
        <v>13</v>
      </c>
      <c r="BB169" s="500"/>
      <c r="BC169" s="271"/>
      <c r="BD169" s="279">
        <v>1</v>
      </c>
      <c r="BE169" s="271"/>
      <c r="BF169" s="271"/>
      <c r="BG169" s="271"/>
      <c r="BH169" s="271"/>
      <c r="BI169" s="271"/>
      <c r="BJ169" s="271"/>
      <c r="BK169" s="271"/>
      <c r="BL169" s="271"/>
    </row>
    <row r="170" spans="18:64" ht="21" customHeight="1" x14ac:dyDescent="0.25">
      <c r="R170" s="34" t="s">
        <v>471</v>
      </c>
      <c r="S170" s="451"/>
      <c r="T170" s="28" t="s">
        <v>13</v>
      </c>
      <c r="V170" s="475">
        <v>3</v>
      </c>
      <c r="W170" s="475" t="str">
        <f>IF($AC$170="","",$W$144)</f>
        <v/>
      </c>
      <c r="X170" s="476" t="str">
        <f>IF($AC$170="","",$X$144)</f>
        <v/>
      </c>
      <c r="Y170" s="477" t="str">
        <f>IF($X$170="","",$Y$144)</f>
        <v/>
      </c>
      <c r="Z170" s="477" t="str">
        <f>IF($X$170="","",$Z$144)</f>
        <v/>
      </c>
      <c r="AA170" s="477" t="str">
        <f>IF($AC$170="","",ROW($A$170)-ROW($A$144))</f>
        <v/>
      </c>
      <c r="AB170" s="478"/>
      <c r="AC170" s="34"/>
      <c r="AD170" s="356"/>
      <c r="AE170" s="18"/>
      <c r="AF170" s="19"/>
      <c r="AG170" s="480" t="str">
        <f t="shared" si="28"/>
        <v/>
      </c>
      <c r="AH170" s="481" t="str">
        <f t="shared" si="29"/>
        <v/>
      </c>
      <c r="AI170" s="477" t="str">
        <f>IF($AC$170="","",IFERROR(INDEX($AZ$74:$AZ$119,MATCH($AH$170,$AY$74:$AY$119,0)),"AUTRE"))</f>
        <v/>
      </c>
      <c r="AJ170" s="482" t="str">
        <f>IF($AC$170="","",IFERROR(INDEX($BA$74:$BA$119,MATCH($AH$170,$AY$74:$AY$119,0)),1))</f>
        <v/>
      </c>
      <c r="AK170" s="482" t="str">
        <f t="shared" si="30"/>
        <v/>
      </c>
      <c r="AL170" s="477" t="str">
        <f>IF($AC$170="","",IFERROR(INDEX($BB$74:$BB$119,MATCH($AH$170,$AY$74:$AY$119,0)),$AH$170))</f>
        <v/>
      </c>
      <c r="AM170" s="483" t="str">
        <f t="shared" si="31"/>
        <v/>
      </c>
      <c r="AN170" s="484" t="str">
        <f t="shared" si="32"/>
        <v/>
      </c>
      <c r="AO170" s="473" t="str">
        <f t="shared" si="33"/>
        <v/>
      </c>
      <c r="AP170" s="473" t="str">
        <f t="shared" si="34"/>
        <v/>
      </c>
      <c r="AQ170" s="473" t="str">
        <f t="shared" si="35"/>
        <v/>
      </c>
      <c r="AR170" s="473" t="str">
        <f t="shared" si="36"/>
        <v/>
      </c>
      <c r="AS170" s="473" t="str">
        <f t="shared" si="37"/>
        <v/>
      </c>
      <c r="AT170" s="473" t="str">
        <f t="shared" si="38"/>
        <v/>
      </c>
      <c r="AU170" s="473" t="str">
        <f t="shared" si="39"/>
        <v/>
      </c>
      <c r="AZ170" s="28" t="s">
        <v>14</v>
      </c>
      <c r="BA170" s="25" t="s">
        <v>6115</v>
      </c>
      <c r="BB170" s="500"/>
      <c r="BC170" s="271"/>
      <c r="BD170" s="279">
        <v>1</v>
      </c>
      <c r="BE170" s="271"/>
      <c r="BF170" s="271"/>
      <c r="BG170" s="271"/>
      <c r="BH170" s="271"/>
      <c r="BI170" s="271"/>
      <c r="BJ170" s="271"/>
      <c r="BK170" s="271"/>
      <c r="BL170" s="271"/>
    </row>
    <row r="171" spans="18:64" ht="21" customHeight="1" x14ac:dyDescent="0.25">
      <c r="R171" s="34" t="s">
        <v>472</v>
      </c>
      <c r="S171" s="451"/>
      <c r="T171" s="28" t="s">
        <v>14</v>
      </c>
      <c r="V171" s="475">
        <v>3</v>
      </c>
      <c r="W171" s="475" t="str">
        <f>IF($AC$171="","",$W$144)</f>
        <v/>
      </c>
      <c r="X171" s="476" t="str">
        <f>IF($AC$171="","",$X$144)</f>
        <v/>
      </c>
      <c r="Y171" s="477" t="str">
        <f>IF($X$171="","",$Y$144)</f>
        <v/>
      </c>
      <c r="Z171" s="477" t="str">
        <f>IF($X$171="","",$Z$144)</f>
        <v/>
      </c>
      <c r="AA171" s="477" t="str">
        <f>IF($AC$171="","",ROW($A$171)-ROW($A$144))</f>
        <v/>
      </c>
      <c r="AB171" s="478"/>
      <c r="AC171" s="34"/>
      <c r="AD171" s="356"/>
      <c r="AE171" s="18"/>
      <c r="AF171" s="19"/>
      <c r="AG171" s="480" t="str">
        <f t="shared" si="28"/>
        <v/>
      </c>
      <c r="AH171" s="481" t="str">
        <f t="shared" si="29"/>
        <v/>
      </c>
      <c r="AI171" s="477" t="str">
        <f>IF($AC$171="","",IFERROR(INDEX($AZ$74:$AZ$119,MATCH($AH$171,$AY$74:$AY$119,0)),"AUTRE"))</f>
        <v/>
      </c>
      <c r="AJ171" s="482" t="str">
        <f>IF($AC$171="","",IFERROR(INDEX($BA$74:$BA$119,MATCH($AH$171,$AY$74:$AY$119,0)),1))</f>
        <v/>
      </c>
      <c r="AK171" s="482" t="str">
        <f t="shared" si="30"/>
        <v/>
      </c>
      <c r="AL171" s="477" t="str">
        <f>IF($AC$171="","",IFERROR(INDEX($BB$74:$BB$119,MATCH($AH$171,$AY$74:$AY$119,0)),$AH$171))</f>
        <v/>
      </c>
      <c r="AM171" s="483" t="str">
        <f t="shared" si="31"/>
        <v/>
      </c>
      <c r="AN171" s="484" t="str">
        <f t="shared" si="32"/>
        <v/>
      </c>
      <c r="AO171" s="473" t="str">
        <f t="shared" si="33"/>
        <v/>
      </c>
      <c r="AP171" s="473" t="str">
        <f t="shared" si="34"/>
        <v/>
      </c>
      <c r="AQ171" s="473" t="str">
        <f t="shared" si="35"/>
        <v/>
      </c>
      <c r="AR171" s="473" t="str">
        <f t="shared" si="36"/>
        <v/>
      </c>
      <c r="AS171" s="473" t="str">
        <f t="shared" si="37"/>
        <v/>
      </c>
      <c r="AT171" s="473" t="str">
        <f t="shared" si="38"/>
        <v/>
      </c>
      <c r="AU171" s="473" t="str">
        <f t="shared" si="39"/>
        <v/>
      </c>
      <c r="AZ171" s="28" t="s">
        <v>15</v>
      </c>
      <c r="BA171" s="34" t="s">
        <v>471</v>
      </c>
      <c r="BB171" s="500"/>
      <c r="BC171" s="271"/>
      <c r="BD171" s="279">
        <v>1</v>
      </c>
      <c r="BE171" s="271"/>
      <c r="BF171" s="271"/>
      <c r="BG171" s="271"/>
      <c r="BH171" s="271"/>
      <c r="BI171" s="271"/>
      <c r="BJ171" s="271"/>
      <c r="BK171" s="271"/>
      <c r="BL171" s="271"/>
    </row>
    <row r="172" spans="18:64" ht="21" customHeight="1" x14ac:dyDescent="0.25">
      <c r="R172" s="34" t="s">
        <v>6112</v>
      </c>
      <c r="S172" s="451"/>
      <c r="T172" s="28" t="s">
        <v>15</v>
      </c>
      <c r="V172" s="475">
        <v>3</v>
      </c>
      <c r="W172" s="475" t="str">
        <f>IF($AC$172="","",$W$144)</f>
        <v/>
      </c>
      <c r="X172" s="476" t="str">
        <f>IF($AC$172="","",$X$144)</f>
        <v/>
      </c>
      <c r="Y172" s="477" t="str">
        <f>IF($X$172="","",$Y$144)</f>
        <v/>
      </c>
      <c r="Z172" s="477" t="str">
        <f>IF($X$172="","",$Z$144)</f>
        <v/>
      </c>
      <c r="AA172" s="477" t="str">
        <f>IF($AC$172="","",ROW($A$172)-ROW($A$144))</f>
        <v/>
      </c>
      <c r="AB172" s="478"/>
      <c r="AC172" s="34"/>
      <c r="AD172" s="356"/>
      <c r="AE172" s="18"/>
      <c r="AF172" s="19"/>
      <c r="AG172" s="480" t="str">
        <f t="shared" si="28"/>
        <v/>
      </c>
      <c r="AH172" s="481" t="str">
        <f t="shared" si="29"/>
        <v/>
      </c>
      <c r="AI172" s="477" t="str">
        <f>IF($AC$172="","",IFERROR(INDEX($AZ$74:$AZ$119,MATCH($AH$172,$AY$74:$AY$119,0)),"AUTRE"))</f>
        <v/>
      </c>
      <c r="AJ172" s="482" t="str">
        <f>IF($AC$172="","",IFERROR(INDEX($BA$74:$BA$119,MATCH($AH$172,$AY$74:$AY$119,0)),1))</f>
        <v/>
      </c>
      <c r="AK172" s="482" t="str">
        <f t="shared" si="30"/>
        <v/>
      </c>
      <c r="AL172" s="477" t="str">
        <f>IF($AC$172="","",IFERROR(INDEX($BB$74:$BB$119,MATCH($AH$172,$AY$74:$AY$119,0)),$AH$172))</f>
        <v/>
      </c>
      <c r="AM172" s="483" t="str">
        <f t="shared" si="31"/>
        <v/>
      </c>
      <c r="AN172" s="484" t="str">
        <f t="shared" si="32"/>
        <v/>
      </c>
      <c r="AO172" s="473" t="str">
        <f t="shared" si="33"/>
        <v/>
      </c>
      <c r="AP172" s="473" t="str">
        <f t="shared" si="34"/>
        <v/>
      </c>
      <c r="AQ172" s="473" t="str">
        <f t="shared" si="35"/>
        <v/>
      </c>
      <c r="AR172" s="473" t="str">
        <f t="shared" si="36"/>
        <v/>
      </c>
      <c r="AS172" s="473" t="str">
        <f t="shared" si="37"/>
        <v/>
      </c>
      <c r="AT172" s="473" t="str">
        <f t="shared" si="38"/>
        <v/>
      </c>
      <c r="AU172" s="473" t="str">
        <f t="shared" si="39"/>
        <v/>
      </c>
      <c r="AY172" s="271"/>
      <c r="AZ172" s="29" t="s">
        <v>9</v>
      </c>
      <c r="BA172" s="34" t="s">
        <v>472</v>
      </c>
      <c r="BB172" s="499"/>
      <c r="BC172" s="271"/>
      <c r="BD172" s="279">
        <v>1</v>
      </c>
      <c r="BE172" s="271"/>
      <c r="BF172" s="271"/>
      <c r="BG172" s="271"/>
      <c r="BH172" s="271"/>
      <c r="BI172" s="271"/>
      <c r="BJ172" s="271"/>
      <c r="BK172" s="271"/>
      <c r="BL172" s="271"/>
    </row>
    <row r="173" spans="18:64" ht="21" customHeight="1" x14ac:dyDescent="0.25">
      <c r="R173" s="25" t="s">
        <v>6116</v>
      </c>
      <c r="S173" s="451"/>
      <c r="T173" s="28" t="s">
        <v>21</v>
      </c>
      <c r="V173" s="475">
        <v>3</v>
      </c>
      <c r="W173" s="475" t="str">
        <f>IF($AC$173="","",$W$144)</f>
        <v/>
      </c>
      <c r="X173" s="476" t="str">
        <f>IF($AC$173="","",$X$144)</f>
        <v/>
      </c>
      <c r="Y173" s="477" t="str">
        <f>IF($X$173="","",$Y$144)</f>
        <v/>
      </c>
      <c r="Z173" s="477" t="str">
        <f>IF($X$173="","",$Z$144)</f>
        <v/>
      </c>
      <c r="AA173" s="477" t="str">
        <f>IF($AC$173="","",ROW($A$173)-ROW($A$144))</f>
        <v/>
      </c>
      <c r="AB173" s="478"/>
      <c r="AC173" s="34"/>
      <c r="AD173" s="356"/>
      <c r="AE173" s="18"/>
      <c r="AF173" s="19"/>
      <c r="AG173" s="480" t="str">
        <f t="shared" si="28"/>
        <v/>
      </c>
      <c r="AH173" s="481" t="str">
        <f t="shared" si="29"/>
        <v/>
      </c>
      <c r="AI173" s="477" t="str">
        <f>IF($AC$173="","",IFERROR(INDEX($AZ$74:$AZ$119,MATCH($AH$173,$AY$74:$AY$119,0)),"AUTRE"))</f>
        <v/>
      </c>
      <c r="AJ173" s="482" t="str">
        <f>IF($AC$173="","",IFERROR(INDEX($BA$74:$BA$119,MATCH($AH$173,$AY$74:$AY$119,0)),1))</f>
        <v/>
      </c>
      <c r="AK173" s="482" t="str">
        <f t="shared" si="30"/>
        <v/>
      </c>
      <c r="AL173" s="477" t="str">
        <f>IF($AC$173="","",IFERROR(INDEX($BB$74:$BB$119,MATCH($AH$173,$AY$74:$AY$119,0)),$AH$173))</f>
        <v/>
      </c>
      <c r="AM173" s="483" t="str">
        <f t="shared" si="31"/>
        <v/>
      </c>
      <c r="AN173" s="484" t="str">
        <f t="shared" si="32"/>
        <v/>
      </c>
      <c r="AO173" s="473" t="str">
        <f t="shared" si="33"/>
        <v/>
      </c>
      <c r="AP173" s="473" t="str">
        <f t="shared" si="34"/>
        <v/>
      </c>
      <c r="AQ173" s="473" t="str">
        <f t="shared" si="35"/>
        <v/>
      </c>
      <c r="AR173" s="473" t="str">
        <f t="shared" si="36"/>
        <v/>
      </c>
      <c r="AS173" s="473" t="str">
        <f t="shared" si="37"/>
        <v/>
      </c>
      <c r="AT173" s="473" t="str">
        <f t="shared" si="38"/>
        <v/>
      </c>
      <c r="AU173" s="473" t="str">
        <f t="shared" si="39"/>
        <v/>
      </c>
      <c r="AY173" s="497" t="s">
        <v>8145</v>
      </c>
      <c r="AZ173" s="30" t="s">
        <v>10</v>
      </c>
      <c r="BA173" s="34" t="s">
        <v>6112</v>
      </c>
      <c r="BB173" s="499"/>
      <c r="BC173" s="271"/>
      <c r="BD173" s="279">
        <v>1</v>
      </c>
      <c r="BE173" s="271"/>
      <c r="BF173" s="271"/>
      <c r="BG173" s="271"/>
      <c r="BH173" s="271"/>
      <c r="BI173" s="271"/>
      <c r="BJ173" s="271"/>
      <c r="BK173" s="271"/>
      <c r="BL173" s="271"/>
    </row>
    <row r="174" spans="18:64" ht="21" customHeight="1" x14ac:dyDescent="0.25">
      <c r="R174" s="34" t="s">
        <v>6117</v>
      </c>
      <c r="S174" s="451"/>
      <c r="T174" s="28" t="s">
        <v>22</v>
      </c>
      <c r="V174" s="475">
        <v>3</v>
      </c>
      <c r="W174" s="475" t="str">
        <f>IF($AC$174="","",$W$144)</f>
        <v/>
      </c>
      <c r="X174" s="476" t="str">
        <f>IF($AC$174="","",$X$144)</f>
        <v/>
      </c>
      <c r="Y174" s="477" t="str">
        <f>IF($X$174="","",$Y$144)</f>
        <v/>
      </c>
      <c r="Z174" s="477" t="str">
        <f>IF($X$174="","",$Z$144)</f>
        <v/>
      </c>
      <c r="AA174" s="477" t="str">
        <f>IF($AC$174="","",ROW($A$174)-ROW($A$144))</f>
        <v/>
      </c>
      <c r="AB174" s="478"/>
      <c r="AC174" s="34"/>
      <c r="AD174" s="356"/>
      <c r="AE174" s="18"/>
      <c r="AF174" s="19"/>
      <c r="AG174" s="480" t="str">
        <f t="shared" si="28"/>
        <v/>
      </c>
      <c r="AH174" s="481" t="str">
        <f t="shared" si="29"/>
        <v/>
      </c>
      <c r="AI174" s="477" t="str">
        <f>IF($AC$174="","",IFERROR(INDEX($AZ$74:$AZ$119,MATCH($AH$174,$AY$74:$AY$119,0)),"AUTRE"))</f>
        <v/>
      </c>
      <c r="AJ174" s="482" t="str">
        <f>IF($AC$174="","",IFERROR(INDEX($BA$74:$BA$119,MATCH($AH$174,$AY$74:$AY$119,0)),1))</f>
        <v/>
      </c>
      <c r="AK174" s="482" t="str">
        <f t="shared" si="30"/>
        <v/>
      </c>
      <c r="AL174" s="477" t="str">
        <f>IF($AC$174="","",IFERROR(INDEX($BB$74:$BB$119,MATCH($AH$174,$AY$74:$AY$119,0)),$AH$174))</f>
        <v/>
      </c>
      <c r="AM174" s="483" t="str">
        <f t="shared" si="31"/>
        <v/>
      </c>
      <c r="AN174" s="484" t="str">
        <f t="shared" si="32"/>
        <v/>
      </c>
      <c r="AO174" s="473" t="str">
        <f t="shared" si="33"/>
        <v/>
      </c>
      <c r="AP174" s="473" t="str">
        <f t="shared" si="34"/>
        <v/>
      </c>
      <c r="AQ174" s="473" t="str">
        <f t="shared" si="35"/>
        <v/>
      </c>
      <c r="AR174" s="473" t="str">
        <f t="shared" si="36"/>
        <v/>
      </c>
      <c r="AS174" s="473" t="str">
        <f t="shared" si="37"/>
        <v/>
      </c>
      <c r="AT174" s="473" t="str">
        <f t="shared" si="38"/>
        <v/>
      </c>
      <c r="AU174" s="473" t="str">
        <f t="shared" si="39"/>
        <v/>
      </c>
      <c r="AY174" s="497" t="s">
        <v>462</v>
      </c>
      <c r="AZ174" s="30" t="s">
        <v>11</v>
      </c>
      <c r="BA174" s="25" t="s">
        <v>6116</v>
      </c>
      <c r="BB174" s="499"/>
      <c r="BC174" s="271"/>
      <c r="BD174" s="279">
        <v>1</v>
      </c>
      <c r="BE174" s="271"/>
      <c r="BF174" s="271"/>
      <c r="BG174" s="271"/>
      <c r="BH174" s="271"/>
      <c r="BI174" s="271"/>
      <c r="BJ174" s="271"/>
      <c r="BK174" s="271"/>
      <c r="BL174" s="271"/>
    </row>
    <row r="175" spans="18:64" ht="21" customHeight="1" x14ac:dyDescent="0.25">
      <c r="R175" s="34" t="s">
        <v>469</v>
      </c>
      <c r="S175" s="451"/>
      <c r="T175" s="28" t="s">
        <v>23</v>
      </c>
      <c r="V175" s="475">
        <v>3</v>
      </c>
      <c r="W175" s="475" t="str">
        <f>IF($AC$175="","",$W$144)</f>
        <v/>
      </c>
      <c r="X175" s="476" t="str">
        <f>IF($AC$175="","",$X$144)</f>
        <v/>
      </c>
      <c r="Y175" s="477" t="str">
        <f>IF($X$175="","",$Y$144)</f>
        <v/>
      </c>
      <c r="Z175" s="477" t="str">
        <f>IF($X$175="","",$Z$144)</f>
        <v/>
      </c>
      <c r="AA175" s="477" t="str">
        <f>IF($AC$175="","",ROW($A$175)-ROW($A$144))</f>
        <v/>
      </c>
      <c r="AB175" s="478"/>
      <c r="AC175" s="34"/>
      <c r="AD175" s="356"/>
      <c r="AE175" s="18"/>
      <c r="AF175" s="19"/>
      <c r="AG175" s="480" t="str">
        <f t="shared" si="28"/>
        <v/>
      </c>
      <c r="AH175" s="481" t="str">
        <f t="shared" si="29"/>
        <v/>
      </c>
      <c r="AI175" s="477" t="str">
        <f>IF($AC$175="","",IFERROR(INDEX($AZ$74:$AZ$119,MATCH($AH$175,$AY$74:$AY$119,0)),"AUTRE"))</f>
        <v/>
      </c>
      <c r="AJ175" s="482" t="str">
        <f>IF($AC$175="","",IFERROR(INDEX($BA$74:$BA$119,MATCH($AH$175,$AY$74:$AY$119,0)),1))</f>
        <v/>
      </c>
      <c r="AK175" s="482" t="str">
        <f t="shared" si="30"/>
        <v/>
      </c>
      <c r="AL175" s="477" t="str">
        <f>IF($AC$175="","",IFERROR(INDEX($BB$74:$BB$119,MATCH($AH$175,$AY$74:$AY$119,0)),$AH$175))</f>
        <v/>
      </c>
      <c r="AM175" s="483" t="str">
        <f t="shared" si="31"/>
        <v/>
      </c>
      <c r="AN175" s="484" t="str">
        <f t="shared" si="32"/>
        <v/>
      </c>
      <c r="AO175" s="473" t="str">
        <f t="shared" si="33"/>
        <v/>
      </c>
      <c r="AP175" s="473" t="str">
        <f t="shared" si="34"/>
        <v/>
      </c>
      <c r="AQ175" s="473" t="str">
        <f t="shared" si="35"/>
        <v/>
      </c>
      <c r="AR175" s="473" t="str">
        <f t="shared" si="36"/>
        <v/>
      </c>
      <c r="AS175" s="473" t="str">
        <f t="shared" si="37"/>
        <v/>
      </c>
      <c r="AT175" s="473" t="str">
        <f t="shared" si="38"/>
        <v/>
      </c>
      <c r="AU175" s="473" t="str">
        <f t="shared" si="39"/>
        <v/>
      </c>
      <c r="AY175" s="497" t="s">
        <v>463</v>
      </c>
      <c r="AZ175" s="30" t="s">
        <v>12</v>
      </c>
      <c r="BA175" s="34" t="s">
        <v>6117</v>
      </c>
      <c r="BB175" s="499"/>
      <c r="BC175" s="271"/>
      <c r="BD175" s="279">
        <v>1</v>
      </c>
      <c r="BE175" s="271"/>
      <c r="BF175" s="271"/>
      <c r="BG175" s="271"/>
      <c r="BH175" s="271"/>
      <c r="BI175" s="271"/>
      <c r="BJ175" s="271"/>
      <c r="BK175" s="271"/>
      <c r="BL175" s="271"/>
    </row>
    <row r="176" spans="18:64" ht="21" customHeight="1" x14ac:dyDescent="0.25">
      <c r="R176" s="34" t="s">
        <v>6118</v>
      </c>
      <c r="S176" s="451"/>
      <c r="T176" s="28" t="s">
        <v>24</v>
      </c>
      <c r="V176" s="475">
        <v>3</v>
      </c>
      <c r="W176" s="475" t="str">
        <f>IF($AC$176="","",$W$144)</f>
        <v/>
      </c>
      <c r="X176" s="476" t="str">
        <f>IF($AC$176="","",$X$144)</f>
        <v/>
      </c>
      <c r="Y176" s="477" t="str">
        <f>IF($X$176="","",$Y$144)</f>
        <v/>
      </c>
      <c r="Z176" s="477" t="str">
        <f>IF($X$176="","",$Z$144)</f>
        <v/>
      </c>
      <c r="AA176" s="477" t="str">
        <f>IF($AC$176="","",ROW($A$176)-ROW($A$144))</f>
        <v/>
      </c>
      <c r="AB176" s="478"/>
      <c r="AC176" s="34"/>
      <c r="AD176" s="356"/>
      <c r="AE176" s="18"/>
      <c r="AF176" s="19"/>
      <c r="AG176" s="480" t="str">
        <f t="shared" si="28"/>
        <v/>
      </c>
      <c r="AH176" s="481" t="str">
        <f t="shared" si="29"/>
        <v/>
      </c>
      <c r="AI176" s="477" t="str">
        <f>IF($AC$176="","",IFERROR(INDEX($AZ$74:$AZ$119,MATCH($AH$176,$AY$74:$AY$119,0)),"AUTRE"))</f>
        <v/>
      </c>
      <c r="AJ176" s="482" t="str">
        <f>IF($AC$176="","",IFERROR(INDEX($BA$74:$BA$119,MATCH($AH$176,$AY$74:$AY$119,0)),1))</f>
        <v/>
      </c>
      <c r="AK176" s="482" t="str">
        <f t="shared" si="30"/>
        <v/>
      </c>
      <c r="AL176" s="477" t="str">
        <f>IF($AC$176="","",IFERROR(INDEX($BB$74:$BB$119,MATCH($AH$176,$AY$74:$AY$119,0)),$AH$176))</f>
        <v/>
      </c>
      <c r="AM176" s="483" t="str">
        <f t="shared" si="31"/>
        <v/>
      </c>
      <c r="AN176" s="484" t="str">
        <f t="shared" si="32"/>
        <v/>
      </c>
      <c r="AO176" s="473" t="str">
        <f t="shared" si="33"/>
        <v/>
      </c>
      <c r="AP176" s="473" t="str">
        <f t="shared" si="34"/>
        <v/>
      </c>
      <c r="AQ176" s="473" t="str">
        <f t="shared" si="35"/>
        <v/>
      </c>
      <c r="AR176" s="473" t="str">
        <f t="shared" si="36"/>
        <v/>
      </c>
      <c r="AS176" s="473" t="str">
        <f t="shared" si="37"/>
        <v/>
      </c>
      <c r="AT176" s="473" t="str">
        <f t="shared" si="38"/>
        <v/>
      </c>
      <c r="AU176" s="473" t="str">
        <f t="shared" si="39"/>
        <v/>
      </c>
      <c r="AY176" s="497" t="s">
        <v>8147</v>
      </c>
      <c r="AZ176" s="31" t="s">
        <v>16</v>
      </c>
      <c r="BA176" s="34" t="s">
        <v>469</v>
      </c>
      <c r="BB176" s="499"/>
      <c r="BC176" s="271"/>
      <c r="BD176" s="279">
        <v>1</v>
      </c>
      <c r="BE176" s="271"/>
      <c r="BF176" s="271"/>
      <c r="BG176" s="271"/>
      <c r="BH176" s="271"/>
      <c r="BI176" s="271"/>
      <c r="BJ176" s="271"/>
      <c r="BK176" s="271"/>
      <c r="BL176" s="271"/>
    </row>
    <row r="177" spans="18:64" ht="21" customHeight="1" x14ac:dyDescent="0.25">
      <c r="R177" s="34" t="s">
        <v>492</v>
      </c>
      <c r="S177" s="451"/>
      <c r="T177" s="29" t="s">
        <v>9</v>
      </c>
      <c r="V177" s="475">
        <v>3</v>
      </c>
      <c r="W177" s="475" t="str">
        <f>IF($AC$177="","",$W$144)</f>
        <v/>
      </c>
      <c r="X177" s="476" t="str">
        <f>IF($AC$177="","",$X$144)</f>
        <v/>
      </c>
      <c r="Y177" s="477" t="str">
        <f>IF($X$177="","",$Y$144)</f>
        <v/>
      </c>
      <c r="Z177" s="477" t="str">
        <f>IF($X$177="","",$Z$144)</f>
        <v/>
      </c>
      <c r="AA177" s="477" t="str">
        <f>IF($AC$177="","",ROW($A$177)-ROW($A$144))</f>
        <v/>
      </c>
      <c r="AB177" s="478"/>
      <c r="AC177" s="34"/>
      <c r="AD177" s="356"/>
      <c r="AE177" s="18"/>
      <c r="AF177" s="19"/>
      <c r="AG177" s="480" t="str">
        <f t="shared" si="28"/>
        <v/>
      </c>
      <c r="AH177" s="481" t="str">
        <f t="shared" si="29"/>
        <v/>
      </c>
      <c r="AI177" s="477" t="str">
        <f>IF($AC$177="","",IFERROR(INDEX($AZ$74:$AZ$119,MATCH($AH$177,$AY$74:$AY$119,0)),"AUTRE"))</f>
        <v/>
      </c>
      <c r="AJ177" s="482" t="str">
        <f>IF($AC$177="","",IFERROR(INDEX($BA$74:$BA$119,MATCH($AH$177,$AY$74:$AY$119,0)),1))</f>
        <v/>
      </c>
      <c r="AK177" s="482" t="str">
        <f t="shared" si="30"/>
        <v/>
      </c>
      <c r="AL177" s="477" t="str">
        <f>IF($AC$177="","",IFERROR(INDEX($BB$74:$BB$119,MATCH($AH$177,$AY$74:$AY$119,0)),$AH$177))</f>
        <v/>
      </c>
      <c r="AM177" s="483" t="str">
        <f t="shared" si="31"/>
        <v/>
      </c>
      <c r="AN177" s="484" t="str">
        <f t="shared" si="32"/>
        <v/>
      </c>
      <c r="AO177" s="473" t="str">
        <f t="shared" si="33"/>
        <v/>
      </c>
      <c r="AP177" s="473" t="str">
        <f t="shared" si="34"/>
        <v/>
      </c>
      <c r="AQ177" s="473" t="str">
        <f t="shared" si="35"/>
        <v/>
      </c>
      <c r="AR177" s="473" t="str">
        <f t="shared" si="36"/>
        <v/>
      </c>
      <c r="AS177" s="473" t="str">
        <f t="shared" si="37"/>
        <v/>
      </c>
      <c r="AT177" s="473" t="str">
        <f t="shared" si="38"/>
        <v/>
      </c>
      <c r="AU177" s="473" t="str">
        <f t="shared" si="39"/>
        <v/>
      </c>
      <c r="AY177" s="497" t="s">
        <v>465</v>
      </c>
      <c r="AZ177" s="31" t="s">
        <v>17</v>
      </c>
      <c r="BA177" s="34" t="s">
        <v>6118</v>
      </c>
      <c r="BB177" s="499"/>
      <c r="BC177" s="271"/>
      <c r="BD177" s="279">
        <v>1</v>
      </c>
      <c r="BE177" s="271"/>
      <c r="BF177" s="271"/>
      <c r="BG177" s="271"/>
      <c r="BH177" s="271"/>
      <c r="BI177" s="271"/>
      <c r="BJ177" s="271"/>
      <c r="BK177" s="271"/>
      <c r="BL177" s="271"/>
    </row>
    <row r="178" spans="18:64" ht="21" customHeight="1" x14ac:dyDescent="0.25">
      <c r="R178" s="34" t="s">
        <v>458</v>
      </c>
      <c r="S178" s="451"/>
      <c r="T178" s="30" t="s">
        <v>10</v>
      </c>
      <c r="V178" s="475">
        <v>3</v>
      </c>
      <c r="W178" s="475" t="str">
        <f>IF($AC$178="","",$W$144)</f>
        <v/>
      </c>
      <c r="X178" s="476" t="str">
        <f>IF($AC$178="","",$X$144)</f>
        <v/>
      </c>
      <c r="Y178" s="477" t="str">
        <f>IF($X$178="","",$Y$144)</f>
        <v/>
      </c>
      <c r="Z178" s="477" t="str">
        <f>IF($X$178="","",$Z$144)</f>
        <v/>
      </c>
      <c r="AA178" s="477" t="str">
        <f>IF($AC$178="","",ROW($A$178)-ROW($A$144))</f>
        <v/>
      </c>
      <c r="AB178" s="478"/>
      <c r="AC178" s="34"/>
      <c r="AD178" s="356"/>
      <c r="AE178" s="18"/>
      <c r="AF178" s="24"/>
      <c r="AG178" s="491" t="str">
        <f t="shared" si="28"/>
        <v/>
      </c>
      <c r="AH178" s="481" t="str">
        <f t="shared" si="29"/>
        <v/>
      </c>
      <c r="AI178" s="477" t="str">
        <f>IF($AC$178="","",IFERROR(INDEX($AZ$74:$AZ$119,MATCH($AH$178,$AY$74:$AY$119,0)),"AUTRE"))</f>
        <v/>
      </c>
      <c r="AJ178" s="482" t="str">
        <f>IF($AC$178="","",IFERROR(INDEX($BA$74:$BA$119,MATCH($AH$178,$AY$74:$AY$119,0)),1))</f>
        <v/>
      </c>
      <c r="AK178" s="482" t="str">
        <f t="shared" si="30"/>
        <v/>
      </c>
      <c r="AL178" s="477" t="str">
        <f>IF($AC$178="","",IFERROR(INDEX($BB$74:$BB$119,MATCH($AH$178,$AY$74:$AY$119,0)),$AH$178))</f>
        <v/>
      </c>
      <c r="AM178" s="483" t="str">
        <f t="shared" si="31"/>
        <v/>
      </c>
      <c r="AN178" s="484" t="str">
        <f t="shared" si="32"/>
        <v/>
      </c>
      <c r="AO178" s="473" t="str">
        <f t="shared" si="33"/>
        <v/>
      </c>
      <c r="AP178" s="473" t="str">
        <f t="shared" si="34"/>
        <v/>
      </c>
      <c r="AQ178" s="473" t="str">
        <f t="shared" si="35"/>
        <v/>
      </c>
      <c r="AR178" s="473" t="str">
        <f t="shared" si="36"/>
        <v/>
      </c>
      <c r="AS178" s="473" t="str">
        <f t="shared" si="37"/>
        <v/>
      </c>
      <c r="AT178" s="473" t="str">
        <f t="shared" si="38"/>
        <v/>
      </c>
      <c r="AU178" s="473" t="str">
        <f t="shared" si="39"/>
        <v/>
      </c>
      <c r="AY178" s="497" t="s">
        <v>466</v>
      </c>
      <c r="AZ178" s="31" t="s">
        <v>18</v>
      </c>
      <c r="BA178" s="34" t="s">
        <v>492</v>
      </c>
      <c r="BB178" s="499"/>
      <c r="BC178" s="271"/>
      <c r="BD178" s="279">
        <v>1</v>
      </c>
      <c r="BE178" s="271"/>
      <c r="BF178" s="271"/>
      <c r="BG178" s="271"/>
      <c r="BH178" s="271"/>
      <c r="BI178" s="271"/>
      <c r="BJ178" s="271"/>
      <c r="BK178" s="271"/>
      <c r="BL178" s="271"/>
    </row>
    <row r="179" spans="18:64" ht="30" customHeight="1" x14ac:dyDescent="0.25">
      <c r="R179" s="490"/>
      <c r="S179" s="451"/>
      <c r="T179" s="30" t="s">
        <v>11</v>
      </c>
      <c r="V179" s="453" t="s">
        <v>324</v>
      </c>
      <c r="W179" s="453" t="s">
        <v>7912</v>
      </c>
      <c r="X179" s="453" t="s">
        <v>326</v>
      </c>
      <c r="Y179" s="453" t="s">
        <v>327</v>
      </c>
      <c r="Z179" s="454" t="s">
        <v>7930</v>
      </c>
      <c r="AA179" s="453" t="s">
        <v>7937</v>
      </c>
      <c r="AB179" s="455" t="s">
        <v>39</v>
      </c>
      <c r="AC179" s="455" t="s">
        <v>338</v>
      </c>
      <c r="AD179" s="455" t="s">
        <v>8114</v>
      </c>
      <c r="AE179" s="455" t="s">
        <v>339</v>
      </c>
      <c r="AF179" s="455" t="s">
        <v>7997</v>
      </c>
      <c r="AG179" s="453" t="s">
        <v>8018</v>
      </c>
      <c r="AH179" s="453" t="s">
        <v>8023</v>
      </c>
      <c r="AI179" s="453" t="s">
        <v>330</v>
      </c>
      <c r="AJ179" s="453" t="s">
        <v>8031</v>
      </c>
      <c r="AK179" s="453" t="s">
        <v>8037</v>
      </c>
      <c r="AL179" s="453" t="s">
        <v>8041</v>
      </c>
      <c r="AM179" s="453" t="s">
        <v>343</v>
      </c>
      <c r="AN179" s="457" t="s">
        <v>8115</v>
      </c>
      <c r="AO179" s="457" t="s">
        <v>8116</v>
      </c>
      <c r="AP179" s="656" t="s">
        <v>8117</v>
      </c>
      <c r="AQ179" s="656"/>
      <c r="AR179" s="656"/>
      <c r="AS179" s="656"/>
      <c r="AT179" s="656"/>
      <c r="AU179" s="657"/>
      <c r="AZ179" s="31" t="s">
        <v>19</v>
      </c>
      <c r="BA179" s="34" t="s">
        <v>458</v>
      </c>
      <c r="BB179" s="499"/>
      <c r="BC179" s="271"/>
      <c r="BD179" s="279">
        <v>1</v>
      </c>
      <c r="BE179" s="271"/>
      <c r="BF179" s="271"/>
      <c r="BG179" s="271"/>
      <c r="BH179" s="271"/>
      <c r="BI179" s="271"/>
      <c r="BJ179" s="271"/>
      <c r="BK179" s="271"/>
      <c r="BL179" s="271"/>
    </row>
    <row r="180" spans="18:64" ht="30" customHeight="1" x14ac:dyDescent="0.25">
      <c r="R180" s="25" t="s">
        <v>6119</v>
      </c>
      <c r="S180" s="451"/>
      <c r="T180" s="30" t="s">
        <v>12</v>
      </c>
      <c r="V180" s="459">
        <v>4</v>
      </c>
      <c r="W180" s="460" t="s">
        <v>263</v>
      </c>
      <c r="X180" s="461" t="s">
        <v>264</v>
      </c>
      <c r="Y180" s="462">
        <v>59</v>
      </c>
      <c r="Z180" s="463">
        <v>100</v>
      </c>
      <c r="AA180" s="464">
        <f>IF($AC$396="","",ROW($A$396)-ROW($A$396))</f>
        <v>0</v>
      </c>
      <c r="AB180" s="461"/>
      <c r="AC180" s="465" t="s">
        <v>91</v>
      </c>
      <c r="AD180" s="390"/>
      <c r="AE180" s="13">
        <v>25</v>
      </c>
      <c r="AF180" s="20" t="s">
        <v>9</v>
      </c>
      <c r="AG180" s="467">
        <f t="shared" ref="AG180:AG214" si="40">IF($AC180="","",IF(LEN($AN180&amp;"")=0,"",$AN180))</f>
        <v>25</v>
      </c>
      <c r="AH180" s="468" t="str">
        <f t="shared" ref="AH180:AH214" si="41">IF($AC180="","",IF($AF180&lt;&gt;"",UPPER(TRIM(SUBSTITUTE(SUBSTITUTE($AF180&amp;"",CHAR(160)," ")," "," "))),$AP180))</f>
        <v>L</v>
      </c>
      <c r="AI180" s="469" t="str">
        <f>IF($AC$180="","",IFERROR(INDEX($AZ$74:$AZ$119,MATCH($AH$180,$AY$74:$AY$119,0)),"AUTRE"))</f>
        <v>VOLUME</v>
      </c>
      <c r="AJ180" s="470">
        <f>IF($AC$180="","",IFERROR(INDEX($BA$74:$BA$119,MATCH($AH$180,$AY$74:$AY$119,0)),1))</f>
        <v>1</v>
      </c>
      <c r="AK180" s="470">
        <f t="shared" ref="AK180:AK214" si="42">IF(OR(AG180="",AJ180=""),"",AG180*AJ180)</f>
        <v>25</v>
      </c>
      <c r="AL180" s="469" t="str">
        <f>IF($AC$180="","",IFERROR(INDEX($BB$74:$BB$119,MATCH($AH$180,$AY$74:$AY$119,0)),$AH$180))</f>
        <v>L</v>
      </c>
      <c r="AM180" s="471" t="str">
        <f t="shared" ref="AM180:AM214" si="43">IF($AC180="","",IF($AH180="QT. SUFFISANTE","OK",IF($AG180="","TEXTE",IF(NOT(ISNUMBER($AG180)),"QUANTITÉ À CONTRÔLER",IF(COUNTIF($AY$74:$AY$119,$AH180)=0,"UNITÉ À CONTRÔLER","OK")))))</f>
        <v>OK</v>
      </c>
      <c r="AN180" s="474">
        <f t="shared" ref="AN180:AN214" si="44">IF($AE180&lt;&gt;"",$AE180,IF($AD180="","",IF(ISNUMBER($AD180),$AD180,IF($AO180="QT",0,IF($AO180="","",IFERROR(IF(ISNUMBER(SEARCH("/",$AO180)),VALUE(TRIM(LEFT($AO180,SEARCH("/",$AO180)-1)))/VALUE(TRIM(MID($AO180,SEARCH("/",$AO180)+1,99))),VALUE(SUBSTITUTE($AO180,".",","))),""))))))</f>
        <v>25</v>
      </c>
      <c r="AO180" s="473" t="str">
        <f t="shared" ref="AO180:AO214" si="45">IF($AD180="","",IF(ISNUMBER($AD180),$AD180,IF(OR(LEFT($AQ180,3)="QT.",LEFT($AQ180,4)="QUAN"),"QT",IF($AR180=999,$AQ180,TRIM(LEFT($AQ180,$AR180-1))))))</f>
        <v/>
      </c>
      <c r="AP180" s="473" t="str">
        <f t="shared" ref="AP180:AP214" si="46">IF($AD180="","",IF(ISNUMBER($AD180),"",IF(OR(LEFT($AQ180,3)="QT.",LEFT($AQ180,4)="QUAN"),"QT. SUFFISANTE",IF($AO180="","",TRIM(MID($AQ180,LEN($AO180&amp;"")+1,999))))))</f>
        <v/>
      </c>
      <c r="AQ180" s="473" t="str">
        <f t="shared" ref="AQ180:AQ214" si="47">IF($AD180="","",UPPER(TRIM(SUBSTITUTE(SUBSTITUTE($AD180&amp;"",CHAR(160)," ")," "," "))))</f>
        <v/>
      </c>
      <c r="AR180" s="473" t="str">
        <f t="shared" ref="AR180:AR214" si="48">IF($AQ180="","",MIN($AS180,$AT180,$AU180))</f>
        <v/>
      </c>
      <c r="AS180" s="473" t="str">
        <f t="shared" ref="AS180:AS214" si="49">IF($AQ180="","",MIN(IFERROR(SEARCH("A",$AQ180),999),IFERROR(SEARCH("B",$AQ180),999),IFERROR(SEARCH("C",$AQ180),999),IFERROR(SEARCH("D",$AQ180),999),IFERROR(SEARCH("E",$AQ180),999),IFERROR(SEARCH("F",$AQ180),999),IFERROR(SEARCH("G",$AQ180),999),IFERROR(SEARCH("H",$AQ180),999),IFERROR(SEARCH("I",$AQ180),999)))</f>
        <v/>
      </c>
      <c r="AT180" s="473" t="str">
        <f t="shared" ref="AT180:AT214" si="50">IF($AQ180="","",MIN(IFERROR(SEARCH("J",$AQ180),999),IFERROR(SEARCH("K",$AQ180),999),IFERROR(SEARCH("L",$AQ180),999),IFERROR(SEARCH("M",$AQ180),999),IFERROR(SEARCH("N",$AQ180),999),IFERROR(SEARCH("O",$AQ180),999),IFERROR(SEARCH("P",$AQ180),999),IFERROR(SEARCH("Q",$AQ180),999),IFERROR(SEARCH("R",$AQ180),999)))</f>
        <v/>
      </c>
      <c r="AU180" s="473" t="str">
        <f t="shared" ref="AU180:AU214" si="51">IF($AQ180="","",MIN(IFERROR(SEARCH("S",$AQ180),999),IFERROR(SEARCH("T",$AQ180),999),IFERROR(SEARCH("U",$AQ180),999),IFERROR(SEARCH("V",$AQ180),999),IFERROR(SEARCH("W",$AQ180),999),IFERROR(SEARCH("X",$AQ180),999),IFERROR(SEARCH("Y",$AQ180),999),IFERROR(SEARCH("Z",$AQ180),999)))</f>
        <v/>
      </c>
      <c r="AZ180" s="31" t="s">
        <v>211</v>
      </c>
      <c r="BA180" s="490"/>
      <c r="BB180" s="499"/>
      <c r="BC180" s="271"/>
      <c r="BD180" s="279">
        <v>1</v>
      </c>
      <c r="BE180" s="271"/>
      <c r="BF180" s="271"/>
      <c r="BG180" s="271"/>
      <c r="BH180" s="271"/>
      <c r="BI180" s="271"/>
      <c r="BJ180" s="271"/>
      <c r="BK180" s="271"/>
      <c r="BL180" s="271"/>
    </row>
    <row r="181" spans="18:64" ht="21" customHeight="1" x14ac:dyDescent="0.25">
      <c r="R181" s="34" t="s">
        <v>6120</v>
      </c>
      <c r="S181" s="451"/>
      <c r="T181" s="31" t="s">
        <v>16</v>
      </c>
      <c r="V181" s="475">
        <f>$V$180</f>
        <v>4</v>
      </c>
      <c r="W181" s="475" t="str">
        <f>IF($AC$181="","",$W$180)</f>
        <v>N° 42</v>
      </c>
      <c r="X181" s="476" t="str">
        <f>IF($AC$181="","",$X$180)</f>
        <v>POTAGE CULTIVATEUR</v>
      </c>
      <c r="Y181" s="477">
        <f>IF($X$181="","",$Y$180)</f>
        <v>59</v>
      </c>
      <c r="Z181" s="477">
        <f>IF($X$181="","",$Z$180)</f>
        <v>100</v>
      </c>
      <c r="AA181" s="477">
        <f>IF($AC$181="","",ROW($A$181)-ROW($A$180))</f>
        <v>1</v>
      </c>
      <c r="AB181" s="478"/>
      <c r="AC181" s="34" t="s">
        <v>245</v>
      </c>
      <c r="AD181" s="356"/>
      <c r="AE181" s="18">
        <v>2</v>
      </c>
      <c r="AF181" s="11" t="s">
        <v>7</v>
      </c>
      <c r="AG181" s="480">
        <f t="shared" si="40"/>
        <v>2</v>
      </c>
      <c r="AH181" s="481" t="str">
        <f t="shared" si="41"/>
        <v>KG</v>
      </c>
      <c r="AI181" s="477" t="str">
        <f>IF($AC$181="","",IFERROR(INDEX($AZ$74:$AZ$119,MATCH($AH$181,$AY$74:$AY$119,0)),"AUTRE"))</f>
        <v>MASSE</v>
      </c>
      <c r="AJ181" s="482">
        <f>IF($AC$181="","",IFERROR(INDEX($BA$74:$BA$119,MATCH($AH$181,$AY$74:$AY$119,0)),1))</f>
        <v>1</v>
      </c>
      <c r="AK181" s="482">
        <f t="shared" si="42"/>
        <v>2</v>
      </c>
      <c r="AL181" s="477" t="str">
        <f>IF($AC$181="","",IFERROR(INDEX($BB$74:$BB$119,MATCH($AH$181,$AY$74:$AY$119,0)),$AH$181))</f>
        <v>kg</v>
      </c>
      <c r="AM181" s="483" t="str">
        <f t="shared" si="43"/>
        <v>OK</v>
      </c>
      <c r="AN181" s="484">
        <f t="shared" si="44"/>
        <v>2</v>
      </c>
      <c r="AO181" s="473" t="str">
        <f t="shared" si="45"/>
        <v/>
      </c>
      <c r="AP181" s="473" t="str">
        <f t="shared" si="46"/>
        <v/>
      </c>
      <c r="AQ181" s="473" t="str">
        <f t="shared" si="47"/>
        <v/>
      </c>
      <c r="AR181" s="473" t="str">
        <f t="shared" si="48"/>
        <v/>
      </c>
      <c r="AS181" s="473" t="str">
        <f t="shared" si="49"/>
        <v/>
      </c>
      <c r="AT181" s="473" t="str">
        <f t="shared" si="50"/>
        <v/>
      </c>
      <c r="AU181" s="473" t="str">
        <f t="shared" si="51"/>
        <v/>
      </c>
      <c r="AZ181" s="31" t="s">
        <v>20</v>
      </c>
      <c r="BA181" s="25" t="s">
        <v>6119</v>
      </c>
      <c r="BB181" s="499"/>
      <c r="BC181" s="271"/>
      <c r="BD181" s="279">
        <v>1</v>
      </c>
      <c r="BE181" s="271"/>
      <c r="BF181" s="271"/>
      <c r="BG181" s="271"/>
      <c r="BH181" s="271"/>
      <c r="BI181" s="271"/>
      <c r="BJ181" s="271"/>
      <c r="BK181" s="271"/>
      <c r="BL181" s="271"/>
    </row>
    <row r="182" spans="18:64" ht="21" customHeight="1" x14ac:dyDescent="0.25">
      <c r="R182" s="34" t="s">
        <v>6121</v>
      </c>
      <c r="S182" s="451"/>
      <c r="T182" s="31" t="s">
        <v>17</v>
      </c>
      <c r="V182" s="475">
        <v>4</v>
      </c>
      <c r="W182" s="475" t="str">
        <f>IF($AC$182="","",$W$180)</f>
        <v>N° 42</v>
      </c>
      <c r="X182" s="476" t="str">
        <f>IF($AC$182="","",$X$180)</f>
        <v>POTAGE CULTIVATEUR</v>
      </c>
      <c r="Y182" s="477">
        <f>IF($X$182="","",$Y$180)</f>
        <v>59</v>
      </c>
      <c r="Z182" s="477">
        <f>IF($X$182="","",$Z$180)</f>
        <v>100</v>
      </c>
      <c r="AA182" s="477">
        <f>IF($AC$182="","",ROW($A$182)-ROW($A$180))</f>
        <v>2</v>
      </c>
      <c r="AB182" s="478"/>
      <c r="AC182" s="34" t="s">
        <v>122</v>
      </c>
      <c r="AD182" s="356"/>
      <c r="AE182" s="18">
        <v>4</v>
      </c>
      <c r="AF182" s="11" t="s">
        <v>7</v>
      </c>
      <c r="AG182" s="480">
        <f t="shared" si="40"/>
        <v>4</v>
      </c>
      <c r="AH182" s="481" t="str">
        <f t="shared" si="41"/>
        <v>KG</v>
      </c>
      <c r="AI182" s="477" t="str">
        <f>IF($AC$182="","",IFERROR(INDEX($AZ$74:$AZ$119,MATCH($AH$182,$AY$74:$AY$119,0)),"AUTRE"))</f>
        <v>MASSE</v>
      </c>
      <c r="AJ182" s="482">
        <f>IF($AC$182="","",IFERROR(INDEX($BA$74:$BA$119,MATCH($AH$182,$AY$74:$AY$119,0)),1))</f>
        <v>1</v>
      </c>
      <c r="AK182" s="482">
        <f t="shared" si="42"/>
        <v>4</v>
      </c>
      <c r="AL182" s="477" t="str">
        <f>IF($AC$182="","",IFERROR(INDEX($BB$74:$BB$119,MATCH($AH$182,$AY$74:$AY$119,0)),$AH$182))</f>
        <v>kg</v>
      </c>
      <c r="AM182" s="483" t="str">
        <f t="shared" si="43"/>
        <v>OK</v>
      </c>
      <c r="AN182" s="484">
        <f t="shared" si="44"/>
        <v>4</v>
      </c>
      <c r="AO182" s="473" t="str">
        <f t="shared" si="45"/>
        <v/>
      </c>
      <c r="AP182" s="473" t="str">
        <f t="shared" si="46"/>
        <v/>
      </c>
      <c r="AQ182" s="473" t="str">
        <f t="shared" si="47"/>
        <v/>
      </c>
      <c r="AR182" s="473" t="str">
        <f t="shared" si="48"/>
        <v/>
      </c>
      <c r="AS182" s="473" t="str">
        <f t="shared" si="49"/>
        <v/>
      </c>
      <c r="AT182" s="473" t="str">
        <f t="shared" si="50"/>
        <v/>
      </c>
      <c r="AU182" s="473" t="str">
        <f t="shared" si="51"/>
        <v/>
      </c>
      <c r="AZ182" s="31" t="s">
        <v>304</v>
      </c>
      <c r="BA182" s="34" t="s">
        <v>6120</v>
      </c>
      <c r="BB182" s="499"/>
      <c r="BC182" s="271"/>
      <c r="BD182" s="279">
        <v>1</v>
      </c>
      <c r="BE182" s="271"/>
      <c r="BF182" s="271"/>
      <c r="BG182" s="271"/>
      <c r="BH182" s="271"/>
      <c r="BI182" s="271"/>
      <c r="BJ182" s="271"/>
      <c r="BK182" s="271"/>
      <c r="BL182" s="271"/>
    </row>
    <row r="183" spans="18:64" ht="21" customHeight="1" x14ac:dyDescent="0.25">
      <c r="R183" s="34" t="s">
        <v>6122</v>
      </c>
      <c r="S183" s="451"/>
      <c r="T183" s="31" t="s">
        <v>18</v>
      </c>
      <c r="V183" s="475">
        <v>4</v>
      </c>
      <c r="W183" s="475" t="str">
        <f>IF($AC$183="","",$W$180)</f>
        <v>N° 42</v>
      </c>
      <c r="X183" s="476" t="str">
        <f>IF($AC$183="","",$X$180)</f>
        <v>POTAGE CULTIVATEUR</v>
      </c>
      <c r="Y183" s="477">
        <f>IF($X$183="","",$Y$180)</f>
        <v>59</v>
      </c>
      <c r="Z183" s="477">
        <f>IF($X$183="","",$Z$180)</f>
        <v>100</v>
      </c>
      <c r="AA183" s="477">
        <f>IF($AC$183="","",ROW($A$183)-ROW($A$180))</f>
        <v>3</v>
      </c>
      <c r="AB183" s="478"/>
      <c r="AC183" s="34" t="s">
        <v>259</v>
      </c>
      <c r="AD183" s="356"/>
      <c r="AE183" s="18">
        <v>2</v>
      </c>
      <c r="AF183" s="11" t="s">
        <v>7</v>
      </c>
      <c r="AG183" s="480">
        <f t="shared" si="40"/>
        <v>2</v>
      </c>
      <c r="AH183" s="481" t="str">
        <f t="shared" si="41"/>
        <v>KG</v>
      </c>
      <c r="AI183" s="477" t="str">
        <f>IF($AC$183="","",IFERROR(INDEX($AZ$74:$AZ$119,MATCH($AH$183,$AY$74:$AY$119,0)),"AUTRE"))</f>
        <v>MASSE</v>
      </c>
      <c r="AJ183" s="482">
        <f>IF($AC$183="","",IFERROR(INDEX($BA$74:$BA$119,MATCH($AH$183,$AY$74:$AY$119,0)),1))</f>
        <v>1</v>
      </c>
      <c r="AK183" s="482">
        <f t="shared" si="42"/>
        <v>2</v>
      </c>
      <c r="AL183" s="477" t="str">
        <f>IF($AC$183="","",IFERROR(INDEX($BB$74:$BB$119,MATCH($AH$183,$AY$74:$AY$119,0)),$AH$183))</f>
        <v>kg</v>
      </c>
      <c r="AM183" s="483" t="str">
        <f t="shared" si="43"/>
        <v>OK</v>
      </c>
      <c r="AN183" s="484">
        <f t="shared" si="44"/>
        <v>2</v>
      </c>
      <c r="AO183" s="473" t="str">
        <f t="shared" si="45"/>
        <v/>
      </c>
      <c r="AP183" s="473" t="str">
        <f t="shared" si="46"/>
        <v/>
      </c>
      <c r="AQ183" s="473" t="str">
        <f t="shared" si="47"/>
        <v/>
      </c>
      <c r="AR183" s="473" t="str">
        <f t="shared" si="48"/>
        <v/>
      </c>
      <c r="AS183" s="473" t="str">
        <f t="shared" si="49"/>
        <v/>
      </c>
      <c r="AT183" s="473" t="str">
        <f t="shared" si="50"/>
        <v/>
      </c>
      <c r="AU183" s="473" t="str">
        <f t="shared" si="51"/>
        <v/>
      </c>
      <c r="AZ183" s="31" t="s">
        <v>352</v>
      </c>
      <c r="BA183" s="34" t="s">
        <v>6121</v>
      </c>
      <c r="BB183" s="499"/>
      <c r="BC183" s="271"/>
      <c r="BD183" s="279">
        <v>1</v>
      </c>
      <c r="BE183" s="271"/>
      <c r="BF183" s="271"/>
      <c r="BG183" s="271"/>
      <c r="BH183" s="271"/>
      <c r="BI183" s="271"/>
      <c r="BJ183" s="271"/>
      <c r="BK183" s="271"/>
      <c r="BL183" s="271"/>
    </row>
    <row r="184" spans="18:64" ht="21" customHeight="1" x14ac:dyDescent="0.25">
      <c r="R184" s="34" t="s">
        <v>6123</v>
      </c>
      <c r="S184" s="451"/>
      <c r="T184" s="31" t="s">
        <v>19</v>
      </c>
      <c r="V184" s="475">
        <v>4</v>
      </c>
      <c r="W184" s="475" t="str">
        <f>IF($AC$184="","",$W$180)</f>
        <v>N° 42</v>
      </c>
      <c r="X184" s="476" t="str">
        <f>IF($AC$184="","",$X$180)</f>
        <v>POTAGE CULTIVATEUR</v>
      </c>
      <c r="Y184" s="477">
        <f>IF($X$184="","",$Y$180)</f>
        <v>59</v>
      </c>
      <c r="Z184" s="477">
        <f>IF($X$184="","",$Z$180)</f>
        <v>100</v>
      </c>
      <c r="AA184" s="477">
        <f>IF($AC$184="","",ROW($A$184)-ROW($A$180))</f>
        <v>4</v>
      </c>
      <c r="AB184" s="478"/>
      <c r="AC184" s="34" t="s">
        <v>504</v>
      </c>
      <c r="AD184" s="356"/>
      <c r="AE184" s="18">
        <v>1</v>
      </c>
      <c r="AF184" s="11" t="s">
        <v>7</v>
      </c>
      <c r="AG184" s="480">
        <f t="shared" si="40"/>
        <v>1</v>
      </c>
      <c r="AH184" s="481" t="str">
        <f t="shared" si="41"/>
        <v>KG</v>
      </c>
      <c r="AI184" s="477" t="str">
        <f>IF($AC$184="","",IFERROR(INDEX($AZ$74:$AZ$119,MATCH($AH$184,$AY$74:$AY$119,0)),"AUTRE"))</f>
        <v>MASSE</v>
      </c>
      <c r="AJ184" s="482">
        <f>IF($AC$184="","",IFERROR(INDEX($BA$74:$BA$119,MATCH($AH$184,$AY$74:$AY$119,0)),1))</f>
        <v>1</v>
      </c>
      <c r="AK184" s="482">
        <f t="shared" si="42"/>
        <v>1</v>
      </c>
      <c r="AL184" s="477" t="str">
        <f>IF($AC$184="","",IFERROR(INDEX($BB$74:$BB$119,MATCH($AH$184,$AY$74:$AY$119,0)),$AH$184))</f>
        <v>kg</v>
      </c>
      <c r="AM184" s="483" t="str">
        <f t="shared" si="43"/>
        <v>OK</v>
      </c>
      <c r="AN184" s="484">
        <f t="shared" si="44"/>
        <v>1</v>
      </c>
      <c r="AO184" s="473" t="str">
        <f t="shared" si="45"/>
        <v/>
      </c>
      <c r="AP184" s="473" t="str">
        <f t="shared" si="46"/>
        <v/>
      </c>
      <c r="AQ184" s="473" t="str">
        <f t="shared" si="47"/>
        <v/>
      </c>
      <c r="AR184" s="473" t="str">
        <f t="shared" si="48"/>
        <v/>
      </c>
      <c r="AS184" s="473" t="str">
        <f t="shared" si="49"/>
        <v/>
      </c>
      <c r="AT184" s="473" t="str">
        <f t="shared" si="50"/>
        <v/>
      </c>
      <c r="AU184" s="473" t="str">
        <f t="shared" si="51"/>
        <v/>
      </c>
      <c r="AZ184" s="31" t="s">
        <v>27</v>
      </c>
      <c r="BA184" s="34" t="s">
        <v>6122</v>
      </c>
      <c r="BB184" s="499"/>
      <c r="BC184" s="271"/>
      <c r="BD184" s="279">
        <v>1</v>
      </c>
      <c r="BE184" s="271"/>
      <c r="BF184" s="271"/>
      <c r="BG184" s="271"/>
      <c r="BH184" s="271"/>
      <c r="BI184" s="271"/>
      <c r="BJ184" s="271"/>
      <c r="BK184" s="271"/>
      <c r="BL184" s="271"/>
    </row>
    <row r="185" spans="18:64" ht="21" customHeight="1" x14ac:dyDescent="0.25">
      <c r="R185" s="34" t="s">
        <v>6124</v>
      </c>
      <c r="S185" s="451"/>
      <c r="T185" s="31" t="s">
        <v>211</v>
      </c>
      <c r="V185" s="475">
        <v>4</v>
      </c>
      <c r="W185" s="475" t="str">
        <f>IF($AC$185="","",$W$180)</f>
        <v>N° 42</v>
      </c>
      <c r="X185" s="476" t="str">
        <f>IF($AC$185="","",$X$180)</f>
        <v>POTAGE CULTIVATEUR</v>
      </c>
      <c r="Y185" s="477">
        <f>IF($X$185="","",$Y$180)</f>
        <v>59</v>
      </c>
      <c r="Z185" s="477">
        <f>IF($X$185="","",$Z$180)</f>
        <v>100</v>
      </c>
      <c r="AA185" s="477">
        <f>IF($AC$185="","",ROW($A$185)-ROW($A$180))</f>
        <v>5</v>
      </c>
      <c r="AB185" s="478"/>
      <c r="AC185" s="34" t="s">
        <v>260</v>
      </c>
      <c r="AD185" s="356"/>
      <c r="AE185" s="18">
        <v>6</v>
      </c>
      <c r="AF185" s="11" t="s">
        <v>7</v>
      </c>
      <c r="AG185" s="480">
        <f t="shared" si="40"/>
        <v>6</v>
      </c>
      <c r="AH185" s="481" t="str">
        <f t="shared" si="41"/>
        <v>KG</v>
      </c>
      <c r="AI185" s="477" t="str">
        <f>IF($AC$185="","",IFERROR(INDEX($AZ$74:$AZ$119,MATCH($AH$185,$AY$74:$AY$119,0)),"AUTRE"))</f>
        <v>MASSE</v>
      </c>
      <c r="AJ185" s="482">
        <f>IF($AC$185="","",IFERROR(INDEX($BA$74:$BA$119,MATCH($AH$185,$AY$74:$AY$119,0)),1))</f>
        <v>1</v>
      </c>
      <c r="AK185" s="482">
        <f t="shared" si="42"/>
        <v>6</v>
      </c>
      <c r="AL185" s="477" t="str">
        <f>IF($AC$185="","",IFERROR(INDEX($BB$74:$BB$119,MATCH($AH$185,$AY$74:$AY$119,0)),$AH$185))</f>
        <v>kg</v>
      </c>
      <c r="AM185" s="483" t="str">
        <f t="shared" si="43"/>
        <v>OK</v>
      </c>
      <c r="AN185" s="484">
        <f t="shared" si="44"/>
        <v>6</v>
      </c>
      <c r="AO185" s="473" t="str">
        <f t="shared" si="45"/>
        <v/>
      </c>
      <c r="AP185" s="473" t="str">
        <f t="shared" si="46"/>
        <v/>
      </c>
      <c r="AQ185" s="473" t="str">
        <f t="shared" si="47"/>
        <v/>
      </c>
      <c r="AR185" s="473" t="str">
        <f t="shared" si="48"/>
        <v/>
      </c>
      <c r="AS185" s="473" t="str">
        <f t="shared" si="49"/>
        <v/>
      </c>
      <c r="AT185" s="473" t="str">
        <f t="shared" si="50"/>
        <v/>
      </c>
      <c r="AU185" s="473" t="str">
        <f t="shared" si="51"/>
        <v/>
      </c>
      <c r="AZ185" s="31" t="s">
        <v>28</v>
      </c>
      <c r="BA185" s="34" t="s">
        <v>6123</v>
      </c>
      <c r="BB185" s="499"/>
      <c r="BC185" s="271"/>
      <c r="BD185" s="279">
        <v>1</v>
      </c>
      <c r="BE185" s="271"/>
      <c r="BF185" s="271"/>
      <c r="BG185" s="271"/>
      <c r="BH185" s="271"/>
      <c r="BI185" s="271"/>
      <c r="BJ185" s="271"/>
      <c r="BK185" s="271"/>
      <c r="BL185" s="271"/>
    </row>
    <row r="186" spans="18:64" ht="21" customHeight="1" x14ac:dyDescent="0.25">
      <c r="R186" s="34" t="s">
        <v>6125</v>
      </c>
      <c r="S186" s="451"/>
      <c r="T186" s="31" t="s">
        <v>20</v>
      </c>
      <c r="V186" s="475">
        <v>4</v>
      </c>
      <c r="W186" s="475" t="str">
        <f>IF($AC$186="","",$W$180)</f>
        <v>N° 42</v>
      </c>
      <c r="X186" s="476" t="str">
        <f>IF($AC$186="","",$X$180)</f>
        <v>POTAGE CULTIVATEUR</v>
      </c>
      <c r="Y186" s="477">
        <f>IF($X$186="","",$Y$180)</f>
        <v>59</v>
      </c>
      <c r="Z186" s="477">
        <f>IF($X$186="","",$Z$180)</f>
        <v>100</v>
      </c>
      <c r="AA186" s="477">
        <f>IF($AC$186="","",ROW($A$186)-ROW($A$180))</f>
        <v>6</v>
      </c>
      <c r="AB186" s="478"/>
      <c r="AC186" s="34" t="s">
        <v>258</v>
      </c>
      <c r="AD186" s="356"/>
      <c r="AE186" s="18">
        <v>1</v>
      </c>
      <c r="AF186" s="11" t="s">
        <v>7</v>
      </c>
      <c r="AG186" s="480">
        <f t="shared" si="40"/>
        <v>1</v>
      </c>
      <c r="AH186" s="481" t="str">
        <f t="shared" si="41"/>
        <v>KG</v>
      </c>
      <c r="AI186" s="477" t="str">
        <f>IF($AC$186="","",IFERROR(INDEX($AZ$74:$AZ$119,MATCH($AH$186,$AY$74:$AY$119,0)),"AUTRE"))</f>
        <v>MASSE</v>
      </c>
      <c r="AJ186" s="482">
        <f>IF($AC$186="","",IFERROR(INDEX($BA$74:$BA$119,MATCH($AH$186,$AY$74:$AY$119,0)),1))</f>
        <v>1</v>
      </c>
      <c r="AK186" s="482">
        <f t="shared" si="42"/>
        <v>1</v>
      </c>
      <c r="AL186" s="477" t="str">
        <f>IF($AC$186="","",IFERROR(INDEX($BB$74:$BB$119,MATCH($AH$186,$AY$74:$AY$119,0)),$AH$186))</f>
        <v>kg</v>
      </c>
      <c r="AM186" s="483" t="str">
        <f t="shared" si="43"/>
        <v>OK</v>
      </c>
      <c r="AN186" s="484">
        <f t="shared" si="44"/>
        <v>1</v>
      </c>
      <c r="AO186" s="473" t="str">
        <f t="shared" si="45"/>
        <v/>
      </c>
      <c r="AP186" s="473" t="str">
        <f t="shared" si="46"/>
        <v/>
      </c>
      <c r="AQ186" s="473" t="str">
        <f t="shared" si="47"/>
        <v/>
      </c>
      <c r="AR186" s="473" t="str">
        <f t="shared" si="48"/>
        <v/>
      </c>
      <c r="AS186" s="473" t="str">
        <f t="shared" si="49"/>
        <v/>
      </c>
      <c r="AT186" s="473" t="str">
        <f t="shared" si="50"/>
        <v/>
      </c>
      <c r="AU186" s="473" t="str">
        <f t="shared" si="51"/>
        <v/>
      </c>
      <c r="AZ186" s="31" t="s">
        <v>29</v>
      </c>
      <c r="BA186" s="34" t="s">
        <v>6124</v>
      </c>
      <c r="BB186" s="499"/>
      <c r="BC186" s="271"/>
      <c r="BD186" s="279">
        <v>1</v>
      </c>
      <c r="BE186" s="271"/>
      <c r="BF186" s="271"/>
      <c r="BG186" s="271"/>
      <c r="BH186" s="271"/>
      <c r="BI186" s="271"/>
      <c r="BJ186" s="271"/>
      <c r="BK186" s="271"/>
      <c r="BL186" s="271"/>
    </row>
    <row r="187" spans="18:64" ht="21" customHeight="1" x14ac:dyDescent="0.25">
      <c r="R187" s="34" t="s">
        <v>6126</v>
      </c>
      <c r="S187" s="451"/>
      <c r="T187" s="31" t="s">
        <v>304</v>
      </c>
      <c r="V187" s="475">
        <v>4</v>
      </c>
      <c r="W187" s="475" t="str">
        <f>IF($AC$187="","",$W$180)</f>
        <v>N° 42</v>
      </c>
      <c r="X187" s="476" t="str">
        <f>IF($AC$187="","",$X$180)</f>
        <v>POTAGE CULTIVATEUR</v>
      </c>
      <c r="Y187" s="477">
        <f>IF($X$187="","",$Y$180)</f>
        <v>59</v>
      </c>
      <c r="Z187" s="477">
        <f>IF($X$187="","",$Z$180)</f>
        <v>100</v>
      </c>
      <c r="AA187" s="477">
        <f>IF($AC$187="","",ROW($A$187)-ROW($A$180))</f>
        <v>7</v>
      </c>
      <c r="AB187" s="478"/>
      <c r="AC187" s="34" t="s">
        <v>265</v>
      </c>
      <c r="AD187" s="356"/>
      <c r="AE187" s="18">
        <v>2</v>
      </c>
      <c r="AF187" s="11" t="s">
        <v>7</v>
      </c>
      <c r="AG187" s="480">
        <f t="shared" si="40"/>
        <v>2</v>
      </c>
      <c r="AH187" s="481" t="str">
        <f t="shared" si="41"/>
        <v>KG</v>
      </c>
      <c r="AI187" s="477" t="str">
        <f>IF($AC$187="","",IFERROR(INDEX($AZ$74:$AZ$119,MATCH($AH$187,$AY$74:$AY$119,0)),"AUTRE"))</f>
        <v>MASSE</v>
      </c>
      <c r="AJ187" s="482">
        <f>IF($AC$187="","",IFERROR(INDEX($BA$74:$BA$119,MATCH($AH$187,$AY$74:$AY$119,0)),1))</f>
        <v>1</v>
      </c>
      <c r="AK187" s="482">
        <f t="shared" si="42"/>
        <v>2</v>
      </c>
      <c r="AL187" s="477" t="str">
        <f>IF($AC$187="","",IFERROR(INDEX($BB$74:$BB$119,MATCH($AH$187,$AY$74:$AY$119,0)),$AH$187))</f>
        <v>kg</v>
      </c>
      <c r="AM187" s="483" t="str">
        <f t="shared" si="43"/>
        <v>OK</v>
      </c>
      <c r="AN187" s="484">
        <f t="shared" si="44"/>
        <v>2</v>
      </c>
      <c r="AO187" s="473" t="str">
        <f t="shared" si="45"/>
        <v/>
      </c>
      <c r="AP187" s="473" t="str">
        <f t="shared" si="46"/>
        <v/>
      </c>
      <c r="AQ187" s="473" t="str">
        <f t="shared" si="47"/>
        <v/>
      </c>
      <c r="AR187" s="473" t="str">
        <f t="shared" si="48"/>
        <v/>
      </c>
      <c r="AS187" s="473" t="str">
        <f t="shared" si="49"/>
        <v/>
      </c>
      <c r="AT187" s="473" t="str">
        <f t="shared" si="50"/>
        <v/>
      </c>
      <c r="AU187" s="473" t="str">
        <f t="shared" si="51"/>
        <v/>
      </c>
      <c r="AZ187" s="31" t="s">
        <v>30</v>
      </c>
      <c r="BA187" s="34" t="s">
        <v>6125</v>
      </c>
      <c r="BB187" s="499"/>
      <c r="BC187" s="271"/>
      <c r="BD187" s="279">
        <v>1</v>
      </c>
      <c r="BE187" s="271"/>
      <c r="BF187" s="271"/>
      <c r="BG187" s="271"/>
      <c r="BH187" s="271"/>
      <c r="BI187" s="271"/>
      <c r="BJ187" s="271"/>
      <c r="BK187" s="271"/>
      <c r="BL187" s="271"/>
    </row>
    <row r="188" spans="18:64" ht="21" customHeight="1" x14ac:dyDescent="0.25">
      <c r="R188" s="34" t="s">
        <v>6127</v>
      </c>
      <c r="S188" s="451"/>
      <c r="T188" s="31" t="s">
        <v>352</v>
      </c>
      <c r="V188" s="475">
        <v>4</v>
      </c>
      <c r="W188" s="475" t="str">
        <f>IF($AC$188="","",$W$180)</f>
        <v>N° 42</v>
      </c>
      <c r="X188" s="476" t="str">
        <f>IF($AC$188="","",$X$180)</f>
        <v>POTAGE CULTIVATEUR</v>
      </c>
      <c r="Y188" s="477">
        <f>IF($X$188="","",$Y$180)</f>
        <v>59</v>
      </c>
      <c r="Z188" s="477">
        <f>IF($X$188="","",$Z$180)</f>
        <v>100</v>
      </c>
      <c r="AA188" s="477">
        <f>IF($AC$188="","",ROW($A$188)-ROW($A$180))</f>
        <v>8</v>
      </c>
      <c r="AB188" s="478"/>
      <c r="AC188" s="34" t="s">
        <v>266</v>
      </c>
      <c r="AD188" s="356"/>
      <c r="AE188" s="18">
        <v>2</v>
      </c>
      <c r="AF188" s="11" t="s">
        <v>7</v>
      </c>
      <c r="AG188" s="480">
        <f t="shared" si="40"/>
        <v>2</v>
      </c>
      <c r="AH188" s="481" t="str">
        <f t="shared" si="41"/>
        <v>KG</v>
      </c>
      <c r="AI188" s="477" t="str">
        <f>IF($AC$188="","",IFERROR(INDEX($AZ$74:$AZ$119,MATCH($AH$188,$AY$74:$AY$119,0)),"AUTRE"))</f>
        <v>MASSE</v>
      </c>
      <c r="AJ188" s="482">
        <f>IF($AC$188="","",IFERROR(INDEX($BA$74:$BA$119,MATCH($AH$188,$AY$74:$AY$119,0)),1))</f>
        <v>1</v>
      </c>
      <c r="AK188" s="482">
        <f t="shared" si="42"/>
        <v>2</v>
      </c>
      <c r="AL188" s="477" t="str">
        <f>IF($AC$188="","",IFERROR(INDEX($BB$74:$BB$119,MATCH($AH$188,$AY$74:$AY$119,0)),$AH$188))</f>
        <v>kg</v>
      </c>
      <c r="AM188" s="483" t="str">
        <f t="shared" si="43"/>
        <v>OK</v>
      </c>
      <c r="AN188" s="484">
        <f t="shared" si="44"/>
        <v>2</v>
      </c>
      <c r="AO188" s="473" t="str">
        <f t="shared" si="45"/>
        <v/>
      </c>
      <c r="AP188" s="473" t="str">
        <f t="shared" si="46"/>
        <v/>
      </c>
      <c r="AQ188" s="473" t="str">
        <f t="shared" si="47"/>
        <v/>
      </c>
      <c r="AR188" s="473" t="str">
        <f t="shared" si="48"/>
        <v/>
      </c>
      <c r="AS188" s="473" t="str">
        <f t="shared" si="49"/>
        <v/>
      </c>
      <c r="AT188" s="473" t="str">
        <f t="shared" si="50"/>
        <v/>
      </c>
      <c r="AU188" s="473" t="str">
        <f t="shared" si="51"/>
        <v/>
      </c>
      <c r="AZ188" s="32" t="s">
        <v>33</v>
      </c>
      <c r="BA188" s="34" t="s">
        <v>6126</v>
      </c>
      <c r="BB188" s="499"/>
      <c r="BC188" s="271"/>
      <c r="BD188" s="279">
        <v>1</v>
      </c>
      <c r="BE188" s="271"/>
      <c r="BF188" s="271"/>
      <c r="BG188" s="271"/>
      <c r="BH188" s="271"/>
      <c r="BI188" s="271"/>
      <c r="BJ188" s="271"/>
      <c r="BK188" s="271"/>
      <c r="BL188" s="271"/>
    </row>
    <row r="189" spans="18:64" ht="21" customHeight="1" x14ac:dyDescent="0.25">
      <c r="R189" s="25" t="s">
        <v>6128</v>
      </c>
      <c r="S189" s="451"/>
      <c r="T189" s="31" t="s">
        <v>25</v>
      </c>
      <c r="V189" s="475">
        <v>4</v>
      </c>
      <c r="W189" s="475" t="str">
        <f>IF($AC$189="","",$W$180)</f>
        <v>N° 42</v>
      </c>
      <c r="X189" s="476" t="str">
        <f>IF($AC$189="","",$X$180)</f>
        <v>POTAGE CULTIVATEUR</v>
      </c>
      <c r="Y189" s="477">
        <f>IF($X$189="","",$Y$180)</f>
        <v>59</v>
      </c>
      <c r="Z189" s="477">
        <f>IF($X$189="","",$Z$180)</f>
        <v>100</v>
      </c>
      <c r="AA189" s="477">
        <f>IF($AC$189="","",ROW($A$189)-ROW($A$180))</f>
        <v>9</v>
      </c>
      <c r="AB189" s="478"/>
      <c r="AC189" s="34" t="s">
        <v>267</v>
      </c>
      <c r="AD189" s="356"/>
      <c r="AE189" s="18">
        <v>2</v>
      </c>
      <c r="AF189" s="11" t="s">
        <v>7</v>
      </c>
      <c r="AG189" s="480">
        <f t="shared" si="40"/>
        <v>2</v>
      </c>
      <c r="AH189" s="481" t="str">
        <f t="shared" si="41"/>
        <v>KG</v>
      </c>
      <c r="AI189" s="477" t="str">
        <f>IF($AC$189="","",IFERROR(INDEX($AZ$74:$AZ$119,MATCH($AH$189,$AY$74:$AY$119,0)),"AUTRE"))</f>
        <v>MASSE</v>
      </c>
      <c r="AJ189" s="482">
        <f>IF($AC$189="","",IFERROR(INDEX($BA$74:$BA$119,MATCH($AH$189,$AY$74:$AY$119,0)),1))</f>
        <v>1</v>
      </c>
      <c r="AK189" s="482">
        <f t="shared" si="42"/>
        <v>2</v>
      </c>
      <c r="AL189" s="477" t="str">
        <f>IF($AC$189="","",IFERROR(INDEX($BB$74:$BB$119,MATCH($AH$189,$AY$74:$AY$119,0)),$AH$189))</f>
        <v>kg</v>
      </c>
      <c r="AM189" s="483" t="str">
        <f t="shared" si="43"/>
        <v>OK</v>
      </c>
      <c r="AN189" s="484">
        <f t="shared" si="44"/>
        <v>2</v>
      </c>
      <c r="AO189" s="473" t="str">
        <f t="shared" si="45"/>
        <v/>
      </c>
      <c r="AP189" s="473" t="str">
        <f t="shared" si="46"/>
        <v/>
      </c>
      <c r="AQ189" s="473" t="str">
        <f t="shared" si="47"/>
        <v/>
      </c>
      <c r="AR189" s="473" t="str">
        <f t="shared" si="48"/>
        <v/>
      </c>
      <c r="AS189" s="473" t="str">
        <f t="shared" si="49"/>
        <v/>
      </c>
      <c r="AT189" s="473" t="str">
        <f t="shared" si="50"/>
        <v/>
      </c>
      <c r="AU189" s="473" t="str">
        <f t="shared" si="51"/>
        <v/>
      </c>
      <c r="AZ189" s="32" t="s">
        <v>8125</v>
      </c>
      <c r="BA189" s="34" t="s">
        <v>6127</v>
      </c>
      <c r="BB189" s="499"/>
      <c r="BC189" s="271"/>
      <c r="BD189" s="279">
        <v>1</v>
      </c>
      <c r="BE189" s="271"/>
      <c r="BF189" s="271"/>
      <c r="BG189" s="271"/>
      <c r="BH189" s="271"/>
      <c r="BI189" s="271"/>
      <c r="BJ189" s="271"/>
      <c r="BK189" s="271"/>
      <c r="BL189" s="271"/>
    </row>
    <row r="190" spans="18:64" ht="21" customHeight="1" x14ac:dyDescent="0.25">
      <c r="R190" s="34" t="s">
        <v>474</v>
      </c>
      <c r="S190" s="451"/>
      <c r="T190" s="31" t="s">
        <v>26</v>
      </c>
      <c r="V190" s="475">
        <v>4</v>
      </c>
      <c r="W190" s="475" t="str">
        <f>IF($AC$190="","",$W$180)</f>
        <v>N° 42</v>
      </c>
      <c r="X190" s="476" t="str">
        <f>IF($AC$190="","",$X$180)</f>
        <v>POTAGE CULTIVATEUR</v>
      </c>
      <c r="Y190" s="477">
        <f>IF($X$190="","",$Y$180)</f>
        <v>59</v>
      </c>
      <c r="Z190" s="477">
        <f>IF($X$190="","",$Z$180)</f>
        <v>100</v>
      </c>
      <c r="AA190" s="477">
        <f>IF($AC$190="","",ROW($A$190)-ROW($A$180))</f>
        <v>10</v>
      </c>
      <c r="AB190" s="478"/>
      <c r="AC190" s="34" t="s">
        <v>372</v>
      </c>
      <c r="AD190" s="356"/>
      <c r="AE190" s="18">
        <v>500</v>
      </c>
      <c r="AF190" s="16" t="s">
        <v>8</v>
      </c>
      <c r="AG190" s="480">
        <f t="shared" si="40"/>
        <v>500</v>
      </c>
      <c r="AH190" s="481" t="str">
        <f t="shared" si="41"/>
        <v>G</v>
      </c>
      <c r="AI190" s="477" t="str">
        <f>IF($AC$190="","",IFERROR(INDEX($AZ$74:$AZ$119,MATCH($AH$190,$AY$74:$AY$119,0)),"AUTRE"))</f>
        <v>MASSE</v>
      </c>
      <c r="AJ190" s="482">
        <f>IF($AC$190="","",IFERROR(INDEX($BA$74:$BA$119,MATCH($AH$190,$AY$74:$AY$119,0)),1))</f>
        <v>1E-3</v>
      </c>
      <c r="AK190" s="482">
        <f t="shared" si="42"/>
        <v>0.5</v>
      </c>
      <c r="AL190" s="477" t="str">
        <f>IF($AC$190="","",IFERROR(INDEX($BB$74:$BB$119,MATCH($AH$190,$AY$74:$AY$119,0)),$AH$190))</f>
        <v>kg</v>
      </c>
      <c r="AM190" s="483" t="str">
        <f t="shared" si="43"/>
        <v>OK</v>
      </c>
      <c r="AN190" s="484">
        <f t="shared" si="44"/>
        <v>500</v>
      </c>
      <c r="AO190" s="473" t="str">
        <f t="shared" si="45"/>
        <v/>
      </c>
      <c r="AP190" s="473" t="str">
        <f t="shared" si="46"/>
        <v/>
      </c>
      <c r="AQ190" s="473" t="str">
        <f t="shared" si="47"/>
        <v/>
      </c>
      <c r="AR190" s="473" t="str">
        <f t="shared" si="48"/>
        <v/>
      </c>
      <c r="AS190" s="473" t="str">
        <f t="shared" si="49"/>
        <v/>
      </c>
      <c r="AT190" s="473" t="str">
        <f t="shared" si="50"/>
        <v/>
      </c>
      <c r="AU190" s="473" t="str">
        <f t="shared" si="51"/>
        <v/>
      </c>
      <c r="AZ190" s="32" t="s">
        <v>8127</v>
      </c>
      <c r="BA190" s="25" t="s">
        <v>6128</v>
      </c>
      <c r="BB190" s="499"/>
      <c r="BC190" s="271"/>
      <c r="BD190" s="279">
        <v>1</v>
      </c>
      <c r="BE190" s="271"/>
      <c r="BF190" s="271"/>
      <c r="BG190" s="271"/>
      <c r="BH190" s="271"/>
      <c r="BI190" s="271"/>
      <c r="BJ190" s="271"/>
      <c r="BK190" s="271"/>
      <c r="BL190" s="271"/>
    </row>
    <row r="191" spans="18:64" ht="21" customHeight="1" x14ac:dyDescent="0.25">
      <c r="R191" s="34" t="s">
        <v>490</v>
      </c>
      <c r="S191" s="451"/>
      <c r="T191" s="31" t="s">
        <v>27</v>
      </c>
      <c r="V191" s="475">
        <v>4</v>
      </c>
      <c r="W191" s="475" t="str">
        <f>IF($AC$191="","",$W$180)</f>
        <v>N° 42</v>
      </c>
      <c r="X191" s="476" t="str">
        <f>IF($AC$191="","",$X$180)</f>
        <v>POTAGE CULTIVATEUR</v>
      </c>
      <c r="Y191" s="477">
        <f>IF($X$191="","",$Y$180)</f>
        <v>59</v>
      </c>
      <c r="Z191" s="477">
        <f>IF($X$191="","",$Z$180)</f>
        <v>100</v>
      </c>
      <c r="AA191" s="477">
        <f>IF($AC$191="","",ROW($A$191)-ROW($A$180))</f>
        <v>11</v>
      </c>
      <c r="AB191" s="478"/>
      <c r="AC191" s="34" t="s">
        <v>84</v>
      </c>
      <c r="AD191" s="356"/>
      <c r="AE191" s="23" t="s">
        <v>33</v>
      </c>
      <c r="AF191" s="19"/>
      <c r="AG191" s="480" t="str">
        <f t="shared" si="40"/>
        <v>QT. SUFFISANTE</v>
      </c>
      <c r="AH191" s="481" t="str">
        <f t="shared" si="41"/>
        <v/>
      </c>
      <c r="AI191" s="477" t="str">
        <f>IF($AC$191="","",IFERROR(INDEX($AZ$74:$AZ$119,MATCH($AH$191,$AY$74:$AY$119,0)),"AUTRE"))</f>
        <v>AUTRE</v>
      </c>
      <c r="AJ191" s="482">
        <f>IF($AC$191="","",IFERROR(INDEX($BA$74:$BA$119,MATCH($AH$191,$AY$74:$AY$119,0)),1))</f>
        <v>1</v>
      </c>
      <c r="AK191" s="482" t="e">
        <f t="shared" si="42"/>
        <v>#VALUE!</v>
      </c>
      <c r="AL191" s="477" t="str">
        <f>IF($AC$191="","",IFERROR(INDEX($BB$74:$BB$119,MATCH($AH$191,$AY$74:$AY$119,0)),$AH$191))</f>
        <v/>
      </c>
      <c r="AM191" s="483" t="str">
        <f t="shared" si="43"/>
        <v>QUANTITÉ À CONTRÔLER</v>
      </c>
      <c r="AN191" s="484" t="str">
        <f t="shared" si="44"/>
        <v>QT. SUFFISANTE</v>
      </c>
      <c r="AO191" s="473" t="str">
        <f t="shared" si="45"/>
        <v/>
      </c>
      <c r="AP191" s="473" t="str">
        <f t="shared" si="46"/>
        <v/>
      </c>
      <c r="AQ191" s="473" t="str">
        <f t="shared" si="47"/>
        <v/>
      </c>
      <c r="AR191" s="473" t="str">
        <f t="shared" si="48"/>
        <v/>
      </c>
      <c r="AS191" s="473" t="str">
        <f t="shared" si="49"/>
        <v/>
      </c>
      <c r="AT191" s="473" t="str">
        <f t="shared" si="50"/>
        <v/>
      </c>
      <c r="AU191" s="473" t="str">
        <f t="shared" si="51"/>
        <v/>
      </c>
      <c r="AZ191" s="32" t="s">
        <v>320</v>
      </c>
      <c r="BA191" s="34" t="s">
        <v>474</v>
      </c>
      <c r="BB191" s="499"/>
      <c r="BC191" s="271"/>
      <c r="BD191" s="279">
        <v>1</v>
      </c>
      <c r="BE191" s="271"/>
      <c r="BF191" s="271"/>
      <c r="BG191" s="271"/>
      <c r="BH191" s="271"/>
      <c r="BI191" s="271"/>
      <c r="BJ191" s="271"/>
      <c r="BK191" s="271"/>
      <c r="BL191" s="271"/>
    </row>
    <row r="192" spans="18:64" ht="21" customHeight="1" x14ac:dyDescent="0.25">
      <c r="R192" s="34" t="s">
        <v>6129</v>
      </c>
      <c r="S192" s="451"/>
      <c r="T192" s="31" t="s">
        <v>28</v>
      </c>
      <c r="V192" s="475">
        <v>4</v>
      </c>
      <c r="W192" s="475" t="str">
        <f>IF($AC$192="","",$W$180)</f>
        <v>N° 42</v>
      </c>
      <c r="X192" s="476" t="str">
        <f>IF($AC$192="","",$X$180)</f>
        <v>POTAGE CULTIVATEUR</v>
      </c>
      <c r="Y192" s="477">
        <f>IF($X$192="","",$Y$180)</f>
        <v>59</v>
      </c>
      <c r="Z192" s="477">
        <f>IF($X$192="","",$Z$180)</f>
        <v>100</v>
      </c>
      <c r="AA192" s="477">
        <f>IF($AC$192="","",ROW($A$192)-ROW($A$180))</f>
        <v>12</v>
      </c>
      <c r="AB192" s="478"/>
      <c r="AC192" s="34" t="s">
        <v>181</v>
      </c>
      <c r="AD192" s="356"/>
      <c r="AE192" s="23" t="s">
        <v>33</v>
      </c>
      <c r="AF192" s="19"/>
      <c r="AG192" s="480" t="str">
        <f t="shared" si="40"/>
        <v>QT. SUFFISANTE</v>
      </c>
      <c r="AH192" s="481" t="str">
        <f t="shared" si="41"/>
        <v/>
      </c>
      <c r="AI192" s="477" t="str">
        <f>IF($AC$192="","",IFERROR(INDEX($AZ$74:$AZ$119,MATCH($AH$192,$AY$74:$AY$119,0)),"AUTRE"))</f>
        <v>AUTRE</v>
      </c>
      <c r="AJ192" s="482">
        <f>IF($AC$192="","",IFERROR(INDEX($BA$74:$BA$119,MATCH($AH$192,$AY$74:$AY$119,0)),1))</f>
        <v>1</v>
      </c>
      <c r="AK192" s="482" t="e">
        <f t="shared" si="42"/>
        <v>#VALUE!</v>
      </c>
      <c r="AL192" s="477" t="str">
        <f>IF($AC$192="","",IFERROR(INDEX($BB$74:$BB$119,MATCH($AH$192,$AY$74:$AY$119,0)),$AH$192))</f>
        <v/>
      </c>
      <c r="AM192" s="483" t="str">
        <f t="shared" si="43"/>
        <v>QUANTITÉ À CONTRÔLER</v>
      </c>
      <c r="AN192" s="484" t="str">
        <f t="shared" si="44"/>
        <v>QT. SUFFISANTE</v>
      </c>
      <c r="AO192" s="473" t="str">
        <f t="shared" si="45"/>
        <v/>
      </c>
      <c r="AP192" s="473" t="str">
        <f t="shared" si="46"/>
        <v/>
      </c>
      <c r="AQ192" s="473" t="str">
        <f t="shared" si="47"/>
        <v/>
      </c>
      <c r="AR192" s="473" t="str">
        <f t="shared" si="48"/>
        <v/>
      </c>
      <c r="AS192" s="473" t="str">
        <f t="shared" si="49"/>
        <v/>
      </c>
      <c r="AT192" s="473" t="str">
        <f t="shared" si="50"/>
        <v/>
      </c>
      <c r="AU192" s="473" t="str">
        <f t="shared" si="51"/>
        <v/>
      </c>
      <c r="AZ192" s="32" t="s">
        <v>318</v>
      </c>
      <c r="BA192" s="34" t="s">
        <v>490</v>
      </c>
      <c r="BB192" s="499"/>
      <c r="BC192" s="271"/>
      <c r="BD192" s="279">
        <v>1</v>
      </c>
      <c r="BE192" s="271"/>
      <c r="BF192" s="271"/>
      <c r="BG192" s="271"/>
      <c r="BH192" s="271"/>
      <c r="BI192" s="271"/>
      <c r="BJ192" s="271"/>
      <c r="BK192" s="271"/>
      <c r="BL192" s="271"/>
    </row>
    <row r="193" spans="18:64" ht="21" customHeight="1" x14ac:dyDescent="0.25">
      <c r="R193" s="34" t="s">
        <v>478</v>
      </c>
      <c r="S193" s="451"/>
      <c r="T193" s="31" t="s">
        <v>29</v>
      </c>
      <c r="V193" s="475">
        <v>4</v>
      </c>
      <c r="W193" s="475" t="str">
        <f>IF($AC$193="","",$W$180)</f>
        <v>N° 42</v>
      </c>
      <c r="X193" s="476" t="str">
        <f>IF($AC$193="","",$X$180)</f>
        <v>POTAGE CULTIVATEUR</v>
      </c>
      <c r="Y193" s="477">
        <f>IF($X$193="","",$Y$180)</f>
        <v>59</v>
      </c>
      <c r="Z193" s="477">
        <f>IF($X$193="","",$Z$180)</f>
        <v>100</v>
      </c>
      <c r="AA193" s="477">
        <f>IF($AC$193="","",ROW($A$193)-ROW($A$180))</f>
        <v>13</v>
      </c>
      <c r="AB193" s="478"/>
      <c r="AC193" s="34" t="s">
        <v>385</v>
      </c>
      <c r="AD193" s="356"/>
      <c r="AE193" s="18">
        <v>6</v>
      </c>
      <c r="AF193" s="23" t="s">
        <v>309</v>
      </c>
      <c r="AG193" s="480">
        <f t="shared" si="40"/>
        <v>6</v>
      </c>
      <c r="AH193" s="481" t="str">
        <f t="shared" si="41"/>
        <v>PIÈCE(S)</v>
      </c>
      <c r="AI193" s="477" t="str">
        <f>IF($AC$193="","",IFERROR(INDEX($AZ$74:$AZ$119,MATCH($AH$193,$AY$74:$AY$119,0)),"AUTRE"))</f>
        <v>AUTRE</v>
      </c>
      <c r="AJ193" s="482">
        <f>IF($AC$193="","",IFERROR(INDEX($BA$74:$BA$119,MATCH($AH$193,$AY$74:$AY$119,0)),1))</f>
        <v>1</v>
      </c>
      <c r="AK193" s="482">
        <f t="shared" si="42"/>
        <v>6</v>
      </c>
      <c r="AL193" s="477" t="str">
        <f>IF($AC$193="","",IFERROR(INDEX($BB$74:$BB$119,MATCH($AH$193,$AY$74:$AY$119,0)),$AH$193))</f>
        <v>pièce(s)</v>
      </c>
      <c r="AM193" s="483" t="str">
        <f t="shared" si="43"/>
        <v>OK</v>
      </c>
      <c r="AN193" s="484">
        <f t="shared" si="44"/>
        <v>6</v>
      </c>
      <c r="AO193" s="473" t="str">
        <f t="shared" si="45"/>
        <v/>
      </c>
      <c r="AP193" s="473" t="str">
        <f t="shared" si="46"/>
        <v/>
      </c>
      <c r="AQ193" s="473" t="str">
        <f t="shared" si="47"/>
        <v/>
      </c>
      <c r="AR193" s="473" t="str">
        <f t="shared" si="48"/>
        <v/>
      </c>
      <c r="AS193" s="473" t="str">
        <f t="shared" si="49"/>
        <v/>
      </c>
      <c r="AT193" s="473" t="str">
        <f t="shared" si="50"/>
        <v/>
      </c>
      <c r="AU193" s="473" t="str">
        <f t="shared" si="51"/>
        <v/>
      </c>
      <c r="AZ193" s="32" t="s">
        <v>316</v>
      </c>
      <c r="BA193" s="34" t="s">
        <v>6129</v>
      </c>
      <c r="BB193" s="499"/>
      <c r="BC193" s="271"/>
      <c r="BD193" s="279">
        <v>1</v>
      </c>
      <c r="BE193" s="271"/>
      <c r="BF193" s="271"/>
      <c r="BG193" s="271"/>
      <c r="BH193" s="271"/>
      <c r="BI193" s="271"/>
      <c r="BJ193" s="271"/>
      <c r="BK193" s="271"/>
      <c r="BL193" s="271"/>
    </row>
    <row r="194" spans="18:64" ht="21" customHeight="1" x14ac:dyDescent="0.25">
      <c r="R194" s="34" t="s">
        <v>6130</v>
      </c>
      <c r="S194" s="451"/>
      <c r="T194" s="31" t="s">
        <v>30</v>
      </c>
      <c r="V194" s="475">
        <v>4</v>
      </c>
      <c r="W194" s="475" t="str">
        <f>IF($AC$194="","",$W$180)</f>
        <v>N° 42</v>
      </c>
      <c r="X194" s="476" t="str">
        <f>IF($AC$194="","",$X$180)</f>
        <v>POTAGE CULTIVATEUR</v>
      </c>
      <c r="Y194" s="477">
        <f>IF($X$194="","",$Y$180)</f>
        <v>59</v>
      </c>
      <c r="Z194" s="477">
        <f>IF($X$194="","",$Z$180)</f>
        <v>100</v>
      </c>
      <c r="AA194" s="477">
        <f>IF($AC$194="","",ROW($A$194)-ROW($A$180))</f>
        <v>14</v>
      </c>
      <c r="AB194" s="478"/>
      <c r="AC194" s="34" t="s">
        <v>422</v>
      </c>
      <c r="AD194" s="356"/>
      <c r="AE194" s="18">
        <v>2.5</v>
      </c>
      <c r="AF194" s="11" t="s">
        <v>7</v>
      </c>
      <c r="AG194" s="480">
        <f t="shared" si="40"/>
        <v>2.5</v>
      </c>
      <c r="AH194" s="481" t="str">
        <f t="shared" si="41"/>
        <v>KG</v>
      </c>
      <c r="AI194" s="477" t="str">
        <f>IF($AC$194="","",IFERROR(INDEX($AZ$74:$AZ$119,MATCH($AH$194,$AY$74:$AY$119,0)),"AUTRE"))</f>
        <v>MASSE</v>
      </c>
      <c r="AJ194" s="482">
        <f>IF($AC$194="","",IFERROR(INDEX($BA$74:$BA$119,MATCH($AH$194,$AY$74:$AY$119,0)),1))</f>
        <v>1</v>
      </c>
      <c r="AK194" s="482">
        <f t="shared" si="42"/>
        <v>2.5</v>
      </c>
      <c r="AL194" s="477" t="str">
        <f>IF($AC$194="","",IFERROR(INDEX($BB$74:$BB$119,MATCH($AH$194,$AY$74:$AY$119,0)),$AH$194))</f>
        <v>kg</v>
      </c>
      <c r="AM194" s="483" t="str">
        <f t="shared" si="43"/>
        <v>OK</v>
      </c>
      <c r="AN194" s="484">
        <f t="shared" si="44"/>
        <v>2.5</v>
      </c>
      <c r="AO194" s="473" t="str">
        <f t="shared" si="45"/>
        <v/>
      </c>
      <c r="AP194" s="473" t="str">
        <f t="shared" si="46"/>
        <v/>
      </c>
      <c r="AQ194" s="473" t="str">
        <f t="shared" si="47"/>
        <v/>
      </c>
      <c r="AR194" s="473" t="str">
        <f t="shared" si="48"/>
        <v/>
      </c>
      <c r="AS194" s="473" t="str">
        <f t="shared" si="49"/>
        <v/>
      </c>
      <c r="AT194" s="473" t="str">
        <f t="shared" si="50"/>
        <v/>
      </c>
      <c r="AU194" s="473" t="str">
        <f t="shared" si="51"/>
        <v/>
      </c>
      <c r="AZ194" s="32" t="s">
        <v>313</v>
      </c>
      <c r="BA194" s="34" t="s">
        <v>478</v>
      </c>
      <c r="BB194" s="499"/>
      <c r="BC194" s="271"/>
      <c r="BD194" s="279">
        <v>1</v>
      </c>
      <c r="BE194" s="271"/>
      <c r="BF194" s="271"/>
      <c r="BG194" s="271"/>
      <c r="BH194" s="271"/>
      <c r="BI194" s="271"/>
      <c r="BJ194" s="271"/>
      <c r="BK194" s="271"/>
      <c r="BL194" s="271"/>
    </row>
    <row r="195" spans="18:64" ht="21" customHeight="1" x14ac:dyDescent="0.25">
      <c r="R195" s="34" t="s">
        <v>486</v>
      </c>
      <c r="S195" s="451"/>
      <c r="T195" s="31" t="s">
        <v>31</v>
      </c>
      <c r="V195" s="475">
        <v>4</v>
      </c>
      <c r="W195" s="475" t="str">
        <f>IF($AC$195="","",$W$180)</f>
        <v/>
      </c>
      <c r="X195" s="476" t="str">
        <f>IF($AC$195="","",$X$180)</f>
        <v/>
      </c>
      <c r="Y195" s="477" t="str">
        <f>IF($X$195="","",$Y$180)</f>
        <v/>
      </c>
      <c r="Z195" s="477" t="str">
        <f>IF($X$195="","",$Z$180)</f>
        <v/>
      </c>
      <c r="AA195" s="477" t="str">
        <f>IF($AC$195="","",ROW($A$195)-ROW($A$180))</f>
        <v/>
      </c>
      <c r="AB195" s="478"/>
      <c r="AC195" s="34"/>
      <c r="AD195" s="356"/>
      <c r="AE195" s="18"/>
      <c r="AF195" s="19"/>
      <c r="AG195" s="480" t="str">
        <f t="shared" si="40"/>
        <v/>
      </c>
      <c r="AH195" s="481" t="str">
        <f t="shared" si="41"/>
        <v/>
      </c>
      <c r="AI195" s="477" t="str">
        <f>IF($AC$195="","",IFERROR(INDEX($AZ$74:$AZ$119,MATCH($AH$195,$AY$74:$AY$119,0)),"AUTRE"))</f>
        <v/>
      </c>
      <c r="AJ195" s="482" t="str">
        <f>IF($AC$195="","",IFERROR(INDEX($BA$74:$BA$119,MATCH($AH$195,$AY$74:$AY$119,0)),1))</f>
        <v/>
      </c>
      <c r="AK195" s="482" t="str">
        <f t="shared" si="42"/>
        <v/>
      </c>
      <c r="AL195" s="477" t="str">
        <f>IF($AC$195="","",IFERROR(INDEX($BB$74:$BB$119,MATCH($AH$195,$AY$74:$AY$119,0)),$AH$195))</f>
        <v/>
      </c>
      <c r="AM195" s="483" t="str">
        <f t="shared" si="43"/>
        <v/>
      </c>
      <c r="AN195" s="484" t="str">
        <f t="shared" si="44"/>
        <v/>
      </c>
      <c r="AO195" s="473" t="str">
        <f t="shared" si="45"/>
        <v/>
      </c>
      <c r="AP195" s="473" t="str">
        <f t="shared" si="46"/>
        <v/>
      </c>
      <c r="AQ195" s="473" t="str">
        <f t="shared" si="47"/>
        <v/>
      </c>
      <c r="AR195" s="473" t="str">
        <f t="shared" si="48"/>
        <v/>
      </c>
      <c r="AS195" s="473" t="str">
        <f t="shared" si="49"/>
        <v/>
      </c>
      <c r="AT195" s="473" t="str">
        <f t="shared" si="50"/>
        <v/>
      </c>
      <c r="AU195" s="473" t="str">
        <f t="shared" si="51"/>
        <v/>
      </c>
      <c r="AZ195" s="32" t="s">
        <v>307</v>
      </c>
      <c r="BA195" s="34" t="s">
        <v>6130</v>
      </c>
      <c r="BB195" s="499"/>
      <c r="BC195" s="271"/>
      <c r="BD195" s="279">
        <v>1</v>
      </c>
      <c r="BE195" s="271"/>
      <c r="BF195" s="271"/>
      <c r="BG195" s="271"/>
      <c r="BH195" s="271"/>
      <c r="BI195" s="271"/>
      <c r="BJ195" s="271"/>
      <c r="BK195" s="271"/>
      <c r="BL195" s="271"/>
    </row>
    <row r="196" spans="18:64" ht="21" customHeight="1" x14ac:dyDescent="0.25">
      <c r="R196" s="34" t="s">
        <v>479</v>
      </c>
      <c r="S196" s="451"/>
      <c r="T196" s="32" t="s">
        <v>33</v>
      </c>
      <c r="V196" s="475">
        <v>4</v>
      </c>
      <c r="W196" s="475" t="str">
        <f>IF($AC$196="","",$W$180)</f>
        <v/>
      </c>
      <c r="X196" s="476" t="str">
        <f>IF($AC$196="","",$X$180)</f>
        <v/>
      </c>
      <c r="Y196" s="477" t="str">
        <f>IF($X$196="","",$Y$180)</f>
        <v/>
      </c>
      <c r="Z196" s="477" t="str">
        <f>IF($X$196="","",$Z$180)</f>
        <v/>
      </c>
      <c r="AA196" s="477" t="str">
        <f>IF($AC$196="","",ROW($A$196)-ROW($A$180))</f>
        <v/>
      </c>
      <c r="AB196" s="478"/>
      <c r="AC196" s="34"/>
      <c r="AD196" s="356"/>
      <c r="AE196" s="18"/>
      <c r="AF196" s="19"/>
      <c r="AG196" s="480" t="str">
        <f t="shared" si="40"/>
        <v/>
      </c>
      <c r="AH196" s="481" t="str">
        <f t="shared" si="41"/>
        <v/>
      </c>
      <c r="AI196" s="477" t="str">
        <f>IF($AC$196="","",IFERROR(INDEX($AZ$74:$AZ$119,MATCH($AH$196,$AY$74:$AY$119,0)),"AUTRE"))</f>
        <v/>
      </c>
      <c r="AJ196" s="482" t="str">
        <f>IF($AC$196="","",IFERROR(INDEX($BA$74:$BA$119,MATCH($AH$196,$AY$74:$AY$119,0)),1))</f>
        <v/>
      </c>
      <c r="AK196" s="482" t="str">
        <f t="shared" si="42"/>
        <v/>
      </c>
      <c r="AL196" s="477" t="str">
        <f>IF($AC$196="","",IFERROR(INDEX($BB$74:$BB$119,MATCH($AH$196,$AY$74:$AY$119,0)),$AH$196))</f>
        <v/>
      </c>
      <c r="AM196" s="483" t="str">
        <f t="shared" si="43"/>
        <v/>
      </c>
      <c r="AN196" s="484" t="str">
        <f t="shared" si="44"/>
        <v/>
      </c>
      <c r="AO196" s="473" t="str">
        <f t="shared" si="45"/>
        <v/>
      </c>
      <c r="AP196" s="473" t="str">
        <f t="shared" si="46"/>
        <v/>
      </c>
      <c r="AQ196" s="473" t="str">
        <f t="shared" si="47"/>
        <v/>
      </c>
      <c r="AR196" s="473" t="str">
        <f t="shared" si="48"/>
        <v/>
      </c>
      <c r="AS196" s="473" t="str">
        <f t="shared" si="49"/>
        <v/>
      </c>
      <c r="AT196" s="473" t="str">
        <f t="shared" si="50"/>
        <v/>
      </c>
      <c r="AU196" s="473" t="str">
        <f t="shared" si="51"/>
        <v/>
      </c>
      <c r="AZ196" s="32" t="s">
        <v>322</v>
      </c>
      <c r="BA196" s="34" t="s">
        <v>486</v>
      </c>
      <c r="BB196" s="499"/>
      <c r="BC196" s="271"/>
      <c r="BD196" s="279">
        <v>1</v>
      </c>
      <c r="BE196" s="271"/>
      <c r="BF196" s="271"/>
      <c r="BG196" s="271"/>
      <c r="BH196" s="271"/>
      <c r="BI196" s="271"/>
      <c r="BJ196" s="271"/>
      <c r="BK196" s="271"/>
      <c r="BL196" s="271"/>
    </row>
    <row r="197" spans="18:64" ht="21" customHeight="1" x14ac:dyDescent="0.25">
      <c r="R197" s="34" t="s">
        <v>6131</v>
      </c>
      <c r="S197" s="451"/>
      <c r="T197" s="32" t="s">
        <v>8125</v>
      </c>
      <c r="V197" s="475">
        <v>4</v>
      </c>
      <c r="W197" s="475" t="str">
        <f>IF($AC$197="","",$W$180)</f>
        <v/>
      </c>
      <c r="X197" s="476" t="str">
        <f>IF($AC$197="","",$X$180)</f>
        <v/>
      </c>
      <c r="Y197" s="477" t="str">
        <f>IF($X$197="","",$Y$180)</f>
        <v/>
      </c>
      <c r="Z197" s="477" t="str">
        <f>IF($X$197="","",$Z$180)</f>
        <v/>
      </c>
      <c r="AA197" s="477" t="str">
        <f>IF($AC$197="","",ROW($A$197)-ROW($A$180))</f>
        <v/>
      </c>
      <c r="AB197" s="478"/>
      <c r="AC197" s="34"/>
      <c r="AD197" s="356"/>
      <c r="AE197" s="18"/>
      <c r="AF197" s="19"/>
      <c r="AG197" s="480" t="str">
        <f t="shared" si="40"/>
        <v/>
      </c>
      <c r="AH197" s="481" t="str">
        <f t="shared" si="41"/>
        <v/>
      </c>
      <c r="AI197" s="477" t="str">
        <f>IF($AC$197="","",IFERROR(INDEX($AZ$74:$AZ$119,MATCH($AH$197,$AY$74:$AY$119,0)),"AUTRE"))</f>
        <v/>
      </c>
      <c r="AJ197" s="482" t="str">
        <f>IF($AC$197="","",IFERROR(INDEX($BA$74:$BA$119,MATCH($AH$197,$AY$74:$AY$119,0)),1))</f>
        <v/>
      </c>
      <c r="AK197" s="482" t="str">
        <f t="shared" si="42"/>
        <v/>
      </c>
      <c r="AL197" s="477" t="str">
        <f>IF($AC$197="","",IFERROR(INDEX($BB$74:$BB$119,MATCH($AH$197,$AY$74:$AY$119,0)),$AH$197))</f>
        <v/>
      </c>
      <c r="AM197" s="483" t="str">
        <f t="shared" si="43"/>
        <v/>
      </c>
      <c r="AN197" s="484" t="str">
        <f t="shared" si="44"/>
        <v/>
      </c>
      <c r="AO197" s="473" t="str">
        <f t="shared" si="45"/>
        <v/>
      </c>
      <c r="AP197" s="473" t="str">
        <f t="shared" si="46"/>
        <v/>
      </c>
      <c r="AQ197" s="473" t="str">
        <f t="shared" si="47"/>
        <v/>
      </c>
      <c r="AR197" s="473" t="str">
        <f t="shared" si="48"/>
        <v/>
      </c>
      <c r="AS197" s="473" t="str">
        <f t="shared" si="49"/>
        <v/>
      </c>
      <c r="AT197" s="473" t="str">
        <f t="shared" si="50"/>
        <v/>
      </c>
      <c r="AU197" s="473" t="str">
        <f t="shared" si="51"/>
        <v/>
      </c>
      <c r="AZ197" s="32" t="s">
        <v>305</v>
      </c>
      <c r="BA197" s="34" t="s">
        <v>479</v>
      </c>
      <c r="BB197" s="499"/>
      <c r="BC197" s="271"/>
      <c r="BD197" s="279">
        <v>1</v>
      </c>
      <c r="BE197" s="271"/>
      <c r="BF197" s="271"/>
      <c r="BG197" s="271"/>
      <c r="BH197" s="271"/>
      <c r="BI197" s="271"/>
      <c r="BJ197" s="271"/>
      <c r="BK197" s="271"/>
      <c r="BL197" s="271"/>
    </row>
    <row r="198" spans="18:64" ht="21" customHeight="1" x14ac:dyDescent="0.25">
      <c r="R198" s="34" t="s">
        <v>485</v>
      </c>
      <c r="S198" s="451"/>
      <c r="T198" s="32" t="s">
        <v>8127</v>
      </c>
      <c r="V198" s="475">
        <v>4</v>
      </c>
      <c r="W198" s="475" t="str">
        <f>IF($AC$198="","",$W$180)</f>
        <v/>
      </c>
      <c r="X198" s="476" t="str">
        <f>IF($AC$198="","",$X$180)</f>
        <v/>
      </c>
      <c r="Y198" s="477" t="str">
        <f>IF($X$198="","",$Y$180)</f>
        <v/>
      </c>
      <c r="Z198" s="477" t="str">
        <f>IF($X$198="","",$Z$180)</f>
        <v/>
      </c>
      <c r="AA198" s="477" t="str">
        <f>IF($AC$198="","",ROW($A$198)-ROW($A$180))</f>
        <v/>
      </c>
      <c r="AB198" s="478"/>
      <c r="AC198" s="34"/>
      <c r="AD198" s="356"/>
      <c r="AE198" s="18"/>
      <c r="AF198" s="19"/>
      <c r="AG198" s="480" t="str">
        <f t="shared" si="40"/>
        <v/>
      </c>
      <c r="AH198" s="481" t="str">
        <f t="shared" si="41"/>
        <v/>
      </c>
      <c r="AI198" s="477" t="str">
        <f>IF($AC$198="","",IFERROR(INDEX($AZ$74:$AZ$119,MATCH($AH$198,$AY$74:$AY$119,0)),"AUTRE"))</f>
        <v/>
      </c>
      <c r="AJ198" s="482" t="str">
        <f>IF($AC$198="","",IFERROR(INDEX($BA$74:$BA$119,MATCH($AH$198,$AY$74:$AY$119,0)),1))</f>
        <v/>
      </c>
      <c r="AK198" s="482" t="str">
        <f t="shared" si="42"/>
        <v/>
      </c>
      <c r="AL198" s="477" t="str">
        <f>IF($AC$198="","",IFERROR(INDEX($BB$74:$BB$119,MATCH($AH$198,$AY$74:$AY$119,0)),$AH$198))</f>
        <v/>
      </c>
      <c r="AM198" s="483" t="str">
        <f t="shared" si="43"/>
        <v/>
      </c>
      <c r="AN198" s="484" t="str">
        <f t="shared" si="44"/>
        <v/>
      </c>
      <c r="AO198" s="473" t="str">
        <f t="shared" si="45"/>
        <v/>
      </c>
      <c r="AP198" s="473" t="str">
        <f t="shared" si="46"/>
        <v/>
      </c>
      <c r="AQ198" s="473" t="str">
        <f t="shared" si="47"/>
        <v/>
      </c>
      <c r="AR198" s="473" t="str">
        <f t="shared" si="48"/>
        <v/>
      </c>
      <c r="AS198" s="473" t="str">
        <f t="shared" si="49"/>
        <v/>
      </c>
      <c r="AT198" s="473" t="str">
        <f t="shared" si="50"/>
        <v/>
      </c>
      <c r="AU198" s="473" t="str">
        <f t="shared" si="51"/>
        <v/>
      </c>
      <c r="AZ198" s="32" t="s">
        <v>8129</v>
      </c>
      <c r="BA198" s="34" t="s">
        <v>6131</v>
      </c>
      <c r="BB198" s="499"/>
      <c r="BC198" s="271"/>
      <c r="BD198" s="279">
        <v>1</v>
      </c>
      <c r="BE198" s="271"/>
      <c r="BF198" s="271"/>
      <c r="BG198" s="271"/>
      <c r="BH198" s="271"/>
      <c r="BI198" s="271"/>
      <c r="BJ198" s="271"/>
      <c r="BK198" s="271"/>
      <c r="BL198" s="271"/>
    </row>
    <row r="199" spans="18:64" ht="21" customHeight="1" x14ac:dyDescent="0.25">
      <c r="R199" s="34" t="s">
        <v>6132</v>
      </c>
      <c r="S199" s="451"/>
      <c r="T199" s="32" t="s">
        <v>320</v>
      </c>
      <c r="V199" s="475">
        <v>4</v>
      </c>
      <c r="W199" s="475" t="str">
        <f>IF($AC$199="","",$W$180)</f>
        <v/>
      </c>
      <c r="X199" s="476" t="str">
        <f>IF($AC$199="","",$X$180)</f>
        <v/>
      </c>
      <c r="Y199" s="477" t="str">
        <f>IF($X$199="","",$Y$180)</f>
        <v/>
      </c>
      <c r="Z199" s="477" t="str">
        <f>IF($X$199="","",$Z$180)</f>
        <v/>
      </c>
      <c r="AA199" s="477" t="str">
        <f>IF($AC$199="","",ROW($A$199)-ROW($A$180))</f>
        <v/>
      </c>
      <c r="AB199" s="478"/>
      <c r="AC199" s="34"/>
      <c r="AD199" s="356"/>
      <c r="AE199" s="18"/>
      <c r="AF199" s="19"/>
      <c r="AG199" s="480" t="str">
        <f t="shared" si="40"/>
        <v/>
      </c>
      <c r="AH199" s="481" t="str">
        <f t="shared" si="41"/>
        <v/>
      </c>
      <c r="AI199" s="477" t="str">
        <f>IF($AC$199="","",IFERROR(INDEX($AZ$74:$AZ$119,MATCH($AH$199,$AY$74:$AY$119,0)),"AUTRE"))</f>
        <v/>
      </c>
      <c r="AJ199" s="482" t="str">
        <f>IF($AC$199="","",IFERROR(INDEX($BA$74:$BA$119,MATCH($AH$199,$AY$74:$AY$119,0)),1))</f>
        <v/>
      </c>
      <c r="AK199" s="482" t="str">
        <f t="shared" si="42"/>
        <v/>
      </c>
      <c r="AL199" s="477" t="str">
        <f>IF($AC$199="","",IFERROR(INDEX($BB$74:$BB$119,MATCH($AH$199,$AY$74:$AY$119,0)),$AH$199))</f>
        <v/>
      </c>
      <c r="AM199" s="483" t="str">
        <f t="shared" si="43"/>
        <v/>
      </c>
      <c r="AN199" s="484" t="str">
        <f t="shared" si="44"/>
        <v/>
      </c>
      <c r="AO199" s="473" t="str">
        <f t="shared" si="45"/>
        <v/>
      </c>
      <c r="AP199" s="473" t="str">
        <f t="shared" si="46"/>
        <v/>
      </c>
      <c r="AQ199" s="473" t="str">
        <f t="shared" si="47"/>
        <v/>
      </c>
      <c r="AR199" s="473" t="str">
        <f t="shared" si="48"/>
        <v/>
      </c>
      <c r="AS199" s="473" t="str">
        <f t="shared" si="49"/>
        <v/>
      </c>
      <c r="AT199" s="473" t="str">
        <f t="shared" si="50"/>
        <v/>
      </c>
      <c r="AU199" s="473" t="str">
        <f t="shared" si="51"/>
        <v/>
      </c>
      <c r="AZ199" s="32" t="s">
        <v>8131</v>
      </c>
      <c r="BA199" s="34" t="s">
        <v>485</v>
      </c>
      <c r="BB199" s="499"/>
      <c r="BC199" s="271"/>
      <c r="BD199" s="279">
        <v>1</v>
      </c>
      <c r="BE199" s="271"/>
      <c r="BF199" s="271"/>
      <c r="BG199" s="271"/>
      <c r="BH199" s="271"/>
      <c r="BI199" s="271"/>
      <c r="BJ199" s="271"/>
      <c r="BK199" s="271"/>
      <c r="BL199" s="271"/>
    </row>
    <row r="200" spans="18:64" ht="21" customHeight="1" x14ac:dyDescent="0.25">
      <c r="R200" s="25" t="s">
        <v>6133</v>
      </c>
      <c r="S200" s="451"/>
      <c r="T200" s="32" t="s">
        <v>318</v>
      </c>
      <c r="V200" s="475">
        <v>4</v>
      </c>
      <c r="W200" s="475" t="str">
        <f>IF($AC$200="","",$W$180)</f>
        <v/>
      </c>
      <c r="X200" s="476" t="str">
        <f>IF($AC$200="","",$X$180)</f>
        <v/>
      </c>
      <c r="Y200" s="477" t="str">
        <f>IF($X$200="","",$Y$180)</f>
        <v/>
      </c>
      <c r="Z200" s="477" t="str">
        <f>IF($X$200="","",$Z$180)</f>
        <v/>
      </c>
      <c r="AA200" s="477" t="str">
        <f>IF($AC$200="","",ROW($A$200)-ROW($A$180))</f>
        <v/>
      </c>
      <c r="AB200" s="478"/>
      <c r="AC200" s="34"/>
      <c r="AD200" s="356"/>
      <c r="AE200" s="18"/>
      <c r="AF200" s="19"/>
      <c r="AG200" s="480" t="str">
        <f t="shared" si="40"/>
        <v/>
      </c>
      <c r="AH200" s="481" t="str">
        <f t="shared" si="41"/>
        <v/>
      </c>
      <c r="AI200" s="477" t="str">
        <f>IF($AC$200="","",IFERROR(INDEX($AZ$74:$AZ$119,MATCH($AH$200,$AY$74:$AY$119,0)),"AUTRE"))</f>
        <v/>
      </c>
      <c r="AJ200" s="482" t="str">
        <f>IF($AC$200="","",IFERROR(INDEX($BA$74:$BA$119,MATCH($AH$200,$AY$74:$AY$119,0)),1))</f>
        <v/>
      </c>
      <c r="AK200" s="482" t="str">
        <f t="shared" si="42"/>
        <v/>
      </c>
      <c r="AL200" s="477" t="str">
        <f>IF($AC$200="","",IFERROR(INDEX($BB$74:$BB$119,MATCH($AH$200,$AY$74:$AY$119,0)),$AH$200))</f>
        <v/>
      </c>
      <c r="AM200" s="483" t="str">
        <f t="shared" si="43"/>
        <v/>
      </c>
      <c r="AN200" s="484" t="str">
        <f t="shared" si="44"/>
        <v/>
      </c>
      <c r="AO200" s="473" t="str">
        <f t="shared" si="45"/>
        <v/>
      </c>
      <c r="AP200" s="473" t="str">
        <f t="shared" si="46"/>
        <v/>
      </c>
      <c r="AQ200" s="473" t="str">
        <f t="shared" si="47"/>
        <v/>
      </c>
      <c r="AR200" s="473" t="str">
        <f t="shared" si="48"/>
        <v/>
      </c>
      <c r="AS200" s="473" t="str">
        <f t="shared" si="49"/>
        <v/>
      </c>
      <c r="AT200" s="473" t="str">
        <f t="shared" si="50"/>
        <v/>
      </c>
      <c r="AU200" s="473" t="str">
        <f t="shared" si="51"/>
        <v/>
      </c>
      <c r="AZ200" s="32" t="s">
        <v>309</v>
      </c>
      <c r="BA200" s="34" t="s">
        <v>6132</v>
      </c>
      <c r="BB200" s="499"/>
      <c r="BC200" s="271"/>
      <c r="BD200" s="279">
        <v>1</v>
      </c>
      <c r="BE200" s="271"/>
      <c r="BF200" s="271"/>
      <c r="BG200" s="271"/>
      <c r="BH200" s="271"/>
      <c r="BI200" s="271"/>
      <c r="BJ200" s="271"/>
      <c r="BK200" s="271"/>
      <c r="BL200" s="271"/>
    </row>
    <row r="201" spans="18:64" ht="21" customHeight="1" x14ac:dyDescent="0.25">
      <c r="R201" s="34" t="s">
        <v>476</v>
      </c>
      <c r="S201" s="451"/>
      <c r="T201" s="32" t="s">
        <v>316</v>
      </c>
      <c r="V201" s="475">
        <v>4</v>
      </c>
      <c r="W201" s="475" t="str">
        <f>IF($AC$201="","",$W$180)</f>
        <v/>
      </c>
      <c r="X201" s="476" t="str">
        <f>IF($AC$201="","",$X$180)</f>
        <v/>
      </c>
      <c r="Y201" s="477" t="str">
        <f>IF($X$201="","",$Y$180)</f>
        <v/>
      </c>
      <c r="Z201" s="477" t="str">
        <f>IF($X$201="","",$Z$180)</f>
        <v/>
      </c>
      <c r="AA201" s="477" t="str">
        <f>IF($AC$201="","",ROW($A$201)-ROW($A$180))</f>
        <v/>
      </c>
      <c r="AB201" s="478"/>
      <c r="AC201" s="34"/>
      <c r="AD201" s="356"/>
      <c r="AE201" s="18"/>
      <c r="AF201" s="19"/>
      <c r="AG201" s="480" t="str">
        <f t="shared" si="40"/>
        <v/>
      </c>
      <c r="AH201" s="481" t="str">
        <f t="shared" si="41"/>
        <v/>
      </c>
      <c r="AI201" s="477" t="str">
        <f>IF($AC$201="","",IFERROR(INDEX($AZ$74:$AZ$119,MATCH($AH$201,$AY$74:$AY$119,0)),"AUTRE"))</f>
        <v/>
      </c>
      <c r="AJ201" s="482" t="str">
        <f>IF($AC$201="","",IFERROR(INDEX($BA$74:$BA$119,MATCH($AH$201,$AY$74:$AY$119,0)),1))</f>
        <v/>
      </c>
      <c r="AK201" s="482" t="str">
        <f t="shared" si="42"/>
        <v/>
      </c>
      <c r="AL201" s="477" t="str">
        <f>IF($AC$201="","",IFERROR(INDEX($BB$74:$BB$119,MATCH($AH$201,$AY$74:$AY$119,0)),$AH$201))</f>
        <v/>
      </c>
      <c r="AM201" s="483" t="str">
        <f t="shared" si="43"/>
        <v/>
      </c>
      <c r="AN201" s="484" t="str">
        <f t="shared" si="44"/>
        <v/>
      </c>
      <c r="AO201" s="473" t="str">
        <f t="shared" si="45"/>
        <v/>
      </c>
      <c r="AP201" s="473" t="str">
        <f t="shared" si="46"/>
        <v/>
      </c>
      <c r="AQ201" s="473" t="str">
        <f t="shared" si="47"/>
        <v/>
      </c>
      <c r="AR201" s="473" t="str">
        <f t="shared" si="48"/>
        <v/>
      </c>
      <c r="AS201" s="473" t="str">
        <f t="shared" si="49"/>
        <v/>
      </c>
      <c r="AT201" s="473" t="str">
        <f t="shared" si="50"/>
        <v/>
      </c>
      <c r="AU201" s="473" t="str">
        <f t="shared" si="51"/>
        <v/>
      </c>
      <c r="AZ201" s="32" t="s">
        <v>311</v>
      </c>
      <c r="BA201" s="25" t="s">
        <v>6133</v>
      </c>
      <c r="BB201" s="499"/>
      <c r="BC201" s="271"/>
      <c r="BD201" s="279">
        <v>1</v>
      </c>
      <c r="BE201" s="271"/>
      <c r="BF201" s="271"/>
      <c r="BG201" s="271"/>
      <c r="BH201" s="271"/>
      <c r="BI201" s="271"/>
      <c r="BJ201" s="271"/>
      <c r="BK201" s="271"/>
      <c r="BL201" s="271"/>
    </row>
    <row r="202" spans="18:64" ht="21" customHeight="1" x14ac:dyDescent="0.25">
      <c r="R202" s="34" t="s">
        <v>468</v>
      </c>
      <c r="S202" s="451"/>
      <c r="T202" s="32" t="s">
        <v>313</v>
      </c>
      <c r="V202" s="475">
        <v>4</v>
      </c>
      <c r="W202" s="475" t="str">
        <f>IF($AC$202="","",$W$180)</f>
        <v/>
      </c>
      <c r="X202" s="476" t="str">
        <f>IF($AC$202="","",$X$180)</f>
        <v/>
      </c>
      <c r="Y202" s="477" t="str">
        <f>IF($X$202="","",$Y$180)</f>
        <v/>
      </c>
      <c r="Z202" s="477" t="str">
        <f>IF($X$202="","",$Z$180)</f>
        <v/>
      </c>
      <c r="AA202" s="477" t="str">
        <f>IF($AC$202="","",ROW($A$202)-ROW($A$180))</f>
        <v/>
      </c>
      <c r="AB202" s="478"/>
      <c r="AC202" s="34"/>
      <c r="AD202" s="356"/>
      <c r="AE202" s="18"/>
      <c r="AF202" s="19"/>
      <c r="AG202" s="480" t="str">
        <f t="shared" si="40"/>
        <v/>
      </c>
      <c r="AH202" s="481" t="str">
        <f t="shared" si="41"/>
        <v/>
      </c>
      <c r="AI202" s="477" t="str">
        <f>IF($AC$202="","",IFERROR(INDEX($AZ$74:$AZ$119,MATCH($AH$202,$AY$74:$AY$119,0)),"AUTRE"))</f>
        <v/>
      </c>
      <c r="AJ202" s="482" t="str">
        <f>IF($AC$202="","",IFERROR(INDEX($BA$74:$BA$119,MATCH($AH$202,$AY$74:$AY$119,0)),1))</f>
        <v/>
      </c>
      <c r="AK202" s="482" t="str">
        <f t="shared" si="42"/>
        <v/>
      </c>
      <c r="AL202" s="477" t="str">
        <f>IF($AC$202="","",IFERROR(INDEX($BB$74:$BB$119,MATCH($AH$202,$AY$74:$AY$119,0)),$AH$202))</f>
        <v/>
      </c>
      <c r="AM202" s="483" t="str">
        <f t="shared" si="43"/>
        <v/>
      </c>
      <c r="AN202" s="484" t="str">
        <f t="shared" si="44"/>
        <v/>
      </c>
      <c r="AO202" s="473" t="str">
        <f t="shared" si="45"/>
        <v/>
      </c>
      <c r="AP202" s="473" t="str">
        <f t="shared" si="46"/>
        <v/>
      </c>
      <c r="AQ202" s="473" t="str">
        <f t="shared" si="47"/>
        <v/>
      </c>
      <c r="AR202" s="473" t="str">
        <f t="shared" si="48"/>
        <v/>
      </c>
      <c r="AS202" s="473" t="str">
        <f t="shared" si="49"/>
        <v/>
      </c>
      <c r="AT202" s="473" t="str">
        <f t="shared" si="50"/>
        <v/>
      </c>
      <c r="AU202" s="473" t="str">
        <f t="shared" si="51"/>
        <v/>
      </c>
      <c r="AZ202" s="32" t="s">
        <v>8135</v>
      </c>
      <c r="BA202" s="34" t="s">
        <v>476</v>
      </c>
      <c r="BB202" s="499"/>
      <c r="BC202" s="271"/>
      <c r="BD202" s="279">
        <v>1</v>
      </c>
      <c r="BE202" s="271"/>
      <c r="BF202" s="271"/>
      <c r="BG202" s="271"/>
      <c r="BH202" s="271"/>
      <c r="BI202" s="271"/>
      <c r="BJ202" s="271"/>
      <c r="BK202" s="271"/>
      <c r="BL202" s="271"/>
    </row>
    <row r="203" spans="18:64" ht="21" customHeight="1" x14ac:dyDescent="0.25">
      <c r="R203" s="34" t="s">
        <v>473</v>
      </c>
      <c r="S203" s="451"/>
      <c r="T203" s="32" t="s">
        <v>307</v>
      </c>
      <c r="V203" s="475">
        <v>4</v>
      </c>
      <c r="W203" s="475" t="str">
        <f>IF($AC$203="","",$W$180)</f>
        <v/>
      </c>
      <c r="X203" s="476" t="str">
        <f>IF($AC$203="","",$X$180)</f>
        <v/>
      </c>
      <c r="Y203" s="477" t="str">
        <f>IF($X$203="","",$Y$180)</f>
        <v/>
      </c>
      <c r="Z203" s="477" t="str">
        <f>IF($X$203="","",$Z$180)</f>
        <v/>
      </c>
      <c r="AA203" s="477" t="str">
        <f>IF($AC$203="","",ROW($A$203)-ROW($A$180))</f>
        <v/>
      </c>
      <c r="AB203" s="478"/>
      <c r="AC203" s="34"/>
      <c r="AD203" s="356"/>
      <c r="AE203" s="18"/>
      <c r="AF203" s="19"/>
      <c r="AG203" s="480" t="str">
        <f t="shared" si="40"/>
        <v/>
      </c>
      <c r="AH203" s="481" t="str">
        <f t="shared" si="41"/>
        <v/>
      </c>
      <c r="AI203" s="477" t="str">
        <f>IF($AC$203="","",IFERROR(INDEX($AZ$74:$AZ$119,MATCH($AH$203,$AY$74:$AY$119,0)),"AUTRE"))</f>
        <v/>
      </c>
      <c r="AJ203" s="482" t="str">
        <f>IF($AC$203="","",IFERROR(INDEX($BA$74:$BA$119,MATCH($AH$203,$AY$74:$AY$119,0)),1))</f>
        <v/>
      </c>
      <c r="AK203" s="482" t="str">
        <f t="shared" si="42"/>
        <v/>
      </c>
      <c r="AL203" s="477" t="str">
        <f>IF($AC$203="","",IFERROR(INDEX($BB$74:$BB$119,MATCH($AH$203,$AY$74:$AY$119,0)),$AH$203))</f>
        <v/>
      </c>
      <c r="AM203" s="483" t="str">
        <f t="shared" si="43"/>
        <v/>
      </c>
      <c r="AN203" s="484" t="str">
        <f t="shared" si="44"/>
        <v/>
      </c>
      <c r="AO203" s="473" t="str">
        <f t="shared" si="45"/>
        <v/>
      </c>
      <c r="AP203" s="473" t="str">
        <f t="shared" si="46"/>
        <v/>
      </c>
      <c r="AQ203" s="473" t="str">
        <f t="shared" si="47"/>
        <v/>
      </c>
      <c r="AR203" s="473" t="str">
        <f t="shared" si="48"/>
        <v/>
      </c>
      <c r="AS203" s="473" t="str">
        <f t="shared" si="49"/>
        <v/>
      </c>
      <c r="AT203" s="473" t="str">
        <f t="shared" si="50"/>
        <v/>
      </c>
      <c r="AU203" s="473" t="str">
        <f t="shared" si="51"/>
        <v/>
      </c>
      <c r="AZ203" s="32" t="s">
        <v>8137</v>
      </c>
      <c r="BA203" s="34" t="s">
        <v>468</v>
      </c>
      <c r="BB203" s="499"/>
      <c r="BC203" s="271"/>
      <c r="BD203" s="279">
        <v>1</v>
      </c>
      <c r="BE203" s="271"/>
      <c r="BF203" s="271"/>
      <c r="BG203" s="271"/>
      <c r="BH203" s="271"/>
      <c r="BI203" s="271"/>
      <c r="BJ203" s="271"/>
      <c r="BK203" s="271"/>
      <c r="BL203" s="271"/>
    </row>
    <row r="204" spans="18:64" ht="21" customHeight="1" x14ac:dyDescent="0.25">
      <c r="R204" s="34" t="s">
        <v>497</v>
      </c>
      <c r="S204" s="451"/>
      <c r="T204" s="32" t="s">
        <v>322</v>
      </c>
      <c r="V204" s="475">
        <v>4</v>
      </c>
      <c r="W204" s="475" t="str">
        <f>IF($AC$204="","",$W$180)</f>
        <v/>
      </c>
      <c r="X204" s="476" t="str">
        <f>IF($AC$204="","",$X$180)</f>
        <v/>
      </c>
      <c r="Y204" s="477" t="str">
        <f>IF($X$204="","",$Y$180)</f>
        <v/>
      </c>
      <c r="Z204" s="477" t="str">
        <f>IF($X$204="","",$Z$180)</f>
        <v/>
      </c>
      <c r="AA204" s="477" t="str">
        <f>IF($AC$204="","",ROW($A$204)-ROW($A$180))</f>
        <v/>
      </c>
      <c r="AB204" s="478"/>
      <c r="AC204" s="34"/>
      <c r="AD204" s="356"/>
      <c r="AE204" s="18"/>
      <c r="AF204" s="19"/>
      <c r="AG204" s="480" t="str">
        <f t="shared" si="40"/>
        <v/>
      </c>
      <c r="AH204" s="481" t="str">
        <f t="shared" si="41"/>
        <v/>
      </c>
      <c r="AI204" s="477" t="str">
        <f>IF($AC$204="","",IFERROR(INDEX($AZ$74:$AZ$119,MATCH($AH$204,$AY$74:$AY$119,0)),"AUTRE"))</f>
        <v/>
      </c>
      <c r="AJ204" s="482" t="str">
        <f>IF($AC$204="","",IFERROR(INDEX($BA$74:$BA$119,MATCH($AH$204,$AY$74:$AY$119,0)),1))</f>
        <v/>
      </c>
      <c r="AK204" s="482" t="str">
        <f t="shared" si="42"/>
        <v/>
      </c>
      <c r="AL204" s="477" t="str">
        <f>IF($AC$204="","",IFERROR(INDEX($BB$74:$BB$119,MATCH($AH$204,$AY$74:$AY$119,0)),$AH$204))</f>
        <v/>
      </c>
      <c r="AM204" s="483" t="str">
        <f t="shared" si="43"/>
        <v/>
      </c>
      <c r="AN204" s="484" t="str">
        <f t="shared" si="44"/>
        <v/>
      </c>
      <c r="AO204" s="473" t="str">
        <f t="shared" si="45"/>
        <v/>
      </c>
      <c r="AP204" s="473" t="str">
        <f t="shared" si="46"/>
        <v/>
      </c>
      <c r="AQ204" s="473" t="str">
        <f t="shared" si="47"/>
        <v/>
      </c>
      <c r="AR204" s="473" t="str">
        <f t="shared" si="48"/>
        <v/>
      </c>
      <c r="AS204" s="473" t="str">
        <f t="shared" si="49"/>
        <v/>
      </c>
      <c r="AT204" s="473" t="str">
        <f t="shared" si="50"/>
        <v/>
      </c>
      <c r="AU204" s="473" t="str">
        <f t="shared" si="51"/>
        <v/>
      </c>
      <c r="AZ204" s="32" t="s">
        <v>8139</v>
      </c>
      <c r="BA204" s="34" t="s">
        <v>473</v>
      </c>
      <c r="BB204" s="499"/>
      <c r="BC204" s="271"/>
      <c r="BD204" s="279">
        <v>1</v>
      </c>
      <c r="BE204" s="271"/>
      <c r="BF204" s="271"/>
      <c r="BG204" s="271"/>
      <c r="BH204" s="271"/>
      <c r="BI204" s="271"/>
      <c r="BJ204" s="271"/>
      <c r="BK204" s="271"/>
      <c r="BL204" s="271"/>
    </row>
    <row r="205" spans="18:64" ht="21" customHeight="1" x14ac:dyDescent="0.25">
      <c r="R205" s="34" t="s">
        <v>470</v>
      </c>
      <c r="S205" s="451"/>
      <c r="T205" s="32" t="s">
        <v>305</v>
      </c>
      <c r="V205" s="475">
        <v>4</v>
      </c>
      <c r="W205" s="475" t="str">
        <f>IF($AC$205="","",$W$180)</f>
        <v/>
      </c>
      <c r="X205" s="476" t="str">
        <f>IF($AC$205="","",$X$180)</f>
        <v/>
      </c>
      <c r="Y205" s="477" t="str">
        <f>IF($X$205="","",$Y$180)</f>
        <v/>
      </c>
      <c r="Z205" s="477" t="str">
        <f>IF($X$205="","",$Z$180)</f>
        <v/>
      </c>
      <c r="AA205" s="477" t="str">
        <f>IF($AC$205="","",ROW($A$205)-ROW($A$180))</f>
        <v/>
      </c>
      <c r="AB205" s="478"/>
      <c r="AC205" s="34"/>
      <c r="AD205" s="356"/>
      <c r="AE205" s="18"/>
      <c r="AF205" s="19"/>
      <c r="AG205" s="480" t="str">
        <f t="shared" si="40"/>
        <v/>
      </c>
      <c r="AH205" s="481" t="str">
        <f t="shared" si="41"/>
        <v/>
      </c>
      <c r="AI205" s="477" t="str">
        <f>IF($AC$205="","",IFERROR(INDEX($AZ$74:$AZ$119,MATCH($AH$205,$AY$74:$AY$119,0)),"AUTRE"))</f>
        <v/>
      </c>
      <c r="AJ205" s="482" t="str">
        <f>IF($AC$205="","",IFERROR(INDEX($BA$74:$BA$119,MATCH($AH$205,$AY$74:$AY$119,0)),1))</f>
        <v/>
      </c>
      <c r="AK205" s="482" t="str">
        <f t="shared" si="42"/>
        <v/>
      </c>
      <c r="AL205" s="477" t="str">
        <f>IF($AC$205="","",IFERROR(INDEX($BB$74:$BB$119,MATCH($AH$205,$AY$74:$AY$119,0)),$AH$205))</f>
        <v/>
      </c>
      <c r="AM205" s="483" t="str">
        <f t="shared" si="43"/>
        <v/>
      </c>
      <c r="AN205" s="484" t="str">
        <f t="shared" si="44"/>
        <v/>
      </c>
      <c r="AO205" s="473" t="str">
        <f t="shared" si="45"/>
        <v/>
      </c>
      <c r="AP205" s="473" t="str">
        <f t="shared" si="46"/>
        <v/>
      </c>
      <c r="AQ205" s="473" t="str">
        <f t="shared" si="47"/>
        <v/>
      </c>
      <c r="AR205" s="473" t="str">
        <f t="shared" si="48"/>
        <v/>
      </c>
      <c r="AS205" s="473" t="str">
        <f t="shared" si="49"/>
        <v/>
      </c>
      <c r="AT205" s="473" t="str">
        <f t="shared" si="50"/>
        <v/>
      </c>
      <c r="AU205" s="473" t="str">
        <f t="shared" si="51"/>
        <v/>
      </c>
      <c r="AZ205" s="32" t="s">
        <v>8141</v>
      </c>
      <c r="BA205" s="34" t="s">
        <v>497</v>
      </c>
      <c r="BB205" s="499"/>
      <c r="BC205" s="271"/>
      <c r="BD205" s="279">
        <v>1</v>
      </c>
      <c r="BE205" s="271"/>
      <c r="BF205" s="271"/>
      <c r="BG205" s="271"/>
      <c r="BH205" s="271"/>
      <c r="BI205" s="271"/>
      <c r="BJ205" s="271"/>
      <c r="BK205" s="271"/>
      <c r="BL205" s="271"/>
    </row>
    <row r="206" spans="18:64" ht="21" customHeight="1" x14ac:dyDescent="0.25">
      <c r="R206" s="34" t="s">
        <v>477</v>
      </c>
      <c r="S206" s="451"/>
      <c r="T206" s="32" t="s">
        <v>309</v>
      </c>
      <c r="V206" s="475">
        <v>4</v>
      </c>
      <c r="W206" s="475" t="str">
        <f>IF($AC$206="","",$W$180)</f>
        <v/>
      </c>
      <c r="X206" s="476" t="str">
        <f>IF($AC$206="","",$X$180)</f>
        <v/>
      </c>
      <c r="Y206" s="477" t="str">
        <f>IF($X$206="","",$Y$180)</f>
        <v/>
      </c>
      <c r="Z206" s="477" t="str">
        <f>IF($X$206="","",$Z$180)</f>
        <v/>
      </c>
      <c r="AA206" s="477" t="str">
        <f>IF($AC$206="","",ROW($A$206)-ROW($A$180))</f>
        <v/>
      </c>
      <c r="AB206" s="478"/>
      <c r="AC206" s="34"/>
      <c r="AD206" s="356"/>
      <c r="AE206" s="18"/>
      <c r="AF206" s="19"/>
      <c r="AG206" s="480" t="str">
        <f t="shared" si="40"/>
        <v/>
      </c>
      <c r="AH206" s="481" t="str">
        <f t="shared" si="41"/>
        <v/>
      </c>
      <c r="AI206" s="477" t="str">
        <f>IF($AC$206="","",IFERROR(INDEX($AZ$74:$AZ$119,MATCH($AH$206,$AY$74:$AY$119,0)),"AUTRE"))</f>
        <v/>
      </c>
      <c r="AJ206" s="482" t="str">
        <f>IF($AC$206="","",IFERROR(INDEX($BA$74:$BA$119,MATCH($AH$206,$AY$74:$AY$119,0)),1))</f>
        <v/>
      </c>
      <c r="AK206" s="482" t="str">
        <f t="shared" si="42"/>
        <v/>
      </c>
      <c r="AL206" s="477" t="str">
        <f>IF($AC$206="","",IFERROR(INDEX($BB$74:$BB$119,MATCH($AH$206,$AY$74:$AY$119,0)),$AH$206))</f>
        <v/>
      </c>
      <c r="AM206" s="483" t="str">
        <f t="shared" si="43"/>
        <v/>
      </c>
      <c r="AN206" s="484" t="str">
        <f t="shared" si="44"/>
        <v/>
      </c>
      <c r="AO206" s="473" t="str">
        <f t="shared" si="45"/>
        <v/>
      </c>
      <c r="AP206" s="473" t="str">
        <f t="shared" si="46"/>
        <v/>
      </c>
      <c r="AQ206" s="473" t="str">
        <f t="shared" si="47"/>
        <v/>
      </c>
      <c r="AR206" s="473" t="str">
        <f t="shared" si="48"/>
        <v/>
      </c>
      <c r="AS206" s="473" t="str">
        <f t="shared" si="49"/>
        <v/>
      </c>
      <c r="AT206" s="473" t="str">
        <f t="shared" si="50"/>
        <v/>
      </c>
      <c r="AU206" s="473" t="str">
        <f t="shared" si="51"/>
        <v/>
      </c>
      <c r="AZ206" s="32" t="s">
        <v>8143</v>
      </c>
      <c r="BA206" s="34" t="s">
        <v>470</v>
      </c>
      <c r="BB206" s="499"/>
      <c r="BC206" s="271"/>
      <c r="BD206" s="279">
        <v>1</v>
      </c>
      <c r="BE206" s="271"/>
      <c r="BF206" s="271"/>
      <c r="BG206" s="271"/>
      <c r="BH206" s="271"/>
      <c r="BI206" s="271"/>
      <c r="BJ206" s="271"/>
      <c r="BK206" s="271"/>
      <c r="BL206" s="271"/>
    </row>
    <row r="207" spans="18:64" ht="21" customHeight="1" x14ac:dyDescent="0.25">
      <c r="S207" s="451"/>
      <c r="T207" s="32" t="s">
        <v>311</v>
      </c>
      <c r="V207" s="475">
        <v>4</v>
      </c>
      <c r="W207" s="475" t="str">
        <f>IF($AC$207="","",$W$180)</f>
        <v/>
      </c>
      <c r="X207" s="476" t="str">
        <f>IF($AC$207="","",$X$180)</f>
        <v/>
      </c>
      <c r="Y207" s="477" t="str">
        <f>IF($X$207="","",$Y$180)</f>
        <v/>
      </c>
      <c r="Z207" s="477" t="str">
        <f>IF($X$207="","",$Z$180)</f>
        <v/>
      </c>
      <c r="AA207" s="477" t="str">
        <f>IF($AC$207="","",ROW($A$207)-ROW($A$180))</f>
        <v/>
      </c>
      <c r="AB207" s="478"/>
      <c r="AC207" s="34"/>
      <c r="AD207" s="356"/>
      <c r="AE207" s="18"/>
      <c r="AF207" s="19"/>
      <c r="AG207" s="480" t="str">
        <f t="shared" si="40"/>
        <v/>
      </c>
      <c r="AH207" s="481" t="str">
        <f t="shared" si="41"/>
        <v/>
      </c>
      <c r="AI207" s="477" t="str">
        <f>IF($AC$207="","",IFERROR(INDEX($AZ$74:$AZ$119,MATCH($AH$207,$AY$74:$AY$119,0)),"AUTRE"))</f>
        <v/>
      </c>
      <c r="AJ207" s="482" t="str">
        <f>IF($AC$207="","",IFERROR(INDEX($BA$74:$BA$119,MATCH($AH$207,$AY$74:$AY$119,0)),1))</f>
        <v/>
      </c>
      <c r="AK207" s="482" t="str">
        <f t="shared" si="42"/>
        <v/>
      </c>
      <c r="AL207" s="477" t="str">
        <f>IF($AC$207="","",IFERROR(INDEX($BB$74:$BB$119,MATCH($AH$207,$AY$74:$AY$119,0)),$AH$207))</f>
        <v/>
      </c>
      <c r="AM207" s="483" t="str">
        <f t="shared" si="43"/>
        <v/>
      </c>
      <c r="AN207" s="484" t="str">
        <f t="shared" si="44"/>
        <v/>
      </c>
      <c r="AO207" s="473" t="str">
        <f t="shared" si="45"/>
        <v/>
      </c>
      <c r="AP207" s="473" t="str">
        <f t="shared" si="46"/>
        <v/>
      </c>
      <c r="AQ207" s="473" t="str">
        <f t="shared" si="47"/>
        <v/>
      </c>
      <c r="AR207" s="473" t="str">
        <f t="shared" si="48"/>
        <v/>
      </c>
      <c r="AS207" s="473" t="str">
        <f t="shared" si="49"/>
        <v/>
      </c>
      <c r="AT207" s="473" t="str">
        <f t="shared" si="50"/>
        <v/>
      </c>
      <c r="AU207" s="473" t="str">
        <f t="shared" si="51"/>
        <v/>
      </c>
      <c r="AZ207" s="497" t="s">
        <v>8145</v>
      </c>
      <c r="BA207" s="34" t="s">
        <v>477</v>
      </c>
      <c r="BB207" s="499"/>
      <c r="BC207" s="271"/>
      <c r="BD207" s="279">
        <v>1</v>
      </c>
      <c r="BE207" s="271"/>
      <c r="BF207" s="271"/>
      <c r="BG207" s="271"/>
      <c r="BH207" s="271"/>
      <c r="BI207" s="271"/>
      <c r="BJ207" s="271"/>
      <c r="BK207" s="271"/>
      <c r="BL207" s="271"/>
    </row>
    <row r="208" spans="18:64" ht="21" customHeight="1" x14ac:dyDescent="0.25">
      <c r="R208" s="25" t="s">
        <v>6134</v>
      </c>
      <c r="S208" s="451"/>
      <c r="T208" s="32" t="s">
        <v>8135</v>
      </c>
      <c r="V208" s="475">
        <v>4</v>
      </c>
      <c r="W208" s="475" t="str">
        <f>IF($AC$208="","",$W$180)</f>
        <v/>
      </c>
      <c r="X208" s="476" t="str">
        <f>IF($AC$208="","",$X$180)</f>
        <v/>
      </c>
      <c r="Y208" s="477" t="str">
        <f>IF($X$208="","",$Y$180)</f>
        <v/>
      </c>
      <c r="Z208" s="477" t="str">
        <f>IF($X$208="","",$Z$180)</f>
        <v/>
      </c>
      <c r="AA208" s="477" t="str">
        <f>IF($AC$208="","",ROW($A$208)-ROW($A$180))</f>
        <v/>
      </c>
      <c r="AB208" s="478"/>
      <c r="AC208" s="34"/>
      <c r="AD208" s="356"/>
      <c r="AE208" s="18"/>
      <c r="AF208" s="19"/>
      <c r="AG208" s="480" t="str">
        <f t="shared" si="40"/>
        <v/>
      </c>
      <c r="AH208" s="481" t="str">
        <f t="shared" si="41"/>
        <v/>
      </c>
      <c r="AI208" s="477" t="str">
        <f>IF($AC$208="","",IFERROR(INDEX($AZ$74:$AZ$119,MATCH($AH$208,$AY$74:$AY$119,0)),"AUTRE"))</f>
        <v/>
      </c>
      <c r="AJ208" s="482" t="str">
        <f>IF($AC$208="","",IFERROR(INDEX($BA$74:$BA$119,MATCH($AH$208,$AY$74:$AY$119,0)),1))</f>
        <v/>
      </c>
      <c r="AK208" s="482" t="str">
        <f t="shared" si="42"/>
        <v/>
      </c>
      <c r="AL208" s="477" t="str">
        <f>IF($AC$208="","",IFERROR(INDEX($BB$74:$BB$119,MATCH($AH$208,$AY$74:$AY$119,0)),$AH$208))</f>
        <v/>
      </c>
      <c r="AM208" s="483" t="str">
        <f t="shared" si="43"/>
        <v/>
      </c>
      <c r="AN208" s="484" t="str">
        <f t="shared" si="44"/>
        <v/>
      </c>
      <c r="AO208" s="473" t="str">
        <f t="shared" si="45"/>
        <v/>
      </c>
      <c r="AP208" s="473" t="str">
        <f t="shared" si="46"/>
        <v/>
      </c>
      <c r="AQ208" s="473" t="str">
        <f t="shared" si="47"/>
        <v/>
      </c>
      <c r="AR208" s="473" t="str">
        <f t="shared" si="48"/>
        <v/>
      </c>
      <c r="AS208" s="473" t="str">
        <f t="shared" si="49"/>
        <v/>
      </c>
      <c r="AT208" s="473" t="str">
        <f t="shared" si="50"/>
        <v/>
      </c>
      <c r="AU208" s="473" t="str">
        <f t="shared" si="51"/>
        <v/>
      </c>
      <c r="AY208" s="271"/>
      <c r="AZ208" s="497" t="s">
        <v>462</v>
      </c>
      <c r="BB208" s="499"/>
      <c r="BC208" s="271"/>
      <c r="BD208" s="279">
        <v>1</v>
      </c>
      <c r="BE208" s="271"/>
      <c r="BF208" s="271"/>
      <c r="BG208" s="271"/>
      <c r="BH208" s="271"/>
      <c r="BI208" s="271"/>
      <c r="BJ208" s="271"/>
      <c r="BK208" s="271"/>
      <c r="BL208" s="271"/>
    </row>
    <row r="209" spans="18:64" ht="21" customHeight="1" x14ac:dyDescent="0.25">
      <c r="R209" s="34" t="s">
        <v>481</v>
      </c>
      <c r="S209" s="451"/>
      <c r="T209" s="497" t="s">
        <v>462</v>
      </c>
      <c r="V209" s="475">
        <v>4</v>
      </c>
      <c r="W209" s="475" t="str">
        <f>IF($AC$209="","",$W$180)</f>
        <v/>
      </c>
      <c r="X209" s="476" t="str">
        <f>IF($AC$209="","",$X$180)</f>
        <v/>
      </c>
      <c r="Y209" s="477" t="str">
        <f>IF($X$209="","",$Y$180)</f>
        <v/>
      </c>
      <c r="Z209" s="477" t="str">
        <f>IF($X$209="","",$Z$180)</f>
        <v/>
      </c>
      <c r="AA209" s="477" t="str">
        <f>IF($AC$209="","",ROW($A$209)-ROW($A$180))</f>
        <v/>
      </c>
      <c r="AB209" s="478"/>
      <c r="AC209" s="34"/>
      <c r="AD209" s="356"/>
      <c r="AE209" s="18"/>
      <c r="AF209" s="19"/>
      <c r="AG209" s="480" t="str">
        <f t="shared" si="40"/>
        <v/>
      </c>
      <c r="AH209" s="481" t="str">
        <f t="shared" si="41"/>
        <v/>
      </c>
      <c r="AI209" s="477" t="str">
        <f>IF($AC$209="","",IFERROR(INDEX($AZ$74:$AZ$119,MATCH($AH$209,$AY$74:$AY$119,0)),"AUTRE"))</f>
        <v/>
      </c>
      <c r="AJ209" s="482" t="str">
        <f>IF($AC$209="","",IFERROR(INDEX($BA$74:$BA$119,MATCH($AH$209,$AY$74:$AY$119,0)),1))</f>
        <v/>
      </c>
      <c r="AK209" s="482" t="str">
        <f t="shared" si="42"/>
        <v/>
      </c>
      <c r="AL209" s="477" t="str">
        <f>IF($AC$209="","",IFERROR(INDEX($BB$74:$BB$119,MATCH($AH$209,$AY$74:$AY$119,0)),$AH$209))</f>
        <v/>
      </c>
      <c r="AM209" s="483" t="str">
        <f t="shared" si="43"/>
        <v/>
      </c>
      <c r="AN209" s="484" t="str">
        <f t="shared" si="44"/>
        <v/>
      </c>
      <c r="AO209" s="473" t="str">
        <f t="shared" si="45"/>
        <v/>
      </c>
      <c r="AP209" s="473" t="str">
        <f t="shared" si="46"/>
        <v/>
      </c>
      <c r="AQ209" s="473" t="str">
        <f t="shared" si="47"/>
        <v/>
      </c>
      <c r="AR209" s="473" t="str">
        <f t="shared" si="48"/>
        <v/>
      </c>
      <c r="AS209" s="473" t="str">
        <f t="shared" si="49"/>
        <v/>
      </c>
      <c r="AT209" s="473" t="str">
        <f t="shared" si="50"/>
        <v/>
      </c>
      <c r="AU209" s="473" t="str">
        <f t="shared" si="51"/>
        <v/>
      </c>
      <c r="AY209" s="497" t="s">
        <v>8145</v>
      </c>
      <c r="AZ209" s="497" t="s">
        <v>463</v>
      </c>
      <c r="BA209" s="25" t="s">
        <v>6134</v>
      </c>
      <c r="BB209" s="499"/>
      <c r="BC209" s="271"/>
      <c r="BD209" s="279">
        <v>1</v>
      </c>
      <c r="BE209" s="271"/>
      <c r="BF209" s="271"/>
      <c r="BG209" s="271"/>
      <c r="BH209" s="271"/>
      <c r="BI209" s="271"/>
      <c r="BJ209" s="271"/>
      <c r="BK209" s="271"/>
      <c r="BL209" s="271"/>
    </row>
    <row r="210" spans="18:64" ht="21" customHeight="1" x14ac:dyDescent="0.25">
      <c r="R210" s="34" t="s">
        <v>475</v>
      </c>
      <c r="S210" s="451"/>
      <c r="T210" s="497" t="s">
        <v>463</v>
      </c>
      <c r="V210" s="475">
        <v>4</v>
      </c>
      <c r="W210" s="475" t="str">
        <f>IF($AC$210="","",$W$180)</f>
        <v/>
      </c>
      <c r="X210" s="476" t="str">
        <f>IF($AC$210="","",$X$180)</f>
        <v/>
      </c>
      <c r="Y210" s="477" t="str">
        <f>IF($X$210="","",$Y$180)</f>
        <v/>
      </c>
      <c r="Z210" s="477" t="str">
        <f>IF($X$210="","",$Z$180)</f>
        <v/>
      </c>
      <c r="AA210" s="477" t="str">
        <f>IF($AC$210="","",ROW($A$210)-ROW($A$180))</f>
        <v/>
      </c>
      <c r="AB210" s="478"/>
      <c r="AC210" s="34"/>
      <c r="AD210" s="356"/>
      <c r="AE210" s="18"/>
      <c r="AF210" s="19"/>
      <c r="AG210" s="480" t="str">
        <f t="shared" si="40"/>
        <v/>
      </c>
      <c r="AH210" s="481" t="str">
        <f t="shared" si="41"/>
        <v/>
      </c>
      <c r="AI210" s="477" t="str">
        <f>IF($AC$210="","",IFERROR(INDEX($AZ$74:$AZ$119,MATCH($AH$210,$AY$74:$AY$119,0)),"AUTRE"))</f>
        <v/>
      </c>
      <c r="AJ210" s="482" t="str">
        <f>IF($AC$210="","",IFERROR(INDEX($BA$74:$BA$119,MATCH($AH$210,$AY$74:$AY$119,0)),1))</f>
        <v/>
      </c>
      <c r="AK210" s="482" t="str">
        <f t="shared" si="42"/>
        <v/>
      </c>
      <c r="AL210" s="477" t="str">
        <f>IF($AC$210="","",IFERROR(INDEX($BB$74:$BB$119,MATCH($AH$210,$AY$74:$AY$119,0)),$AH$210))</f>
        <v/>
      </c>
      <c r="AM210" s="483" t="str">
        <f t="shared" si="43"/>
        <v/>
      </c>
      <c r="AN210" s="484" t="str">
        <f t="shared" si="44"/>
        <v/>
      </c>
      <c r="AO210" s="473" t="str">
        <f t="shared" si="45"/>
        <v/>
      </c>
      <c r="AP210" s="473" t="str">
        <f t="shared" si="46"/>
        <v/>
      </c>
      <c r="AQ210" s="473" t="str">
        <f t="shared" si="47"/>
        <v/>
      </c>
      <c r="AR210" s="473" t="str">
        <f t="shared" si="48"/>
        <v/>
      </c>
      <c r="AS210" s="473" t="str">
        <f t="shared" si="49"/>
        <v/>
      </c>
      <c r="AT210" s="473" t="str">
        <f t="shared" si="50"/>
        <v/>
      </c>
      <c r="AU210" s="473" t="str">
        <f t="shared" si="51"/>
        <v/>
      </c>
      <c r="AY210" s="497" t="s">
        <v>462</v>
      </c>
      <c r="AZ210" s="497" t="s">
        <v>8147</v>
      </c>
      <c r="BA210" s="34" t="s">
        <v>481</v>
      </c>
      <c r="BB210" s="499"/>
      <c r="BC210" s="271"/>
      <c r="BD210" s="279">
        <v>1</v>
      </c>
      <c r="BE210" s="271"/>
      <c r="BF210" s="271"/>
      <c r="BG210" s="271"/>
      <c r="BH210" s="271"/>
      <c r="BI210" s="271"/>
      <c r="BJ210" s="271"/>
      <c r="BK210" s="271"/>
      <c r="BL210" s="271"/>
    </row>
    <row r="211" spans="18:64" ht="21" customHeight="1" x14ac:dyDescent="0.25">
      <c r="R211" s="34" t="s">
        <v>457</v>
      </c>
      <c r="S211" s="451"/>
      <c r="T211" s="497" t="s">
        <v>8147</v>
      </c>
      <c r="V211" s="475">
        <v>4</v>
      </c>
      <c r="W211" s="475" t="str">
        <f>IF($AC$211="","",$W$180)</f>
        <v/>
      </c>
      <c r="X211" s="476" t="str">
        <f>IF($AC$211="","",$X$180)</f>
        <v/>
      </c>
      <c r="Y211" s="477" t="str">
        <f>IF($X$211="","",$Y$180)</f>
        <v/>
      </c>
      <c r="Z211" s="477" t="str">
        <f>IF($X$211="","",$Z$180)</f>
        <v/>
      </c>
      <c r="AA211" s="477" t="str">
        <f>IF($AC$211="","",ROW($A$211)-ROW($A$180))</f>
        <v/>
      </c>
      <c r="AB211" s="478"/>
      <c r="AC211" s="34"/>
      <c r="AD211" s="356"/>
      <c r="AE211" s="18"/>
      <c r="AF211" s="19"/>
      <c r="AG211" s="480" t="str">
        <f t="shared" si="40"/>
        <v/>
      </c>
      <c r="AH211" s="481" t="str">
        <f t="shared" si="41"/>
        <v/>
      </c>
      <c r="AI211" s="477" t="str">
        <f>IF($AC$211="","",IFERROR(INDEX($AZ$74:$AZ$119,MATCH($AH$211,$AY$74:$AY$119,0)),"AUTRE"))</f>
        <v/>
      </c>
      <c r="AJ211" s="482" t="str">
        <f>IF($AC$211="","",IFERROR(INDEX($BA$74:$BA$119,MATCH($AH$211,$AY$74:$AY$119,0)),1))</f>
        <v/>
      </c>
      <c r="AK211" s="482" t="str">
        <f t="shared" si="42"/>
        <v/>
      </c>
      <c r="AL211" s="477" t="str">
        <f>IF($AC$211="","",IFERROR(INDEX($BB$74:$BB$119,MATCH($AH$211,$AY$74:$AY$119,0)),$AH$211))</f>
        <v/>
      </c>
      <c r="AM211" s="483" t="str">
        <f t="shared" si="43"/>
        <v/>
      </c>
      <c r="AN211" s="484" t="str">
        <f t="shared" si="44"/>
        <v/>
      </c>
      <c r="AO211" s="473" t="str">
        <f t="shared" si="45"/>
        <v/>
      </c>
      <c r="AP211" s="473" t="str">
        <f t="shared" si="46"/>
        <v/>
      </c>
      <c r="AQ211" s="473" t="str">
        <f t="shared" si="47"/>
        <v/>
      </c>
      <c r="AR211" s="473" t="str">
        <f t="shared" si="48"/>
        <v/>
      </c>
      <c r="AS211" s="473" t="str">
        <f t="shared" si="49"/>
        <v/>
      </c>
      <c r="AT211" s="473" t="str">
        <f t="shared" si="50"/>
        <v/>
      </c>
      <c r="AU211" s="473" t="str">
        <f t="shared" si="51"/>
        <v/>
      </c>
      <c r="AY211" s="497" t="s">
        <v>463</v>
      </c>
      <c r="AZ211" s="497" t="s">
        <v>465</v>
      </c>
      <c r="BA211" s="34" t="s">
        <v>475</v>
      </c>
      <c r="BB211" s="499"/>
      <c r="BC211" s="271"/>
      <c r="BD211" s="279">
        <v>1</v>
      </c>
      <c r="BE211" s="271"/>
      <c r="BF211" s="271"/>
      <c r="BG211" s="271"/>
      <c r="BH211" s="271"/>
      <c r="BI211" s="271"/>
      <c r="BJ211" s="271"/>
      <c r="BK211" s="271"/>
      <c r="BL211" s="271"/>
    </row>
    <row r="212" spans="18:64" ht="21" customHeight="1" x14ac:dyDescent="0.25">
      <c r="R212" s="34" t="s">
        <v>482</v>
      </c>
      <c r="S212" s="451"/>
      <c r="T212" s="497" t="s">
        <v>465</v>
      </c>
      <c r="V212" s="475">
        <v>4</v>
      </c>
      <c r="W212" s="475" t="str">
        <f>IF($AC$212="","",$W$180)</f>
        <v/>
      </c>
      <c r="X212" s="476" t="str">
        <f>IF($AC$212="","",$X$180)</f>
        <v/>
      </c>
      <c r="Y212" s="477" t="str">
        <f>IF($X$212="","",$Y$180)</f>
        <v/>
      </c>
      <c r="Z212" s="477" t="str">
        <f>IF($X$212="","",$Z$180)</f>
        <v/>
      </c>
      <c r="AA212" s="477" t="str">
        <f>IF($AC$212="","",ROW($A$212)-ROW($A$180))</f>
        <v/>
      </c>
      <c r="AB212" s="478"/>
      <c r="AC212" s="34"/>
      <c r="AD212" s="356"/>
      <c r="AE212" s="18"/>
      <c r="AF212" s="19"/>
      <c r="AG212" s="480" t="str">
        <f t="shared" si="40"/>
        <v/>
      </c>
      <c r="AH212" s="481" t="str">
        <f t="shared" si="41"/>
        <v/>
      </c>
      <c r="AI212" s="477" t="str">
        <f>IF($AC$212="","",IFERROR(INDEX($AZ$74:$AZ$119,MATCH($AH$212,$AY$74:$AY$119,0)),"AUTRE"))</f>
        <v/>
      </c>
      <c r="AJ212" s="482" t="str">
        <f>IF($AC$212="","",IFERROR(INDEX($BA$74:$BA$119,MATCH($AH$212,$AY$74:$AY$119,0)),1))</f>
        <v/>
      </c>
      <c r="AK212" s="482" t="str">
        <f t="shared" si="42"/>
        <v/>
      </c>
      <c r="AL212" s="477" t="str">
        <f>IF($AC$212="","",IFERROR(INDEX($BB$74:$BB$119,MATCH($AH$212,$AY$74:$AY$119,0)),$AH$212))</f>
        <v/>
      </c>
      <c r="AM212" s="483" t="str">
        <f t="shared" si="43"/>
        <v/>
      </c>
      <c r="AN212" s="484" t="str">
        <f t="shared" si="44"/>
        <v/>
      </c>
      <c r="AO212" s="473" t="str">
        <f t="shared" si="45"/>
        <v/>
      </c>
      <c r="AP212" s="473" t="str">
        <f t="shared" si="46"/>
        <v/>
      </c>
      <c r="AQ212" s="473" t="str">
        <f t="shared" si="47"/>
        <v/>
      </c>
      <c r="AR212" s="473" t="str">
        <f t="shared" si="48"/>
        <v/>
      </c>
      <c r="AS212" s="473" t="str">
        <f t="shared" si="49"/>
        <v/>
      </c>
      <c r="AT212" s="473" t="str">
        <f t="shared" si="50"/>
        <v/>
      </c>
      <c r="AU212" s="473" t="str">
        <f t="shared" si="51"/>
        <v/>
      </c>
      <c r="AY212" s="497" t="s">
        <v>8147</v>
      </c>
      <c r="AZ212" s="497" t="s">
        <v>466</v>
      </c>
      <c r="BA212" s="34" t="s">
        <v>457</v>
      </c>
      <c r="BB212" s="499"/>
      <c r="BC212" s="271"/>
      <c r="BD212" s="279">
        <v>1</v>
      </c>
      <c r="BE212" s="271"/>
      <c r="BF212" s="271"/>
      <c r="BG212" s="271"/>
      <c r="BH212" s="271"/>
      <c r="BI212" s="271"/>
      <c r="BJ212" s="271"/>
      <c r="BK212" s="271"/>
      <c r="BL212" s="271"/>
    </row>
    <row r="213" spans="18:64" ht="21" customHeight="1" x14ac:dyDescent="0.25">
      <c r="R213" s="34" t="s">
        <v>496</v>
      </c>
      <c r="S213" s="451"/>
      <c r="T213" s="497" t="s">
        <v>466</v>
      </c>
      <c r="V213" s="475">
        <v>4</v>
      </c>
      <c r="W213" s="475" t="str">
        <f>IF($AC$213="","",$W$180)</f>
        <v>N° 42</v>
      </c>
      <c r="X213" s="476" t="str">
        <f>IF($AC$213="","",$X$180)</f>
        <v>POTAGE CULTIVATEUR</v>
      </c>
      <c r="Y213" s="477">
        <f>IF($X$213="","",$Y$180)</f>
        <v>59</v>
      </c>
      <c r="Z213" s="477">
        <f>IF($X$213="","",$Z$180)</f>
        <v>100</v>
      </c>
      <c r="AA213" s="477">
        <f>IF($AC$213="","",ROW($A$213)-ROW($A$180))</f>
        <v>33</v>
      </c>
      <c r="AB213" s="478"/>
      <c r="AC213" s="34" t="s">
        <v>479</v>
      </c>
      <c r="AD213" s="356"/>
      <c r="AE213" s="18">
        <v>4</v>
      </c>
      <c r="AF213" s="33" t="s">
        <v>462</v>
      </c>
      <c r="AG213" s="480">
        <f t="shared" si="40"/>
        <v>4</v>
      </c>
      <c r="AH213" s="481" t="str">
        <f t="shared" si="41"/>
        <v>BAC(S)</v>
      </c>
      <c r="AI213" s="477" t="str">
        <f>IF($AC$213="","",IFERROR(INDEX($AZ$74:$AZ$119,MATCH($AH$213,$AY$74:$AY$119,0)),"AUTRE"))</f>
        <v>AUTRE</v>
      </c>
      <c r="AJ213" s="482">
        <f>IF($AC$213="","",IFERROR(INDEX($BA$74:$BA$119,MATCH($AH$213,$AY$74:$AY$119,0)),1))</f>
        <v>1</v>
      </c>
      <c r="AK213" s="482">
        <f t="shared" si="42"/>
        <v>4</v>
      </c>
      <c r="AL213" s="477" t="str">
        <f>IF($AC$213="","",IFERROR(INDEX($BB$74:$BB$119,MATCH($AH$213,$AY$74:$AY$119,0)),$AH$213))</f>
        <v>bac(s)</v>
      </c>
      <c r="AM213" s="483" t="str">
        <f t="shared" si="43"/>
        <v>OK</v>
      </c>
      <c r="AN213" s="484">
        <f t="shared" si="44"/>
        <v>4</v>
      </c>
      <c r="AO213" s="473" t="str">
        <f t="shared" si="45"/>
        <v/>
      </c>
      <c r="AP213" s="473" t="str">
        <f t="shared" si="46"/>
        <v/>
      </c>
      <c r="AQ213" s="473" t="str">
        <f t="shared" si="47"/>
        <v/>
      </c>
      <c r="AR213" s="473" t="str">
        <f t="shared" si="48"/>
        <v/>
      </c>
      <c r="AS213" s="473" t="str">
        <f t="shared" si="49"/>
        <v/>
      </c>
      <c r="AT213" s="473" t="str">
        <f t="shared" si="50"/>
        <v/>
      </c>
      <c r="AU213" s="473" t="str">
        <f t="shared" si="51"/>
        <v/>
      </c>
      <c r="AY213" s="497" t="s">
        <v>465</v>
      </c>
      <c r="AZ213" s="14" t="s">
        <v>7</v>
      </c>
      <c r="BA213" s="34" t="s">
        <v>482</v>
      </c>
      <c r="BB213" s="499"/>
      <c r="BC213" s="271"/>
      <c r="BD213" s="279">
        <v>1</v>
      </c>
      <c r="BE213" s="271"/>
      <c r="BF213" s="271"/>
      <c r="BG213" s="271"/>
      <c r="BH213" s="271"/>
      <c r="BI213" s="271"/>
      <c r="BJ213" s="271"/>
      <c r="BK213" s="271"/>
      <c r="BL213" s="271"/>
    </row>
    <row r="214" spans="18:64" ht="21" customHeight="1" x14ac:dyDescent="0.25">
      <c r="R214" s="34" t="s">
        <v>483</v>
      </c>
      <c r="S214" s="451"/>
      <c r="T214" s="440" t="s">
        <v>8110</v>
      </c>
      <c r="V214" s="475">
        <v>4</v>
      </c>
      <c r="W214" s="475" t="str">
        <f>IF($AC$214="","",$W$180)</f>
        <v>N° 42</v>
      </c>
      <c r="X214" s="476" t="str">
        <f>IF($AC$214="","",$X$180)</f>
        <v>POTAGE CULTIVATEUR</v>
      </c>
      <c r="Y214" s="477">
        <f>IF($X$214="","",$Y$180)</f>
        <v>59</v>
      </c>
      <c r="Z214" s="477">
        <f>IF($X$214="","",$Z$180)</f>
        <v>100</v>
      </c>
      <c r="AA214" s="477">
        <f>IF($AC$214="","",ROW($A$214)-ROW($A$180))</f>
        <v>34</v>
      </c>
      <c r="AB214" s="478"/>
      <c r="AC214" s="34" t="s">
        <v>457</v>
      </c>
      <c r="AD214" s="356"/>
      <c r="AE214" s="18">
        <v>6</v>
      </c>
      <c r="AF214" s="33" t="s">
        <v>465</v>
      </c>
      <c r="AG214" s="491">
        <f t="shared" si="40"/>
        <v>6</v>
      </c>
      <c r="AH214" s="481" t="str">
        <f t="shared" si="41"/>
        <v>GRILLE(S)</v>
      </c>
      <c r="AI214" s="477" t="str">
        <f>IF($AC$214="","",IFERROR(INDEX($AZ$74:$AZ$119,MATCH($AH$214,$AY$74:$AY$119,0)),"AUTRE"))</f>
        <v>AUTRE</v>
      </c>
      <c r="AJ214" s="482">
        <f>IF($AC$214="","",IFERROR(INDEX($BA$74:$BA$119,MATCH($AH$214,$AY$74:$AY$119,0)),1))</f>
        <v>1</v>
      </c>
      <c r="AK214" s="482">
        <f t="shared" si="42"/>
        <v>6</v>
      </c>
      <c r="AL214" s="477" t="str">
        <f>IF($AC$214="","",IFERROR(INDEX($BB$74:$BB$119,MATCH($AH$214,$AY$74:$AY$119,0)),$AH$214))</f>
        <v>grille(s)</v>
      </c>
      <c r="AM214" s="483" t="str">
        <f t="shared" si="43"/>
        <v>OK</v>
      </c>
      <c r="AN214" s="484">
        <f t="shared" si="44"/>
        <v>6</v>
      </c>
      <c r="AO214" s="473" t="str">
        <f t="shared" si="45"/>
        <v/>
      </c>
      <c r="AP214" s="473" t="str">
        <f t="shared" si="46"/>
        <v/>
      </c>
      <c r="AQ214" s="473" t="str">
        <f t="shared" si="47"/>
        <v/>
      </c>
      <c r="AR214" s="473" t="str">
        <f t="shared" si="48"/>
        <v/>
      </c>
      <c r="AS214" s="473" t="str">
        <f t="shared" si="49"/>
        <v/>
      </c>
      <c r="AT214" s="473" t="str">
        <f t="shared" si="50"/>
        <v/>
      </c>
      <c r="AU214" s="473" t="str">
        <f t="shared" si="51"/>
        <v/>
      </c>
      <c r="AY214" s="497" t="s">
        <v>466</v>
      </c>
      <c r="AZ214" s="27" t="s">
        <v>8</v>
      </c>
      <c r="BA214" s="34" t="s">
        <v>496</v>
      </c>
      <c r="BB214" s="499"/>
      <c r="BC214" s="271"/>
      <c r="BD214" s="279">
        <v>1</v>
      </c>
      <c r="BE214" s="271"/>
      <c r="BF214" s="271"/>
      <c r="BG214" s="271"/>
      <c r="BH214" s="271"/>
      <c r="BI214" s="271"/>
      <c r="BJ214" s="271"/>
      <c r="BK214" s="271"/>
      <c r="BL214" s="271"/>
    </row>
    <row r="215" spans="18:64" ht="30" customHeight="1" x14ac:dyDescent="0.25">
      <c r="R215" s="34" t="s">
        <v>493</v>
      </c>
      <c r="S215" s="451"/>
      <c r="T215" s="452" t="s">
        <v>8113</v>
      </c>
      <c r="V215" s="453" t="s">
        <v>324</v>
      </c>
      <c r="W215" s="453" t="s">
        <v>7912</v>
      </c>
      <c r="X215" s="453" t="s">
        <v>326</v>
      </c>
      <c r="Y215" s="453" t="s">
        <v>327</v>
      </c>
      <c r="Z215" s="454" t="s">
        <v>7930</v>
      </c>
      <c r="AA215" s="453" t="s">
        <v>7937</v>
      </c>
      <c r="AB215" s="455" t="s">
        <v>39</v>
      </c>
      <c r="AC215" s="455" t="s">
        <v>338</v>
      </c>
      <c r="AD215" s="455" t="s">
        <v>8114</v>
      </c>
      <c r="AE215" s="455" t="s">
        <v>339</v>
      </c>
      <c r="AF215" s="455" t="s">
        <v>7997</v>
      </c>
      <c r="AG215" s="453" t="s">
        <v>8018</v>
      </c>
      <c r="AH215" s="453" t="s">
        <v>8023</v>
      </c>
      <c r="AI215" s="453" t="s">
        <v>330</v>
      </c>
      <c r="AJ215" s="453" t="s">
        <v>8031</v>
      </c>
      <c r="AK215" s="453" t="s">
        <v>8037</v>
      </c>
      <c r="AL215" s="453" t="s">
        <v>8041</v>
      </c>
      <c r="AM215" s="453" t="s">
        <v>343</v>
      </c>
      <c r="AN215" s="457" t="s">
        <v>8115</v>
      </c>
      <c r="AO215" s="457" t="s">
        <v>8116</v>
      </c>
      <c r="AP215" s="656" t="s">
        <v>8117</v>
      </c>
      <c r="AQ215" s="656"/>
      <c r="AR215" s="656"/>
      <c r="AS215" s="656"/>
      <c r="AT215" s="656"/>
      <c r="AU215" s="657"/>
      <c r="AZ215" s="28" t="s">
        <v>13</v>
      </c>
      <c r="BA215" s="34" t="s">
        <v>483</v>
      </c>
      <c r="BB215" s="499"/>
      <c r="BC215" s="271"/>
      <c r="BD215" s="279">
        <v>1</v>
      </c>
      <c r="BE215" s="271"/>
      <c r="BF215" s="271"/>
      <c r="BG215" s="271"/>
      <c r="BH215" s="271"/>
      <c r="BI215" s="271"/>
      <c r="BJ215" s="271"/>
      <c r="BK215" s="271"/>
      <c r="BL215" s="271"/>
    </row>
    <row r="216" spans="18:64" ht="30" customHeight="1" x14ac:dyDescent="0.25">
      <c r="R216" s="34" t="s">
        <v>494</v>
      </c>
      <c r="S216" s="451"/>
      <c r="T216" s="14" t="s">
        <v>7</v>
      </c>
      <c r="V216" s="459">
        <v>5</v>
      </c>
      <c r="W216" s="460" t="s">
        <v>446</v>
      </c>
      <c r="X216" s="461" t="s">
        <v>268</v>
      </c>
      <c r="Y216" s="462">
        <v>60</v>
      </c>
      <c r="Z216" s="463">
        <v>100</v>
      </c>
      <c r="AA216" s="464">
        <f>IF($AC$396="","",ROW($A$396)-ROW($A$396))</f>
        <v>0</v>
      </c>
      <c r="AB216" s="461"/>
      <c r="AC216" s="465" t="s">
        <v>91</v>
      </c>
      <c r="AD216" s="390"/>
      <c r="AE216" s="13">
        <v>20</v>
      </c>
      <c r="AF216" s="20" t="s">
        <v>9</v>
      </c>
      <c r="AG216" s="467">
        <f t="shared" ref="AG216:AG250" si="52">IF($AC216="","",IF(LEN($AN216&amp;"")=0,"",$AN216))</f>
        <v>20</v>
      </c>
      <c r="AH216" s="468" t="str">
        <f t="shared" ref="AH216:AH250" si="53">IF($AC216="","",IF($AF216&lt;&gt;"",UPPER(TRIM(SUBSTITUTE(SUBSTITUTE($AF216&amp;"",CHAR(160)," ")," "," "))),$AP216))</f>
        <v>L</v>
      </c>
      <c r="AI216" s="469" t="str">
        <f>IF($AC$216="","",IFERROR(INDEX($AZ$74:$AZ$119,MATCH($AH$216,$AY$74:$AY$119,0)),"AUTRE"))</f>
        <v>VOLUME</v>
      </c>
      <c r="AJ216" s="470">
        <f>IF($AC$216="","",IFERROR(INDEX($BA$74:$BA$119,MATCH($AH$216,$AY$74:$AY$119,0)),1))</f>
        <v>1</v>
      </c>
      <c r="AK216" s="470">
        <f t="shared" ref="AK216:AK250" si="54">IF(OR(AG216="",AJ216=""),"",AG216*AJ216)</f>
        <v>20</v>
      </c>
      <c r="AL216" s="469" t="str">
        <f>IF($AC$216="","",IFERROR(INDEX($BB$74:$BB$119,MATCH($AH$216,$AY$74:$AY$119,0)),$AH$216))</f>
        <v>L</v>
      </c>
      <c r="AM216" s="471" t="str">
        <f t="shared" ref="AM216:AM250" si="55">IF($AC216="","",IF($AH216="QT. SUFFISANTE","OK",IF($AG216="","TEXTE",IF(NOT(ISNUMBER($AG216)),"QUANTITÉ À CONTRÔLER",IF(COUNTIF($AY$74:$AY$119,$AH216)=0,"UNITÉ À CONTRÔLER","OK")))))</f>
        <v>OK</v>
      </c>
      <c r="AN216" s="474">
        <f t="shared" ref="AN216:AN250" si="56">IF($AE216&lt;&gt;"",$AE216,IF($AD216="","",IF(ISNUMBER($AD216),$AD216,IF($AO216="QT",0,IF($AO216="","",IFERROR(IF(ISNUMBER(SEARCH("/",$AO216)),VALUE(TRIM(LEFT($AO216,SEARCH("/",$AO216)-1)))/VALUE(TRIM(MID($AO216,SEARCH("/",$AO216)+1,99))),VALUE(SUBSTITUTE($AO216,".",","))),""))))))</f>
        <v>20</v>
      </c>
      <c r="AO216" s="473" t="str">
        <f t="shared" ref="AO216:AO250" si="57">IF($AD216="","",IF(ISNUMBER($AD216),$AD216,IF(OR(LEFT($AQ216,3)="QT.",LEFT($AQ216,4)="QUAN"),"QT",IF($AR216=999,$AQ216,TRIM(LEFT($AQ216,$AR216-1))))))</f>
        <v/>
      </c>
      <c r="AP216" s="473" t="str">
        <f t="shared" ref="AP216:AP250" si="58">IF($AD216="","",IF(ISNUMBER($AD216),"",IF(OR(LEFT($AQ216,3)="QT.",LEFT($AQ216,4)="QUAN"),"QT. SUFFISANTE",IF($AO216="","",TRIM(MID($AQ216,LEN($AO216&amp;"")+1,999))))))</f>
        <v/>
      </c>
      <c r="AQ216" s="473" t="str">
        <f t="shared" ref="AQ216:AQ250" si="59">IF($AD216="","",UPPER(TRIM(SUBSTITUTE(SUBSTITUTE($AD216&amp;"",CHAR(160)," ")," "," "))))</f>
        <v/>
      </c>
      <c r="AR216" s="473" t="str">
        <f t="shared" ref="AR216:AR250" si="60">IF($AQ216="","",MIN($AS216,$AT216,$AU216))</f>
        <v/>
      </c>
      <c r="AS216" s="473" t="str">
        <f t="shared" ref="AS216:AS250" si="61">IF($AQ216="","",MIN(IFERROR(SEARCH("A",$AQ216),999),IFERROR(SEARCH("B",$AQ216),999),IFERROR(SEARCH("C",$AQ216),999),IFERROR(SEARCH("D",$AQ216),999),IFERROR(SEARCH("E",$AQ216),999),IFERROR(SEARCH("F",$AQ216),999),IFERROR(SEARCH("G",$AQ216),999),IFERROR(SEARCH("H",$AQ216),999),IFERROR(SEARCH("I",$AQ216),999)))</f>
        <v/>
      </c>
      <c r="AT216" s="473" t="str">
        <f t="shared" ref="AT216:AT250" si="62">IF($AQ216="","",MIN(IFERROR(SEARCH("J",$AQ216),999),IFERROR(SEARCH("K",$AQ216),999),IFERROR(SEARCH("L",$AQ216),999),IFERROR(SEARCH("M",$AQ216),999),IFERROR(SEARCH("N",$AQ216),999),IFERROR(SEARCH("O",$AQ216),999),IFERROR(SEARCH("P",$AQ216),999),IFERROR(SEARCH("Q",$AQ216),999),IFERROR(SEARCH("R",$AQ216),999)))</f>
        <v/>
      </c>
      <c r="AU216" s="473" t="str">
        <f t="shared" ref="AU216:AU250" si="63">IF($AQ216="","",MIN(IFERROR(SEARCH("S",$AQ216),999),IFERROR(SEARCH("T",$AQ216),999),IFERROR(SEARCH("U",$AQ216),999),IFERROR(SEARCH("V",$AQ216),999),IFERROR(SEARCH("W",$AQ216),999),IFERROR(SEARCH("X",$AQ216),999),IFERROR(SEARCH("Y",$AQ216),999),IFERROR(SEARCH("Z",$AQ216),999)))</f>
        <v/>
      </c>
      <c r="AZ216" s="28" t="s">
        <v>14</v>
      </c>
      <c r="BA216" s="34" t="s">
        <v>493</v>
      </c>
      <c r="BB216" s="499"/>
      <c r="BC216" s="271"/>
      <c r="BD216" s="279">
        <v>1</v>
      </c>
      <c r="BE216" s="271"/>
      <c r="BF216" s="271"/>
      <c r="BG216" s="271"/>
      <c r="BH216" s="271"/>
      <c r="BI216" s="271"/>
      <c r="BJ216" s="271"/>
      <c r="BK216" s="271"/>
      <c r="BL216" s="271"/>
    </row>
    <row r="217" spans="18:64" ht="21" customHeight="1" x14ac:dyDescent="0.25">
      <c r="S217" s="451"/>
      <c r="T217" s="27" t="s">
        <v>8</v>
      </c>
      <c r="V217" s="475">
        <f>$V$216</f>
        <v>5</v>
      </c>
      <c r="W217" s="475" t="str">
        <f>IF($AC$217="","",$W$216)</f>
        <v>N°43</v>
      </c>
      <c r="X217" s="476" t="str">
        <f>IF($AC$217="","",$X$216)</f>
        <v>POTAGE CRÈME DE LÉGUMES</v>
      </c>
      <c r="Y217" s="477">
        <f>IF($X$217="","",$Y$216)</f>
        <v>60</v>
      </c>
      <c r="Z217" s="477">
        <f>IF($X$217="","",$Z$216)</f>
        <v>100</v>
      </c>
      <c r="AA217" s="477">
        <f>IF($AC$217="","",ROW($A$217)-ROW($A$216))</f>
        <v>1</v>
      </c>
      <c r="AB217" s="478"/>
      <c r="AC217" s="34" t="s">
        <v>256</v>
      </c>
      <c r="AD217" s="356"/>
      <c r="AE217" s="18">
        <v>5</v>
      </c>
      <c r="AF217" s="11" t="s">
        <v>7</v>
      </c>
      <c r="AG217" s="480">
        <f t="shared" si="52"/>
        <v>5</v>
      </c>
      <c r="AH217" s="481" t="str">
        <f t="shared" si="53"/>
        <v>KG</v>
      </c>
      <c r="AI217" s="477" t="str">
        <f>IF($AC$217="","",IFERROR(INDEX($AZ$74:$AZ$119,MATCH($AH$217,$AY$74:$AY$119,0)),"AUTRE"))</f>
        <v>MASSE</v>
      </c>
      <c r="AJ217" s="482">
        <f>IF($AC$217="","",IFERROR(INDEX($BA$74:$BA$119,MATCH($AH$217,$AY$74:$AY$119,0)),1))</f>
        <v>1</v>
      </c>
      <c r="AK217" s="482">
        <f t="shared" si="54"/>
        <v>5</v>
      </c>
      <c r="AL217" s="477" t="str">
        <f>IF($AC$217="","",IFERROR(INDEX($BB$74:$BB$119,MATCH($AH$217,$AY$74:$AY$119,0)),$AH$217))</f>
        <v>kg</v>
      </c>
      <c r="AM217" s="483" t="str">
        <f t="shared" si="55"/>
        <v>OK</v>
      </c>
      <c r="AN217" s="484">
        <f t="shared" si="56"/>
        <v>5</v>
      </c>
      <c r="AO217" s="473" t="str">
        <f t="shared" si="57"/>
        <v/>
      </c>
      <c r="AP217" s="473" t="str">
        <f t="shared" si="58"/>
        <v/>
      </c>
      <c r="AQ217" s="473" t="str">
        <f t="shared" si="59"/>
        <v/>
      </c>
      <c r="AR217" s="473" t="str">
        <f t="shared" si="60"/>
        <v/>
      </c>
      <c r="AS217" s="473" t="str">
        <f t="shared" si="61"/>
        <v/>
      </c>
      <c r="AT217" s="473" t="str">
        <f t="shared" si="62"/>
        <v/>
      </c>
      <c r="AU217" s="473" t="str">
        <f t="shared" si="63"/>
        <v/>
      </c>
      <c r="AZ217" s="28" t="s">
        <v>15</v>
      </c>
      <c r="BA217" s="34" t="s">
        <v>494</v>
      </c>
      <c r="BB217" s="499"/>
      <c r="BC217" s="271"/>
      <c r="BD217" s="279">
        <v>1</v>
      </c>
      <c r="BE217" s="271"/>
      <c r="BF217" s="271"/>
      <c r="BG217" s="271"/>
      <c r="BH217" s="271"/>
      <c r="BI217" s="271"/>
      <c r="BJ217" s="271"/>
      <c r="BK217" s="271"/>
      <c r="BL217" s="271"/>
    </row>
    <row r="218" spans="18:64" ht="21" customHeight="1" x14ac:dyDescent="0.25">
      <c r="R218" s="25" t="s">
        <v>6115</v>
      </c>
      <c r="S218" s="451"/>
      <c r="T218" s="28" t="s">
        <v>13</v>
      </c>
      <c r="V218" s="475">
        <v>5</v>
      </c>
      <c r="W218" s="475" t="str">
        <f>IF($AC$218="","",$W$216)</f>
        <v>N°43</v>
      </c>
      <c r="X218" s="476" t="str">
        <f>IF($AC$218="","",$X$216)</f>
        <v>POTAGE CRÈME DE LÉGUMES</v>
      </c>
      <c r="Y218" s="477">
        <f>IF($X$218="","",$Y$216)</f>
        <v>60</v>
      </c>
      <c r="Z218" s="477">
        <f>IF($X$218="","",$Z$216)</f>
        <v>100</v>
      </c>
      <c r="AA218" s="477">
        <f>IF($AC$218="","",ROW($A$218)-ROW($A$216))</f>
        <v>2</v>
      </c>
      <c r="AB218" s="478"/>
      <c r="AC218" s="34" t="s">
        <v>260</v>
      </c>
      <c r="AD218" s="356"/>
      <c r="AE218" s="18">
        <v>10</v>
      </c>
      <c r="AF218" s="11" t="s">
        <v>7</v>
      </c>
      <c r="AG218" s="480">
        <f t="shared" si="52"/>
        <v>10</v>
      </c>
      <c r="AH218" s="481" t="str">
        <f t="shared" si="53"/>
        <v>KG</v>
      </c>
      <c r="AI218" s="477" t="str">
        <f>IF($AC$218="","",IFERROR(INDEX($AZ$74:$AZ$119,MATCH($AH$218,$AY$74:$AY$119,0)),"AUTRE"))</f>
        <v>MASSE</v>
      </c>
      <c r="AJ218" s="482">
        <f>IF($AC$218="","",IFERROR(INDEX($BA$74:$BA$119,MATCH($AH$218,$AY$74:$AY$119,0)),1))</f>
        <v>1</v>
      </c>
      <c r="AK218" s="482">
        <f t="shared" si="54"/>
        <v>10</v>
      </c>
      <c r="AL218" s="477" t="str">
        <f>IF($AC$218="","",IFERROR(INDEX($BB$74:$BB$119,MATCH($AH$218,$AY$74:$AY$119,0)),$AH$218))</f>
        <v>kg</v>
      </c>
      <c r="AM218" s="483" t="str">
        <f t="shared" si="55"/>
        <v>OK</v>
      </c>
      <c r="AN218" s="484">
        <f t="shared" si="56"/>
        <v>10</v>
      </c>
      <c r="AO218" s="473" t="str">
        <f t="shared" si="57"/>
        <v/>
      </c>
      <c r="AP218" s="473" t="str">
        <f t="shared" si="58"/>
        <v/>
      </c>
      <c r="AQ218" s="473" t="str">
        <f t="shared" si="59"/>
        <v/>
      </c>
      <c r="AR218" s="473" t="str">
        <f t="shared" si="60"/>
        <v/>
      </c>
      <c r="AS218" s="473" t="str">
        <f t="shared" si="61"/>
        <v/>
      </c>
      <c r="AT218" s="473" t="str">
        <f t="shared" si="62"/>
        <v/>
      </c>
      <c r="AU218" s="473" t="str">
        <f t="shared" si="63"/>
        <v/>
      </c>
      <c r="AZ218" s="29" t="s">
        <v>9</v>
      </c>
      <c r="BB218" s="499"/>
      <c r="BC218" s="271"/>
      <c r="BD218" s="279">
        <v>1</v>
      </c>
      <c r="BE218" s="271"/>
      <c r="BF218" s="271"/>
      <c r="BG218" s="271"/>
      <c r="BH218" s="271"/>
      <c r="BI218" s="271"/>
      <c r="BJ218" s="271"/>
      <c r="BK218" s="271"/>
      <c r="BL218" s="271"/>
    </row>
    <row r="219" spans="18:64" ht="21" customHeight="1" x14ac:dyDescent="0.25">
      <c r="R219" s="34" t="s">
        <v>471</v>
      </c>
      <c r="S219" s="451"/>
      <c r="T219" s="28" t="s">
        <v>14</v>
      </c>
      <c r="V219" s="475">
        <v>5</v>
      </c>
      <c r="W219" s="475" t="str">
        <f>IF($AC$219="","",$W$216)</f>
        <v>N°43</v>
      </c>
      <c r="X219" s="476" t="str">
        <f>IF($AC$219="","",$X$216)</f>
        <v>POTAGE CRÈME DE LÉGUMES</v>
      </c>
      <c r="Y219" s="477">
        <f>IF($X$219="","",$Y$216)</f>
        <v>60</v>
      </c>
      <c r="Z219" s="477">
        <f>IF($X$219="","",$Z$216)</f>
        <v>100</v>
      </c>
      <c r="AA219" s="477">
        <f>IF($AC$219="","",ROW($A$219)-ROW($A$216))</f>
        <v>3</v>
      </c>
      <c r="AB219" s="478"/>
      <c r="AC219" s="34" t="s">
        <v>372</v>
      </c>
      <c r="AD219" s="356"/>
      <c r="AE219" s="18">
        <v>1.5</v>
      </c>
      <c r="AF219" s="11" t="s">
        <v>7</v>
      </c>
      <c r="AG219" s="480">
        <f t="shared" si="52"/>
        <v>1.5</v>
      </c>
      <c r="AH219" s="481" t="str">
        <f t="shared" si="53"/>
        <v>KG</v>
      </c>
      <c r="AI219" s="477" t="str">
        <f>IF($AC$219="","",IFERROR(INDEX($AZ$74:$AZ$119,MATCH($AH$219,$AY$74:$AY$119,0)),"AUTRE"))</f>
        <v>MASSE</v>
      </c>
      <c r="AJ219" s="482">
        <f>IF($AC$219="","",IFERROR(INDEX($BA$74:$BA$119,MATCH($AH$219,$AY$74:$AY$119,0)),1))</f>
        <v>1</v>
      </c>
      <c r="AK219" s="482">
        <f t="shared" si="54"/>
        <v>1.5</v>
      </c>
      <c r="AL219" s="477" t="str">
        <f>IF($AC$219="","",IFERROR(INDEX($BB$74:$BB$119,MATCH($AH$219,$AY$74:$AY$119,0)),$AH$219))</f>
        <v>kg</v>
      </c>
      <c r="AM219" s="483" t="str">
        <f t="shared" si="55"/>
        <v>OK</v>
      </c>
      <c r="AN219" s="484">
        <f t="shared" si="56"/>
        <v>1.5</v>
      </c>
      <c r="AO219" s="473" t="str">
        <f t="shared" si="57"/>
        <v/>
      </c>
      <c r="AP219" s="473" t="str">
        <f t="shared" si="58"/>
        <v/>
      </c>
      <c r="AQ219" s="473" t="str">
        <f t="shared" si="59"/>
        <v/>
      </c>
      <c r="AR219" s="473" t="str">
        <f t="shared" si="60"/>
        <v/>
      </c>
      <c r="AS219" s="473" t="str">
        <f t="shared" si="61"/>
        <v/>
      </c>
      <c r="AT219" s="473" t="str">
        <f t="shared" si="62"/>
        <v/>
      </c>
      <c r="AU219" s="473" t="str">
        <f t="shared" si="63"/>
        <v/>
      </c>
      <c r="AZ219" s="30" t="s">
        <v>10</v>
      </c>
      <c r="BA219" s="25" t="s">
        <v>6115</v>
      </c>
      <c r="BB219" s="499"/>
      <c r="BC219" s="271"/>
      <c r="BD219" s="279">
        <v>1</v>
      </c>
      <c r="BE219" s="271"/>
      <c r="BF219" s="271"/>
      <c r="BG219" s="271"/>
      <c r="BH219" s="271"/>
      <c r="BI219" s="271"/>
      <c r="BJ219" s="271"/>
      <c r="BK219" s="271"/>
      <c r="BL219" s="271"/>
    </row>
    <row r="220" spans="18:64" ht="21" customHeight="1" x14ac:dyDescent="0.25">
      <c r="R220" s="34" t="s">
        <v>472</v>
      </c>
      <c r="S220" s="451"/>
      <c r="T220" s="28" t="s">
        <v>15</v>
      </c>
      <c r="V220" s="475">
        <v>5</v>
      </c>
      <c r="W220" s="475" t="str">
        <f>IF($AC$220="","",$W$216)</f>
        <v>N°43</v>
      </c>
      <c r="X220" s="476" t="str">
        <f>IF($AC$220="","",$X$216)</f>
        <v>POTAGE CRÈME DE LÉGUMES</v>
      </c>
      <c r="Y220" s="477">
        <f>IF($X$220="","",$Y$216)</f>
        <v>60</v>
      </c>
      <c r="Z220" s="477">
        <f>IF($X$220="","",$Z$216)</f>
        <v>100</v>
      </c>
      <c r="AA220" s="477">
        <f>IF($AC$220="","",ROW($A$220)-ROW($A$216))</f>
        <v>4</v>
      </c>
      <c r="AB220" s="478"/>
      <c r="AC220" s="34" t="s">
        <v>382</v>
      </c>
      <c r="AD220" s="356"/>
      <c r="AE220" s="18">
        <v>500</v>
      </c>
      <c r="AF220" s="16" t="s">
        <v>8</v>
      </c>
      <c r="AG220" s="480">
        <f t="shared" si="52"/>
        <v>500</v>
      </c>
      <c r="AH220" s="481" t="str">
        <f t="shared" si="53"/>
        <v>G</v>
      </c>
      <c r="AI220" s="477" t="str">
        <f>IF($AC$220="","",IFERROR(INDEX($AZ$74:$AZ$119,MATCH($AH$220,$AY$74:$AY$119,0)),"AUTRE"))</f>
        <v>MASSE</v>
      </c>
      <c r="AJ220" s="482">
        <f>IF($AC$220="","",IFERROR(INDEX($BA$74:$BA$119,MATCH($AH$220,$AY$74:$AY$119,0)),1))</f>
        <v>1E-3</v>
      </c>
      <c r="AK220" s="482">
        <f t="shared" si="54"/>
        <v>0.5</v>
      </c>
      <c r="AL220" s="477" t="str">
        <f>IF($AC$220="","",IFERROR(INDEX($BB$74:$BB$119,MATCH($AH$220,$AY$74:$AY$119,0)),$AH$220))</f>
        <v>kg</v>
      </c>
      <c r="AM220" s="483" t="str">
        <f t="shared" si="55"/>
        <v>OK</v>
      </c>
      <c r="AN220" s="484">
        <f t="shared" si="56"/>
        <v>500</v>
      </c>
      <c r="AO220" s="473" t="str">
        <f t="shared" si="57"/>
        <v/>
      </c>
      <c r="AP220" s="473" t="str">
        <f t="shared" si="58"/>
        <v/>
      </c>
      <c r="AQ220" s="473" t="str">
        <f t="shared" si="59"/>
        <v/>
      </c>
      <c r="AR220" s="473" t="str">
        <f t="shared" si="60"/>
        <v/>
      </c>
      <c r="AS220" s="473" t="str">
        <f t="shared" si="61"/>
        <v/>
      </c>
      <c r="AT220" s="473" t="str">
        <f t="shared" si="62"/>
        <v/>
      </c>
      <c r="AU220" s="473" t="str">
        <f t="shared" si="63"/>
        <v/>
      </c>
      <c r="AZ220" s="30" t="s">
        <v>11</v>
      </c>
      <c r="BA220" s="34" t="s">
        <v>471</v>
      </c>
      <c r="BB220" s="499"/>
      <c r="BC220" s="271"/>
      <c r="BD220" s="279">
        <v>1</v>
      </c>
      <c r="BE220" s="271"/>
      <c r="BF220" s="271"/>
      <c r="BG220" s="271"/>
      <c r="BH220" s="271"/>
      <c r="BI220" s="271"/>
      <c r="BJ220" s="271"/>
      <c r="BK220" s="271"/>
      <c r="BL220" s="271"/>
    </row>
    <row r="221" spans="18:64" ht="21" customHeight="1" x14ac:dyDescent="0.25">
      <c r="R221" s="34" t="s">
        <v>6112</v>
      </c>
      <c r="S221" s="451"/>
      <c r="T221" s="28" t="s">
        <v>21</v>
      </c>
      <c r="V221" s="475">
        <v>5</v>
      </c>
      <c r="W221" s="475" t="str">
        <f>IF($AC$221="","",$W$216)</f>
        <v>N°43</v>
      </c>
      <c r="X221" s="476" t="str">
        <f>IF($AC$221="","",$X$216)</f>
        <v>POTAGE CRÈME DE LÉGUMES</v>
      </c>
      <c r="Y221" s="477">
        <f>IF($X$221="","",$Y$216)</f>
        <v>60</v>
      </c>
      <c r="Z221" s="477">
        <f>IF($X$221="","",$Z$216)</f>
        <v>100</v>
      </c>
      <c r="AA221" s="477">
        <f>IF($AC$221="","",ROW($A$221)-ROW($A$216))</f>
        <v>5</v>
      </c>
      <c r="AB221" s="478"/>
      <c r="AC221" s="34" t="s">
        <v>269</v>
      </c>
      <c r="AD221" s="356"/>
      <c r="AE221" s="18"/>
      <c r="AF221" s="19"/>
      <c r="AG221" s="480" t="str">
        <f t="shared" si="52"/>
        <v/>
      </c>
      <c r="AH221" s="481" t="str">
        <f t="shared" si="53"/>
        <v/>
      </c>
      <c r="AI221" s="477" t="str">
        <f>IF($AC$221="","",IFERROR(INDEX($AZ$74:$AZ$119,MATCH($AH$221,$AY$74:$AY$119,0)),"AUTRE"))</f>
        <v>AUTRE</v>
      </c>
      <c r="AJ221" s="482">
        <f>IF($AC$221="","",IFERROR(INDEX($BA$74:$BA$119,MATCH($AH$221,$AY$74:$AY$119,0)),1))</f>
        <v>1</v>
      </c>
      <c r="AK221" s="482" t="str">
        <f t="shared" si="54"/>
        <v/>
      </c>
      <c r="AL221" s="477" t="str">
        <f>IF($AC$221="","",IFERROR(INDEX($BB$74:$BB$119,MATCH($AH$221,$AY$74:$AY$119,0)),$AH$221))</f>
        <v/>
      </c>
      <c r="AM221" s="483" t="str">
        <f t="shared" si="55"/>
        <v>TEXTE</v>
      </c>
      <c r="AN221" s="484" t="str">
        <f t="shared" si="56"/>
        <v/>
      </c>
      <c r="AO221" s="473" t="str">
        <f t="shared" si="57"/>
        <v/>
      </c>
      <c r="AP221" s="473" t="str">
        <f t="shared" si="58"/>
        <v/>
      </c>
      <c r="AQ221" s="473" t="str">
        <f t="shared" si="59"/>
        <v/>
      </c>
      <c r="AR221" s="473" t="str">
        <f t="shared" si="60"/>
        <v/>
      </c>
      <c r="AS221" s="473" t="str">
        <f t="shared" si="61"/>
        <v/>
      </c>
      <c r="AT221" s="473" t="str">
        <f t="shared" si="62"/>
        <v/>
      </c>
      <c r="AU221" s="473" t="str">
        <f t="shared" si="63"/>
        <v/>
      </c>
      <c r="AZ221" s="30" t="s">
        <v>12</v>
      </c>
      <c r="BA221" s="34" t="s">
        <v>472</v>
      </c>
      <c r="BB221" s="499"/>
      <c r="BC221" s="271"/>
      <c r="BD221" s="279">
        <v>1</v>
      </c>
      <c r="BE221" s="271"/>
      <c r="BF221" s="271"/>
      <c r="BG221" s="271"/>
      <c r="BH221" s="271"/>
      <c r="BI221" s="271"/>
      <c r="BJ221" s="271"/>
      <c r="BK221" s="271"/>
      <c r="BL221" s="271"/>
    </row>
    <row r="222" spans="18:64" ht="21" customHeight="1" x14ac:dyDescent="0.25">
      <c r="R222" s="25" t="s">
        <v>6116</v>
      </c>
      <c r="S222" s="451"/>
      <c r="T222" s="28" t="s">
        <v>22</v>
      </c>
      <c r="V222" s="475">
        <v>5</v>
      </c>
      <c r="W222" s="475" t="str">
        <f>IF($AC$222="","",$W$216)</f>
        <v>N°43</v>
      </c>
      <c r="X222" s="476" t="str">
        <f>IF($AC$222="","",$X$216)</f>
        <v>POTAGE CRÈME DE LÉGUMES</v>
      </c>
      <c r="Y222" s="477">
        <f>IF($X$222="","",$Y$216)</f>
        <v>60</v>
      </c>
      <c r="Z222" s="477">
        <f>IF($X$222="","",$Z$216)</f>
        <v>100</v>
      </c>
      <c r="AA222" s="477">
        <f>IF($AC$222="","",ROW($A$222)-ROW($A$216))</f>
        <v>6</v>
      </c>
      <c r="AB222" s="478"/>
      <c r="AC222" s="34" t="s">
        <v>448</v>
      </c>
      <c r="AD222" s="356"/>
      <c r="AE222" s="18">
        <v>10</v>
      </c>
      <c r="AF222" s="11" t="s">
        <v>7</v>
      </c>
      <c r="AG222" s="480">
        <f t="shared" si="52"/>
        <v>10</v>
      </c>
      <c r="AH222" s="481" t="str">
        <f t="shared" si="53"/>
        <v>KG</v>
      </c>
      <c r="AI222" s="477" t="str">
        <f>IF($AC$222="","",IFERROR(INDEX($AZ$74:$AZ$119,MATCH($AH$222,$AY$74:$AY$119,0)),"AUTRE"))</f>
        <v>MASSE</v>
      </c>
      <c r="AJ222" s="482">
        <f>IF($AC$222="","",IFERROR(INDEX($BA$74:$BA$119,MATCH($AH$222,$AY$74:$AY$119,0)),1))</f>
        <v>1</v>
      </c>
      <c r="AK222" s="482">
        <f t="shared" si="54"/>
        <v>10</v>
      </c>
      <c r="AL222" s="477" t="str">
        <f>IF($AC$222="","",IFERROR(INDEX($BB$74:$BB$119,MATCH($AH$222,$AY$74:$AY$119,0)),$AH$222))</f>
        <v>kg</v>
      </c>
      <c r="AM222" s="483" t="str">
        <f t="shared" si="55"/>
        <v>OK</v>
      </c>
      <c r="AN222" s="484">
        <f t="shared" si="56"/>
        <v>10</v>
      </c>
      <c r="AO222" s="473" t="str">
        <f t="shared" si="57"/>
        <v/>
      </c>
      <c r="AP222" s="473" t="str">
        <f t="shared" si="58"/>
        <v/>
      </c>
      <c r="AQ222" s="473" t="str">
        <f t="shared" si="59"/>
        <v/>
      </c>
      <c r="AR222" s="473" t="str">
        <f t="shared" si="60"/>
        <v/>
      </c>
      <c r="AS222" s="473" t="str">
        <f t="shared" si="61"/>
        <v/>
      </c>
      <c r="AT222" s="473" t="str">
        <f t="shared" si="62"/>
        <v/>
      </c>
      <c r="AU222" s="473" t="str">
        <f t="shared" si="63"/>
        <v/>
      </c>
      <c r="AZ222" s="31" t="s">
        <v>16</v>
      </c>
      <c r="BA222" s="34" t="s">
        <v>6112</v>
      </c>
      <c r="BB222" s="499"/>
      <c r="BC222" s="271"/>
      <c r="BD222" s="279">
        <v>1</v>
      </c>
      <c r="BE222" s="271"/>
      <c r="BF222" s="271"/>
      <c r="BG222" s="271"/>
      <c r="BH222" s="271"/>
      <c r="BI222" s="271"/>
      <c r="BJ222" s="271"/>
      <c r="BK222" s="271"/>
      <c r="BL222" s="271"/>
    </row>
    <row r="223" spans="18:64" ht="21" customHeight="1" x14ac:dyDescent="0.25">
      <c r="R223" s="34" t="s">
        <v>6117</v>
      </c>
      <c r="S223" s="451"/>
      <c r="T223" s="28" t="s">
        <v>23</v>
      </c>
      <c r="V223" s="475">
        <v>5</v>
      </c>
      <c r="W223" s="475" t="str">
        <f>IF($AC$223="","",$W$216)</f>
        <v>N°43</v>
      </c>
      <c r="X223" s="476" t="str">
        <f>IF($AC$223="","",$X$216)</f>
        <v>POTAGE CRÈME DE LÉGUMES</v>
      </c>
      <c r="Y223" s="477">
        <f>IF($X$223="","",$Y$216)</f>
        <v>60</v>
      </c>
      <c r="Z223" s="477">
        <f>IF($X$223="","",$Z$216)</f>
        <v>100</v>
      </c>
      <c r="AA223" s="477">
        <f>IF($AC$223="","",ROW($A$223)-ROW($A$216))</f>
        <v>7</v>
      </c>
      <c r="AB223" s="478"/>
      <c r="AC223" s="34" t="s">
        <v>505</v>
      </c>
      <c r="AD223" s="356"/>
      <c r="AE223" s="18">
        <v>20</v>
      </c>
      <c r="AF223" s="20" t="s">
        <v>9</v>
      </c>
      <c r="AG223" s="480">
        <f t="shared" si="52"/>
        <v>20</v>
      </c>
      <c r="AH223" s="481" t="str">
        <f t="shared" si="53"/>
        <v>L</v>
      </c>
      <c r="AI223" s="477" t="str">
        <f>IF($AC$223="","",IFERROR(INDEX($AZ$74:$AZ$119,MATCH($AH$223,$AY$74:$AY$119,0)),"AUTRE"))</f>
        <v>VOLUME</v>
      </c>
      <c r="AJ223" s="482">
        <f>IF($AC$223="","",IFERROR(INDEX($BA$74:$BA$119,MATCH($AH$223,$AY$74:$AY$119,0)),1))</f>
        <v>1</v>
      </c>
      <c r="AK223" s="482">
        <f t="shared" si="54"/>
        <v>20</v>
      </c>
      <c r="AL223" s="477" t="str">
        <f>IF($AC$223="","",IFERROR(INDEX($BB$74:$BB$119,MATCH($AH$223,$AY$74:$AY$119,0)),$AH$223))</f>
        <v>L</v>
      </c>
      <c r="AM223" s="483" t="str">
        <f t="shared" si="55"/>
        <v>OK</v>
      </c>
      <c r="AN223" s="484">
        <f t="shared" si="56"/>
        <v>20</v>
      </c>
      <c r="AO223" s="473" t="str">
        <f t="shared" si="57"/>
        <v/>
      </c>
      <c r="AP223" s="473" t="str">
        <f t="shared" si="58"/>
        <v/>
      </c>
      <c r="AQ223" s="473" t="str">
        <f t="shared" si="59"/>
        <v/>
      </c>
      <c r="AR223" s="473" t="str">
        <f t="shared" si="60"/>
        <v/>
      </c>
      <c r="AS223" s="473" t="str">
        <f t="shared" si="61"/>
        <v/>
      </c>
      <c r="AT223" s="473" t="str">
        <f t="shared" si="62"/>
        <v/>
      </c>
      <c r="AU223" s="473" t="str">
        <f t="shared" si="63"/>
        <v/>
      </c>
      <c r="AZ223" s="31" t="s">
        <v>17</v>
      </c>
      <c r="BA223" s="25" t="s">
        <v>6116</v>
      </c>
      <c r="BB223" s="499"/>
      <c r="BC223" s="271"/>
      <c r="BD223" s="279">
        <v>1</v>
      </c>
      <c r="BE223" s="271"/>
      <c r="BF223" s="271"/>
      <c r="BG223" s="271"/>
      <c r="BH223" s="271"/>
      <c r="BI223" s="271"/>
      <c r="BJ223" s="271"/>
      <c r="BK223" s="271"/>
      <c r="BL223" s="271"/>
    </row>
    <row r="224" spans="18:64" ht="21" customHeight="1" x14ac:dyDescent="0.25">
      <c r="R224" s="34" t="s">
        <v>469</v>
      </c>
      <c r="S224" s="451"/>
      <c r="T224" s="28" t="s">
        <v>24</v>
      </c>
      <c r="V224" s="475">
        <v>5</v>
      </c>
      <c r="W224" s="475" t="str">
        <f>IF($AC$224="","",$W$216)</f>
        <v>N°43</v>
      </c>
      <c r="X224" s="476" t="str">
        <f>IF($AC$224="","",$X$216)</f>
        <v>POTAGE CRÈME DE LÉGUMES</v>
      </c>
      <c r="Y224" s="477">
        <f>IF($X$224="","",$Y$216)</f>
        <v>60</v>
      </c>
      <c r="Z224" s="477">
        <f>IF($X$224="","",$Z$216)</f>
        <v>100</v>
      </c>
      <c r="AA224" s="477">
        <f>IF($AC$224="","",ROW($A$224)-ROW($A$216))</f>
        <v>8</v>
      </c>
      <c r="AB224" s="478"/>
      <c r="AC224" s="34" t="s">
        <v>373</v>
      </c>
      <c r="AD224" s="356"/>
      <c r="AE224" s="18">
        <v>4</v>
      </c>
      <c r="AF224" s="20" t="s">
        <v>9</v>
      </c>
      <c r="AG224" s="480">
        <f t="shared" si="52"/>
        <v>4</v>
      </c>
      <c r="AH224" s="481" t="str">
        <f t="shared" si="53"/>
        <v>L</v>
      </c>
      <c r="AI224" s="477" t="str">
        <f>IF($AC$224="","",IFERROR(INDEX($AZ$74:$AZ$119,MATCH($AH$224,$AY$74:$AY$119,0)),"AUTRE"))</f>
        <v>VOLUME</v>
      </c>
      <c r="AJ224" s="482">
        <f>IF($AC$224="","",IFERROR(INDEX($BA$74:$BA$119,MATCH($AH$224,$AY$74:$AY$119,0)),1))</f>
        <v>1</v>
      </c>
      <c r="AK224" s="482">
        <f t="shared" si="54"/>
        <v>4</v>
      </c>
      <c r="AL224" s="477" t="str">
        <f>IF($AC$224="","",IFERROR(INDEX($BB$74:$BB$119,MATCH($AH$224,$AY$74:$AY$119,0)),$AH$224))</f>
        <v>L</v>
      </c>
      <c r="AM224" s="483" t="str">
        <f t="shared" si="55"/>
        <v>OK</v>
      </c>
      <c r="AN224" s="484">
        <f t="shared" si="56"/>
        <v>4</v>
      </c>
      <c r="AO224" s="473" t="str">
        <f t="shared" si="57"/>
        <v/>
      </c>
      <c r="AP224" s="473" t="str">
        <f t="shared" si="58"/>
        <v/>
      </c>
      <c r="AQ224" s="473" t="str">
        <f t="shared" si="59"/>
        <v/>
      </c>
      <c r="AR224" s="473" t="str">
        <f t="shared" si="60"/>
        <v/>
      </c>
      <c r="AS224" s="473" t="str">
        <f t="shared" si="61"/>
        <v/>
      </c>
      <c r="AT224" s="473" t="str">
        <f t="shared" si="62"/>
        <v/>
      </c>
      <c r="AU224" s="473" t="str">
        <f t="shared" si="63"/>
        <v/>
      </c>
      <c r="AZ224" s="31" t="s">
        <v>18</v>
      </c>
      <c r="BA224" s="34" t="s">
        <v>6117</v>
      </c>
      <c r="BB224" s="499"/>
      <c r="BC224" s="271"/>
      <c r="BD224" s="279">
        <v>1</v>
      </c>
      <c r="BE224" s="271"/>
      <c r="BF224" s="271"/>
      <c r="BG224" s="271"/>
      <c r="BH224" s="271"/>
      <c r="BI224" s="271"/>
      <c r="BJ224" s="271"/>
      <c r="BK224" s="271"/>
      <c r="BL224" s="271"/>
    </row>
    <row r="225" spans="18:64" ht="21" customHeight="1" x14ac:dyDescent="0.25">
      <c r="R225" s="34" t="s">
        <v>6118</v>
      </c>
      <c r="S225" s="451"/>
      <c r="T225" s="29" t="s">
        <v>9</v>
      </c>
      <c r="V225" s="475">
        <v>5</v>
      </c>
      <c r="W225" s="475" t="str">
        <f>IF($AC$225="","",$W$216)</f>
        <v>N°43</v>
      </c>
      <c r="X225" s="476" t="str">
        <f>IF($AC$225="","",$X$216)</f>
        <v>POTAGE CRÈME DE LÉGUMES</v>
      </c>
      <c r="Y225" s="477">
        <f>IF($X$225="","",$Y$216)</f>
        <v>60</v>
      </c>
      <c r="Z225" s="477">
        <f>IF($X$225="","",$Z$216)</f>
        <v>100</v>
      </c>
      <c r="AA225" s="477">
        <f>IF($AC$225="","",ROW($A$225)-ROW($A$216))</f>
        <v>9</v>
      </c>
      <c r="AB225" s="478"/>
      <c r="AC225" s="34" t="s">
        <v>270</v>
      </c>
      <c r="AD225" s="356"/>
      <c r="AE225" s="23" t="s">
        <v>33</v>
      </c>
      <c r="AF225" s="19"/>
      <c r="AG225" s="480" t="str">
        <f t="shared" si="52"/>
        <v>QT. SUFFISANTE</v>
      </c>
      <c r="AH225" s="481" t="str">
        <f t="shared" si="53"/>
        <v/>
      </c>
      <c r="AI225" s="477" t="str">
        <f>IF($AC$225="","",IFERROR(INDEX($AZ$74:$AZ$119,MATCH($AH$225,$AY$74:$AY$119,0)),"AUTRE"))</f>
        <v>AUTRE</v>
      </c>
      <c r="AJ225" s="482">
        <f>IF($AC$225="","",IFERROR(INDEX($BA$74:$BA$119,MATCH($AH$225,$AY$74:$AY$119,0)),1))</f>
        <v>1</v>
      </c>
      <c r="AK225" s="482" t="e">
        <f t="shared" si="54"/>
        <v>#VALUE!</v>
      </c>
      <c r="AL225" s="477" t="str">
        <f>IF($AC$225="","",IFERROR(INDEX($BB$74:$BB$119,MATCH($AH$225,$AY$74:$AY$119,0)),$AH$225))</f>
        <v/>
      </c>
      <c r="AM225" s="483" t="str">
        <f t="shared" si="55"/>
        <v>QUANTITÉ À CONTRÔLER</v>
      </c>
      <c r="AN225" s="484" t="str">
        <f t="shared" si="56"/>
        <v>QT. SUFFISANTE</v>
      </c>
      <c r="AO225" s="473" t="str">
        <f t="shared" si="57"/>
        <v/>
      </c>
      <c r="AP225" s="473" t="str">
        <f t="shared" si="58"/>
        <v/>
      </c>
      <c r="AQ225" s="473" t="str">
        <f t="shared" si="59"/>
        <v/>
      </c>
      <c r="AR225" s="473" t="str">
        <f t="shared" si="60"/>
        <v/>
      </c>
      <c r="AS225" s="473" t="str">
        <f t="shared" si="61"/>
        <v/>
      </c>
      <c r="AT225" s="473" t="str">
        <f t="shared" si="62"/>
        <v/>
      </c>
      <c r="AU225" s="473" t="str">
        <f t="shared" si="63"/>
        <v/>
      </c>
      <c r="AZ225" s="31" t="s">
        <v>19</v>
      </c>
      <c r="BA225" s="34" t="s">
        <v>469</v>
      </c>
      <c r="BB225" s="499"/>
      <c r="BC225" s="271"/>
      <c r="BD225" s="279">
        <v>1</v>
      </c>
      <c r="BE225" s="271"/>
      <c r="BF225" s="271"/>
      <c r="BG225" s="271"/>
      <c r="BH225" s="271"/>
      <c r="BI225" s="271"/>
      <c r="BJ225" s="271"/>
      <c r="BK225" s="271"/>
      <c r="BL225" s="271"/>
    </row>
    <row r="226" spans="18:64" ht="21" customHeight="1" x14ac:dyDescent="0.25">
      <c r="R226" s="34" t="s">
        <v>492</v>
      </c>
      <c r="S226" s="451"/>
      <c r="T226" s="30" t="s">
        <v>10</v>
      </c>
      <c r="V226" s="475">
        <v>5</v>
      </c>
      <c r="W226" s="475" t="str">
        <f>IF($AC$226="","",$W$216)</f>
        <v/>
      </c>
      <c r="X226" s="476" t="str">
        <f>IF($AC$226="","",$X$216)</f>
        <v/>
      </c>
      <c r="Y226" s="477" t="str">
        <f>IF($X$226="","",$Y$216)</f>
        <v/>
      </c>
      <c r="Z226" s="477" t="str">
        <f>IF($X$226="","",$Z$216)</f>
        <v/>
      </c>
      <c r="AA226" s="477" t="str">
        <f>IF($AC$226="","",ROW($A$226)-ROW($A$216))</f>
        <v/>
      </c>
      <c r="AB226" s="478"/>
      <c r="AC226" s="34"/>
      <c r="AD226" s="356"/>
      <c r="AE226" s="18"/>
      <c r="AF226" s="19"/>
      <c r="AG226" s="480" t="str">
        <f t="shared" si="52"/>
        <v/>
      </c>
      <c r="AH226" s="481" t="str">
        <f t="shared" si="53"/>
        <v/>
      </c>
      <c r="AI226" s="477" t="str">
        <f>IF($AC$226="","",IFERROR(INDEX($AZ$74:$AZ$119,MATCH($AH$226,$AY$74:$AY$119,0)),"AUTRE"))</f>
        <v/>
      </c>
      <c r="AJ226" s="482" t="str">
        <f>IF($AC$226="","",IFERROR(INDEX($BA$74:$BA$119,MATCH($AH$226,$AY$74:$AY$119,0)),1))</f>
        <v/>
      </c>
      <c r="AK226" s="482" t="str">
        <f t="shared" si="54"/>
        <v/>
      </c>
      <c r="AL226" s="477" t="str">
        <f>IF($AC$226="","",IFERROR(INDEX($BB$74:$BB$119,MATCH($AH$226,$AY$74:$AY$119,0)),$AH$226))</f>
        <v/>
      </c>
      <c r="AM226" s="483" t="str">
        <f t="shared" si="55"/>
        <v/>
      </c>
      <c r="AN226" s="484" t="str">
        <f t="shared" si="56"/>
        <v/>
      </c>
      <c r="AO226" s="473" t="str">
        <f t="shared" si="57"/>
        <v/>
      </c>
      <c r="AP226" s="473" t="str">
        <f t="shared" si="58"/>
        <v/>
      </c>
      <c r="AQ226" s="473" t="str">
        <f t="shared" si="59"/>
        <v/>
      </c>
      <c r="AR226" s="473" t="str">
        <f t="shared" si="60"/>
        <v/>
      </c>
      <c r="AS226" s="473" t="str">
        <f t="shared" si="61"/>
        <v/>
      </c>
      <c r="AT226" s="473" t="str">
        <f t="shared" si="62"/>
        <v/>
      </c>
      <c r="AU226" s="473" t="str">
        <f t="shared" si="63"/>
        <v/>
      </c>
      <c r="AZ226" s="31" t="s">
        <v>211</v>
      </c>
      <c r="BA226" s="34" t="s">
        <v>6118</v>
      </c>
      <c r="BB226" s="499"/>
      <c r="BC226" s="271"/>
      <c r="BD226" s="279">
        <v>1</v>
      </c>
      <c r="BE226" s="271"/>
      <c r="BF226" s="271"/>
      <c r="BG226" s="271"/>
      <c r="BH226" s="271"/>
      <c r="BI226" s="271"/>
      <c r="BJ226" s="271"/>
      <c r="BK226" s="271"/>
      <c r="BL226" s="271"/>
    </row>
    <row r="227" spans="18:64" ht="21" customHeight="1" x14ac:dyDescent="0.25">
      <c r="R227" s="34" t="s">
        <v>458</v>
      </c>
      <c r="S227" s="451"/>
      <c r="T227" s="30" t="s">
        <v>11</v>
      </c>
      <c r="V227" s="475">
        <v>5</v>
      </c>
      <c r="W227" s="475" t="str">
        <f>IF($AC$227="","",$W$216)</f>
        <v/>
      </c>
      <c r="X227" s="476" t="str">
        <f>IF($AC$227="","",$X$216)</f>
        <v/>
      </c>
      <c r="Y227" s="477" t="str">
        <f>IF($X$227="","",$Y$216)</f>
        <v/>
      </c>
      <c r="Z227" s="477" t="str">
        <f>IF($X$227="","",$Z$216)</f>
        <v/>
      </c>
      <c r="AA227" s="477" t="str">
        <f>IF($AC$227="","",ROW($A$227)-ROW($A$216))</f>
        <v/>
      </c>
      <c r="AB227" s="478"/>
      <c r="AC227" s="34"/>
      <c r="AD227" s="356"/>
      <c r="AE227" s="18"/>
      <c r="AF227" s="19"/>
      <c r="AG227" s="480" t="str">
        <f t="shared" si="52"/>
        <v/>
      </c>
      <c r="AH227" s="481" t="str">
        <f t="shared" si="53"/>
        <v/>
      </c>
      <c r="AI227" s="477" t="str">
        <f>IF($AC$227="","",IFERROR(INDEX($AZ$74:$AZ$119,MATCH($AH$227,$AY$74:$AY$119,0)),"AUTRE"))</f>
        <v/>
      </c>
      <c r="AJ227" s="482" t="str">
        <f>IF($AC$227="","",IFERROR(INDEX($BA$74:$BA$119,MATCH($AH$227,$AY$74:$AY$119,0)),1))</f>
        <v/>
      </c>
      <c r="AK227" s="482" t="str">
        <f t="shared" si="54"/>
        <v/>
      </c>
      <c r="AL227" s="477" t="str">
        <f>IF($AC$227="","",IFERROR(INDEX($BB$74:$BB$119,MATCH($AH$227,$AY$74:$AY$119,0)),$AH$227))</f>
        <v/>
      </c>
      <c r="AM227" s="483" t="str">
        <f t="shared" si="55"/>
        <v/>
      </c>
      <c r="AN227" s="484" t="str">
        <f t="shared" si="56"/>
        <v/>
      </c>
      <c r="AO227" s="473" t="str">
        <f t="shared" si="57"/>
        <v/>
      </c>
      <c r="AP227" s="473" t="str">
        <f t="shared" si="58"/>
        <v/>
      </c>
      <c r="AQ227" s="473" t="str">
        <f t="shared" si="59"/>
        <v/>
      </c>
      <c r="AR227" s="473" t="str">
        <f t="shared" si="60"/>
        <v/>
      </c>
      <c r="AS227" s="473" t="str">
        <f t="shared" si="61"/>
        <v/>
      </c>
      <c r="AT227" s="473" t="str">
        <f t="shared" si="62"/>
        <v/>
      </c>
      <c r="AU227" s="473" t="str">
        <f t="shared" si="63"/>
        <v/>
      </c>
      <c r="AZ227" s="31" t="s">
        <v>20</v>
      </c>
      <c r="BA227" s="34" t="s">
        <v>492</v>
      </c>
      <c r="BB227" s="499"/>
      <c r="BC227" s="271"/>
      <c r="BD227" s="279">
        <v>1</v>
      </c>
      <c r="BE227" s="271"/>
      <c r="BF227" s="271"/>
      <c r="BG227" s="271"/>
      <c r="BH227" s="271"/>
      <c r="BI227" s="271"/>
      <c r="BJ227" s="271"/>
      <c r="BK227" s="271"/>
      <c r="BL227" s="271"/>
    </row>
    <row r="228" spans="18:64" ht="21" customHeight="1" x14ac:dyDescent="0.25">
      <c r="R228" s="490"/>
      <c r="S228" s="451"/>
      <c r="T228" s="30" t="s">
        <v>12</v>
      </c>
      <c r="V228" s="475">
        <v>5</v>
      </c>
      <c r="W228" s="475" t="str">
        <f>IF($AC$228="","",$W$216)</f>
        <v/>
      </c>
      <c r="X228" s="476" t="str">
        <f>IF($AC$228="","",$X$216)</f>
        <v/>
      </c>
      <c r="Y228" s="477" t="str">
        <f>IF($X$228="","",$Y$216)</f>
        <v/>
      </c>
      <c r="Z228" s="477" t="str">
        <f>IF($X$228="","",$Z$216)</f>
        <v/>
      </c>
      <c r="AA228" s="477" t="str">
        <f>IF($AC$228="","",ROW($A$228)-ROW($A$216))</f>
        <v/>
      </c>
      <c r="AB228" s="478"/>
      <c r="AC228" s="34"/>
      <c r="AD228" s="356"/>
      <c r="AE228" s="18"/>
      <c r="AF228" s="19"/>
      <c r="AG228" s="480" t="str">
        <f t="shared" si="52"/>
        <v/>
      </c>
      <c r="AH228" s="481" t="str">
        <f t="shared" si="53"/>
        <v/>
      </c>
      <c r="AI228" s="477" t="str">
        <f>IF($AC$228="","",IFERROR(INDEX($AZ$74:$AZ$119,MATCH($AH$228,$AY$74:$AY$119,0)),"AUTRE"))</f>
        <v/>
      </c>
      <c r="AJ228" s="482" t="str">
        <f>IF($AC$228="","",IFERROR(INDEX($BA$74:$BA$119,MATCH($AH$228,$AY$74:$AY$119,0)),1))</f>
        <v/>
      </c>
      <c r="AK228" s="482" t="str">
        <f t="shared" si="54"/>
        <v/>
      </c>
      <c r="AL228" s="477" t="str">
        <f>IF($AC$228="","",IFERROR(INDEX($BB$74:$BB$119,MATCH($AH$228,$AY$74:$AY$119,0)),$AH$228))</f>
        <v/>
      </c>
      <c r="AM228" s="483" t="str">
        <f t="shared" si="55"/>
        <v/>
      </c>
      <c r="AN228" s="484" t="str">
        <f t="shared" si="56"/>
        <v/>
      </c>
      <c r="AO228" s="473" t="str">
        <f t="shared" si="57"/>
        <v/>
      </c>
      <c r="AP228" s="473" t="str">
        <f t="shared" si="58"/>
        <v/>
      </c>
      <c r="AQ228" s="473" t="str">
        <f t="shared" si="59"/>
        <v/>
      </c>
      <c r="AR228" s="473" t="str">
        <f t="shared" si="60"/>
        <v/>
      </c>
      <c r="AS228" s="473" t="str">
        <f t="shared" si="61"/>
        <v/>
      </c>
      <c r="AT228" s="473" t="str">
        <f t="shared" si="62"/>
        <v/>
      </c>
      <c r="AU228" s="473" t="str">
        <f t="shared" si="63"/>
        <v/>
      </c>
      <c r="AZ228" s="31" t="s">
        <v>304</v>
      </c>
      <c r="BA228" s="34" t="s">
        <v>458</v>
      </c>
      <c r="BB228" s="499"/>
      <c r="BC228" s="271"/>
      <c r="BD228" s="279">
        <v>1</v>
      </c>
      <c r="BE228" s="271"/>
      <c r="BF228" s="271"/>
      <c r="BG228" s="271"/>
      <c r="BH228" s="271"/>
      <c r="BI228" s="271"/>
      <c r="BJ228" s="271"/>
      <c r="BK228" s="271"/>
      <c r="BL228" s="271"/>
    </row>
    <row r="229" spans="18:64" ht="21" customHeight="1" x14ac:dyDescent="0.25">
      <c r="R229" s="25" t="s">
        <v>6119</v>
      </c>
      <c r="S229" s="451"/>
      <c r="T229" s="31" t="s">
        <v>16</v>
      </c>
      <c r="V229" s="475">
        <v>5</v>
      </c>
      <c r="W229" s="475" t="str">
        <f>IF($AC$229="","",$W$216)</f>
        <v/>
      </c>
      <c r="X229" s="476" t="str">
        <f>IF($AC$229="","",$X$216)</f>
        <v/>
      </c>
      <c r="Y229" s="477" t="str">
        <f>IF($X$229="","",$Y$216)</f>
        <v/>
      </c>
      <c r="Z229" s="477" t="str">
        <f>IF($X$229="","",$Z$216)</f>
        <v/>
      </c>
      <c r="AA229" s="477" t="str">
        <f>IF($AC$229="","",ROW($A$229)-ROW($A$216))</f>
        <v/>
      </c>
      <c r="AB229" s="478"/>
      <c r="AC229" s="34"/>
      <c r="AD229" s="356"/>
      <c r="AE229" s="18"/>
      <c r="AF229" s="19"/>
      <c r="AG229" s="480" t="str">
        <f t="shared" si="52"/>
        <v/>
      </c>
      <c r="AH229" s="481" t="str">
        <f t="shared" si="53"/>
        <v/>
      </c>
      <c r="AI229" s="477" t="str">
        <f>IF($AC$229="","",IFERROR(INDEX($AZ$74:$AZ$119,MATCH($AH$229,$AY$74:$AY$119,0)),"AUTRE"))</f>
        <v/>
      </c>
      <c r="AJ229" s="482" t="str">
        <f>IF($AC$229="","",IFERROR(INDEX($BA$74:$BA$119,MATCH($AH$229,$AY$74:$AY$119,0)),1))</f>
        <v/>
      </c>
      <c r="AK229" s="482" t="str">
        <f t="shared" si="54"/>
        <v/>
      </c>
      <c r="AL229" s="477" t="str">
        <f>IF($AC$229="","",IFERROR(INDEX($BB$74:$BB$119,MATCH($AH$229,$AY$74:$AY$119,0)),$AH$229))</f>
        <v/>
      </c>
      <c r="AM229" s="483" t="str">
        <f t="shared" si="55"/>
        <v/>
      </c>
      <c r="AN229" s="484" t="str">
        <f t="shared" si="56"/>
        <v/>
      </c>
      <c r="AO229" s="473" t="str">
        <f t="shared" si="57"/>
        <v/>
      </c>
      <c r="AP229" s="473" t="str">
        <f t="shared" si="58"/>
        <v/>
      </c>
      <c r="AQ229" s="473" t="str">
        <f t="shared" si="59"/>
        <v/>
      </c>
      <c r="AR229" s="473" t="str">
        <f t="shared" si="60"/>
        <v/>
      </c>
      <c r="AS229" s="473" t="str">
        <f t="shared" si="61"/>
        <v/>
      </c>
      <c r="AT229" s="473" t="str">
        <f t="shared" si="62"/>
        <v/>
      </c>
      <c r="AU229" s="473" t="str">
        <f t="shared" si="63"/>
        <v/>
      </c>
      <c r="AZ229" s="31" t="s">
        <v>352</v>
      </c>
      <c r="BA229" s="490"/>
      <c r="BB229" s="499"/>
      <c r="BC229" s="271"/>
      <c r="BD229" s="279">
        <v>1</v>
      </c>
      <c r="BE229" s="271"/>
      <c r="BF229" s="271"/>
      <c r="BG229" s="271"/>
      <c r="BH229" s="271"/>
      <c r="BI229" s="271"/>
      <c r="BJ229" s="271"/>
      <c r="BK229" s="271"/>
      <c r="BL229" s="271"/>
    </row>
    <row r="230" spans="18:64" ht="21" customHeight="1" x14ac:dyDescent="0.25">
      <c r="R230" s="34" t="s">
        <v>6120</v>
      </c>
      <c r="S230" s="451"/>
      <c r="T230" s="31" t="s">
        <v>17</v>
      </c>
      <c r="V230" s="475">
        <v>5</v>
      </c>
      <c r="W230" s="475" t="str">
        <f>IF($AC$230="","",$W$216)</f>
        <v/>
      </c>
      <c r="X230" s="476" t="str">
        <f>IF($AC$230="","",$X$216)</f>
        <v/>
      </c>
      <c r="Y230" s="477" t="str">
        <f>IF($X$230="","",$Y$216)</f>
        <v/>
      </c>
      <c r="Z230" s="477" t="str">
        <f>IF($X$230="","",$Z$216)</f>
        <v/>
      </c>
      <c r="AA230" s="477" t="str">
        <f>IF($AC$230="","",ROW($A$230)-ROW($A$216))</f>
        <v/>
      </c>
      <c r="AB230" s="478"/>
      <c r="AC230" s="34"/>
      <c r="AD230" s="356"/>
      <c r="AE230" s="18"/>
      <c r="AF230" s="19"/>
      <c r="AG230" s="480" t="str">
        <f t="shared" si="52"/>
        <v/>
      </c>
      <c r="AH230" s="481" t="str">
        <f t="shared" si="53"/>
        <v/>
      </c>
      <c r="AI230" s="477" t="str">
        <f>IF($AC$230="","",IFERROR(INDEX($AZ$74:$AZ$119,MATCH($AH$230,$AY$74:$AY$119,0)),"AUTRE"))</f>
        <v/>
      </c>
      <c r="AJ230" s="482" t="str">
        <f>IF($AC$230="","",IFERROR(INDEX($BA$74:$BA$119,MATCH($AH$230,$AY$74:$AY$119,0)),1))</f>
        <v/>
      </c>
      <c r="AK230" s="482" t="str">
        <f t="shared" si="54"/>
        <v/>
      </c>
      <c r="AL230" s="477" t="str">
        <f>IF($AC$230="","",IFERROR(INDEX($BB$74:$BB$119,MATCH($AH$230,$AY$74:$AY$119,0)),$AH$230))</f>
        <v/>
      </c>
      <c r="AM230" s="483" t="str">
        <f t="shared" si="55"/>
        <v/>
      </c>
      <c r="AN230" s="484" t="str">
        <f t="shared" si="56"/>
        <v/>
      </c>
      <c r="AO230" s="473" t="str">
        <f t="shared" si="57"/>
        <v/>
      </c>
      <c r="AP230" s="473" t="str">
        <f t="shared" si="58"/>
        <v/>
      </c>
      <c r="AQ230" s="473" t="str">
        <f t="shared" si="59"/>
        <v/>
      </c>
      <c r="AR230" s="473" t="str">
        <f t="shared" si="60"/>
        <v/>
      </c>
      <c r="AS230" s="473" t="str">
        <f t="shared" si="61"/>
        <v/>
      </c>
      <c r="AT230" s="473" t="str">
        <f t="shared" si="62"/>
        <v/>
      </c>
      <c r="AU230" s="473" t="str">
        <f t="shared" si="63"/>
        <v/>
      </c>
      <c r="AZ230" s="31" t="s">
        <v>27</v>
      </c>
      <c r="BA230" s="25" t="s">
        <v>6119</v>
      </c>
      <c r="BB230" s="499"/>
      <c r="BC230" s="271"/>
      <c r="BD230" s="279">
        <v>1</v>
      </c>
      <c r="BE230" s="271"/>
      <c r="BF230" s="271"/>
      <c r="BG230" s="271"/>
      <c r="BH230" s="271"/>
      <c r="BI230" s="271"/>
      <c r="BJ230" s="271"/>
      <c r="BK230" s="271"/>
      <c r="BL230" s="271"/>
    </row>
    <row r="231" spans="18:64" ht="21" customHeight="1" x14ac:dyDescent="0.25">
      <c r="R231" s="34" t="s">
        <v>6121</v>
      </c>
      <c r="S231" s="451"/>
      <c r="T231" s="31" t="s">
        <v>18</v>
      </c>
      <c r="V231" s="475">
        <v>5</v>
      </c>
      <c r="W231" s="475" t="str">
        <f>IF($AC$231="","",$W$216)</f>
        <v/>
      </c>
      <c r="X231" s="476" t="str">
        <f>IF($AC$231="","",$X$216)</f>
        <v/>
      </c>
      <c r="Y231" s="477" t="str">
        <f>IF($X$231="","",$Y$216)</f>
        <v/>
      </c>
      <c r="Z231" s="477" t="str">
        <f>IF($X$231="","",$Z$216)</f>
        <v/>
      </c>
      <c r="AA231" s="477" t="str">
        <f>IF($AC$231="","",ROW($A$231)-ROW($A$216))</f>
        <v/>
      </c>
      <c r="AB231" s="478"/>
      <c r="AC231" s="34"/>
      <c r="AD231" s="356"/>
      <c r="AE231" s="18"/>
      <c r="AF231" s="19"/>
      <c r="AG231" s="480" t="str">
        <f t="shared" si="52"/>
        <v/>
      </c>
      <c r="AH231" s="481" t="str">
        <f t="shared" si="53"/>
        <v/>
      </c>
      <c r="AI231" s="477" t="str">
        <f>IF($AC$231="","",IFERROR(INDEX($AZ$74:$AZ$119,MATCH($AH$231,$AY$74:$AY$119,0)),"AUTRE"))</f>
        <v/>
      </c>
      <c r="AJ231" s="482" t="str">
        <f>IF($AC$231="","",IFERROR(INDEX($BA$74:$BA$119,MATCH($AH$231,$AY$74:$AY$119,0)),1))</f>
        <v/>
      </c>
      <c r="AK231" s="482" t="str">
        <f t="shared" si="54"/>
        <v/>
      </c>
      <c r="AL231" s="477" t="str">
        <f>IF($AC$231="","",IFERROR(INDEX($BB$74:$BB$119,MATCH($AH$231,$AY$74:$AY$119,0)),$AH$231))</f>
        <v/>
      </c>
      <c r="AM231" s="483" t="str">
        <f t="shared" si="55"/>
        <v/>
      </c>
      <c r="AN231" s="484" t="str">
        <f t="shared" si="56"/>
        <v/>
      </c>
      <c r="AO231" s="473" t="str">
        <f t="shared" si="57"/>
        <v/>
      </c>
      <c r="AP231" s="473" t="str">
        <f t="shared" si="58"/>
        <v/>
      </c>
      <c r="AQ231" s="473" t="str">
        <f t="shared" si="59"/>
        <v/>
      </c>
      <c r="AR231" s="473" t="str">
        <f t="shared" si="60"/>
        <v/>
      </c>
      <c r="AS231" s="473" t="str">
        <f t="shared" si="61"/>
        <v/>
      </c>
      <c r="AT231" s="473" t="str">
        <f t="shared" si="62"/>
        <v/>
      </c>
      <c r="AU231" s="473" t="str">
        <f t="shared" si="63"/>
        <v/>
      </c>
      <c r="AZ231" s="31" t="s">
        <v>28</v>
      </c>
      <c r="BA231" s="34" t="s">
        <v>6120</v>
      </c>
      <c r="BB231" s="499"/>
      <c r="BC231" s="271"/>
      <c r="BD231" s="279">
        <v>1</v>
      </c>
      <c r="BE231" s="271"/>
      <c r="BF231" s="271"/>
      <c r="BG231" s="271"/>
      <c r="BH231" s="271"/>
      <c r="BI231" s="271"/>
      <c r="BJ231" s="271"/>
      <c r="BK231" s="271"/>
      <c r="BL231" s="271"/>
    </row>
    <row r="232" spans="18:64" ht="21" customHeight="1" x14ac:dyDescent="0.25">
      <c r="R232" s="34" t="s">
        <v>6122</v>
      </c>
      <c r="S232" s="451"/>
      <c r="T232" s="31" t="s">
        <v>19</v>
      </c>
      <c r="V232" s="475">
        <v>5</v>
      </c>
      <c r="W232" s="475" t="str">
        <f>IF($AC$232="","",$W$216)</f>
        <v/>
      </c>
      <c r="X232" s="476" t="str">
        <f>IF($AC$232="","",$X$216)</f>
        <v/>
      </c>
      <c r="Y232" s="477" t="str">
        <f>IF($X$232="","",$Y$216)</f>
        <v/>
      </c>
      <c r="Z232" s="477" t="str">
        <f>IF($X$232="","",$Z$216)</f>
        <v/>
      </c>
      <c r="AA232" s="477" t="str">
        <f>IF($AC$232="","",ROW($A$232)-ROW($A$216))</f>
        <v/>
      </c>
      <c r="AB232" s="478"/>
      <c r="AC232" s="34"/>
      <c r="AD232" s="356"/>
      <c r="AE232" s="18"/>
      <c r="AF232" s="19"/>
      <c r="AG232" s="480" t="str">
        <f t="shared" si="52"/>
        <v/>
      </c>
      <c r="AH232" s="481" t="str">
        <f t="shared" si="53"/>
        <v/>
      </c>
      <c r="AI232" s="477" t="str">
        <f>IF($AC$232="","",IFERROR(INDEX($AZ$74:$AZ$119,MATCH($AH$232,$AY$74:$AY$119,0)),"AUTRE"))</f>
        <v/>
      </c>
      <c r="AJ232" s="482" t="str">
        <f>IF($AC$232="","",IFERROR(INDEX($BA$74:$BA$119,MATCH($AH$232,$AY$74:$AY$119,0)),1))</f>
        <v/>
      </c>
      <c r="AK232" s="482" t="str">
        <f t="shared" si="54"/>
        <v/>
      </c>
      <c r="AL232" s="477" t="str">
        <f>IF($AC$232="","",IFERROR(INDEX($BB$74:$BB$119,MATCH($AH$232,$AY$74:$AY$119,0)),$AH$232))</f>
        <v/>
      </c>
      <c r="AM232" s="483" t="str">
        <f t="shared" si="55"/>
        <v/>
      </c>
      <c r="AN232" s="484" t="str">
        <f t="shared" si="56"/>
        <v/>
      </c>
      <c r="AO232" s="473" t="str">
        <f t="shared" si="57"/>
        <v/>
      </c>
      <c r="AP232" s="473" t="str">
        <f t="shared" si="58"/>
        <v/>
      </c>
      <c r="AQ232" s="473" t="str">
        <f t="shared" si="59"/>
        <v/>
      </c>
      <c r="AR232" s="473" t="str">
        <f t="shared" si="60"/>
        <v/>
      </c>
      <c r="AS232" s="473" t="str">
        <f t="shared" si="61"/>
        <v/>
      </c>
      <c r="AT232" s="473" t="str">
        <f t="shared" si="62"/>
        <v/>
      </c>
      <c r="AU232" s="473" t="str">
        <f t="shared" si="63"/>
        <v/>
      </c>
      <c r="AZ232" s="31" t="s">
        <v>29</v>
      </c>
      <c r="BA232" s="34" t="s">
        <v>6121</v>
      </c>
      <c r="BB232" s="499"/>
      <c r="BC232" s="271"/>
      <c r="BD232" s="279">
        <v>1</v>
      </c>
      <c r="BE232" s="271"/>
      <c r="BF232" s="271"/>
      <c r="BG232" s="271"/>
      <c r="BH232" s="271"/>
      <c r="BI232" s="271"/>
      <c r="BJ232" s="271"/>
      <c r="BK232" s="271"/>
      <c r="BL232" s="271"/>
    </row>
    <row r="233" spans="18:64" ht="21" customHeight="1" x14ac:dyDescent="0.25">
      <c r="R233" s="34" t="s">
        <v>6123</v>
      </c>
      <c r="S233" s="451"/>
      <c r="T233" s="31" t="s">
        <v>211</v>
      </c>
      <c r="V233" s="475">
        <v>5</v>
      </c>
      <c r="W233" s="475" t="str">
        <f>IF($AC$233="","",$W$216)</f>
        <v/>
      </c>
      <c r="X233" s="476" t="str">
        <f>IF($AC$233="","",$X$216)</f>
        <v/>
      </c>
      <c r="Y233" s="477" t="str">
        <f>IF($X$233="","",$Y$216)</f>
        <v/>
      </c>
      <c r="Z233" s="477" t="str">
        <f>IF($X$233="","",$Z$216)</f>
        <v/>
      </c>
      <c r="AA233" s="477" t="str">
        <f>IF($AC$233="","",ROW($A$233)-ROW($A$216))</f>
        <v/>
      </c>
      <c r="AB233" s="478"/>
      <c r="AC233" s="34"/>
      <c r="AD233" s="356"/>
      <c r="AE233" s="18"/>
      <c r="AF233" s="19"/>
      <c r="AG233" s="480" t="str">
        <f t="shared" si="52"/>
        <v/>
      </c>
      <c r="AH233" s="481" t="str">
        <f t="shared" si="53"/>
        <v/>
      </c>
      <c r="AI233" s="477" t="str">
        <f>IF($AC$233="","",IFERROR(INDEX($AZ$74:$AZ$119,MATCH($AH$233,$AY$74:$AY$119,0)),"AUTRE"))</f>
        <v/>
      </c>
      <c r="AJ233" s="482" t="str">
        <f>IF($AC$233="","",IFERROR(INDEX($BA$74:$BA$119,MATCH($AH$233,$AY$74:$AY$119,0)),1))</f>
        <v/>
      </c>
      <c r="AK233" s="482" t="str">
        <f t="shared" si="54"/>
        <v/>
      </c>
      <c r="AL233" s="477" t="str">
        <f>IF($AC$233="","",IFERROR(INDEX($BB$74:$BB$119,MATCH($AH$233,$AY$74:$AY$119,0)),$AH$233))</f>
        <v/>
      </c>
      <c r="AM233" s="483" t="str">
        <f t="shared" si="55"/>
        <v/>
      </c>
      <c r="AN233" s="484" t="str">
        <f t="shared" si="56"/>
        <v/>
      </c>
      <c r="AO233" s="473" t="str">
        <f t="shared" si="57"/>
        <v/>
      </c>
      <c r="AP233" s="473" t="str">
        <f t="shared" si="58"/>
        <v/>
      </c>
      <c r="AQ233" s="473" t="str">
        <f t="shared" si="59"/>
        <v/>
      </c>
      <c r="AR233" s="473" t="str">
        <f t="shared" si="60"/>
        <v/>
      </c>
      <c r="AS233" s="473" t="str">
        <f t="shared" si="61"/>
        <v/>
      </c>
      <c r="AT233" s="473" t="str">
        <f t="shared" si="62"/>
        <v/>
      </c>
      <c r="AU233" s="473" t="str">
        <f t="shared" si="63"/>
        <v/>
      </c>
      <c r="AZ233" s="31" t="s">
        <v>30</v>
      </c>
      <c r="BA233" s="34" t="s">
        <v>6122</v>
      </c>
      <c r="BB233" s="499"/>
      <c r="BC233" s="271"/>
      <c r="BD233" s="279">
        <v>1</v>
      </c>
      <c r="BE233" s="271"/>
      <c r="BF233" s="271"/>
      <c r="BG233" s="271"/>
      <c r="BH233" s="271"/>
      <c r="BI233" s="271"/>
      <c r="BJ233" s="271"/>
      <c r="BK233" s="271"/>
      <c r="BL233" s="271"/>
    </row>
    <row r="234" spans="18:64" ht="21" customHeight="1" x14ac:dyDescent="0.25">
      <c r="R234" s="34" t="s">
        <v>6124</v>
      </c>
      <c r="S234" s="451"/>
      <c r="T234" s="31" t="s">
        <v>20</v>
      </c>
      <c r="V234" s="475">
        <v>5</v>
      </c>
      <c r="W234" s="475" t="str">
        <f>IF($AC$234="","",$W$216)</f>
        <v/>
      </c>
      <c r="X234" s="476" t="str">
        <f>IF($AC$234="","",$X$216)</f>
        <v/>
      </c>
      <c r="Y234" s="477" t="str">
        <f>IF($X$234="","",$Y$216)</f>
        <v/>
      </c>
      <c r="Z234" s="477" t="str">
        <f>IF($X$234="","",$Z$216)</f>
        <v/>
      </c>
      <c r="AA234" s="477" t="str">
        <f>IF($AC$234="","",ROW($A$234)-ROW($A$216))</f>
        <v/>
      </c>
      <c r="AB234" s="478"/>
      <c r="AC234" s="34"/>
      <c r="AD234" s="356"/>
      <c r="AE234" s="18"/>
      <c r="AF234" s="19"/>
      <c r="AG234" s="480" t="str">
        <f t="shared" si="52"/>
        <v/>
      </c>
      <c r="AH234" s="481" t="str">
        <f t="shared" si="53"/>
        <v/>
      </c>
      <c r="AI234" s="477" t="str">
        <f>IF($AC$234="","",IFERROR(INDEX($AZ$74:$AZ$119,MATCH($AH$234,$AY$74:$AY$119,0)),"AUTRE"))</f>
        <v/>
      </c>
      <c r="AJ234" s="482" t="str">
        <f>IF($AC$234="","",IFERROR(INDEX($BA$74:$BA$119,MATCH($AH$234,$AY$74:$AY$119,0)),1))</f>
        <v/>
      </c>
      <c r="AK234" s="482" t="str">
        <f t="shared" si="54"/>
        <v/>
      </c>
      <c r="AL234" s="477" t="str">
        <f>IF($AC$234="","",IFERROR(INDEX($BB$74:$BB$119,MATCH($AH$234,$AY$74:$AY$119,0)),$AH$234))</f>
        <v/>
      </c>
      <c r="AM234" s="483" t="str">
        <f t="shared" si="55"/>
        <v/>
      </c>
      <c r="AN234" s="484" t="str">
        <f t="shared" si="56"/>
        <v/>
      </c>
      <c r="AO234" s="473" t="str">
        <f t="shared" si="57"/>
        <v/>
      </c>
      <c r="AP234" s="473" t="str">
        <f t="shared" si="58"/>
        <v/>
      </c>
      <c r="AQ234" s="473" t="str">
        <f t="shared" si="59"/>
        <v/>
      </c>
      <c r="AR234" s="473" t="str">
        <f t="shared" si="60"/>
        <v/>
      </c>
      <c r="AS234" s="473" t="str">
        <f t="shared" si="61"/>
        <v/>
      </c>
      <c r="AT234" s="473" t="str">
        <f t="shared" si="62"/>
        <v/>
      </c>
      <c r="AU234" s="473" t="str">
        <f t="shared" si="63"/>
        <v/>
      </c>
      <c r="AZ234" s="32" t="s">
        <v>33</v>
      </c>
      <c r="BA234" s="34" t="s">
        <v>6123</v>
      </c>
      <c r="BB234" s="499"/>
      <c r="BC234" s="271"/>
      <c r="BD234" s="279">
        <v>1</v>
      </c>
      <c r="BE234" s="271"/>
      <c r="BF234" s="271"/>
      <c r="BG234" s="271"/>
      <c r="BH234" s="271"/>
      <c r="BI234" s="271"/>
      <c r="BJ234" s="271"/>
      <c r="BK234" s="271"/>
      <c r="BL234" s="271"/>
    </row>
    <row r="235" spans="18:64" ht="21" customHeight="1" x14ac:dyDescent="0.25">
      <c r="R235" s="34" t="s">
        <v>6125</v>
      </c>
      <c r="S235" s="451"/>
      <c r="T235" s="31" t="s">
        <v>304</v>
      </c>
      <c r="V235" s="475">
        <v>5</v>
      </c>
      <c r="W235" s="475" t="str">
        <f>IF($AC$235="","",$W$216)</f>
        <v/>
      </c>
      <c r="X235" s="476" t="str">
        <f>IF($AC$235="","",$X$216)</f>
        <v/>
      </c>
      <c r="Y235" s="477" t="str">
        <f>IF($X$235="","",$Y$216)</f>
        <v/>
      </c>
      <c r="Z235" s="477" t="str">
        <f>IF($X$235="","",$Z$216)</f>
        <v/>
      </c>
      <c r="AA235" s="477" t="str">
        <f>IF($AC$235="","",ROW($A$235)-ROW($A$216))</f>
        <v/>
      </c>
      <c r="AB235" s="478"/>
      <c r="AC235" s="34"/>
      <c r="AD235" s="356"/>
      <c r="AE235" s="18"/>
      <c r="AF235" s="19"/>
      <c r="AG235" s="480" t="str">
        <f t="shared" si="52"/>
        <v/>
      </c>
      <c r="AH235" s="481" t="str">
        <f t="shared" si="53"/>
        <v/>
      </c>
      <c r="AI235" s="477" t="str">
        <f>IF($AC$235="","",IFERROR(INDEX($AZ$74:$AZ$119,MATCH($AH$235,$AY$74:$AY$119,0)),"AUTRE"))</f>
        <v/>
      </c>
      <c r="AJ235" s="482" t="str">
        <f>IF($AC$235="","",IFERROR(INDEX($BA$74:$BA$119,MATCH($AH$235,$AY$74:$AY$119,0)),1))</f>
        <v/>
      </c>
      <c r="AK235" s="482" t="str">
        <f t="shared" si="54"/>
        <v/>
      </c>
      <c r="AL235" s="477" t="str">
        <f>IF($AC$235="","",IFERROR(INDEX($BB$74:$BB$119,MATCH($AH$235,$AY$74:$AY$119,0)),$AH$235))</f>
        <v/>
      </c>
      <c r="AM235" s="483" t="str">
        <f t="shared" si="55"/>
        <v/>
      </c>
      <c r="AN235" s="484" t="str">
        <f t="shared" si="56"/>
        <v/>
      </c>
      <c r="AO235" s="473" t="str">
        <f t="shared" si="57"/>
        <v/>
      </c>
      <c r="AP235" s="473" t="str">
        <f t="shared" si="58"/>
        <v/>
      </c>
      <c r="AQ235" s="473" t="str">
        <f t="shared" si="59"/>
        <v/>
      </c>
      <c r="AR235" s="473" t="str">
        <f t="shared" si="60"/>
        <v/>
      </c>
      <c r="AS235" s="473" t="str">
        <f t="shared" si="61"/>
        <v/>
      </c>
      <c r="AT235" s="473" t="str">
        <f t="shared" si="62"/>
        <v/>
      </c>
      <c r="AU235" s="473" t="str">
        <f t="shared" si="63"/>
        <v/>
      </c>
      <c r="AZ235" s="32" t="s">
        <v>8125</v>
      </c>
      <c r="BA235" s="34" t="s">
        <v>6124</v>
      </c>
      <c r="BB235" s="499"/>
      <c r="BC235" s="271"/>
      <c r="BD235" s="279">
        <v>1</v>
      </c>
      <c r="BE235" s="271"/>
      <c r="BF235" s="271"/>
      <c r="BG235" s="271"/>
      <c r="BH235" s="271"/>
      <c r="BI235" s="271"/>
      <c r="BJ235" s="271"/>
      <c r="BK235" s="271"/>
      <c r="BL235" s="271"/>
    </row>
    <row r="236" spans="18:64" ht="21" customHeight="1" x14ac:dyDescent="0.25">
      <c r="R236" s="34" t="s">
        <v>6126</v>
      </c>
      <c r="S236" s="451"/>
      <c r="T236" s="31" t="s">
        <v>352</v>
      </c>
      <c r="V236" s="475">
        <v>5</v>
      </c>
      <c r="W236" s="475" t="str">
        <f>IF($AC$236="","",$W$216)</f>
        <v/>
      </c>
      <c r="X236" s="476" t="str">
        <f>IF($AC$236="","",$X$216)</f>
        <v/>
      </c>
      <c r="Y236" s="477" t="str">
        <f>IF($X$236="","",$Y$216)</f>
        <v/>
      </c>
      <c r="Z236" s="477" t="str">
        <f>IF($X$236="","",$Z$216)</f>
        <v/>
      </c>
      <c r="AA236" s="477" t="str">
        <f>IF($AC$236="","",ROW($A$236)-ROW($A$216))</f>
        <v/>
      </c>
      <c r="AB236" s="478"/>
      <c r="AC236" s="34"/>
      <c r="AD236" s="356"/>
      <c r="AE236" s="18"/>
      <c r="AF236" s="19"/>
      <c r="AG236" s="480" t="str">
        <f t="shared" si="52"/>
        <v/>
      </c>
      <c r="AH236" s="481" t="str">
        <f t="shared" si="53"/>
        <v/>
      </c>
      <c r="AI236" s="477" t="str">
        <f>IF($AC$236="","",IFERROR(INDEX($AZ$74:$AZ$119,MATCH($AH$236,$AY$74:$AY$119,0)),"AUTRE"))</f>
        <v/>
      </c>
      <c r="AJ236" s="482" t="str">
        <f>IF($AC$236="","",IFERROR(INDEX($BA$74:$BA$119,MATCH($AH$236,$AY$74:$AY$119,0)),1))</f>
        <v/>
      </c>
      <c r="AK236" s="482" t="str">
        <f t="shared" si="54"/>
        <v/>
      </c>
      <c r="AL236" s="477" t="str">
        <f>IF($AC$236="","",IFERROR(INDEX($BB$74:$BB$119,MATCH($AH$236,$AY$74:$AY$119,0)),$AH$236))</f>
        <v/>
      </c>
      <c r="AM236" s="483" t="str">
        <f t="shared" si="55"/>
        <v/>
      </c>
      <c r="AN236" s="484" t="str">
        <f t="shared" si="56"/>
        <v/>
      </c>
      <c r="AO236" s="473" t="str">
        <f t="shared" si="57"/>
        <v/>
      </c>
      <c r="AP236" s="473" t="str">
        <f t="shared" si="58"/>
        <v/>
      </c>
      <c r="AQ236" s="473" t="str">
        <f t="shared" si="59"/>
        <v/>
      </c>
      <c r="AR236" s="473" t="str">
        <f t="shared" si="60"/>
        <v/>
      </c>
      <c r="AS236" s="473" t="str">
        <f t="shared" si="61"/>
        <v/>
      </c>
      <c r="AT236" s="473" t="str">
        <f t="shared" si="62"/>
        <v/>
      </c>
      <c r="AU236" s="473" t="str">
        <f t="shared" si="63"/>
        <v/>
      </c>
      <c r="AZ236" s="32" t="s">
        <v>8127</v>
      </c>
      <c r="BA236" s="34" t="s">
        <v>6125</v>
      </c>
      <c r="BB236" s="499"/>
      <c r="BC236" s="271"/>
      <c r="BD236" s="279">
        <v>1</v>
      </c>
      <c r="BE236" s="271"/>
      <c r="BF236" s="271"/>
      <c r="BG236" s="271"/>
      <c r="BH236" s="271"/>
      <c r="BI236" s="271"/>
      <c r="BJ236" s="271"/>
      <c r="BK236" s="271"/>
      <c r="BL236" s="271"/>
    </row>
    <row r="237" spans="18:64" ht="21" customHeight="1" x14ac:dyDescent="0.25">
      <c r="R237" s="34" t="s">
        <v>6127</v>
      </c>
      <c r="S237" s="451"/>
      <c r="T237" s="31" t="s">
        <v>25</v>
      </c>
      <c r="V237" s="475">
        <v>5</v>
      </c>
      <c r="W237" s="475" t="str">
        <f>IF($AC$237="","",$W$216)</f>
        <v/>
      </c>
      <c r="X237" s="476" t="str">
        <f>IF($AC$237="","",$X$216)</f>
        <v/>
      </c>
      <c r="Y237" s="477" t="str">
        <f>IF($X$237="","",$Y$216)</f>
        <v/>
      </c>
      <c r="Z237" s="477" t="str">
        <f>IF($X$237="","",$Z$216)</f>
        <v/>
      </c>
      <c r="AA237" s="477" t="str">
        <f>IF($AC$237="","",ROW($A$237)-ROW($A$216))</f>
        <v/>
      </c>
      <c r="AB237" s="478"/>
      <c r="AC237" s="34"/>
      <c r="AD237" s="356"/>
      <c r="AE237" s="18"/>
      <c r="AF237" s="19"/>
      <c r="AG237" s="480" t="str">
        <f t="shared" si="52"/>
        <v/>
      </c>
      <c r="AH237" s="481" t="str">
        <f t="shared" si="53"/>
        <v/>
      </c>
      <c r="AI237" s="477" t="str">
        <f>IF($AC$237="","",IFERROR(INDEX($AZ$74:$AZ$119,MATCH($AH$237,$AY$74:$AY$119,0)),"AUTRE"))</f>
        <v/>
      </c>
      <c r="AJ237" s="482" t="str">
        <f>IF($AC$237="","",IFERROR(INDEX($BA$74:$BA$119,MATCH($AH$237,$AY$74:$AY$119,0)),1))</f>
        <v/>
      </c>
      <c r="AK237" s="482" t="str">
        <f t="shared" si="54"/>
        <v/>
      </c>
      <c r="AL237" s="477" t="str">
        <f>IF($AC$237="","",IFERROR(INDEX($BB$74:$BB$119,MATCH($AH$237,$AY$74:$AY$119,0)),$AH$237))</f>
        <v/>
      </c>
      <c r="AM237" s="483" t="str">
        <f t="shared" si="55"/>
        <v/>
      </c>
      <c r="AN237" s="484" t="str">
        <f t="shared" si="56"/>
        <v/>
      </c>
      <c r="AO237" s="473" t="str">
        <f t="shared" si="57"/>
        <v/>
      </c>
      <c r="AP237" s="473" t="str">
        <f t="shared" si="58"/>
        <v/>
      </c>
      <c r="AQ237" s="473" t="str">
        <f t="shared" si="59"/>
        <v/>
      </c>
      <c r="AR237" s="473" t="str">
        <f t="shared" si="60"/>
        <v/>
      </c>
      <c r="AS237" s="473" t="str">
        <f t="shared" si="61"/>
        <v/>
      </c>
      <c r="AT237" s="473" t="str">
        <f t="shared" si="62"/>
        <v/>
      </c>
      <c r="AU237" s="473" t="str">
        <f t="shared" si="63"/>
        <v/>
      </c>
      <c r="AZ237" s="32" t="s">
        <v>320</v>
      </c>
      <c r="BA237" s="34" t="s">
        <v>6126</v>
      </c>
      <c r="BB237" s="499"/>
      <c r="BC237" s="271"/>
      <c r="BD237" s="279">
        <v>1</v>
      </c>
      <c r="BE237" s="271"/>
      <c r="BF237" s="271"/>
      <c r="BG237" s="271"/>
      <c r="BH237" s="271"/>
      <c r="BI237" s="271"/>
      <c r="BJ237" s="271"/>
      <c r="BK237" s="271"/>
      <c r="BL237" s="271"/>
    </row>
    <row r="238" spans="18:64" ht="21" customHeight="1" x14ac:dyDescent="0.25">
      <c r="R238" s="25" t="s">
        <v>6128</v>
      </c>
      <c r="S238" s="451"/>
      <c r="T238" s="31" t="s">
        <v>26</v>
      </c>
      <c r="V238" s="475">
        <v>5</v>
      </c>
      <c r="W238" s="475" t="str">
        <f>IF($AC$238="","",$W$216)</f>
        <v/>
      </c>
      <c r="X238" s="476" t="str">
        <f>IF($AC$238="","",$X$216)</f>
        <v/>
      </c>
      <c r="Y238" s="477" t="str">
        <f>IF($X$238="","",$Y$216)</f>
        <v/>
      </c>
      <c r="Z238" s="477" t="str">
        <f>IF($X$238="","",$Z$216)</f>
        <v/>
      </c>
      <c r="AA238" s="477" t="str">
        <f>IF($AC$238="","",ROW($A$238)-ROW($A$216))</f>
        <v/>
      </c>
      <c r="AB238" s="478"/>
      <c r="AC238" s="34"/>
      <c r="AD238" s="356"/>
      <c r="AE238" s="18"/>
      <c r="AF238" s="19"/>
      <c r="AG238" s="480" t="str">
        <f t="shared" si="52"/>
        <v/>
      </c>
      <c r="AH238" s="481" t="str">
        <f t="shared" si="53"/>
        <v/>
      </c>
      <c r="AI238" s="477" t="str">
        <f>IF($AC$238="","",IFERROR(INDEX($AZ$74:$AZ$119,MATCH($AH$238,$AY$74:$AY$119,0)),"AUTRE"))</f>
        <v/>
      </c>
      <c r="AJ238" s="482" t="str">
        <f>IF($AC$238="","",IFERROR(INDEX($BA$74:$BA$119,MATCH($AH$238,$AY$74:$AY$119,0)),1))</f>
        <v/>
      </c>
      <c r="AK238" s="482" t="str">
        <f t="shared" si="54"/>
        <v/>
      </c>
      <c r="AL238" s="477" t="str">
        <f>IF($AC$238="","",IFERROR(INDEX($BB$74:$BB$119,MATCH($AH$238,$AY$74:$AY$119,0)),$AH$238))</f>
        <v/>
      </c>
      <c r="AM238" s="483" t="str">
        <f t="shared" si="55"/>
        <v/>
      </c>
      <c r="AN238" s="484" t="str">
        <f t="shared" si="56"/>
        <v/>
      </c>
      <c r="AO238" s="473" t="str">
        <f t="shared" si="57"/>
        <v/>
      </c>
      <c r="AP238" s="473" t="str">
        <f t="shared" si="58"/>
        <v/>
      </c>
      <c r="AQ238" s="473" t="str">
        <f t="shared" si="59"/>
        <v/>
      </c>
      <c r="AR238" s="473" t="str">
        <f t="shared" si="60"/>
        <v/>
      </c>
      <c r="AS238" s="473" t="str">
        <f t="shared" si="61"/>
        <v/>
      </c>
      <c r="AT238" s="473" t="str">
        <f t="shared" si="62"/>
        <v/>
      </c>
      <c r="AU238" s="473" t="str">
        <f t="shared" si="63"/>
        <v/>
      </c>
      <c r="AZ238" s="32" t="s">
        <v>318</v>
      </c>
      <c r="BA238" s="34" t="s">
        <v>6127</v>
      </c>
      <c r="BB238" s="499"/>
      <c r="BC238" s="271"/>
      <c r="BD238" s="279">
        <v>1</v>
      </c>
      <c r="BE238" s="271"/>
      <c r="BF238" s="271"/>
      <c r="BG238" s="271"/>
      <c r="BH238" s="271"/>
      <c r="BI238" s="271"/>
      <c r="BJ238" s="271"/>
      <c r="BK238" s="271"/>
      <c r="BL238" s="271"/>
    </row>
    <row r="239" spans="18:64" ht="21" customHeight="1" x14ac:dyDescent="0.25">
      <c r="R239" s="34" t="s">
        <v>474</v>
      </c>
      <c r="S239" s="451"/>
      <c r="T239" s="31" t="s">
        <v>27</v>
      </c>
      <c r="V239" s="475">
        <v>5</v>
      </c>
      <c r="W239" s="475" t="str">
        <f>IF($AC$239="","",$W$216)</f>
        <v/>
      </c>
      <c r="X239" s="476" t="str">
        <f>IF($AC$239="","",$X$216)</f>
        <v/>
      </c>
      <c r="Y239" s="477" t="str">
        <f>IF($X$239="","",$Y$216)</f>
        <v/>
      </c>
      <c r="Z239" s="477" t="str">
        <f>IF($X$239="","",$Z$216)</f>
        <v/>
      </c>
      <c r="AA239" s="477" t="str">
        <f>IF($AC$239="","",ROW($A$239)-ROW($A$216))</f>
        <v/>
      </c>
      <c r="AB239" s="478"/>
      <c r="AC239" s="34"/>
      <c r="AD239" s="356"/>
      <c r="AE239" s="18"/>
      <c r="AF239" s="19"/>
      <c r="AG239" s="480" t="str">
        <f t="shared" si="52"/>
        <v/>
      </c>
      <c r="AH239" s="481" t="str">
        <f t="shared" si="53"/>
        <v/>
      </c>
      <c r="AI239" s="477" t="str">
        <f>IF($AC$239="","",IFERROR(INDEX($AZ$74:$AZ$119,MATCH($AH$239,$AY$74:$AY$119,0)),"AUTRE"))</f>
        <v/>
      </c>
      <c r="AJ239" s="482" t="str">
        <f>IF($AC$239="","",IFERROR(INDEX($BA$74:$BA$119,MATCH($AH$239,$AY$74:$AY$119,0)),1))</f>
        <v/>
      </c>
      <c r="AK239" s="482" t="str">
        <f t="shared" si="54"/>
        <v/>
      </c>
      <c r="AL239" s="477" t="str">
        <f>IF($AC$239="","",IFERROR(INDEX($BB$74:$BB$119,MATCH($AH$239,$AY$74:$AY$119,0)),$AH$239))</f>
        <v/>
      </c>
      <c r="AM239" s="483" t="str">
        <f t="shared" si="55"/>
        <v/>
      </c>
      <c r="AN239" s="484" t="str">
        <f t="shared" si="56"/>
        <v/>
      </c>
      <c r="AO239" s="473" t="str">
        <f t="shared" si="57"/>
        <v/>
      </c>
      <c r="AP239" s="473" t="str">
        <f t="shared" si="58"/>
        <v/>
      </c>
      <c r="AQ239" s="473" t="str">
        <f t="shared" si="59"/>
        <v/>
      </c>
      <c r="AR239" s="473" t="str">
        <f t="shared" si="60"/>
        <v/>
      </c>
      <c r="AS239" s="473" t="str">
        <f t="shared" si="61"/>
        <v/>
      </c>
      <c r="AT239" s="473" t="str">
        <f t="shared" si="62"/>
        <v/>
      </c>
      <c r="AU239" s="473" t="str">
        <f t="shared" si="63"/>
        <v/>
      </c>
      <c r="AZ239" s="32" t="s">
        <v>316</v>
      </c>
      <c r="BA239" s="25" t="s">
        <v>6128</v>
      </c>
      <c r="BB239" s="499"/>
      <c r="BC239" s="271"/>
      <c r="BD239" s="279">
        <v>1</v>
      </c>
      <c r="BE239" s="271"/>
      <c r="BF239" s="271"/>
      <c r="BG239" s="271"/>
      <c r="BH239" s="271"/>
      <c r="BI239" s="271"/>
      <c r="BJ239" s="271"/>
      <c r="BK239" s="271"/>
      <c r="BL239" s="271"/>
    </row>
    <row r="240" spans="18:64" ht="21" customHeight="1" x14ac:dyDescent="0.25">
      <c r="R240" s="34" t="s">
        <v>490</v>
      </c>
      <c r="S240" s="451"/>
      <c r="T240" s="31" t="s">
        <v>28</v>
      </c>
      <c r="V240" s="475">
        <v>5</v>
      </c>
      <c r="W240" s="475" t="str">
        <f>IF($AC$240="","",$W$216)</f>
        <v/>
      </c>
      <c r="X240" s="476" t="str">
        <f>IF($AC$240="","",$X$216)</f>
        <v/>
      </c>
      <c r="Y240" s="477" t="str">
        <f>IF($X$240="","",$Y$216)</f>
        <v/>
      </c>
      <c r="Z240" s="477" t="str">
        <f>IF($X$240="","",$Z$216)</f>
        <v/>
      </c>
      <c r="AA240" s="477" t="str">
        <f>IF($AC$240="","",ROW($A$240)-ROW($A$216))</f>
        <v/>
      </c>
      <c r="AB240" s="478"/>
      <c r="AC240" s="34"/>
      <c r="AD240" s="356"/>
      <c r="AE240" s="18"/>
      <c r="AF240" s="19"/>
      <c r="AG240" s="480" t="str">
        <f t="shared" si="52"/>
        <v/>
      </c>
      <c r="AH240" s="481" t="str">
        <f t="shared" si="53"/>
        <v/>
      </c>
      <c r="AI240" s="477" t="str">
        <f>IF($AC$240="","",IFERROR(INDEX($AZ$74:$AZ$119,MATCH($AH$240,$AY$74:$AY$119,0)),"AUTRE"))</f>
        <v/>
      </c>
      <c r="AJ240" s="482" t="str">
        <f>IF($AC$240="","",IFERROR(INDEX($BA$74:$BA$119,MATCH($AH$240,$AY$74:$AY$119,0)),1))</f>
        <v/>
      </c>
      <c r="AK240" s="482" t="str">
        <f t="shared" si="54"/>
        <v/>
      </c>
      <c r="AL240" s="477" t="str">
        <f>IF($AC$240="","",IFERROR(INDEX($BB$74:$BB$119,MATCH($AH$240,$AY$74:$AY$119,0)),$AH$240))</f>
        <v/>
      </c>
      <c r="AM240" s="483" t="str">
        <f t="shared" si="55"/>
        <v/>
      </c>
      <c r="AN240" s="484" t="str">
        <f t="shared" si="56"/>
        <v/>
      </c>
      <c r="AO240" s="473" t="str">
        <f t="shared" si="57"/>
        <v/>
      </c>
      <c r="AP240" s="473" t="str">
        <f t="shared" si="58"/>
        <v/>
      </c>
      <c r="AQ240" s="473" t="str">
        <f t="shared" si="59"/>
        <v/>
      </c>
      <c r="AR240" s="473" t="str">
        <f t="shared" si="60"/>
        <v/>
      </c>
      <c r="AS240" s="473" t="str">
        <f t="shared" si="61"/>
        <v/>
      </c>
      <c r="AT240" s="473" t="str">
        <f t="shared" si="62"/>
        <v/>
      </c>
      <c r="AU240" s="473" t="str">
        <f t="shared" si="63"/>
        <v/>
      </c>
      <c r="AZ240" s="32" t="s">
        <v>313</v>
      </c>
      <c r="BA240" s="34" t="s">
        <v>474</v>
      </c>
      <c r="BB240" s="499"/>
      <c r="BC240" s="271"/>
      <c r="BD240" s="279">
        <v>1</v>
      </c>
      <c r="BE240" s="271"/>
      <c r="BF240" s="271"/>
      <c r="BG240" s="271"/>
      <c r="BH240" s="271"/>
      <c r="BI240" s="271"/>
      <c r="BJ240" s="271"/>
      <c r="BK240" s="271"/>
      <c r="BL240" s="271"/>
    </row>
    <row r="241" spans="18:64" ht="21" customHeight="1" x14ac:dyDescent="0.25">
      <c r="R241" s="34" t="s">
        <v>6129</v>
      </c>
      <c r="S241" s="451"/>
      <c r="T241" s="31" t="s">
        <v>29</v>
      </c>
      <c r="V241" s="475">
        <v>5</v>
      </c>
      <c r="W241" s="475" t="str">
        <f>IF($AC$241="","",$W$216)</f>
        <v/>
      </c>
      <c r="X241" s="476" t="str">
        <f>IF($AC$241="","",$X$216)</f>
        <v/>
      </c>
      <c r="Y241" s="477" t="str">
        <f>IF($X$241="","",$Y$216)</f>
        <v/>
      </c>
      <c r="Z241" s="477" t="str">
        <f>IF($X$241="","",$Z$216)</f>
        <v/>
      </c>
      <c r="AA241" s="477" t="str">
        <f>IF($AC$241="","",ROW($A$241)-ROW($A$216))</f>
        <v/>
      </c>
      <c r="AB241" s="478"/>
      <c r="AC241" s="34"/>
      <c r="AD241" s="356"/>
      <c r="AE241" s="18"/>
      <c r="AF241" s="19"/>
      <c r="AG241" s="480" t="str">
        <f t="shared" si="52"/>
        <v/>
      </c>
      <c r="AH241" s="481" t="str">
        <f t="shared" si="53"/>
        <v/>
      </c>
      <c r="AI241" s="477" t="str">
        <f>IF($AC$241="","",IFERROR(INDEX($AZ$74:$AZ$119,MATCH($AH$241,$AY$74:$AY$119,0)),"AUTRE"))</f>
        <v/>
      </c>
      <c r="AJ241" s="482" t="str">
        <f>IF($AC$241="","",IFERROR(INDEX($BA$74:$BA$119,MATCH($AH$241,$AY$74:$AY$119,0)),1))</f>
        <v/>
      </c>
      <c r="AK241" s="482" t="str">
        <f t="shared" si="54"/>
        <v/>
      </c>
      <c r="AL241" s="477" t="str">
        <f>IF($AC$241="","",IFERROR(INDEX($BB$74:$BB$119,MATCH($AH$241,$AY$74:$AY$119,0)),$AH$241))</f>
        <v/>
      </c>
      <c r="AM241" s="483" t="str">
        <f t="shared" si="55"/>
        <v/>
      </c>
      <c r="AN241" s="484" t="str">
        <f t="shared" si="56"/>
        <v/>
      </c>
      <c r="AO241" s="473" t="str">
        <f t="shared" si="57"/>
        <v/>
      </c>
      <c r="AP241" s="473" t="str">
        <f t="shared" si="58"/>
        <v/>
      </c>
      <c r="AQ241" s="473" t="str">
        <f t="shared" si="59"/>
        <v/>
      </c>
      <c r="AR241" s="473" t="str">
        <f t="shared" si="60"/>
        <v/>
      </c>
      <c r="AS241" s="473" t="str">
        <f t="shared" si="61"/>
        <v/>
      </c>
      <c r="AT241" s="473" t="str">
        <f t="shared" si="62"/>
        <v/>
      </c>
      <c r="AU241" s="473" t="str">
        <f t="shared" si="63"/>
        <v/>
      </c>
      <c r="AZ241" s="32" t="s">
        <v>307</v>
      </c>
      <c r="BA241" s="34" t="s">
        <v>490</v>
      </c>
      <c r="BB241" s="499"/>
      <c r="BC241" s="271"/>
      <c r="BD241" s="279">
        <v>1</v>
      </c>
      <c r="BE241" s="271"/>
      <c r="BF241" s="271"/>
      <c r="BG241" s="271"/>
      <c r="BH241" s="271"/>
      <c r="BI241" s="271"/>
      <c r="BJ241" s="271"/>
      <c r="BK241" s="271"/>
      <c r="BL241" s="271"/>
    </row>
    <row r="242" spans="18:64" ht="21" customHeight="1" x14ac:dyDescent="0.25">
      <c r="R242" s="34" t="s">
        <v>478</v>
      </c>
      <c r="S242" s="451"/>
      <c r="T242" s="31" t="s">
        <v>30</v>
      </c>
      <c r="V242" s="475">
        <v>5</v>
      </c>
      <c r="W242" s="475" t="str">
        <f>IF($AC$242="","",$W$216)</f>
        <v/>
      </c>
      <c r="X242" s="476" t="str">
        <f>IF($AC$242="","",$X$216)</f>
        <v/>
      </c>
      <c r="Y242" s="477" t="str">
        <f>IF($X$242="","",$Y$216)</f>
        <v/>
      </c>
      <c r="Z242" s="477" t="str">
        <f>IF($X$242="","",$Z$216)</f>
        <v/>
      </c>
      <c r="AA242" s="477" t="str">
        <f>IF($AC$242="","",ROW($A$242)-ROW($A$216))</f>
        <v/>
      </c>
      <c r="AB242" s="478"/>
      <c r="AC242" s="34"/>
      <c r="AD242" s="356"/>
      <c r="AE242" s="18"/>
      <c r="AF242" s="19"/>
      <c r="AG242" s="480" t="str">
        <f t="shared" si="52"/>
        <v/>
      </c>
      <c r="AH242" s="481" t="str">
        <f t="shared" si="53"/>
        <v/>
      </c>
      <c r="AI242" s="477" t="str">
        <f>IF($AC$242="","",IFERROR(INDEX($AZ$74:$AZ$119,MATCH($AH$242,$AY$74:$AY$119,0)),"AUTRE"))</f>
        <v/>
      </c>
      <c r="AJ242" s="482" t="str">
        <f>IF($AC$242="","",IFERROR(INDEX($BA$74:$BA$119,MATCH($AH$242,$AY$74:$AY$119,0)),1))</f>
        <v/>
      </c>
      <c r="AK242" s="482" t="str">
        <f t="shared" si="54"/>
        <v/>
      </c>
      <c r="AL242" s="477" t="str">
        <f>IF($AC$242="","",IFERROR(INDEX($BB$74:$BB$119,MATCH($AH$242,$AY$74:$AY$119,0)),$AH$242))</f>
        <v/>
      </c>
      <c r="AM242" s="483" t="str">
        <f t="shared" si="55"/>
        <v/>
      </c>
      <c r="AN242" s="484" t="str">
        <f t="shared" si="56"/>
        <v/>
      </c>
      <c r="AO242" s="473" t="str">
        <f t="shared" si="57"/>
        <v/>
      </c>
      <c r="AP242" s="473" t="str">
        <f t="shared" si="58"/>
        <v/>
      </c>
      <c r="AQ242" s="473" t="str">
        <f t="shared" si="59"/>
        <v/>
      </c>
      <c r="AR242" s="473" t="str">
        <f t="shared" si="60"/>
        <v/>
      </c>
      <c r="AS242" s="473" t="str">
        <f t="shared" si="61"/>
        <v/>
      </c>
      <c r="AT242" s="473" t="str">
        <f t="shared" si="62"/>
        <v/>
      </c>
      <c r="AU242" s="473" t="str">
        <f t="shared" si="63"/>
        <v/>
      </c>
      <c r="AZ242" s="32" t="s">
        <v>322</v>
      </c>
      <c r="BA242" s="34" t="s">
        <v>6129</v>
      </c>
      <c r="BB242" s="499"/>
      <c r="BC242" s="271"/>
      <c r="BD242" s="279">
        <v>1</v>
      </c>
      <c r="BE242" s="271"/>
      <c r="BF242" s="271"/>
      <c r="BG242" s="271"/>
      <c r="BH242" s="271"/>
      <c r="BI242" s="271"/>
      <c r="BJ242" s="271"/>
      <c r="BK242" s="271"/>
      <c r="BL242" s="271"/>
    </row>
    <row r="243" spans="18:64" ht="21" customHeight="1" x14ac:dyDescent="0.25">
      <c r="R243" s="34" t="s">
        <v>6130</v>
      </c>
      <c r="S243" s="451"/>
      <c r="T243" s="31" t="s">
        <v>31</v>
      </c>
      <c r="V243" s="475">
        <v>5</v>
      </c>
      <c r="W243" s="475" t="str">
        <f>IF($AC$243="","",$W$216)</f>
        <v/>
      </c>
      <c r="X243" s="476" t="str">
        <f>IF($AC$243="","",$X$216)</f>
        <v/>
      </c>
      <c r="Y243" s="477" t="str">
        <f>IF($X$243="","",$Y$216)</f>
        <v/>
      </c>
      <c r="Z243" s="477" t="str">
        <f>IF($X$243="","",$Z$216)</f>
        <v/>
      </c>
      <c r="AA243" s="477" t="str">
        <f>IF($AC$243="","",ROW($A$243)-ROW($A$216))</f>
        <v/>
      </c>
      <c r="AB243" s="478"/>
      <c r="AC243" s="34"/>
      <c r="AD243" s="356"/>
      <c r="AE243" s="18"/>
      <c r="AF243" s="19"/>
      <c r="AG243" s="480" t="str">
        <f t="shared" si="52"/>
        <v/>
      </c>
      <c r="AH243" s="481" t="str">
        <f t="shared" si="53"/>
        <v/>
      </c>
      <c r="AI243" s="477" t="str">
        <f>IF($AC$243="","",IFERROR(INDEX($AZ$74:$AZ$119,MATCH($AH$243,$AY$74:$AY$119,0)),"AUTRE"))</f>
        <v/>
      </c>
      <c r="AJ243" s="482" t="str">
        <f>IF($AC$243="","",IFERROR(INDEX($BA$74:$BA$119,MATCH($AH$243,$AY$74:$AY$119,0)),1))</f>
        <v/>
      </c>
      <c r="AK243" s="482" t="str">
        <f t="shared" si="54"/>
        <v/>
      </c>
      <c r="AL243" s="477" t="str">
        <f>IF($AC$243="","",IFERROR(INDEX($BB$74:$BB$119,MATCH($AH$243,$AY$74:$AY$119,0)),$AH$243))</f>
        <v/>
      </c>
      <c r="AM243" s="483" t="str">
        <f t="shared" si="55"/>
        <v/>
      </c>
      <c r="AN243" s="484" t="str">
        <f t="shared" si="56"/>
        <v/>
      </c>
      <c r="AO243" s="473" t="str">
        <f t="shared" si="57"/>
        <v/>
      </c>
      <c r="AP243" s="473" t="str">
        <f t="shared" si="58"/>
        <v/>
      </c>
      <c r="AQ243" s="473" t="str">
        <f t="shared" si="59"/>
        <v/>
      </c>
      <c r="AR243" s="473" t="str">
        <f t="shared" si="60"/>
        <v/>
      </c>
      <c r="AS243" s="473" t="str">
        <f t="shared" si="61"/>
        <v/>
      </c>
      <c r="AT243" s="473" t="str">
        <f t="shared" si="62"/>
        <v/>
      </c>
      <c r="AU243" s="473" t="str">
        <f t="shared" si="63"/>
        <v/>
      </c>
      <c r="AZ243" s="32" t="s">
        <v>305</v>
      </c>
      <c r="BA243" s="34" t="s">
        <v>478</v>
      </c>
      <c r="BB243" s="499"/>
      <c r="BC243" s="271"/>
      <c r="BD243" s="279">
        <v>1</v>
      </c>
      <c r="BE243" s="271"/>
      <c r="BF243" s="271"/>
      <c r="BG243" s="271"/>
      <c r="BH243" s="271"/>
      <c r="BI243" s="271"/>
      <c r="BJ243" s="271"/>
      <c r="BK243" s="271"/>
      <c r="BL243" s="271"/>
    </row>
    <row r="244" spans="18:64" ht="21" customHeight="1" x14ac:dyDescent="0.25">
      <c r="R244" s="34" t="s">
        <v>486</v>
      </c>
      <c r="S244" s="451"/>
      <c r="T244" s="32" t="s">
        <v>33</v>
      </c>
      <c r="V244" s="475">
        <v>5</v>
      </c>
      <c r="W244" s="475" t="str">
        <f>IF($AC$244="","",$W$216)</f>
        <v/>
      </c>
      <c r="X244" s="476" t="str">
        <f>IF($AC$244="","",$X$216)</f>
        <v/>
      </c>
      <c r="Y244" s="477" t="str">
        <f>IF($X$244="","",$Y$216)</f>
        <v/>
      </c>
      <c r="Z244" s="477" t="str">
        <f>IF($X$244="","",$Z$216)</f>
        <v/>
      </c>
      <c r="AA244" s="477" t="str">
        <f>IF($AC$244="","",ROW($A$244)-ROW($A$216))</f>
        <v/>
      </c>
      <c r="AB244" s="478"/>
      <c r="AC244" s="34"/>
      <c r="AD244" s="356"/>
      <c r="AE244" s="18"/>
      <c r="AF244" s="19"/>
      <c r="AG244" s="480" t="str">
        <f t="shared" si="52"/>
        <v/>
      </c>
      <c r="AH244" s="481" t="str">
        <f t="shared" si="53"/>
        <v/>
      </c>
      <c r="AI244" s="477" t="str">
        <f>IF($AC$244="","",IFERROR(INDEX($AZ$74:$AZ$119,MATCH($AH$244,$AY$74:$AY$119,0)),"AUTRE"))</f>
        <v/>
      </c>
      <c r="AJ244" s="482" t="str">
        <f>IF($AC$244="","",IFERROR(INDEX($BA$74:$BA$119,MATCH($AH$244,$AY$74:$AY$119,0)),1))</f>
        <v/>
      </c>
      <c r="AK244" s="482" t="str">
        <f t="shared" si="54"/>
        <v/>
      </c>
      <c r="AL244" s="477" t="str">
        <f>IF($AC$244="","",IFERROR(INDEX($BB$74:$BB$119,MATCH($AH$244,$AY$74:$AY$119,0)),$AH$244))</f>
        <v/>
      </c>
      <c r="AM244" s="483" t="str">
        <f t="shared" si="55"/>
        <v/>
      </c>
      <c r="AN244" s="484" t="str">
        <f t="shared" si="56"/>
        <v/>
      </c>
      <c r="AO244" s="473" t="str">
        <f t="shared" si="57"/>
        <v/>
      </c>
      <c r="AP244" s="473" t="str">
        <f t="shared" si="58"/>
        <v/>
      </c>
      <c r="AQ244" s="473" t="str">
        <f t="shared" si="59"/>
        <v/>
      </c>
      <c r="AR244" s="473" t="str">
        <f t="shared" si="60"/>
        <v/>
      </c>
      <c r="AS244" s="473" t="str">
        <f t="shared" si="61"/>
        <v/>
      </c>
      <c r="AT244" s="473" t="str">
        <f t="shared" si="62"/>
        <v/>
      </c>
      <c r="AU244" s="473" t="str">
        <f t="shared" si="63"/>
        <v/>
      </c>
      <c r="AY244" s="271"/>
      <c r="AZ244" s="32" t="s">
        <v>8129</v>
      </c>
      <c r="BA244" s="34" t="s">
        <v>6130</v>
      </c>
      <c r="BB244" s="499"/>
      <c r="BC244" s="271"/>
      <c r="BD244" s="279">
        <v>1</v>
      </c>
      <c r="BE244" s="271"/>
      <c r="BF244" s="271"/>
      <c r="BG244" s="271"/>
      <c r="BH244" s="271"/>
      <c r="BI244" s="271"/>
      <c r="BJ244" s="271"/>
      <c r="BK244" s="271"/>
      <c r="BL244" s="271"/>
    </row>
    <row r="245" spans="18:64" ht="21" customHeight="1" x14ac:dyDescent="0.25">
      <c r="R245" s="34" t="s">
        <v>479</v>
      </c>
      <c r="S245" s="451"/>
      <c r="T245" s="32" t="s">
        <v>8125</v>
      </c>
      <c r="V245" s="475">
        <v>5</v>
      </c>
      <c r="W245" s="475" t="str">
        <f>IF($AC$245="","",$W$216)</f>
        <v/>
      </c>
      <c r="X245" s="476" t="str">
        <f>IF($AC$245="","",$X$216)</f>
        <v/>
      </c>
      <c r="Y245" s="477" t="str">
        <f>IF($X$245="","",$Y$216)</f>
        <v/>
      </c>
      <c r="Z245" s="477" t="str">
        <f>IF($X$245="","",$Z$216)</f>
        <v/>
      </c>
      <c r="AA245" s="477" t="str">
        <f>IF($AC$245="","",ROW($A$245)-ROW($A$216))</f>
        <v/>
      </c>
      <c r="AB245" s="478"/>
      <c r="AC245" s="34"/>
      <c r="AD245" s="356"/>
      <c r="AE245" s="18"/>
      <c r="AF245" s="19"/>
      <c r="AG245" s="480" t="str">
        <f t="shared" si="52"/>
        <v/>
      </c>
      <c r="AH245" s="481" t="str">
        <f t="shared" si="53"/>
        <v/>
      </c>
      <c r="AI245" s="477" t="str">
        <f>IF($AC$245="","",IFERROR(INDEX($AZ$74:$AZ$119,MATCH($AH$245,$AY$74:$AY$119,0)),"AUTRE"))</f>
        <v/>
      </c>
      <c r="AJ245" s="482" t="str">
        <f>IF($AC$245="","",IFERROR(INDEX($BA$74:$BA$119,MATCH($AH$245,$AY$74:$AY$119,0)),1))</f>
        <v/>
      </c>
      <c r="AK245" s="482" t="str">
        <f t="shared" si="54"/>
        <v/>
      </c>
      <c r="AL245" s="477" t="str">
        <f>IF($AC$245="","",IFERROR(INDEX($BB$74:$BB$119,MATCH($AH$245,$AY$74:$AY$119,0)),$AH$245))</f>
        <v/>
      </c>
      <c r="AM245" s="483" t="str">
        <f t="shared" si="55"/>
        <v/>
      </c>
      <c r="AN245" s="484" t="str">
        <f t="shared" si="56"/>
        <v/>
      </c>
      <c r="AO245" s="473" t="str">
        <f t="shared" si="57"/>
        <v/>
      </c>
      <c r="AP245" s="473" t="str">
        <f t="shared" si="58"/>
        <v/>
      </c>
      <c r="AQ245" s="473" t="str">
        <f t="shared" si="59"/>
        <v/>
      </c>
      <c r="AR245" s="473" t="str">
        <f t="shared" si="60"/>
        <v/>
      </c>
      <c r="AS245" s="473" t="str">
        <f t="shared" si="61"/>
        <v/>
      </c>
      <c r="AT245" s="473" t="str">
        <f t="shared" si="62"/>
        <v/>
      </c>
      <c r="AU245" s="473" t="str">
        <f t="shared" si="63"/>
        <v/>
      </c>
      <c r="AY245" s="497" t="s">
        <v>8145</v>
      </c>
      <c r="AZ245" s="32" t="s">
        <v>8131</v>
      </c>
      <c r="BA245" s="34" t="s">
        <v>486</v>
      </c>
      <c r="BB245" s="499"/>
      <c r="BC245" s="271"/>
      <c r="BD245" s="279">
        <v>1</v>
      </c>
      <c r="BE245" s="271"/>
      <c r="BF245" s="271"/>
      <c r="BG245" s="271"/>
      <c r="BH245" s="271"/>
      <c r="BI245" s="271"/>
      <c r="BJ245" s="271"/>
      <c r="BK245" s="271"/>
      <c r="BL245" s="271"/>
    </row>
    <row r="246" spans="18:64" ht="21" customHeight="1" x14ac:dyDescent="0.25">
      <c r="R246" s="34" t="s">
        <v>6131</v>
      </c>
      <c r="S246" s="451"/>
      <c r="T246" s="32" t="s">
        <v>8127</v>
      </c>
      <c r="V246" s="475">
        <v>5</v>
      </c>
      <c r="W246" s="475" t="str">
        <f>IF($AC$246="","",$W$216)</f>
        <v/>
      </c>
      <c r="X246" s="476" t="str">
        <f>IF($AC$246="","",$X$216)</f>
        <v/>
      </c>
      <c r="Y246" s="477" t="str">
        <f>IF($X$246="","",$Y$216)</f>
        <v/>
      </c>
      <c r="Z246" s="477" t="str">
        <f>IF($X$246="","",$Z$216)</f>
        <v/>
      </c>
      <c r="AA246" s="477" t="str">
        <f>IF($AC$246="","",ROW($A$246)-ROW($A$216))</f>
        <v/>
      </c>
      <c r="AB246" s="478"/>
      <c r="AC246" s="34"/>
      <c r="AD246" s="356"/>
      <c r="AE246" s="18"/>
      <c r="AF246" s="19"/>
      <c r="AG246" s="480" t="str">
        <f t="shared" si="52"/>
        <v/>
      </c>
      <c r="AH246" s="481" t="str">
        <f t="shared" si="53"/>
        <v/>
      </c>
      <c r="AI246" s="477" t="str">
        <f>IF($AC$246="","",IFERROR(INDEX($AZ$74:$AZ$119,MATCH($AH$246,$AY$74:$AY$119,0)),"AUTRE"))</f>
        <v/>
      </c>
      <c r="AJ246" s="482" t="str">
        <f>IF($AC$246="","",IFERROR(INDEX($BA$74:$BA$119,MATCH($AH$246,$AY$74:$AY$119,0)),1))</f>
        <v/>
      </c>
      <c r="AK246" s="482" t="str">
        <f t="shared" si="54"/>
        <v/>
      </c>
      <c r="AL246" s="477" t="str">
        <f>IF($AC$246="","",IFERROR(INDEX($BB$74:$BB$119,MATCH($AH$246,$AY$74:$AY$119,0)),$AH$246))</f>
        <v/>
      </c>
      <c r="AM246" s="483" t="str">
        <f t="shared" si="55"/>
        <v/>
      </c>
      <c r="AN246" s="484" t="str">
        <f t="shared" si="56"/>
        <v/>
      </c>
      <c r="AO246" s="473" t="str">
        <f t="shared" si="57"/>
        <v/>
      </c>
      <c r="AP246" s="473" t="str">
        <f t="shared" si="58"/>
        <v/>
      </c>
      <c r="AQ246" s="473" t="str">
        <f t="shared" si="59"/>
        <v/>
      </c>
      <c r="AR246" s="473" t="str">
        <f t="shared" si="60"/>
        <v/>
      </c>
      <c r="AS246" s="473" t="str">
        <f t="shared" si="61"/>
        <v/>
      </c>
      <c r="AT246" s="473" t="str">
        <f t="shared" si="62"/>
        <v/>
      </c>
      <c r="AU246" s="473" t="str">
        <f t="shared" si="63"/>
        <v/>
      </c>
      <c r="AY246" s="497" t="s">
        <v>462</v>
      </c>
      <c r="AZ246" s="32" t="s">
        <v>309</v>
      </c>
      <c r="BA246" s="34" t="s">
        <v>479</v>
      </c>
      <c r="BB246" s="499"/>
      <c r="BC246" s="271"/>
      <c r="BD246" s="279">
        <v>1</v>
      </c>
      <c r="BE246" s="271"/>
      <c r="BF246" s="271"/>
      <c r="BG246" s="271"/>
      <c r="BH246" s="271"/>
      <c r="BI246" s="271"/>
      <c r="BJ246" s="271"/>
      <c r="BK246" s="271"/>
      <c r="BL246" s="271"/>
    </row>
    <row r="247" spans="18:64" ht="21" customHeight="1" x14ac:dyDescent="0.25">
      <c r="R247" s="34" t="s">
        <v>485</v>
      </c>
      <c r="S247" s="451"/>
      <c r="T247" s="32" t="s">
        <v>320</v>
      </c>
      <c r="V247" s="475">
        <v>5</v>
      </c>
      <c r="W247" s="475" t="str">
        <f>IF($AC$247="","",$W$216)</f>
        <v/>
      </c>
      <c r="X247" s="476" t="str">
        <f>IF($AC$247="","",$X$216)</f>
        <v/>
      </c>
      <c r="Y247" s="477" t="str">
        <f>IF($X$247="","",$Y$216)</f>
        <v/>
      </c>
      <c r="Z247" s="477" t="str">
        <f>IF($X$247="","",$Z$216)</f>
        <v/>
      </c>
      <c r="AA247" s="477" t="str">
        <f>IF($AC$247="","",ROW($A$247)-ROW($A$216))</f>
        <v/>
      </c>
      <c r="AB247" s="478"/>
      <c r="AC247" s="34"/>
      <c r="AD247" s="356"/>
      <c r="AE247" s="18"/>
      <c r="AF247" s="19"/>
      <c r="AG247" s="480" t="str">
        <f t="shared" si="52"/>
        <v/>
      </c>
      <c r="AH247" s="481" t="str">
        <f t="shared" si="53"/>
        <v/>
      </c>
      <c r="AI247" s="477" t="str">
        <f>IF($AC$247="","",IFERROR(INDEX($AZ$74:$AZ$119,MATCH($AH$247,$AY$74:$AY$119,0)),"AUTRE"))</f>
        <v/>
      </c>
      <c r="AJ247" s="482" t="str">
        <f>IF($AC$247="","",IFERROR(INDEX($BA$74:$BA$119,MATCH($AH$247,$AY$74:$AY$119,0)),1))</f>
        <v/>
      </c>
      <c r="AK247" s="482" t="str">
        <f t="shared" si="54"/>
        <v/>
      </c>
      <c r="AL247" s="477" t="str">
        <f>IF($AC$247="","",IFERROR(INDEX($BB$74:$BB$119,MATCH($AH$247,$AY$74:$AY$119,0)),$AH$247))</f>
        <v/>
      </c>
      <c r="AM247" s="483" t="str">
        <f t="shared" si="55"/>
        <v/>
      </c>
      <c r="AN247" s="484" t="str">
        <f t="shared" si="56"/>
        <v/>
      </c>
      <c r="AO247" s="473" t="str">
        <f t="shared" si="57"/>
        <v/>
      </c>
      <c r="AP247" s="473" t="str">
        <f t="shared" si="58"/>
        <v/>
      </c>
      <c r="AQ247" s="473" t="str">
        <f t="shared" si="59"/>
        <v/>
      </c>
      <c r="AR247" s="473" t="str">
        <f t="shared" si="60"/>
        <v/>
      </c>
      <c r="AS247" s="473" t="str">
        <f t="shared" si="61"/>
        <v/>
      </c>
      <c r="AT247" s="473" t="str">
        <f t="shared" si="62"/>
        <v/>
      </c>
      <c r="AU247" s="473" t="str">
        <f t="shared" si="63"/>
        <v/>
      </c>
      <c r="AY247" s="497" t="s">
        <v>463</v>
      </c>
      <c r="AZ247" s="32" t="s">
        <v>311</v>
      </c>
      <c r="BA247" s="34" t="s">
        <v>6131</v>
      </c>
      <c r="BB247" s="499"/>
      <c r="BC247" s="271"/>
      <c r="BD247" s="279">
        <v>1</v>
      </c>
      <c r="BE247" s="271"/>
      <c r="BF247" s="271"/>
      <c r="BG247" s="271"/>
      <c r="BH247" s="271"/>
      <c r="BI247" s="271"/>
      <c r="BJ247" s="271"/>
      <c r="BK247" s="271"/>
      <c r="BL247" s="271"/>
    </row>
    <row r="248" spans="18:64" ht="21" customHeight="1" x14ac:dyDescent="0.25">
      <c r="R248" s="34" t="s">
        <v>6132</v>
      </c>
      <c r="S248" s="451"/>
      <c r="T248" s="32" t="s">
        <v>318</v>
      </c>
      <c r="V248" s="475">
        <v>5</v>
      </c>
      <c r="W248" s="475" t="str">
        <f>IF($AC$248="","",$W$216)</f>
        <v/>
      </c>
      <c r="X248" s="476" t="str">
        <f>IF($AC$248="","",$X$216)</f>
        <v/>
      </c>
      <c r="Y248" s="477" t="str">
        <f>IF($X$248="","",$Y$216)</f>
        <v/>
      </c>
      <c r="Z248" s="477" t="str">
        <f>IF($X$248="","",$Z$216)</f>
        <v/>
      </c>
      <c r="AA248" s="477" t="str">
        <f>IF($AC$248="","",ROW($A$248)-ROW($A$216))</f>
        <v/>
      </c>
      <c r="AB248" s="478"/>
      <c r="AC248" s="34"/>
      <c r="AD248" s="356"/>
      <c r="AE248" s="18"/>
      <c r="AF248" s="19"/>
      <c r="AG248" s="480" t="str">
        <f t="shared" si="52"/>
        <v/>
      </c>
      <c r="AH248" s="481" t="str">
        <f t="shared" si="53"/>
        <v/>
      </c>
      <c r="AI248" s="477" t="str">
        <f>IF($AC$248="","",IFERROR(INDEX($AZ$74:$AZ$119,MATCH($AH$248,$AY$74:$AY$119,0)),"AUTRE"))</f>
        <v/>
      </c>
      <c r="AJ248" s="482" t="str">
        <f>IF($AC$248="","",IFERROR(INDEX($BA$74:$BA$119,MATCH($AH$248,$AY$74:$AY$119,0)),1))</f>
        <v/>
      </c>
      <c r="AK248" s="482" t="str">
        <f t="shared" si="54"/>
        <v/>
      </c>
      <c r="AL248" s="477" t="str">
        <f>IF($AC$248="","",IFERROR(INDEX($BB$74:$BB$119,MATCH($AH$248,$AY$74:$AY$119,0)),$AH$248))</f>
        <v/>
      </c>
      <c r="AM248" s="483" t="str">
        <f t="shared" si="55"/>
        <v/>
      </c>
      <c r="AN248" s="484" t="str">
        <f t="shared" si="56"/>
        <v/>
      </c>
      <c r="AO248" s="473" t="str">
        <f t="shared" si="57"/>
        <v/>
      </c>
      <c r="AP248" s="473" t="str">
        <f t="shared" si="58"/>
        <v/>
      </c>
      <c r="AQ248" s="473" t="str">
        <f t="shared" si="59"/>
        <v/>
      </c>
      <c r="AR248" s="473" t="str">
        <f t="shared" si="60"/>
        <v/>
      </c>
      <c r="AS248" s="473" t="str">
        <f t="shared" si="61"/>
        <v/>
      </c>
      <c r="AT248" s="473" t="str">
        <f t="shared" si="62"/>
        <v/>
      </c>
      <c r="AU248" s="473" t="str">
        <f t="shared" si="63"/>
        <v/>
      </c>
      <c r="AY248" s="497" t="s">
        <v>8147</v>
      </c>
      <c r="AZ248" s="32" t="s">
        <v>8135</v>
      </c>
      <c r="BA248" s="34" t="s">
        <v>485</v>
      </c>
      <c r="BB248" s="499"/>
      <c r="BC248" s="271"/>
      <c r="BD248" s="279">
        <v>1</v>
      </c>
      <c r="BE248" s="271"/>
      <c r="BF248" s="271"/>
      <c r="BG248" s="271"/>
      <c r="BH248" s="271"/>
      <c r="BI248" s="271"/>
      <c r="BJ248" s="271"/>
      <c r="BK248" s="271"/>
      <c r="BL248" s="271"/>
    </row>
    <row r="249" spans="18:64" ht="21" customHeight="1" x14ac:dyDescent="0.25">
      <c r="R249" s="25" t="s">
        <v>6133</v>
      </c>
      <c r="S249" s="451"/>
      <c r="T249" s="32" t="s">
        <v>316</v>
      </c>
      <c r="V249" s="475">
        <v>5</v>
      </c>
      <c r="W249" s="475" t="str">
        <f>IF($AC$249="","",$W$216)</f>
        <v/>
      </c>
      <c r="X249" s="476" t="str">
        <f>IF($AC$249="","",$X$216)</f>
        <v/>
      </c>
      <c r="Y249" s="477" t="str">
        <f>IF($X$249="","",$Y$216)</f>
        <v/>
      </c>
      <c r="Z249" s="477" t="str">
        <f>IF($X$249="","",$Z$216)</f>
        <v/>
      </c>
      <c r="AA249" s="477" t="str">
        <f>IF($AC$249="","",ROW($A$249)-ROW($A$216))</f>
        <v/>
      </c>
      <c r="AB249" s="478"/>
      <c r="AC249" s="34"/>
      <c r="AD249" s="356"/>
      <c r="AE249" s="18"/>
      <c r="AF249" s="19"/>
      <c r="AG249" s="480" t="str">
        <f t="shared" si="52"/>
        <v/>
      </c>
      <c r="AH249" s="481" t="str">
        <f t="shared" si="53"/>
        <v/>
      </c>
      <c r="AI249" s="477" t="str">
        <f>IF($AC$249="","",IFERROR(INDEX($AZ$74:$AZ$119,MATCH($AH$249,$AY$74:$AY$119,0)),"AUTRE"))</f>
        <v/>
      </c>
      <c r="AJ249" s="482" t="str">
        <f>IF($AC$249="","",IFERROR(INDEX($BA$74:$BA$119,MATCH($AH$249,$AY$74:$AY$119,0)),1))</f>
        <v/>
      </c>
      <c r="AK249" s="482" t="str">
        <f t="shared" si="54"/>
        <v/>
      </c>
      <c r="AL249" s="477" t="str">
        <f>IF($AC$249="","",IFERROR(INDEX($BB$74:$BB$119,MATCH($AH$249,$AY$74:$AY$119,0)),$AH$249))</f>
        <v/>
      </c>
      <c r="AM249" s="483" t="str">
        <f t="shared" si="55"/>
        <v/>
      </c>
      <c r="AN249" s="484" t="str">
        <f t="shared" si="56"/>
        <v/>
      </c>
      <c r="AO249" s="473" t="str">
        <f t="shared" si="57"/>
        <v/>
      </c>
      <c r="AP249" s="473" t="str">
        <f t="shared" si="58"/>
        <v/>
      </c>
      <c r="AQ249" s="473" t="str">
        <f t="shared" si="59"/>
        <v/>
      </c>
      <c r="AR249" s="473" t="str">
        <f t="shared" si="60"/>
        <v/>
      </c>
      <c r="AS249" s="473" t="str">
        <f t="shared" si="61"/>
        <v/>
      </c>
      <c r="AT249" s="473" t="str">
        <f t="shared" si="62"/>
        <v/>
      </c>
      <c r="AU249" s="473" t="str">
        <f t="shared" si="63"/>
        <v/>
      </c>
      <c r="AY249" s="497" t="s">
        <v>465</v>
      </c>
      <c r="AZ249" s="32" t="s">
        <v>8137</v>
      </c>
      <c r="BA249" s="34" t="s">
        <v>6132</v>
      </c>
      <c r="BB249" s="499"/>
      <c r="BC249" s="271"/>
      <c r="BD249" s="279">
        <v>1</v>
      </c>
      <c r="BE249" s="271"/>
      <c r="BF249" s="271"/>
      <c r="BG249" s="271"/>
      <c r="BH249" s="271"/>
      <c r="BI249" s="271"/>
      <c r="BJ249" s="271"/>
      <c r="BK249" s="271"/>
      <c r="BL249" s="271"/>
    </row>
    <row r="250" spans="18:64" ht="21" customHeight="1" x14ac:dyDescent="0.25">
      <c r="R250" s="34" t="s">
        <v>476</v>
      </c>
      <c r="S250" s="451"/>
      <c r="T250" s="32" t="s">
        <v>313</v>
      </c>
      <c r="V250" s="475">
        <v>5</v>
      </c>
      <c r="W250" s="475" t="str">
        <f>IF($AC$250="","",$W$216)</f>
        <v/>
      </c>
      <c r="X250" s="476" t="str">
        <f>IF($AC$250="","",$X$216)</f>
        <v/>
      </c>
      <c r="Y250" s="477" t="str">
        <f>IF($X$250="","",$Y$216)</f>
        <v/>
      </c>
      <c r="Z250" s="477" t="str">
        <f>IF($X$250="","",$Z$216)</f>
        <v/>
      </c>
      <c r="AA250" s="477" t="str">
        <f>IF($AC$250="","",ROW($A$250)-ROW($A$216))</f>
        <v/>
      </c>
      <c r="AB250" s="478"/>
      <c r="AC250" s="34"/>
      <c r="AD250" s="356"/>
      <c r="AE250" s="18"/>
      <c r="AF250" s="24"/>
      <c r="AG250" s="491" t="str">
        <f t="shared" si="52"/>
        <v/>
      </c>
      <c r="AH250" s="481" t="str">
        <f t="shared" si="53"/>
        <v/>
      </c>
      <c r="AI250" s="477" t="str">
        <f>IF($AC$250="","",IFERROR(INDEX($AZ$74:$AZ$119,MATCH($AH$250,$AY$74:$AY$119,0)),"AUTRE"))</f>
        <v/>
      </c>
      <c r="AJ250" s="482" t="str">
        <f>IF($AC$250="","",IFERROR(INDEX($BA$74:$BA$119,MATCH($AH$250,$AY$74:$AY$119,0)),1))</f>
        <v/>
      </c>
      <c r="AK250" s="482" t="str">
        <f t="shared" si="54"/>
        <v/>
      </c>
      <c r="AL250" s="477" t="str">
        <f>IF($AC$250="","",IFERROR(INDEX($BB$74:$BB$119,MATCH($AH$250,$AY$74:$AY$119,0)),$AH$250))</f>
        <v/>
      </c>
      <c r="AM250" s="483" t="str">
        <f t="shared" si="55"/>
        <v/>
      </c>
      <c r="AN250" s="484" t="str">
        <f t="shared" si="56"/>
        <v/>
      </c>
      <c r="AO250" s="473" t="str">
        <f t="shared" si="57"/>
        <v/>
      </c>
      <c r="AP250" s="473" t="str">
        <f t="shared" si="58"/>
        <v/>
      </c>
      <c r="AQ250" s="473" t="str">
        <f t="shared" si="59"/>
        <v/>
      </c>
      <c r="AR250" s="473" t="str">
        <f t="shared" si="60"/>
        <v/>
      </c>
      <c r="AS250" s="473" t="str">
        <f t="shared" si="61"/>
        <v/>
      </c>
      <c r="AT250" s="473" t="str">
        <f t="shared" si="62"/>
        <v/>
      </c>
      <c r="AU250" s="473" t="str">
        <f t="shared" si="63"/>
        <v/>
      </c>
      <c r="AY250" s="497" t="s">
        <v>466</v>
      </c>
      <c r="AZ250" s="32" t="s">
        <v>8139</v>
      </c>
      <c r="BA250" s="25" t="s">
        <v>6133</v>
      </c>
      <c r="BB250" s="499"/>
      <c r="BC250" s="271"/>
      <c r="BD250" s="279">
        <v>1</v>
      </c>
      <c r="BE250" s="271"/>
      <c r="BF250" s="271"/>
      <c r="BG250" s="271"/>
      <c r="BH250" s="271"/>
      <c r="BI250" s="271"/>
      <c r="BJ250" s="271"/>
      <c r="BK250" s="271"/>
      <c r="BL250" s="271"/>
    </row>
    <row r="251" spans="18:64" ht="30" customHeight="1" x14ac:dyDescent="0.25">
      <c r="R251" s="34" t="s">
        <v>468</v>
      </c>
      <c r="S251" s="451"/>
      <c r="T251" s="32" t="s">
        <v>307</v>
      </c>
      <c r="V251" s="453" t="s">
        <v>324</v>
      </c>
      <c r="W251" s="453" t="s">
        <v>7912</v>
      </c>
      <c r="X251" s="453" t="s">
        <v>326</v>
      </c>
      <c r="Y251" s="453" t="s">
        <v>327</v>
      </c>
      <c r="Z251" s="454" t="s">
        <v>7930</v>
      </c>
      <c r="AA251" s="453" t="s">
        <v>7937</v>
      </c>
      <c r="AB251" s="455" t="s">
        <v>39</v>
      </c>
      <c r="AC251" s="455" t="s">
        <v>338</v>
      </c>
      <c r="AD251" s="455" t="s">
        <v>8114</v>
      </c>
      <c r="AE251" s="455" t="s">
        <v>339</v>
      </c>
      <c r="AF251" s="455" t="s">
        <v>7997</v>
      </c>
      <c r="AG251" s="453" t="s">
        <v>8018</v>
      </c>
      <c r="AH251" s="453" t="s">
        <v>8023</v>
      </c>
      <c r="AI251" s="453" t="s">
        <v>330</v>
      </c>
      <c r="AJ251" s="453" t="s">
        <v>8031</v>
      </c>
      <c r="AK251" s="453" t="s">
        <v>8037</v>
      </c>
      <c r="AL251" s="453" t="s">
        <v>8041</v>
      </c>
      <c r="AM251" s="453" t="s">
        <v>343</v>
      </c>
      <c r="AN251" s="457" t="s">
        <v>8115</v>
      </c>
      <c r="AO251" s="457" t="s">
        <v>8116</v>
      </c>
      <c r="AP251" s="656" t="s">
        <v>8117</v>
      </c>
      <c r="AQ251" s="656"/>
      <c r="AR251" s="656"/>
      <c r="AS251" s="656"/>
      <c r="AT251" s="656"/>
      <c r="AU251" s="657"/>
      <c r="AZ251" s="32" t="s">
        <v>8141</v>
      </c>
      <c r="BA251" s="34" t="s">
        <v>476</v>
      </c>
      <c r="BB251" s="499"/>
      <c r="BC251" s="271"/>
      <c r="BD251" s="279">
        <v>1</v>
      </c>
      <c r="BE251" s="271"/>
      <c r="BF251" s="271"/>
      <c r="BG251" s="271"/>
      <c r="BH251" s="271"/>
      <c r="BI251" s="271"/>
      <c r="BJ251" s="271"/>
      <c r="BK251" s="271"/>
      <c r="BL251" s="271"/>
    </row>
    <row r="252" spans="18:64" ht="30" customHeight="1" x14ac:dyDescent="0.25">
      <c r="R252" s="34" t="s">
        <v>473</v>
      </c>
      <c r="S252" s="451"/>
      <c r="T252" s="32" t="s">
        <v>322</v>
      </c>
      <c r="V252" s="459">
        <v>6</v>
      </c>
      <c r="W252" s="460" t="s">
        <v>271</v>
      </c>
      <c r="X252" s="461" t="s">
        <v>272</v>
      </c>
      <c r="Y252" s="462">
        <v>61</v>
      </c>
      <c r="Z252" s="463">
        <v>100</v>
      </c>
      <c r="AA252" s="464">
        <f>IF($AC$396="","",ROW($A$396)-ROW($A$396))</f>
        <v>0</v>
      </c>
      <c r="AB252" s="461"/>
      <c r="AC252" s="465" t="s">
        <v>91</v>
      </c>
      <c r="AD252" s="390"/>
      <c r="AE252" s="13">
        <v>25</v>
      </c>
      <c r="AF252" s="20" t="s">
        <v>9</v>
      </c>
      <c r="AG252" s="467">
        <f t="shared" ref="AG252:AG286" si="64">IF($AC252="","",IF(LEN($AN252&amp;"")=0,"",$AN252))</f>
        <v>25</v>
      </c>
      <c r="AH252" s="468" t="str">
        <f t="shared" ref="AH252:AH286" si="65">IF($AC252="","",IF($AF252&lt;&gt;"",UPPER(TRIM(SUBSTITUTE(SUBSTITUTE($AF252&amp;"",CHAR(160)," ")," "," "))),$AP252))</f>
        <v>L</v>
      </c>
      <c r="AI252" s="469" t="str">
        <f>IF($AC$252="","",IFERROR(INDEX($AZ$74:$AZ$119,MATCH($AH$252,$AY$74:$AY$119,0)),"AUTRE"))</f>
        <v>VOLUME</v>
      </c>
      <c r="AJ252" s="470">
        <f>IF($AC$252="","",IFERROR(INDEX($BA$74:$BA$119,MATCH($AH$252,$AY$74:$AY$119,0)),1))</f>
        <v>1</v>
      </c>
      <c r="AK252" s="470">
        <f t="shared" ref="AK252:AK315" si="66">IF(OR(AG252="",AJ252=""),"",AG252*AJ252)</f>
        <v>25</v>
      </c>
      <c r="AL252" s="469" t="str">
        <f>IF($AC$252="","",IFERROR(INDEX($BB$74:$BB$119,MATCH($AH$252,$AY$74:$AY$119,0)),$AH$252))</f>
        <v>L</v>
      </c>
      <c r="AM252" s="471" t="str">
        <f t="shared" ref="AM252:AM286" si="67">IF($AC252="","",IF($AH252="QT. SUFFISANTE","OK",IF($AG252="","TEXTE",IF(NOT(ISNUMBER($AG252)),"QUANTITÉ À CONTRÔLER",IF(COUNTIF($AY$74:$AY$119,$AH252)=0,"UNITÉ À CONTRÔLER","OK")))))</f>
        <v>OK</v>
      </c>
      <c r="AN252" s="474">
        <f t="shared" ref="AN252:AN286" si="68">IF($AE252&lt;&gt;"",$AE252,IF($AD252="","",IF(ISNUMBER($AD252),$AD252,IF($AO252="QT",0,IF($AO252="","",IFERROR(IF(ISNUMBER(SEARCH("/",$AO252)),VALUE(TRIM(LEFT($AO252,SEARCH("/",$AO252)-1)))/VALUE(TRIM(MID($AO252,SEARCH("/",$AO252)+1,99))),VALUE(SUBSTITUTE($AO252,".",","))),""))))))</f>
        <v>25</v>
      </c>
      <c r="AO252" s="473" t="str">
        <f t="shared" ref="AO252:AO286" si="69">IF($AD252="","",IF(ISNUMBER($AD252),$AD252,IF(OR(LEFT($AQ252,3)="QT.",LEFT($AQ252,4)="QUAN"),"QT",IF($AR252=999,$AQ252,TRIM(LEFT($AQ252,$AR252-1))))))</f>
        <v/>
      </c>
      <c r="AP252" s="473" t="str">
        <f t="shared" ref="AP252:AP286" si="70">IF($AD252="","",IF(ISNUMBER($AD252),"",IF(OR(LEFT($AQ252,3)="QT.",LEFT($AQ252,4)="QUAN"),"QT. SUFFISANTE",IF($AO252="","",TRIM(MID($AQ252,LEN($AO252&amp;"")+1,999))))))</f>
        <v/>
      </c>
      <c r="AQ252" s="473" t="str">
        <f t="shared" ref="AQ252:AQ286" si="71">IF($AD252="","",UPPER(TRIM(SUBSTITUTE(SUBSTITUTE($AD252&amp;"",CHAR(160)," ")," "," "))))</f>
        <v/>
      </c>
      <c r="AR252" s="473" t="str">
        <f t="shared" ref="AR252:AR286" si="72">IF($AQ252="","",MIN($AS252,$AT252,$AU252))</f>
        <v/>
      </c>
      <c r="AS252" s="473" t="str">
        <f t="shared" ref="AS252:AS286" si="73">IF($AQ252="","",MIN(IFERROR(SEARCH("A",$AQ252),999),IFERROR(SEARCH("B",$AQ252),999),IFERROR(SEARCH("C",$AQ252),999),IFERROR(SEARCH("D",$AQ252),999),IFERROR(SEARCH("E",$AQ252),999),IFERROR(SEARCH("F",$AQ252),999),IFERROR(SEARCH("G",$AQ252),999),IFERROR(SEARCH("H",$AQ252),999),IFERROR(SEARCH("I",$AQ252),999)))</f>
        <v/>
      </c>
      <c r="AT252" s="473" t="str">
        <f t="shared" ref="AT252:AT286" si="74">IF($AQ252="","",MIN(IFERROR(SEARCH("J",$AQ252),999),IFERROR(SEARCH("K",$AQ252),999),IFERROR(SEARCH("L",$AQ252),999),IFERROR(SEARCH("M",$AQ252),999),IFERROR(SEARCH("N",$AQ252),999),IFERROR(SEARCH("O",$AQ252),999),IFERROR(SEARCH("P",$AQ252),999),IFERROR(SEARCH("Q",$AQ252),999),IFERROR(SEARCH("R",$AQ252),999)))</f>
        <v/>
      </c>
      <c r="AU252" s="473" t="str">
        <f t="shared" ref="AU252:AU286" si="75">IF($AQ252="","",MIN(IFERROR(SEARCH("S",$AQ252),999),IFERROR(SEARCH("T",$AQ252),999),IFERROR(SEARCH("U",$AQ252),999),IFERROR(SEARCH("V",$AQ252),999),IFERROR(SEARCH("W",$AQ252),999),IFERROR(SEARCH("X",$AQ252),999),IFERROR(SEARCH("Y",$AQ252),999),IFERROR(SEARCH("Z",$AQ252),999)))</f>
        <v/>
      </c>
      <c r="AZ252" s="32" t="s">
        <v>8143</v>
      </c>
      <c r="BA252" s="34" t="s">
        <v>468</v>
      </c>
      <c r="BB252" s="499"/>
      <c r="BC252" s="271"/>
      <c r="BD252" s="279">
        <v>1</v>
      </c>
      <c r="BE252" s="271"/>
      <c r="BF252" s="271"/>
      <c r="BG252" s="271"/>
      <c r="BH252" s="271"/>
      <c r="BI252" s="271"/>
      <c r="BJ252" s="271"/>
      <c r="BK252" s="271"/>
      <c r="BL252" s="271"/>
    </row>
    <row r="253" spans="18:64" ht="21" customHeight="1" x14ac:dyDescent="0.25">
      <c r="R253" s="34" t="s">
        <v>497</v>
      </c>
      <c r="S253" s="451"/>
      <c r="T253" s="32" t="s">
        <v>305</v>
      </c>
      <c r="V253" s="475">
        <f>$V$252</f>
        <v>6</v>
      </c>
      <c r="W253" s="475" t="str">
        <f>IF($AC$253="","",$W$252)</f>
        <v>N° 44</v>
      </c>
      <c r="X253" s="476" t="str">
        <f>IF($AC$253="","",$X$252)</f>
        <v>GRATINÉE A L'OIGNON</v>
      </c>
      <c r="Y253" s="477">
        <f>IF($X$253="","",$Y$252)</f>
        <v>61</v>
      </c>
      <c r="Z253" s="477">
        <f>IF($X$253="","",$Z$252)</f>
        <v>100</v>
      </c>
      <c r="AA253" s="477">
        <f>IF($AC$253="","",ROW($A$253)-ROW($A$252))</f>
        <v>1</v>
      </c>
      <c r="AB253" s="478"/>
      <c r="AC253" s="34" t="s">
        <v>139</v>
      </c>
      <c r="AD253" s="356"/>
      <c r="AE253" s="18">
        <v>7.5</v>
      </c>
      <c r="AF253" s="11" t="s">
        <v>7</v>
      </c>
      <c r="AG253" s="480">
        <f t="shared" si="64"/>
        <v>7.5</v>
      </c>
      <c r="AH253" s="481" t="str">
        <f t="shared" si="65"/>
        <v>KG</v>
      </c>
      <c r="AI253" s="477" t="str">
        <f>IF($AC$253="","",IFERROR(INDEX($AZ$74:$AZ$119,MATCH($AH$253,$AY$74:$AY$119,0)),"AUTRE"))</f>
        <v>MASSE</v>
      </c>
      <c r="AJ253" s="482">
        <f>IF($AC$253="","",IFERROR(INDEX($BA$74:$BA$119,MATCH($AH$253,$AY$74:$AY$119,0)),1))</f>
        <v>1</v>
      </c>
      <c r="AK253" s="482">
        <f t="shared" si="66"/>
        <v>7.5</v>
      </c>
      <c r="AL253" s="477" t="str">
        <f>IF($AC$253="","",IFERROR(INDEX($BB$74:$BB$119,MATCH($AH$253,$AY$74:$AY$119,0)),$AH$253))</f>
        <v>kg</v>
      </c>
      <c r="AM253" s="483" t="str">
        <f t="shared" si="67"/>
        <v>OK</v>
      </c>
      <c r="AN253" s="484">
        <f t="shared" si="68"/>
        <v>7.5</v>
      </c>
      <c r="AO253" s="473" t="str">
        <f t="shared" si="69"/>
        <v/>
      </c>
      <c r="AP253" s="473" t="str">
        <f t="shared" si="70"/>
        <v/>
      </c>
      <c r="AQ253" s="473" t="str">
        <f t="shared" si="71"/>
        <v/>
      </c>
      <c r="AR253" s="473" t="str">
        <f t="shared" si="72"/>
        <v/>
      </c>
      <c r="AS253" s="473" t="str">
        <f t="shared" si="73"/>
        <v/>
      </c>
      <c r="AT253" s="473" t="str">
        <f t="shared" si="74"/>
        <v/>
      </c>
      <c r="AU253" s="473" t="str">
        <f t="shared" si="75"/>
        <v/>
      </c>
      <c r="AZ253" s="497" t="s">
        <v>8145</v>
      </c>
      <c r="BA253" s="34" t="s">
        <v>473</v>
      </c>
      <c r="BB253" s="499"/>
      <c r="BC253" s="271"/>
      <c r="BD253" s="279">
        <v>1</v>
      </c>
      <c r="BE253" s="271"/>
      <c r="BF253" s="271"/>
      <c r="BG253" s="271"/>
      <c r="BH253" s="271"/>
      <c r="BI253" s="271"/>
      <c r="BJ253" s="271"/>
      <c r="BK253" s="271"/>
      <c r="BL253" s="271"/>
    </row>
    <row r="254" spans="18:64" ht="21" customHeight="1" x14ac:dyDescent="0.25">
      <c r="R254" s="34" t="s">
        <v>470</v>
      </c>
      <c r="S254" s="451"/>
      <c r="T254" s="32" t="s">
        <v>309</v>
      </c>
      <c r="V254" s="475">
        <v>6</v>
      </c>
      <c r="W254" s="475" t="str">
        <f>IF($AC$254="","",$W$252)</f>
        <v>N° 44</v>
      </c>
      <c r="X254" s="476" t="str">
        <f>IF($AC$254="","",$X$252)</f>
        <v>GRATINÉE A L'OIGNON</v>
      </c>
      <c r="Y254" s="477">
        <f>IF($X$254="","",$Y$252)</f>
        <v>61</v>
      </c>
      <c r="Z254" s="477">
        <f>IF($X$254="","",$Z$252)</f>
        <v>100</v>
      </c>
      <c r="AA254" s="477">
        <f>IF($AC$254="","",ROW($A$254)-ROW($A$252))</f>
        <v>2</v>
      </c>
      <c r="AB254" s="478"/>
      <c r="AC254" s="34" t="s">
        <v>372</v>
      </c>
      <c r="AD254" s="356"/>
      <c r="AE254" s="18">
        <v>750</v>
      </c>
      <c r="AF254" s="16" t="s">
        <v>8</v>
      </c>
      <c r="AG254" s="480">
        <f t="shared" si="64"/>
        <v>750</v>
      </c>
      <c r="AH254" s="481" t="str">
        <f t="shared" si="65"/>
        <v>G</v>
      </c>
      <c r="AI254" s="477" t="str">
        <f>IF($AC$254="","",IFERROR(INDEX($AZ$74:$AZ$119,MATCH($AH$254,$AY$74:$AY$119,0)),"AUTRE"))</f>
        <v>MASSE</v>
      </c>
      <c r="AJ254" s="482">
        <f>IF($AC$254="","",IFERROR(INDEX($BA$74:$BA$119,MATCH($AH$254,$AY$74:$AY$119,0)),1))</f>
        <v>1E-3</v>
      </c>
      <c r="AK254" s="482">
        <f t="shared" si="66"/>
        <v>0.75</v>
      </c>
      <c r="AL254" s="477" t="str">
        <f>IF($AC$254="","",IFERROR(INDEX($BB$74:$BB$119,MATCH($AH$254,$AY$74:$AY$119,0)),$AH$254))</f>
        <v>kg</v>
      </c>
      <c r="AM254" s="483" t="str">
        <f t="shared" si="67"/>
        <v>OK</v>
      </c>
      <c r="AN254" s="484">
        <f t="shared" si="68"/>
        <v>750</v>
      </c>
      <c r="AO254" s="473" t="str">
        <f t="shared" si="69"/>
        <v/>
      </c>
      <c r="AP254" s="473" t="str">
        <f t="shared" si="70"/>
        <v/>
      </c>
      <c r="AQ254" s="473" t="str">
        <f t="shared" si="71"/>
        <v/>
      </c>
      <c r="AR254" s="473" t="str">
        <f t="shared" si="72"/>
        <v/>
      </c>
      <c r="AS254" s="473" t="str">
        <f t="shared" si="73"/>
        <v/>
      </c>
      <c r="AT254" s="473" t="str">
        <f t="shared" si="74"/>
        <v/>
      </c>
      <c r="AU254" s="473" t="str">
        <f t="shared" si="75"/>
        <v/>
      </c>
      <c r="AZ254" s="497" t="s">
        <v>462</v>
      </c>
      <c r="BA254" s="34" t="s">
        <v>497</v>
      </c>
      <c r="BB254" s="499"/>
      <c r="BC254" s="271"/>
      <c r="BD254" s="279">
        <v>1</v>
      </c>
      <c r="BE254" s="271"/>
      <c r="BF254" s="271"/>
      <c r="BG254" s="271"/>
      <c r="BH254" s="271"/>
      <c r="BI254" s="271"/>
      <c r="BJ254" s="271"/>
      <c r="BK254" s="271"/>
      <c r="BL254" s="271"/>
    </row>
    <row r="255" spans="18:64" ht="21" customHeight="1" x14ac:dyDescent="0.25">
      <c r="R255" s="34" t="s">
        <v>477</v>
      </c>
      <c r="S255" s="451"/>
      <c r="T255" s="32" t="s">
        <v>311</v>
      </c>
      <c r="V255" s="475">
        <v>6</v>
      </c>
      <c r="W255" s="475" t="str">
        <f>IF($AC$255="","",$W$252)</f>
        <v>N° 44</v>
      </c>
      <c r="X255" s="476" t="str">
        <f>IF($AC$255="","",$X$252)</f>
        <v>GRATINÉE A L'OIGNON</v>
      </c>
      <c r="Y255" s="477">
        <f>IF($X$255="","",$Y$252)</f>
        <v>61</v>
      </c>
      <c r="Z255" s="477">
        <f>IF($X$255="","",$Z$252)</f>
        <v>100</v>
      </c>
      <c r="AA255" s="477">
        <f>IF($AC$255="","",ROW($A$255)-ROW($A$252))</f>
        <v>3</v>
      </c>
      <c r="AB255" s="478"/>
      <c r="AC255" s="34" t="s">
        <v>382</v>
      </c>
      <c r="AD255" s="356"/>
      <c r="AE255" s="18">
        <v>400</v>
      </c>
      <c r="AF255" s="16" t="s">
        <v>8</v>
      </c>
      <c r="AG255" s="480">
        <f t="shared" si="64"/>
        <v>400</v>
      </c>
      <c r="AH255" s="481" t="str">
        <f t="shared" si="65"/>
        <v>G</v>
      </c>
      <c r="AI255" s="477" t="str">
        <f>IF($AC$255="","",IFERROR(INDEX($AZ$74:$AZ$119,MATCH($AH$255,$AY$74:$AY$119,0)),"AUTRE"))</f>
        <v>MASSE</v>
      </c>
      <c r="AJ255" s="482">
        <f>IF($AC$255="","",IFERROR(INDEX($BA$74:$BA$119,MATCH($AH$255,$AY$74:$AY$119,0)),1))</f>
        <v>1E-3</v>
      </c>
      <c r="AK255" s="482">
        <f t="shared" si="66"/>
        <v>0.4</v>
      </c>
      <c r="AL255" s="477" t="str">
        <f>IF($AC$255="","",IFERROR(INDEX($BB$74:$BB$119,MATCH($AH$255,$AY$74:$AY$119,0)),$AH$255))</f>
        <v>kg</v>
      </c>
      <c r="AM255" s="483" t="str">
        <f t="shared" si="67"/>
        <v>OK</v>
      </c>
      <c r="AN255" s="484">
        <f t="shared" si="68"/>
        <v>400</v>
      </c>
      <c r="AO255" s="473" t="str">
        <f t="shared" si="69"/>
        <v/>
      </c>
      <c r="AP255" s="473" t="str">
        <f t="shared" si="70"/>
        <v/>
      </c>
      <c r="AQ255" s="473" t="str">
        <f t="shared" si="71"/>
        <v/>
      </c>
      <c r="AR255" s="473" t="str">
        <f t="shared" si="72"/>
        <v/>
      </c>
      <c r="AS255" s="473" t="str">
        <f t="shared" si="73"/>
        <v/>
      </c>
      <c r="AT255" s="473" t="str">
        <f t="shared" si="74"/>
        <v/>
      </c>
      <c r="AU255" s="473" t="str">
        <f t="shared" si="75"/>
        <v/>
      </c>
      <c r="AZ255" s="497" t="s">
        <v>463</v>
      </c>
      <c r="BA255" s="34" t="s">
        <v>470</v>
      </c>
      <c r="BB255" s="499"/>
      <c r="BC255" s="271"/>
      <c r="BD255" s="279">
        <v>1</v>
      </c>
      <c r="BE255" s="271"/>
      <c r="BF255" s="271"/>
      <c r="BG255" s="271"/>
      <c r="BH255" s="271"/>
      <c r="BI255" s="271"/>
      <c r="BJ255" s="271"/>
      <c r="BK255" s="271"/>
      <c r="BL255" s="271"/>
    </row>
    <row r="256" spans="18:64" ht="21" customHeight="1" x14ac:dyDescent="0.25">
      <c r="S256" s="451"/>
      <c r="T256" s="32" t="s">
        <v>8135</v>
      </c>
      <c r="V256" s="475">
        <v>6</v>
      </c>
      <c r="W256" s="475" t="str">
        <f>IF($AC$256="","",$W$252)</f>
        <v>N° 44</v>
      </c>
      <c r="X256" s="476" t="str">
        <f>IF($AC$256="","",$X$252)</f>
        <v>GRATINÉE A L'OIGNON</v>
      </c>
      <c r="Y256" s="477">
        <f>IF($X$256="","",$Y$252)</f>
        <v>61</v>
      </c>
      <c r="Z256" s="477">
        <f>IF($X$256="","",$Z$252)</f>
        <v>100</v>
      </c>
      <c r="AA256" s="477">
        <f>IF($AC$256="","",ROW($A$256)-ROW($A$252))</f>
        <v>4</v>
      </c>
      <c r="AB256" s="478"/>
      <c r="AC256" s="34" t="s">
        <v>273</v>
      </c>
      <c r="AD256" s="356"/>
      <c r="AE256" s="18">
        <v>25</v>
      </c>
      <c r="AF256" s="20" t="s">
        <v>9</v>
      </c>
      <c r="AG256" s="480">
        <f t="shared" si="64"/>
        <v>25</v>
      </c>
      <c r="AH256" s="481" t="str">
        <f t="shared" si="65"/>
        <v>L</v>
      </c>
      <c r="AI256" s="477" t="str">
        <f>IF($AC$256="","",IFERROR(INDEX($AZ$74:$AZ$119,MATCH($AH$256,$AY$74:$AY$119,0)),"AUTRE"))</f>
        <v>VOLUME</v>
      </c>
      <c r="AJ256" s="482">
        <f>IF($AC$256="","",IFERROR(INDEX($BA$74:$BA$119,MATCH($AH$256,$AY$74:$AY$119,0)),1))</f>
        <v>1</v>
      </c>
      <c r="AK256" s="482">
        <f t="shared" si="66"/>
        <v>25</v>
      </c>
      <c r="AL256" s="477" t="str">
        <f>IF($AC$256="","",IFERROR(INDEX($BB$74:$BB$119,MATCH($AH$256,$AY$74:$AY$119,0)),$AH$256))</f>
        <v>L</v>
      </c>
      <c r="AM256" s="483" t="str">
        <f t="shared" si="67"/>
        <v>OK</v>
      </c>
      <c r="AN256" s="484">
        <f t="shared" si="68"/>
        <v>25</v>
      </c>
      <c r="AO256" s="473" t="str">
        <f t="shared" si="69"/>
        <v/>
      </c>
      <c r="AP256" s="473" t="str">
        <f t="shared" si="70"/>
        <v/>
      </c>
      <c r="AQ256" s="473" t="str">
        <f t="shared" si="71"/>
        <v/>
      </c>
      <c r="AR256" s="473" t="str">
        <f t="shared" si="72"/>
        <v/>
      </c>
      <c r="AS256" s="473" t="str">
        <f t="shared" si="73"/>
        <v/>
      </c>
      <c r="AT256" s="473" t="str">
        <f t="shared" si="74"/>
        <v/>
      </c>
      <c r="AU256" s="473" t="str">
        <f t="shared" si="75"/>
        <v/>
      </c>
      <c r="AZ256" s="497" t="s">
        <v>8147</v>
      </c>
      <c r="BA256" s="34" t="s">
        <v>477</v>
      </c>
      <c r="BB256" s="499"/>
      <c r="BC256" s="271"/>
      <c r="BD256" s="279">
        <v>1</v>
      </c>
      <c r="BE256" s="271"/>
      <c r="BF256" s="271"/>
      <c r="BG256" s="271"/>
      <c r="BH256" s="271"/>
      <c r="BI256" s="271"/>
      <c r="BJ256" s="271"/>
      <c r="BK256" s="271"/>
      <c r="BL256" s="271"/>
    </row>
    <row r="257" spans="18:64" ht="21" customHeight="1" x14ac:dyDescent="0.25">
      <c r="R257" s="25" t="s">
        <v>6134</v>
      </c>
      <c r="S257" s="451"/>
      <c r="T257" s="497" t="s">
        <v>462</v>
      </c>
      <c r="V257" s="475">
        <v>6</v>
      </c>
      <c r="W257" s="475" t="str">
        <f>IF($AC$257="","",$W$252)</f>
        <v>N° 44</v>
      </c>
      <c r="X257" s="476" t="str">
        <f>IF($AC$257="","",$X$252)</f>
        <v>GRATINÉE A L'OIGNON</v>
      </c>
      <c r="Y257" s="477">
        <f>IF($X$257="","",$Y$252)</f>
        <v>61</v>
      </c>
      <c r="Z257" s="477">
        <f>IF($X$257="","",$Z$252)</f>
        <v>100</v>
      </c>
      <c r="AA257" s="477">
        <f>IF($AC$257="","",ROW($A$257)-ROW($A$252))</f>
        <v>5</v>
      </c>
      <c r="AB257" s="478"/>
      <c r="AC257" s="34" t="s">
        <v>67</v>
      </c>
      <c r="AD257" s="356"/>
      <c r="AE257" s="23" t="s">
        <v>33</v>
      </c>
      <c r="AF257" s="19"/>
      <c r="AG257" s="480" t="str">
        <f t="shared" si="64"/>
        <v>QT. SUFFISANTE</v>
      </c>
      <c r="AH257" s="481" t="str">
        <f t="shared" si="65"/>
        <v/>
      </c>
      <c r="AI257" s="477" t="str">
        <f>IF($AC$257="","",IFERROR(INDEX($AZ$74:$AZ$119,MATCH($AH$257,$AY$74:$AY$119,0)),"AUTRE"))</f>
        <v>AUTRE</v>
      </c>
      <c r="AJ257" s="482">
        <f>IF($AC$257="","",IFERROR(INDEX($BA$74:$BA$119,MATCH($AH$257,$AY$74:$AY$119,0)),1))</f>
        <v>1</v>
      </c>
      <c r="AK257" s="482" t="e">
        <f t="shared" si="66"/>
        <v>#VALUE!</v>
      </c>
      <c r="AL257" s="477" t="str">
        <f>IF($AC$257="","",IFERROR(INDEX($BB$74:$BB$119,MATCH($AH$257,$AY$74:$AY$119,0)),$AH$257))</f>
        <v/>
      </c>
      <c r="AM257" s="483" t="str">
        <f t="shared" si="67"/>
        <v>QUANTITÉ À CONTRÔLER</v>
      </c>
      <c r="AN257" s="484" t="str">
        <f t="shared" si="68"/>
        <v>QT. SUFFISANTE</v>
      </c>
      <c r="AO257" s="473" t="str">
        <f t="shared" si="69"/>
        <v/>
      </c>
      <c r="AP257" s="473" t="str">
        <f t="shared" si="70"/>
        <v/>
      </c>
      <c r="AQ257" s="473" t="str">
        <f t="shared" si="71"/>
        <v/>
      </c>
      <c r="AR257" s="473" t="str">
        <f t="shared" si="72"/>
        <v/>
      </c>
      <c r="AS257" s="473" t="str">
        <f t="shared" si="73"/>
        <v/>
      </c>
      <c r="AT257" s="473" t="str">
        <f t="shared" si="74"/>
        <v/>
      </c>
      <c r="AU257" s="473" t="str">
        <f t="shared" si="75"/>
        <v/>
      </c>
      <c r="AZ257" s="497" t="s">
        <v>465</v>
      </c>
      <c r="BB257" s="499"/>
      <c r="BC257" s="271"/>
      <c r="BD257" s="279">
        <v>1</v>
      </c>
      <c r="BE257" s="271"/>
      <c r="BF257" s="271"/>
      <c r="BG257" s="271"/>
      <c r="BH257" s="271"/>
      <c r="BI257" s="271"/>
      <c r="BJ257" s="271"/>
      <c r="BK257" s="271"/>
      <c r="BL257" s="271"/>
    </row>
    <row r="258" spans="18:64" ht="21" customHeight="1" x14ac:dyDescent="0.25">
      <c r="R258" s="34" t="s">
        <v>481</v>
      </c>
      <c r="S258" s="451"/>
      <c r="T258" s="497" t="s">
        <v>463</v>
      </c>
      <c r="V258" s="475">
        <v>6</v>
      </c>
      <c r="W258" s="475" t="str">
        <f>IF($AC$258="","",$W$252)</f>
        <v>N° 44</v>
      </c>
      <c r="X258" s="476" t="str">
        <f>IF($AC$258="","",$X$252)</f>
        <v>GRATINÉE A L'OIGNON</v>
      </c>
      <c r="Y258" s="477">
        <f>IF($X$258="","",$Y$252)</f>
        <v>61</v>
      </c>
      <c r="Z258" s="477">
        <f>IF($X$258="","",$Z$252)</f>
        <v>100</v>
      </c>
      <c r="AA258" s="477">
        <f>IF($AC$258="","",ROW($A$258)-ROW($A$252))</f>
        <v>6</v>
      </c>
      <c r="AB258" s="478"/>
      <c r="AC258" s="34" t="s">
        <v>44</v>
      </c>
      <c r="AD258" s="356"/>
      <c r="AE258" s="18">
        <v>15</v>
      </c>
      <c r="AF258" s="16" t="s">
        <v>8</v>
      </c>
      <c r="AG258" s="480">
        <f t="shared" si="64"/>
        <v>15</v>
      </c>
      <c r="AH258" s="481" t="str">
        <f t="shared" si="65"/>
        <v>G</v>
      </c>
      <c r="AI258" s="477" t="str">
        <f>IF($AC$258="","",IFERROR(INDEX($AZ$74:$AZ$119,MATCH($AH$258,$AY$74:$AY$119,0)),"AUTRE"))</f>
        <v>MASSE</v>
      </c>
      <c r="AJ258" s="482">
        <f>IF($AC$258="","",IFERROR(INDEX($BA$74:$BA$119,MATCH($AH$258,$AY$74:$AY$119,0)),1))</f>
        <v>1E-3</v>
      </c>
      <c r="AK258" s="482">
        <f t="shared" si="66"/>
        <v>1.4999999999999999E-2</v>
      </c>
      <c r="AL258" s="477" t="str">
        <f>IF($AC$258="","",IFERROR(INDEX($BB$74:$BB$119,MATCH($AH$258,$AY$74:$AY$119,0)),$AH$258))</f>
        <v>kg</v>
      </c>
      <c r="AM258" s="483" t="str">
        <f t="shared" si="67"/>
        <v>OK</v>
      </c>
      <c r="AN258" s="484">
        <f t="shared" si="68"/>
        <v>15</v>
      </c>
      <c r="AO258" s="473" t="str">
        <f t="shared" si="69"/>
        <v/>
      </c>
      <c r="AP258" s="473" t="str">
        <f t="shared" si="70"/>
        <v/>
      </c>
      <c r="AQ258" s="473" t="str">
        <f t="shared" si="71"/>
        <v/>
      </c>
      <c r="AR258" s="473" t="str">
        <f t="shared" si="72"/>
        <v/>
      </c>
      <c r="AS258" s="473" t="str">
        <f t="shared" si="73"/>
        <v/>
      </c>
      <c r="AT258" s="473" t="str">
        <f t="shared" si="74"/>
        <v/>
      </c>
      <c r="AU258" s="473" t="str">
        <f t="shared" si="75"/>
        <v/>
      </c>
      <c r="AZ258" s="497" t="s">
        <v>466</v>
      </c>
      <c r="BA258" s="25" t="s">
        <v>6134</v>
      </c>
      <c r="BB258" s="499"/>
      <c r="BC258" s="271"/>
      <c r="BD258" s="279">
        <v>1</v>
      </c>
      <c r="BE258" s="271"/>
      <c r="BF258" s="271"/>
      <c r="BG258" s="271"/>
      <c r="BH258" s="271"/>
      <c r="BI258" s="271"/>
      <c r="BJ258" s="271"/>
      <c r="BK258" s="271"/>
      <c r="BL258" s="271"/>
    </row>
    <row r="259" spans="18:64" ht="21" customHeight="1" x14ac:dyDescent="0.25">
      <c r="R259" s="34" t="s">
        <v>475</v>
      </c>
      <c r="S259" s="451"/>
      <c r="T259" s="497" t="s">
        <v>8147</v>
      </c>
      <c r="V259" s="475">
        <v>6</v>
      </c>
      <c r="W259" s="475" t="str">
        <f>IF($AC$259="","",$W$252)</f>
        <v>N° 44</v>
      </c>
      <c r="X259" s="476" t="str">
        <f>IF($AC$259="","",$X$252)</f>
        <v>GRATINÉE A L'OIGNON</v>
      </c>
      <c r="Y259" s="477">
        <f>IF($X$259="","",$Y$252)</f>
        <v>61</v>
      </c>
      <c r="Z259" s="477">
        <f>IF($X$259="","",$Z$252)</f>
        <v>100</v>
      </c>
      <c r="AA259" s="477">
        <f>IF($AC$259="","",ROW($A$259)-ROW($A$252))</f>
        <v>7</v>
      </c>
      <c r="AB259" s="478"/>
      <c r="AC259" s="34" t="s">
        <v>394</v>
      </c>
      <c r="AD259" s="356"/>
      <c r="AE259" s="18">
        <v>5</v>
      </c>
      <c r="AF259" s="23" t="s">
        <v>309</v>
      </c>
      <c r="AG259" s="480">
        <f t="shared" si="64"/>
        <v>5</v>
      </c>
      <c r="AH259" s="481" t="str">
        <f t="shared" si="65"/>
        <v>PIÈCE(S)</v>
      </c>
      <c r="AI259" s="477" t="str">
        <f>IF($AC$259="","",IFERROR(INDEX($AZ$74:$AZ$119,MATCH($AH$259,$AY$74:$AY$119,0)),"AUTRE"))</f>
        <v>AUTRE</v>
      </c>
      <c r="AJ259" s="482">
        <f>IF($AC$259="","",IFERROR(INDEX($BA$74:$BA$119,MATCH($AH$259,$AY$74:$AY$119,0)),1))</f>
        <v>1</v>
      </c>
      <c r="AK259" s="482">
        <f t="shared" si="66"/>
        <v>5</v>
      </c>
      <c r="AL259" s="477" t="str">
        <f>IF($AC$259="","",IFERROR(INDEX($BB$74:$BB$119,MATCH($AH$259,$AY$74:$AY$119,0)),$AH$259))</f>
        <v>pièce(s)</v>
      </c>
      <c r="AM259" s="483" t="str">
        <f t="shared" si="67"/>
        <v>OK</v>
      </c>
      <c r="AN259" s="484">
        <f t="shared" si="68"/>
        <v>5</v>
      </c>
      <c r="AO259" s="473" t="str">
        <f t="shared" si="69"/>
        <v/>
      </c>
      <c r="AP259" s="473" t="str">
        <f t="shared" si="70"/>
        <v/>
      </c>
      <c r="AQ259" s="473" t="str">
        <f t="shared" si="71"/>
        <v/>
      </c>
      <c r="AR259" s="473" t="str">
        <f t="shared" si="72"/>
        <v/>
      </c>
      <c r="AS259" s="473" t="str">
        <f t="shared" si="73"/>
        <v/>
      </c>
      <c r="AT259" s="473" t="str">
        <f t="shared" si="74"/>
        <v/>
      </c>
      <c r="AU259" s="473" t="str">
        <f t="shared" si="75"/>
        <v/>
      </c>
      <c r="AZ259" s="14" t="s">
        <v>7</v>
      </c>
      <c r="BA259" s="34" t="s">
        <v>481</v>
      </c>
      <c r="BB259" s="499"/>
      <c r="BC259" s="271"/>
      <c r="BD259" s="279">
        <v>1</v>
      </c>
      <c r="BE259" s="271"/>
      <c r="BF259" s="271"/>
      <c r="BG259" s="271"/>
      <c r="BH259" s="271"/>
      <c r="BI259" s="271"/>
      <c r="BJ259" s="271"/>
      <c r="BK259" s="271"/>
      <c r="BL259" s="271"/>
    </row>
    <row r="260" spans="18:64" ht="21" customHeight="1" x14ac:dyDescent="0.25">
      <c r="R260" s="34" t="s">
        <v>457</v>
      </c>
      <c r="S260" s="451"/>
      <c r="T260" s="497" t="s">
        <v>465</v>
      </c>
      <c r="V260" s="475">
        <v>6</v>
      </c>
      <c r="W260" s="475" t="str">
        <f>IF($AC$260="","",$W$252)</f>
        <v>N° 44</v>
      </c>
      <c r="X260" s="476" t="str">
        <f>IF($AC$260="","",$X$252)</f>
        <v>GRATINÉE A L'OIGNON</v>
      </c>
      <c r="Y260" s="477">
        <f>IF($X$260="","",$Y$252)</f>
        <v>61</v>
      </c>
      <c r="Z260" s="477">
        <f>IF($X$260="","",$Z$252)</f>
        <v>100</v>
      </c>
      <c r="AA260" s="477">
        <f>IF($AC$260="","",ROW($A$260)-ROW($A$252))</f>
        <v>8</v>
      </c>
      <c r="AB260" s="478"/>
      <c r="AC260" s="34" t="s">
        <v>422</v>
      </c>
      <c r="AD260" s="356"/>
      <c r="AE260" s="18">
        <v>3</v>
      </c>
      <c r="AF260" s="11" t="s">
        <v>7</v>
      </c>
      <c r="AG260" s="480">
        <f t="shared" si="64"/>
        <v>3</v>
      </c>
      <c r="AH260" s="481" t="str">
        <f t="shared" si="65"/>
        <v>KG</v>
      </c>
      <c r="AI260" s="477" t="str">
        <f>IF($AC$260="","",IFERROR(INDEX($AZ$74:$AZ$119,MATCH($AH$260,$AY$74:$AY$119,0)),"AUTRE"))</f>
        <v>MASSE</v>
      </c>
      <c r="AJ260" s="482">
        <f>IF($AC$260="","",IFERROR(INDEX($BA$74:$BA$119,MATCH($AH$260,$AY$74:$AY$119,0)),1))</f>
        <v>1</v>
      </c>
      <c r="AK260" s="482">
        <f t="shared" si="66"/>
        <v>3</v>
      </c>
      <c r="AL260" s="477" t="str">
        <f>IF($AC$260="","",IFERROR(INDEX($BB$74:$BB$119,MATCH($AH$260,$AY$74:$AY$119,0)),$AH$260))</f>
        <v>kg</v>
      </c>
      <c r="AM260" s="483" t="str">
        <f t="shared" si="67"/>
        <v>OK</v>
      </c>
      <c r="AN260" s="484">
        <f t="shared" si="68"/>
        <v>3</v>
      </c>
      <c r="AO260" s="473" t="str">
        <f t="shared" si="69"/>
        <v/>
      </c>
      <c r="AP260" s="473" t="str">
        <f t="shared" si="70"/>
        <v/>
      </c>
      <c r="AQ260" s="473" t="str">
        <f t="shared" si="71"/>
        <v/>
      </c>
      <c r="AR260" s="473" t="str">
        <f t="shared" si="72"/>
        <v/>
      </c>
      <c r="AS260" s="473" t="str">
        <f t="shared" si="73"/>
        <v/>
      </c>
      <c r="AT260" s="473" t="str">
        <f t="shared" si="74"/>
        <v/>
      </c>
      <c r="AU260" s="473" t="str">
        <f t="shared" si="75"/>
        <v/>
      </c>
      <c r="AZ260" s="27" t="s">
        <v>8</v>
      </c>
      <c r="BA260" s="34" t="s">
        <v>475</v>
      </c>
      <c r="BB260" s="499"/>
      <c r="BC260" s="271"/>
      <c r="BD260" s="279">
        <v>1</v>
      </c>
      <c r="BE260" s="271"/>
      <c r="BF260" s="271"/>
      <c r="BG260" s="271"/>
      <c r="BH260" s="271"/>
      <c r="BI260" s="271"/>
      <c r="BJ260" s="271"/>
      <c r="BK260" s="271"/>
      <c r="BL260" s="271"/>
    </row>
    <row r="261" spans="18:64" ht="21" customHeight="1" x14ac:dyDescent="0.25">
      <c r="R261" s="34" t="s">
        <v>482</v>
      </c>
      <c r="S261" s="451"/>
      <c r="T261" s="497" t="s">
        <v>466</v>
      </c>
      <c r="V261" s="475">
        <v>6</v>
      </c>
      <c r="W261" s="475" t="str">
        <f>IF($AC$261="","",$W$252)</f>
        <v/>
      </c>
      <c r="X261" s="476" t="str">
        <f>IF($AC$261="","",$X$252)</f>
        <v/>
      </c>
      <c r="Y261" s="477" t="str">
        <f>IF($X$261="","",$Y$252)</f>
        <v/>
      </c>
      <c r="Z261" s="477" t="str">
        <f>IF($X$261="","",$Z$252)</f>
        <v/>
      </c>
      <c r="AA261" s="477" t="str">
        <f>IF($AC$261="","",ROW($A$261)-ROW($A$252))</f>
        <v/>
      </c>
      <c r="AB261" s="478"/>
      <c r="AC261" s="34"/>
      <c r="AD261" s="356"/>
      <c r="AE261" s="18"/>
      <c r="AF261" s="19"/>
      <c r="AG261" s="480" t="str">
        <f t="shared" si="64"/>
        <v/>
      </c>
      <c r="AH261" s="481" t="str">
        <f t="shared" si="65"/>
        <v/>
      </c>
      <c r="AI261" s="477" t="str">
        <f>IF($AC$261="","",IFERROR(INDEX($AZ$74:$AZ$119,MATCH($AH$261,$AY$74:$AY$119,0)),"AUTRE"))</f>
        <v/>
      </c>
      <c r="AJ261" s="482" t="str">
        <f>IF($AC$261="","",IFERROR(INDEX($BA$74:$BA$119,MATCH($AH$261,$AY$74:$AY$119,0)),1))</f>
        <v/>
      </c>
      <c r="AK261" s="482" t="str">
        <f t="shared" si="66"/>
        <v/>
      </c>
      <c r="AL261" s="477" t="str">
        <f>IF($AC$261="","",IFERROR(INDEX($BB$74:$BB$119,MATCH($AH$261,$AY$74:$AY$119,0)),$AH$261))</f>
        <v/>
      </c>
      <c r="AM261" s="483" t="str">
        <f t="shared" si="67"/>
        <v/>
      </c>
      <c r="AN261" s="484" t="str">
        <f t="shared" si="68"/>
        <v/>
      </c>
      <c r="AO261" s="473" t="str">
        <f t="shared" si="69"/>
        <v/>
      </c>
      <c r="AP261" s="473" t="str">
        <f t="shared" si="70"/>
        <v/>
      </c>
      <c r="AQ261" s="473" t="str">
        <f t="shared" si="71"/>
        <v/>
      </c>
      <c r="AR261" s="473" t="str">
        <f t="shared" si="72"/>
        <v/>
      </c>
      <c r="AS261" s="473" t="str">
        <f t="shared" si="73"/>
        <v/>
      </c>
      <c r="AT261" s="473" t="str">
        <f t="shared" si="74"/>
        <v/>
      </c>
      <c r="AU261" s="473" t="str">
        <f t="shared" si="75"/>
        <v/>
      </c>
      <c r="AZ261" s="28" t="s">
        <v>13</v>
      </c>
      <c r="BA261" s="34" t="s">
        <v>457</v>
      </c>
      <c r="BB261" s="499"/>
      <c r="BC261" s="271"/>
      <c r="BD261" s="279">
        <v>1</v>
      </c>
      <c r="BE261" s="271"/>
      <c r="BF261" s="271"/>
      <c r="BG261" s="271"/>
      <c r="BH261" s="271"/>
      <c r="BI261" s="271"/>
      <c r="BJ261" s="271"/>
      <c r="BK261" s="271"/>
      <c r="BL261" s="271"/>
    </row>
    <row r="262" spans="18:64" ht="21" customHeight="1" x14ac:dyDescent="0.25">
      <c r="R262" s="34" t="s">
        <v>496</v>
      </c>
      <c r="S262" s="451"/>
      <c r="T262" s="440" t="s">
        <v>8110</v>
      </c>
      <c r="V262" s="475">
        <v>6</v>
      </c>
      <c r="W262" s="475" t="str">
        <f>IF($AC$262="","",$W$252)</f>
        <v/>
      </c>
      <c r="X262" s="476" t="str">
        <f>IF($AC$262="","",$X$252)</f>
        <v/>
      </c>
      <c r="Y262" s="477" t="str">
        <f>IF($X$262="","",$Y$252)</f>
        <v/>
      </c>
      <c r="Z262" s="477" t="str">
        <f>IF($X$262="","",$Z$252)</f>
        <v/>
      </c>
      <c r="AA262" s="477" t="str">
        <f>IF($AC$262="","",ROW($A$262)-ROW($A$252))</f>
        <v/>
      </c>
      <c r="AB262" s="478"/>
      <c r="AC262" s="34"/>
      <c r="AD262" s="356"/>
      <c r="AE262" s="18"/>
      <c r="AF262" s="19"/>
      <c r="AG262" s="480" t="str">
        <f t="shared" si="64"/>
        <v/>
      </c>
      <c r="AH262" s="481" t="str">
        <f t="shared" si="65"/>
        <v/>
      </c>
      <c r="AI262" s="477" t="str">
        <f>IF($AC$262="","",IFERROR(INDEX($AZ$74:$AZ$119,MATCH($AH$262,$AY$74:$AY$119,0)),"AUTRE"))</f>
        <v/>
      </c>
      <c r="AJ262" s="482" t="str">
        <f>IF($AC$262="","",IFERROR(INDEX($BA$74:$BA$119,MATCH($AH$262,$AY$74:$AY$119,0)),1))</f>
        <v/>
      </c>
      <c r="AK262" s="482" t="str">
        <f t="shared" si="66"/>
        <v/>
      </c>
      <c r="AL262" s="477" t="str">
        <f>IF($AC$262="","",IFERROR(INDEX($BB$74:$BB$119,MATCH($AH$262,$AY$74:$AY$119,0)),$AH$262))</f>
        <v/>
      </c>
      <c r="AM262" s="483" t="str">
        <f t="shared" si="67"/>
        <v/>
      </c>
      <c r="AN262" s="484" t="str">
        <f t="shared" si="68"/>
        <v/>
      </c>
      <c r="AO262" s="473" t="str">
        <f t="shared" si="69"/>
        <v/>
      </c>
      <c r="AP262" s="473" t="str">
        <f t="shared" si="70"/>
        <v/>
      </c>
      <c r="AQ262" s="473" t="str">
        <f t="shared" si="71"/>
        <v/>
      </c>
      <c r="AR262" s="473" t="str">
        <f t="shared" si="72"/>
        <v/>
      </c>
      <c r="AS262" s="473" t="str">
        <f t="shared" si="73"/>
        <v/>
      </c>
      <c r="AT262" s="473" t="str">
        <f t="shared" si="74"/>
        <v/>
      </c>
      <c r="AU262" s="473" t="str">
        <f t="shared" si="75"/>
        <v/>
      </c>
      <c r="AZ262" s="28" t="s">
        <v>14</v>
      </c>
      <c r="BA262" s="34" t="s">
        <v>482</v>
      </c>
      <c r="BB262" s="499"/>
      <c r="BC262" s="271"/>
      <c r="BD262" s="279">
        <v>1</v>
      </c>
      <c r="BE262" s="271"/>
      <c r="BF262" s="271"/>
      <c r="BG262" s="271"/>
      <c r="BH262" s="271"/>
      <c r="BI262" s="271"/>
      <c r="BJ262" s="271"/>
      <c r="BK262" s="271"/>
      <c r="BL262" s="271"/>
    </row>
    <row r="263" spans="18:64" ht="21" customHeight="1" x14ac:dyDescent="0.25">
      <c r="R263" s="34" t="s">
        <v>483</v>
      </c>
      <c r="S263" s="451"/>
      <c r="T263" s="452" t="s">
        <v>8113</v>
      </c>
      <c r="V263" s="475">
        <v>6</v>
      </c>
      <c r="W263" s="475" t="str">
        <f>IF($AC$263="","",$W$252)</f>
        <v/>
      </c>
      <c r="X263" s="476" t="str">
        <f>IF($AC$263="","",$X$252)</f>
        <v/>
      </c>
      <c r="Y263" s="477" t="str">
        <f>IF($X$263="","",$Y$252)</f>
        <v/>
      </c>
      <c r="Z263" s="477" t="str">
        <f>IF($X$263="","",$Z$252)</f>
        <v/>
      </c>
      <c r="AA263" s="477" t="str">
        <f>IF($AC$263="","",ROW($A$263)-ROW($A$252))</f>
        <v/>
      </c>
      <c r="AB263" s="478"/>
      <c r="AC263" s="34"/>
      <c r="AD263" s="356"/>
      <c r="AE263" s="18"/>
      <c r="AF263" s="19"/>
      <c r="AG263" s="480" t="str">
        <f t="shared" si="64"/>
        <v/>
      </c>
      <c r="AH263" s="481" t="str">
        <f t="shared" si="65"/>
        <v/>
      </c>
      <c r="AI263" s="477" t="str">
        <f>IF($AC$263="","",IFERROR(INDEX($AZ$74:$AZ$119,MATCH($AH$263,$AY$74:$AY$119,0)),"AUTRE"))</f>
        <v/>
      </c>
      <c r="AJ263" s="482" t="str">
        <f>IF($AC$263="","",IFERROR(INDEX($BA$74:$BA$119,MATCH($AH$263,$AY$74:$AY$119,0)),1))</f>
        <v/>
      </c>
      <c r="AK263" s="482" t="str">
        <f t="shared" si="66"/>
        <v/>
      </c>
      <c r="AL263" s="477" t="str">
        <f>IF($AC$263="","",IFERROR(INDEX($BB$74:$BB$119,MATCH($AH$263,$AY$74:$AY$119,0)),$AH$263))</f>
        <v/>
      </c>
      <c r="AM263" s="483" t="str">
        <f t="shared" si="67"/>
        <v/>
      </c>
      <c r="AN263" s="484" t="str">
        <f t="shared" si="68"/>
        <v/>
      </c>
      <c r="AO263" s="473" t="str">
        <f t="shared" si="69"/>
        <v/>
      </c>
      <c r="AP263" s="473" t="str">
        <f t="shared" si="70"/>
        <v/>
      </c>
      <c r="AQ263" s="473" t="str">
        <f t="shared" si="71"/>
        <v/>
      </c>
      <c r="AR263" s="473" t="str">
        <f t="shared" si="72"/>
        <v/>
      </c>
      <c r="AS263" s="473" t="str">
        <f t="shared" si="73"/>
        <v/>
      </c>
      <c r="AT263" s="473" t="str">
        <f t="shared" si="74"/>
        <v/>
      </c>
      <c r="AU263" s="473" t="str">
        <f t="shared" si="75"/>
        <v/>
      </c>
      <c r="AZ263" s="28" t="s">
        <v>15</v>
      </c>
      <c r="BA263" s="34" t="s">
        <v>496</v>
      </c>
      <c r="BB263" s="499"/>
      <c r="BC263" s="271"/>
      <c r="BD263" s="279">
        <v>1</v>
      </c>
      <c r="BE263" s="271"/>
      <c r="BF263" s="271"/>
      <c r="BG263" s="271"/>
      <c r="BH263" s="271"/>
      <c r="BI263" s="271"/>
      <c r="BJ263" s="271"/>
      <c r="BK263" s="271"/>
      <c r="BL263" s="271"/>
    </row>
    <row r="264" spans="18:64" ht="21" customHeight="1" x14ac:dyDescent="0.25">
      <c r="R264" s="34" t="s">
        <v>493</v>
      </c>
      <c r="S264" s="451"/>
      <c r="T264" s="14" t="s">
        <v>7</v>
      </c>
      <c r="V264" s="475">
        <v>6</v>
      </c>
      <c r="W264" s="475" t="str">
        <f>IF($AC$264="","",$W$252)</f>
        <v/>
      </c>
      <c r="X264" s="476" t="str">
        <f>IF($AC$264="","",$X$252)</f>
        <v/>
      </c>
      <c r="Y264" s="477" t="str">
        <f>IF($X$264="","",$Y$252)</f>
        <v/>
      </c>
      <c r="Z264" s="477" t="str">
        <f>IF($X$264="","",$Z$252)</f>
        <v/>
      </c>
      <c r="AA264" s="477" t="str">
        <f>IF($AC$264="","",ROW($A$264)-ROW($A$252))</f>
        <v/>
      </c>
      <c r="AB264" s="478"/>
      <c r="AC264" s="34"/>
      <c r="AD264" s="356"/>
      <c r="AE264" s="18"/>
      <c r="AF264" s="19"/>
      <c r="AG264" s="480" t="str">
        <f t="shared" si="64"/>
        <v/>
      </c>
      <c r="AH264" s="481" t="str">
        <f t="shared" si="65"/>
        <v/>
      </c>
      <c r="AI264" s="477" t="str">
        <f>IF($AC$264="","",IFERROR(INDEX($AZ$74:$AZ$119,MATCH($AH$264,$AY$74:$AY$119,0)),"AUTRE"))</f>
        <v/>
      </c>
      <c r="AJ264" s="482" t="str">
        <f>IF($AC$264="","",IFERROR(INDEX($BA$74:$BA$119,MATCH($AH$264,$AY$74:$AY$119,0)),1))</f>
        <v/>
      </c>
      <c r="AK264" s="482" t="str">
        <f t="shared" si="66"/>
        <v/>
      </c>
      <c r="AL264" s="477" t="str">
        <f>IF($AC$264="","",IFERROR(INDEX($BB$74:$BB$119,MATCH($AH$264,$AY$74:$AY$119,0)),$AH$264))</f>
        <v/>
      </c>
      <c r="AM264" s="483" t="str">
        <f t="shared" si="67"/>
        <v/>
      </c>
      <c r="AN264" s="484" t="str">
        <f t="shared" si="68"/>
        <v/>
      </c>
      <c r="AO264" s="473" t="str">
        <f t="shared" si="69"/>
        <v/>
      </c>
      <c r="AP264" s="473" t="str">
        <f t="shared" si="70"/>
        <v/>
      </c>
      <c r="AQ264" s="473" t="str">
        <f t="shared" si="71"/>
        <v/>
      </c>
      <c r="AR264" s="473" t="str">
        <f t="shared" si="72"/>
        <v/>
      </c>
      <c r="AS264" s="473" t="str">
        <f t="shared" si="73"/>
        <v/>
      </c>
      <c r="AT264" s="473" t="str">
        <f t="shared" si="74"/>
        <v/>
      </c>
      <c r="AU264" s="473" t="str">
        <f t="shared" si="75"/>
        <v/>
      </c>
      <c r="AZ264" s="29" t="s">
        <v>9</v>
      </c>
      <c r="BA264" s="34" t="s">
        <v>483</v>
      </c>
      <c r="BB264" s="499"/>
      <c r="BC264" s="271"/>
      <c r="BD264" s="279">
        <v>1</v>
      </c>
      <c r="BE264" s="271"/>
      <c r="BF264" s="271"/>
      <c r="BG264" s="271"/>
      <c r="BH264" s="271"/>
      <c r="BI264" s="271"/>
      <c r="BJ264" s="271"/>
      <c r="BK264" s="271"/>
      <c r="BL264" s="271"/>
    </row>
    <row r="265" spans="18:64" ht="21" customHeight="1" x14ac:dyDescent="0.25">
      <c r="R265" s="34" t="s">
        <v>494</v>
      </c>
      <c r="S265" s="451"/>
      <c r="T265" s="27" t="s">
        <v>8</v>
      </c>
      <c r="V265" s="475">
        <v>6</v>
      </c>
      <c r="W265" s="475" t="str">
        <f>IF($AC$265="","",$W$252)</f>
        <v/>
      </c>
      <c r="X265" s="476" t="str">
        <f>IF($AC$265="","",$X$252)</f>
        <v/>
      </c>
      <c r="Y265" s="477" t="str">
        <f>IF($X$265="","",$Y$252)</f>
        <v/>
      </c>
      <c r="Z265" s="477" t="str">
        <f>IF($X$265="","",$Z$252)</f>
        <v/>
      </c>
      <c r="AA265" s="477" t="str">
        <f>IF($AC$265="","",ROW($A$265)-ROW($A$252))</f>
        <v/>
      </c>
      <c r="AB265" s="478"/>
      <c r="AC265" s="34"/>
      <c r="AD265" s="356"/>
      <c r="AE265" s="18"/>
      <c r="AF265" s="19"/>
      <c r="AG265" s="480" t="str">
        <f t="shared" si="64"/>
        <v/>
      </c>
      <c r="AH265" s="481" t="str">
        <f t="shared" si="65"/>
        <v/>
      </c>
      <c r="AI265" s="477" t="str">
        <f>IF($AC$265="","",IFERROR(INDEX($AZ$74:$AZ$119,MATCH($AH$265,$AY$74:$AY$119,0)),"AUTRE"))</f>
        <v/>
      </c>
      <c r="AJ265" s="482" t="str">
        <f>IF($AC$265="","",IFERROR(INDEX($BA$74:$BA$119,MATCH($AH$265,$AY$74:$AY$119,0)),1))</f>
        <v/>
      </c>
      <c r="AK265" s="482" t="str">
        <f t="shared" si="66"/>
        <v/>
      </c>
      <c r="AL265" s="477" t="str">
        <f>IF($AC$265="","",IFERROR(INDEX($BB$74:$BB$119,MATCH($AH$265,$AY$74:$AY$119,0)),$AH$265))</f>
        <v/>
      </c>
      <c r="AM265" s="483" t="str">
        <f t="shared" si="67"/>
        <v/>
      </c>
      <c r="AN265" s="484" t="str">
        <f t="shared" si="68"/>
        <v/>
      </c>
      <c r="AO265" s="473" t="str">
        <f t="shared" si="69"/>
        <v/>
      </c>
      <c r="AP265" s="473" t="str">
        <f t="shared" si="70"/>
        <v/>
      </c>
      <c r="AQ265" s="473" t="str">
        <f t="shared" si="71"/>
        <v/>
      </c>
      <c r="AR265" s="473" t="str">
        <f t="shared" si="72"/>
        <v/>
      </c>
      <c r="AS265" s="473" t="str">
        <f t="shared" si="73"/>
        <v/>
      </c>
      <c r="AT265" s="473" t="str">
        <f t="shared" si="74"/>
        <v/>
      </c>
      <c r="AU265" s="473" t="str">
        <f t="shared" si="75"/>
        <v/>
      </c>
      <c r="AZ265" s="30" t="s">
        <v>10</v>
      </c>
      <c r="BA265" s="34" t="s">
        <v>493</v>
      </c>
      <c r="BB265" s="499"/>
      <c r="BC265" s="271"/>
      <c r="BD265" s="279">
        <v>1</v>
      </c>
      <c r="BE265" s="271"/>
      <c r="BF265" s="271"/>
      <c r="BG265" s="271"/>
      <c r="BH265" s="271"/>
      <c r="BI265" s="271"/>
      <c r="BJ265" s="271"/>
      <c r="BK265" s="271"/>
      <c r="BL265" s="271"/>
    </row>
    <row r="266" spans="18:64" ht="21" customHeight="1" x14ac:dyDescent="0.25">
      <c r="S266" s="451"/>
      <c r="T266" s="28" t="s">
        <v>13</v>
      </c>
      <c r="V266" s="475">
        <v>6</v>
      </c>
      <c r="W266" s="475" t="str">
        <f>IF($AC$266="","",$W$252)</f>
        <v/>
      </c>
      <c r="X266" s="476" t="str">
        <f>IF($AC$266="","",$X$252)</f>
        <v/>
      </c>
      <c r="Y266" s="477" t="str">
        <f>IF($X$266="","",$Y$252)</f>
        <v/>
      </c>
      <c r="Z266" s="477" t="str">
        <f>IF($X$266="","",$Z$252)</f>
        <v/>
      </c>
      <c r="AA266" s="477" t="str">
        <f>IF($AC$266="","",ROW($A$266)-ROW($A$252))</f>
        <v/>
      </c>
      <c r="AB266" s="478"/>
      <c r="AC266" s="34"/>
      <c r="AD266" s="356"/>
      <c r="AE266" s="18"/>
      <c r="AF266" s="19"/>
      <c r="AG266" s="480" t="str">
        <f t="shared" si="64"/>
        <v/>
      </c>
      <c r="AH266" s="481" t="str">
        <f t="shared" si="65"/>
        <v/>
      </c>
      <c r="AI266" s="477" t="str">
        <f>IF($AC$266="","",IFERROR(INDEX($AZ$74:$AZ$119,MATCH($AH$266,$AY$74:$AY$119,0)),"AUTRE"))</f>
        <v/>
      </c>
      <c r="AJ266" s="482" t="str">
        <f>IF($AC$266="","",IFERROR(INDEX($BA$74:$BA$119,MATCH($AH$266,$AY$74:$AY$119,0)),1))</f>
        <v/>
      </c>
      <c r="AK266" s="482" t="str">
        <f t="shared" si="66"/>
        <v/>
      </c>
      <c r="AL266" s="477" t="str">
        <f>IF($AC$266="","",IFERROR(INDEX($BB$74:$BB$119,MATCH($AH$266,$AY$74:$AY$119,0)),$AH$266))</f>
        <v/>
      </c>
      <c r="AM266" s="483" t="str">
        <f t="shared" si="67"/>
        <v/>
      </c>
      <c r="AN266" s="484" t="str">
        <f t="shared" si="68"/>
        <v/>
      </c>
      <c r="AO266" s="473" t="str">
        <f t="shared" si="69"/>
        <v/>
      </c>
      <c r="AP266" s="473" t="str">
        <f t="shared" si="70"/>
        <v/>
      </c>
      <c r="AQ266" s="473" t="str">
        <f t="shared" si="71"/>
        <v/>
      </c>
      <c r="AR266" s="473" t="str">
        <f t="shared" si="72"/>
        <v/>
      </c>
      <c r="AS266" s="473" t="str">
        <f t="shared" si="73"/>
        <v/>
      </c>
      <c r="AT266" s="473" t="str">
        <f t="shared" si="74"/>
        <v/>
      </c>
      <c r="AU266" s="473" t="str">
        <f t="shared" si="75"/>
        <v/>
      </c>
      <c r="AZ266" s="30" t="s">
        <v>11</v>
      </c>
      <c r="BA266" s="34" t="s">
        <v>494</v>
      </c>
      <c r="BB266" s="499"/>
      <c r="BC266" s="271"/>
      <c r="BD266" s="279">
        <v>1</v>
      </c>
      <c r="BE266" s="271"/>
      <c r="BF266" s="271"/>
      <c r="BG266" s="271"/>
      <c r="BH266" s="271"/>
      <c r="BI266" s="271"/>
      <c r="BJ266" s="271"/>
      <c r="BK266" s="271"/>
      <c r="BL266" s="271"/>
    </row>
    <row r="267" spans="18:64" ht="21" customHeight="1" x14ac:dyDescent="0.25">
      <c r="R267" s="25" t="s">
        <v>6115</v>
      </c>
      <c r="S267" s="451"/>
      <c r="T267" s="28" t="s">
        <v>14</v>
      </c>
      <c r="V267" s="475">
        <v>6</v>
      </c>
      <c r="W267" s="475" t="str">
        <f>IF($AC$267="","",$W$252)</f>
        <v/>
      </c>
      <c r="X267" s="476" t="str">
        <f>IF($AC$267="","",$X$252)</f>
        <v/>
      </c>
      <c r="Y267" s="477" t="str">
        <f>IF($X$267="","",$Y$252)</f>
        <v/>
      </c>
      <c r="Z267" s="477" t="str">
        <f>IF($X$267="","",$Z$252)</f>
        <v/>
      </c>
      <c r="AA267" s="477" t="str">
        <f>IF($AC$267="","",ROW($A$267)-ROW($A$252))</f>
        <v/>
      </c>
      <c r="AB267" s="478"/>
      <c r="AC267" s="34"/>
      <c r="AD267" s="356"/>
      <c r="AE267" s="18"/>
      <c r="AF267" s="19"/>
      <c r="AG267" s="480" t="str">
        <f t="shared" si="64"/>
        <v/>
      </c>
      <c r="AH267" s="481" t="str">
        <f t="shared" si="65"/>
        <v/>
      </c>
      <c r="AI267" s="477" t="str">
        <f>IF($AC$267="","",IFERROR(INDEX($AZ$74:$AZ$119,MATCH($AH$267,$AY$74:$AY$119,0)),"AUTRE"))</f>
        <v/>
      </c>
      <c r="AJ267" s="482" t="str">
        <f>IF($AC$267="","",IFERROR(INDEX($BA$74:$BA$119,MATCH($AH$267,$AY$74:$AY$119,0)),1))</f>
        <v/>
      </c>
      <c r="AK267" s="482" t="str">
        <f t="shared" si="66"/>
        <v/>
      </c>
      <c r="AL267" s="477" t="str">
        <f>IF($AC$267="","",IFERROR(INDEX($BB$74:$BB$119,MATCH($AH$267,$AY$74:$AY$119,0)),$AH$267))</f>
        <v/>
      </c>
      <c r="AM267" s="483" t="str">
        <f t="shared" si="67"/>
        <v/>
      </c>
      <c r="AN267" s="484" t="str">
        <f t="shared" si="68"/>
        <v/>
      </c>
      <c r="AO267" s="473" t="str">
        <f t="shared" si="69"/>
        <v/>
      </c>
      <c r="AP267" s="473" t="str">
        <f t="shared" si="70"/>
        <v/>
      </c>
      <c r="AQ267" s="473" t="str">
        <f t="shared" si="71"/>
        <v/>
      </c>
      <c r="AR267" s="473" t="str">
        <f t="shared" si="72"/>
        <v/>
      </c>
      <c r="AS267" s="473" t="str">
        <f t="shared" si="73"/>
        <v/>
      </c>
      <c r="AT267" s="473" t="str">
        <f t="shared" si="74"/>
        <v/>
      </c>
      <c r="AU267" s="473" t="str">
        <f t="shared" si="75"/>
        <v/>
      </c>
      <c r="AZ267" s="30" t="s">
        <v>12</v>
      </c>
      <c r="BB267" s="499"/>
      <c r="BC267" s="271"/>
      <c r="BD267" s="279">
        <v>1</v>
      </c>
      <c r="BE267" s="271"/>
      <c r="BF267" s="271"/>
      <c r="BG267" s="271"/>
      <c r="BH267" s="271"/>
      <c r="BI267" s="271"/>
      <c r="BJ267" s="271"/>
      <c r="BK267" s="271"/>
      <c r="BL267" s="271"/>
    </row>
    <row r="268" spans="18:64" ht="21" customHeight="1" x14ac:dyDescent="0.25">
      <c r="R268" s="34" t="s">
        <v>471</v>
      </c>
      <c r="S268" s="451"/>
      <c r="T268" s="28" t="s">
        <v>15</v>
      </c>
      <c r="V268" s="475">
        <v>6</v>
      </c>
      <c r="W268" s="475" t="str">
        <f>IF($AC$268="","",$W$252)</f>
        <v/>
      </c>
      <c r="X268" s="476" t="str">
        <f>IF($AC$268="","",$X$252)</f>
        <v/>
      </c>
      <c r="Y268" s="477" t="str">
        <f>IF($X$268="","",$Y$252)</f>
        <v/>
      </c>
      <c r="Z268" s="477" t="str">
        <f>IF($X$268="","",$Z$252)</f>
        <v/>
      </c>
      <c r="AA268" s="477" t="str">
        <f>IF($AC$268="","",ROW($A$268)-ROW($A$252))</f>
        <v/>
      </c>
      <c r="AB268" s="478"/>
      <c r="AC268" s="34"/>
      <c r="AD268" s="356"/>
      <c r="AE268" s="18"/>
      <c r="AF268" s="19"/>
      <c r="AG268" s="480" t="str">
        <f t="shared" si="64"/>
        <v/>
      </c>
      <c r="AH268" s="481" t="str">
        <f t="shared" si="65"/>
        <v/>
      </c>
      <c r="AI268" s="477" t="str">
        <f>IF($AC$268="","",IFERROR(INDEX($AZ$74:$AZ$119,MATCH($AH$268,$AY$74:$AY$119,0)),"AUTRE"))</f>
        <v/>
      </c>
      <c r="AJ268" s="482" t="str">
        <f>IF($AC$268="","",IFERROR(INDEX($BA$74:$BA$119,MATCH($AH$268,$AY$74:$AY$119,0)),1))</f>
        <v/>
      </c>
      <c r="AK268" s="482" t="str">
        <f t="shared" si="66"/>
        <v/>
      </c>
      <c r="AL268" s="477" t="str">
        <f>IF($AC$268="","",IFERROR(INDEX($BB$74:$BB$119,MATCH($AH$268,$AY$74:$AY$119,0)),$AH$268))</f>
        <v/>
      </c>
      <c r="AM268" s="483" t="str">
        <f t="shared" si="67"/>
        <v/>
      </c>
      <c r="AN268" s="484" t="str">
        <f t="shared" si="68"/>
        <v/>
      </c>
      <c r="AO268" s="473" t="str">
        <f t="shared" si="69"/>
        <v/>
      </c>
      <c r="AP268" s="473" t="str">
        <f t="shared" si="70"/>
        <v/>
      </c>
      <c r="AQ268" s="473" t="str">
        <f t="shared" si="71"/>
        <v/>
      </c>
      <c r="AR268" s="473" t="str">
        <f t="shared" si="72"/>
        <v/>
      </c>
      <c r="AS268" s="473" t="str">
        <f t="shared" si="73"/>
        <v/>
      </c>
      <c r="AT268" s="473" t="str">
        <f t="shared" si="74"/>
        <v/>
      </c>
      <c r="AU268" s="473" t="str">
        <f t="shared" si="75"/>
        <v/>
      </c>
      <c r="AZ268" s="31" t="s">
        <v>16</v>
      </c>
      <c r="BA268" s="25" t="s">
        <v>6115</v>
      </c>
      <c r="BB268" s="499"/>
      <c r="BC268" s="271"/>
      <c r="BD268" s="279">
        <v>1</v>
      </c>
      <c r="BE268" s="271"/>
      <c r="BF268" s="271"/>
      <c r="BG268" s="271"/>
      <c r="BH268" s="271"/>
      <c r="BI268" s="271"/>
      <c r="BJ268" s="271"/>
      <c r="BK268" s="271"/>
      <c r="BL268" s="271"/>
    </row>
    <row r="269" spans="18:64" ht="21" customHeight="1" x14ac:dyDescent="0.25">
      <c r="R269" s="34" t="s">
        <v>472</v>
      </c>
      <c r="S269" s="451"/>
      <c r="T269" s="28" t="s">
        <v>21</v>
      </c>
      <c r="V269" s="475">
        <v>6</v>
      </c>
      <c r="W269" s="475" t="str">
        <f>IF($AC$269="","",$W$252)</f>
        <v/>
      </c>
      <c r="X269" s="476" t="str">
        <f>IF($AC$269="","",$X$252)</f>
        <v/>
      </c>
      <c r="Y269" s="477" t="str">
        <f>IF($X$269="","",$Y$252)</f>
        <v/>
      </c>
      <c r="Z269" s="477" t="str">
        <f>IF($X$269="","",$Z$252)</f>
        <v/>
      </c>
      <c r="AA269" s="477" t="str">
        <f>IF($AC$269="","",ROW($A$269)-ROW($A$252))</f>
        <v/>
      </c>
      <c r="AB269" s="478"/>
      <c r="AC269" s="34"/>
      <c r="AD269" s="356"/>
      <c r="AE269" s="18"/>
      <c r="AF269" s="19"/>
      <c r="AG269" s="480" t="str">
        <f t="shared" si="64"/>
        <v/>
      </c>
      <c r="AH269" s="481" t="str">
        <f t="shared" si="65"/>
        <v/>
      </c>
      <c r="AI269" s="477" t="str">
        <f>IF($AC$269="","",IFERROR(INDEX($AZ$74:$AZ$119,MATCH($AH$269,$AY$74:$AY$119,0)),"AUTRE"))</f>
        <v/>
      </c>
      <c r="AJ269" s="482" t="str">
        <f>IF($AC$269="","",IFERROR(INDEX($BA$74:$BA$119,MATCH($AH$269,$AY$74:$AY$119,0)),1))</f>
        <v/>
      </c>
      <c r="AK269" s="482" t="str">
        <f t="shared" si="66"/>
        <v/>
      </c>
      <c r="AL269" s="477" t="str">
        <f>IF($AC$269="","",IFERROR(INDEX($BB$74:$BB$119,MATCH($AH$269,$AY$74:$AY$119,0)),$AH$269))</f>
        <v/>
      </c>
      <c r="AM269" s="483" t="str">
        <f t="shared" si="67"/>
        <v/>
      </c>
      <c r="AN269" s="484" t="str">
        <f t="shared" si="68"/>
        <v/>
      </c>
      <c r="AO269" s="473" t="str">
        <f t="shared" si="69"/>
        <v/>
      </c>
      <c r="AP269" s="473" t="str">
        <f t="shared" si="70"/>
        <v/>
      </c>
      <c r="AQ269" s="473" t="str">
        <f t="shared" si="71"/>
        <v/>
      </c>
      <c r="AR269" s="473" t="str">
        <f t="shared" si="72"/>
        <v/>
      </c>
      <c r="AS269" s="473" t="str">
        <f t="shared" si="73"/>
        <v/>
      </c>
      <c r="AT269" s="473" t="str">
        <f t="shared" si="74"/>
        <v/>
      </c>
      <c r="AU269" s="473" t="str">
        <f t="shared" si="75"/>
        <v/>
      </c>
      <c r="AZ269" s="31" t="s">
        <v>17</v>
      </c>
      <c r="BA269" s="34" t="s">
        <v>471</v>
      </c>
      <c r="BB269" s="499"/>
      <c r="BC269" s="271"/>
      <c r="BD269" s="279">
        <v>1</v>
      </c>
      <c r="BE269" s="271"/>
      <c r="BF269" s="271"/>
      <c r="BG269" s="271"/>
      <c r="BH269" s="271"/>
      <c r="BI269" s="271"/>
      <c r="BJ269" s="271"/>
      <c r="BK269" s="271"/>
      <c r="BL269" s="271"/>
    </row>
    <row r="270" spans="18:64" ht="21" customHeight="1" x14ac:dyDescent="0.25">
      <c r="R270" s="34" t="s">
        <v>6112</v>
      </c>
      <c r="S270" s="451"/>
      <c r="T270" s="28" t="s">
        <v>22</v>
      </c>
      <c r="V270" s="475">
        <v>6</v>
      </c>
      <c r="W270" s="475" t="str">
        <f>IF($AC$270="","",$W$252)</f>
        <v/>
      </c>
      <c r="X270" s="476" t="str">
        <f>IF($AC$270="","",$X$252)</f>
        <v/>
      </c>
      <c r="Y270" s="477" t="str">
        <f>IF($X$270="","",$Y$252)</f>
        <v/>
      </c>
      <c r="Z270" s="477" t="str">
        <f>IF($X$270="","",$Z$252)</f>
        <v/>
      </c>
      <c r="AA270" s="477" t="str">
        <f>IF($AC$270="","",ROW($A$270)-ROW($A$252))</f>
        <v/>
      </c>
      <c r="AB270" s="478"/>
      <c r="AC270" s="34"/>
      <c r="AD270" s="356"/>
      <c r="AE270" s="18"/>
      <c r="AF270" s="19"/>
      <c r="AG270" s="480" t="str">
        <f t="shared" si="64"/>
        <v/>
      </c>
      <c r="AH270" s="481" t="str">
        <f t="shared" si="65"/>
        <v/>
      </c>
      <c r="AI270" s="477" t="str">
        <f>IF($AC$270="","",IFERROR(INDEX($AZ$74:$AZ$119,MATCH($AH$270,$AY$74:$AY$119,0)),"AUTRE"))</f>
        <v/>
      </c>
      <c r="AJ270" s="482" t="str">
        <f>IF($AC$270="","",IFERROR(INDEX($BA$74:$BA$119,MATCH($AH$270,$AY$74:$AY$119,0)),1))</f>
        <v/>
      </c>
      <c r="AK270" s="482" t="str">
        <f t="shared" si="66"/>
        <v/>
      </c>
      <c r="AL270" s="477" t="str">
        <f>IF($AC$270="","",IFERROR(INDEX($BB$74:$BB$119,MATCH($AH$270,$AY$74:$AY$119,0)),$AH$270))</f>
        <v/>
      </c>
      <c r="AM270" s="483" t="str">
        <f t="shared" si="67"/>
        <v/>
      </c>
      <c r="AN270" s="484" t="str">
        <f t="shared" si="68"/>
        <v/>
      </c>
      <c r="AO270" s="473" t="str">
        <f t="shared" si="69"/>
        <v/>
      </c>
      <c r="AP270" s="473" t="str">
        <f t="shared" si="70"/>
        <v/>
      </c>
      <c r="AQ270" s="473" t="str">
        <f t="shared" si="71"/>
        <v/>
      </c>
      <c r="AR270" s="473" t="str">
        <f t="shared" si="72"/>
        <v/>
      </c>
      <c r="AS270" s="473" t="str">
        <f t="shared" si="73"/>
        <v/>
      </c>
      <c r="AT270" s="473" t="str">
        <f t="shared" si="74"/>
        <v/>
      </c>
      <c r="AU270" s="473" t="str">
        <f t="shared" si="75"/>
        <v/>
      </c>
      <c r="AZ270" s="31" t="s">
        <v>18</v>
      </c>
      <c r="BA270" s="34" t="s">
        <v>472</v>
      </c>
      <c r="BB270" s="499"/>
      <c r="BC270" s="271"/>
      <c r="BD270" s="279">
        <v>1</v>
      </c>
      <c r="BE270" s="271"/>
      <c r="BF270" s="271"/>
      <c r="BG270" s="271"/>
      <c r="BH270" s="271"/>
      <c r="BI270" s="271"/>
      <c r="BJ270" s="271"/>
      <c r="BK270" s="271"/>
      <c r="BL270" s="271"/>
    </row>
    <row r="271" spans="18:64" ht="21" customHeight="1" x14ac:dyDescent="0.25">
      <c r="R271" s="25" t="s">
        <v>6116</v>
      </c>
      <c r="S271" s="451"/>
      <c r="T271" s="28" t="s">
        <v>23</v>
      </c>
      <c r="V271" s="475">
        <v>6</v>
      </c>
      <c r="W271" s="475" t="str">
        <f>IF($AC$271="","",$W$252)</f>
        <v/>
      </c>
      <c r="X271" s="476" t="str">
        <f>IF($AC$271="","",$X$252)</f>
        <v/>
      </c>
      <c r="Y271" s="477" t="str">
        <f>IF($X$271="","",$Y$252)</f>
        <v/>
      </c>
      <c r="Z271" s="477" t="str">
        <f>IF($X$271="","",$Z$252)</f>
        <v/>
      </c>
      <c r="AA271" s="477" t="str">
        <f>IF($AC$271="","",ROW($A$271)-ROW($A$252))</f>
        <v/>
      </c>
      <c r="AB271" s="478"/>
      <c r="AC271" s="34"/>
      <c r="AD271" s="356"/>
      <c r="AE271" s="18"/>
      <c r="AF271" s="19"/>
      <c r="AG271" s="480" t="str">
        <f t="shared" si="64"/>
        <v/>
      </c>
      <c r="AH271" s="481" t="str">
        <f t="shared" si="65"/>
        <v/>
      </c>
      <c r="AI271" s="477" t="str">
        <f>IF($AC$271="","",IFERROR(INDEX($AZ$74:$AZ$119,MATCH($AH$271,$AY$74:$AY$119,0)),"AUTRE"))</f>
        <v/>
      </c>
      <c r="AJ271" s="482" t="str">
        <f>IF($AC$271="","",IFERROR(INDEX($BA$74:$BA$119,MATCH($AH$271,$AY$74:$AY$119,0)),1))</f>
        <v/>
      </c>
      <c r="AK271" s="482" t="str">
        <f t="shared" si="66"/>
        <v/>
      </c>
      <c r="AL271" s="477" t="str">
        <f>IF($AC$271="","",IFERROR(INDEX($BB$74:$BB$119,MATCH($AH$271,$AY$74:$AY$119,0)),$AH$271))</f>
        <v/>
      </c>
      <c r="AM271" s="483" t="str">
        <f t="shared" si="67"/>
        <v/>
      </c>
      <c r="AN271" s="484" t="str">
        <f t="shared" si="68"/>
        <v/>
      </c>
      <c r="AO271" s="473" t="str">
        <f t="shared" si="69"/>
        <v/>
      </c>
      <c r="AP271" s="473" t="str">
        <f t="shared" si="70"/>
        <v/>
      </c>
      <c r="AQ271" s="473" t="str">
        <f t="shared" si="71"/>
        <v/>
      </c>
      <c r="AR271" s="473" t="str">
        <f t="shared" si="72"/>
        <v/>
      </c>
      <c r="AS271" s="473" t="str">
        <f t="shared" si="73"/>
        <v/>
      </c>
      <c r="AT271" s="473" t="str">
        <f t="shared" si="74"/>
        <v/>
      </c>
      <c r="AU271" s="473" t="str">
        <f t="shared" si="75"/>
        <v/>
      </c>
      <c r="AZ271" s="31" t="s">
        <v>19</v>
      </c>
      <c r="BA271" s="34" t="s">
        <v>6112</v>
      </c>
      <c r="BB271" s="499"/>
      <c r="BC271" s="271"/>
      <c r="BD271" s="279">
        <v>1</v>
      </c>
      <c r="BE271" s="271"/>
      <c r="BF271" s="271"/>
      <c r="BG271" s="271"/>
      <c r="BH271" s="271"/>
      <c r="BI271" s="271"/>
      <c r="BJ271" s="271"/>
      <c r="BK271" s="271"/>
      <c r="BL271" s="271"/>
    </row>
    <row r="272" spans="18:64" ht="21" customHeight="1" x14ac:dyDescent="0.25">
      <c r="R272" s="34" t="s">
        <v>6117</v>
      </c>
      <c r="S272" s="451"/>
      <c r="T272" s="28" t="s">
        <v>24</v>
      </c>
      <c r="V272" s="475">
        <v>6</v>
      </c>
      <c r="W272" s="475" t="str">
        <f>IF($AC$272="","",$W$252)</f>
        <v/>
      </c>
      <c r="X272" s="476" t="str">
        <f>IF($AC$272="","",$X$252)</f>
        <v/>
      </c>
      <c r="Y272" s="477" t="str">
        <f>IF($X$272="","",$Y$252)</f>
        <v/>
      </c>
      <c r="Z272" s="477" t="str">
        <f>IF($X$272="","",$Z$252)</f>
        <v/>
      </c>
      <c r="AA272" s="477" t="str">
        <f>IF($AC$272="","",ROW($A$272)-ROW($A$252))</f>
        <v/>
      </c>
      <c r="AB272" s="478"/>
      <c r="AC272" s="34"/>
      <c r="AD272" s="356"/>
      <c r="AE272" s="18"/>
      <c r="AF272" s="19"/>
      <c r="AG272" s="480" t="str">
        <f t="shared" si="64"/>
        <v/>
      </c>
      <c r="AH272" s="481" t="str">
        <f t="shared" si="65"/>
        <v/>
      </c>
      <c r="AI272" s="477" t="str">
        <f>IF($AC$272="","",IFERROR(INDEX($AZ$74:$AZ$119,MATCH($AH$272,$AY$74:$AY$119,0)),"AUTRE"))</f>
        <v/>
      </c>
      <c r="AJ272" s="482" t="str">
        <f>IF($AC$272="","",IFERROR(INDEX($BA$74:$BA$119,MATCH($AH$272,$AY$74:$AY$119,0)),1))</f>
        <v/>
      </c>
      <c r="AK272" s="482" t="str">
        <f t="shared" si="66"/>
        <v/>
      </c>
      <c r="AL272" s="477" t="str">
        <f>IF($AC$272="","",IFERROR(INDEX($BB$74:$BB$119,MATCH($AH$272,$AY$74:$AY$119,0)),$AH$272))</f>
        <v/>
      </c>
      <c r="AM272" s="483" t="str">
        <f t="shared" si="67"/>
        <v/>
      </c>
      <c r="AN272" s="484" t="str">
        <f t="shared" si="68"/>
        <v/>
      </c>
      <c r="AO272" s="473" t="str">
        <f t="shared" si="69"/>
        <v/>
      </c>
      <c r="AP272" s="473" t="str">
        <f t="shared" si="70"/>
        <v/>
      </c>
      <c r="AQ272" s="473" t="str">
        <f t="shared" si="71"/>
        <v/>
      </c>
      <c r="AR272" s="473" t="str">
        <f t="shared" si="72"/>
        <v/>
      </c>
      <c r="AS272" s="473" t="str">
        <f t="shared" si="73"/>
        <v/>
      </c>
      <c r="AT272" s="473" t="str">
        <f t="shared" si="74"/>
        <v/>
      </c>
      <c r="AU272" s="473" t="str">
        <f t="shared" si="75"/>
        <v/>
      </c>
      <c r="AZ272" s="31" t="s">
        <v>211</v>
      </c>
      <c r="BA272" s="25" t="s">
        <v>6116</v>
      </c>
      <c r="BB272" s="499"/>
      <c r="BC272" s="271"/>
      <c r="BD272" s="279">
        <v>1</v>
      </c>
      <c r="BE272" s="271"/>
      <c r="BF272" s="271"/>
      <c r="BG272" s="271"/>
      <c r="BH272" s="271"/>
      <c r="BI272" s="271"/>
      <c r="BJ272" s="271"/>
      <c r="BK272" s="271"/>
      <c r="BL272" s="271"/>
    </row>
    <row r="273" spans="18:64" ht="21" customHeight="1" x14ac:dyDescent="0.25">
      <c r="R273" s="34" t="s">
        <v>469</v>
      </c>
      <c r="S273" s="451"/>
      <c r="T273" s="29" t="s">
        <v>9</v>
      </c>
      <c r="V273" s="475">
        <v>6</v>
      </c>
      <c r="W273" s="475" t="str">
        <f>IF($AC$273="","",$W$252)</f>
        <v/>
      </c>
      <c r="X273" s="476" t="str">
        <f>IF($AC$273="","",$X$252)</f>
        <v/>
      </c>
      <c r="Y273" s="477" t="str">
        <f>IF($X$273="","",$Y$252)</f>
        <v/>
      </c>
      <c r="Z273" s="477" t="str">
        <f>IF($X$273="","",$Z$252)</f>
        <v/>
      </c>
      <c r="AA273" s="477" t="str">
        <f>IF($AC$273="","",ROW($A$273)-ROW($A$252))</f>
        <v/>
      </c>
      <c r="AB273" s="478"/>
      <c r="AC273" s="34"/>
      <c r="AD273" s="356"/>
      <c r="AE273" s="18"/>
      <c r="AF273" s="19"/>
      <c r="AG273" s="480" t="str">
        <f t="shared" si="64"/>
        <v/>
      </c>
      <c r="AH273" s="481" t="str">
        <f t="shared" si="65"/>
        <v/>
      </c>
      <c r="AI273" s="477" t="str">
        <f>IF($AC$273="","",IFERROR(INDEX($AZ$74:$AZ$119,MATCH($AH$273,$AY$74:$AY$119,0)),"AUTRE"))</f>
        <v/>
      </c>
      <c r="AJ273" s="482" t="str">
        <f>IF($AC$273="","",IFERROR(INDEX($BA$74:$BA$119,MATCH($AH$273,$AY$74:$AY$119,0)),1))</f>
        <v/>
      </c>
      <c r="AK273" s="482" t="str">
        <f t="shared" si="66"/>
        <v/>
      </c>
      <c r="AL273" s="477" t="str">
        <f>IF($AC$273="","",IFERROR(INDEX($BB$74:$BB$119,MATCH($AH$273,$AY$74:$AY$119,0)),$AH$273))</f>
        <v/>
      </c>
      <c r="AM273" s="483" t="str">
        <f t="shared" si="67"/>
        <v/>
      </c>
      <c r="AN273" s="484" t="str">
        <f t="shared" si="68"/>
        <v/>
      </c>
      <c r="AO273" s="473" t="str">
        <f t="shared" si="69"/>
        <v/>
      </c>
      <c r="AP273" s="473" t="str">
        <f t="shared" si="70"/>
        <v/>
      </c>
      <c r="AQ273" s="473" t="str">
        <f t="shared" si="71"/>
        <v/>
      </c>
      <c r="AR273" s="473" t="str">
        <f t="shared" si="72"/>
        <v/>
      </c>
      <c r="AS273" s="473" t="str">
        <f t="shared" si="73"/>
        <v/>
      </c>
      <c r="AT273" s="473" t="str">
        <f t="shared" si="74"/>
        <v/>
      </c>
      <c r="AU273" s="473" t="str">
        <f t="shared" si="75"/>
        <v/>
      </c>
      <c r="AZ273" s="31" t="s">
        <v>20</v>
      </c>
      <c r="BA273" s="34" t="s">
        <v>6117</v>
      </c>
      <c r="BB273" s="499"/>
      <c r="BC273" s="271"/>
      <c r="BD273" s="279">
        <v>1</v>
      </c>
      <c r="BE273" s="271"/>
      <c r="BF273" s="271"/>
      <c r="BG273" s="271"/>
      <c r="BH273" s="271"/>
      <c r="BI273" s="271"/>
      <c r="BJ273" s="271"/>
      <c r="BK273" s="271"/>
      <c r="BL273" s="271"/>
    </row>
    <row r="274" spans="18:64" ht="21" customHeight="1" x14ac:dyDescent="0.25">
      <c r="R274" s="34" t="s">
        <v>6118</v>
      </c>
      <c r="S274" s="451"/>
      <c r="T274" s="30" t="s">
        <v>10</v>
      </c>
      <c r="V274" s="475">
        <v>6</v>
      </c>
      <c r="W274" s="475" t="str">
        <f>IF($AC$274="","",$W$252)</f>
        <v/>
      </c>
      <c r="X274" s="476" t="str">
        <f>IF($AC$274="","",$X$252)</f>
        <v/>
      </c>
      <c r="Y274" s="477" t="str">
        <f>IF($X$274="","",$Y$252)</f>
        <v/>
      </c>
      <c r="Z274" s="477" t="str">
        <f>IF($X$274="","",$Z$252)</f>
        <v/>
      </c>
      <c r="AA274" s="477" t="str">
        <f>IF($AC$274="","",ROW($A$274)-ROW($A$252))</f>
        <v/>
      </c>
      <c r="AB274" s="478"/>
      <c r="AC274" s="34"/>
      <c r="AD274" s="356"/>
      <c r="AE274" s="18"/>
      <c r="AF274" s="19"/>
      <c r="AG274" s="480" t="str">
        <f t="shared" si="64"/>
        <v/>
      </c>
      <c r="AH274" s="481" t="str">
        <f t="shared" si="65"/>
        <v/>
      </c>
      <c r="AI274" s="477" t="str">
        <f>IF($AC$274="","",IFERROR(INDEX($AZ$74:$AZ$119,MATCH($AH$274,$AY$74:$AY$119,0)),"AUTRE"))</f>
        <v/>
      </c>
      <c r="AJ274" s="482" t="str">
        <f>IF($AC$274="","",IFERROR(INDEX($BA$74:$BA$119,MATCH($AH$274,$AY$74:$AY$119,0)),1))</f>
        <v/>
      </c>
      <c r="AK274" s="482" t="str">
        <f t="shared" si="66"/>
        <v/>
      </c>
      <c r="AL274" s="477" t="str">
        <f>IF($AC$274="","",IFERROR(INDEX($BB$74:$BB$119,MATCH($AH$274,$AY$74:$AY$119,0)),$AH$274))</f>
        <v/>
      </c>
      <c r="AM274" s="483" t="str">
        <f t="shared" si="67"/>
        <v/>
      </c>
      <c r="AN274" s="484" t="str">
        <f t="shared" si="68"/>
        <v/>
      </c>
      <c r="AO274" s="473" t="str">
        <f t="shared" si="69"/>
        <v/>
      </c>
      <c r="AP274" s="473" t="str">
        <f t="shared" si="70"/>
        <v/>
      </c>
      <c r="AQ274" s="473" t="str">
        <f t="shared" si="71"/>
        <v/>
      </c>
      <c r="AR274" s="473" t="str">
        <f t="shared" si="72"/>
        <v/>
      </c>
      <c r="AS274" s="473" t="str">
        <f t="shared" si="73"/>
        <v/>
      </c>
      <c r="AT274" s="473" t="str">
        <f t="shared" si="74"/>
        <v/>
      </c>
      <c r="AU274" s="473" t="str">
        <f t="shared" si="75"/>
        <v/>
      </c>
      <c r="AZ274" s="31" t="s">
        <v>304</v>
      </c>
      <c r="BA274" s="34" t="s">
        <v>469</v>
      </c>
      <c r="BB274" s="499"/>
      <c r="BC274" s="271"/>
      <c r="BD274" s="279">
        <v>1</v>
      </c>
      <c r="BE274" s="271"/>
      <c r="BF274" s="271"/>
      <c r="BG274" s="271"/>
      <c r="BH274" s="271"/>
      <c r="BI274" s="271"/>
      <c r="BJ274" s="271"/>
      <c r="BK274" s="271"/>
      <c r="BL274" s="271"/>
    </row>
    <row r="275" spans="18:64" ht="21" customHeight="1" x14ac:dyDescent="0.25">
      <c r="R275" s="34" t="s">
        <v>492</v>
      </c>
      <c r="S275" s="451"/>
      <c r="T275" s="30" t="s">
        <v>11</v>
      </c>
      <c r="V275" s="475">
        <v>6</v>
      </c>
      <c r="W275" s="475" t="str">
        <f>IF($AC$275="","",$W$252)</f>
        <v/>
      </c>
      <c r="X275" s="476" t="str">
        <f>IF($AC$275="","",$X$252)</f>
        <v/>
      </c>
      <c r="Y275" s="477" t="str">
        <f>IF($X$275="","",$Y$252)</f>
        <v/>
      </c>
      <c r="Z275" s="477" t="str">
        <f>IF($X$275="","",$Z$252)</f>
        <v/>
      </c>
      <c r="AA275" s="477" t="str">
        <f>IF($AC$275="","",ROW($A$275)-ROW($A$252))</f>
        <v/>
      </c>
      <c r="AB275" s="478"/>
      <c r="AC275" s="34"/>
      <c r="AD275" s="356"/>
      <c r="AE275" s="18"/>
      <c r="AF275" s="19"/>
      <c r="AG275" s="480" t="str">
        <f t="shared" si="64"/>
        <v/>
      </c>
      <c r="AH275" s="481" t="str">
        <f t="shared" si="65"/>
        <v/>
      </c>
      <c r="AI275" s="477" t="str">
        <f>IF($AC$275="","",IFERROR(INDEX($AZ$74:$AZ$119,MATCH($AH$275,$AY$74:$AY$119,0)),"AUTRE"))</f>
        <v/>
      </c>
      <c r="AJ275" s="482" t="str">
        <f>IF($AC$275="","",IFERROR(INDEX($BA$74:$BA$119,MATCH($AH$275,$AY$74:$AY$119,0)),1))</f>
        <v/>
      </c>
      <c r="AK275" s="482" t="str">
        <f t="shared" si="66"/>
        <v/>
      </c>
      <c r="AL275" s="477" t="str">
        <f>IF($AC$275="","",IFERROR(INDEX($BB$74:$BB$119,MATCH($AH$275,$AY$74:$AY$119,0)),$AH$275))</f>
        <v/>
      </c>
      <c r="AM275" s="483" t="str">
        <f t="shared" si="67"/>
        <v/>
      </c>
      <c r="AN275" s="484" t="str">
        <f t="shared" si="68"/>
        <v/>
      </c>
      <c r="AO275" s="473" t="str">
        <f t="shared" si="69"/>
        <v/>
      </c>
      <c r="AP275" s="473" t="str">
        <f t="shared" si="70"/>
        <v/>
      </c>
      <c r="AQ275" s="473" t="str">
        <f t="shared" si="71"/>
        <v/>
      </c>
      <c r="AR275" s="473" t="str">
        <f t="shared" si="72"/>
        <v/>
      </c>
      <c r="AS275" s="473" t="str">
        <f t="shared" si="73"/>
        <v/>
      </c>
      <c r="AT275" s="473" t="str">
        <f t="shared" si="74"/>
        <v/>
      </c>
      <c r="AU275" s="473" t="str">
        <f t="shared" si="75"/>
        <v/>
      </c>
      <c r="AZ275" s="31" t="s">
        <v>352</v>
      </c>
      <c r="BA275" s="34" t="s">
        <v>6118</v>
      </c>
      <c r="BB275" s="499"/>
      <c r="BC275" s="271"/>
      <c r="BD275" s="279">
        <v>1</v>
      </c>
      <c r="BE275" s="271"/>
      <c r="BF275" s="271"/>
      <c r="BG275" s="271"/>
      <c r="BH275" s="271"/>
      <c r="BI275" s="271"/>
      <c r="BJ275" s="271"/>
      <c r="BK275" s="271"/>
      <c r="BL275" s="271"/>
    </row>
    <row r="276" spans="18:64" ht="21" customHeight="1" x14ac:dyDescent="0.25">
      <c r="R276" s="34" t="s">
        <v>458</v>
      </c>
      <c r="S276" s="451"/>
      <c r="T276" s="30" t="s">
        <v>12</v>
      </c>
      <c r="V276" s="475">
        <v>6</v>
      </c>
      <c r="W276" s="475" t="str">
        <f>IF($AC$276="","",$W$252)</f>
        <v/>
      </c>
      <c r="X276" s="476" t="str">
        <f>IF($AC$276="","",$X$252)</f>
        <v/>
      </c>
      <c r="Y276" s="477" t="str">
        <f>IF($X$276="","",$Y$252)</f>
        <v/>
      </c>
      <c r="Z276" s="477" t="str">
        <f>IF($X$276="","",$Z$252)</f>
        <v/>
      </c>
      <c r="AA276" s="477" t="str">
        <f>IF($AC$276="","",ROW($A$276)-ROW($A$252))</f>
        <v/>
      </c>
      <c r="AB276" s="478"/>
      <c r="AC276" s="34"/>
      <c r="AD276" s="356"/>
      <c r="AE276" s="18"/>
      <c r="AF276" s="19"/>
      <c r="AG276" s="480" t="str">
        <f t="shared" si="64"/>
        <v/>
      </c>
      <c r="AH276" s="481" t="str">
        <f t="shared" si="65"/>
        <v/>
      </c>
      <c r="AI276" s="477" t="str">
        <f>IF($AC$276="","",IFERROR(INDEX($AZ$74:$AZ$119,MATCH($AH$276,$AY$74:$AY$119,0)),"AUTRE"))</f>
        <v/>
      </c>
      <c r="AJ276" s="482" t="str">
        <f>IF($AC$276="","",IFERROR(INDEX($BA$74:$BA$119,MATCH($AH$276,$AY$74:$AY$119,0)),1))</f>
        <v/>
      </c>
      <c r="AK276" s="482" t="str">
        <f t="shared" si="66"/>
        <v/>
      </c>
      <c r="AL276" s="477" t="str">
        <f>IF($AC$276="","",IFERROR(INDEX($BB$74:$BB$119,MATCH($AH$276,$AY$74:$AY$119,0)),$AH$276))</f>
        <v/>
      </c>
      <c r="AM276" s="483" t="str">
        <f t="shared" si="67"/>
        <v/>
      </c>
      <c r="AN276" s="484" t="str">
        <f t="shared" si="68"/>
        <v/>
      </c>
      <c r="AO276" s="473" t="str">
        <f t="shared" si="69"/>
        <v/>
      </c>
      <c r="AP276" s="473" t="str">
        <f t="shared" si="70"/>
        <v/>
      </c>
      <c r="AQ276" s="473" t="str">
        <f t="shared" si="71"/>
        <v/>
      </c>
      <c r="AR276" s="473" t="str">
        <f t="shared" si="72"/>
        <v/>
      </c>
      <c r="AS276" s="473" t="str">
        <f t="shared" si="73"/>
        <v/>
      </c>
      <c r="AT276" s="473" t="str">
        <f t="shared" si="74"/>
        <v/>
      </c>
      <c r="AU276" s="473" t="str">
        <f t="shared" si="75"/>
        <v/>
      </c>
      <c r="AZ276" s="31" t="s">
        <v>27</v>
      </c>
      <c r="BA276" s="34" t="s">
        <v>492</v>
      </c>
      <c r="BB276" s="499"/>
      <c r="BC276" s="271"/>
      <c r="BD276" s="279">
        <v>1</v>
      </c>
      <c r="BE276" s="271"/>
      <c r="BF276" s="271"/>
      <c r="BG276" s="271"/>
      <c r="BH276" s="271"/>
      <c r="BI276" s="271"/>
      <c r="BJ276" s="271"/>
      <c r="BK276" s="271"/>
      <c r="BL276" s="271"/>
    </row>
    <row r="277" spans="18:64" ht="21" customHeight="1" x14ac:dyDescent="0.25">
      <c r="R277" s="490"/>
      <c r="S277" s="451"/>
      <c r="T277" s="31" t="s">
        <v>16</v>
      </c>
      <c r="V277" s="475">
        <v>6</v>
      </c>
      <c r="W277" s="475" t="str">
        <f>IF($AC$277="","",$W$252)</f>
        <v/>
      </c>
      <c r="X277" s="476" t="str">
        <f>IF($AC$277="","",$X$252)</f>
        <v/>
      </c>
      <c r="Y277" s="477" t="str">
        <f>IF($X$277="","",$Y$252)</f>
        <v/>
      </c>
      <c r="Z277" s="477" t="str">
        <f>IF($X$277="","",$Z$252)</f>
        <v/>
      </c>
      <c r="AA277" s="477" t="str">
        <f>IF($AC$277="","",ROW($A$277)-ROW($A$252))</f>
        <v/>
      </c>
      <c r="AB277" s="478"/>
      <c r="AC277" s="34"/>
      <c r="AD277" s="356"/>
      <c r="AE277" s="18"/>
      <c r="AF277" s="19"/>
      <c r="AG277" s="480" t="str">
        <f t="shared" si="64"/>
        <v/>
      </c>
      <c r="AH277" s="481" t="str">
        <f t="shared" si="65"/>
        <v/>
      </c>
      <c r="AI277" s="477" t="str">
        <f>IF($AC$277="","",IFERROR(INDEX($AZ$74:$AZ$119,MATCH($AH$277,$AY$74:$AY$119,0)),"AUTRE"))</f>
        <v/>
      </c>
      <c r="AJ277" s="482" t="str">
        <f>IF($AC$277="","",IFERROR(INDEX($BA$74:$BA$119,MATCH($AH$277,$AY$74:$AY$119,0)),1))</f>
        <v/>
      </c>
      <c r="AK277" s="482" t="str">
        <f t="shared" si="66"/>
        <v/>
      </c>
      <c r="AL277" s="477" t="str">
        <f>IF($AC$277="","",IFERROR(INDEX($BB$74:$BB$119,MATCH($AH$277,$AY$74:$AY$119,0)),$AH$277))</f>
        <v/>
      </c>
      <c r="AM277" s="483" t="str">
        <f t="shared" si="67"/>
        <v/>
      </c>
      <c r="AN277" s="484" t="str">
        <f t="shared" si="68"/>
        <v/>
      </c>
      <c r="AO277" s="473" t="str">
        <f t="shared" si="69"/>
        <v/>
      </c>
      <c r="AP277" s="473" t="str">
        <f t="shared" si="70"/>
        <v/>
      </c>
      <c r="AQ277" s="473" t="str">
        <f t="shared" si="71"/>
        <v/>
      </c>
      <c r="AR277" s="473" t="str">
        <f t="shared" si="72"/>
        <v/>
      </c>
      <c r="AS277" s="473" t="str">
        <f t="shared" si="73"/>
        <v/>
      </c>
      <c r="AT277" s="473" t="str">
        <f t="shared" si="74"/>
        <v/>
      </c>
      <c r="AU277" s="473" t="str">
        <f t="shared" si="75"/>
        <v/>
      </c>
      <c r="AZ277" s="31" t="s">
        <v>28</v>
      </c>
      <c r="BA277" s="34" t="s">
        <v>458</v>
      </c>
      <c r="BB277" s="499"/>
      <c r="BC277" s="271"/>
      <c r="BD277" s="279">
        <v>1</v>
      </c>
      <c r="BE277" s="271"/>
      <c r="BF277" s="271"/>
      <c r="BG277" s="271"/>
      <c r="BH277" s="271"/>
      <c r="BI277" s="271"/>
      <c r="BJ277" s="271"/>
      <c r="BK277" s="271"/>
      <c r="BL277" s="271"/>
    </row>
    <row r="278" spans="18:64" ht="21" customHeight="1" x14ac:dyDescent="0.25">
      <c r="R278" s="25" t="s">
        <v>6119</v>
      </c>
      <c r="S278" s="451"/>
      <c r="T278" s="31" t="s">
        <v>17</v>
      </c>
      <c r="V278" s="475">
        <v>6</v>
      </c>
      <c r="W278" s="475" t="str">
        <f>IF($AC$278="","",$W$252)</f>
        <v/>
      </c>
      <c r="X278" s="476" t="str">
        <f>IF($AC$278="","",$X$252)</f>
        <v/>
      </c>
      <c r="Y278" s="477" t="str">
        <f>IF($X$278="","",$Y$252)</f>
        <v/>
      </c>
      <c r="Z278" s="477" t="str">
        <f>IF($X$278="","",$Z$252)</f>
        <v/>
      </c>
      <c r="AA278" s="477" t="str">
        <f>IF($AC$278="","",ROW($A$278)-ROW($A$252))</f>
        <v/>
      </c>
      <c r="AB278" s="478"/>
      <c r="AC278" s="34"/>
      <c r="AD278" s="356"/>
      <c r="AE278" s="18"/>
      <c r="AF278" s="19"/>
      <c r="AG278" s="480" t="str">
        <f t="shared" si="64"/>
        <v/>
      </c>
      <c r="AH278" s="481" t="str">
        <f t="shared" si="65"/>
        <v/>
      </c>
      <c r="AI278" s="477" t="str">
        <f>IF($AC$278="","",IFERROR(INDEX($AZ$74:$AZ$119,MATCH($AH$278,$AY$74:$AY$119,0)),"AUTRE"))</f>
        <v/>
      </c>
      <c r="AJ278" s="482" t="str">
        <f>IF($AC$278="","",IFERROR(INDEX($BA$74:$BA$119,MATCH($AH$278,$AY$74:$AY$119,0)),1))</f>
        <v/>
      </c>
      <c r="AK278" s="482" t="str">
        <f t="shared" si="66"/>
        <v/>
      </c>
      <c r="AL278" s="477" t="str">
        <f>IF($AC$278="","",IFERROR(INDEX($BB$74:$BB$119,MATCH($AH$278,$AY$74:$AY$119,0)),$AH$278))</f>
        <v/>
      </c>
      <c r="AM278" s="483" t="str">
        <f t="shared" si="67"/>
        <v/>
      </c>
      <c r="AN278" s="484" t="str">
        <f t="shared" si="68"/>
        <v/>
      </c>
      <c r="AO278" s="473" t="str">
        <f t="shared" si="69"/>
        <v/>
      </c>
      <c r="AP278" s="473" t="str">
        <f t="shared" si="70"/>
        <v/>
      </c>
      <c r="AQ278" s="473" t="str">
        <f t="shared" si="71"/>
        <v/>
      </c>
      <c r="AR278" s="473" t="str">
        <f t="shared" si="72"/>
        <v/>
      </c>
      <c r="AS278" s="473" t="str">
        <f t="shared" si="73"/>
        <v/>
      </c>
      <c r="AT278" s="473" t="str">
        <f t="shared" si="74"/>
        <v/>
      </c>
      <c r="AU278" s="473" t="str">
        <f t="shared" si="75"/>
        <v/>
      </c>
      <c r="AZ278" s="31" t="s">
        <v>29</v>
      </c>
      <c r="BA278" s="490"/>
      <c r="BB278" s="499"/>
      <c r="BC278" s="271"/>
      <c r="BD278" s="279">
        <v>1</v>
      </c>
      <c r="BE278" s="271"/>
      <c r="BF278" s="271"/>
      <c r="BG278" s="271"/>
      <c r="BH278" s="271"/>
      <c r="BI278" s="271"/>
      <c r="BJ278" s="271"/>
      <c r="BK278" s="271"/>
      <c r="BL278" s="271"/>
    </row>
    <row r="279" spans="18:64" ht="21" customHeight="1" x14ac:dyDescent="0.25">
      <c r="R279" s="34" t="s">
        <v>6120</v>
      </c>
      <c r="S279" s="451"/>
      <c r="T279" s="31" t="s">
        <v>18</v>
      </c>
      <c r="V279" s="475">
        <v>6</v>
      </c>
      <c r="W279" s="475" t="str">
        <f>IF($AC$279="","",$W$252)</f>
        <v/>
      </c>
      <c r="X279" s="476" t="str">
        <f>IF($AC$279="","",$X$252)</f>
        <v/>
      </c>
      <c r="Y279" s="477" t="str">
        <f>IF($X$279="","",$Y$252)</f>
        <v/>
      </c>
      <c r="Z279" s="477" t="str">
        <f>IF($X$279="","",$Z$252)</f>
        <v/>
      </c>
      <c r="AA279" s="477" t="str">
        <f>IF($AC$279="","",ROW($A$279)-ROW($A$252))</f>
        <v/>
      </c>
      <c r="AB279" s="478"/>
      <c r="AC279" s="34"/>
      <c r="AD279" s="356"/>
      <c r="AE279" s="18"/>
      <c r="AF279" s="19"/>
      <c r="AG279" s="480" t="str">
        <f t="shared" si="64"/>
        <v/>
      </c>
      <c r="AH279" s="481" t="str">
        <f t="shared" si="65"/>
        <v/>
      </c>
      <c r="AI279" s="477" t="str">
        <f>IF($AC$279="","",IFERROR(INDEX($AZ$74:$AZ$119,MATCH($AH$279,$AY$74:$AY$119,0)),"AUTRE"))</f>
        <v/>
      </c>
      <c r="AJ279" s="482" t="str">
        <f>IF($AC$279="","",IFERROR(INDEX($BA$74:$BA$119,MATCH($AH$279,$AY$74:$AY$119,0)),1))</f>
        <v/>
      </c>
      <c r="AK279" s="482" t="str">
        <f t="shared" si="66"/>
        <v/>
      </c>
      <c r="AL279" s="477" t="str">
        <f>IF($AC$279="","",IFERROR(INDEX($BB$74:$BB$119,MATCH($AH$279,$AY$74:$AY$119,0)),$AH$279))</f>
        <v/>
      </c>
      <c r="AM279" s="483" t="str">
        <f t="shared" si="67"/>
        <v/>
      </c>
      <c r="AN279" s="484" t="str">
        <f t="shared" si="68"/>
        <v/>
      </c>
      <c r="AO279" s="473" t="str">
        <f t="shared" si="69"/>
        <v/>
      </c>
      <c r="AP279" s="473" t="str">
        <f t="shared" si="70"/>
        <v/>
      </c>
      <c r="AQ279" s="473" t="str">
        <f t="shared" si="71"/>
        <v/>
      </c>
      <c r="AR279" s="473" t="str">
        <f t="shared" si="72"/>
        <v/>
      </c>
      <c r="AS279" s="473" t="str">
        <f t="shared" si="73"/>
        <v/>
      </c>
      <c r="AT279" s="473" t="str">
        <f t="shared" si="74"/>
        <v/>
      </c>
      <c r="AU279" s="473" t="str">
        <f t="shared" si="75"/>
        <v/>
      </c>
      <c r="AZ279" s="31" t="s">
        <v>30</v>
      </c>
      <c r="BA279" s="25" t="s">
        <v>6119</v>
      </c>
      <c r="BB279" s="499"/>
      <c r="BC279" s="271"/>
      <c r="BD279" s="279">
        <v>1</v>
      </c>
      <c r="BE279" s="271"/>
      <c r="BF279" s="271"/>
      <c r="BG279" s="271"/>
      <c r="BH279" s="271"/>
      <c r="BI279" s="271"/>
      <c r="BJ279" s="271"/>
      <c r="BK279" s="271"/>
      <c r="BL279" s="271"/>
    </row>
    <row r="280" spans="18:64" ht="21" customHeight="1" x14ac:dyDescent="0.25">
      <c r="R280" s="34" t="s">
        <v>6121</v>
      </c>
      <c r="S280" s="451"/>
      <c r="T280" s="31" t="s">
        <v>19</v>
      </c>
      <c r="V280" s="475">
        <v>6</v>
      </c>
      <c r="W280" s="475" t="str">
        <f>IF($AC$280="","",$W$252)</f>
        <v/>
      </c>
      <c r="X280" s="476" t="str">
        <f>IF($AC$280="","",$X$252)</f>
        <v/>
      </c>
      <c r="Y280" s="477" t="str">
        <f>IF($X$280="","",$Y$252)</f>
        <v/>
      </c>
      <c r="Z280" s="477" t="str">
        <f>IF($X$280="","",$Z$252)</f>
        <v/>
      </c>
      <c r="AA280" s="477" t="str">
        <f>IF($AC$280="","",ROW($A$280)-ROW($A$252))</f>
        <v/>
      </c>
      <c r="AB280" s="478"/>
      <c r="AC280" s="34"/>
      <c r="AD280" s="356"/>
      <c r="AE280" s="18"/>
      <c r="AF280" s="19"/>
      <c r="AG280" s="480" t="str">
        <f t="shared" si="64"/>
        <v/>
      </c>
      <c r="AH280" s="481" t="str">
        <f t="shared" si="65"/>
        <v/>
      </c>
      <c r="AI280" s="477" t="str">
        <f>IF($AC$280="","",IFERROR(INDEX($AZ$74:$AZ$119,MATCH($AH$280,$AY$74:$AY$119,0)),"AUTRE"))</f>
        <v/>
      </c>
      <c r="AJ280" s="482" t="str">
        <f>IF($AC$280="","",IFERROR(INDEX($BA$74:$BA$119,MATCH($AH$280,$AY$74:$AY$119,0)),1))</f>
        <v/>
      </c>
      <c r="AK280" s="482" t="str">
        <f t="shared" si="66"/>
        <v/>
      </c>
      <c r="AL280" s="477" t="str">
        <f>IF($AC$280="","",IFERROR(INDEX($BB$74:$BB$119,MATCH($AH$280,$AY$74:$AY$119,0)),$AH$280))</f>
        <v/>
      </c>
      <c r="AM280" s="483" t="str">
        <f t="shared" si="67"/>
        <v/>
      </c>
      <c r="AN280" s="484" t="str">
        <f t="shared" si="68"/>
        <v/>
      </c>
      <c r="AO280" s="473" t="str">
        <f t="shared" si="69"/>
        <v/>
      </c>
      <c r="AP280" s="473" t="str">
        <f t="shared" si="70"/>
        <v/>
      </c>
      <c r="AQ280" s="473" t="str">
        <f t="shared" si="71"/>
        <v/>
      </c>
      <c r="AR280" s="473" t="str">
        <f t="shared" si="72"/>
        <v/>
      </c>
      <c r="AS280" s="473" t="str">
        <f t="shared" si="73"/>
        <v/>
      </c>
      <c r="AT280" s="473" t="str">
        <f t="shared" si="74"/>
        <v/>
      </c>
      <c r="AU280" s="473" t="str">
        <f t="shared" si="75"/>
        <v/>
      </c>
      <c r="AY280" s="271"/>
      <c r="AZ280" s="32" t="s">
        <v>33</v>
      </c>
      <c r="BA280" s="34" t="s">
        <v>6120</v>
      </c>
      <c r="BB280" s="499"/>
      <c r="BC280" s="271"/>
      <c r="BD280" s="279">
        <v>1</v>
      </c>
      <c r="BE280" s="271"/>
      <c r="BF280" s="271"/>
      <c r="BG280" s="271"/>
      <c r="BH280" s="271"/>
      <c r="BI280" s="271"/>
      <c r="BJ280" s="271"/>
      <c r="BK280" s="271"/>
      <c r="BL280" s="271"/>
    </row>
    <row r="281" spans="18:64" ht="21" customHeight="1" x14ac:dyDescent="0.25">
      <c r="R281" s="34" t="s">
        <v>6122</v>
      </c>
      <c r="S281" s="451"/>
      <c r="T281" s="31" t="s">
        <v>211</v>
      </c>
      <c r="V281" s="475">
        <v>6</v>
      </c>
      <c r="W281" s="475" t="str">
        <f>IF($AC$281="","",$W$252)</f>
        <v/>
      </c>
      <c r="X281" s="476" t="str">
        <f>IF($AC$281="","",$X$252)</f>
        <v/>
      </c>
      <c r="Y281" s="477" t="str">
        <f>IF($X$281="","",$Y$252)</f>
        <v/>
      </c>
      <c r="Z281" s="477" t="str">
        <f>IF($X$281="","",$Z$252)</f>
        <v/>
      </c>
      <c r="AA281" s="477" t="str">
        <f>IF($AC$281="","",ROW($A$281)-ROW($A$252))</f>
        <v/>
      </c>
      <c r="AB281" s="478"/>
      <c r="AC281" s="34"/>
      <c r="AD281" s="356"/>
      <c r="AE281" s="18"/>
      <c r="AF281" s="19"/>
      <c r="AG281" s="480" t="str">
        <f t="shared" si="64"/>
        <v/>
      </c>
      <c r="AH281" s="481" t="str">
        <f t="shared" si="65"/>
        <v/>
      </c>
      <c r="AI281" s="477" t="str">
        <f>IF($AC$281="","",IFERROR(INDEX($AZ$74:$AZ$119,MATCH($AH$281,$AY$74:$AY$119,0)),"AUTRE"))</f>
        <v/>
      </c>
      <c r="AJ281" s="482" t="str">
        <f>IF($AC$281="","",IFERROR(INDEX($BA$74:$BA$119,MATCH($AH$281,$AY$74:$AY$119,0)),1))</f>
        <v/>
      </c>
      <c r="AK281" s="482" t="str">
        <f t="shared" si="66"/>
        <v/>
      </c>
      <c r="AL281" s="477" t="str">
        <f>IF($AC$281="","",IFERROR(INDEX($BB$74:$BB$119,MATCH($AH$281,$AY$74:$AY$119,0)),$AH$281))</f>
        <v/>
      </c>
      <c r="AM281" s="483" t="str">
        <f t="shared" si="67"/>
        <v/>
      </c>
      <c r="AN281" s="484" t="str">
        <f t="shared" si="68"/>
        <v/>
      </c>
      <c r="AO281" s="473" t="str">
        <f t="shared" si="69"/>
        <v/>
      </c>
      <c r="AP281" s="473" t="str">
        <f t="shared" si="70"/>
        <v/>
      </c>
      <c r="AQ281" s="473" t="str">
        <f t="shared" si="71"/>
        <v/>
      </c>
      <c r="AR281" s="473" t="str">
        <f t="shared" si="72"/>
        <v/>
      </c>
      <c r="AS281" s="473" t="str">
        <f t="shared" si="73"/>
        <v/>
      </c>
      <c r="AT281" s="473" t="str">
        <f t="shared" si="74"/>
        <v/>
      </c>
      <c r="AU281" s="473" t="str">
        <f t="shared" si="75"/>
        <v/>
      </c>
      <c r="AY281" s="497" t="s">
        <v>8145</v>
      </c>
      <c r="AZ281" s="32" t="s">
        <v>8125</v>
      </c>
      <c r="BA281" s="34" t="s">
        <v>6121</v>
      </c>
      <c r="BB281" s="499"/>
      <c r="BC281" s="271"/>
      <c r="BD281" s="279">
        <v>1</v>
      </c>
      <c r="BE281" s="271"/>
      <c r="BF281" s="271"/>
      <c r="BG281" s="271"/>
      <c r="BH281" s="271"/>
      <c r="BI281" s="271"/>
      <c r="BJ281" s="271"/>
      <c r="BK281" s="271"/>
      <c r="BL281" s="271"/>
    </row>
    <row r="282" spans="18:64" ht="21" customHeight="1" x14ac:dyDescent="0.25">
      <c r="R282" s="34" t="s">
        <v>6123</v>
      </c>
      <c r="S282" s="451"/>
      <c r="T282" s="31" t="s">
        <v>20</v>
      </c>
      <c r="V282" s="475">
        <v>6</v>
      </c>
      <c r="W282" s="475" t="str">
        <f>IF($AC$282="","",$W$252)</f>
        <v/>
      </c>
      <c r="X282" s="476" t="str">
        <f>IF($AC$282="","",$X$252)</f>
        <v/>
      </c>
      <c r="Y282" s="477" t="str">
        <f>IF($X$282="","",$Y$252)</f>
        <v/>
      </c>
      <c r="Z282" s="477" t="str">
        <f>IF($X$282="","",$Z$252)</f>
        <v/>
      </c>
      <c r="AA282" s="477" t="str">
        <f>IF($AC$282="","",ROW($A$282)-ROW($A$252))</f>
        <v/>
      </c>
      <c r="AB282" s="478"/>
      <c r="AC282" s="34"/>
      <c r="AD282" s="356"/>
      <c r="AE282" s="18"/>
      <c r="AF282" s="19"/>
      <c r="AG282" s="480" t="str">
        <f t="shared" si="64"/>
        <v/>
      </c>
      <c r="AH282" s="481" t="str">
        <f t="shared" si="65"/>
        <v/>
      </c>
      <c r="AI282" s="477" t="str">
        <f>IF($AC$282="","",IFERROR(INDEX($AZ$74:$AZ$119,MATCH($AH$282,$AY$74:$AY$119,0)),"AUTRE"))</f>
        <v/>
      </c>
      <c r="AJ282" s="482" t="str">
        <f>IF($AC$282="","",IFERROR(INDEX($BA$74:$BA$119,MATCH($AH$282,$AY$74:$AY$119,0)),1))</f>
        <v/>
      </c>
      <c r="AK282" s="482" t="str">
        <f t="shared" si="66"/>
        <v/>
      </c>
      <c r="AL282" s="477" t="str">
        <f>IF($AC$282="","",IFERROR(INDEX($BB$74:$BB$119,MATCH($AH$282,$AY$74:$AY$119,0)),$AH$282))</f>
        <v/>
      </c>
      <c r="AM282" s="483" t="str">
        <f t="shared" si="67"/>
        <v/>
      </c>
      <c r="AN282" s="484" t="str">
        <f t="shared" si="68"/>
        <v/>
      </c>
      <c r="AO282" s="473" t="str">
        <f t="shared" si="69"/>
        <v/>
      </c>
      <c r="AP282" s="473" t="str">
        <f t="shared" si="70"/>
        <v/>
      </c>
      <c r="AQ282" s="473" t="str">
        <f t="shared" si="71"/>
        <v/>
      </c>
      <c r="AR282" s="473" t="str">
        <f t="shared" si="72"/>
        <v/>
      </c>
      <c r="AS282" s="473" t="str">
        <f t="shared" si="73"/>
        <v/>
      </c>
      <c r="AT282" s="473" t="str">
        <f t="shared" si="74"/>
        <v/>
      </c>
      <c r="AU282" s="473" t="str">
        <f t="shared" si="75"/>
        <v/>
      </c>
      <c r="AY282" s="497" t="s">
        <v>462</v>
      </c>
      <c r="AZ282" s="32" t="s">
        <v>8127</v>
      </c>
      <c r="BA282" s="34" t="s">
        <v>6122</v>
      </c>
      <c r="BB282" s="499"/>
      <c r="BC282" s="271"/>
      <c r="BD282" s="279">
        <v>1</v>
      </c>
      <c r="BE282" s="271"/>
      <c r="BF282" s="271"/>
      <c r="BG282" s="271"/>
      <c r="BH282" s="271"/>
      <c r="BI282" s="271"/>
      <c r="BJ282" s="271"/>
      <c r="BK282" s="271"/>
      <c r="BL282" s="271"/>
    </row>
    <row r="283" spans="18:64" ht="21" customHeight="1" x14ac:dyDescent="0.25">
      <c r="R283" s="34" t="s">
        <v>6124</v>
      </c>
      <c r="S283" s="451"/>
      <c r="T283" s="31" t="s">
        <v>304</v>
      </c>
      <c r="V283" s="475">
        <v>6</v>
      </c>
      <c r="W283" s="475" t="str">
        <f>IF($AC$283="","",$W$252)</f>
        <v/>
      </c>
      <c r="X283" s="476" t="str">
        <f>IF($AC$283="","",$X$252)</f>
        <v/>
      </c>
      <c r="Y283" s="477" t="str">
        <f>IF($X$283="","",$Y$252)</f>
        <v/>
      </c>
      <c r="Z283" s="477" t="str">
        <f>IF($X$283="","",$Z$252)</f>
        <v/>
      </c>
      <c r="AA283" s="477" t="str">
        <f>IF($AC$283="","",ROW($A$283)-ROW($A$252))</f>
        <v/>
      </c>
      <c r="AB283" s="478"/>
      <c r="AC283" s="34"/>
      <c r="AD283" s="356"/>
      <c r="AE283" s="18"/>
      <c r="AF283" s="19"/>
      <c r="AG283" s="480" t="str">
        <f t="shared" si="64"/>
        <v/>
      </c>
      <c r="AH283" s="481" t="str">
        <f t="shared" si="65"/>
        <v/>
      </c>
      <c r="AI283" s="477" t="str">
        <f>IF($AC$283="","",IFERROR(INDEX($AZ$74:$AZ$119,MATCH($AH$283,$AY$74:$AY$119,0)),"AUTRE"))</f>
        <v/>
      </c>
      <c r="AJ283" s="482" t="str">
        <f>IF($AC$283="","",IFERROR(INDEX($BA$74:$BA$119,MATCH($AH$283,$AY$74:$AY$119,0)),1))</f>
        <v/>
      </c>
      <c r="AK283" s="482" t="str">
        <f t="shared" si="66"/>
        <v/>
      </c>
      <c r="AL283" s="477" t="str">
        <f>IF($AC$283="","",IFERROR(INDEX($BB$74:$BB$119,MATCH($AH$283,$AY$74:$AY$119,0)),$AH$283))</f>
        <v/>
      </c>
      <c r="AM283" s="483" t="str">
        <f t="shared" si="67"/>
        <v/>
      </c>
      <c r="AN283" s="484" t="str">
        <f t="shared" si="68"/>
        <v/>
      </c>
      <c r="AO283" s="473" t="str">
        <f t="shared" si="69"/>
        <v/>
      </c>
      <c r="AP283" s="473" t="str">
        <f t="shared" si="70"/>
        <v/>
      </c>
      <c r="AQ283" s="473" t="str">
        <f t="shared" si="71"/>
        <v/>
      </c>
      <c r="AR283" s="473" t="str">
        <f t="shared" si="72"/>
        <v/>
      </c>
      <c r="AS283" s="473" t="str">
        <f t="shared" si="73"/>
        <v/>
      </c>
      <c r="AT283" s="473" t="str">
        <f t="shared" si="74"/>
        <v/>
      </c>
      <c r="AU283" s="473" t="str">
        <f t="shared" si="75"/>
        <v/>
      </c>
      <c r="AY283" s="497" t="s">
        <v>463</v>
      </c>
      <c r="AZ283" s="32" t="s">
        <v>320</v>
      </c>
      <c r="BA283" s="34" t="s">
        <v>6123</v>
      </c>
      <c r="BB283" s="499"/>
      <c r="BC283" s="271"/>
      <c r="BD283" s="279">
        <v>1</v>
      </c>
      <c r="BE283" s="271"/>
      <c r="BF283" s="271"/>
      <c r="BG283" s="271"/>
      <c r="BH283" s="271"/>
      <c r="BI283" s="271"/>
      <c r="BJ283" s="271"/>
      <c r="BK283" s="271"/>
      <c r="BL283" s="271"/>
    </row>
    <row r="284" spans="18:64" ht="21" customHeight="1" x14ac:dyDescent="0.25">
      <c r="R284" s="34" t="s">
        <v>6125</v>
      </c>
      <c r="S284" s="451"/>
      <c r="T284" s="31" t="s">
        <v>352</v>
      </c>
      <c r="V284" s="475">
        <v>6</v>
      </c>
      <c r="W284" s="475" t="str">
        <f>IF($AC$284="","",$W$252)</f>
        <v/>
      </c>
      <c r="X284" s="476" t="str">
        <f>IF($AC$284="","",$X$252)</f>
        <v/>
      </c>
      <c r="Y284" s="477" t="str">
        <f>IF($X$284="","",$Y$252)</f>
        <v/>
      </c>
      <c r="Z284" s="477" t="str">
        <f>IF($X$284="","",$Z$252)</f>
        <v/>
      </c>
      <c r="AA284" s="477" t="str">
        <f>IF($AC$284="","",ROW($A$284)-ROW($A$252))</f>
        <v/>
      </c>
      <c r="AB284" s="478"/>
      <c r="AC284" s="34"/>
      <c r="AD284" s="356"/>
      <c r="AE284" s="18"/>
      <c r="AF284" s="19"/>
      <c r="AG284" s="480" t="str">
        <f t="shared" si="64"/>
        <v/>
      </c>
      <c r="AH284" s="481" t="str">
        <f t="shared" si="65"/>
        <v/>
      </c>
      <c r="AI284" s="477" t="str">
        <f>IF($AC$284="","",IFERROR(INDEX($AZ$74:$AZ$119,MATCH($AH$284,$AY$74:$AY$119,0)),"AUTRE"))</f>
        <v/>
      </c>
      <c r="AJ284" s="482" t="str">
        <f>IF($AC$284="","",IFERROR(INDEX($BA$74:$BA$119,MATCH($AH$284,$AY$74:$AY$119,0)),1))</f>
        <v/>
      </c>
      <c r="AK284" s="482" t="str">
        <f t="shared" si="66"/>
        <v/>
      </c>
      <c r="AL284" s="477" t="str">
        <f>IF($AC$284="","",IFERROR(INDEX($BB$74:$BB$119,MATCH($AH$284,$AY$74:$AY$119,0)),$AH$284))</f>
        <v/>
      </c>
      <c r="AM284" s="483" t="str">
        <f t="shared" si="67"/>
        <v/>
      </c>
      <c r="AN284" s="484" t="str">
        <f t="shared" si="68"/>
        <v/>
      </c>
      <c r="AO284" s="473" t="str">
        <f t="shared" si="69"/>
        <v/>
      </c>
      <c r="AP284" s="473" t="str">
        <f t="shared" si="70"/>
        <v/>
      </c>
      <c r="AQ284" s="473" t="str">
        <f t="shared" si="71"/>
        <v/>
      </c>
      <c r="AR284" s="473" t="str">
        <f t="shared" si="72"/>
        <v/>
      </c>
      <c r="AS284" s="473" t="str">
        <f t="shared" si="73"/>
        <v/>
      </c>
      <c r="AT284" s="473" t="str">
        <f t="shared" si="74"/>
        <v/>
      </c>
      <c r="AU284" s="473" t="str">
        <f t="shared" si="75"/>
        <v/>
      </c>
      <c r="AY284" s="497" t="s">
        <v>8147</v>
      </c>
      <c r="AZ284" s="32" t="s">
        <v>318</v>
      </c>
      <c r="BA284" s="34" t="s">
        <v>6124</v>
      </c>
      <c r="BB284" s="499"/>
      <c r="BC284" s="271"/>
      <c r="BD284" s="279">
        <v>1</v>
      </c>
      <c r="BE284" s="271"/>
      <c r="BF284" s="271"/>
      <c r="BG284" s="271"/>
      <c r="BH284" s="271"/>
      <c r="BI284" s="271"/>
      <c r="BJ284" s="271"/>
      <c r="BK284" s="271"/>
      <c r="BL284" s="271"/>
    </row>
    <row r="285" spans="18:64" ht="21" customHeight="1" x14ac:dyDescent="0.25">
      <c r="R285" s="34" t="s">
        <v>6126</v>
      </c>
      <c r="S285" s="451"/>
      <c r="T285" s="31" t="s">
        <v>25</v>
      </c>
      <c r="V285" s="475">
        <v>6</v>
      </c>
      <c r="W285" s="475" t="str">
        <f>IF($AC$285="","",$W$252)</f>
        <v/>
      </c>
      <c r="X285" s="476" t="str">
        <f>IF($AC$285="","",$X$252)</f>
        <v/>
      </c>
      <c r="Y285" s="477" t="str">
        <f>IF($X$285="","",$Y$252)</f>
        <v/>
      </c>
      <c r="Z285" s="477" t="str">
        <f>IF($X$285="","",$Z$252)</f>
        <v/>
      </c>
      <c r="AA285" s="477" t="str">
        <f>IF($AC$285="","",ROW($A$285)-ROW($A$252))</f>
        <v/>
      </c>
      <c r="AB285" s="478"/>
      <c r="AC285" s="34"/>
      <c r="AD285" s="356"/>
      <c r="AE285" s="18"/>
      <c r="AF285" s="19"/>
      <c r="AG285" s="480" t="str">
        <f t="shared" si="64"/>
        <v/>
      </c>
      <c r="AH285" s="481" t="str">
        <f t="shared" si="65"/>
        <v/>
      </c>
      <c r="AI285" s="477" t="str">
        <f>IF($AC$285="","",IFERROR(INDEX($AZ$74:$AZ$119,MATCH($AH$285,$AY$74:$AY$119,0)),"AUTRE"))</f>
        <v/>
      </c>
      <c r="AJ285" s="482" t="str">
        <f>IF($AC$285="","",IFERROR(INDEX($BA$74:$BA$119,MATCH($AH$285,$AY$74:$AY$119,0)),1))</f>
        <v/>
      </c>
      <c r="AK285" s="482" t="str">
        <f t="shared" si="66"/>
        <v/>
      </c>
      <c r="AL285" s="477" t="str">
        <f>IF($AC$285="","",IFERROR(INDEX($BB$74:$BB$119,MATCH($AH$285,$AY$74:$AY$119,0)),$AH$285))</f>
        <v/>
      </c>
      <c r="AM285" s="483" t="str">
        <f t="shared" si="67"/>
        <v/>
      </c>
      <c r="AN285" s="484" t="str">
        <f t="shared" si="68"/>
        <v/>
      </c>
      <c r="AO285" s="473" t="str">
        <f t="shared" si="69"/>
        <v/>
      </c>
      <c r="AP285" s="473" t="str">
        <f t="shared" si="70"/>
        <v/>
      </c>
      <c r="AQ285" s="473" t="str">
        <f t="shared" si="71"/>
        <v/>
      </c>
      <c r="AR285" s="473" t="str">
        <f t="shared" si="72"/>
        <v/>
      </c>
      <c r="AS285" s="473" t="str">
        <f t="shared" si="73"/>
        <v/>
      </c>
      <c r="AT285" s="473" t="str">
        <f t="shared" si="74"/>
        <v/>
      </c>
      <c r="AU285" s="473" t="str">
        <f t="shared" si="75"/>
        <v/>
      </c>
      <c r="AY285" s="497" t="s">
        <v>465</v>
      </c>
      <c r="AZ285" s="32" t="s">
        <v>316</v>
      </c>
      <c r="BA285" s="34" t="s">
        <v>6125</v>
      </c>
      <c r="BB285" s="499"/>
      <c r="BC285" s="271"/>
      <c r="BD285" s="279">
        <v>1</v>
      </c>
      <c r="BE285" s="271"/>
      <c r="BF285" s="271"/>
      <c r="BG285" s="271"/>
      <c r="BH285" s="271"/>
      <c r="BI285" s="271"/>
      <c r="BJ285" s="271"/>
      <c r="BK285" s="271"/>
      <c r="BL285" s="271"/>
    </row>
    <row r="286" spans="18:64" ht="21" customHeight="1" x14ac:dyDescent="0.25">
      <c r="R286" s="34" t="s">
        <v>6127</v>
      </c>
      <c r="S286" s="451"/>
      <c r="T286" s="31" t="s">
        <v>26</v>
      </c>
      <c r="V286" s="475">
        <v>6</v>
      </c>
      <c r="W286" s="475" t="str">
        <f>IF($AC$286="","",$W$252)</f>
        <v>N° 44</v>
      </c>
      <c r="X286" s="476" t="str">
        <f>IF($AC$286="","",$X$252)</f>
        <v>GRATINÉE A L'OIGNON</v>
      </c>
      <c r="Y286" s="477">
        <f>IF($X$286="","",$Y$252)</f>
        <v>61</v>
      </c>
      <c r="Z286" s="477">
        <f>IF($X$286="","",$Z$252)</f>
        <v>100</v>
      </c>
      <c r="AA286" s="477">
        <f>IF($AC$286="","",ROW($A$286)-ROW($A$252))</f>
        <v>34</v>
      </c>
      <c r="AB286" s="478"/>
      <c r="AC286" s="34" t="s">
        <v>457</v>
      </c>
      <c r="AD286" s="356"/>
      <c r="AE286" s="18">
        <v>6</v>
      </c>
      <c r="AF286" s="33" t="s">
        <v>465</v>
      </c>
      <c r="AG286" s="491">
        <f t="shared" si="64"/>
        <v>6</v>
      </c>
      <c r="AH286" s="481" t="str">
        <f t="shared" si="65"/>
        <v>GRILLE(S)</v>
      </c>
      <c r="AI286" s="477" t="str">
        <f>IF($AC$286="","",IFERROR(INDEX($AZ$74:$AZ$119,MATCH($AH$286,$AY$74:$AY$119,0)),"AUTRE"))</f>
        <v>AUTRE</v>
      </c>
      <c r="AJ286" s="482">
        <f>IF($AC$286="","",IFERROR(INDEX($BA$74:$BA$119,MATCH($AH$286,$AY$74:$AY$119,0)),1))</f>
        <v>1</v>
      </c>
      <c r="AK286" s="482">
        <f t="shared" si="66"/>
        <v>6</v>
      </c>
      <c r="AL286" s="477" t="str">
        <f>IF($AC$286="","",IFERROR(INDEX($BB$74:$BB$119,MATCH($AH$286,$AY$74:$AY$119,0)),$AH$286))</f>
        <v>grille(s)</v>
      </c>
      <c r="AM286" s="483" t="str">
        <f t="shared" si="67"/>
        <v>OK</v>
      </c>
      <c r="AN286" s="484">
        <f t="shared" si="68"/>
        <v>6</v>
      </c>
      <c r="AO286" s="473" t="str">
        <f t="shared" si="69"/>
        <v/>
      </c>
      <c r="AP286" s="473" t="str">
        <f t="shared" si="70"/>
        <v/>
      </c>
      <c r="AQ286" s="473" t="str">
        <f t="shared" si="71"/>
        <v/>
      </c>
      <c r="AR286" s="473" t="str">
        <f t="shared" si="72"/>
        <v/>
      </c>
      <c r="AS286" s="473" t="str">
        <f t="shared" si="73"/>
        <v/>
      </c>
      <c r="AT286" s="473" t="str">
        <f t="shared" si="74"/>
        <v/>
      </c>
      <c r="AU286" s="473" t="str">
        <f t="shared" si="75"/>
        <v/>
      </c>
      <c r="AY286" s="497" t="s">
        <v>466</v>
      </c>
      <c r="AZ286" s="32" t="s">
        <v>313</v>
      </c>
      <c r="BA286" s="34" t="s">
        <v>6126</v>
      </c>
      <c r="BB286" s="499"/>
      <c r="BC286" s="271"/>
      <c r="BD286" s="279">
        <v>1</v>
      </c>
      <c r="BE286" s="271"/>
      <c r="BF286" s="271"/>
      <c r="BG286" s="271"/>
      <c r="BH286" s="271"/>
      <c r="BI286" s="271"/>
      <c r="BJ286" s="271"/>
      <c r="BK286" s="271"/>
      <c r="BL286" s="271"/>
    </row>
    <row r="287" spans="18:64" ht="30" customHeight="1" x14ac:dyDescent="0.25">
      <c r="R287" s="25" t="s">
        <v>6128</v>
      </c>
      <c r="S287" s="451"/>
      <c r="T287" s="31" t="s">
        <v>27</v>
      </c>
      <c r="V287" s="453" t="s">
        <v>324</v>
      </c>
      <c r="W287" s="453" t="s">
        <v>7912</v>
      </c>
      <c r="X287" s="453" t="s">
        <v>326</v>
      </c>
      <c r="Y287" s="453" t="s">
        <v>327</v>
      </c>
      <c r="Z287" s="454" t="s">
        <v>7930</v>
      </c>
      <c r="AA287" s="453" t="s">
        <v>7937</v>
      </c>
      <c r="AB287" s="455" t="s">
        <v>39</v>
      </c>
      <c r="AC287" s="455" t="s">
        <v>338</v>
      </c>
      <c r="AD287" s="455" t="s">
        <v>8114</v>
      </c>
      <c r="AE287" s="455" t="s">
        <v>339</v>
      </c>
      <c r="AF287" s="455" t="s">
        <v>7997</v>
      </c>
      <c r="AG287" s="453" t="s">
        <v>8018</v>
      </c>
      <c r="AH287" s="453" t="s">
        <v>8023</v>
      </c>
      <c r="AI287" s="453" t="s">
        <v>330</v>
      </c>
      <c r="AJ287" s="453" t="s">
        <v>8031</v>
      </c>
      <c r="AK287" s="453" t="s">
        <v>8037</v>
      </c>
      <c r="AL287" s="453" t="s">
        <v>8041</v>
      </c>
      <c r="AM287" s="453" t="s">
        <v>343</v>
      </c>
      <c r="AN287" s="457" t="s">
        <v>8115</v>
      </c>
      <c r="AO287" s="457" t="s">
        <v>8116</v>
      </c>
      <c r="AP287" s="656" t="s">
        <v>8117</v>
      </c>
      <c r="AQ287" s="656"/>
      <c r="AR287" s="656"/>
      <c r="AS287" s="656"/>
      <c r="AT287" s="656"/>
      <c r="AU287" s="657"/>
      <c r="AZ287" s="32" t="s">
        <v>307</v>
      </c>
      <c r="BA287" s="34" t="s">
        <v>6127</v>
      </c>
      <c r="BB287" s="499"/>
      <c r="BC287" s="271"/>
      <c r="BD287" s="279">
        <v>1</v>
      </c>
      <c r="BE287" s="271"/>
      <c r="BF287" s="271"/>
      <c r="BG287" s="271"/>
      <c r="BH287" s="271"/>
      <c r="BI287" s="271"/>
      <c r="BJ287" s="271"/>
      <c r="BK287" s="271"/>
      <c r="BL287" s="271"/>
    </row>
    <row r="288" spans="18:64" ht="30" customHeight="1" x14ac:dyDescent="0.25">
      <c r="R288" s="34" t="s">
        <v>474</v>
      </c>
      <c r="S288" s="451"/>
      <c r="T288" s="31" t="s">
        <v>28</v>
      </c>
      <c r="V288" s="459">
        <v>7</v>
      </c>
      <c r="W288" s="460" t="s">
        <v>8120</v>
      </c>
      <c r="X288" s="461" t="s">
        <v>8157</v>
      </c>
      <c r="Y288" s="462"/>
      <c r="Z288" s="463">
        <v>100</v>
      </c>
      <c r="AA288" s="464">
        <f>IF($AC$396="","",ROW($A$396)-ROW($A$396))</f>
        <v>0</v>
      </c>
      <c r="AB288" s="461"/>
      <c r="AC288" s="465" t="s">
        <v>8158</v>
      </c>
      <c r="AD288" s="390"/>
      <c r="AE288" s="390"/>
      <c r="AF288" s="466"/>
      <c r="AG288" s="467" t="str">
        <f t="shared" ref="AG288:AG322" si="76">IF($AC288="","",IF(LEN($AN288&amp;"")=0,"",$AN288))</f>
        <v/>
      </c>
      <c r="AH288" s="468" t="str">
        <f t="shared" ref="AH288:AH322" si="77">IF($AC288="","",IF($AF288&lt;&gt;"",UPPER(TRIM(SUBSTITUTE(SUBSTITUTE($AF288&amp;"",CHAR(160)," ")," "," "))),$AP288))</f>
        <v/>
      </c>
      <c r="AI288" s="469" t="str">
        <f>IF($AC$288="","",IFERROR(INDEX($AZ$74:$AZ$119,MATCH($AH$288,$AY$74:$AY$119,0)),"AUTRE"))</f>
        <v>AUTRE</v>
      </c>
      <c r="AJ288" s="470">
        <f>IF($AC$288="","",IFERROR(INDEX($BA$74:$BA$119,MATCH($AH$288,$AY$74:$AY$119,0)),1))</f>
        <v>1</v>
      </c>
      <c r="AK288" s="470" t="str">
        <f t="shared" si="66"/>
        <v/>
      </c>
      <c r="AL288" s="469" t="str">
        <f>IF($AC$288="","",IFERROR(INDEX($BB$74:$BB$119,MATCH($AH$288,$AY$74:$AY$119,0)),$AH$288))</f>
        <v/>
      </c>
      <c r="AM288" s="471" t="str">
        <f t="shared" ref="AM288:AM322" si="78">IF($AC288="","",IF($AH288="QT. SUFFISANTE","OK",IF($AG288="","TEXTE",IF(NOT(ISNUMBER($AG288)),"QUANTITÉ À CONTRÔLER",IF(COUNTIF($AY$74:$AY$119,$AH288)=0,"UNITÉ À CONTRÔLER","OK")))))</f>
        <v>TEXTE</v>
      </c>
      <c r="AN288" s="474" t="str">
        <f t="shared" ref="AN288:AN322" si="79">IF($AE288&lt;&gt;"",$AE288,IF($AD288="","",IF(ISNUMBER($AD288),$AD288,IF($AO288="QT",0,IF($AO288="","",IFERROR(IF(ISNUMBER(SEARCH("/",$AO288)),VALUE(TRIM(LEFT($AO288,SEARCH("/",$AO288)-1)))/VALUE(TRIM(MID($AO288,SEARCH("/",$AO288)+1,99))),VALUE(SUBSTITUTE($AO288,".",","))),""))))))</f>
        <v/>
      </c>
      <c r="AO288" s="473" t="str">
        <f t="shared" ref="AO288:AO322" si="80">IF($AD288="","",IF(ISNUMBER($AD288),$AD288,IF(OR(LEFT($AQ288,3)="QT.",LEFT($AQ288,4)="QUAN"),"QT",IF($AR288=999,$AQ288,TRIM(LEFT($AQ288,$AR288-1))))))</f>
        <v/>
      </c>
      <c r="AP288" s="473" t="str">
        <f t="shared" ref="AP288:AP322" si="81">IF($AD288="","",IF(ISNUMBER($AD288),"",IF(OR(LEFT($AQ288,3)="QT.",LEFT($AQ288,4)="QUAN"),"QT. SUFFISANTE",IF($AO288="","",TRIM(MID($AQ288,LEN($AO288&amp;"")+1,999))))))</f>
        <v/>
      </c>
      <c r="AQ288" s="473" t="str">
        <f t="shared" ref="AQ288:AQ322" si="82">IF($AD288="","",UPPER(TRIM(SUBSTITUTE(SUBSTITUTE($AD288&amp;"",CHAR(160)," ")," "," "))))</f>
        <v/>
      </c>
      <c r="AR288" s="473" t="str">
        <f t="shared" ref="AR288:AR322" si="83">IF($AQ288="","",MIN($AS288,$AT288,$AU288))</f>
        <v/>
      </c>
      <c r="AS288" s="473" t="str">
        <f t="shared" ref="AS288:AS322" si="84">IF($AQ288="","",MIN(IFERROR(SEARCH("A",$AQ288),999),IFERROR(SEARCH("B",$AQ288),999),IFERROR(SEARCH("C",$AQ288),999),IFERROR(SEARCH("D",$AQ288),999),IFERROR(SEARCH("E",$AQ288),999),IFERROR(SEARCH("F",$AQ288),999),IFERROR(SEARCH("G",$AQ288),999),IFERROR(SEARCH("H",$AQ288),999),IFERROR(SEARCH("I",$AQ288),999)))</f>
        <v/>
      </c>
      <c r="AT288" s="473" t="str">
        <f t="shared" ref="AT288:AT322" si="85">IF($AQ288="","",MIN(IFERROR(SEARCH("J",$AQ288),999),IFERROR(SEARCH("K",$AQ288),999),IFERROR(SEARCH("L",$AQ288),999),IFERROR(SEARCH("M",$AQ288),999),IFERROR(SEARCH("N",$AQ288),999),IFERROR(SEARCH("O",$AQ288),999),IFERROR(SEARCH("P",$AQ288),999),IFERROR(SEARCH("Q",$AQ288),999),IFERROR(SEARCH("R",$AQ288),999)))</f>
        <v/>
      </c>
      <c r="AU288" s="473" t="str">
        <f t="shared" ref="AU288:AU322" si="86">IF($AQ288="","",MIN(IFERROR(SEARCH("S",$AQ288),999),IFERROR(SEARCH("T",$AQ288),999),IFERROR(SEARCH("U",$AQ288),999),IFERROR(SEARCH("V",$AQ288),999),IFERROR(SEARCH("W",$AQ288),999),IFERROR(SEARCH("X",$AQ288),999),IFERROR(SEARCH("Y",$AQ288),999),IFERROR(SEARCH("Z",$AQ288),999)))</f>
        <v/>
      </c>
      <c r="AZ288" s="32" t="s">
        <v>322</v>
      </c>
      <c r="BA288" s="25" t="s">
        <v>6128</v>
      </c>
      <c r="BB288" s="499"/>
      <c r="BC288" s="271"/>
      <c r="BD288" s="279">
        <v>1</v>
      </c>
      <c r="BE288" s="271"/>
      <c r="BF288" s="271"/>
      <c r="BG288" s="271"/>
      <c r="BH288" s="271"/>
      <c r="BI288" s="271"/>
      <c r="BJ288" s="271"/>
      <c r="BK288" s="271"/>
      <c r="BL288" s="271"/>
    </row>
    <row r="289" spans="18:64" ht="21" customHeight="1" x14ac:dyDescent="0.25">
      <c r="R289" s="34" t="s">
        <v>490</v>
      </c>
      <c r="S289" s="451"/>
      <c r="T289" s="31" t="s">
        <v>29</v>
      </c>
      <c r="V289" s="475">
        <f>$V$288</f>
        <v>7</v>
      </c>
      <c r="W289" s="475" t="str">
        <f>IF($AC$289="","",$W$288)</f>
        <v/>
      </c>
      <c r="X289" s="476" t="str">
        <f>IF($AC$289="","",$X$288)</f>
        <v/>
      </c>
      <c r="Y289" s="477" t="str">
        <f>IF($X$289="","",$Y$288)</f>
        <v/>
      </c>
      <c r="Z289" s="477" t="str">
        <f>IF($X$289="","",$Z$288)</f>
        <v/>
      </c>
      <c r="AA289" s="477" t="str">
        <f>IF($AC$289="","",ROW($A$289)-ROW($A$288))</f>
        <v/>
      </c>
      <c r="AB289" s="478"/>
      <c r="AC289" s="34"/>
      <c r="AD289" s="356"/>
      <c r="AE289" s="479"/>
      <c r="AF289" s="475"/>
      <c r="AG289" s="480" t="str">
        <f t="shared" si="76"/>
        <v/>
      </c>
      <c r="AH289" s="481" t="str">
        <f t="shared" si="77"/>
        <v/>
      </c>
      <c r="AI289" s="477" t="str">
        <f>IF($AC$289="","",IFERROR(INDEX($AZ$74:$AZ$119,MATCH($AH$289,$AY$74:$AY$119,0)),"AUTRE"))</f>
        <v/>
      </c>
      <c r="AJ289" s="482" t="str">
        <f>IF($AC$289="","",IFERROR(INDEX($BA$74:$BA$119,MATCH($AH$289,$AY$74:$AY$119,0)),1))</f>
        <v/>
      </c>
      <c r="AK289" s="482" t="str">
        <f t="shared" si="66"/>
        <v/>
      </c>
      <c r="AL289" s="477" t="str">
        <f>IF($AC$289="","",IFERROR(INDEX($BB$74:$BB$119,MATCH($AH$289,$AY$74:$AY$119,0)),$AH$289))</f>
        <v/>
      </c>
      <c r="AM289" s="483" t="str">
        <f t="shared" si="78"/>
        <v/>
      </c>
      <c r="AN289" s="484" t="str">
        <f t="shared" si="79"/>
        <v/>
      </c>
      <c r="AO289" s="473" t="str">
        <f t="shared" si="80"/>
        <v/>
      </c>
      <c r="AP289" s="473" t="str">
        <f t="shared" si="81"/>
        <v/>
      </c>
      <c r="AQ289" s="473" t="str">
        <f t="shared" si="82"/>
        <v/>
      </c>
      <c r="AR289" s="473" t="str">
        <f t="shared" si="83"/>
        <v/>
      </c>
      <c r="AS289" s="473" t="str">
        <f t="shared" si="84"/>
        <v/>
      </c>
      <c r="AT289" s="473" t="str">
        <f t="shared" si="85"/>
        <v/>
      </c>
      <c r="AU289" s="473" t="str">
        <f t="shared" si="86"/>
        <v/>
      </c>
      <c r="AZ289" s="32" t="s">
        <v>305</v>
      </c>
      <c r="BA289" s="34" t="s">
        <v>474</v>
      </c>
      <c r="BB289" s="499"/>
      <c r="BC289" s="271"/>
      <c r="BD289" s="279">
        <v>1</v>
      </c>
      <c r="BE289" s="271"/>
      <c r="BF289" s="271"/>
      <c r="BG289" s="271"/>
      <c r="BH289" s="271"/>
      <c r="BI289" s="271"/>
      <c r="BJ289" s="271"/>
      <c r="BK289" s="271"/>
      <c r="BL289" s="271"/>
    </row>
    <row r="290" spans="18:64" ht="21" customHeight="1" x14ac:dyDescent="0.25">
      <c r="R290" s="34" t="s">
        <v>6129</v>
      </c>
      <c r="S290" s="451"/>
      <c r="T290" s="31" t="s">
        <v>30</v>
      </c>
      <c r="V290" s="475">
        <v>7</v>
      </c>
      <c r="W290" s="475" t="str">
        <f>IF($AC$290="","",$W$288)</f>
        <v/>
      </c>
      <c r="X290" s="476" t="str">
        <f>IF($AC$290="","",$X$288)</f>
        <v/>
      </c>
      <c r="Y290" s="477" t="str">
        <f>IF($X$290="","",$Y$288)</f>
        <v/>
      </c>
      <c r="Z290" s="477" t="str">
        <f>IF($X$290="","",$Z$288)</f>
        <v/>
      </c>
      <c r="AA290" s="477" t="str">
        <f>IF($AC$290="","",ROW($A$290)-ROW($A$288))</f>
        <v/>
      </c>
      <c r="AB290" s="478"/>
      <c r="AC290" s="34"/>
      <c r="AD290" s="356"/>
      <c r="AE290" s="479"/>
      <c r="AF290" s="475"/>
      <c r="AG290" s="480" t="str">
        <f t="shared" si="76"/>
        <v/>
      </c>
      <c r="AH290" s="481" t="str">
        <f t="shared" si="77"/>
        <v/>
      </c>
      <c r="AI290" s="477" t="str">
        <f>IF($AC$290="","",IFERROR(INDEX($AZ$74:$AZ$119,MATCH($AH$290,$AY$74:$AY$119,0)),"AUTRE"))</f>
        <v/>
      </c>
      <c r="AJ290" s="482" t="str">
        <f>IF($AC$290="","",IFERROR(INDEX($BA$74:$BA$119,MATCH($AH$290,$AY$74:$AY$119,0)),1))</f>
        <v/>
      </c>
      <c r="AK290" s="482" t="str">
        <f t="shared" si="66"/>
        <v/>
      </c>
      <c r="AL290" s="477" t="str">
        <f>IF($AC$290="","",IFERROR(INDEX($BB$74:$BB$119,MATCH($AH$290,$AY$74:$AY$119,0)),$AH$290))</f>
        <v/>
      </c>
      <c r="AM290" s="483" t="str">
        <f t="shared" si="78"/>
        <v/>
      </c>
      <c r="AN290" s="484" t="str">
        <f t="shared" si="79"/>
        <v/>
      </c>
      <c r="AO290" s="473" t="str">
        <f t="shared" si="80"/>
        <v/>
      </c>
      <c r="AP290" s="473" t="str">
        <f t="shared" si="81"/>
        <v/>
      </c>
      <c r="AQ290" s="473" t="str">
        <f t="shared" si="82"/>
        <v/>
      </c>
      <c r="AR290" s="473" t="str">
        <f t="shared" si="83"/>
        <v/>
      </c>
      <c r="AS290" s="473" t="str">
        <f t="shared" si="84"/>
        <v/>
      </c>
      <c r="AT290" s="473" t="str">
        <f t="shared" si="85"/>
        <v/>
      </c>
      <c r="AU290" s="473" t="str">
        <f t="shared" si="86"/>
        <v/>
      </c>
      <c r="AZ290" s="32" t="s">
        <v>8129</v>
      </c>
      <c r="BA290" s="34" t="s">
        <v>490</v>
      </c>
      <c r="BB290" s="499"/>
      <c r="BC290" s="271"/>
      <c r="BD290" s="279">
        <v>1</v>
      </c>
      <c r="BE290" s="271"/>
      <c r="BF290" s="271"/>
      <c r="BG290" s="271"/>
      <c r="BH290" s="271"/>
      <c r="BI290" s="271"/>
      <c r="BJ290" s="271"/>
      <c r="BK290" s="271"/>
      <c r="BL290" s="271"/>
    </row>
    <row r="291" spans="18:64" ht="21" customHeight="1" x14ac:dyDescent="0.25">
      <c r="R291" s="34" t="s">
        <v>478</v>
      </c>
      <c r="S291" s="451"/>
      <c r="T291" s="31" t="s">
        <v>31</v>
      </c>
      <c r="V291" s="475">
        <v>7</v>
      </c>
      <c r="W291" s="475" t="str">
        <f>IF($AC$291="","",$W$288)</f>
        <v/>
      </c>
      <c r="X291" s="476" t="str">
        <f>IF($AC$291="","",$X$288)</f>
        <v/>
      </c>
      <c r="Y291" s="477" t="str">
        <f>IF($X$291="","",$Y$288)</f>
        <v/>
      </c>
      <c r="Z291" s="477" t="str">
        <f>IF($X$291="","",$Z$288)</f>
        <v/>
      </c>
      <c r="AA291" s="477" t="str">
        <f>IF($AC$291="","",ROW($A$291)-ROW($A$288))</f>
        <v/>
      </c>
      <c r="AB291" s="478"/>
      <c r="AC291" s="34"/>
      <c r="AD291" s="356"/>
      <c r="AE291" s="479"/>
      <c r="AF291" s="475"/>
      <c r="AG291" s="480" t="str">
        <f t="shared" si="76"/>
        <v/>
      </c>
      <c r="AH291" s="481" t="str">
        <f t="shared" si="77"/>
        <v/>
      </c>
      <c r="AI291" s="477" t="str">
        <f>IF($AC$291="","",IFERROR(INDEX($AZ$74:$AZ$119,MATCH($AH$291,$AY$74:$AY$119,0)),"AUTRE"))</f>
        <v/>
      </c>
      <c r="AJ291" s="482" t="str">
        <f>IF($AC$291="","",IFERROR(INDEX($BA$74:$BA$119,MATCH($AH$291,$AY$74:$AY$119,0)),1))</f>
        <v/>
      </c>
      <c r="AK291" s="482" t="str">
        <f t="shared" si="66"/>
        <v/>
      </c>
      <c r="AL291" s="477" t="str">
        <f>IF($AC$291="","",IFERROR(INDEX($BB$74:$BB$119,MATCH($AH$291,$AY$74:$AY$119,0)),$AH$291))</f>
        <v/>
      </c>
      <c r="AM291" s="483" t="str">
        <f t="shared" si="78"/>
        <v/>
      </c>
      <c r="AN291" s="484" t="str">
        <f t="shared" si="79"/>
        <v/>
      </c>
      <c r="AO291" s="473" t="str">
        <f t="shared" si="80"/>
        <v/>
      </c>
      <c r="AP291" s="473" t="str">
        <f t="shared" si="81"/>
        <v/>
      </c>
      <c r="AQ291" s="473" t="str">
        <f t="shared" si="82"/>
        <v/>
      </c>
      <c r="AR291" s="473" t="str">
        <f t="shared" si="83"/>
        <v/>
      </c>
      <c r="AS291" s="473" t="str">
        <f t="shared" si="84"/>
        <v/>
      </c>
      <c r="AT291" s="473" t="str">
        <f t="shared" si="85"/>
        <v/>
      </c>
      <c r="AU291" s="473" t="str">
        <f t="shared" si="86"/>
        <v/>
      </c>
      <c r="AZ291" s="32" t="s">
        <v>8131</v>
      </c>
      <c r="BA291" s="34" t="s">
        <v>6129</v>
      </c>
      <c r="BB291" s="499"/>
      <c r="BC291" s="271"/>
      <c r="BD291" s="279">
        <v>1</v>
      </c>
      <c r="BE291" s="271"/>
      <c r="BF291" s="271"/>
      <c r="BG291" s="271"/>
      <c r="BH291" s="271"/>
      <c r="BI291" s="271"/>
      <c r="BJ291" s="271"/>
      <c r="BK291" s="271"/>
      <c r="BL291" s="271"/>
    </row>
    <row r="292" spans="18:64" ht="21" customHeight="1" x14ac:dyDescent="0.25">
      <c r="R292" s="34" t="s">
        <v>6130</v>
      </c>
      <c r="S292" s="451"/>
      <c r="T292" s="32" t="s">
        <v>33</v>
      </c>
      <c r="V292" s="475">
        <v>7</v>
      </c>
      <c r="W292" s="475" t="str">
        <f>IF($AC$292="","",$W$288)</f>
        <v/>
      </c>
      <c r="X292" s="476" t="str">
        <f>IF($AC$292="","",$X$288)</f>
        <v/>
      </c>
      <c r="Y292" s="477" t="str">
        <f>IF($X$292="","",$Y$288)</f>
        <v/>
      </c>
      <c r="Z292" s="477" t="str">
        <f>IF($X$292="","",$Z$288)</f>
        <v/>
      </c>
      <c r="AA292" s="477" t="str">
        <f>IF($AC$292="","",ROW($A$292)-ROW($A$288))</f>
        <v/>
      </c>
      <c r="AB292" s="478"/>
      <c r="AC292" s="34"/>
      <c r="AD292" s="356"/>
      <c r="AE292" s="479"/>
      <c r="AF292" s="475"/>
      <c r="AG292" s="480" t="str">
        <f t="shared" si="76"/>
        <v/>
      </c>
      <c r="AH292" s="481" t="str">
        <f t="shared" si="77"/>
        <v/>
      </c>
      <c r="AI292" s="477" t="str">
        <f>IF($AC$292="","",IFERROR(INDEX($AZ$74:$AZ$119,MATCH($AH$292,$AY$74:$AY$119,0)),"AUTRE"))</f>
        <v/>
      </c>
      <c r="AJ292" s="482" t="str">
        <f>IF($AC$292="","",IFERROR(INDEX($BA$74:$BA$119,MATCH($AH$292,$AY$74:$AY$119,0)),1))</f>
        <v/>
      </c>
      <c r="AK292" s="482" t="str">
        <f t="shared" si="66"/>
        <v/>
      </c>
      <c r="AL292" s="477" t="str">
        <f>IF($AC$292="","",IFERROR(INDEX($BB$74:$BB$119,MATCH($AH$292,$AY$74:$AY$119,0)),$AH$292))</f>
        <v/>
      </c>
      <c r="AM292" s="483" t="str">
        <f t="shared" si="78"/>
        <v/>
      </c>
      <c r="AN292" s="484" t="str">
        <f t="shared" si="79"/>
        <v/>
      </c>
      <c r="AO292" s="473" t="str">
        <f t="shared" si="80"/>
        <v/>
      </c>
      <c r="AP292" s="473" t="str">
        <f t="shared" si="81"/>
        <v/>
      </c>
      <c r="AQ292" s="473" t="str">
        <f t="shared" si="82"/>
        <v/>
      </c>
      <c r="AR292" s="473" t="str">
        <f t="shared" si="83"/>
        <v/>
      </c>
      <c r="AS292" s="473" t="str">
        <f t="shared" si="84"/>
        <v/>
      </c>
      <c r="AT292" s="473" t="str">
        <f t="shared" si="85"/>
        <v/>
      </c>
      <c r="AU292" s="473" t="str">
        <f t="shared" si="86"/>
        <v/>
      </c>
      <c r="AZ292" s="32" t="s">
        <v>309</v>
      </c>
      <c r="BA292" s="34" t="s">
        <v>478</v>
      </c>
      <c r="BB292" s="499"/>
      <c r="BC292" s="271"/>
      <c r="BD292" s="279">
        <v>1</v>
      </c>
      <c r="BE292" s="271"/>
      <c r="BF292" s="271"/>
      <c r="BG292" s="271"/>
      <c r="BH292" s="271"/>
      <c r="BI292" s="271"/>
      <c r="BJ292" s="271"/>
      <c r="BK292" s="271"/>
      <c r="BL292" s="271"/>
    </row>
    <row r="293" spans="18:64" ht="21" customHeight="1" x14ac:dyDescent="0.25">
      <c r="R293" s="34" t="s">
        <v>486</v>
      </c>
      <c r="S293" s="451"/>
      <c r="T293" s="32" t="s">
        <v>8125</v>
      </c>
      <c r="V293" s="475">
        <v>7</v>
      </c>
      <c r="W293" s="475" t="str">
        <f>IF($AC$293="","",$W$288)</f>
        <v/>
      </c>
      <c r="X293" s="476" t="str">
        <f>IF($AC$293="","",$X$288)</f>
        <v/>
      </c>
      <c r="Y293" s="477" t="str">
        <f>IF($X$293="","",$Y$288)</f>
        <v/>
      </c>
      <c r="Z293" s="477" t="str">
        <f>IF($X$293="","",$Z$288)</f>
        <v/>
      </c>
      <c r="AA293" s="477" t="str">
        <f>IF($AC$293="","",ROW($A$293)-ROW($A$288))</f>
        <v/>
      </c>
      <c r="AB293" s="478"/>
      <c r="AC293" s="34"/>
      <c r="AD293" s="356"/>
      <c r="AE293" s="479"/>
      <c r="AF293" s="475"/>
      <c r="AG293" s="480" t="str">
        <f t="shared" si="76"/>
        <v/>
      </c>
      <c r="AH293" s="481" t="str">
        <f t="shared" si="77"/>
        <v/>
      </c>
      <c r="AI293" s="477" t="str">
        <f>IF($AC$293="","",IFERROR(INDEX($AZ$74:$AZ$119,MATCH($AH$293,$AY$74:$AY$119,0)),"AUTRE"))</f>
        <v/>
      </c>
      <c r="AJ293" s="482" t="str">
        <f>IF($AC$293="","",IFERROR(INDEX($BA$74:$BA$119,MATCH($AH$293,$AY$74:$AY$119,0)),1))</f>
        <v/>
      </c>
      <c r="AK293" s="482" t="str">
        <f t="shared" si="66"/>
        <v/>
      </c>
      <c r="AL293" s="477" t="str">
        <f>IF($AC$293="","",IFERROR(INDEX($BB$74:$BB$119,MATCH($AH$293,$AY$74:$AY$119,0)),$AH$293))</f>
        <v/>
      </c>
      <c r="AM293" s="483" t="str">
        <f t="shared" si="78"/>
        <v/>
      </c>
      <c r="AN293" s="484" t="str">
        <f t="shared" si="79"/>
        <v/>
      </c>
      <c r="AO293" s="473" t="str">
        <f t="shared" si="80"/>
        <v/>
      </c>
      <c r="AP293" s="473" t="str">
        <f t="shared" si="81"/>
        <v/>
      </c>
      <c r="AQ293" s="473" t="str">
        <f t="shared" si="82"/>
        <v/>
      </c>
      <c r="AR293" s="473" t="str">
        <f t="shared" si="83"/>
        <v/>
      </c>
      <c r="AS293" s="473" t="str">
        <f t="shared" si="84"/>
        <v/>
      </c>
      <c r="AT293" s="473" t="str">
        <f t="shared" si="85"/>
        <v/>
      </c>
      <c r="AU293" s="473" t="str">
        <f t="shared" si="86"/>
        <v/>
      </c>
      <c r="AZ293" s="32" t="s">
        <v>311</v>
      </c>
      <c r="BA293" s="34" t="s">
        <v>6130</v>
      </c>
      <c r="BB293" s="499"/>
      <c r="BC293" s="271"/>
      <c r="BD293" s="279">
        <v>1</v>
      </c>
      <c r="BE293" s="271"/>
      <c r="BF293" s="271"/>
      <c r="BG293" s="271"/>
      <c r="BH293" s="271"/>
      <c r="BI293" s="271"/>
      <c r="BJ293" s="271"/>
      <c r="BK293" s="271"/>
      <c r="BL293" s="271"/>
    </row>
    <row r="294" spans="18:64" ht="21" customHeight="1" x14ac:dyDescent="0.25">
      <c r="R294" s="34" t="s">
        <v>479</v>
      </c>
      <c r="S294" s="451"/>
      <c r="T294" s="32" t="s">
        <v>8127</v>
      </c>
      <c r="V294" s="475">
        <v>7</v>
      </c>
      <c r="W294" s="475" t="str">
        <f>IF($AC$294="","",$W$288)</f>
        <v/>
      </c>
      <c r="X294" s="476" t="str">
        <f>IF($AC$294="","",$X$288)</f>
        <v/>
      </c>
      <c r="Y294" s="477" t="str">
        <f>IF($X$294="","",$Y$288)</f>
        <v/>
      </c>
      <c r="Z294" s="477" t="str">
        <f>IF($X$294="","",$Z$288)</f>
        <v/>
      </c>
      <c r="AA294" s="477" t="str">
        <f>IF($AC$294="","",ROW($A$294)-ROW($A$288))</f>
        <v/>
      </c>
      <c r="AB294" s="478"/>
      <c r="AC294" s="34"/>
      <c r="AD294" s="356"/>
      <c r="AE294" s="479"/>
      <c r="AF294" s="475"/>
      <c r="AG294" s="480" t="str">
        <f t="shared" si="76"/>
        <v/>
      </c>
      <c r="AH294" s="481" t="str">
        <f t="shared" si="77"/>
        <v/>
      </c>
      <c r="AI294" s="477" t="str">
        <f>IF($AC$294="","",IFERROR(INDEX($AZ$74:$AZ$119,MATCH($AH$294,$AY$74:$AY$119,0)),"AUTRE"))</f>
        <v/>
      </c>
      <c r="AJ294" s="482" t="str">
        <f>IF($AC$294="","",IFERROR(INDEX($BA$74:$BA$119,MATCH($AH$294,$AY$74:$AY$119,0)),1))</f>
        <v/>
      </c>
      <c r="AK294" s="482" t="str">
        <f t="shared" si="66"/>
        <v/>
      </c>
      <c r="AL294" s="477" t="str">
        <f>IF($AC$294="","",IFERROR(INDEX($BB$74:$BB$119,MATCH($AH$294,$AY$74:$AY$119,0)),$AH$294))</f>
        <v/>
      </c>
      <c r="AM294" s="483" t="str">
        <f t="shared" si="78"/>
        <v/>
      </c>
      <c r="AN294" s="484" t="str">
        <f t="shared" si="79"/>
        <v/>
      </c>
      <c r="AO294" s="473" t="str">
        <f t="shared" si="80"/>
        <v/>
      </c>
      <c r="AP294" s="473" t="str">
        <f t="shared" si="81"/>
        <v/>
      </c>
      <c r="AQ294" s="473" t="str">
        <f t="shared" si="82"/>
        <v/>
      </c>
      <c r="AR294" s="473" t="str">
        <f t="shared" si="83"/>
        <v/>
      </c>
      <c r="AS294" s="473" t="str">
        <f t="shared" si="84"/>
        <v/>
      </c>
      <c r="AT294" s="473" t="str">
        <f t="shared" si="85"/>
        <v/>
      </c>
      <c r="AU294" s="473" t="str">
        <f t="shared" si="86"/>
        <v/>
      </c>
      <c r="AZ294" s="32" t="s">
        <v>8135</v>
      </c>
      <c r="BA294" s="34" t="s">
        <v>486</v>
      </c>
      <c r="BB294" s="499"/>
      <c r="BC294" s="271"/>
      <c r="BD294" s="279">
        <v>1</v>
      </c>
      <c r="BE294" s="271"/>
      <c r="BF294" s="271"/>
      <c r="BG294" s="271"/>
      <c r="BH294" s="271"/>
      <c r="BI294" s="271"/>
      <c r="BJ294" s="271"/>
      <c r="BK294" s="271"/>
      <c r="BL294" s="271"/>
    </row>
    <row r="295" spans="18:64" ht="21" customHeight="1" x14ac:dyDescent="0.25">
      <c r="R295" s="34" t="s">
        <v>6131</v>
      </c>
      <c r="S295" s="451"/>
      <c r="T295" s="32" t="s">
        <v>320</v>
      </c>
      <c r="V295" s="475">
        <v>7</v>
      </c>
      <c r="W295" s="475" t="str">
        <f>IF($AC$295="","",$W$288)</f>
        <v/>
      </c>
      <c r="X295" s="476" t="str">
        <f>IF($AC$295="","",$X$288)</f>
        <v/>
      </c>
      <c r="Y295" s="477" t="str">
        <f>IF($X$295="","",$Y$288)</f>
        <v/>
      </c>
      <c r="Z295" s="477" t="str">
        <f>IF($X$295="","",$Z$288)</f>
        <v/>
      </c>
      <c r="AA295" s="477" t="str">
        <f>IF($AC$295="","",ROW($A$295)-ROW($A$288))</f>
        <v/>
      </c>
      <c r="AB295" s="478"/>
      <c r="AC295" s="34"/>
      <c r="AD295" s="356"/>
      <c r="AE295" s="479"/>
      <c r="AF295" s="475"/>
      <c r="AG295" s="480" t="str">
        <f t="shared" si="76"/>
        <v/>
      </c>
      <c r="AH295" s="481" t="str">
        <f t="shared" si="77"/>
        <v/>
      </c>
      <c r="AI295" s="477" t="str">
        <f>IF($AC$295="","",IFERROR(INDEX($AZ$74:$AZ$119,MATCH($AH$295,$AY$74:$AY$119,0)),"AUTRE"))</f>
        <v/>
      </c>
      <c r="AJ295" s="482" t="str">
        <f>IF($AC$295="","",IFERROR(INDEX($BA$74:$BA$119,MATCH($AH$295,$AY$74:$AY$119,0)),1))</f>
        <v/>
      </c>
      <c r="AK295" s="482" t="str">
        <f t="shared" si="66"/>
        <v/>
      </c>
      <c r="AL295" s="477" t="str">
        <f>IF($AC$295="","",IFERROR(INDEX($BB$74:$BB$119,MATCH($AH$295,$AY$74:$AY$119,0)),$AH$295))</f>
        <v/>
      </c>
      <c r="AM295" s="483" t="str">
        <f t="shared" si="78"/>
        <v/>
      </c>
      <c r="AN295" s="484" t="str">
        <f t="shared" si="79"/>
        <v/>
      </c>
      <c r="AO295" s="473" t="str">
        <f t="shared" si="80"/>
        <v/>
      </c>
      <c r="AP295" s="473" t="str">
        <f t="shared" si="81"/>
        <v/>
      </c>
      <c r="AQ295" s="473" t="str">
        <f t="shared" si="82"/>
        <v/>
      </c>
      <c r="AR295" s="473" t="str">
        <f t="shared" si="83"/>
        <v/>
      </c>
      <c r="AS295" s="473" t="str">
        <f t="shared" si="84"/>
        <v/>
      </c>
      <c r="AT295" s="473" t="str">
        <f t="shared" si="85"/>
        <v/>
      </c>
      <c r="AU295" s="473" t="str">
        <f t="shared" si="86"/>
        <v/>
      </c>
      <c r="AZ295" s="32" t="s">
        <v>8137</v>
      </c>
      <c r="BA295" s="34" t="s">
        <v>479</v>
      </c>
      <c r="BB295" s="499"/>
      <c r="BC295" s="271"/>
      <c r="BD295" s="279">
        <v>1</v>
      </c>
      <c r="BE295" s="271"/>
      <c r="BF295" s="271"/>
      <c r="BG295" s="271"/>
      <c r="BH295" s="271"/>
      <c r="BI295" s="271"/>
      <c r="BJ295" s="271"/>
      <c r="BK295" s="271"/>
      <c r="BL295" s="271"/>
    </row>
    <row r="296" spans="18:64" ht="21" customHeight="1" x14ac:dyDescent="0.25">
      <c r="R296" s="34" t="s">
        <v>485</v>
      </c>
      <c r="S296" s="451"/>
      <c r="T296" s="32" t="s">
        <v>318</v>
      </c>
      <c r="V296" s="475">
        <v>7</v>
      </c>
      <c r="W296" s="475" t="str">
        <f>IF($AC$296="","",$W$288)</f>
        <v/>
      </c>
      <c r="X296" s="476" t="str">
        <f>IF($AC$296="","",$X$288)</f>
        <v/>
      </c>
      <c r="Y296" s="477" t="str">
        <f>IF($X$296="","",$Y$288)</f>
        <v/>
      </c>
      <c r="Z296" s="477" t="str">
        <f>IF($X$296="","",$Z$288)</f>
        <v/>
      </c>
      <c r="AA296" s="477" t="str">
        <f>IF($AC$296="","",ROW($A$296)-ROW($A$288))</f>
        <v/>
      </c>
      <c r="AB296" s="478"/>
      <c r="AC296" s="34"/>
      <c r="AD296" s="356"/>
      <c r="AE296" s="479"/>
      <c r="AF296" s="475"/>
      <c r="AG296" s="480" t="str">
        <f t="shared" si="76"/>
        <v/>
      </c>
      <c r="AH296" s="481" t="str">
        <f t="shared" si="77"/>
        <v/>
      </c>
      <c r="AI296" s="477" t="str">
        <f>IF($AC$296="","",IFERROR(INDEX($AZ$74:$AZ$119,MATCH($AH$296,$AY$74:$AY$119,0)),"AUTRE"))</f>
        <v/>
      </c>
      <c r="AJ296" s="482" t="str">
        <f>IF($AC$296="","",IFERROR(INDEX($BA$74:$BA$119,MATCH($AH$296,$AY$74:$AY$119,0)),1))</f>
        <v/>
      </c>
      <c r="AK296" s="482" t="str">
        <f t="shared" si="66"/>
        <v/>
      </c>
      <c r="AL296" s="477" t="str">
        <f>IF($AC$296="","",IFERROR(INDEX($BB$74:$BB$119,MATCH($AH$296,$AY$74:$AY$119,0)),$AH$296))</f>
        <v/>
      </c>
      <c r="AM296" s="483" t="str">
        <f t="shared" si="78"/>
        <v/>
      </c>
      <c r="AN296" s="484" t="str">
        <f t="shared" si="79"/>
        <v/>
      </c>
      <c r="AO296" s="473" t="str">
        <f t="shared" si="80"/>
        <v/>
      </c>
      <c r="AP296" s="473" t="str">
        <f t="shared" si="81"/>
        <v/>
      </c>
      <c r="AQ296" s="473" t="str">
        <f t="shared" si="82"/>
        <v/>
      </c>
      <c r="AR296" s="473" t="str">
        <f t="shared" si="83"/>
        <v/>
      </c>
      <c r="AS296" s="473" t="str">
        <f t="shared" si="84"/>
        <v/>
      </c>
      <c r="AT296" s="473" t="str">
        <f t="shared" si="85"/>
        <v/>
      </c>
      <c r="AU296" s="473" t="str">
        <f t="shared" si="86"/>
        <v/>
      </c>
      <c r="AZ296" s="32" t="s">
        <v>8139</v>
      </c>
      <c r="BA296" s="34" t="s">
        <v>6131</v>
      </c>
      <c r="BB296" s="499"/>
      <c r="BC296" s="271"/>
      <c r="BD296" s="279">
        <v>1</v>
      </c>
      <c r="BE296" s="271"/>
      <c r="BF296" s="271"/>
      <c r="BG296" s="271"/>
      <c r="BH296" s="271"/>
      <c r="BI296" s="271"/>
      <c r="BJ296" s="271"/>
      <c r="BK296" s="271"/>
      <c r="BL296" s="271"/>
    </row>
    <row r="297" spans="18:64" ht="21" customHeight="1" x14ac:dyDescent="0.25">
      <c r="R297" s="34" t="s">
        <v>6132</v>
      </c>
      <c r="S297" s="451"/>
      <c r="T297" s="32" t="s">
        <v>316</v>
      </c>
      <c r="V297" s="475">
        <v>7</v>
      </c>
      <c r="W297" s="475" t="str">
        <f>IF($AC$297="","",$W$288)</f>
        <v/>
      </c>
      <c r="X297" s="476" t="str">
        <f>IF($AC$297="","",$X$288)</f>
        <v/>
      </c>
      <c r="Y297" s="477" t="str">
        <f>IF($X$297="","",$Y$288)</f>
        <v/>
      </c>
      <c r="Z297" s="477" t="str">
        <f>IF($X$297="","",$Z$288)</f>
        <v/>
      </c>
      <c r="AA297" s="477" t="str">
        <f>IF($AC$297="","",ROW($A$297)-ROW($A$288))</f>
        <v/>
      </c>
      <c r="AB297" s="478"/>
      <c r="AC297" s="34"/>
      <c r="AD297" s="356"/>
      <c r="AE297" s="479"/>
      <c r="AF297" s="475"/>
      <c r="AG297" s="480" t="str">
        <f t="shared" si="76"/>
        <v/>
      </c>
      <c r="AH297" s="481" t="str">
        <f t="shared" si="77"/>
        <v/>
      </c>
      <c r="AI297" s="477" t="str">
        <f>IF($AC$297="","",IFERROR(INDEX($AZ$74:$AZ$119,MATCH($AH$297,$AY$74:$AY$119,0)),"AUTRE"))</f>
        <v/>
      </c>
      <c r="AJ297" s="482" t="str">
        <f>IF($AC$297="","",IFERROR(INDEX($BA$74:$BA$119,MATCH($AH$297,$AY$74:$AY$119,0)),1))</f>
        <v/>
      </c>
      <c r="AK297" s="482" t="str">
        <f t="shared" si="66"/>
        <v/>
      </c>
      <c r="AL297" s="477" t="str">
        <f>IF($AC$297="","",IFERROR(INDEX($BB$74:$BB$119,MATCH($AH$297,$AY$74:$AY$119,0)),$AH$297))</f>
        <v/>
      </c>
      <c r="AM297" s="483" t="str">
        <f t="shared" si="78"/>
        <v/>
      </c>
      <c r="AN297" s="484" t="str">
        <f t="shared" si="79"/>
        <v/>
      </c>
      <c r="AO297" s="473" t="str">
        <f t="shared" si="80"/>
        <v/>
      </c>
      <c r="AP297" s="473" t="str">
        <f t="shared" si="81"/>
        <v/>
      </c>
      <c r="AQ297" s="473" t="str">
        <f t="shared" si="82"/>
        <v/>
      </c>
      <c r="AR297" s="473" t="str">
        <f t="shared" si="83"/>
        <v/>
      </c>
      <c r="AS297" s="473" t="str">
        <f t="shared" si="84"/>
        <v/>
      </c>
      <c r="AT297" s="473" t="str">
        <f t="shared" si="85"/>
        <v/>
      </c>
      <c r="AU297" s="473" t="str">
        <f t="shared" si="86"/>
        <v/>
      </c>
      <c r="AZ297" s="32" t="s">
        <v>8141</v>
      </c>
      <c r="BA297" s="34" t="s">
        <v>485</v>
      </c>
      <c r="BB297" s="499"/>
      <c r="BC297" s="271"/>
      <c r="BD297" s="279">
        <v>1</v>
      </c>
      <c r="BE297" s="271"/>
      <c r="BF297" s="271"/>
      <c r="BG297" s="271"/>
      <c r="BH297" s="271"/>
      <c r="BI297" s="271"/>
      <c r="BJ297" s="271"/>
      <c r="BK297" s="271"/>
      <c r="BL297" s="271"/>
    </row>
    <row r="298" spans="18:64" ht="21" customHeight="1" x14ac:dyDescent="0.25">
      <c r="R298" s="25" t="s">
        <v>6133</v>
      </c>
      <c r="S298" s="451"/>
      <c r="T298" s="32" t="s">
        <v>313</v>
      </c>
      <c r="V298" s="475">
        <v>7</v>
      </c>
      <c r="W298" s="475" t="str">
        <f>IF($AC$298="","",$W$288)</f>
        <v/>
      </c>
      <c r="X298" s="476" t="str">
        <f>IF($AC$298="","",$X$288)</f>
        <v/>
      </c>
      <c r="Y298" s="477" t="str">
        <f>IF($X$298="","",$Y$288)</f>
        <v/>
      </c>
      <c r="Z298" s="477" t="str">
        <f>IF($X$298="","",$Z$288)</f>
        <v/>
      </c>
      <c r="AA298" s="477" t="str">
        <f>IF($AC$298="","",ROW($A$298)-ROW($A$288))</f>
        <v/>
      </c>
      <c r="AB298" s="478"/>
      <c r="AC298" s="34"/>
      <c r="AD298" s="356"/>
      <c r="AE298" s="479"/>
      <c r="AF298" s="475"/>
      <c r="AG298" s="480" t="str">
        <f t="shared" si="76"/>
        <v/>
      </c>
      <c r="AH298" s="481" t="str">
        <f t="shared" si="77"/>
        <v/>
      </c>
      <c r="AI298" s="477" t="str">
        <f>IF($AC$298="","",IFERROR(INDEX($AZ$74:$AZ$119,MATCH($AH$298,$AY$74:$AY$119,0)),"AUTRE"))</f>
        <v/>
      </c>
      <c r="AJ298" s="482" t="str">
        <f>IF($AC$298="","",IFERROR(INDEX($BA$74:$BA$119,MATCH($AH$298,$AY$74:$AY$119,0)),1))</f>
        <v/>
      </c>
      <c r="AK298" s="482" t="str">
        <f t="shared" si="66"/>
        <v/>
      </c>
      <c r="AL298" s="477" t="str">
        <f>IF($AC$298="","",IFERROR(INDEX($BB$74:$BB$119,MATCH($AH$298,$AY$74:$AY$119,0)),$AH$298))</f>
        <v/>
      </c>
      <c r="AM298" s="483" t="str">
        <f t="shared" si="78"/>
        <v/>
      </c>
      <c r="AN298" s="484" t="str">
        <f t="shared" si="79"/>
        <v/>
      </c>
      <c r="AO298" s="473" t="str">
        <f t="shared" si="80"/>
        <v/>
      </c>
      <c r="AP298" s="473" t="str">
        <f t="shared" si="81"/>
        <v/>
      </c>
      <c r="AQ298" s="473" t="str">
        <f t="shared" si="82"/>
        <v/>
      </c>
      <c r="AR298" s="473" t="str">
        <f t="shared" si="83"/>
        <v/>
      </c>
      <c r="AS298" s="473" t="str">
        <f t="shared" si="84"/>
        <v/>
      </c>
      <c r="AT298" s="473" t="str">
        <f t="shared" si="85"/>
        <v/>
      </c>
      <c r="AU298" s="473" t="str">
        <f t="shared" si="86"/>
        <v/>
      </c>
      <c r="AZ298" s="32" t="s">
        <v>8143</v>
      </c>
      <c r="BA298" s="34" t="s">
        <v>6132</v>
      </c>
      <c r="BB298" s="499"/>
      <c r="BC298" s="271"/>
      <c r="BD298" s="279">
        <v>1</v>
      </c>
      <c r="BE298" s="271"/>
      <c r="BF298" s="271"/>
      <c r="BG298" s="271"/>
      <c r="BH298" s="271"/>
      <c r="BI298" s="271"/>
      <c r="BJ298" s="271"/>
      <c r="BK298" s="271"/>
      <c r="BL298" s="271"/>
    </row>
    <row r="299" spans="18:64" ht="21" customHeight="1" x14ac:dyDescent="0.25">
      <c r="R299" s="34" t="s">
        <v>476</v>
      </c>
      <c r="S299" s="451"/>
      <c r="T299" s="32" t="s">
        <v>307</v>
      </c>
      <c r="V299" s="475">
        <v>7</v>
      </c>
      <c r="W299" s="475" t="str">
        <f>IF($AC$299="","",$W$288)</f>
        <v/>
      </c>
      <c r="X299" s="476" t="str">
        <f>IF($AC$299="","",$X$288)</f>
        <v/>
      </c>
      <c r="Y299" s="477" t="str">
        <f>IF($X$299="","",$Y$288)</f>
        <v/>
      </c>
      <c r="Z299" s="477" t="str">
        <f>IF($X$299="","",$Z$288)</f>
        <v/>
      </c>
      <c r="AA299" s="477" t="str">
        <f>IF($AC$299="","",ROW($A$299)-ROW($A$288))</f>
        <v/>
      </c>
      <c r="AB299" s="478"/>
      <c r="AC299" s="34"/>
      <c r="AD299" s="356"/>
      <c r="AE299" s="479"/>
      <c r="AF299" s="475"/>
      <c r="AG299" s="480" t="str">
        <f t="shared" si="76"/>
        <v/>
      </c>
      <c r="AH299" s="481" t="str">
        <f t="shared" si="77"/>
        <v/>
      </c>
      <c r="AI299" s="477" t="str">
        <f>IF($AC$299="","",IFERROR(INDEX($AZ$74:$AZ$119,MATCH($AH$299,$AY$74:$AY$119,0)),"AUTRE"))</f>
        <v/>
      </c>
      <c r="AJ299" s="482" t="str">
        <f>IF($AC$299="","",IFERROR(INDEX($BA$74:$BA$119,MATCH($AH$299,$AY$74:$AY$119,0)),1))</f>
        <v/>
      </c>
      <c r="AK299" s="482" t="str">
        <f t="shared" si="66"/>
        <v/>
      </c>
      <c r="AL299" s="477" t="str">
        <f>IF($AC$299="","",IFERROR(INDEX($BB$74:$BB$119,MATCH($AH$299,$AY$74:$AY$119,0)),$AH$299))</f>
        <v/>
      </c>
      <c r="AM299" s="483" t="str">
        <f t="shared" si="78"/>
        <v/>
      </c>
      <c r="AN299" s="484" t="str">
        <f t="shared" si="79"/>
        <v/>
      </c>
      <c r="AO299" s="473" t="str">
        <f t="shared" si="80"/>
        <v/>
      </c>
      <c r="AP299" s="473" t="str">
        <f t="shared" si="81"/>
        <v/>
      </c>
      <c r="AQ299" s="473" t="str">
        <f t="shared" si="82"/>
        <v/>
      </c>
      <c r="AR299" s="473" t="str">
        <f t="shared" si="83"/>
        <v/>
      </c>
      <c r="AS299" s="473" t="str">
        <f t="shared" si="84"/>
        <v/>
      </c>
      <c r="AT299" s="473" t="str">
        <f t="shared" si="85"/>
        <v/>
      </c>
      <c r="AU299" s="473" t="str">
        <f t="shared" si="86"/>
        <v/>
      </c>
      <c r="AZ299" s="497" t="s">
        <v>8145</v>
      </c>
      <c r="BA299" s="25" t="s">
        <v>6133</v>
      </c>
      <c r="BB299" s="499"/>
      <c r="BC299" s="271"/>
      <c r="BD299" s="279">
        <v>1</v>
      </c>
      <c r="BE299" s="271"/>
      <c r="BF299" s="271"/>
      <c r="BG299" s="271"/>
      <c r="BH299" s="271"/>
      <c r="BI299" s="271"/>
      <c r="BJ299" s="271"/>
      <c r="BK299" s="271"/>
      <c r="BL299" s="271"/>
    </row>
    <row r="300" spans="18:64" ht="21" customHeight="1" x14ac:dyDescent="0.25">
      <c r="R300" s="34" t="s">
        <v>468</v>
      </c>
      <c r="S300" s="451"/>
      <c r="T300" s="32" t="s">
        <v>322</v>
      </c>
      <c r="V300" s="475">
        <v>7</v>
      </c>
      <c r="W300" s="475" t="str">
        <f>IF($AC$300="","",$W$288)</f>
        <v/>
      </c>
      <c r="X300" s="476" t="str">
        <f>IF($AC$300="","",$X$288)</f>
        <v/>
      </c>
      <c r="Y300" s="477" t="str">
        <f>IF($X$300="","",$Y$288)</f>
        <v/>
      </c>
      <c r="Z300" s="477" t="str">
        <f>IF($X$300="","",$Z$288)</f>
        <v/>
      </c>
      <c r="AA300" s="477" t="str">
        <f>IF($AC$300="","",ROW($A$300)-ROW($A$288))</f>
        <v/>
      </c>
      <c r="AB300" s="478"/>
      <c r="AC300" s="34"/>
      <c r="AD300" s="356"/>
      <c r="AE300" s="479"/>
      <c r="AF300" s="475"/>
      <c r="AG300" s="480" t="str">
        <f t="shared" si="76"/>
        <v/>
      </c>
      <c r="AH300" s="481" t="str">
        <f t="shared" si="77"/>
        <v/>
      </c>
      <c r="AI300" s="477" t="str">
        <f>IF($AC$300="","",IFERROR(INDEX($AZ$74:$AZ$119,MATCH($AH$300,$AY$74:$AY$119,0)),"AUTRE"))</f>
        <v/>
      </c>
      <c r="AJ300" s="482" t="str">
        <f>IF($AC$300="","",IFERROR(INDEX($BA$74:$BA$119,MATCH($AH$300,$AY$74:$AY$119,0)),1))</f>
        <v/>
      </c>
      <c r="AK300" s="482" t="str">
        <f t="shared" si="66"/>
        <v/>
      </c>
      <c r="AL300" s="477" t="str">
        <f>IF($AC$300="","",IFERROR(INDEX($BB$74:$BB$119,MATCH($AH$300,$AY$74:$AY$119,0)),$AH$300))</f>
        <v/>
      </c>
      <c r="AM300" s="483" t="str">
        <f t="shared" si="78"/>
        <v/>
      </c>
      <c r="AN300" s="484" t="str">
        <f t="shared" si="79"/>
        <v/>
      </c>
      <c r="AO300" s="473" t="str">
        <f t="shared" si="80"/>
        <v/>
      </c>
      <c r="AP300" s="473" t="str">
        <f t="shared" si="81"/>
        <v/>
      </c>
      <c r="AQ300" s="473" t="str">
        <f t="shared" si="82"/>
        <v/>
      </c>
      <c r="AR300" s="473" t="str">
        <f t="shared" si="83"/>
        <v/>
      </c>
      <c r="AS300" s="473" t="str">
        <f t="shared" si="84"/>
        <v/>
      </c>
      <c r="AT300" s="473" t="str">
        <f t="shared" si="85"/>
        <v/>
      </c>
      <c r="AU300" s="473" t="str">
        <f t="shared" si="86"/>
        <v/>
      </c>
      <c r="AZ300" s="497" t="s">
        <v>462</v>
      </c>
      <c r="BA300" s="34" t="s">
        <v>476</v>
      </c>
      <c r="BB300" s="499"/>
      <c r="BC300" s="271"/>
      <c r="BD300" s="279">
        <v>1</v>
      </c>
      <c r="BE300" s="271"/>
      <c r="BF300" s="271"/>
      <c r="BG300" s="271"/>
      <c r="BH300" s="271"/>
      <c r="BI300" s="271"/>
      <c r="BJ300" s="271"/>
      <c r="BK300" s="271"/>
      <c r="BL300" s="271"/>
    </row>
    <row r="301" spans="18:64" ht="21" customHeight="1" x14ac:dyDescent="0.25">
      <c r="R301" s="34" t="s">
        <v>473</v>
      </c>
      <c r="S301" s="451"/>
      <c r="T301" s="32" t="s">
        <v>305</v>
      </c>
      <c r="V301" s="475">
        <v>7</v>
      </c>
      <c r="W301" s="475" t="str">
        <f>IF($AC$301="","",$W$288)</f>
        <v/>
      </c>
      <c r="X301" s="476" t="str">
        <f>IF($AC$301="","",$X$288)</f>
        <v/>
      </c>
      <c r="Y301" s="477" t="str">
        <f>IF($X$301="","",$Y$288)</f>
        <v/>
      </c>
      <c r="Z301" s="477" t="str">
        <f>IF($X$301="","",$Z$288)</f>
        <v/>
      </c>
      <c r="AA301" s="477" t="str">
        <f>IF($AC$301="","",ROW($A$301)-ROW($A$288))</f>
        <v/>
      </c>
      <c r="AB301" s="478"/>
      <c r="AC301" s="34"/>
      <c r="AD301" s="356"/>
      <c r="AE301" s="479"/>
      <c r="AF301" s="475"/>
      <c r="AG301" s="480" t="str">
        <f t="shared" si="76"/>
        <v/>
      </c>
      <c r="AH301" s="481" t="str">
        <f t="shared" si="77"/>
        <v/>
      </c>
      <c r="AI301" s="477" t="str">
        <f>IF($AC$301="","",IFERROR(INDEX($AZ$74:$AZ$119,MATCH($AH$301,$AY$74:$AY$119,0)),"AUTRE"))</f>
        <v/>
      </c>
      <c r="AJ301" s="482" t="str">
        <f>IF($AC$301="","",IFERROR(INDEX($BA$74:$BA$119,MATCH($AH$301,$AY$74:$AY$119,0)),1))</f>
        <v/>
      </c>
      <c r="AK301" s="482" t="str">
        <f t="shared" si="66"/>
        <v/>
      </c>
      <c r="AL301" s="477" t="str">
        <f>IF($AC$301="","",IFERROR(INDEX($BB$74:$BB$119,MATCH($AH$301,$AY$74:$AY$119,0)),$AH$301))</f>
        <v/>
      </c>
      <c r="AM301" s="483" t="str">
        <f t="shared" si="78"/>
        <v/>
      </c>
      <c r="AN301" s="484" t="str">
        <f t="shared" si="79"/>
        <v/>
      </c>
      <c r="AO301" s="473" t="str">
        <f t="shared" si="80"/>
        <v/>
      </c>
      <c r="AP301" s="473" t="str">
        <f t="shared" si="81"/>
        <v/>
      </c>
      <c r="AQ301" s="473" t="str">
        <f t="shared" si="82"/>
        <v/>
      </c>
      <c r="AR301" s="473" t="str">
        <f t="shared" si="83"/>
        <v/>
      </c>
      <c r="AS301" s="473" t="str">
        <f t="shared" si="84"/>
        <v/>
      </c>
      <c r="AT301" s="473" t="str">
        <f t="shared" si="85"/>
        <v/>
      </c>
      <c r="AU301" s="473" t="str">
        <f t="shared" si="86"/>
        <v/>
      </c>
      <c r="AZ301" s="497" t="s">
        <v>463</v>
      </c>
      <c r="BA301" s="34" t="s">
        <v>468</v>
      </c>
      <c r="BB301" s="499"/>
      <c r="BC301" s="271"/>
      <c r="BD301" s="279">
        <v>1</v>
      </c>
      <c r="BE301" s="271"/>
      <c r="BF301" s="271"/>
      <c r="BG301" s="271"/>
      <c r="BH301" s="271"/>
      <c r="BI301" s="271"/>
      <c r="BJ301" s="271"/>
      <c r="BK301" s="271"/>
      <c r="BL301" s="271"/>
    </row>
    <row r="302" spans="18:64" ht="21" customHeight="1" x14ac:dyDescent="0.25">
      <c r="R302" s="34" t="s">
        <v>497</v>
      </c>
      <c r="S302" s="451"/>
      <c r="T302" s="32" t="s">
        <v>309</v>
      </c>
      <c r="V302" s="475">
        <v>7</v>
      </c>
      <c r="W302" s="475" t="str">
        <f>IF($AC$302="","",$W$288)</f>
        <v/>
      </c>
      <c r="X302" s="476" t="str">
        <f>IF($AC$302="","",$X$288)</f>
        <v/>
      </c>
      <c r="Y302" s="477" t="str">
        <f>IF($X$302="","",$Y$288)</f>
        <v/>
      </c>
      <c r="Z302" s="477" t="str">
        <f>IF($X$302="","",$Z$288)</f>
        <v/>
      </c>
      <c r="AA302" s="477" t="str">
        <f>IF($AC$302="","",ROW($A$302)-ROW($A$288))</f>
        <v/>
      </c>
      <c r="AB302" s="478"/>
      <c r="AC302" s="34"/>
      <c r="AD302" s="356"/>
      <c r="AE302" s="479"/>
      <c r="AF302" s="475"/>
      <c r="AG302" s="480" t="str">
        <f t="shared" si="76"/>
        <v/>
      </c>
      <c r="AH302" s="481" t="str">
        <f t="shared" si="77"/>
        <v/>
      </c>
      <c r="AI302" s="477" t="str">
        <f>IF($AC$302="","",IFERROR(INDEX($AZ$74:$AZ$119,MATCH($AH$302,$AY$74:$AY$119,0)),"AUTRE"))</f>
        <v/>
      </c>
      <c r="AJ302" s="482" t="str">
        <f>IF($AC$302="","",IFERROR(INDEX($BA$74:$BA$119,MATCH($AH$302,$AY$74:$AY$119,0)),1))</f>
        <v/>
      </c>
      <c r="AK302" s="482" t="str">
        <f t="shared" si="66"/>
        <v/>
      </c>
      <c r="AL302" s="477" t="str">
        <f>IF($AC$302="","",IFERROR(INDEX($BB$74:$BB$119,MATCH($AH$302,$AY$74:$AY$119,0)),$AH$302))</f>
        <v/>
      </c>
      <c r="AM302" s="483" t="str">
        <f t="shared" si="78"/>
        <v/>
      </c>
      <c r="AN302" s="484" t="str">
        <f t="shared" si="79"/>
        <v/>
      </c>
      <c r="AO302" s="473" t="str">
        <f t="shared" si="80"/>
        <v/>
      </c>
      <c r="AP302" s="473" t="str">
        <f t="shared" si="81"/>
        <v/>
      </c>
      <c r="AQ302" s="473" t="str">
        <f t="shared" si="82"/>
        <v/>
      </c>
      <c r="AR302" s="473" t="str">
        <f t="shared" si="83"/>
        <v/>
      </c>
      <c r="AS302" s="473" t="str">
        <f t="shared" si="84"/>
        <v/>
      </c>
      <c r="AT302" s="473" t="str">
        <f t="shared" si="85"/>
        <v/>
      </c>
      <c r="AU302" s="473" t="str">
        <f t="shared" si="86"/>
        <v/>
      </c>
      <c r="AZ302" s="497" t="s">
        <v>8147</v>
      </c>
      <c r="BA302" s="34" t="s">
        <v>473</v>
      </c>
      <c r="BB302" s="499"/>
      <c r="BC302" s="271"/>
      <c r="BD302" s="279">
        <v>1</v>
      </c>
      <c r="BE302" s="271"/>
      <c r="BF302" s="271"/>
      <c r="BG302" s="271"/>
      <c r="BH302" s="271"/>
      <c r="BI302" s="271"/>
      <c r="BJ302" s="271"/>
      <c r="BK302" s="271"/>
      <c r="BL302" s="271"/>
    </row>
    <row r="303" spans="18:64" ht="21" customHeight="1" x14ac:dyDescent="0.25">
      <c r="R303" s="34" t="s">
        <v>470</v>
      </c>
      <c r="S303" s="451"/>
      <c r="T303" s="32" t="s">
        <v>311</v>
      </c>
      <c r="V303" s="475">
        <v>7</v>
      </c>
      <c r="W303" s="475" t="str">
        <f>IF($AC$303="","",$W$288)</f>
        <v/>
      </c>
      <c r="X303" s="476" t="str">
        <f>IF($AC$303="","",$X$288)</f>
        <v/>
      </c>
      <c r="Y303" s="477" t="str">
        <f>IF($X$303="","",$Y$288)</f>
        <v/>
      </c>
      <c r="Z303" s="477" t="str">
        <f>IF($X$303="","",$Z$288)</f>
        <v/>
      </c>
      <c r="AA303" s="477" t="str">
        <f>IF($AC$303="","",ROW($A$303)-ROW($A$288))</f>
        <v/>
      </c>
      <c r="AB303" s="478"/>
      <c r="AC303" s="34"/>
      <c r="AD303" s="356"/>
      <c r="AE303" s="479"/>
      <c r="AF303" s="475"/>
      <c r="AG303" s="480" t="str">
        <f t="shared" si="76"/>
        <v/>
      </c>
      <c r="AH303" s="481" t="str">
        <f t="shared" si="77"/>
        <v/>
      </c>
      <c r="AI303" s="477" t="str">
        <f>IF($AC$303="","",IFERROR(INDEX($AZ$74:$AZ$119,MATCH($AH$303,$AY$74:$AY$119,0)),"AUTRE"))</f>
        <v/>
      </c>
      <c r="AJ303" s="482" t="str">
        <f>IF($AC$303="","",IFERROR(INDEX($BA$74:$BA$119,MATCH($AH$303,$AY$74:$AY$119,0)),1))</f>
        <v/>
      </c>
      <c r="AK303" s="482" t="str">
        <f t="shared" si="66"/>
        <v/>
      </c>
      <c r="AL303" s="477" t="str">
        <f>IF($AC$303="","",IFERROR(INDEX($BB$74:$BB$119,MATCH($AH$303,$AY$74:$AY$119,0)),$AH$303))</f>
        <v/>
      </c>
      <c r="AM303" s="483" t="str">
        <f t="shared" si="78"/>
        <v/>
      </c>
      <c r="AN303" s="484" t="str">
        <f t="shared" si="79"/>
        <v/>
      </c>
      <c r="AO303" s="473" t="str">
        <f t="shared" si="80"/>
        <v/>
      </c>
      <c r="AP303" s="473" t="str">
        <f t="shared" si="81"/>
        <v/>
      </c>
      <c r="AQ303" s="473" t="str">
        <f t="shared" si="82"/>
        <v/>
      </c>
      <c r="AR303" s="473" t="str">
        <f t="shared" si="83"/>
        <v/>
      </c>
      <c r="AS303" s="473" t="str">
        <f t="shared" si="84"/>
        <v/>
      </c>
      <c r="AT303" s="473" t="str">
        <f t="shared" si="85"/>
        <v/>
      </c>
      <c r="AU303" s="473" t="str">
        <f t="shared" si="86"/>
        <v/>
      </c>
      <c r="AZ303" s="497" t="s">
        <v>465</v>
      </c>
      <c r="BA303" s="34" t="s">
        <v>497</v>
      </c>
      <c r="BB303" s="499"/>
      <c r="BC303" s="271"/>
      <c r="BD303" s="279">
        <v>1</v>
      </c>
      <c r="BE303" s="271"/>
      <c r="BF303" s="271"/>
      <c r="BG303" s="271"/>
      <c r="BH303" s="271"/>
      <c r="BI303" s="271"/>
      <c r="BJ303" s="271"/>
      <c r="BK303" s="271"/>
      <c r="BL303" s="271"/>
    </row>
    <row r="304" spans="18:64" ht="21" customHeight="1" x14ac:dyDescent="0.25">
      <c r="R304" s="34" t="s">
        <v>477</v>
      </c>
      <c r="S304" s="451"/>
      <c r="T304" s="32" t="s">
        <v>8135</v>
      </c>
      <c r="V304" s="475">
        <v>7</v>
      </c>
      <c r="W304" s="475" t="str">
        <f>IF($AC$304="","",$W$288)</f>
        <v/>
      </c>
      <c r="X304" s="476" t="str">
        <f>IF($AC$304="","",$X$288)</f>
        <v/>
      </c>
      <c r="Y304" s="477" t="str">
        <f>IF($X$304="","",$Y$288)</f>
        <v/>
      </c>
      <c r="Z304" s="477" t="str">
        <f>IF($X$304="","",$Z$288)</f>
        <v/>
      </c>
      <c r="AA304" s="477" t="str">
        <f>IF($AC$304="","",ROW($A$304)-ROW($A$288))</f>
        <v/>
      </c>
      <c r="AB304" s="478"/>
      <c r="AC304" s="34"/>
      <c r="AD304" s="356"/>
      <c r="AE304" s="479"/>
      <c r="AF304" s="475"/>
      <c r="AG304" s="480" t="str">
        <f t="shared" si="76"/>
        <v/>
      </c>
      <c r="AH304" s="481" t="str">
        <f t="shared" si="77"/>
        <v/>
      </c>
      <c r="AI304" s="477" t="str">
        <f>IF($AC$304="","",IFERROR(INDEX($AZ$74:$AZ$119,MATCH($AH$304,$AY$74:$AY$119,0)),"AUTRE"))</f>
        <v/>
      </c>
      <c r="AJ304" s="482" t="str">
        <f>IF($AC$304="","",IFERROR(INDEX($BA$74:$BA$119,MATCH($AH$304,$AY$74:$AY$119,0)),1))</f>
        <v/>
      </c>
      <c r="AK304" s="482" t="str">
        <f t="shared" si="66"/>
        <v/>
      </c>
      <c r="AL304" s="477" t="str">
        <f>IF($AC$304="","",IFERROR(INDEX($BB$74:$BB$119,MATCH($AH$304,$AY$74:$AY$119,0)),$AH$304))</f>
        <v/>
      </c>
      <c r="AM304" s="483" t="str">
        <f t="shared" si="78"/>
        <v/>
      </c>
      <c r="AN304" s="484" t="str">
        <f t="shared" si="79"/>
        <v/>
      </c>
      <c r="AO304" s="473" t="str">
        <f t="shared" si="80"/>
        <v/>
      </c>
      <c r="AP304" s="473" t="str">
        <f t="shared" si="81"/>
        <v/>
      </c>
      <c r="AQ304" s="473" t="str">
        <f t="shared" si="82"/>
        <v/>
      </c>
      <c r="AR304" s="473" t="str">
        <f t="shared" si="83"/>
        <v/>
      </c>
      <c r="AS304" s="473" t="str">
        <f t="shared" si="84"/>
        <v/>
      </c>
      <c r="AT304" s="473" t="str">
        <f t="shared" si="85"/>
        <v/>
      </c>
      <c r="AU304" s="473" t="str">
        <f t="shared" si="86"/>
        <v/>
      </c>
      <c r="AZ304" s="497" t="s">
        <v>466</v>
      </c>
      <c r="BA304" s="34" t="s">
        <v>470</v>
      </c>
      <c r="BB304" s="499"/>
      <c r="BC304" s="271"/>
      <c r="BD304" s="279">
        <v>1</v>
      </c>
      <c r="BE304" s="271"/>
      <c r="BF304" s="271"/>
      <c r="BG304" s="271"/>
      <c r="BH304" s="271"/>
      <c r="BI304" s="271"/>
      <c r="BJ304" s="271"/>
      <c r="BK304" s="271"/>
      <c r="BL304" s="271"/>
    </row>
    <row r="305" spans="18:64" ht="21" customHeight="1" x14ac:dyDescent="0.25">
      <c r="S305" s="451"/>
      <c r="T305" s="497" t="s">
        <v>462</v>
      </c>
      <c r="V305" s="475">
        <v>7</v>
      </c>
      <c r="W305" s="475" t="str">
        <f>IF($AC$305="","",$W$288)</f>
        <v/>
      </c>
      <c r="X305" s="476" t="str">
        <f>IF($AC$305="","",$X$288)</f>
        <v/>
      </c>
      <c r="Y305" s="477" t="str">
        <f>IF($X$305="","",$Y$288)</f>
        <v/>
      </c>
      <c r="Z305" s="477" t="str">
        <f>IF($X$305="","",$Z$288)</f>
        <v/>
      </c>
      <c r="AA305" s="477" t="str">
        <f>IF($AC$305="","",ROW($A$305)-ROW($A$288))</f>
        <v/>
      </c>
      <c r="AB305" s="478"/>
      <c r="AC305" s="34"/>
      <c r="AD305" s="356"/>
      <c r="AE305" s="479"/>
      <c r="AF305" s="475"/>
      <c r="AG305" s="480" t="str">
        <f t="shared" si="76"/>
        <v/>
      </c>
      <c r="AH305" s="481" t="str">
        <f t="shared" si="77"/>
        <v/>
      </c>
      <c r="AI305" s="477" t="str">
        <f>IF($AC$305="","",IFERROR(INDEX($AZ$74:$AZ$119,MATCH($AH$305,$AY$74:$AY$119,0)),"AUTRE"))</f>
        <v/>
      </c>
      <c r="AJ305" s="482" t="str">
        <f>IF($AC$305="","",IFERROR(INDEX($BA$74:$BA$119,MATCH($AH$305,$AY$74:$AY$119,0)),1))</f>
        <v/>
      </c>
      <c r="AK305" s="482" t="str">
        <f t="shared" si="66"/>
        <v/>
      </c>
      <c r="AL305" s="477" t="str">
        <f>IF($AC$305="","",IFERROR(INDEX($BB$74:$BB$119,MATCH($AH$305,$AY$74:$AY$119,0)),$AH$305))</f>
        <v/>
      </c>
      <c r="AM305" s="483" t="str">
        <f t="shared" si="78"/>
        <v/>
      </c>
      <c r="AN305" s="484" t="str">
        <f t="shared" si="79"/>
        <v/>
      </c>
      <c r="AO305" s="473" t="str">
        <f t="shared" si="80"/>
        <v/>
      </c>
      <c r="AP305" s="473" t="str">
        <f t="shared" si="81"/>
        <v/>
      </c>
      <c r="AQ305" s="473" t="str">
        <f t="shared" si="82"/>
        <v/>
      </c>
      <c r="AR305" s="473" t="str">
        <f t="shared" si="83"/>
        <v/>
      </c>
      <c r="AS305" s="473" t="str">
        <f t="shared" si="84"/>
        <v/>
      </c>
      <c r="AT305" s="473" t="str">
        <f t="shared" si="85"/>
        <v/>
      </c>
      <c r="AU305" s="473" t="str">
        <f t="shared" si="86"/>
        <v/>
      </c>
      <c r="AZ305" s="14" t="s">
        <v>7</v>
      </c>
      <c r="BA305" s="34" t="s">
        <v>477</v>
      </c>
      <c r="BB305" s="499"/>
      <c r="BC305" s="271"/>
      <c r="BD305" s="279">
        <v>1</v>
      </c>
      <c r="BE305" s="271"/>
      <c r="BF305" s="271"/>
      <c r="BG305" s="271"/>
      <c r="BH305" s="271"/>
      <c r="BI305" s="271"/>
      <c r="BJ305" s="271"/>
      <c r="BK305" s="271"/>
      <c r="BL305" s="271"/>
    </row>
    <row r="306" spans="18:64" ht="21" customHeight="1" x14ac:dyDescent="0.25">
      <c r="R306" s="25" t="s">
        <v>6134</v>
      </c>
      <c r="S306" s="451"/>
      <c r="T306" s="497" t="s">
        <v>463</v>
      </c>
      <c r="V306" s="475">
        <v>7</v>
      </c>
      <c r="W306" s="475" t="str">
        <f>IF($AC$306="","",$W$288)</f>
        <v/>
      </c>
      <c r="X306" s="476" t="str">
        <f>IF($AC$306="","",$X$288)</f>
        <v/>
      </c>
      <c r="Y306" s="477" t="str">
        <f>IF($X$306="","",$Y$288)</f>
        <v/>
      </c>
      <c r="Z306" s="477" t="str">
        <f>IF($X$306="","",$Z$288)</f>
        <v/>
      </c>
      <c r="AA306" s="477" t="str">
        <f>IF($AC$306="","",ROW($A$306)-ROW($A$288))</f>
        <v/>
      </c>
      <c r="AB306" s="478"/>
      <c r="AC306" s="34"/>
      <c r="AD306" s="356"/>
      <c r="AE306" s="479"/>
      <c r="AF306" s="475"/>
      <c r="AG306" s="480" t="str">
        <f t="shared" si="76"/>
        <v/>
      </c>
      <c r="AH306" s="481" t="str">
        <f t="shared" si="77"/>
        <v/>
      </c>
      <c r="AI306" s="477" t="str">
        <f>IF($AC$306="","",IFERROR(INDEX($AZ$74:$AZ$119,MATCH($AH$306,$AY$74:$AY$119,0)),"AUTRE"))</f>
        <v/>
      </c>
      <c r="AJ306" s="482" t="str">
        <f>IF($AC$306="","",IFERROR(INDEX($BA$74:$BA$119,MATCH($AH$306,$AY$74:$AY$119,0)),1))</f>
        <v/>
      </c>
      <c r="AK306" s="482" t="str">
        <f t="shared" si="66"/>
        <v/>
      </c>
      <c r="AL306" s="477" t="str">
        <f>IF($AC$306="","",IFERROR(INDEX($BB$74:$BB$119,MATCH($AH$306,$AY$74:$AY$119,0)),$AH$306))</f>
        <v/>
      </c>
      <c r="AM306" s="483" t="str">
        <f t="shared" si="78"/>
        <v/>
      </c>
      <c r="AN306" s="484" t="str">
        <f t="shared" si="79"/>
        <v/>
      </c>
      <c r="AO306" s="473" t="str">
        <f t="shared" si="80"/>
        <v/>
      </c>
      <c r="AP306" s="473" t="str">
        <f t="shared" si="81"/>
        <v/>
      </c>
      <c r="AQ306" s="473" t="str">
        <f t="shared" si="82"/>
        <v/>
      </c>
      <c r="AR306" s="473" t="str">
        <f t="shared" si="83"/>
        <v/>
      </c>
      <c r="AS306" s="473" t="str">
        <f t="shared" si="84"/>
        <v/>
      </c>
      <c r="AT306" s="473" t="str">
        <f t="shared" si="85"/>
        <v/>
      </c>
      <c r="AU306" s="473" t="str">
        <f t="shared" si="86"/>
        <v/>
      </c>
      <c r="AZ306" s="27" t="s">
        <v>8</v>
      </c>
      <c r="BB306" s="499"/>
      <c r="BC306" s="271"/>
      <c r="BD306" s="279">
        <v>1</v>
      </c>
      <c r="BE306" s="271"/>
      <c r="BF306" s="271"/>
      <c r="BG306" s="271"/>
      <c r="BH306" s="271"/>
      <c r="BI306" s="271"/>
      <c r="BJ306" s="271"/>
      <c r="BK306" s="271"/>
      <c r="BL306" s="271"/>
    </row>
    <row r="307" spans="18:64" ht="21" customHeight="1" x14ac:dyDescent="0.25">
      <c r="R307" s="34" t="s">
        <v>481</v>
      </c>
      <c r="S307" s="451"/>
      <c r="T307" s="497" t="s">
        <v>8147</v>
      </c>
      <c r="V307" s="475">
        <v>7</v>
      </c>
      <c r="W307" s="475" t="str">
        <f>IF($AC$307="","",$W$288)</f>
        <v/>
      </c>
      <c r="X307" s="476" t="str">
        <f>IF($AC$307="","",$X$288)</f>
        <v/>
      </c>
      <c r="Y307" s="477" t="str">
        <f>IF($X$307="","",$Y$288)</f>
        <v/>
      </c>
      <c r="Z307" s="477" t="str">
        <f>IF($X$307="","",$Z$288)</f>
        <v/>
      </c>
      <c r="AA307" s="477" t="str">
        <f>IF($AC$307="","",ROW($A$307)-ROW($A$288))</f>
        <v/>
      </c>
      <c r="AB307" s="478"/>
      <c r="AC307" s="34"/>
      <c r="AD307" s="356"/>
      <c r="AE307" s="479"/>
      <c r="AF307" s="475"/>
      <c r="AG307" s="480" t="str">
        <f t="shared" si="76"/>
        <v/>
      </c>
      <c r="AH307" s="481" t="str">
        <f t="shared" si="77"/>
        <v/>
      </c>
      <c r="AI307" s="477" t="str">
        <f>IF($AC$307="","",IFERROR(INDEX($AZ$74:$AZ$119,MATCH($AH$307,$AY$74:$AY$119,0)),"AUTRE"))</f>
        <v/>
      </c>
      <c r="AJ307" s="482" t="str">
        <f>IF($AC$307="","",IFERROR(INDEX($BA$74:$BA$119,MATCH($AH$307,$AY$74:$AY$119,0)),1))</f>
        <v/>
      </c>
      <c r="AK307" s="482" t="str">
        <f t="shared" si="66"/>
        <v/>
      </c>
      <c r="AL307" s="477" t="str">
        <f>IF($AC$307="","",IFERROR(INDEX($BB$74:$BB$119,MATCH($AH$307,$AY$74:$AY$119,0)),$AH$307))</f>
        <v/>
      </c>
      <c r="AM307" s="483" t="str">
        <f t="shared" si="78"/>
        <v/>
      </c>
      <c r="AN307" s="484" t="str">
        <f t="shared" si="79"/>
        <v/>
      </c>
      <c r="AO307" s="473" t="str">
        <f t="shared" si="80"/>
        <v/>
      </c>
      <c r="AP307" s="473" t="str">
        <f t="shared" si="81"/>
        <v/>
      </c>
      <c r="AQ307" s="473" t="str">
        <f t="shared" si="82"/>
        <v/>
      </c>
      <c r="AR307" s="473" t="str">
        <f t="shared" si="83"/>
        <v/>
      </c>
      <c r="AS307" s="473" t="str">
        <f t="shared" si="84"/>
        <v/>
      </c>
      <c r="AT307" s="473" t="str">
        <f t="shared" si="85"/>
        <v/>
      </c>
      <c r="AU307" s="473" t="str">
        <f t="shared" si="86"/>
        <v/>
      </c>
      <c r="AZ307" s="28" t="s">
        <v>13</v>
      </c>
      <c r="BA307" s="25" t="s">
        <v>6134</v>
      </c>
      <c r="BB307" s="499"/>
      <c r="BC307" s="271"/>
      <c r="BD307" s="279">
        <v>1</v>
      </c>
      <c r="BE307" s="271"/>
      <c r="BF307" s="271"/>
      <c r="BG307" s="271"/>
      <c r="BH307" s="271"/>
      <c r="BI307" s="271"/>
      <c r="BJ307" s="271"/>
      <c r="BK307" s="271"/>
      <c r="BL307" s="271"/>
    </row>
    <row r="308" spans="18:64" ht="21" customHeight="1" x14ac:dyDescent="0.25">
      <c r="R308" s="34" t="s">
        <v>475</v>
      </c>
      <c r="S308" s="451"/>
      <c r="T308" s="497" t="s">
        <v>465</v>
      </c>
      <c r="V308" s="475">
        <v>7</v>
      </c>
      <c r="W308" s="475" t="str">
        <f>IF($AC$308="","",$W$288)</f>
        <v/>
      </c>
      <c r="X308" s="476" t="str">
        <f>IF($AC$308="","",$X$288)</f>
        <v/>
      </c>
      <c r="Y308" s="477" t="str">
        <f>IF($X$308="","",$Y$288)</f>
        <v/>
      </c>
      <c r="Z308" s="477" t="str">
        <f>IF($X$308="","",$Z$288)</f>
        <v/>
      </c>
      <c r="AA308" s="477" t="str">
        <f>IF($AC$308="","",ROW($A$308)-ROW($A$288))</f>
        <v/>
      </c>
      <c r="AB308" s="478"/>
      <c r="AC308" s="34"/>
      <c r="AD308" s="356"/>
      <c r="AE308" s="479"/>
      <c r="AF308" s="475"/>
      <c r="AG308" s="480" t="str">
        <f t="shared" si="76"/>
        <v/>
      </c>
      <c r="AH308" s="481" t="str">
        <f t="shared" si="77"/>
        <v/>
      </c>
      <c r="AI308" s="477" t="str">
        <f>IF($AC$308="","",IFERROR(INDEX($AZ$74:$AZ$119,MATCH($AH$308,$AY$74:$AY$119,0)),"AUTRE"))</f>
        <v/>
      </c>
      <c r="AJ308" s="482" t="str">
        <f>IF($AC$308="","",IFERROR(INDEX($BA$74:$BA$119,MATCH($AH$308,$AY$74:$AY$119,0)),1))</f>
        <v/>
      </c>
      <c r="AK308" s="482" t="str">
        <f t="shared" si="66"/>
        <v/>
      </c>
      <c r="AL308" s="477" t="str">
        <f>IF($AC$308="","",IFERROR(INDEX($BB$74:$BB$119,MATCH($AH$308,$AY$74:$AY$119,0)),$AH$308))</f>
        <v/>
      </c>
      <c r="AM308" s="483" t="str">
        <f t="shared" si="78"/>
        <v/>
      </c>
      <c r="AN308" s="484" t="str">
        <f t="shared" si="79"/>
        <v/>
      </c>
      <c r="AO308" s="473" t="str">
        <f t="shared" si="80"/>
        <v/>
      </c>
      <c r="AP308" s="473" t="str">
        <f t="shared" si="81"/>
        <v/>
      </c>
      <c r="AQ308" s="473" t="str">
        <f t="shared" si="82"/>
        <v/>
      </c>
      <c r="AR308" s="473" t="str">
        <f t="shared" si="83"/>
        <v/>
      </c>
      <c r="AS308" s="473" t="str">
        <f t="shared" si="84"/>
        <v/>
      </c>
      <c r="AT308" s="473" t="str">
        <f t="shared" si="85"/>
        <v/>
      </c>
      <c r="AU308" s="473" t="str">
        <f t="shared" si="86"/>
        <v/>
      </c>
      <c r="AZ308" s="28" t="s">
        <v>14</v>
      </c>
      <c r="BA308" s="34" t="s">
        <v>481</v>
      </c>
      <c r="BB308" s="499"/>
      <c r="BC308" s="271"/>
      <c r="BD308" s="279">
        <v>1</v>
      </c>
      <c r="BE308" s="271"/>
      <c r="BF308" s="271"/>
      <c r="BG308" s="271"/>
      <c r="BH308" s="271"/>
      <c r="BI308" s="271"/>
      <c r="BJ308" s="271"/>
      <c r="BK308" s="271"/>
      <c r="BL308" s="271"/>
    </row>
    <row r="309" spans="18:64" ht="21" customHeight="1" x14ac:dyDescent="0.25">
      <c r="R309" s="34" t="s">
        <v>457</v>
      </c>
      <c r="S309" s="451"/>
      <c r="T309" s="497" t="s">
        <v>466</v>
      </c>
      <c r="V309" s="475">
        <v>7</v>
      </c>
      <c r="W309" s="475" t="str">
        <f>IF($AC$309="","",$W$288)</f>
        <v/>
      </c>
      <c r="X309" s="476" t="str">
        <f>IF($AC$309="","",$X$288)</f>
        <v/>
      </c>
      <c r="Y309" s="477" t="str">
        <f>IF($X$309="","",$Y$288)</f>
        <v/>
      </c>
      <c r="Z309" s="477" t="str">
        <f>IF($X$309="","",$Z$288)</f>
        <v/>
      </c>
      <c r="AA309" s="477" t="str">
        <f>IF($AC$309="","",ROW($A$309)-ROW($A$288))</f>
        <v/>
      </c>
      <c r="AB309" s="478"/>
      <c r="AC309" s="34"/>
      <c r="AD309" s="356"/>
      <c r="AE309" s="479"/>
      <c r="AF309" s="475"/>
      <c r="AG309" s="480" t="str">
        <f t="shared" si="76"/>
        <v/>
      </c>
      <c r="AH309" s="481" t="str">
        <f t="shared" si="77"/>
        <v/>
      </c>
      <c r="AI309" s="477" t="str">
        <f>IF($AC$309="","",IFERROR(INDEX($AZ$74:$AZ$119,MATCH($AH$309,$AY$74:$AY$119,0)),"AUTRE"))</f>
        <v/>
      </c>
      <c r="AJ309" s="482" t="str">
        <f>IF($AC$309="","",IFERROR(INDEX($BA$74:$BA$119,MATCH($AH$309,$AY$74:$AY$119,0)),1))</f>
        <v/>
      </c>
      <c r="AK309" s="482" t="str">
        <f t="shared" si="66"/>
        <v/>
      </c>
      <c r="AL309" s="477" t="str">
        <f>IF($AC$309="","",IFERROR(INDEX($BB$74:$BB$119,MATCH($AH$309,$AY$74:$AY$119,0)),$AH$309))</f>
        <v/>
      </c>
      <c r="AM309" s="483" t="str">
        <f t="shared" si="78"/>
        <v/>
      </c>
      <c r="AN309" s="484" t="str">
        <f t="shared" si="79"/>
        <v/>
      </c>
      <c r="AO309" s="473" t="str">
        <f t="shared" si="80"/>
        <v/>
      </c>
      <c r="AP309" s="473" t="str">
        <f t="shared" si="81"/>
        <v/>
      </c>
      <c r="AQ309" s="473" t="str">
        <f t="shared" si="82"/>
        <v/>
      </c>
      <c r="AR309" s="473" t="str">
        <f t="shared" si="83"/>
        <v/>
      </c>
      <c r="AS309" s="473" t="str">
        <f t="shared" si="84"/>
        <v/>
      </c>
      <c r="AT309" s="473" t="str">
        <f t="shared" si="85"/>
        <v/>
      </c>
      <c r="AU309" s="473" t="str">
        <f t="shared" si="86"/>
        <v/>
      </c>
      <c r="AZ309" s="28" t="s">
        <v>15</v>
      </c>
      <c r="BA309" s="34" t="s">
        <v>475</v>
      </c>
      <c r="BB309" s="499"/>
      <c r="BC309" s="271"/>
      <c r="BD309" s="279">
        <v>1</v>
      </c>
      <c r="BE309" s="271"/>
      <c r="BF309" s="271"/>
      <c r="BG309" s="271"/>
      <c r="BH309" s="271"/>
      <c r="BI309" s="271"/>
      <c r="BJ309" s="271"/>
      <c r="BK309" s="271"/>
      <c r="BL309" s="271"/>
    </row>
    <row r="310" spans="18:64" ht="21" customHeight="1" x14ac:dyDescent="0.25">
      <c r="R310" s="34" t="s">
        <v>482</v>
      </c>
      <c r="S310" s="451"/>
      <c r="T310" s="440" t="s">
        <v>8110</v>
      </c>
      <c r="V310" s="475">
        <v>7</v>
      </c>
      <c r="W310" s="475" t="str">
        <f>IF($AC$310="","",$W$288)</f>
        <v/>
      </c>
      <c r="X310" s="476" t="str">
        <f>IF($AC$310="","",$X$288)</f>
        <v/>
      </c>
      <c r="Y310" s="477" t="str">
        <f>IF($X$310="","",$Y$288)</f>
        <v/>
      </c>
      <c r="Z310" s="477" t="str">
        <f>IF($X$310="","",$Z$288)</f>
        <v/>
      </c>
      <c r="AA310" s="477" t="str">
        <f>IF($AC$310="","",ROW($A$310)-ROW($A$288))</f>
        <v/>
      </c>
      <c r="AB310" s="478"/>
      <c r="AC310" s="34"/>
      <c r="AD310" s="356"/>
      <c r="AE310" s="479"/>
      <c r="AF310" s="475"/>
      <c r="AG310" s="480" t="str">
        <f t="shared" si="76"/>
        <v/>
      </c>
      <c r="AH310" s="481" t="str">
        <f t="shared" si="77"/>
        <v/>
      </c>
      <c r="AI310" s="477" t="str">
        <f>IF($AC$310="","",IFERROR(INDEX($AZ$74:$AZ$119,MATCH($AH$310,$AY$74:$AY$119,0)),"AUTRE"))</f>
        <v/>
      </c>
      <c r="AJ310" s="482" t="str">
        <f>IF($AC$310="","",IFERROR(INDEX($BA$74:$BA$119,MATCH($AH$310,$AY$74:$AY$119,0)),1))</f>
        <v/>
      </c>
      <c r="AK310" s="482" t="str">
        <f t="shared" si="66"/>
        <v/>
      </c>
      <c r="AL310" s="477" t="str">
        <f>IF($AC$310="","",IFERROR(INDEX($BB$74:$BB$119,MATCH($AH$310,$AY$74:$AY$119,0)),$AH$310))</f>
        <v/>
      </c>
      <c r="AM310" s="483" t="str">
        <f t="shared" si="78"/>
        <v/>
      </c>
      <c r="AN310" s="484" t="str">
        <f t="shared" si="79"/>
        <v/>
      </c>
      <c r="AO310" s="473" t="str">
        <f t="shared" si="80"/>
        <v/>
      </c>
      <c r="AP310" s="473" t="str">
        <f t="shared" si="81"/>
        <v/>
      </c>
      <c r="AQ310" s="473" t="str">
        <f t="shared" si="82"/>
        <v/>
      </c>
      <c r="AR310" s="473" t="str">
        <f t="shared" si="83"/>
        <v/>
      </c>
      <c r="AS310" s="473" t="str">
        <f t="shared" si="84"/>
        <v/>
      </c>
      <c r="AT310" s="473" t="str">
        <f t="shared" si="85"/>
        <v/>
      </c>
      <c r="AU310" s="473" t="str">
        <f t="shared" si="86"/>
        <v/>
      </c>
      <c r="AZ310" s="29" t="s">
        <v>9</v>
      </c>
      <c r="BA310" s="34" t="s">
        <v>457</v>
      </c>
      <c r="BB310" s="499"/>
      <c r="BC310" s="271"/>
      <c r="BD310" s="279">
        <v>1</v>
      </c>
      <c r="BE310" s="271"/>
      <c r="BF310" s="271"/>
      <c r="BG310" s="271"/>
      <c r="BH310" s="271"/>
      <c r="BI310" s="271"/>
      <c r="BJ310" s="271"/>
      <c r="BK310" s="271"/>
      <c r="BL310" s="271"/>
    </row>
    <row r="311" spans="18:64" ht="21" customHeight="1" x14ac:dyDescent="0.25">
      <c r="R311" s="34" t="s">
        <v>496</v>
      </c>
      <c r="S311" s="451"/>
      <c r="T311" s="452" t="s">
        <v>8113</v>
      </c>
      <c r="V311" s="475">
        <v>7</v>
      </c>
      <c r="W311" s="475" t="str">
        <f>IF($AC$311="","",$W$288)</f>
        <v/>
      </c>
      <c r="X311" s="476" t="str">
        <f>IF($AC$311="","",$X$288)</f>
        <v/>
      </c>
      <c r="Y311" s="477" t="str">
        <f>IF($X$311="","",$Y$288)</f>
        <v/>
      </c>
      <c r="Z311" s="477" t="str">
        <f>IF($X$311="","",$Z$288)</f>
        <v/>
      </c>
      <c r="AA311" s="477" t="str">
        <f>IF($AC$311="","",ROW($A$311)-ROW($A$288))</f>
        <v/>
      </c>
      <c r="AB311" s="478"/>
      <c r="AC311" s="34"/>
      <c r="AD311" s="356"/>
      <c r="AE311" s="479"/>
      <c r="AF311" s="475"/>
      <c r="AG311" s="480" t="str">
        <f t="shared" si="76"/>
        <v/>
      </c>
      <c r="AH311" s="481" t="str">
        <f t="shared" si="77"/>
        <v/>
      </c>
      <c r="AI311" s="477" t="str">
        <f>IF($AC$311="","",IFERROR(INDEX($AZ$74:$AZ$119,MATCH($AH$311,$AY$74:$AY$119,0)),"AUTRE"))</f>
        <v/>
      </c>
      <c r="AJ311" s="482" t="str">
        <f>IF($AC$311="","",IFERROR(INDEX($BA$74:$BA$119,MATCH($AH$311,$AY$74:$AY$119,0)),1))</f>
        <v/>
      </c>
      <c r="AK311" s="482" t="str">
        <f t="shared" si="66"/>
        <v/>
      </c>
      <c r="AL311" s="477" t="str">
        <f>IF($AC$311="","",IFERROR(INDEX($BB$74:$BB$119,MATCH($AH$311,$AY$74:$AY$119,0)),$AH$311))</f>
        <v/>
      </c>
      <c r="AM311" s="483" t="str">
        <f t="shared" si="78"/>
        <v/>
      </c>
      <c r="AN311" s="484" t="str">
        <f t="shared" si="79"/>
        <v/>
      </c>
      <c r="AO311" s="473" t="str">
        <f t="shared" si="80"/>
        <v/>
      </c>
      <c r="AP311" s="473" t="str">
        <f t="shared" si="81"/>
        <v/>
      </c>
      <c r="AQ311" s="473" t="str">
        <f t="shared" si="82"/>
        <v/>
      </c>
      <c r="AR311" s="473" t="str">
        <f t="shared" si="83"/>
        <v/>
      </c>
      <c r="AS311" s="473" t="str">
        <f t="shared" si="84"/>
        <v/>
      </c>
      <c r="AT311" s="473" t="str">
        <f t="shared" si="85"/>
        <v/>
      </c>
      <c r="AU311" s="473" t="str">
        <f t="shared" si="86"/>
        <v/>
      </c>
      <c r="AZ311" s="30" t="s">
        <v>10</v>
      </c>
      <c r="BA311" s="34" t="s">
        <v>482</v>
      </c>
      <c r="BB311" s="499"/>
      <c r="BC311" s="271"/>
      <c r="BD311" s="279">
        <v>1</v>
      </c>
      <c r="BE311" s="271"/>
      <c r="BF311" s="271"/>
      <c r="BG311" s="271"/>
      <c r="BH311" s="271"/>
      <c r="BI311" s="271"/>
      <c r="BJ311" s="271"/>
      <c r="BK311" s="271"/>
      <c r="BL311" s="271"/>
    </row>
    <row r="312" spans="18:64" ht="21" customHeight="1" x14ac:dyDescent="0.25">
      <c r="R312" s="34" t="s">
        <v>483</v>
      </c>
      <c r="S312" s="451"/>
      <c r="T312" s="14" t="s">
        <v>7</v>
      </c>
      <c r="V312" s="475">
        <v>7</v>
      </c>
      <c r="W312" s="475" t="str">
        <f>IF($AC$312="","",$W$288)</f>
        <v/>
      </c>
      <c r="X312" s="476" t="str">
        <f>IF($AC$312="","",$X$288)</f>
        <v/>
      </c>
      <c r="Y312" s="477" t="str">
        <f>IF($X$312="","",$Y$288)</f>
        <v/>
      </c>
      <c r="Z312" s="477" t="str">
        <f>IF($X$312="","",$Z$288)</f>
        <v/>
      </c>
      <c r="AA312" s="477" t="str">
        <f>IF($AC$312="","",ROW($A$312)-ROW($A$288))</f>
        <v/>
      </c>
      <c r="AB312" s="478"/>
      <c r="AC312" s="34"/>
      <c r="AD312" s="356"/>
      <c r="AE312" s="479"/>
      <c r="AF312" s="475"/>
      <c r="AG312" s="480" t="str">
        <f t="shared" si="76"/>
        <v/>
      </c>
      <c r="AH312" s="481" t="str">
        <f t="shared" si="77"/>
        <v/>
      </c>
      <c r="AI312" s="477" t="str">
        <f>IF($AC$312="","",IFERROR(INDEX($AZ$74:$AZ$119,MATCH($AH$312,$AY$74:$AY$119,0)),"AUTRE"))</f>
        <v/>
      </c>
      <c r="AJ312" s="482" t="str">
        <f>IF($AC$312="","",IFERROR(INDEX($BA$74:$BA$119,MATCH($AH$312,$AY$74:$AY$119,0)),1))</f>
        <v/>
      </c>
      <c r="AK312" s="482" t="str">
        <f t="shared" si="66"/>
        <v/>
      </c>
      <c r="AL312" s="477" t="str">
        <f>IF($AC$312="","",IFERROR(INDEX($BB$74:$BB$119,MATCH($AH$312,$AY$74:$AY$119,0)),$AH$312))</f>
        <v/>
      </c>
      <c r="AM312" s="483" t="str">
        <f t="shared" si="78"/>
        <v/>
      </c>
      <c r="AN312" s="484" t="str">
        <f t="shared" si="79"/>
        <v/>
      </c>
      <c r="AO312" s="473" t="str">
        <f t="shared" si="80"/>
        <v/>
      </c>
      <c r="AP312" s="473" t="str">
        <f t="shared" si="81"/>
        <v/>
      </c>
      <c r="AQ312" s="473" t="str">
        <f t="shared" si="82"/>
        <v/>
      </c>
      <c r="AR312" s="473" t="str">
        <f t="shared" si="83"/>
        <v/>
      </c>
      <c r="AS312" s="473" t="str">
        <f t="shared" si="84"/>
        <v/>
      </c>
      <c r="AT312" s="473" t="str">
        <f t="shared" si="85"/>
        <v/>
      </c>
      <c r="AU312" s="473" t="str">
        <f t="shared" si="86"/>
        <v/>
      </c>
      <c r="AZ312" s="30" t="s">
        <v>11</v>
      </c>
      <c r="BA312" s="34" t="s">
        <v>496</v>
      </c>
      <c r="BB312" s="499"/>
      <c r="BC312" s="271"/>
      <c r="BD312" s="279">
        <v>1</v>
      </c>
      <c r="BE312" s="271"/>
      <c r="BF312" s="271"/>
      <c r="BG312" s="271"/>
      <c r="BH312" s="271"/>
      <c r="BI312" s="271"/>
      <c r="BJ312" s="271"/>
      <c r="BK312" s="271"/>
      <c r="BL312" s="271"/>
    </row>
    <row r="313" spans="18:64" ht="21" customHeight="1" x14ac:dyDescent="0.25">
      <c r="R313" s="34" t="s">
        <v>493</v>
      </c>
      <c r="S313" s="451"/>
      <c r="T313" s="27" t="s">
        <v>8</v>
      </c>
      <c r="V313" s="475">
        <v>7</v>
      </c>
      <c r="W313" s="475" t="str">
        <f>IF($AC$313="","",$W$288)</f>
        <v/>
      </c>
      <c r="X313" s="476" t="str">
        <f>IF($AC$313="","",$X$288)</f>
        <v/>
      </c>
      <c r="Y313" s="477" t="str">
        <f>IF($X$313="","",$Y$288)</f>
        <v/>
      </c>
      <c r="Z313" s="477" t="str">
        <f>IF($X$313="","",$Z$288)</f>
        <v/>
      </c>
      <c r="AA313" s="477" t="str">
        <f>IF($AC$313="","",ROW($A$313)-ROW($A$288))</f>
        <v/>
      </c>
      <c r="AB313" s="478"/>
      <c r="AC313" s="34"/>
      <c r="AD313" s="356"/>
      <c r="AE313" s="479"/>
      <c r="AF313" s="475"/>
      <c r="AG313" s="480" t="str">
        <f t="shared" si="76"/>
        <v/>
      </c>
      <c r="AH313" s="481" t="str">
        <f t="shared" si="77"/>
        <v/>
      </c>
      <c r="AI313" s="477" t="str">
        <f>IF($AC$313="","",IFERROR(INDEX($AZ$74:$AZ$119,MATCH($AH$313,$AY$74:$AY$119,0)),"AUTRE"))</f>
        <v/>
      </c>
      <c r="AJ313" s="482" t="str">
        <f>IF($AC$313="","",IFERROR(INDEX($BA$74:$BA$119,MATCH($AH$313,$AY$74:$AY$119,0)),1))</f>
        <v/>
      </c>
      <c r="AK313" s="482" t="str">
        <f t="shared" si="66"/>
        <v/>
      </c>
      <c r="AL313" s="477" t="str">
        <f>IF($AC$313="","",IFERROR(INDEX($BB$74:$BB$119,MATCH($AH$313,$AY$74:$AY$119,0)),$AH$313))</f>
        <v/>
      </c>
      <c r="AM313" s="483" t="str">
        <f t="shared" si="78"/>
        <v/>
      </c>
      <c r="AN313" s="484" t="str">
        <f t="shared" si="79"/>
        <v/>
      </c>
      <c r="AO313" s="473" t="str">
        <f t="shared" si="80"/>
        <v/>
      </c>
      <c r="AP313" s="473" t="str">
        <f t="shared" si="81"/>
        <v/>
      </c>
      <c r="AQ313" s="473" t="str">
        <f t="shared" si="82"/>
        <v/>
      </c>
      <c r="AR313" s="473" t="str">
        <f t="shared" si="83"/>
        <v/>
      </c>
      <c r="AS313" s="473" t="str">
        <f t="shared" si="84"/>
        <v/>
      </c>
      <c r="AT313" s="473" t="str">
        <f t="shared" si="85"/>
        <v/>
      </c>
      <c r="AU313" s="473" t="str">
        <f t="shared" si="86"/>
        <v/>
      </c>
      <c r="AZ313" s="30" t="s">
        <v>12</v>
      </c>
      <c r="BA313" s="34" t="s">
        <v>483</v>
      </c>
      <c r="BB313" s="499"/>
      <c r="BC313" s="271"/>
      <c r="BD313" s="279">
        <v>1</v>
      </c>
      <c r="BE313" s="271"/>
      <c r="BF313" s="271"/>
      <c r="BG313" s="271"/>
      <c r="BH313" s="271"/>
      <c r="BI313" s="271"/>
      <c r="BJ313" s="271"/>
      <c r="BK313" s="271"/>
      <c r="BL313" s="271"/>
    </row>
    <row r="314" spans="18:64" ht="21" customHeight="1" x14ac:dyDescent="0.25">
      <c r="R314" s="34" t="s">
        <v>494</v>
      </c>
      <c r="S314" s="451"/>
      <c r="T314" s="28" t="s">
        <v>13</v>
      </c>
      <c r="V314" s="475">
        <v>7</v>
      </c>
      <c r="W314" s="475" t="str">
        <f>IF($AC$314="","",$W$288)</f>
        <v/>
      </c>
      <c r="X314" s="476" t="str">
        <f>IF($AC$314="","",$X$288)</f>
        <v/>
      </c>
      <c r="Y314" s="477" t="str">
        <f>IF($X$314="","",$Y$288)</f>
        <v/>
      </c>
      <c r="Z314" s="477" t="str">
        <f>IF($X$314="","",$Z$288)</f>
        <v/>
      </c>
      <c r="AA314" s="477" t="str">
        <f>IF($AC$314="","",ROW($A$314)-ROW($A$288))</f>
        <v/>
      </c>
      <c r="AB314" s="478"/>
      <c r="AC314" s="34"/>
      <c r="AD314" s="356"/>
      <c r="AE314" s="479"/>
      <c r="AF314" s="475"/>
      <c r="AG314" s="480" t="str">
        <f t="shared" si="76"/>
        <v/>
      </c>
      <c r="AH314" s="481" t="str">
        <f t="shared" si="77"/>
        <v/>
      </c>
      <c r="AI314" s="477" t="str">
        <f>IF($AC$314="","",IFERROR(INDEX($AZ$74:$AZ$119,MATCH($AH$314,$AY$74:$AY$119,0)),"AUTRE"))</f>
        <v/>
      </c>
      <c r="AJ314" s="482" t="str">
        <f>IF($AC$314="","",IFERROR(INDEX($BA$74:$BA$119,MATCH($AH$314,$AY$74:$AY$119,0)),1))</f>
        <v/>
      </c>
      <c r="AK314" s="482" t="str">
        <f t="shared" si="66"/>
        <v/>
      </c>
      <c r="AL314" s="477" t="str">
        <f>IF($AC$314="","",IFERROR(INDEX($BB$74:$BB$119,MATCH($AH$314,$AY$74:$AY$119,0)),$AH$314))</f>
        <v/>
      </c>
      <c r="AM314" s="483" t="str">
        <f t="shared" si="78"/>
        <v/>
      </c>
      <c r="AN314" s="484" t="str">
        <f t="shared" si="79"/>
        <v/>
      </c>
      <c r="AO314" s="473" t="str">
        <f t="shared" si="80"/>
        <v/>
      </c>
      <c r="AP314" s="473" t="str">
        <f t="shared" si="81"/>
        <v/>
      </c>
      <c r="AQ314" s="473" t="str">
        <f t="shared" si="82"/>
        <v/>
      </c>
      <c r="AR314" s="473" t="str">
        <f t="shared" si="83"/>
        <v/>
      </c>
      <c r="AS314" s="473" t="str">
        <f t="shared" si="84"/>
        <v/>
      </c>
      <c r="AT314" s="473" t="str">
        <f t="shared" si="85"/>
        <v/>
      </c>
      <c r="AU314" s="473" t="str">
        <f t="shared" si="86"/>
        <v/>
      </c>
      <c r="AZ314" s="31" t="s">
        <v>16</v>
      </c>
      <c r="BA314" s="34" t="s">
        <v>493</v>
      </c>
      <c r="BB314" s="499"/>
      <c r="BC314" s="271"/>
      <c r="BD314" s="279">
        <v>1</v>
      </c>
      <c r="BE314" s="271"/>
      <c r="BF314" s="271"/>
      <c r="BG314" s="271"/>
      <c r="BH314" s="271"/>
      <c r="BI314" s="271"/>
      <c r="BJ314" s="271"/>
      <c r="BK314" s="271"/>
      <c r="BL314" s="271"/>
    </row>
    <row r="315" spans="18:64" ht="21" customHeight="1" x14ac:dyDescent="0.25">
      <c r="S315" s="451"/>
      <c r="T315" s="28" t="s">
        <v>14</v>
      </c>
      <c r="V315" s="475">
        <v>7</v>
      </c>
      <c r="W315" s="475" t="str">
        <f>IF($AC$315="","",$W$288)</f>
        <v/>
      </c>
      <c r="X315" s="476" t="str">
        <f>IF($AC$315="","",$X$288)</f>
        <v/>
      </c>
      <c r="Y315" s="477" t="str">
        <f>IF($X$315="","",$Y$288)</f>
        <v/>
      </c>
      <c r="Z315" s="477" t="str">
        <f>IF($X$315="","",$Z$288)</f>
        <v/>
      </c>
      <c r="AA315" s="477" t="str">
        <f>IF($AC$315="","",ROW($A$315)-ROW($A$288))</f>
        <v/>
      </c>
      <c r="AB315" s="478"/>
      <c r="AC315" s="34"/>
      <c r="AD315" s="356"/>
      <c r="AE315" s="479"/>
      <c r="AF315" s="475"/>
      <c r="AG315" s="480" t="str">
        <f t="shared" si="76"/>
        <v/>
      </c>
      <c r="AH315" s="481" t="str">
        <f t="shared" si="77"/>
        <v/>
      </c>
      <c r="AI315" s="477" t="str">
        <f>IF($AC$315="","",IFERROR(INDEX($AZ$74:$AZ$119,MATCH($AH$315,$AY$74:$AY$119,0)),"AUTRE"))</f>
        <v/>
      </c>
      <c r="AJ315" s="482" t="str">
        <f>IF($AC$315="","",IFERROR(INDEX($BA$74:$BA$119,MATCH($AH$315,$AY$74:$AY$119,0)),1))</f>
        <v/>
      </c>
      <c r="AK315" s="482" t="str">
        <f t="shared" si="66"/>
        <v/>
      </c>
      <c r="AL315" s="477" t="str">
        <f>IF($AC$315="","",IFERROR(INDEX($BB$74:$BB$119,MATCH($AH$315,$AY$74:$AY$119,0)),$AH$315))</f>
        <v/>
      </c>
      <c r="AM315" s="483" t="str">
        <f t="shared" si="78"/>
        <v/>
      </c>
      <c r="AN315" s="484" t="str">
        <f t="shared" si="79"/>
        <v/>
      </c>
      <c r="AO315" s="473" t="str">
        <f t="shared" si="80"/>
        <v/>
      </c>
      <c r="AP315" s="473" t="str">
        <f t="shared" si="81"/>
        <v/>
      </c>
      <c r="AQ315" s="473" t="str">
        <f t="shared" si="82"/>
        <v/>
      </c>
      <c r="AR315" s="473" t="str">
        <f t="shared" si="83"/>
        <v/>
      </c>
      <c r="AS315" s="473" t="str">
        <f t="shared" si="84"/>
        <v/>
      </c>
      <c r="AT315" s="473" t="str">
        <f t="shared" si="85"/>
        <v/>
      </c>
      <c r="AU315" s="473" t="str">
        <f t="shared" si="86"/>
        <v/>
      </c>
      <c r="AZ315" s="31" t="s">
        <v>17</v>
      </c>
      <c r="BA315" s="34" t="s">
        <v>494</v>
      </c>
      <c r="BB315" s="499"/>
      <c r="BC315" s="271"/>
      <c r="BD315" s="279">
        <v>1</v>
      </c>
      <c r="BE315" s="271"/>
      <c r="BF315" s="271"/>
      <c r="BG315" s="271"/>
      <c r="BH315" s="271"/>
      <c r="BI315" s="271"/>
      <c r="BJ315" s="271"/>
      <c r="BK315" s="271"/>
      <c r="BL315" s="271"/>
    </row>
    <row r="316" spans="18:64" ht="21" customHeight="1" x14ac:dyDescent="0.25">
      <c r="R316" s="25" t="s">
        <v>6115</v>
      </c>
      <c r="S316" s="451"/>
      <c r="T316" s="28" t="s">
        <v>15</v>
      </c>
      <c r="V316" s="475">
        <v>7</v>
      </c>
      <c r="W316" s="475" t="str">
        <f>IF($AC$316="","",$W$288)</f>
        <v/>
      </c>
      <c r="X316" s="476" t="str">
        <f>IF($AC$316="","",$X$288)</f>
        <v/>
      </c>
      <c r="Y316" s="477" t="str">
        <f>IF($X$316="","",$Y$288)</f>
        <v/>
      </c>
      <c r="Z316" s="477" t="str">
        <f>IF($X$316="","",$Z$288)</f>
        <v/>
      </c>
      <c r="AA316" s="477" t="str">
        <f>IF($AC$316="","",ROW($A$316)-ROW($A$288))</f>
        <v/>
      </c>
      <c r="AB316" s="478"/>
      <c r="AC316" s="34"/>
      <c r="AD316" s="356"/>
      <c r="AE316" s="479"/>
      <c r="AF316" s="475"/>
      <c r="AG316" s="480" t="str">
        <f t="shared" si="76"/>
        <v/>
      </c>
      <c r="AH316" s="481" t="str">
        <f t="shared" si="77"/>
        <v/>
      </c>
      <c r="AI316" s="477" t="str">
        <f>IF($AC$316="","",IFERROR(INDEX($AZ$74:$AZ$119,MATCH($AH$316,$AY$74:$AY$119,0)),"AUTRE"))</f>
        <v/>
      </c>
      <c r="AJ316" s="482" t="str">
        <f>IF($AC$316="","",IFERROR(INDEX($BA$74:$BA$119,MATCH($AH$316,$AY$74:$AY$119,0)),1))</f>
        <v/>
      </c>
      <c r="AK316" s="482" t="str">
        <f t="shared" ref="AK316:AK322" si="87">IF(OR(AG316="",AJ316=""),"",AG316*AJ316)</f>
        <v/>
      </c>
      <c r="AL316" s="477" t="str">
        <f>IF($AC$316="","",IFERROR(INDEX($BB$74:$BB$119,MATCH($AH$316,$AY$74:$AY$119,0)),$AH$316))</f>
        <v/>
      </c>
      <c r="AM316" s="483" t="str">
        <f t="shared" si="78"/>
        <v/>
      </c>
      <c r="AN316" s="484" t="str">
        <f t="shared" si="79"/>
        <v/>
      </c>
      <c r="AO316" s="473" t="str">
        <f t="shared" si="80"/>
        <v/>
      </c>
      <c r="AP316" s="473" t="str">
        <f t="shared" si="81"/>
        <v/>
      </c>
      <c r="AQ316" s="473" t="str">
        <f t="shared" si="82"/>
        <v/>
      </c>
      <c r="AR316" s="473" t="str">
        <f t="shared" si="83"/>
        <v/>
      </c>
      <c r="AS316" s="473" t="str">
        <f t="shared" si="84"/>
        <v/>
      </c>
      <c r="AT316" s="473" t="str">
        <f t="shared" si="85"/>
        <v/>
      </c>
      <c r="AU316" s="473" t="str">
        <f t="shared" si="86"/>
        <v/>
      </c>
      <c r="AY316" s="271"/>
      <c r="AZ316" s="31" t="s">
        <v>18</v>
      </c>
      <c r="BB316" s="499"/>
      <c r="BC316" s="271"/>
      <c r="BD316" s="279">
        <v>1</v>
      </c>
      <c r="BE316" s="271"/>
      <c r="BF316" s="271"/>
      <c r="BG316" s="271"/>
      <c r="BH316" s="271"/>
      <c r="BI316" s="271"/>
      <c r="BJ316" s="271"/>
      <c r="BK316" s="271"/>
      <c r="BL316" s="271"/>
    </row>
    <row r="317" spans="18:64" ht="21" customHeight="1" x14ac:dyDescent="0.25">
      <c r="R317" s="34" t="s">
        <v>471</v>
      </c>
      <c r="S317" s="451"/>
      <c r="T317" s="28" t="s">
        <v>21</v>
      </c>
      <c r="V317" s="475">
        <v>7</v>
      </c>
      <c r="W317" s="475" t="str">
        <f>IF($AC$317="","",$W$288)</f>
        <v/>
      </c>
      <c r="X317" s="476" t="str">
        <f>IF($AC$317="","",$X$288)</f>
        <v/>
      </c>
      <c r="Y317" s="477" t="str">
        <f>IF($X$317="","",$Y$288)</f>
        <v/>
      </c>
      <c r="Z317" s="477" t="str">
        <f>IF($X$317="","",$Z$288)</f>
        <v/>
      </c>
      <c r="AA317" s="477" t="str">
        <f>IF($AC$317="","",ROW($A$317)-ROW($A$288))</f>
        <v/>
      </c>
      <c r="AB317" s="478"/>
      <c r="AC317" s="34"/>
      <c r="AD317" s="356"/>
      <c r="AE317" s="479"/>
      <c r="AF317" s="475"/>
      <c r="AG317" s="480" t="str">
        <f t="shared" si="76"/>
        <v/>
      </c>
      <c r="AH317" s="481" t="str">
        <f t="shared" si="77"/>
        <v/>
      </c>
      <c r="AI317" s="477" t="str">
        <f>IF($AC$317="","",IFERROR(INDEX($AZ$74:$AZ$119,MATCH($AH$317,$AY$74:$AY$119,0)),"AUTRE"))</f>
        <v/>
      </c>
      <c r="AJ317" s="482" t="str">
        <f>IF($AC$317="","",IFERROR(INDEX($BA$74:$BA$119,MATCH($AH$317,$AY$74:$AY$119,0)),1))</f>
        <v/>
      </c>
      <c r="AK317" s="482" t="str">
        <f t="shared" si="87"/>
        <v/>
      </c>
      <c r="AL317" s="477" t="str">
        <f>IF($AC$317="","",IFERROR(INDEX($BB$74:$BB$119,MATCH($AH$317,$AY$74:$AY$119,0)),$AH$317))</f>
        <v/>
      </c>
      <c r="AM317" s="483" t="str">
        <f t="shared" si="78"/>
        <v/>
      </c>
      <c r="AN317" s="484" t="str">
        <f t="shared" si="79"/>
        <v/>
      </c>
      <c r="AO317" s="473" t="str">
        <f t="shared" si="80"/>
        <v/>
      </c>
      <c r="AP317" s="473" t="str">
        <f t="shared" si="81"/>
        <v/>
      </c>
      <c r="AQ317" s="473" t="str">
        <f t="shared" si="82"/>
        <v/>
      </c>
      <c r="AR317" s="473" t="str">
        <f t="shared" si="83"/>
        <v/>
      </c>
      <c r="AS317" s="473" t="str">
        <f t="shared" si="84"/>
        <v/>
      </c>
      <c r="AT317" s="473" t="str">
        <f t="shared" si="85"/>
        <v/>
      </c>
      <c r="AU317" s="473" t="str">
        <f t="shared" si="86"/>
        <v/>
      </c>
      <c r="AY317" s="497" t="s">
        <v>8145</v>
      </c>
      <c r="AZ317" s="31" t="s">
        <v>19</v>
      </c>
      <c r="BA317" s="25" t="s">
        <v>6115</v>
      </c>
      <c r="BB317" s="499"/>
      <c r="BC317" s="271"/>
      <c r="BD317" s="279">
        <v>1</v>
      </c>
      <c r="BE317" s="271"/>
      <c r="BF317" s="271"/>
      <c r="BG317" s="271"/>
      <c r="BH317" s="271"/>
      <c r="BI317" s="271"/>
      <c r="BJ317" s="271"/>
      <c r="BK317" s="271"/>
      <c r="BL317" s="271"/>
    </row>
    <row r="318" spans="18:64" ht="21" customHeight="1" x14ac:dyDescent="0.25">
      <c r="R318" s="34" t="s">
        <v>472</v>
      </c>
      <c r="S318" s="451"/>
      <c r="T318" s="28" t="s">
        <v>22</v>
      </c>
      <c r="V318" s="475">
        <v>7</v>
      </c>
      <c r="W318" s="475" t="str">
        <f>IF($AC$318="","",$W$288)</f>
        <v/>
      </c>
      <c r="X318" s="476" t="str">
        <f>IF($AC$318="","",$X$288)</f>
        <v/>
      </c>
      <c r="Y318" s="477" t="str">
        <f>IF($X$318="","",$Y$288)</f>
        <v/>
      </c>
      <c r="Z318" s="477" t="str">
        <f>IF($X$318="","",$Z$288)</f>
        <v/>
      </c>
      <c r="AA318" s="477" t="str">
        <f>IF($AC$318="","",ROW($A$318)-ROW($A$288))</f>
        <v/>
      </c>
      <c r="AB318" s="478"/>
      <c r="AC318" s="34"/>
      <c r="AD318" s="356"/>
      <c r="AE318" s="479"/>
      <c r="AF318" s="475"/>
      <c r="AG318" s="480" t="str">
        <f t="shared" si="76"/>
        <v/>
      </c>
      <c r="AH318" s="481" t="str">
        <f t="shared" si="77"/>
        <v/>
      </c>
      <c r="AI318" s="477" t="str">
        <f>IF($AC$318="","",IFERROR(INDEX($AZ$74:$AZ$119,MATCH($AH$318,$AY$74:$AY$119,0)),"AUTRE"))</f>
        <v/>
      </c>
      <c r="AJ318" s="482" t="str">
        <f>IF($AC$318="","",IFERROR(INDEX($BA$74:$BA$119,MATCH($AH$318,$AY$74:$AY$119,0)),1))</f>
        <v/>
      </c>
      <c r="AK318" s="482" t="str">
        <f t="shared" si="87"/>
        <v/>
      </c>
      <c r="AL318" s="477" t="str">
        <f>IF($AC$318="","",IFERROR(INDEX($BB$74:$BB$119,MATCH($AH$318,$AY$74:$AY$119,0)),$AH$318))</f>
        <v/>
      </c>
      <c r="AM318" s="483" t="str">
        <f t="shared" si="78"/>
        <v/>
      </c>
      <c r="AN318" s="484" t="str">
        <f t="shared" si="79"/>
        <v/>
      </c>
      <c r="AO318" s="473" t="str">
        <f t="shared" si="80"/>
        <v/>
      </c>
      <c r="AP318" s="473" t="str">
        <f t="shared" si="81"/>
        <v/>
      </c>
      <c r="AQ318" s="473" t="str">
        <f t="shared" si="82"/>
        <v/>
      </c>
      <c r="AR318" s="473" t="str">
        <f t="shared" si="83"/>
        <v/>
      </c>
      <c r="AS318" s="473" t="str">
        <f t="shared" si="84"/>
        <v/>
      </c>
      <c r="AT318" s="473" t="str">
        <f t="shared" si="85"/>
        <v/>
      </c>
      <c r="AU318" s="473" t="str">
        <f t="shared" si="86"/>
        <v/>
      </c>
      <c r="AY318" s="497" t="s">
        <v>462</v>
      </c>
      <c r="AZ318" s="31" t="s">
        <v>211</v>
      </c>
      <c r="BA318" s="34" t="s">
        <v>471</v>
      </c>
      <c r="BB318" s="499"/>
      <c r="BC318" s="271"/>
      <c r="BD318" s="279">
        <v>1</v>
      </c>
      <c r="BE318" s="271"/>
      <c r="BF318" s="271"/>
      <c r="BG318" s="271"/>
      <c r="BH318" s="271"/>
      <c r="BI318" s="271"/>
      <c r="BJ318" s="271"/>
      <c r="BK318" s="271"/>
      <c r="BL318" s="271"/>
    </row>
    <row r="319" spans="18:64" ht="21" customHeight="1" x14ac:dyDescent="0.25">
      <c r="R319" s="34" t="s">
        <v>6112</v>
      </c>
      <c r="S319" s="451"/>
      <c r="T319" s="28" t="s">
        <v>23</v>
      </c>
      <c r="V319" s="475">
        <v>7</v>
      </c>
      <c r="W319" s="475" t="str">
        <f>IF($AC$319="","",$W$288)</f>
        <v/>
      </c>
      <c r="X319" s="476" t="str">
        <f>IF($AC$319="","",$X$288)</f>
        <v/>
      </c>
      <c r="Y319" s="477" t="str">
        <f>IF($X$319="","",$Y$288)</f>
        <v/>
      </c>
      <c r="Z319" s="477" t="str">
        <f>IF($X$319="","",$Z$288)</f>
        <v/>
      </c>
      <c r="AA319" s="477" t="str">
        <f>IF($AC$319="","",ROW($A$319)-ROW($A$288))</f>
        <v/>
      </c>
      <c r="AB319" s="478"/>
      <c r="AC319" s="34"/>
      <c r="AD319" s="356"/>
      <c r="AE319" s="479"/>
      <c r="AF319" s="475"/>
      <c r="AG319" s="480" t="str">
        <f t="shared" si="76"/>
        <v/>
      </c>
      <c r="AH319" s="481" t="str">
        <f t="shared" si="77"/>
        <v/>
      </c>
      <c r="AI319" s="477" t="str">
        <f>IF($AC$319="","",IFERROR(INDEX($AZ$74:$AZ$119,MATCH($AH$319,$AY$74:$AY$119,0)),"AUTRE"))</f>
        <v/>
      </c>
      <c r="AJ319" s="482" t="str">
        <f>IF($AC$319="","",IFERROR(INDEX($BA$74:$BA$119,MATCH($AH$319,$AY$74:$AY$119,0)),1))</f>
        <v/>
      </c>
      <c r="AK319" s="482" t="str">
        <f t="shared" si="87"/>
        <v/>
      </c>
      <c r="AL319" s="477" t="str">
        <f>IF($AC$319="","",IFERROR(INDEX($BB$74:$BB$119,MATCH($AH$319,$AY$74:$AY$119,0)),$AH$319))</f>
        <v/>
      </c>
      <c r="AM319" s="483" t="str">
        <f t="shared" si="78"/>
        <v/>
      </c>
      <c r="AN319" s="484" t="str">
        <f t="shared" si="79"/>
        <v/>
      </c>
      <c r="AO319" s="473" t="str">
        <f t="shared" si="80"/>
        <v/>
      </c>
      <c r="AP319" s="473" t="str">
        <f t="shared" si="81"/>
        <v/>
      </c>
      <c r="AQ319" s="473" t="str">
        <f t="shared" si="82"/>
        <v/>
      </c>
      <c r="AR319" s="473" t="str">
        <f t="shared" si="83"/>
        <v/>
      </c>
      <c r="AS319" s="473" t="str">
        <f t="shared" si="84"/>
        <v/>
      </c>
      <c r="AT319" s="473" t="str">
        <f t="shared" si="85"/>
        <v/>
      </c>
      <c r="AU319" s="473" t="str">
        <f t="shared" si="86"/>
        <v/>
      </c>
      <c r="AY319" s="497" t="s">
        <v>463</v>
      </c>
      <c r="AZ319" s="31" t="s">
        <v>20</v>
      </c>
      <c r="BA319" s="34" t="s">
        <v>472</v>
      </c>
      <c r="BB319" s="499"/>
      <c r="BC319" s="271"/>
      <c r="BD319" s="279">
        <v>1</v>
      </c>
      <c r="BE319" s="271"/>
      <c r="BF319" s="271"/>
      <c r="BG319" s="271"/>
      <c r="BH319" s="271"/>
      <c r="BI319" s="271"/>
      <c r="BJ319" s="271"/>
      <c r="BK319" s="271"/>
      <c r="BL319" s="271"/>
    </row>
    <row r="320" spans="18:64" ht="21" customHeight="1" x14ac:dyDescent="0.25">
      <c r="R320" s="25" t="s">
        <v>6116</v>
      </c>
      <c r="S320" s="451"/>
      <c r="T320" s="28" t="s">
        <v>24</v>
      </c>
      <c r="V320" s="475">
        <v>7</v>
      </c>
      <c r="W320" s="475" t="str">
        <f>IF($AC$320="","",$W$288)</f>
        <v/>
      </c>
      <c r="X320" s="476" t="str">
        <f>IF($AC$320="","",$X$288)</f>
        <v/>
      </c>
      <c r="Y320" s="477" t="str">
        <f>IF($X$320="","",$Y$288)</f>
        <v/>
      </c>
      <c r="Z320" s="477" t="str">
        <f>IF($X$320="","",$Z$288)</f>
        <v/>
      </c>
      <c r="AA320" s="477" t="str">
        <f>IF($AC$320="","",ROW($A$320)-ROW($A$288))</f>
        <v/>
      </c>
      <c r="AB320" s="478"/>
      <c r="AC320" s="34"/>
      <c r="AD320" s="356"/>
      <c r="AE320" s="479"/>
      <c r="AF320" s="475"/>
      <c r="AG320" s="480" t="str">
        <f t="shared" si="76"/>
        <v/>
      </c>
      <c r="AH320" s="481" t="str">
        <f t="shared" si="77"/>
        <v/>
      </c>
      <c r="AI320" s="477" t="str">
        <f>IF($AC$320="","",IFERROR(INDEX($AZ$74:$AZ$119,MATCH($AH$320,$AY$74:$AY$119,0)),"AUTRE"))</f>
        <v/>
      </c>
      <c r="AJ320" s="482" t="str">
        <f>IF($AC$320="","",IFERROR(INDEX($BA$74:$BA$119,MATCH($AH$320,$AY$74:$AY$119,0)),1))</f>
        <v/>
      </c>
      <c r="AK320" s="482" t="str">
        <f t="shared" si="87"/>
        <v/>
      </c>
      <c r="AL320" s="477" t="str">
        <f>IF($AC$320="","",IFERROR(INDEX($BB$74:$BB$119,MATCH($AH$320,$AY$74:$AY$119,0)),$AH$320))</f>
        <v/>
      </c>
      <c r="AM320" s="483" t="str">
        <f t="shared" si="78"/>
        <v/>
      </c>
      <c r="AN320" s="484" t="str">
        <f t="shared" si="79"/>
        <v/>
      </c>
      <c r="AO320" s="473" t="str">
        <f t="shared" si="80"/>
        <v/>
      </c>
      <c r="AP320" s="473" t="str">
        <f t="shared" si="81"/>
        <v/>
      </c>
      <c r="AQ320" s="473" t="str">
        <f t="shared" si="82"/>
        <v/>
      </c>
      <c r="AR320" s="473" t="str">
        <f t="shared" si="83"/>
        <v/>
      </c>
      <c r="AS320" s="473" t="str">
        <f t="shared" si="84"/>
        <v/>
      </c>
      <c r="AT320" s="473" t="str">
        <f t="shared" si="85"/>
        <v/>
      </c>
      <c r="AU320" s="473" t="str">
        <f t="shared" si="86"/>
        <v/>
      </c>
      <c r="AY320" s="497" t="s">
        <v>8147</v>
      </c>
      <c r="AZ320" s="31" t="s">
        <v>304</v>
      </c>
      <c r="BA320" s="34" t="s">
        <v>6112</v>
      </c>
      <c r="BB320" s="499"/>
      <c r="BC320" s="271"/>
      <c r="BD320" s="279">
        <v>1</v>
      </c>
      <c r="BE320" s="271"/>
      <c r="BF320" s="271"/>
      <c r="BG320" s="271"/>
      <c r="BH320" s="271"/>
      <c r="BI320" s="271"/>
      <c r="BJ320" s="271"/>
      <c r="BK320" s="271"/>
      <c r="BL320" s="271"/>
    </row>
    <row r="321" spans="18:64" ht="21" customHeight="1" x14ac:dyDescent="0.25">
      <c r="R321" s="34" t="s">
        <v>6117</v>
      </c>
      <c r="S321" s="451"/>
      <c r="T321" s="29" t="s">
        <v>9</v>
      </c>
      <c r="V321" s="475">
        <v>7</v>
      </c>
      <c r="W321" s="475" t="str">
        <f>IF($AC$321="","",$W$288)</f>
        <v/>
      </c>
      <c r="X321" s="476" t="str">
        <f>IF($AC$321="","",$X$288)</f>
        <v/>
      </c>
      <c r="Y321" s="477" t="str">
        <f>IF($X$321="","",$Y$288)</f>
        <v/>
      </c>
      <c r="Z321" s="477" t="str">
        <f>IF($X$321="","",$Z$288)</f>
        <v/>
      </c>
      <c r="AA321" s="477" t="str">
        <f>IF($AC$321="","",ROW($A$321)-ROW($A$288))</f>
        <v/>
      </c>
      <c r="AB321" s="478"/>
      <c r="AC321" s="34"/>
      <c r="AD321" s="356"/>
      <c r="AE321" s="479"/>
      <c r="AF321" s="475"/>
      <c r="AG321" s="480" t="str">
        <f t="shared" si="76"/>
        <v/>
      </c>
      <c r="AH321" s="481" t="str">
        <f t="shared" si="77"/>
        <v/>
      </c>
      <c r="AI321" s="477" t="str">
        <f>IF($AC$321="","",IFERROR(INDEX($AZ$74:$AZ$119,MATCH($AH$321,$AY$74:$AY$119,0)),"AUTRE"))</f>
        <v/>
      </c>
      <c r="AJ321" s="482" t="str">
        <f>IF($AC$321="","",IFERROR(INDEX($BA$74:$BA$119,MATCH($AH$321,$AY$74:$AY$119,0)),1))</f>
        <v/>
      </c>
      <c r="AK321" s="482" t="str">
        <f t="shared" si="87"/>
        <v/>
      </c>
      <c r="AL321" s="477" t="str">
        <f>IF($AC$321="","",IFERROR(INDEX($BB$74:$BB$119,MATCH($AH$321,$AY$74:$AY$119,0)),$AH$321))</f>
        <v/>
      </c>
      <c r="AM321" s="483" t="str">
        <f t="shared" si="78"/>
        <v/>
      </c>
      <c r="AN321" s="484" t="str">
        <f t="shared" si="79"/>
        <v/>
      </c>
      <c r="AO321" s="473" t="str">
        <f t="shared" si="80"/>
        <v/>
      </c>
      <c r="AP321" s="473" t="str">
        <f t="shared" si="81"/>
        <v/>
      </c>
      <c r="AQ321" s="473" t="str">
        <f t="shared" si="82"/>
        <v/>
      </c>
      <c r="AR321" s="473" t="str">
        <f t="shared" si="83"/>
        <v/>
      </c>
      <c r="AS321" s="473" t="str">
        <f t="shared" si="84"/>
        <v/>
      </c>
      <c r="AT321" s="473" t="str">
        <f t="shared" si="85"/>
        <v/>
      </c>
      <c r="AU321" s="473" t="str">
        <f t="shared" si="86"/>
        <v/>
      </c>
      <c r="AY321" s="497" t="s">
        <v>465</v>
      </c>
      <c r="AZ321" s="31" t="s">
        <v>352</v>
      </c>
      <c r="BA321" s="25" t="s">
        <v>6116</v>
      </c>
      <c r="BB321" s="499"/>
      <c r="BC321" s="271"/>
      <c r="BD321" s="279">
        <v>1</v>
      </c>
      <c r="BE321" s="271"/>
      <c r="BF321" s="271"/>
      <c r="BG321" s="271"/>
      <c r="BH321" s="271"/>
      <c r="BI321" s="271"/>
      <c r="BJ321" s="271"/>
      <c r="BK321" s="271"/>
      <c r="BL321" s="271"/>
    </row>
    <row r="322" spans="18:64" ht="21" customHeight="1" x14ac:dyDescent="0.25">
      <c r="R322" s="34" t="s">
        <v>469</v>
      </c>
      <c r="S322" s="451"/>
      <c r="T322" s="30" t="s">
        <v>10</v>
      </c>
      <c r="V322" s="475">
        <v>7</v>
      </c>
      <c r="W322" s="475" t="str">
        <f>IF($AC$322="","",$W$288)</f>
        <v/>
      </c>
      <c r="X322" s="476" t="str">
        <f>IF($AC$322="","",$X$288)</f>
        <v/>
      </c>
      <c r="Y322" s="477" t="str">
        <f>IF($X$322="","",$Y$288)</f>
        <v/>
      </c>
      <c r="Z322" s="477" t="str">
        <f>IF($X$322="","",$Z$288)</f>
        <v/>
      </c>
      <c r="AA322" s="477" t="str">
        <f>IF($AC$322="","",ROW($A$322)-ROW($A$288))</f>
        <v/>
      </c>
      <c r="AB322" s="478"/>
      <c r="AC322" s="34"/>
      <c r="AD322" s="356"/>
      <c r="AE322" s="479"/>
      <c r="AF322" s="475"/>
      <c r="AG322" s="491" t="str">
        <f t="shared" si="76"/>
        <v/>
      </c>
      <c r="AH322" s="481" t="str">
        <f t="shared" si="77"/>
        <v/>
      </c>
      <c r="AI322" s="477" t="str">
        <f>IF($AC$322="","",IFERROR(INDEX($AZ$74:$AZ$119,MATCH($AH$322,$AY$74:$AY$119,0)),"AUTRE"))</f>
        <v/>
      </c>
      <c r="AJ322" s="482" t="str">
        <f>IF($AC$322="","",IFERROR(INDEX($BA$74:$BA$119,MATCH($AH$322,$AY$74:$AY$119,0)),1))</f>
        <v/>
      </c>
      <c r="AK322" s="482" t="str">
        <f t="shared" si="87"/>
        <v/>
      </c>
      <c r="AL322" s="477" t="str">
        <f>IF($AC$322="","",IFERROR(INDEX($BB$74:$BB$119,MATCH($AH$322,$AY$74:$AY$119,0)),$AH$322))</f>
        <v/>
      </c>
      <c r="AM322" s="483" t="str">
        <f t="shared" si="78"/>
        <v/>
      </c>
      <c r="AN322" s="484" t="str">
        <f t="shared" si="79"/>
        <v/>
      </c>
      <c r="AO322" s="473" t="str">
        <f t="shared" si="80"/>
        <v/>
      </c>
      <c r="AP322" s="473" t="str">
        <f t="shared" si="81"/>
        <v/>
      </c>
      <c r="AQ322" s="473" t="str">
        <f t="shared" si="82"/>
        <v/>
      </c>
      <c r="AR322" s="473" t="str">
        <f t="shared" si="83"/>
        <v/>
      </c>
      <c r="AS322" s="473" t="str">
        <f t="shared" si="84"/>
        <v/>
      </c>
      <c r="AT322" s="473" t="str">
        <f t="shared" si="85"/>
        <v/>
      </c>
      <c r="AU322" s="473" t="str">
        <f t="shared" si="86"/>
        <v/>
      </c>
      <c r="AY322" s="497" t="s">
        <v>466</v>
      </c>
      <c r="AZ322" s="31" t="s">
        <v>27</v>
      </c>
      <c r="BA322" s="34" t="s">
        <v>6117</v>
      </c>
      <c r="BB322" s="499"/>
      <c r="BC322" s="271"/>
      <c r="BD322" s="279">
        <v>1</v>
      </c>
      <c r="BE322" s="271"/>
      <c r="BF322" s="271"/>
      <c r="BG322" s="271"/>
      <c r="BH322" s="271"/>
      <c r="BI322" s="271"/>
      <c r="BJ322" s="271"/>
      <c r="BK322" s="271"/>
      <c r="BL322" s="271"/>
    </row>
    <row r="323" spans="18:64" ht="30" customHeight="1" x14ac:dyDescent="0.25">
      <c r="R323" s="34" t="s">
        <v>6118</v>
      </c>
      <c r="S323" s="451"/>
      <c r="T323" s="30" t="s">
        <v>11</v>
      </c>
      <c r="V323" s="453" t="s">
        <v>324</v>
      </c>
      <c r="W323" s="453" t="s">
        <v>7912</v>
      </c>
      <c r="X323" s="453" t="s">
        <v>326</v>
      </c>
      <c r="Y323" s="453" t="s">
        <v>327</v>
      </c>
      <c r="Z323" s="454" t="s">
        <v>7930</v>
      </c>
      <c r="AA323" s="453" t="s">
        <v>7937</v>
      </c>
      <c r="AB323" s="455" t="s">
        <v>39</v>
      </c>
      <c r="AC323" s="455" t="s">
        <v>338</v>
      </c>
      <c r="AD323" s="455" t="s">
        <v>8114</v>
      </c>
      <c r="AE323" s="455" t="s">
        <v>339</v>
      </c>
      <c r="AF323" s="455" t="s">
        <v>7997</v>
      </c>
      <c r="AG323" s="453" t="s">
        <v>8018</v>
      </c>
      <c r="AH323" s="453" t="s">
        <v>8023</v>
      </c>
      <c r="AI323" s="453" t="s">
        <v>330</v>
      </c>
      <c r="AJ323" s="453" t="s">
        <v>8031</v>
      </c>
      <c r="AK323" s="453" t="s">
        <v>8037</v>
      </c>
      <c r="AL323" s="453" t="s">
        <v>8041</v>
      </c>
      <c r="AM323" s="453" t="s">
        <v>343</v>
      </c>
      <c r="AN323" s="457" t="s">
        <v>8115</v>
      </c>
      <c r="AO323" s="457" t="s">
        <v>8116</v>
      </c>
      <c r="AP323" s="656" t="s">
        <v>8117</v>
      </c>
      <c r="AQ323" s="656"/>
      <c r="AR323" s="656"/>
      <c r="AS323" s="656"/>
      <c r="AT323" s="656"/>
      <c r="AU323" s="657"/>
      <c r="AZ323" s="31" t="s">
        <v>28</v>
      </c>
      <c r="BA323" s="34" t="s">
        <v>469</v>
      </c>
      <c r="BB323" s="499"/>
      <c r="BC323" s="271"/>
      <c r="BD323" s="279">
        <v>1</v>
      </c>
      <c r="BE323" s="271"/>
      <c r="BF323" s="271"/>
      <c r="BG323" s="271"/>
      <c r="BH323" s="271"/>
      <c r="BI323" s="271"/>
      <c r="BJ323" s="271"/>
      <c r="BK323" s="271"/>
      <c r="BL323" s="271"/>
    </row>
    <row r="324" spans="18:64" ht="30" customHeight="1" x14ac:dyDescent="0.25">
      <c r="R324" s="34" t="s">
        <v>492</v>
      </c>
      <c r="S324" s="451"/>
      <c r="T324" s="30" t="s">
        <v>12</v>
      </c>
      <c r="V324" s="459">
        <v>8</v>
      </c>
      <c r="W324" s="460" t="s">
        <v>8159</v>
      </c>
      <c r="X324" s="461" t="s">
        <v>8160</v>
      </c>
      <c r="Y324" s="462"/>
      <c r="Z324" s="463">
        <v>100</v>
      </c>
      <c r="AA324" s="464">
        <f>IF($AC$396="","",ROW($A$396)-ROW($A$396))</f>
        <v>0</v>
      </c>
      <c r="AB324" s="461"/>
      <c r="AC324" s="465" t="s">
        <v>8161</v>
      </c>
      <c r="AD324" s="390"/>
      <c r="AE324" s="390"/>
      <c r="AF324" s="466"/>
      <c r="AG324" s="467" t="str">
        <f t="shared" ref="AG324:AG358" si="88">IF($AC324="","",IF(LEN($AN324&amp;"")=0,"",$AN324))</f>
        <v/>
      </c>
      <c r="AH324" s="468" t="str">
        <f t="shared" ref="AH324:AH358" si="89">IF($AC324="","",IF($AF324&lt;&gt;"",UPPER(TRIM(SUBSTITUTE(SUBSTITUTE($AF324&amp;"",CHAR(160)," ")," "," "))),$AP324))</f>
        <v/>
      </c>
      <c r="AI324" s="469" t="str">
        <f>IF($AC$324="","",IFERROR(INDEX($AZ$74:$AZ$119,MATCH($AH$324,$AY$74:$AY$119,0)),"AUTRE"))</f>
        <v>AUTRE</v>
      </c>
      <c r="AJ324" s="470">
        <f>IF($AC$324="","",IFERROR(INDEX($BA$74:$BA$119,MATCH($AH$324,$AY$74:$AY$119,0)),1))</f>
        <v>1</v>
      </c>
      <c r="AK324" s="470" t="str">
        <f t="shared" ref="AK324:AK358" si="90">IF(OR(AG324="",AJ324=""),"",AG324*AJ324)</f>
        <v/>
      </c>
      <c r="AL324" s="469" t="str">
        <f>IF($AC$324="","",IFERROR(INDEX($BB$74:$BB$119,MATCH($AH$324,$AY$74:$AY$119,0)),$AH$324))</f>
        <v/>
      </c>
      <c r="AM324" s="471" t="str">
        <f t="shared" ref="AM324:AM358" si="91">IF($AC324="","",IF($AH324="QT. SUFFISANTE","OK",IF($AG324="","TEXTE",IF(NOT(ISNUMBER($AG324)),"QUANTITÉ À CONTRÔLER",IF(COUNTIF($AY$74:$AY$119,$AH324)=0,"UNITÉ À CONTRÔLER","OK")))))</f>
        <v>TEXTE</v>
      </c>
      <c r="AN324" s="474" t="str">
        <f t="shared" ref="AN324:AN358" si="92">IF($AE324&lt;&gt;"",$AE324,IF($AD324="","",IF(ISNUMBER($AD324),$AD324,IF($AO324="QT",0,IF($AO324="","",IFERROR(IF(ISNUMBER(SEARCH("/",$AO324)),VALUE(TRIM(LEFT($AO324,SEARCH("/",$AO324)-1)))/VALUE(TRIM(MID($AO324,SEARCH("/",$AO324)+1,99))),VALUE(SUBSTITUTE($AO324,".",","))),""))))))</f>
        <v/>
      </c>
      <c r="AO324" s="473" t="str">
        <f t="shared" ref="AO324:AO358" si="93">IF($AD324="","",IF(ISNUMBER($AD324),$AD324,IF(OR(LEFT($AQ324,3)="QT.",LEFT($AQ324,4)="QUAN"),"QT",IF($AR324=999,$AQ324,TRIM(LEFT($AQ324,$AR324-1))))))</f>
        <v/>
      </c>
      <c r="AP324" s="473" t="str">
        <f t="shared" ref="AP324:AP358" si="94">IF($AD324="","",IF(ISNUMBER($AD324),"",IF(OR(LEFT($AQ324,3)="QT.",LEFT($AQ324,4)="QUAN"),"QT. SUFFISANTE",IF($AO324="","",TRIM(MID($AQ324,LEN($AO324&amp;"")+1,999))))))</f>
        <v/>
      </c>
      <c r="AQ324" s="473" t="str">
        <f t="shared" ref="AQ324:AQ358" si="95">IF($AD324="","",UPPER(TRIM(SUBSTITUTE(SUBSTITUTE($AD324&amp;"",CHAR(160)," ")," "," "))))</f>
        <v/>
      </c>
      <c r="AR324" s="473" t="str">
        <f t="shared" ref="AR324:AR358" si="96">IF($AQ324="","",MIN($AS324,$AT324,$AU324))</f>
        <v/>
      </c>
      <c r="AS324" s="473" t="str">
        <f t="shared" ref="AS324:AS358" si="97">IF($AQ324="","",MIN(IFERROR(SEARCH("A",$AQ324),999),IFERROR(SEARCH("B",$AQ324),999),IFERROR(SEARCH("C",$AQ324),999),IFERROR(SEARCH("D",$AQ324),999),IFERROR(SEARCH("E",$AQ324),999),IFERROR(SEARCH("F",$AQ324),999),IFERROR(SEARCH("G",$AQ324),999),IFERROR(SEARCH("H",$AQ324),999),IFERROR(SEARCH("I",$AQ324),999)))</f>
        <v/>
      </c>
      <c r="AT324" s="473" t="str">
        <f t="shared" ref="AT324:AT358" si="98">IF($AQ324="","",MIN(IFERROR(SEARCH("J",$AQ324),999),IFERROR(SEARCH("K",$AQ324),999),IFERROR(SEARCH("L",$AQ324),999),IFERROR(SEARCH("M",$AQ324),999),IFERROR(SEARCH("N",$AQ324),999),IFERROR(SEARCH("O",$AQ324),999),IFERROR(SEARCH("P",$AQ324),999),IFERROR(SEARCH("Q",$AQ324),999),IFERROR(SEARCH("R",$AQ324),999)))</f>
        <v/>
      </c>
      <c r="AU324" s="473" t="str">
        <f t="shared" ref="AU324:AU358" si="99">IF($AQ324="","",MIN(IFERROR(SEARCH("S",$AQ324),999),IFERROR(SEARCH("T",$AQ324),999),IFERROR(SEARCH("U",$AQ324),999),IFERROR(SEARCH("V",$AQ324),999),IFERROR(SEARCH("W",$AQ324),999),IFERROR(SEARCH("X",$AQ324),999),IFERROR(SEARCH("Y",$AQ324),999),IFERROR(SEARCH("Z",$AQ324),999)))</f>
        <v/>
      </c>
      <c r="AZ324" s="31" t="s">
        <v>29</v>
      </c>
      <c r="BA324" s="34" t="s">
        <v>6118</v>
      </c>
      <c r="BB324" s="499"/>
      <c r="BC324" s="271"/>
      <c r="BD324" s="279">
        <v>1</v>
      </c>
      <c r="BE324" s="271"/>
      <c r="BF324" s="271"/>
      <c r="BG324" s="271"/>
      <c r="BH324" s="271"/>
      <c r="BI324" s="271"/>
      <c r="BJ324" s="271"/>
      <c r="BK324" s="271"/>
      <c r="BL324" s="271"/>
    </row>
    <row r="325" spans="18:64" ht="21" customHeight="1" x14ac:dyDescent="0.25">
      <c r="R325" s="34" t="s">
        <v>458</v>
      </c>
      <c r="S325" s="451"/>
      <c r="T325" s="31" t="s">
        <v>16</v>
      </c>
      <c r="V325" s="475">
        <f>$V$324</f>
        <v>8</v>
      </c>
      <c r="W325" s="475" t="str">
        <f>IF($AC$325="","",$W$324)</f>
        <v/>
      </c>
      <c r="X325" s="476" t="str">
        <f>IF($AC$325="","",$X$324)</f>
        <v/>
      </c>
      <c r="Y325" s="477" t="str">
        <f>IF($X$325="","",$Y$324)</f>
        <v/>
      </c>
      <c r="Z325" s="477" t="str">
        <f>IF($X$325="","",$Z$324)</f>
        <v/>
      </c>
      <c r="AA325" s="477" t="str">
        <f>IF($AC$325="","",ROW($A$325)-ROW($A$324))</f>
        <v/>
      </c>
      <c r="AB325" s="478"/>
      <c r="AC325" s="34"/>
      <c r="AD325" s="356"/>
      <c r="AE325" s="479"/>
      <c r="AF325" s="475"/>
      <c r="AG325" s="480" t="str">
        <f t="shared" si="88"/>
        <v/>
      </c>
      <c r="AH325" s="481" t="str">
        <f t="shared" si="89"/>
        <v/>
      </c>
      <c r="AI325" s="477" t="str">
        <f>IF($AC$325="","",IFERROR(INDEX($AZ$74:$AZ$119,MATCH($AH$325,$AY$74:$AY$119,0)),"AUTRE"))</f>
        <v/>
      </c>
      <c r="AJ325" s="482" t="str">
        <f>IF($AC$325="","",IFERROR(INDEX($BA$74:$BA$119,MATCH($AH$325,$AY$74:$AY$119,0)),1))</f>
        <v/>
      </c>
      <c r="AK325" s="482" t="str">
        <f t="shared" si="90"/>
        <v/>
      </c>
      <c r="AL325" s="477" t="str">
        <f>IF($AC$325="","",IFERROR(INDEX($BB$74:$BB$119,MATCH($AH$325,$AY$74:$AY$119,0)),$AH$325))</f>
        <v/>
      </c>
      <c r="AM325" s="483" t="str">
        <f t="shared" si="91"/>
        <v/>
      </c>
      <c r="AN325" s="484" t="str">
        <f t="shared" si="92"/>
        <v/>
      </c>
      <c r="AO325" s="473" t="str">
        <f t="shared" si="93"/>
        <v/>
      </c>
      <c r="AP325" s="473" t="str">
        <f t="shared" si="94"/>
        <v/>
      </c>
      <c r="AQ325" s="473" t="str">
        <f t="shared" si="95"/>
        <v/>
      </c>
      <c r="AR325" s="473" t="str">
        <f t="shared" si="96"/>
        <v/>
      </c>
      <c r="AS325" s="473" t="str">
        <f t="shared" si="97"/>
        <v/>
      </c>
      <c r="AT325" s="473" t="str">
        <f t="shared" si="98"/>
        <v/>
      </c>
      <c r="AU325" s="473" t="str">
        <f t="shared" si="99"/>
        <v/>
      </c>
      <c r="AZ325" s="31" t="s">
        <v>30</v>
      </c>
      <c r="BA325" s="34" t="s">
        <v>492</v>
      </c>
      <c r="BB325" s="499"/>
      <c r="BC325" s="271"/>
      <c r="BD325" s="279">
        <v>1</v>
      </c>
      <c r="BE325" s="271"/>
      <c r="BF325" s="271"/>
      <c r="BG325" s="271"/>
      <c r="BH325" s="271"/>
      <c r="BI325" s="271"/>
      <c r="BJ325" s="271"/>
      <c r="BK325" s="271"/>
      <c r="BL325" s="271"/>
    </row>
    <row r="326" spans="18:64" ht="21" customHeight="1" x14ac:dyDescent="0.25">
      <c r="R326" s="490"/>
      <c r="S326" s="451"/>
      <c r="T326" s="31" t="s">
        <v>17</v>
      </c>
      <c r="V326" s="475">
        <v>8</v>
      </c>
      <c r="W326" s="475" t="str">
        <f>IF($AC$326="","",$W$324)</f>
        <v/>
      </c>
      <c r="X326" s="476" t="str">
        <f>IF($AC$326="","",$X$324)</f>
        <v/>
      </c>
      <c r="Y326" s="477" t="str">
        <f>IF($X$326="","",$Y$324)</f>
        <v/>
      </c>
      <c r="Z326" s="477" t="str">
        <f>IF($X$326="","",$Z$324)</f>
        <v/>
      </c>
      <c r="AA326" s="477" t="str">
        <f>IF($AC$326="","",ROW($A$326)-ROW($A$324))</f>
        <v/>
      </c>
      <c r="AB326" s="478"/>
      <c r="AC326" s="34"/>
      <c r="AD326" s="356"/>
      <c r="AE326" s="479"/>
      <c r="AF326" s="475"/>
      <c r="AG326" s="480" t="str">
        <f t="shared" si="88"/>
        <v/>
      </c>
      <c r="AH326" s="481" t="str">
        <f t="shared" si="89"/>
        <v/>
      </c>
      <c r="AI326" s="477" t="str">
        <f>IF($AC$326="","",IFERROR(INDEX($AZ$74:$AZ$119,MATCH($AH$326,$AY$74:$AY$119,0)),"AUTRE"))</f>
        <v/>
      </c>
      <c r="AJ326" s="482" t="str">
        <f>IF($AC$326="","",IFERROR(INDEX($BA$74:$BA$119,MATCH($AH$326,$AY$74:$AY$119,0)),1))</f>
        <v/>
      </c>
      <c r="AK326" s="482" t="str">
        <f t="shared" si="90"/>
        <v/>
      </c>
      <c r="AL326" s="477" t="str">
        <f>IF($AC$326="","",IFERROR(INDEX($BB$74:$BB$119,MATCH($AH$326,$AY$74:$AY$119,0)),$AH$326))</f>
        <v/>
      </c>
      <c r="AM326" s="483" t="str">
        <f t="shared" si="91"/>
        <v/>
      </c>
      <c r="AN326" s="484" t="str">
        <f t="shared" si="92"/>
        <v/>
      </c>
      <c r="AO326" s="473" t="str">
        <f t="shared" si="93"/>
        <v/>
      </c>
      <c r="AP326" s="473" t="str">
        <f t="shared" si="94"/>
        <v/>
      </c>
      <c r="AQ326" s="473" t="str">
        <f t="shared" si="95"/>
        <v/>
      </c>
      <c r="AR326" s="473" t="str">
        <f t="shared" si="96"/>
        <v/>
      </c>
      <c r="AS326" s="473" t="str">
        <f t="shared" si="97"/>
        <v/>
      </c>
      <c r="AT326" s="473" t="str">
        <f t="shared" si="98"/>
        <v/>
      </c>
      <c r="AU326" s="473" t="str">
        <f t="shared" si="99"/>
        <v/>
      </c>
      <c r="AZ326" s="32" t="s">
        <v>33</v>
      </c>
      <c r="BA326" s="34" t="s">
        <v>458</v>
      </c>
      <c r="BB326" s="499"/>
      <c r="BC326" s="271"/>
      <c r="BD326" s="279">
        <v>1</v>
      </c>
      <c r="BE326" s="271"/>
      <c r="BF326" s="271"/>
      <c r="BG326" s="271"/>
      <c r="BH326" s="271"/>
      <c r="BI326" s="271"/>
      <c r="BJ326" s="271"/>
      <c r="BK326" s="271"/>
      <c r="BL326" s="271"/>
    </row>
    <row r="327" spans="18:64" ht="21" customHeight="1" x14ac:dyDescent="0.25">
      <c r="R327" s="25" t="s">
        <v>6119</v>
      </c>
      <c r="S327" s="451"/>
      <c r="T327" s="31" t="s">
        <v>18</v>
      </c>
      <c r="V327" s="475">
        <v>8</v>
      </c>
      <c r="W327" s="475" t="str">
        <f>IF($AC$327="","",$W$324)</f>
        <v/>
      </c>
      <c r="X327" s="476" t="str">
        <f>IF($AC$327="","",$X$324)</f>
        <v/>
      </c>
      <c r="Y327" s="477" t="str">
        <f>IF($X$327="","",$Y$324)</f>
        <v/>
      </c>
      <c r="Z327" s="477" t="str">
        <f>IF($X$327="","",$Z$324)</f>
        <v/>
      </c>
      <c r="AA327" s="477" t="str">
        <f>IF($AC$327="","",ROW($A$327)-ROW($A$324))</f>
        <v/>
      </c>
      <c r="AB327" s="478"/>
      <c r="AC327" s="34"/>
      <c r="AD327" s="356"/>
      <c r="AE327" s="479"/>
      <c r="AF327" s="475"/>
      <c r="AG327" s="480" t="str">
        <f t="shared" si="88"/>
        <v/>
      </c>
      <c r="AH327" s="481" t="str">
        <f t="shared" si="89"/>
        <v/>
      </c>
      <c r="AI327" s="477" t="str">
        <f>IF($AC$327="","",IFERROR(INDEX($AZ$74:$AZ$119,MATCH($AH$327,$AY$74:$AY$119,0)),"AUTRE"))</f>
        <v/>
      </c>
      <c r="AJ327" s="482" t="str">
        <f>IF($AC$327="","",IFERROR(INDEX($BA$74:$BA$119,MATCH($AH$327,$AY$74:$AY$119,0)),1))</f>
        <v/>
      </c>
      <c r="AK327" s="482" t="str">
        <f t="shared" si="90"/>
        <v/>
      </c>
      <c r="AL327" s="477" t="str">
        <f>IF($AC$327="","",IFERROR(INDEX($BB$74:$BB$119,MATCH($AH$327,$AY$74:$AY$119,0)),$AH$327))</f>
        <v/>
      </c>
      <c r="AM327" s="483" t="str">
        <f t="shared" si="91"/>
        <v/>
      </c>
      <c r="AN327" s="484" t="str">
        <f t="shared" si="92"/>
        <v/>
      </c>
      <c r="AO327" s="473" t="str">
        <f t="shared" si="93"/>
        <v/>
      </c>
      <c r="AP327" s="473" t="str">
        <f t="shared" si="94"/>
        <v/>
      </c>
      <c r="AQ327" s="473" t="str">
        <f t="shared" si="95"/>
        <v/>
      </c>
      <c r="AR327" s="473" t="str">
        <f t="shared" si="96"/>
        <v/>
      </c>
      <c r="AS327" s="473" t="str">
        <f t="shared" si="97"/>
        <v/>
      </c>
      <c r="AT327" s="473" t="str">
        <f t="shared" si="98"/>
        <v/>
      </c>
      <c r="AU327" s="473" t="str">
        <f t="shared" si="99"/>
        <v/>
      </c>
      <c r="AZ327" s="32" t="s">
        <v>8125</v>
      </c>
      <c r="BA327" s="490"/>
      <c r="BB327" s="499"/>
      <c r="BC327" s="271"/>
      <c r="BD327" s="279">
        <v>1</v>
      </c>
      <c r="BE327" s="271"/>
      <c r="BF327" s="271"/>
      <c r="BG327" s="271"/>
      <c r="BH327" s="271"/>
      <c r="BI327" s="271"/>
      <c r="BJ327" s="271"/>
      <c r="BK327" s="271"/>
      <c r="BL327" s="271"/>
    </row>
    <row r="328" spans="18:64" ht="21" customHeight="1" x14ac:dyDescent="0.25">
      <c r="R328" s="34" t="s">
        <v>6120</v>
      </c>
      <c r="S328" s="451"/>
      <c r="T328" s="31" t="s">
        <v>19</v>
      </c>
      <c r="V328" s="475">
        <v>8</v>
      </c>
      <c r="W328" s="475" t="str">
        <f>IF($AC$328="","",$W$324)</f>
        <v/>
      </c>
      <c r="X328" s="476" t="str">
        <f>IF($AC$328="","",$X$324)</f>
        <v/>
      </c>
      <c r="Y328" s="477" t="str">
        <f>IF($X$328="","",$Y$324)</f>
        <v/>
      </c>
      <c r="Z328" s="477" t="str">
        <f>IF($X$328="","",$Z$324)</f>
        <v/>
      </c>
      <c r="AA328" s="477" t="str">
        <f>IF($AC$328="","",ROW($A$328)-ROW($A$324))</f>
        <v/>
      </c>
      <c r="AB328" s="478"/>
      <c r="AC328" s="34"/>
      <c r="AD328" s="356"/>
      <c r="AE328" s="479"/>
      <c r="AF328" s="475"/>
      <c r="AG328" s="480" t="str">
        <f t="shared" si="88"/>
        <v/>
      </c>
      <c r="AH328" s="481" t="str">
        <f t="shared" si="89"/>
        <v/>
      </c>
      <c r="AI328" s="477" t="str">
        <f>IF($AC$328="","",IFERROR(INDEX($AZ$74:$AZ$119,MATCH($AH$328,$AY$74:$AY$119,0)),"AUTRE"))</f>
        <v/>
      </c>
      <c r="AJ328" s="482" t="str">
        <f>IF($AC$328="","",IFERROR(INDEX($BA$74:$BA$119,MATCH($AH$328,$AY$74:$AY$119,0)),1))</f>
        <v/>
      </c>
      <c r="AK328" s="482" t="str">
        <f t="shared" si="90"/>
        <v/>
      </c>
      <c r="AL328" s="477" t="str">
        <f>IF($AC$328="","",IFERROR(INDEX($BB$74:$BB$119,MATCH($AH$328,$AY$74:$AY$119,0)),$AH$328))</f>
        <v/>
      </c>
      <c r="AM328" s="483" t="str">
        <f t="shared" si="91"/>
        <v/>
      </c>
      <c r="AN328" s="484" t="str">
        <f t="shared" si="92"/>
        <v/>
      </c>
      <c r="AO328" s="473" t="str">
        <f t="shared" si="93"/>
        <v/>
      </c>
      <c r="AP328" s="473" t="str">
        <f t="shared" si="94"/>
        <v/>
      </c>
      <c r="AQ328" s="473" t="str">
        <f t="shared" si="95"/>
        <v/>
      </c>
      <c r="AR328" s="473" t="str">
        <f t="shared" si="96"/>
        <v/>
      </c>
      <c r="AS328" s="473" t="str">
        <f t="shared" si="97"/>
        <v/>
      </c>
      <c r="AT328" s="473" t="str">
        <f t="shared" si="98"/>
        <v/>
      </c>
      <c r="AU328" s="473" t="str">
        <f t="shared" si="99"/>
        <v/>
      </c>
      <c r="AZ328" s="32" t="s">
        <v>8127</v>
      </c>
      <c r="BA328" s="25" t="s">
        <v>6119</v>
      </c>
      <c r="BB328" s="499"/>
      <c r="BC328" s="271"/>
      <c r="BD328" s="279">
        <v>1</v>
      </c>
      <c r="BE328" s="271"/>
      <c r="BF328" s="271"/>
      <c r="BG328" s="271"/>
      <c r="BH328" s="271"/>
      <c r="BI328" s="271"/>
      <c r="BJ328" s="271"/>
      <c r="BK328" s="271"/>
      <c r="BL328" s="271"/>
    </row>
    <row r="329" spans="18:64" ht="21" customHeight="1" x14ac:dyDescent="0.25">
      <c r="R329" s="34" t="s">
        <v>6121</v>
      </c>
      <c r="S329" s="451"/>
      <c r="T329" s="31" t="s">
        <v>211</v>
      </c>
      <c r="V329" s="475">
        <v>8</v>
      </c>
      <c r="W329" s="475" t="str">
        <f>IF($AC$329="","",$W$324)</f>
        <v/>
      </c>
      <c r="X329" s="476" t="str">
        <f>IF($AC$329="","",$X$324)</f>
        <v/>
      </c>
      <c r="Y329" s="477" t="str">
        <f>IF($X$329="","",$Y$324)</f>
        <v/>
      </c>
      <c r="Z329" s="477" t="str">
        <f>IF($X$329="","",$Z$324)</f>
        <v/>
      </c>
      <c r="AA329" s="477" t="str">
        <f>IF($AC$329="","",ROW($A$329)-ROW($A$324))</f>
        <v/>
      </c>
      <c r="AB329" s="478"/>
      <c r="AC329" s="34"/>
      <c r="AD329" s="356"/>
      <c r="AE329" s="479"/>
      <c r="AF329" s="475"/>
      <c r="AG329" s="480" t="str">
        <f t="shared" si="88"/>
        <v/>
      </c>
      <c r="AH329" s="481" t="str">
        <f t="shared" si="89"/>
        <v/>
      </c>
      <c r="AI329" s="477" t="str">
        <f>IF($AC$329="","",IFERROR(INDEX($AZ$74:$AZ$119,MATCH($AH$329,$AY$74:$AY$119,0)),"AUTRE"))</f>
        <v/>
      </c>
      <c r="AJ329" s="482" t="str">
        <f>IF($AC$329="","",IFERROR(INDEX($BA$74:$BA$119,MATCH($AH$329,$AY$74:$AY$119,0)),1))</f>
        <v/>
      </c>
      <c r="AK329" s="482" t="str">
        <f t="shared" si="90"/>
        <v/>
      </c>
      <c r="AL329" s="477" t="str">
        <f>IF($AC$329="","",IFERROR(INDEX($BB$74:$BB$119,MATCH($AH$329,$AY$74:$AY$119,0)),$AH$329))</f>
        <v/>
      </c>
      <c r="AM329" s="483" t="str">
        <f t="shared" si="91"/>
        <v/>
      </c>
      <c r="AN329" s="484" t="str">
        <f t="shared" si="92"/>
        <v/>
      </c>
      <c r="AO329" s="473" t="str">
        <f t="shared" si="93"/>
        <v/>
      </c>
      <c r="AP329" s="473" t="str">
        <f t="shared" si="94"/>
        <v/>
      </c>
      <c r="AQ329" s="473" t="str">
        <f t="shared" si="95"/>
        <v/>
      </c>
      <c r="AR329" s="473" t="str">
        <f t="shared" si="96"/>
        <v/>
      </c>
      <c r="AS329" s="473" t="str">
        <f t="shared" si="97"/>
        <v/>
      </c>
      <c r="AT329" s="473" t="str">
        <f t="shared" si="98"/>
        <v/>
      </c>
      <c r="AU329" s="473" t="str">
        <f t="shared" si="99"/>
        <v/>
      </c>
      <c r="AZ329" s="32" t="s">
        <v>320</v>
      </c>
      <c r="BA329" s="34" t="s">
        <v>6120</v>
      </c>
      <c r="BB329" s="499"/>
      <c r="BC329" s="271"/>
      <c r="BD329" s="279">
        <v>1</v>
      </c>
      <c r="BE329" s="271"/>
      <c r="BF329" s="271"/>
      <c r="BG329" s="271"/>
      <c r="BH329" s="271"/>
      <c r="BI329" s="271"/>
      <c r="BJ329" s="271"/>
      <c r="BK329" s="271"/>
      <c r="BL329" s="271"/>
    </row>
    <row r="330" spans="18:64" ht="21" customHeight="1" x14ac:dyDescent="0.25">
      <c r="R330" s="34" t="s">
        <v>6122</v>
      </c>
      <c r="S330" s="451"/>
      <c r="T330" s="31" t="s">
        <v>20</v>
      </c>
      <c r="V330" s="475">
        <v>8</v>
      </c>
      <c r="W330" s="475" t="str">
        <f>IF($AC$330="","",$W$324)</f>
        <v/>
      </c>
      <c r="X330" s="476" t="str">
        <f>IF($AC$330="","",$X$324)</f>
        <v/>
      </c>
      <c r="Y330" s="477" t="str">
        <f>IF($X$330="","",$Y$324)</f>
        <v/>
      </c>
      <c r="Z330" s="477" t="str">
        <f>IF($X$330="","",$Z$324)</f>
        <v/>
      </c>
      <c r="AA330" s="477" t="str">
        <f>IF($AC$330="","",ROW($A$330)-ROW($A$324))</f>
        <v/>
      </c>
      <c r="AB330" s="478"/>
      <c r="AC330" s="34"/>
      <c r="AD330" s="356"/>
      <c r="AE330" s="479"/>
      <c r="AF330" s="475"/>
      <c r="AG330" s="480" t="str">
        <f t="shared" si="88"/>
        <v/>
      </c>
      <c r="AH330" s="481" t="str">
        <f t="shared" si="89"/>
        <v/>
      </c>
      <c r="AI330" s="477" t="str">
        <f>IF($AC$330="","",IFERROR(INDEX($AZ$74:$AZ$119,MATCH($AH$330,$AY$74:$AY$119,0)),"AUTRE"))</f>
        <v/>
      </c>
      <c r="AJ330" s="482" t="str">
        <f>IF($AC$330="","",IFERROR(INDEX($BA$74:$BA$119,MATCH($AH$330,$AY$74:$AY$119,0)),1))</f>
        <v/>
      </c>
      <c r="AK330" s="482" t="str">
        <f t="shared" si="90"/>
        <v/>
      </c>
      <c r="AL330" s="477" t="str">
        <f>IF($AC$330="","",IFERROR(INDEX($BB$74:$BB$119,MATCH($AH$330,$AY$74:$AY$119,0)),$AH$330))</f>
        <v/>
      </c>
      <c r="AM330" s="483" t="str">
        <f t="shared" si="91"/>
        <v/>
      </c>
      <c r="AN330" s="484" t="str">
        <f t="shared" si="92"/>
        <v/>
      </c>
      <c r="AO330" s="473" t="str">
        <f t="shared" si="93"/>
        <v/>
      </c>
      <c r="AP330" s="473" t="str">
        <f t="shared" si="94"/>
        <v/>
      </c>
      <c r="AQ330" s="473" t="str">
        <f t="shared" si="95"/>
        <v/>
      </c>
      <c r="AR330" s="473" t="str">
        <f t="shared" si="96"/>
        <v/>
      </c>
      <c r="AS330" s="473" t="str">
        <f t="shared" si="97"/>
        <v/>
      </c>
      <c r="AT330" s="473" t="str">
        <f t="shared" si="98"/>
        <v/>
      </c>
      <c r="AU330" s="473" t="str">
        <f t="shared" si="99"/>
        <v/>
      </c>
      <c r="AZ330" s="32" t="s">
        <v>318</v>
      </c>
      <c r="BA330" s="34" t="s">
        <v>6121</v>
      </c>
      <c r="BB330" s="499"/>
      <c r="BC330" s="271"/>
      <c r="BD330" s="279">
        <v>1</v>
      </c>
      <c r="BE330" s="271"/>
      <c r="BF330" s="271"/>
      <c r="BG330" s="271"/>
      <c r="BH330" s="271"/>
      <c r="BI330" s="271"/>
      <c r="BJ330" s="271"/>
      <c r="BK330" s="271"/>
      <c r="BL330" s="271"/>
    </row>
    <row r="331" spans="18:64" ht="21" customHeight="1" x14ac:dyDescent="0.25">
      <c r="R331" s="34" t="s">
        <v>6123</v>
      </c>
      <c r="S331" s="451"/>
      <c r="T331" s="31" t="s">
        <v>304</v>
      </c>
      <c r="V331" s="475">
        <v>8</v>
      </c>
      <c r="W331" s="475" t="str">
        <f>IF($AC$331="","",$W$324)</f>
        <v/>
      </c>
      <c r="X331" s="476" t="str">
        <f>IF($AC$331="","",$X$324)</f>
        <v/>
      </c>
      <c r="Y331" s="477" t="str">
        <f>IF($X$331="","",$Y$324)</f>
        <v/>
      </c>
      <c r="Z331" s="477" t="str">
        <f>IF($X$331="","",$Z$324)</f>
        <v/>
      </c>
      <c r="AA331" s="477" t="str">
        <f>IF($AC$331="","",ROW($A$331)-ROW($A$324))</f>
        <v/>
      </c>
      <c r="AB331" s="478"/>
      <c r="AC331" s="34"/>
      <c r="AD331" s="356"/>
      <c r="AE331" s="479"/>
      <c r="AF331" s="475"/>
      <c r="AG331" s="480" t="str">
        <f t="shared" si="88"/>
        <v/>
      </c>
      <c r="AH331" s="481" t="str">
        <f t="shared" si="89"/>
        <v/>
      </c>
      <c r="AI331" s="477" t="str">
        <f>IF($AC$331="","",IFERROR(INDEX($AZ$74:$AZ$119,MATCH($AH$331,$AY$74:$AY$119,0)),"AUTRE"))</f>
        <v/>
      </c>
      <c r="AJ331" s="482" t="str">
        <f>IF($AC$331="","",IFERROR(INDEX($BA$74:$BA$119,MATCH($AH$331,$AY$74:$AY$119,0)),1))</f>
        <v/>
      </c>
      <c r="AK331" s="482" t="str">
        <f t="shared" si="90"/>
        <v/>
      </c>
      <c r="AL331" s="477" t="str">
        <f>IF($AC$331="","",IFERROR(INDEX($BB$74:$BB$119,MATCH($AH$331,$AY$74:$AY$119,0)),$AH$331))</f>
        <v/>
      </c>
      <c r="AM331" s="483" t="str">
        <f t="shared" si="91"/>
        <v/>
      </c>
      <c r="AN331" s="484" t="str">
        <f t="shared" si="92"/>
        <v/>
      </c>
      <c r="AO331" s="473" t="str">
        <f t="shared" si="93"/>
        <v/>
      </c>
      <c r="AP331" s="473" t="str">
        <f t="shared" si="94"/>
        <v/>
      </c>
      <c r="AQ331" s="473" t="str">
        <f t="shared" si="95"/>
        <v/>
      </c>
      <c r="AR331" s="473" t="str">
        <f t="shared" si="96"/>
        <v/>
      </c>
      <c r="AS331" s="473" t="str">
        <f t="shared" si="97"/>
        <v/>
      </c>
      <c r="AT331" s="473" t="str">
        <f t="shared" si="98"/>
        <v/>
      </c>
      <c r="AU331" s="473" t="str">
        <f t="shared" si="99"/>
        <v/>
      </c>
      <c r="AZ331" s="32" t="s">
        <v>316</v>
      </c>
      <c r="BA331" s="34" t="s">
        <v>6122</v>
      </c>
      <c r="BB331" s="499"/>
      <c r="BC331" s="271"/>
      <c r="BD331" s="279">
        <v>1</v>
      </c>
      <c r="BE331" s="271"/>
      <c r="BF331" s="271"/>
      <c r="BG331" s="271"/>
      <c r="BH331" s="271"/>
      <c r="BI331" s="271"/>
      <c r="BJ331" s="271"/>
      <c r="BK331" s="271"/>
      <c r="BL331" s="271"/>
    </row>
    <row r="332" spans="18:64" ht="21" customHeight="1" x14ac:dyDescent="0.25">
      <c r="R332" s="34" t="s">
        <v>6124</v>
      </c>
      <c r="S332" s="451"/>
      <c r="T332" s="31" t="s">
        <v>352</v>
      </c>
      <c r="V332" s="475">
        <v>8</v>
      </c>
      <c r="W332" s="475" t="str">
        <f>IF($AC$332="","",$W$324)</f>
        <v/>
      </c>
      <c r="X332" s="476" t="str">
        <f>IF($AC$332="","",$X$324)</f>
        <v/>
      </c>
      <c r="Y332" s="477" t="str">
        <f>IF($X$332="","",$Y$324)</f>
        <v/>
      </c>
      <c r="Z332" s="477" t="str">
        <f>IF($X$332="","",$Z$324)</f>
        <v/>
      </c>
      <c r="AA332" s="477" t="str">
        <f>IF($AC$332="","",ROW($A$332)-ROW($A$324))</f>
        <v/>
      </c>
      <c r="AB332" s="478"/>
      <c r="AC332" s="34"/>
      <c r="AD332" s="356"/>
      <c r="AE332" s="479"/>
      <c r="AF332" s="475"/>
      <c r="AG332" s="480" t="str">
        <f t="shared" si="88"/>
        <v/>
      </c>
      <c r="AH332" s="481" t="str">
        <f t="shared" si="89"/>
        <v/>
      </c>
      <c r="AI332" s="477" t="str">
        <f>IF($AC$332="","",IFERROR(INDEX($AZ$74:$AZ$119,MATCH($AH$332,$AY$74:$AY$119,0)),"AUTRE"))</f>
        <v/>
      </c>
      <c r="AJ332" s="482" t="str">
        <f>IF($AC$332="","",IFERROR(INDEX($BA$74:$BA$119,MATCH($AH$332,$AY$74:$AY$119,0)),1))</f>
        <v/>
      </c>
      <c r="AK332" s="482" t="str">
        <f t="shared" si="90"/>
        <v/>
      </c>
      <c r="AL332" s="477" t="str">
        <f>IF($AC$332="","",IFERROR(INDEX($BB$74:$BB$119,MATCH($AH$332,$AY$74:$AY$119,0)),$AH$332))</f>
        <v/>
      </c>
      <c r="AM332" s="483" t="str">
        <f t="shared" si="91"/>
        <v/>
      </c>
      <c r="AN332" s="484" t="str">
        <f t="shared" si="92"/>
        <v/>
      </c>
      <c r="AO332" s="473" t="str">
        <f t="shared" si="93"/>
        <v/>
      </c>
      <c r="AP332" s="473" t="str">
        <f t="shared" si="94"/>
        <v/>
      </c>
      <c r="AQ332" s="473" t="str">
        <f t="shared" si="95"/>
        <v/>
      </c>
      <c r="AR332" s="473" t="str">
        <f t="shared" si="96"/>
        <v/>
      </c>
      <c r="AS332" s="473" t="str">
        <f t="shared" si="97"/>
        <v/>
      </c>
      <c r="AT332" s="473" t="str">
        <f t="shared" si="98"/>
        <v/>
      </c>
      <c r="AU332" s="473" t="str">
        <f t="shared" si="99"/>
        <v/>
      </c>
      <c r="AZ332" s="32" t="s">
        <v>313</v>
      </c>
      <c r="BA332" s="34" t="s">
        <v>6123</v>
      </c>
      <c r="BB332" s="499"/>
      <c r="BC332" s="271"/>
      <c r="BD332" s="279">
        <v>1</v>
      </c>
      <c r="BE332" s="271"/>
      <c r="BF332" s="271"/>
      <c r="BG332" s="271"/>
      <c r="BH332" s="271"/>
      <c r="BI332" s="271"/>
      <c r="BJ332" s="271"/>
      <c r="BK332" s="271"/>
      <c r="BL332" s="271"/>
    </row>
    <row r="333" spans="18:64" ht="21" customHeight="1" x14ac:dyDescent="0.25">
      <c r="R333" s="34" t="s">
        <v>6125</v>
      </c>
      <c r="S333" s="451"/>
      <c r="T333" s="31" t="s">
        <v>25</v>
      </c>
      <c r="V333" s="475">
        <v>8</v>
      </c>
      <c r="W333" s="475" t="str">
        <f>IF($AC$333="","",$W$324)</f>
        <v/>
      </c>
      <c r="X333" s="476" t="str">
        <f>IF($AC$333="","",$X$324)</f>
        <v/>
      </c>
      <c r="Y333" s="477" t="str">
        <f>IF($X$333="","",$Y$324)</f>
        <v/>
      </c>
      <c r="Z333" s="477" t="str">
        <f>IF($X$333="","",$Z$324)</f>
        <v/>
      </c>
      <c r="AA333" s="477" t="str">
        <f>IF($AC$333="","",ROW($A$333)-ROW($A$324))</f>
        <v/>
      </c>
      <c r="AB333" s="478"/>
      <c r="AC333" s="34"/>
      <c r="AD333" s="356"/>
      <c r="AE333" s="479"/>
      <c r="AF333" s="475"/>
      <c r="AG333" s="480" t="str">
        <f t="shared" si="88"/>
        <v/>
      </c>
      <c r="AH333" s="481" t="str">
        <f t="shared" si="89"/>
        <v/>
      </c>
      <c r="AI333" s="477" t="str">
        <f>IF($AC$333="","",IFERROR(INDEX($AZ$74:$AZ$119,MATCH($AH$333,$AY$74:$AY$119,0)),"AUTRE"))</f>
        <v/>
      </c>
      <c r="AJ333" s="482" t="str">
        <f>IF($AC$333="","",IFERROR(INDEX($BA$74:$BA$119,MATCH($AH$333,$AY$74:$AY$119,0)),1))</f>
        <v/>
      </c>
      <c r="AK333" s="482" t="str">
        <f t="shared" si="90"/>
        <v/>
      </c>
      <c r="AL333" s="477" t="str">
        <f>IF($AC$333="","",IFERROR(INDEX($BB$74:$BB$119,MATCH($AH$333,$AY$74:$AY$119,0)),$AH$333))</f>
        <v/>
      </c>
      <c r="AM333" s="483" t="str">
        <f t="shared" si="91"/>
        <v/>
      </c>
      <c r="AN333" s="484" t="str">
        <f t="shared" si="92"/>
        <v/>
      </c>
      <c r="AO333" s="473" t="str">
        <f t="shared" si="93"/>
        <v/>
      </c>
      <c r="AP333" s="473" t="str">
        <f t="shared" si="94"/>
        <v/>
      </c>
      <c r="AQ333" s="473" t="str">
        <f t="shared" si="95"/>
        <v/>
      </c>
      <c r="AR333" s="473" t="str">
        <f t="shared" si="96"/>
        <v/>
      </c>
      <c r="AS333" s="473" t="str">
        <f t="shared" si="97"/>
        <v/>
      </c>
      <c r="AT333" s="473" t="str">
        <f t="shared" si="98"/>
        <v/>
      </c>
      <c r="AU333" s="473" t="str">
        <f t="shared" si="99"/>
        <v/>
      </c>
      <c r="AZ333" s="32" t="s">
        <v>307</v>
      </c>
      <c r="BA333" s="34" t="s">
        <v>6124</v>
      </c>
      <c r="BB333" s="499"/>
      <c r="BC333" s="271"/>
      <c r="BD333" s="279">
        <v>1</v>
      </c>
      <c r="BE333" s="271"/>
      <c r="BF333" s="271"/>
      <c r="BG333" s="271"/>
      <c r="BH333" s="271"/>
      <c r="BI333" s="271"/>
      <c r="BJ333" s="271"/>
      <c r="BK333" s="271"/>
      <c r="BL333" s="271"/>
    </row>
    <row r="334" spans="18:64" ht="21" customHeight="1" x14ac:dyDescent="0.25">
      <c r="R334" s="34" t="s">
        <v>6126</v>
      </c>
      <c r="S334" s="451"/>
      <c r="T334" s="31" t="s">
        <v>26</v>
      </c>
      <c r="V334" s="475">
        <v>8</v>
      </c>
      <c r="W334" s="475" t="str">
        <f>IF($AC$334="","",$W$324)</f>
        <v/>
      </c>
      <c r="X334" s="476" t="str">
        <f>IF($AC$334="","",$X$324)</f>
        <v/>
      </c>
      <c r="Y334" s="477" t="str">
        <f>IF($X$334="","",$Y$324)</f>
        <v/>
      </c>
      <c r="Z334" s="477" t="str">
        <f>IF($X$334="","",$Z$324)</f>
        <v/>
      </c>
      <c r="AA334" s="477" t="str">
        <f>IF($AC$334="","",ROW($A$334)-ROW($A$324))</f>
        <v/>
      </c>
      <c r="AB334" s="478"/>
      <c r="AC334" s="34"/>
      <c r="AD334" s="356"/>
      <c r="AE334" s="479"/>
      <c r="AF334" s="475"/>
      <c r="AG334" s="480" t="str">
        <f t="shared" si="88"/>
        <v/>
      </c>
      <c r="AH334" s="481" t="str">
        <f t="shared" si="89"/>
        <v/>
      </c>
      <c r="AI334" s="477" t="str">
        <f>IF($AC$334="","",IFERROR(INDEX($AZ$74:$AZ$119,MATCH($AH$334,$AY$74:$AY$119,0)),"AUTRE"))</f>
        <v/>
      </c>
      <c r="AJ334" s="482" t="str">
        <f>IF($AC$334="","",IFERROR(INDEX($BA$74:$BA$119,MATCH($AH$334,$AY$74:$AY$119,0)),1))</f>
        <v/>
      </c>
      <c r="AK334" s="482" t="str">
        <f t="shared" si="90"/>
        <v/>
      </c>
      <c r="AL334" s="477" t="str">
        <f>IF($AC$334="","",IFERROR(INDEX($BB$74:$BB$119,MATCH($AH$334,$AY$74:$AY$119,0)),$AH$334))</f>
        <v/>
      </c>
      <c r="AM334" s="483" t="str">
        <f t="shared" si="91"/>
        <v/>
      </c>
      <c r="AN334" s="484" t="str">
        <f t="shared" si="92"/>
        <v/>
      </c>
      <c r="AO334" s="473" t="str">
        <f t="shared" si="93"/>
        <v/>
      </c>
      <c r="AP334" s="473" t="str">
        <f t="shared" si="94"/>
        <v/>
      </c>
      <c r="AQ334" s="473" t="str">
        <f t="shared" si="95"/>
        <v/>
      </c>
      <c r="AR334" s="473" t="str">
        <f t="shared" si="96"/>
        <v/>
      </c>
      <c r="AS334" s="473" t="str">
        <f t="shared" si="97"/>
        <v/>
      </c>
      <c r="AT334" s="473" t="str">
        <f t="shared" si="98"/>
        <v/>
      </c>
      <c r="AU334" s="473" t="str">
        <f t="shared" si="99"/>
        <v/>
      </c>
      <c r="AZ334" s="32" t="s">
        <v>322</v>
      </c>
      <c r="BA334" s="34" t="s">
        <v>6125</v>
      </c>
      <c r="BB334" s="499"/>
      <c r="BC334" s="271"/>
      <c r="BD334" s="279">
        <v>1</v>
      </c>
      <c r="BE334" s="271"/>
      <c r="BF334" s="271"/>
      <c r="BG334" s="271"/>
      <c r="BH334" s="271"/>
      <c r="BI334" s="271"/>
      <c r="BJ334" s="271"/>
      <c r="BK334" s="271"/>
      <c r="BL334" s="271"/>
    </row>
    <row r="335" spans="18:64" ht="21" customHeight="1" x14ac:dyDescent="0.25">
      <c r="R335" s="34" t="s">
        <v>6127</v>
      </c>
      <c r="S335" s="451"/>
      <c r="T335" s="31" t="s">
        <v>27</v>
      </c>
      <c r="V335" s="475">
        <v>8</v>
      </c>
      <c r="W335" s="475" t="str">
        <f>IF($AC$335="","",$W$324)</f>
        <v/>
      </c>
      <c r="X335" s="476" t="str">
        <f>IF($AC$335="","",$X$324)</f>
        <v/>
      </c>
      <c r="Y335" s="477" t="str">
        <f>IF($X$335="","",$Y$324)</f>
        <v/>
      </c>
      <c r="Z335" s="477" t="str">
        <f>IF($X$335="","",$Z$324)</f>
        <v/>
      </c>
      <c r="AA335" s="477" t="str">
        <f>IF($AC$335="","",ROW($A$335)-ROW($A$324))</f>
        <v/>
      </c>
      <c r="AB335" s="478"/>
      <c r="AC335" s="34"/>
      <c r="AD335" s="356"/>
      <c r="AE335" s="479"/>
      <c r="AF335" s="475"/>
      <c r="AG335" s="480" t="str">
        <f t="shared" si="88"/>
        <v/>
      </c>
      <c r="AH335" s="481" t="str">
        <f t="shared" si="89"/>
        <v/>
      </c>
      <c r="AI335" s="477" t="str">
        <f>IF($AC$335="","",IFERROR(INDEX($AZ$74:$AZ$119,MATCH($AH$335,$AY$74:$AY$119,0)),"AUTRE"))</f>
        <v/>
      </c>
      <c r="AJ335" s="482" t="str">
        <f>IF($AC$335="","",IFERROR(INDEX($BA$74:$BA$119,MATCH($AH$335,$AY$74:$AY$119,0)),1))</f>
        <v/>
      </c>
      <c r="AK335" s="482" t="str">
        <f t="shared" si="90"/>
        <v/>
      </c>
      <c r="AL335" s="477" t="str">
        <f>IF($AC$335="","",IFERROR(INDEX($BB$74:$BB$119,MATCH($AH$335,$AY$74:$AY$119,0)),$AH$335))</f>
        <v/>
      </c>
      <c r="AM335" s="483" t="str">
        <f t="shared" si="91"/>
        <v/>
      </c>
      <c r="AN335" s="484" t="str">
        <f t="shared" si="92"/>
        <v/>
      </c>
      <c r="AO335" s="473" t="str">
        <f t="shared" si="93"/>
        <v/>
      </c>
      <c r="AP335" s="473" t="str">
        <f t="shared" si="94"/>
        <v/>
      </c>
      <c r="AQ335" s="473" t="str">
        <f t="shared" si="95"/>
        <v/>
      </c>
      <c r="AR335" s="473" t="str">
        <f t="shared" si="96"/>
        <v/>
      </c>
      <c r="AS335" s="473" t="str">
        <f t="shared" si="97"/>
        <v/>
      </c>
      <c r="AT335" s="473" t="str">
        <f t="shared" si="98"/>
        <v/>
      </c>
      <c r="AU335" s="473" t="str">
        <f t="shared" si="99"/>
        <v/>
      </c>
      <c r="AZ335" s="32" t="s">
        <v>305</v>
      </c>
      <c r="BA335" s="34" t="s">
        <v>6126</v>
      </c>
      <c r="BB335" s="499"/>
      <c r="BC335" s="271"/>
      <c r="BD335" s="279">
        <v>1</v>
      </c>
      <c r="BE335" s="271"/>
      <c r="BF335" s="271"/>
      <c r="BG335" s="271"/>
      <c r="BH335" s="271"/>
      <c r="BI335" s="271"/>
      <c r="BJ335" s="271"/>
      <c r="BK335" s="271"/>
      <c r="BL335" s="271"/>
    </row>
    <row r="336" spans="18:64" ht="21" customHeight="1" x14ac:dyDescent="0.25">
      <c r="R336" s="25" t="s">
        <v>6128</v>
      </c>
      <c r="S336" s="451"/>
      <c r="T336" s="31" t="s">
        <v>28</v>
      </c>
      <c r="V336" s="475">
        <v>8</v>
      </c>
      <c r="W336" s="475" t="str">
        <f>IF($AC$336="","",$W$324)</f>
        <v/>
      </c>
      <c r="X336" s="476" t="str">
        <f>IF($AC$336="","",$X$324)</f>
        <v/>
      </c>
      <c r="Y336" s="477" t="str">
        <f>IF($X$336="","",$Y$324)</f>
        <v/>
      </c>
      <c r="Z336" s="477" t="str">
        <f>IF($X$336="","",$Z$324)</f>
        <v/>
      </c>
      <c r="AA336" s="477" t="str">
        <f>IF($AC$336="","",ROW($A$336)-ROW($A$324))</f>
        <v/>
      </c>
      <c r="AB336" s="478"/>
      <c r="AC336" s="34"/>
      <c r="AD336" s="356"/>
      <c r="AE336" s="479"/>
      <c r="AF336" s="475"/>
      <c r="AG336" s="480" t="str">
        <f t="shared" si="88"/>
        <v/>
      </c>
      <c r="AH336" s="481" t="str">
        <f t="shared" si="89"/>
        <v/>
      </c>
      <c r="AI336" s="477" t="str">
        <f>IF($AC$336="","",IFERROR(INDEX($AZ$74:$AZ$119,MATCH($AH$336,$AY$74:$AY$119,0)),"AUTRE"))</f>
        <v/>
      </c>
      <c r="AJ336" s="482" t="str">
        <f>IF($AC$336="","",IFERROR(INDEX($BA$74:$BA$119,MATCH($AH$336,$AY$74:$AY$119,0)),1))</f>
        <v/>
      </c>
      <c r="AK336" s="482" t="str">
        <f t="shared" si="90"/>
        <v/>
      </c>
      <c r="AL336" s="477" t="str">
        <f>IF($AC$336="","",IFERROR(INDEX($BB$74:$BB$119,MATCH($AH$336,$AY$74:$AY$119,0)),$AH$336))</f>
        <v/>
      </c>
      <c r="AM336" s="483" t="str">
        <f t="shared" si="91"/>
        <v/>
      </c>
      <c r="AN336" s="484" t="str">
        <f t="shared" si="92"/>
        <v/>
      </c>
      <c r="AO336" s="473" t="str">
        <f t="shared" si="93"/>
        <v/>
      </c>
      <c r="AP336" s="473" t="str">
        <f t="shared" si="94"/>
        <v/>
      </c>
      <c r="AQ336" s="473" t="str">
        <f t="shared" si="95"/>
        <v/>
      </c>
      <c r="AR336" s="473" t="str">
        <f t="shared" si="96"/>
        <v/>
      </c>
      <c r="AS336" s="473" t="str">
        <f t="shared" si="97"/>
        <v/>
      </c>
      <c r="AT336" s="473" t="str">
        <f t="shared" si="98"/>
        <v/>
      </c>
      <c r="AU336" s="473" t="str">
        <f t="shared" si="99"/>
        <v/>
      </c>
      <c r="AZ336" s="32" t="s">
        <v>8129</v>
      </c>
      <c r="BA336" s="34" t="s">
        <v>6127</v>
      </c>
      <c r="BB336" s="499"/>
      <c r="BC336" s="271"/>
      <c r="BD336" s="279">
        <v>1</v>
      </c>
      <c r="BE336" s="271"/>
      <c r="BF336" s="271"/>
      <c r="BG336" s="271"/>
      <c r="BH336" s="271"/>
      <c r="BI336" s="271"/>
      <c r="BJ336" s="271"/>
      <c r="BK336" s="271"/>
      <c r="BL336" s="271"/>
    </row>
    <row r="337" spans="18:64" ht="21" customHeight="1" x14ac:dyDescent="0.25">
      <c r="R337" s="34" t="s">
        <v>474</v>
      </c>
      <c r="S337" s="451"/>
      <c r="T337" s="31" t="s">
        <v>29</v>
      </c>
      <c r="V337" s="475">
        <v>8</v>
      </c>
      <c r="W337" s="475" t="str">
        <f>IF($AC$337="","",$W$324)</f>
        <v/>
      </c>
      <c r="X337" s="476" t="str">
        <f>IF($AC$337="","",$X$324)</f>
        <v/>
      </c>
      <c r="Y337" s="477" t="str">
        <f>IF($X$337="","",$Y$324)</f>
        <v/>
      </c>
      <c r="Z337" s="477" t="str">
        <f>IF($X$337="","",$Z$324)</f>
        <v/>
      </c>
      <c r="AA337" s="477" t="str">
        <f>IF($AC$337="","",ROW($A$337)-ROW($A$324))</f>
        <v/>
      </c>
      <c r="AB337" s="478"/>
      <c r="AC337" s="34"/>
      <c r="AD337" s="356"/>
      <c r="AE337" s="479"/>
      <c r="AF337" s="475"/>
      <c r="AG337" s="480" t="str">
        <f t="shared" si="88"/>
        <v/>
      </c>
      <c r="AH337" s="481" t="str">
        <f t="shared" si="89"/>
        <v/>
      </c>
      <c r="AI337" s="477" t="str">
        <f>IF($AC$337="","",IFERROR(INDEX($AZ$74:$AZ$119,MATCH($AH$337,$AY$74:$AY$119,0)),"AUTRE"))</f>
        <v/>
      </c>
      <c r="AJ337" s="482" t="str">
        <f>IF($AC$337="","",IFERROR(INDEX($BA$74:$BA$119,MATCH($AH$337,$AY$74:$AY$119,0)),1))</f>
        <v/>
      </c>
      <c r="AK337" s="482" t="str">
        <f t="shared" si="90"/>
        <v/>
      </c>
      <c r="AL337" s="477" t="str">
        <f>IF($AC$337="","",IFERROR(INDEX($BB$74:$BB$119,MATCH($AH$337,$AY$74:$AY$119,0)),$AH$337))</f>
        <v/>
      </c>
      <c r="AM337" s="483" t="str">
        <f t="shared" si="91"/>
        <v/>
      </c>
      <c r="AN337" s="484" t="str">
        <f t="shared" si="92"/>
        <v/>
      </c>
      <c r="AO337" s="473" t="str">
        <f t="shared" si="93"/>
        <v/>
      </c>
      <c r="AP337" s="473" t="str">
        <f t="shared" si="94"/>
        <v/>
      </c>
      <c r="AQ337" s="473" t="str">
        <f t="shared" si="95"/>
        <v/>
      </c>
      <c r="AR337" s="473" t="str">
        <f t="shared" si="96"/>
        <v/>
      </c>
      <c r="AS337" s="473" t="str">
        <f t="shared" si="97"/>
        <v/>
      </c>
      <c r="AT337" s="473" t="str">
        <f t="shared" si="98"/>
        <v/>
      </c>
      <c r="AU337" s="473" t="str">
        <f t="shared" si="99"/>
        <v/>
      </c>
      <c r="AZ337" s="32" t="s">
        <v>8131</v>
      </c>
      <c r="BA337" s="25" t="s">
        <v>6128</v>
      </c>
      <c r="BB337" s="499"/>
      <c r="BC337" s="271"/>
      <c r="BD337" s="279">
        <v>1</v>
      </c>
      <c r="BE337" s="271"/>
      <c r="BF337" s="271"/>
      <c r="BG337" s="271"/>
      <c r="BH337" s="271"/>
      <c r="BI337" s="271"/>
      <c r="BJ337" s="271"/>
      <c r="BK337" s="271"/>
      <c r="BL337" s="271"/>
    </row>
    <row r="338" spans="18:64" ht="21" customHeight="1" x14ac:dyDescent="0.25">
      <c r="R338" s="34" t="s">
        <v>490</v>
      </c>
      <c r="S338" s="451"/>
      <c r="T338" s="31" t="s">
        <v>30</v>
      </c>
      <c r="V338" s="475">
        <v>8</v>
      </c>
      <c r="W338" s="475" t="str">
        <f>IF($AC$338="","",$W$324)</f>
        <v/>
      </c>
      <c r="X338" s="476" t="str">
        <f>IF($AC$338="","",$X$324)</f>
        <v/>
      </c>
      <c r="Y338" s="477" t="str">
        <f>IF($X$338="","",$Y$324)</f>
        <v/>
      </c>
      <c r="Z338" s="477" t="str">
        <f>IF($X$338="","",$Z$324)</f>
        <v/>
      </c>
      <c r="AA338" s="477" t="str">
        <f>IF($AC$338="","",ROW($A$338)-ROW($A$324))</f>
        <v/>
      </c>
      <c r="AB338" s="478"/>
      <c r="AC338" s="34"/>
      <c r="AD338" s="356"/>
      <c r="AE338" s="479"/>
      <c r="AF338" s="475"/>
      <c r="AG338" s="480" t="str">
        <f t="shared" si="88"/>
        <v/>
      </c>
      <c r="AH338" s="481" t="str">
        <f t="shared" si="89"/>
        <v/>
      </c>
      <c r="AI338" s="477" t="str">
        <f>IF($AC$338="","",IFERROR(INDEX($AZ$74:$AZ$119,MATCH($AH$338,$AY$74:$AY$119,0)),"AUTRE"))</f>
        <v/>
      </c>
      <c r="AJ338" s="482" t="str">
        <f>IF($AC$338="","",IFERROR(INDEX($BA$74:$BA$119,MATCH($AH$338,$AY$74:$AY$119,0)),1))</f>
        <v/>
      </c>
      <c r="AK338" s="482" t="str">
        <f t="shared" si="90"/>
        <v/>
      </c>
      <c r="AL338" s="477" t="str">
        <f>IF($AC$338="","",IFERROR(INDEX($BB$74:$BB$119,MATCH($AH$338,$AY$74:$AY$119,0)),$AH$338))</f>
        <v/>
      </c>
      <c r="AM338" s="483" t="str">
        <f t="shared" si="91"/>
        <v/>
      </c>
      <c r="AN338" s="484" t="str">
        <f t="shared" si="92"/>
        <v/>
      </c>
      <c r="AO338" s="473" t="str">
        <f t="shared" si="93"/>
        <v/>
      </c>
      <c r="AP338" s="473" t="str">
        <f t="shared" si="94"/>
        <v/>
      </c>
      <c r="AQ338" s="473" t="str">
        <f t="shared" si="95"/>
        <v/>
      </c>
      <c r="AR338" s="473" t="str">
        <f t="shared" si="96"/>
        <v/>
      </c>
      <c r="AS338" s="473" t="str">
        <f t="shared" si="97"/>
        <v/>
      </c>
      <c r="AT338" s="473" t="str">
        <f t="shared" si="98"/>
        <v/>
      </c>
      <c r="AU338" s="473" t="str">
        <f t="shared" si="99"/>
        <v/>
      </c>
      <c r="AZ338" s="32" t="s">
        <v>309</v>
      </c>
      <c r="BA338" s="34" t="s">
        <v>474</v>
      </c>
      <c r="BB338" s="499"/>
      <c r="BC338" s="271"/>
      <c r="BD338" s="279">
        <v>1</v>
      </c>
      <c r="BE338" s="271"/>
      <c r="BF338" s="271"/>
      <c r="BG338" s="271"/>
      <c r="BH338" s="271"/>
      <c r="BI338" s="271"/>
      <c r="BJ338" s="271"/>
      <c r="BK338" s="271"/>
      <c r="BL338" s="271"/>
    </row>
    <row r="339" spans="18:64" ht="21" customHeight="1" x14ac:dyDescent="0.25">
      <c r="R339" s="34" t="s">
        <v>6129</v>
      </c>
      <c r="S339" s="451"/>
      <c r="T339" s="31" t="s">
        <v>31</v>
      </c>
      <c r="V339" s="475">
        <v>8</v>
      </c>
      <c r="W339" s="475" t="str">
        <f>IF($AC$339="","",$W$324)</f>
        <v/>
      </c>
      <c r="X339" s="476" t="str">
        <f>IF($AC$339="","",$X$324)</f>
        <v/>
      </c>
      <c r="Y339" s="477" t="str">
        <f>IF($X$339="","",$Y$324)</f>
        <v/>
      </c>
      <c r="Z339" s="477" t="str">
        <f>IF($X$339="","",$Z$324)</f>
        <v/>
      </c>
      <c r="AA339" s="477" t="str">
        <f>IF($AC$339="","",ROW($A$339)-ROW($A$324))</f>
        <v/>
      </c>
      <c r="AB339" s="478"/>
      <c r="AC339" s="34"/>
      <c r="AD339" s="356"/>
      <c r="AE339" s="479"/>
      <c r="AF339" s="475"/>
      <c r="AG339" s="480" t="str">
        <f t="shared" si="88"/>
        <v/>
      </c>
      <c r="AH339" s="481" t="str">
        <f t="shared" si="89"/>
        <v/>
      </c>
      <c r="AI339" s="477" t="str">
        <f>IF($AC$339="","",IFERROR(INDEX($AZ$74:$AZ$119,MATCH($AH$339,$AY$74:$AY$119,0)),"AUTRE"))</f>
        <v/>
      </c>
      <c r="AJ339" s="482" t="str">
        <f>IF($AC$339="","",IFERROR(INDEX($BA$74:$BA$119,MATCH($AH$339,$AY$74:$AY$119,0)),1))</f>
        <v/>
      </c>
      <c r="AK339" s="482" t="str">
        <f t="shared" si="90"/>
        <v/>
      </c>
      <c r="AL339" s="477" t="str">
        <f>IF($AC$339="","",IFERROR(INDEX($BB$74:$BB$119,MATCH($AH$339,$AY$74:$AY$119,0)),$AH$339))</f>
        <v/>
      </c>
      <c r="AM339" s="483" t="str">
        <f t="shared" si="91"/>
        <v/>
      </c>
      <c r="AN339" s="484" t="str">
        <f t="shared" si="92"/>
        <v/>
      </c>
      <c r="AO339" s="473" t="str">
        <f t="shared" si="93"/>
        <v/>
      </c>
      <c r="AP339" s="473" t="str">
        <f t="shared" si="94"/>
        <v/>
      </c>
      <c r="AQ339" s="473" t="str">
        <f t="shared" si="95"/>
        <v/>
      </c>
      <c r="AR339" s="473" t="str">
        <f t="shared" si="96"/>
        <v/>
      </c>
      <c r="AS339" s="473" t="str">
        <f t="shared" si="97"/>
        <v/>
      </c>
      <c r="AT339" s="473" t="str">
        <f t="shared" si="98"/>
        <v/>
      </c>
      <c r="AU339" s="473" t="str">
        <f t="shared" si="99"/>
        <v/>
      </c>
      <c r="AZ339" s="32" t="s">
        <v>311</v>
      </c>
      <c r="BA339" s="34" t="s">
        <v>490</v>
      </c>
      <c r="BB339" s="499"/>
      <c r="BC339" s="271"/>
      <c r="BD339" s="279">
        <v>1</v>
      </c>
      <c r="BE339" s="271"/>
      <c r="BF339" s="271"/>
      <c r="BG339" s="271"/>
      <c r="BH339" s="271"/>
      <c r="BI339" s="271"/>
      <c r="BJ339" s="271"/>
      <c r="BK339" s="271"/>
      <c r="BL339" s="271"/>
    </row>
    <row r="340" spans="18:64" ht="21" customHeight="1" x14ac:dyDescent="0.25">
      <c r="R340" s="34" t="s">
        <v>478</v>
      </c>
      <c r="S340" s="451"/>
      <c r="T340" s="32" t="s">
        <v>33</v>
      </c>
      <c r="V340" s="475">
        <v>8</v>
      </c>
      <c r="W340" s="475" t="str">
        <f>IF($AC$340="","",$W$324)</f>
        <v/>
      </c>
      <c r="X340" s="476" t="str">
        <f>IF($AC$340="","",$X$324)</f>
        <v/>
      </c>
      <c r="Y340" s="477" t="str">
        <f>IF($X$340="","",$Y$324)</f>
        <v/>
      </c>
      <c r="Z340" s="477" t="str">
        <f>IF($X$340="","",$Z$324)</f>
        <v/>
      </c>
      <c r="AA340" s="477" t="str">
        <f>IF($AC$340="","",ROW($A$340)-ROW($A$324))</f>
        <v/>
      </c>
      <c r="AB340" s="478"/>
      <c r="AC340" s="34"/>
      <c r="AD340" s="356"/>
      <c r="AE340" s="479"/>
      <c r="AF340" s="475"/>
      <c r="AG340" s="480" t="str">
        <f t="shared" si="88"/>
        <v/>
      </c>
      <c r="AH340" s="481" t="str">
        <f t="shared" si="89"/>
        <v/>
      </c>
      <c r="AI340" s="477" t="str">
        <f>IF($AC$340="","",IFERROR(INDEX($AZ$74:$AZ$119,MATCH($AH$340,$AY$74:$AY$119,0)),"AUTRE"))</f>
        <v/>
      </c>
      <c r="AJ340" s="482" t="str">
        <f>IF($AC$340="","",IFERROR(INDEX($BA$74:$BA$119,MATCH($AH$340,$AY$74:$AY$119,0)),1))</f>
        <v/>
      </c>
      <c r="AK340" s="482" t="str">
        <f t="shared" si="90"/>
        <v/>
      </c>
      <c r="AL340" s="477" t="str">
        <f>IF($AC$340="","",IFERROR(INDEX($BB$74:$BB$119,MATCH($AH$340,$AY$74:$AY$119,0)),$AH$340))</f>
        <v/>
      </c>
      <c r="AM340" s="483" t="str">
        <f t="shared" si="91"/>
        <v/>
      </c>
      <c r="AN340" s="484" t="str">
        <f t="shared" si="92"/>
        <v/>
      </c>
      <c r="AO340" s="473" t="str">
        <f t="shared" si="93"/>
        <v/>
      </c>
      <c r="AP340" s="473" t="str">
        <f t="shared" si="94"/>
        <v/>
      </c>
      <c r="AQ340" s="473" t="str">
        <f t="shared" si="95"/>
        <v/>
      </c>
      <c r="AR340" s="473" t="str">
        <f t="shared" si="96"/>
        <v/>
      </c>
      <c r="AS340" s="473" t="str">
        <f t="shared" si="97"/>
        <v/>
      </c>
      <c r="AT340" s="473" t="str">
        <f t="shared" si="98"/>
        <v/>
      </c>
      <c r="AU340" s="473" t="str">
        <f t="shared" si="99"/>
        <v/>
      </c>
      <c r="AZ340" s="32" t="s">
        <v>8135</v>
      </c>
      <c r="BA340" s="34" t="s">
        <v>6129</v>
      </c>
      <c r="BB340" s="499"/>
      <c r="BC340" s="271"/>
      <c r="BD340" s="279">
        <v>1</v>
      </c>
      <c r="BE340" s="271"/>
      <c r="BF340" s="271"/>
      <c r="BG340" s="271"/>
      <c r="BH340" s="271"/>
      <c r="BI340" s="271"/>
      <c r="BJ340" s="271"/>
      <c r="BK340" s="271"/>
      <c r="BL340" s="271"/>
    </row>
    <row r="341" spans="18:64" ht="21" customHeight="1" x14ac:dyDescent="0.25">
      <c r="R341" s="34" t="s">
        <v>6130</v>
      </c>
      <c r="S341" s="451"/>
      <c r="T341" s="32" t="s">
        <v>8125</v>
      </c>
      <c r="V341" s="475">
        <v>8</v>
      </c>
      <c r="W341" s="475" t="str">
        <f>IF($AC$341="","",$W$324)</f>
        <v/>
      </c>
      <c r="X341" s="476" t="str">
        <f>IF($AC$341="","",$X$324)</f>
        <v/>
      </c>
      <c r="Y341" s="477" t="str">
        <f>IF($X$341="","",$Y$324)</f>
        <v/>
      </c>
      <c r="Z341" s="477" t="str">
        <f>IF($X$341="","",$Z$324)</f>
        <v/>
      </c>
      <c r="AA341" s="477" t="str">
        <f>IF($AC$341="","",ROW($A$341)-ROW($A$324))</f>
        <v/>
      </c>
      <c r="AB341" s="478"/>
      <c r="AC341" s="34"/>
      <c r="AD341" s="356"/>
      <c r="AE341" s="479"/>
      <c r="AF341" s="475"/>
      <c r="AG341" s="480" t="str">
        <f t="shared" si="88"/>
        <v/>
      </c>
      <c r="AH341" s="481" t="str">
        <f t="shared" si="89"/>
        <v/>
      </c>
      <c r="AI341" s="477" t="str">
        <f>IF($AC$341="","",IFERROR(INDEX($AZ$74:$AZ$119,MATCH($AH$341,$AY$74:$AY$119,0)),"AUTRE"))</f>
        <v/>
      </c>
      <c r="AJ341" s="482" t="str">
        <f>IF($AC$341="","",IFERROR(INDEX($BA$74:$BA$119,MATCH($AH$341,$AY$74:$AY$119,0)),1))</f>
        <v/>
      </c>
      <c r="AK341" s="482" t="str">
        <f t="shared" si="90"/>
        <v/>
      </c>
      <c r="AL341" s="477" t="str">
        <f>IF($AC$341="","",IFERROR(INDEX($BB$74:$BB$119,MATCH($AH$341,$AY$74:$AY$119,0)),$AH$341))</f>
        <v/>
      </c>
      <c r="AM341" s="483" t="str">
        <f t="shared" si="91"/>
        <v/>
      </c>
      <c r="AN341" s="484" t="str">
        <f t="shared" si="92"/>
        <v/>
      </c>
      <c r="AO341" s="473" t="str">
        <f t="shared" si="93"/>
        <v/>
      </c>
      <c r="AP341" s="473" t="str">
        <f t="shared" si="94"/>
        <v/>
      </c>
      <c r="AQ341" s="473" t="str">
        <f t="shared" si="95"/>
        <v/>
      </c>
      <c r="AR341" s="473" t="str">
        <f t="shared" si="96"/>
        <v/>
      </c>
      <c r="AS341" s="473" t="str">
        <f t="shared" si="97"/>
        <v/>
      </c>
      <c r="AT341" s="473" t="str">
        <f t="shared" si="98"/>
        <v/>
      </c>
      <c r="AU341" s="473" t="str">
        <f t="shared" si="99"/>
        <v/>
      </c>
      <c r="AZ341" s="32" t="s">
        <v>8137</v>
      </c>
      <c r="BA341" s="34" t="s">
        <v>478</v>
      </c>
      <c r="BB341" s="499"/>
      <c r="BC341" s="271"/>
      <c r="BD341" s="279">
        <v>1</v>
      </c>
      <c r="BE341" s="271"/>
      <c r="BF341" s="271"/>
      <c r="BG341" s="271"/>
      <c r="BH341" s="271"/>
      <c r="BI341" s="271"/>
      <c r="BJ341" s="271"/>
      <c r="BK341" s="271"/>
      <c r="BL341" s="271"/>
    </row>
    <row r="342" spans="18:64" ht="21" customHeight="1" x14ac:dyDescent="0.25">
      <c r="R342" s="34" t="s">
        <v>486</v>
      </c>
      <c r="S342" s="451"/>
      <c r="T342" s="32" t="s">
        <v>8127</v>
      </c>
      <c r="V342" s="475">
        <v>8</v>
      </c>
      <c r="W342" s="475" t="str">
        <f>IF($AC$342="","",$W$324)</f>
        <v/>
      </c>
      <c r="X342" s="476" t="str">
        <f>IF($AC$342="","",$X$324)</f>
        <v/>
      </c>
      <c r="Y342" s="477" t="str">
        <f>IF($X$342="","",$Y$324)</f>
        <v/>
      </c>
      <c r="Z342" s="477" t="str">
        <f>IF($X$342="","",$Z$324)</f>
        <v/>
      </c>
      <c r="AA342" s="477" t="str">
        <f>IF($AC$342="","",ROW($A$342)-ROW($A$324))</f>
        <v/>
      </c>
      <c r="AB342" s="478"/>
      <c r="AC342" s="34"/>
      <c r="AD342" s="356"/>
      <c r="AE342" s="479"/>
      <c r="AF342" s="475"/>
      <c r="AG342" s="480" t="str">
        <f t="shared" si="88"/>
        <v/>
      </c>
      <c r="AH342" s="481" t="str">
        <f t="shared" si="89"/>
        <v/>
      </c>
      <c r="AI342" s="477" t="str">
        <f>IF($AC$342="","",IFERROR(INDEX($AZ$74:$AZ$119,MATCH($AH$342,$AY$74:$AY$119,0)),"AUTRE"))</f>
        <v/>
      </c>
      <c r="AJ342" s="482" t="str">
        <f>IF($AC$342="","",IFERROR(INDEX($BA$74:$BA$119,MATCH($AH$342,$AY$74:$AY$119,0)),1))</f>
        <v/>
      </c>
      <c r="AK342" s="482" t="str">
        <f t="shared" si="90"/>
        <v/>
      </c>
      <c r="AL342" s="477" t="str">
        <f>IF($AC$342="","",IFERROR(INDEX($BB$74:$BB$119,MATCH($AH$342,$AY$74:$AY$119,0)),$AH$342))</f>
        <v/>
      </c>
      <c r="AM342" s="483" t="str">
        <f t="shared" si="91"/>
        <v/>
      </c>
      <c r="AN342" s="484" t="str">
        <f t="shared" si="92"/>
        <v/>
      </c>
      <c r="AO342" s="473" t="str">
        <f t="shared" si="93"/>
        <v/>
      </c>
      <c r="AP342" s="473" t="str">
        <f t="shared" si="94"/>
        <v/>
      </c>
      <c r="AQ342" s="473" t="str">
        <f t="shared" si="95"/>
        <v/>
      </c>
      <c r="AR342" s="473" t="str">
        <f t="shared" si="96"/>
        <v/>
      </c>
      <c r="AS342" s="473" t="str">
        <f t="shared" si="97"/>
        <v/>
      </c>
      <c r="AT342" s="473" t="str">
        <f t="shared" si="98"/>
        <v/>
      </c>
      <c r="AU342" s="473" t="str">
        <f t="shared" si="99"/>
        <v/>
      </c>
      <c r="AZ342" s="32" t="s">
        <v>8139</v>
      </c>
      <c r="BA342" s="34" t="s">
        <v>6130</v>
      </c>
      <c r="BB342" s="499"/>
      <c r="BC342" s="271"/>
      <c r="BD342" s="279">
        <v>1</v>
      </c>
      <c r="BE342" s="271"/>
      <c r="BF342" s="271"/>
      <c r="BG342" s="271"/>
      <c r="BH342" s="271"/>
      <c r="BI342" s="271"/>
      <c r="BJ342" s="271"/>
      <c r="BK342" s="271"/>
      <c r="BL342" s="271"/>
    </row>
    <row r="343" spans="18:64" ht="21" customHeight="1" x14ac:dyDescent="0.25">
      <c r="R343" s="34" t="s">
        <v>479</v>
      </c>
      <c r="S343" s="451"/>
      <c r="T343" s="32" t="s">
        <v>320</v>
      </c>
      <c r="V343" s="475">
        <v>8</v>
      </c>
      <c r="W343" s="475" t="str">
        <f>IF($AC$343="","",$W$324)</f>
        <v/>
      </c>
      <c r="X343" s="476" t="str">
        <f>IF($AC$343="","",$X$324)</f>
        <v/>
      </c>
      <c r="Y343" s="477" t="str">
        <f>IF($X$343="","",$Y$324)</f>
        <v/>
      </c>
      <c r="Z343" s="477" t="str">
        <f>IF($X$343="","",$Z$324)</f>
        <v/>
      </c>
      <c r="AA343" s="477" t="str">
        <f>IF($AC$343="","",ROW($A$343)-ROW($A$324))</f>
        <v/>
      </c>
      <c r="AB343" s="478"/>
      <c r="AC343" s="34"/>
      <c r="AD343" s="356"/>
      <c r="AE343" s="479"/>
      <c r="AF343" s="475"/>
      <c r="AG343" s="480" t="str">
        <f t="shared" si="88"/>
        <v/>
      </c>
      <c r="AH343" s="481" t="str">
        <f t="shared" si="89"/>
        <v/>
      </c>
      <c r="AI343" s="477" t="str">
        <f>IF($AC$343="","",IFERROR(INDEX($AZ$74:$AZ$119,MATCH($AH$343,$AY$74:$AY$119,0)),"AUTRE"))</f>
        <v/>
      </c>
      <c r="AJ343" s="482" t="str">
        <f>IF($AC$343="","",IFERROR(INDEX($BA$74:$BA$119,MATCH($AH$343,$AY$74:$AY$119,0)),1))</f>
        <v/>
      </c>
      <c r="AK343" s="482" t="str">
        <f t="shared" si="90"/>
        <v/>
      </c>
      <c r="AL343" s="477" t="str">
        <f>IF($AC$343="","",IFERROR(INDEX($BB$74:$BB$119,MATCH($AH$343,$AY$74:$AY$119,0)),$AH$343))</f>
        <v/>
      </c>
      <c r="AM343" s="483" t="str">
        <f t="shared" si="91"/>
        <v/>
      </c>
      <c r="AN343" s="484" t="str">
        <f t="shared" si="92"/>
        <v/>
      </c>
      <c r="AO343" s="473" t="str">
        <f t="shared" si="93"/>
        <v/>
      </c>
      <c r="AP343" s="473" t="str">
        <f t="shared" si="94"/>
        <v/>
      </c>
      <c r="AQ343" s="473" t="str">
        <f t="shared" si="95"/>
        <v/>
      </c>
      <c r="AR343" s="473" t="str">
        <f t="shared" si="96"/>
        <v/>
      </c>
      <c r="AS343" s="473" t="str">
        <f t="shared" si="97"/>
        <v/>
      </c>
      <c r="AT343" s="473" t="str">
        <f t="shared" si="98"/>
        <v/>
      </c>
      <c r="AU343" s="473" t="str">
        <f t="shared" si="99"/>
        <v/>
      </c>
      <c r="AZ343" s="32" t="s">
        <v>8141</v>
      </c>
      <c r="BA343" s="34" t="s">
        <v>486</v>
      </c>
      <c r="BB343" s="499"/>
      <c r="BC343" s="271"/>
      <c r="BD343" s="279">
        <v>1</v>
      </c>
      <c r="BE343" s="271"/>
      <c r="BF343" s="271"/>
      <c r="BG343" s="271"/>
      <c r="BH343" s="271"/>
      <c r="BI343" s="271"/>
      <c r="BJ343" s="271"/>
      <c r="BK343" s="271"/>
      <c r="BL343" s="271"/>
    </row>
    <row r="344" spans="18:64" ht="21" customHeight="1" x14ac:dyDescent="0.25">
      <c r="R344" s="34" t="s">
        <v>6131</v>
      </c>
      <c r="S344" s="451"/>
      <c r="T344" s="32" t="s">
        <v>318</v>
      </c>
      <c r="V344" s="475">
        <v>8</v>
      </c>
      <c r="W344" s="475" t="str">
        <f>IF($AC$344="","",$W$324)</f>
        <v/>
      </c>
      <c r="X344" s="476" t="str">
        <f>IF($AC$344="","",$X$324)</f>
        <v/>
      </c>
      <c r="Y344" s="477" t="str">
        <f>IF($X$344="","",$Y$324)</f>
        <v/>
      </c>
      <c r="Z344" s="477" t="str">
        <f>IF($X$344="","",$Z$324)</f>
        <v/>
      </c>
      <c r="AA344" s="477" t="str">
        <f>IF($AC$344="","",ROW($A$344)-ROW($A$324))</f>
        <v/>
      </c>
      <c r="AB344" s="478"/>
      <c r="AC344" s="34"/>
      <c r="AD344" s="356"/>
      <c r="AE344" s="479"/>
      <c r="AF344" s="475"/>
      <c r="AG344" s="480" t="str">
        <f t="shared" si="88"/>
        <v/>
      </c>
      <c r="AH344" s="481" t="str">
        <f t="shared" si="89"/>
        <v/>
      </c>
      <c r="AI344" s="477" t="str">
        <f>IF($AC$344="","",IFERROR(INDEX($AZ$74:$AZ$119,MATCH($AH$344,$AY$74:$AY$119,0)),"AUTRE"))</f>
        <v/>
      </c>
      <c r="AJ344" s="482" t="str">
        <f>IF($AC$344="","",IFERROR(INDEX($BA$74:$BA$119,MATCH($AH$344,$AY$74:$AY$119,0)),1))</f>
        <v/>
      </c>
      <c r="AK344" s="482" t="str">
        <f t="shared" si="90"/>
        <v/>
      </c>
      <c r="AL344" s="477" t="str">
        <f>IF($AC$344="","",IFERROR(INDEX($BB$74:$BB$119,MATCH($AH$344,$AY$74:$AY$119,0)),$AH$344))</f>
        <v/>
      </c>
      <c r="AM344" s="483" t="str">
        <f t="shared" si="91"/>
        <v/>
      </c>
      <c r="AN344" s="484" t="str">
        <f t="shared" si="92"/>
        <v/>
      </c>
      <c r="AO344" s="473" t="str">
        <f t="shared" si="93"/>
        <v/>
      </c>
      <c r="AP344" s="473" t="str">
        <f t="shared" si="94"/>
        <v/>
      </c>
      <c r="AQ344" s="473" t="str">
        <f t="shared" si="95"/>
        <v/>
      </c>
      <c r="AR344" s="473" t="str">
        <f t="shared" si="96"/>
        <v/>
      </c>
      <c r="AS344" s="473" t="str">
        <f t="shared" si="97"/>
        <v/>
      </c>
      <c r="AT344" s="473" t="str">
        <f t="shared" si="98"/>
        <v/>
      </c>
      <c r="AU344" s="473" t="str">
        <f t="shared" si="99"/>
        <v/>
      </c>
      <c r="AZ344" s="32" t="s">
        <v>8143</v>
      </c>
      <c r="BA344" s="34" t="s">
        <v>479</v>
      </c>
      <c r="BB344" s="499"/>
      <c r="BC344" s="271"/>
      <c r="BD344" s="279">
        <v>1</v>
      </c>
      <c r="BE344" s="271"/>
      <c r="BF344" s="271"/>
      <c r="BG344" s="271"/>
      <c r="BH344" s="271"/>
      <c r="BI344" s="271"/>
      <c r="BJ344" s="271"/>
      <c r="BK344" s="271"/>
      <c r="BL344" s="271"/>
    </row>
    <row r="345" spans="18:64" ht="21" customHeight="1" x14ac:dyDescent="0.25">
      <c r="R345" s="34" t="s">
        <v>485</v>
      </c>
      <c r="S345" s="451"/>
      <c r="T345" s="32" t="s">
        <v>316</v>
      </c>
      <c r="V345" s="475">
        <v>8</v>
      </c>
      <c r="W345" s="475" t="str">
        <f>IF($AC$345="","",$W$324)</f>
        <v/>
      </c>
      <c r="X345" s="476" t="str">
        <f>IF($AC$345="","",$X$324)</f>
        <v/>
      </c>
      <c r="Y345" s="477" t="str">
        <f>IF($X$345="","",$Y$324)</f>
        <v/>
      </c>
      <c r="Z345" s="477" t="str">
        <f>IF($X$345="","",$Z$324)</f>
        <v/>
      </c>
      <c r="AA345" s="477" t="str">
        <f>IF($AC$345="","",ROW($A$345)-ROW($A$324))</f>
        <v/>
      </c>
      <c r="AB345" s="478"/>
      <c r="AC345" s="34"/>
      <c r="AD345" s="356"/>
      <c r="AE345" s="479"/>
      <c r="AF345" s="475"/>
      <c r="AG345" s="480" t="str">
        <f t="shared" si="88"/>
        <v/>
      </c>
      <c r="AH345" s="481" t="str">
        <f t="shared" si="89"/>
        <v/>
      </c>
      <c r="AI345" s="477" t="str">
        <f>IF($AC$345="","",IFERROR(INDEX($AZ$74:$AZ$119,MATCH($AH$345,$AY$74:$AY$119,0)),"AUTRE"))</f>
        <v/>
      </c>
      <c r="AJ345" s="482" t="str">
        <f>IF($AC$345="","",IFERROR(INDEX($BA$74:$BA$119,MATCH($AH$345,$AY$74:$AY$119,0)),1))</f>
        <v/>
      </c>
      <c r="AK345" s="482" t="str">
        <f t="shared" si="90"/>
        <v/>
      </c>
      <c r="AL345" s="477" t="str">
        <f>IF($AC$345="","",IFERROR(INDEX($BB$74:$BB$119,MATCH($AH$345,$AY$74:$AY$119,0)),$AH$345))</f>
        <v/>
      </c>
      <c r="AM345" s="483" t="str">
        <f t="shared" si="91"/>
        <v/>
      </c>
      <c r="AN345" s="484" t="str">
        <f t="shared" si="92"/>
        <v/>
      </c>
      <c r="AO345" s="473" t="str">
        <f t="shared" si="93"/>
        <v/>
      </c>
      <c r="AP345" s="473" t="str">
        <f t="shared" si="94"/>
        <v/>
      </c>
      <c r="AQ345" s="473" t="str">
        <f t="shared" si="95"/>
        <v/>
      </c>
      <c r="AR345" s="473" t="str">
        <f t="shared" si="96"/>
        <v/>
      </c>
      <c r="AS345" s="473" t="str">
        <f t="shared" si="97"/>
        <v/>
      </c>
      <c r="AT345" s="473" t="str">
        <f t="shared" si="98"/>
        <v/>
      </c>
      <c r="AU345" s="473" t="str">
        <f t="shared" si="99"/>
        <v/>
      </c>
      <c r="AZ345" s="497" t="s">
        <v>8145</v>
      </c>
      <c r="BA345" s="34" t="s">
        <v>6131</v>
      </c>
      <c r="BB345" s="499"/>
      <c r="BC345" s="271"/>
      <c r="BD345" s="279">
        <v>1</v>
      </c>
      <c r="BE345" s="271"/>
      <c r="BF345" s="271"/>
      <c r="BG345" s="271"/>
      <c r="BH345" s="271"/>
      <c r="BI345" s="271"/>
      <c r="BJ345" s="271"/>
      <c r="BK345" s="271"/>
      <c r="BL345" s="271"/>
    </row>
    <row r="346" spans="18:64" ht="21" customHeight="1" x14ac:dyDescent="0.25">
      <c r="R346" s="34" t="s">
        <v>6132</v>
      </c>
      <c r="S346" s="451"/>
      <c r="T346" s="32" t="s">
        <v>313</v>
      </c>
      <c r="V346" s="475">
        <v>8</v>
      </c>
      <c r="W346" s="475" t="str">
        <f>IF($AC$346="","",$W$324)</f>
        <v/>
      </c>
      <c r="X346" s="476" t="str">
        <f>IF($AC$346="","",$X$324)</f>
        <v/>
      </c>
      <c r="Y346" s="477" t="str">
        <f>IF($X$346="","",$Y$324)</f>
        <v/>
      </c>
      <c r="Z346" s="477" t="str">
        <f>IF($X$346="","",$Z$324)</f>
        <v/>
      </c>
      <c r="AA346" s="477" t="str">
        <f>IF($AC$346="","",ROW($A$346)-ROW($A$324))</f>
        <v/>
      </c>
      <c r="AB346" s="478"/>
      <c r="AC346" s="34"/>
      <c r="AD346" s="356"/>
      <c r="AE346" s="479"/>
      <c r="AF346" s="475"/>
      <c r="AG346" s="480" t="str">
        <f t="shared" si="88"/>
        <v/>
      </c>
      <c r="AH346" s="481" t="str">
        <f t="shared" si="89"/>
        <v/>
      </c>
      <c r="AI346" s="477" t="str">
        <f>IF($AC$346="","",IFERROR(INDEX($AZ$74:$AZ$119,MATCH($AH$346,$AY$74:$AY$119,0)),"AUTRE"))</f>
        <v/>
      </c>
      <c r="AJ346" s="482" t="str">
        <f>IF($AC$346="","",IFERROR(INDEX($BA$74:$BA$119,MATCH($AH$346,$AY$74:$AY$119,0)),1))</f>
        <v/>
      </c>
      <c r="AK346" s="482" t="str">
        <f t="shared" si="90"/>
        <v/>
      </c>
      <c r="AL346" s="477" t="str">
        <f>IF($AC$346="","",IFERROR(INDEX($BB$74:$BB$119,MATCH($AH$346,$AY$74:$AY$119,0)),$AH$346))</f>
        <v/>
      </c>
      <c r="AM346" s="483" t="str">
        <f t="shared" si="91"/>
        <v/>
      </c>
      <c r="AN346" s="484" t="str">
        <f t="shared" si="92"/>
        <v/>
      </c>
      <c r="AO346" s="473" t="str">
        <f t="shared" si="93"/>
        <v/>
      </c>
      <c r="AP346" s="473" t="str">
        <f t="shared" si="94"/>
        <v/>
      </c>
      <c r="AQ346" s="473" t="str">
        <f t="shared" si="95"/>
        <v/>
      </c>
      <c r="AR346" s="473" t="str">
        <f t="shared" si="96"/>
        <v/>
      </c>
      <c r="AS346" s="473" t="str">
        <f t="shared" si="97"/>
        <v/>
      </c>
      <c r="AT346" s="473" t="str">
        <f t="shared" si="98"/>
        <v/>
      </c>
      <c r="AU346" s="473" t="str">
        <f t="shared" si="99"/>
        <v/>
      </c>
      <c r="AZ346" s="497" t="s">
        <v>462</v>
      </c>
      <c r="BA346" s="34" t="s">
        <v>485</v>
      </c>
      <c r="BB346" s="499"/>
      <c r="BC346" s="271"/>
      <c r="BD346" s="279">
        <v>1</v>
      </c>
      <c r="BE346" s="271"/>
      <c r="BF346" s="271"/>
      <c r="BG346" s="271"/>
      <c r="BH346" s="271"/>
      <c r="BI346" s="271"/>
      <c r="BJ346" s="271"/>
      <c r="BK346" s="271"/>
      <c r="BL346" s="271"/>
    </row>
    <row r="347" spans="18:64" ht="21" customHeight="1" x14ac:dyDescent="0.25">
      <c r="R347" s="25" t="s">
        <v>6133</v>
      </c>
      <c r="S347" s="451"/>
      <c r="T347" s="32" t="s">
        <v>307</v>
      </c>
      <c r="V347" s="475">
        <v>8</v>
      </c>
      <c r="W347" s="475" t="str">
        <f>IF($AC$347="","",$W$324)</f>
        <v/>
      </c>
      <c r="X347" s="476" t="str">
        <f>IF($AC$347="","",$X$324)</f>
        <v/>
      </c>
      <c r="Y347" s="477" t="str">
        <f>IF($X$347="","",$Y$324)</f>
        <v/>
      </c>
      <c r="Z347" s="477" t="str">
        <f>IF($X$347="","",$Z$324)</f>
        <v/>
      </c>
      <c r="AA347" s="477" t="str">
        <f>IF($AC$347="","",ROW($A$347)-ROW($A$324))</f>
        <v/>
      </c>
      <c r="AB347" s="478"/>
      <c r="AC347" s="34"/>
      <c r="AD347" s="356"/>
      <c r="AE347" s="479"/>
      <c r="AF347" s="475"/>
      <c r="AG347" s="480" t="str">
        <f t="shared" si="88"/>
        <v/>
      </c>
      <c r="AH347" s="481" t="str">
        <f t="shared" si="89"/>
        <v/>
      </c>
      <c r="AI347" s="477" t="str">
        <f>IF($AC$347="","",IFERROR(INDEX($AZ$74:$AZ$119,MATCH($AH$347,$AY$74:$AY$119,0)),"AUTRE"))</f>
        <v/>
      </c>
      <c r="AJ347" s="482" t="str">
        <f>IF($AC$347="","",IFERROR(INDEX($BA$74:$BA$119,MATCH($AH$347,$AY$74:$AY$119,0)),1))</f>
        <v/>
      </c>
      <c r="AK347" s="482" t="str">
        <f t="shared" si="90"/>
        <v/>
      </c>
      <c r="AL347" s="477" t="str">
        <f>IF($AC$347="","",IFERROR(INDEX($BB$74:$BB$119,MATCH($AH$347,$AY$74:$AY$119,0)),$AH$347))</f>
        <v/>
      </c>
      <c r="AM347" s="483" t="str">
        <f t="shared" si="91"/>
        <v/>
      </c>
      <c r="AN347" s="484" t="str">
        <f t="shared" si="92"/>
        <v/>
      </c>
      <c r="AO347" s="473" t="str">
        <f t="shared" si="93"/>
        <v/>
      </c>
      <c r="AP347" s="473" t="str">
        <f t="shared" si="94"/>
        <v/>
      </c>
      <c r="AQ347" s="473" t="str">
        <f t="shared" si="95"/>
        <v/>
      </c>
      <c r="AR347" s="473" t="str">
        <f t="shared" si="96"/>
        <v/>
      </c>
      <c r="AS347" s="473" t="str">
        <f t="shared" si="97"/>
        <v/>
      </c>
      <c r="AT347" s="473" t="str">
        <f t="shared" si="98"/>
        <v/>
      </c>
      <c r="AU347" s="473" t="str">
        <f t="shared" si="99"/>
        <v/>
      </c>
      <c r="AZ347" s="497" t="s">
        <v>463</v>
      </c>
      <c r="BA347" s="34" t="s">
        <v>6132</v>
      </c>
      <c r="BB347" s="499"/>
      <c r="BC347" s="271"/>
      <c r="BD347" s="279">
        <v>1</v>
      </c>
      <c r="BE347" s="271"/>
      <c r="BF347" s="271"/>
      <c r="BG347" s="271"/>
      <c r="BH347" s="271"/>
      <c r="BI347" s="271"/>
      <c r="BJ347" s="271"/>
      <c r="BK347" s="271"/>
      <c r="BL347" s="271"/>
    </row>
    <row r="348" spans="18:64" ht="21" customHeight="1" x14ac:dyDescent="0.25">
      <c r="R348" s="34" t="s">
        <v>476</v>
      </c>
      <c r="S348" s="451"/>
      <c r="T348" s="32" t="s">
        <v>322</v>
      </c>
      <c r="V348" s="475">
        <v>8</v>
      </c>
      <c r="W348" s="475" t="str">
        <f>IF($AC$348="","",$W$324)</f>
        <v/>
      </c>
      <c r="X348" s="476" t="str">
        <f>IF($AC$348="","",$X$324)</f>
        <v/>
      </c>
      <c r="Y348" s="477" t="str">
        <f>IF($X$348="","",$Y$324)</f>
        <v/>
      </c>
      <c r="Z348" s="477" t="str">
        <f>IF($X$348="","",$Z$324)</f>
        <v/>
      </c>
      <c r="AA348" s="477" t="str">
        <f>IF($AC$348="","",ROW($A$348)-ROW($A$324))</f>
        <v/>
      </c>
      <c r="AB348" s="478"/>
      <c r="AC348" s="34"/>
      <c r="AD348" s="356"/>
      <c r="AE348" s="479"/>
      <c r="AF348" s="475"/>
      <c r="AG348" s="480" t="str">
        <f t="shared" si="88"/>
        <v/>
      </c>
      <c r="AH348" s="481" t="str">
        <f t="shared" si="89"/>
        <v/>
      </c>
      <c r="AI348" s="477" t="str">
        <f>IF($AC$348="","",IFERROR(INDEX($AZ$74:$AZ$119,MATCH($AH$348,$AY$74:$AY$119,0)),"AUTRE"))</f>
        <v/>
      </c>
      <c r="AJ348" s="482" t="str">
        <f>IF($AC$348="","",IFERROR(INDEX($BA$74:$BA$119,MATCH($AH$348,$AY$74:$AY$119,0)),1))</f>
        <v/>
      </c>
      <c r="AK348" s="482" t="str">
        <f t="shared" si="90"/>
        <v/>
      </c>
      <c r="AL348" s="477" t="str">
        <f>IF($AC$348="","",IFERROR(INDEX($BB$74:$BB$119,MATCH($AH$348,$AY$74:$AY$119,0)),$AH$348))</f>
        <v/>
      </c>
      <c r="AM348" s="483" t="str">
        <f t="shared" si="91"/>
        <v/>
      </c>
      <c r="AN348" s="484" t="str">
        <f t="shared" si="92"/>
        <v/>
      </c>
      <c r="AO348" s="473" t="str">
        <f t="shared" si="93"/>
        <v/>
      </c>
      <c r="AP348" s="473" t="str">
        <f t="shared" si="94"/>
        <v/>
      </c>
      <c r="AQ348" s="473" t="str">
        <f t="shared" si="95"/>
        <v/>
      </c>
      <c r="AR348" s="473" t="str">
        <f t="shared" si="96"/>
        <v/>
      </c>
      <c r="AS348" s="473" t="str">
        <f t="shared" si="97"/>
        <v/>
      </c>
      <c r="AT348" s="473" t="str">
        <f t="shared" si="98"/>
        <v/>
      </c>
      <c r="AU348" s="473" t="str">
        <f t="shared" si="99"/>
        <v/>
      </c>
      <c r="AZ348" s="497" t="s">
        <v>8147</v>
      </c>
      <c r="BA348" s="25" t="s">
        <v>6133</v>
      </c>
      <c r="BB348" s="499"/>
      <c r="BC348" s="271"/>
      <c r="BD348" s="279">
        <v>1</v>
      </c>
      <c r="BE348" s="271"/>
      <c r="BF348" s="271"/>
      <c r="BG348" s="271"/>
      <c r="BH348" s="271"/>
      <c r="BI348" s="271"/>
      <c r="BJ348" s="271"/>
      <c r="BK348" s="271"/>
      <c r="BL348" s="271"/>
    </row>
    <row r="349" spans="18:64" ht="21" customHeight="1" x14ac:dyDescent="0.25">
      <c r="R349" s="34" t="s">
        <v>468</v>
      </c>
      <c r="S349" s="451"/>
      <c r="T349" s="32" t="s">
        <v>305</v>
      </c>
      <c r="V349" s="475">
        <v>8</v>
      </c>
      <c r="W349" s="475" t="str">
        <f>IF($AC$349="","",$W$324)</f>
        <v/>
      </c>
      <c r="X349" s="476" t="str">
        <f>IF($AC$349="","",$X$324)</f>
        <v/>
      </c>
      <c r="Y349" s="477" t="str">
        <f>IF($X$349="","",$Y$324)</f>
        <v/>
      </c>
      <c r="Z349" s="477" t="str">
        <f>IF($X$349="","",$Z$324)</f>
        <v/>
      </c>
      <c r="AA349" s="477" t="str">
        <f>IF($AC$349="","",ROW($A$349)-ROW($A$324))</f>
        <v/>
      </c>
      <c r="AB349" s="478"/>
      <c r="AC349" s="34"/>
      <c r="AD349" s="356"/>
      <c r="AE349" s="479"/>
      <c r="AF349" s="475"/>
      <c r="AG349" s="480" t="str">
        <f t="shared" si="88"/>
        <v/>
      </c>
      <c r="AH349" s="481" t="str">
        <f t="shared" si="89"/>
        <v/>
      </c>
      <c r="AI349" s="477" t="str">
        <f>IF($AC$349="","",IFERROR(INDEX($AZ$74:$AZ$119,MATCH($AH$349,$AY$74:$AY$119,0)),"AUTRE"))</f>
        <v/>
      </c>
      <c r="AJ349" s="482" t="str">
        <f>IF($AC$349="","",IFERROR(INDEX($BA$74:$BA$119,MATCH($AH$349,$AY$74:$AY$119,0)),1))</f>
        <v/>
      </c>
      <c r="AK349" s="482" t="str">
        <f t="shared" si="90"/>
        <v/>
      </c>
      <c r="AL349" s="477" t="str">
        <f>IF($AC$349="","",IFERROR(INDEX($BB$74:$BB$119,MATCH($AH$349,$AY$74:$AY$119,0)),$AH$349))</f>
        <v/>
      </c>
      <c r="AM349" s="483" t="str">
        <f t="shared" si="91"/>
        <v/>
      </c>
      <c r="AN349" s="484" t="str">
        <f t="shared" si="92"/>
        <v/>
      </c>
      <c r="AO349" s="473" t="str">
        <f t="shared" si="93"/>
        <v/>
      </c>
      <c r="AP349" s="473" t="str">
        <f t="shared" si="94"/>
        <v/>
      </c>
      <c r="AQ349" s="473" t="str">
        <f t="shared" si="95"/>
        <v/>
      </c>
      <c r="AR349" s="473" t="str">
        <f t="shared" si="96"/>
        <v/>
      </c>
      <c r="AS349" s="473" t="str">
        <f t="shared" si="97"/>
        <v/>
      </c>
      <c r="AT349" s="473" t="str">
        <f t="shared" si="98"/>
        <v/>
      </c>
      <c r="AU349" s="473" t="str">
        <f t="shared" si="99"/>
        <v/>
      </c>
      <c r="AZ349" s="497" t="s">
        <v>465</v>
      </c>
      <c r="BA349" s="34" t="s">
        <v>476</v>
      </c>
      <c r="BB349" s="499"/>
      <c r="BC349" s="271"/>
      <c r="BD349" s="279">
        <v>1</v>
      </c>
      <c r="BE349" s="271"/>
      <c r="BF349" s="271"/>
      <c r="BG349" s="271"/>
      <c r="BH349" s="271"/>
      <c r="BI349" s="271"/>
      <c r="BJ349" s="271"/>
      <c r="BK349" s="271"/>
      <c r="BL349" s="271"/>
    </row>
    <row r="350" spans="18:64" ht="21" customHeight="1" x14ac:dyDescent="0.25">
      <c r="R350" s="34" t="s">
        <v>473</v>
      </c>
      <c r="S350" s="451"/>
      <c r="T350" s="32" t="s">
        <v>309</v>
      </c>
      <c r="V350" s="475">
        <v>8</v>
      </c>
      <c r="W350" s="475" t="str">
        <f>IF($AC$350="","",$W$324)</f>
        <v/>
      </c>
      <c r="X350" s="476" t="str">
        <f>IF($AC$350="","",$X$324)</f>
        <v/>
      </c>
      <c r="Y350" s="477" t="str">
        <f>IF($X$350="","",$Y$324)</f>
        <v/>
      </c>
      <c r="Z350" s="477" t="str">
        <f>IF($X$350="","",$Z$324)</f>
        <v/>
      </c>
      <c r="AA350" s="477" t="str">
        <f>IF($AC$350="","",ROW($A$350)-ROW($A$324))</f>
        <v/>
      </c>
      <c r="AB350" s="478"/>
      <c r="AC350" s="34"/>
      <c r="AD350" s="356"/>
      <c r="AE350" s="479"/>
      <c r="AF350" s="475"/>
      <c r="AG350" s="480" t="str">
        <f t="shared" si="88"/>
        <v/>
      </c>
      <c r="AH350" s="481" t="str">
        <f t="shared" si="89"/>
        <v/>
      </c>
      <c r="AI350" s="477" t="str">
        <f>IF($AC$350="","",IFERROR(INDEX($AZ$74:$AZ$119,MATCH($AH$350,$AY$74:$AY$119,0)),"AUTRE"))</f>
        <v/>
      </c>
      <c r="AJ350" s="482" t="str">
        <f>IF($AC$350="","",IFERROR(INDEX($BA$74:$BA$119,MATCH($AH$350,$AY$74:$AY$119,0)),1))</f>
        <v/>
      </c>
      <c r="AK350" s="482" t="str">
        <f t="shared" si="90"/>
        <v/>
      </c>
      <c r="AL350" s="477" t="str">
        <f>IF($AC$350="","",IFERROR(INDEX($BB$74:$BB$119,MATCH($AH$350,$AY$74:$AY$119,0)),$AH$350))</f>
        <v/>
      </c>
      <c r="AM350" s="483" t="str">
        <f t="shared" si="91"/>
        <v/>
      </c>
      <c r="AN350" s="484" t="str">
        <f t="shared" si="92"/>
        <v/>
      </c>
      <c r="AO350" s="473" t="str">
        <f t="shared" si="93"/>
        <v/>
      </c>
      <c r="AP350" s="473" t="str">
        <f t="shared" si="94"/>
        <v/>
      </c>
      <c r="AQ350" s="473" t="str">
        <f t="shared" si="95"/>
        <v/>
      </c>
      <c r="AR350" s="473" t="str">
        <f t="shared" si="96"/>
        <v/>
      </c>
      <c r="AS350" s="473" t="str">
        <f t="shared" si="97"/>
        <v/>
      </c>
      <c r="AT350" s="473" t="str">
        <f t="shared" si="98"/>
        <v/>
      </c>
      <c r="AU350" s="473" t="str">
        <f t="shared" si="99"/>
        <v/>
      </c>
      <c r="AZ350" s="497" t="s">
        <v>466</v>
      </c>
      <c r="BA350" s="34" t="s">
        <v>468</v>
      </c>
      <c r="BB350" s="499"/>
      <c r="BC350" s="271"/>
      <c r="BD350" s="279">
        <v>1</v>
      </c>
      <c r="BE350" s="271"/>
      <c r="BF350" s="271"/>
      <c r="BG350" s="271"/>
      <c r="BH350" s="271"/>
      <c r="BI350" s="271"/>
      <c r="BJ350" s="271"/>
      <c r="BK350" s="271"/>
      <c r="BL350" s="271"/>
    </row>
    <row r="351" spans="18:64" ht="21" customHeight="1" x14ac:dyDescent="0.25">
      <c r="R351" s="34" t="s">
        <v>497</v>
      </c>
      <c r="S351" s="451"/>
      <c r="T351" s="32" t="s">
        <v>311</v>
      </c>
      <c r="V351" s="475">
        <v>8</v>
      </c>
      <c r="W351" s="475" t="str">
        <f>IF($AC$351="","",$W$324)</f>
        <v/>
      </c>
      <c r="X351" s="476" t="str">
        <f>IF($AC$351="","",$X$324)</f>
        <v/>
      </c>
      <c r="Y351" s="477" t="str">
        <f>IF($X$351="","",$Y$324)</f>
        <v/>
      </c>
      <c r="Z351" s="477" t="str">
        <f>IF($X$351="","",$Z$324)</f>
        <v/>
      </c>
      <c r="AA351" s="477" t="str">
        <f>IF($AC$351="","",ROW($A$351)-ROW($A$324))</f>
        <v/>
      </c>
      <c r="AB351" s="478"/>
      <c r="AC351" s="34"/>
      <c r="AD351" s="356"/>
      <c r="AE351" s="479"/>
      <c r="AF351" s="475"/>
      <c r="AG351" s="480" t="str">
        <f t="shared" si="88"/>
        <v/>
      </c>
      <c r="AH351" s="481" t="str">
        <f t="shared" si="89"/>
        <v/>
      </c>
      <c r="AI351" s="477" t="str">
        <f>IF($AC$351="","",IFERROR(INDEX($AZ$74:$AZ$119,MATCH($AH$351,$AY$74:$AY$119,0)),"AUTRE"))</f>
        <v/>
      </c>
      <c r="AJ351" s="482" t="str">
        <f>IF($AC$351="","",IFERROR(INDEX($BA$74:$BA$119,MATCH($AH$351,$AY$74:$AY$119,0)),1))</f>
        <v/>
      </c>
      <c r="AK351" s="482" t="str">
        <f t="shared" si="90"/>
        <v/>
      </c>
      <c r="AL351" s="477" t="str">
        <f>IF($AC$351="","",IFERROR(INDEX($BB$74:$BB$119,MATCH($AH$351,$AY$74:$AY$119,0)),$AH$351))</f>
        <v/>
      </c>
      <c r="AM351" s="483" t="str">
        <f t="shared" si="91"/>
        <v/>
      </c>
      <c r="AN351" s="484" t="str">
        <f t="shared" si="92"/>
        <v/>
      </c>
      <c r="AO351" s="473" t="str">
        <f t="shared" si="93"/>
        <v/>
      </c>
      <c r="AP351" s="473" t="str">
        <f t="shared" si="94"/>
        <v/>
      </c>
      <c r="AQ351" s="473" t="str">
        <f t="shared" si="95"/>
        <v/>
      </c>
      <c r="AR351" s="473" t="str">
        <f t="shared" si="96"/>
        <v/>
      </c>
      <c r="AS351" s="473" t="str">
        <f t="shared" si="97"/>
        <v/>
      </c>
      <c r="AT351" s="473" t="str">
        <f t="shared" si="98"/>
        <v/>
      </c>
      <c r="AU351" s="473" t="str">
        <f t="shared" si="99"/>
        <v/>
      </c>
      <c r="AZ351" s="14" t="s">
        <v>7</v>
      </c>
      <c r="BA351" s="34" t="s">
        <v>473</v>
      </c>
      <c r="BB351" s="499"/>
      <c r="BC351" s="271"/>
      <c r="BD351" s="279">
        <v>1</v>
      </c>
      <c r="BE351" s="271"/>
      <c r="BF351" s="271"/>
      <c r="BG351" s="271"/>
      <c r="BH351" s="271"/>
      <c r="BI351" s="271"/>
      <c r="BJ351" s="271"/>
      <c r="BK351" s="271"/>
      <c r="BL351" s="271"/>
    </row>
    <row r="352" spans="18:64" ht="21" customHeight="1" x14ac:dyDescent="0.25">
      <c r="R352" s="34" t="s">
        <v>470</v>
      </c>
      <c r="S352" s="451"/>
      <c r="T352" s="32" t="s">
        <v>8135</v>
      </c>
      <c r="V352" s="475">
        <v>8</v>
      </c>
      <c r="W352" s="475" t="str">
        <f>IF($AC$352="","",$W$324)</f>
        <v/>
      </c>
      <c r="X352" s="476" t="str">
        <f>IF($AC$352="","",$X$324)</f>
        <v/>
      </c>
      <c r="Y352" s="477" t="str">
        <f>IF($X$352="","",$Y$324)</f>
        <v/>
      </c>
      <c r="Z352" s="477" t="str">
        <f>IF($X$352="","",$Z$324)</f>
        <v/>
      </c>
      <c r="AA352" s="477" t="str">
        <f>IF($AC$352="","",ROW($A$352)-ROW($A$324))</f>
        <v/>
      </c>
      <c r="AB352" s="478"/>
      <c r="AC352" s="34"/>
      <c r="AD352" s="356"/>
      <c r="AE352" s="479"/>
      <c r="AF352" s="475"/>
      <c r="AG352" s="480" t="str">
        <f t="shared" si="88"/>
        <v/>
      </c>
      <c r="AH352" s="481" t="str">
        <f t="shared" si="89"/>
        <v/>
      </c>
      <c r="AI352" s="477" t="str">
        <f>IF($AC$352="","",IFERROR(INDEX($AZ$74:$AZ$119,MATCH($AH$352,$AY$74:$AY$119,0)),"AUTRE"))</f>
        <v/>
      </c>
      <c r="AJ352" s="482" t="str">
        <f>IF($AC$352="","",IFERROR(INDEX($BA$74:$BA$119,MATCH($AH$352,$AY$74:$AY$119,0)),1))</f>
        <v/>
      </c>
      <c r="AK352" s="482" t="str">
        <f t="shared" si="90"/>
        <v/>
      </c>
      <c r="AL352" s="477" t="str">
        <f>IF($AC$352="","",IFERROR(INDEX($BB$74:$BB$119,MATCH($AH$352,$AY$74:$AY$119,0)),$AH$352))</f>
        <v/>
      </c>
      <c r="AM352" s="483" t="str">
        <f t="shared" si="91"/>
        <v/>
      </c>
      <c r="AN352" s="484" t="str">
        <f t="shared" si="92"/>
        <v/>
      </c>
      <c r="AO352" s="473" t="str">
        <f t="shared" si="93"/>
        <v/>
      </c>
      <c r="AP352" s="473" t="str">
        <f t="shared" si="94"/>
        <v/>
      </c>
      <c r="AQ352" s="473" t="str">
        <f t="shared" si="95"/>
        <v/>
      </c>
      <c r="AR352" s="473" t="str">
        <f t="shared" si="96"/>
        <v/>
      </c>
      <c r="AS352" s="473" t="str">
        <f t="shared" si="97"/>
        <v/>
      </c>
      <c r="AT352" s="473" t="str">
        <f t="shared" si="98"/>
        <v/>
      </c>
      <c r="AU352" s="473" t="str">
        <f t="shared" si="99"/>
        <v/>
      </c>
      <c r="AY352" s="271"/>
      <c r="AZ352" s="27" t="s">
        <v>8</v>
      </c>
      <c r="BA352" s="34" t="s">
        <v>497</v>
      </c>
      <c r="BB352" s="499"/>
      <c r="BC352" s="271"/>
      <c r="BD352" s="279">
        <v>1</v>
      </c>
      <c r="BE352" s="271"/>
      <c r="BF352" s="271"/>
      <c r="BG352" s="271"/>
      <c r="BH352" s="271"/>
      <c r="BI352" s="271"/>
      <c r="BJ352" s="271"/>
      <c r="BK352" s="271"/>
      <c r="BL352" s="271"/>
    </row>
    <row r="353" spans="18:64" ht="21" customHeight="1" x14ac:dyDescent="0.25">
      <c r="R353" s="34" t="s">
        <v>477</v>
      </c>
      <c r="S353" s="451"/>
      <c r="T353" s="497" t="s">
        <v>462</v>
      </c>
      <c r="V353" s="475">
        <v>8</v>
      </c>
      <c r="W353" s="475" t="str">
        <f>IF($AC$353="","",$W$324)</f>
        <v/>
      </c>
      <c r="X353" s="476" t="str">
        <f>IF($AC$353="","",$X$324)</f>
        <v/>
      </c>
      <c r="Y353" s="477" t="str">
        <f>IF($X$353="","",$Y$324)</f>
        <v/>
      </c>
      <c r="Z353" s="477" t="str">
        <f>IF($X$353="","",$Z$324)</f>
        <v/>
      </c>
      <c r="AA353" s="477" t="str">
        <f>IF($AC$353="","",ROW($A$353)-ROW($A$324))</f>
        <v/>
      </c>
      <c r="AB353" s="478"/>
      <c r="AC353" s="34"/>
      <c r="AD353" s="356"/>
      <c r="AE353" s="479"/>
      <c r="AF353" s="475"/>
      <c r="AG353" s="480" t="str">
        <f t="shared" si="88"/>
        <v/>
      </c>
      <c r="AH353" s="481" t="str">
        <f t="shared" si="89"/>
        <v/>
      </c>
      <c r="AI353" s="477" t="str">
        <f>IF($AC$353="","",IFERROR(INDEX($AZ$74:$AZ$119,MATCH($AH$353,$AY$74:$AY$119,0)),"AUTRE"))</f>
        <v/>
      </c>
      <c r="AJ353" s="482" t="str">
        <f>IF($AC$353="","",IFERROR(INDEX($BA$74:$BA$119,MATCH($AH$353,$AY$74:$AY$119,0)),1))</f>
        <v/>
      </c>
      <c r="AK353" s="482" t="str">
        <f t="shared" si="90"/>
        <v/>
      </c>
      <c r="AL353" s="477" t="str">
        <f>IF($AC$353="","",IFERROR(INDEX($BB$74:$BB$119,MATCH($AH$353,$AY$74:$AY$119,0)),$AH$353))</f>
        <v/>
      </c>
      <c r="AM353" s="483" t="str">
        <f t="shared" si="91"/>
        <v/>
      </c>
      <c r="AN353" s="484" t="str">
        <f t="shared" si="92"/>
        <v/>
      </c>
      <c r="AO353" s="473" t="str">
        <f t="shared" si="93"/>
        <v/>
      </c>
      <c r="AP353" s="473" t="str">
        <f t="shared" si="94"/>
        <v/>
      </c>
      <c r="AQ353" s="473" t="str">
        <f t="shared" si="95"/>
        <v/>
      </c>
      <c r="AR353" s="473" t="str">
        <f t="shared" si="96"/>
        <v/>
      </c>
      <c r="AS353" s="473" t="str">
        <f t="shared" si="97"/>
        <v/>
      </c>
      <c r="AT353" s="473" t="str">
        <f t="shared" si="98"/>
        <v/>
      </c>
      <c r="AU353" s="473" t="str">
        <f t="shared" si="99"/>
        <v/>
      </c>
      <c r="AY353" s="497" t="s">
        <v>8145</v>
      </c>
      <c r="AZ353" s="28" t="s">
        <v>13</v>
      </c>
      <c r="BA353" s="34" t="s">
        <v>470</v>
      </c>
      <c r="BB353" s="499"/>
      <c r="BC353" s="271"/>
      <c r="BD353" s="279">
        <v>1</v>
      </c>
      <c r="BE353" s="271"/>
      <c r="BF353" s="271"/>
      <c r="BG353" s="271"/>
      <c r="BH353" s="271"/>
      <c r="BI353" s="271"/>
      <c r="BJ353" s="271"/>
      <c r="BK353" s="271"/>
      <c r="BL353" s="271"/>
    </row>
    <row r="354" spans="18:64" ht="21" customHeight="1" x14ac:dyDescent="0.25">
      <c r="S354" s="451"/>
      <c r="T354" s="497" t="s">
        <v>463</v>
      </c>
      <c r="V354" s="475">
        <v>8</v>
      </c>
      <c r="W354" s="475" t="str">
        <f>IF($AC$354="","",$W$324)</f>
        <v/>
      </c>
      <c r="X354" s="476" t="str">
        <f>IF($AC$354="","",$X$324)</f>
        <v/>
      </c>
      <c r="Y354" s="477" t="str">
        <f>IF($X$354="","",$Y$324)</f>
        <v/>
      </c>
      <c r="Z354" s="477" t="str">
        <f>IF($X$354="","",$Z$324)</f>
        <v/>
      </c>
      <c r="AA354" s="477" t="str">
        <f>IF($AC$354="","",ROW($A$354)-ROW($A$324))</f>
        <v/>
      </c>
      <c r="AB354" s="478"/>
      <c r="AC354" s="34"/>
      <c r="AD354" s="356"/>
      <c r="AE354" s="479"/>
      <c r="AF354" s="475"/>
      <c r="AG354" s="480" t="str">
        <f t="shared" si="88"/>
        <v/>
      </c>
      <c r="AH354" s="481" t="str">
        <f t="shared" si="89"/>
        <v/>
      </c>
      <c r="AI354" s="477" t="str">
        <f>IF($AC$354="","",IFERROR(INDEX($AZ$74:$AZ$119,MATCH($AH$354,$AY$74:$AY$119,0)),"AUTRE"))</f>
        <v/>
      </c>
      <c r="AJ354" s="482" t="str">
        <f>IF($AC$354="","",IFERROR(INDEX($BA$74:$BA$119,MATCH($AH$354,$AY$74:$AY$119,0)),1))</f>
        <v/>
      </c>
      <c r="AK354" s="482" t="str">
        <f t="shared" si="90"/>
        <v/>
      </c>
      <c r="AL354" s="477" t="str">
        <f>IF($AC$354="","",IFERROR(INDEX($BB$74:$BB$119,MATCH($AH$354,$AY$74:$AY$119,0)),$AH$354))</f>
        <v/>
      </c>
      <c r="AM354" s="483" t="str">
        <f t="shared" si="91"/>
        <v/>
      </c>
      <c r="AN354" s="484" t="str">
        <f t="shared" si="92"/>
        <v/>
      </c>
      <c r="AO354" s="473" t="str">
        <f t="shared" si="93"/>
        <v/>
      </c>
      <c r="AP354" s="473" t="str">
        <f t="shared" si="94"/>
        <v/>
      </c>
      <c r="AQ354" s="473" t="str">
        <f t="shared" si="95"/>
        <v/>
      </c>
      <c r="AR354" s="473" t="str">
        <f t="shared" si="96"/>
        <v/>
      </c>
      <c r="AS354" s="473" t="str">
        <f t="shared" si="97"/>
        <v/>
      </c>
      <c r="AT354" s="473" t="str">
        <f t="shared" si="98"/>
        <v/>
      </c>
      <c r="AU354" s="473" t="str">
        <f t="shared" si="99"/>
        <v/>
      </c>
      <c r="AY354" s="497" t="s">
        <v>462</v>
      </c>
      <c r="AZ354" s="28" t="s">
        <v>14</v>
      </c>
      <c r="BA354" s="34" t="s">
        <v>477</v>
      </c>
      <c r="BB354" s="499"/>
      <c r="BC354" s="271"/>
      <c r="BD354" s="279">
        <v>1</v>
      </c>
      <c r="BE354" s="271"/>
      <c r="BF354" s="271"/>
      <c r="BG354" s="271"/>
      <c r="BH354" s="271"/>
      <c r="BI354" s="271"/>
      <c r="BJ354" s="271"/>
      <c r="BK354" s="271"/>
      <c r="BL354" s="271"/>
    </row>
    <row r="355" spans="18:64" ht="21" customHeight="1" x14ac:dyDescent="0.25">
      <c r="R355" s="25" t="s">
        <v>6134</v>
      </c>
      <c r="S355" s="451"/>
      <c r="T355" s="497" t="s">
        <v>8147</v>
      </c>
      <c r="V355" s="475">
        <v>8</v>
      </c>
      <c r="W355" s="475" t="str">
        <f>IF($AC$355="","",$W$324)</f>
        <v/>
      </c>
      <c r="X355" s="476" t="str">
        <f>IF($AC$355="","",$X$324)</f>
        <v/>
      </c>
      <c r="Y355" s="477" t="str">
        <f>IF($X$355="","",$Y$324)</f>
        <v/>
      </c>
      <c r="Z355" s="477" t="str">
        <f>IF($X$355="","",$Z$324)</f>
        <v/>
      </c>
      <c r="AA355" s="477" t="str">
        <f>IF($AC$355="","",ROW($A$355)-ROW($A$324))</f>
        <v/>
      </c>
      <c r="AB355" s="478"/>
      <c r="AC355" s="34"/>
      <c r="AD355" s="356"/>
      <c r="AE355" s="479"/>
      <c r="AF355" s="475"/>
      <c r="AG355" s="480" t="str">
        <f t="shared" si="88"/>
        <v/>
      </c>
      <c r="AH355" s="481" t="str">
        <f t="shared" si="89"/>
        <v/>
      </c>
      <c r="AI355" s="477" t="str">
        <f>IF($AC$355="","",IFERROR(INDEX($AZ$74:$AZ$119,MATCH($AH$355,$AY$74:$AY$119,0)),"AUTRE"))</f>
        <v/>
      </c>
      <c r="AJ355" s="482" t="str">
        <f>IF($AC$355="","",IFERROR(INDEX($BA$74:$BA$119,MATCH($AH$355,$AY$74:$AY$119,0)),1))</f>
        <v/>
      </c>
      <c r="AK355" s="482" t="str">
        <f t="shared" si="90"/>
        <v/>
      </c>
      <c r="AL355" s="477" t="str">
        <f>IF($AC$355="","",IFERROR(INDEX($BB$74:$BB$119,MATCH($AH$355,$AY$74:$AY$119,0)),$AH$355))</f>
        <v/>
      </c>
      <c r="AM355" s="483" t="str">
        <f t="shared" si="91"/>
        <v/>
      </c>
      <c r="AN355" s="484" t="str">
        <f t="shared" si="92"/>
        <v/>
      </c>
      <c r="AO355" s="473" t="str">
        <f t="shared" si="93"/>
        <v/>
      </c>
      <c r="AP355" s="473" t="str">
        <f t="shared" si="94"/>
        <v/>
      </c>
      <c r="AQ355" s="473" t="str">
        <f t="shared" si="95"/>
        <v/>
      </c>
      <c r="AR355" s="473" t="str">
        <f t="shared" si="96"/>
        <v/>
      </c>
      <c r="AS355" s="473" t="str">
        <f t="shared" si="97"/>
        <v/>
      </c>
      <c r="AT355" s="473" t="str">
        <f t="shared" si="98"/>
        <v/>
      </c>
      <c r="AU355" s="473" t="str">
        <f t="shared" si="99"/>
        <v/>
      </c>
      <c r="AY355" s="497" t="s">
        <v>463</v>
      </c>
      <c r="AZ355" s="28" t="s">
        <v>15</v>
      </c>
      <c r="BB355" s="499"/>
      <c r="BC355" s="271"/>
      <c r="BD355" s="279">
        <v>1</v>
      </c>
      <c r="BE355" s="271"/>
      <c r="BF355" s="271"/>
      <c r="BG355" s="271"/>
      <c r="BH355" s="271"/>
      <c r="BI355" s="271"/>
      <c r="BJ355" s="271"/>
      <c r="BK355" s="271"/>
      <c r="BL355" s="271"/>
    </row>
    <row r="356" spans="18:64" ht="21" customHeight="1" x14ac:dyDescent="0.25">
      <c r="R356" s="34" t="s">
        <v>481</v>
      </c>
      <c r="S356" s="451"/>
      <c r="T356" s="497" t="s">
        <v>465</v>
      </c>
      <c r="V356" s="475">
        <v>8</v>
      </c>
      <c r="W356" s="475" t="str">
        <f>IF($AC$356="","",$W$324)</f>
        <v/>
      </c>
      <c r="X356" s="476" t="str">
        <f>IF($AC$356="","",$X$324)</f>
        <v/>
      </c>
      <c r="Y356" s="477" t="str">
        <f>IF($X$356="","",$Y$324)</f>
        <v/>
      </c>
      <c r="Z356" s="477" t="str">
        <f>IF($X$356="","",$Z$324)</f>
        <v/>
      </c>
      <c r="AA356" s="477" t="str">
        <f>IF($AC$356="","",ROW($A$356)-ROW($A$324))</f>
        <v/>
      </c>
      <c r="AB356" s="478"/>
      <c r="AC356" s="34"/>
      <c r="AD356" s="356"/>
      <c r="AE356" s="479"/>
      <c r="AF356" s="475"/>
      <c r="AG356" s="480" t="str">
        <f t="shared" si="88"/>
        <v/>
      </c>
      <c r="AH356" s="481" t="str">
        <f t="shared" si="89"/>
        <v/>
      </c>
      <c r="AI356" s="477" t="str">
        <f>IF($AC$356="","",IFERROR(INDEX($AZ$74:$AZ$119,MATCH($AH$356,$AY$74:$AY$119,0)),"AUTRE"))</f>
        <v/>
      </c>
      <c r="AJ356" s="482" t="str">
        <f>IF($AC$356="","",IFERROR(INDEX($BA$74:$BA$119,MATCH($AH$356,$AY$74:$AY$119,0)),1))</f>
        <v/>
      </c>
      <c r="AK356" s="482" t="str">
        <f t="shared" si="90"/>
        <v/>
      </c>
      <c r="AL356" s="477" t="str">
        <f>IF($AC$356="","",IFERROR(INDEX($BB$74:$BB$119,MATCH($AH$356,$AY$74:$AY$119,0)),$AH$356))</f>
        <v/>
      </c>
      <c r="AM356" s="483" t="str">
        <f t="shared" si="91"/>
        <v/>
      </c>
      <c r="AN356" s="484" t="str">
        <f t="shared" si="92"/>
        <v/>
      </c>
      <c r="AO356" s="473" t="str">
        <f t="shared" si="93"/>
        <v/>
      </c>
      <c r="AP356" s="473" t="str">
        <f t="shared" si="94"/>
        <v/>
      </c>
      <c r="AQ356" s="473" t="str">
        <f t="shared" si="95"/>
        <v/>
      </c>
      <c r="AR356" s="473" t="str">
        <f t="shared" si="96"/>
        <v/>
      </c>
      <c r="AS356" s="473" t="str">
        <f t="shared" si="97"/>
        <v/>
      </c>
      <c r="AT356" s="473" t="str">
        <f t="shared" si="98"/>
        <v/>
      </c>
      <c r="AU356" s="473" t="str">
        <f t="shared" si="99"/>
        <v/>
      </c>
      <c r="AY356" s="497" t="s">
        <v>8147</v>
      </c>
      <c r="AZ356" s="29" t="s">
        <v>9</v>
      </c>
      <c r="BA356" s="25" t="s">
        <v>6134</v>
      </c>
      <c r="BB356" s="499"/>
      <c r="BC356" s="271"/>
      <c r="BD356" s="279">
        <v>1</v>
      </c>
      <c r="BE356" s="271"/>
      <c r="BF356" s="271"/>
      <c r="BG356" s="271"/>
      <c r="BH356" s="271"/>
      <c r="BI356" s="271"/>
      <c r="BJ356" s="271"/>
      <c r="BK356" s="271"/>
      <c r="BL356" s="271"/>
    </row>
    <row r="357" spans="18:64" ht="21" customHeight="1" x14ac:dyDescent="0.25">
      <c r="R357" s="34" t="s">
        <v>475</v>
      </c>
      <c r="S357" s="451"/>
      <c r="T357" s="497" t="s">
        <v>466</v>
      </c>
      <c r="V357" s="475">
        <v>8</v>
      </c>
      <c r="W357" s="475" t="str">
        <f>IF($AC$357="","",$W$324)</f>
        <v/>
      </c>
      <c r="X357" s="476" t="str">
        <f>IF($AC$357="","",$X$324)</f>
        <v/>
      </c>
      <c r="Y357" s="477" t="str">
        <f>IF($X$357="","",$Y$324)</f>
        <v/>
      </c>
      <c r="Z357" s="477" t="str">
        <f>IF($X$357="","",$Z$324)</f>
        <v/>
      </c>
      <c r="AA357" s="477" t="str">
        <f>IF($AC$357="","",ROW($A$357)-ROW($A$324))</f>
        <v/>
      </c>
      <c r="AB357" s="478"/>
      <c r="AC357" s="34"/>
      <c r="AD357" s="356"/>
      <c r="AE357" s="479"/>
      <c r="AF357" s="475"/>
      <c r="AG357" s="480" t="str">
        <f t="shared" si="88"/>
        <v/>
      </c>
      <c r="AH357" s="481" t="str">
        <f t="shared" si="89"/>
        <v/>
      </c>
      <c r="AI357" s="477" t="str">
        <f>IF($AC$357="","",IFERROR(INDEX($AZ$74:$AZ$119,MATCH($AH$357,$AY$74:$AY$119,0)),"AUTRE"))</f>
        <v/>
      </c>
      <c r="AJ357" s="482" t="str">
        <f>IF($AC$357="","",IFERROR(INDEX($BA$74:$BA$119,MATCH($AH$357,$AY$74:$AY$119,0)),1))</f>
        <v/>
      </c>
      <c r="AK357" s="482" t="str">
        <f t="shared" si="90"/>
        <v/>
      </c>
      <c r="AL357" s="477" t="str">
        <f>IF($AC$357="","",IFERROR(INDEX($BB$74:$BB$119,MATCH($AH$357,$AY$74:$AY$119,0)),$AH$357))</f>
        <v/>
      </c>
      <c r="AM357" s="483" t="str">
        <f t="shared" si="91"/>
        <v/>
      </c>
      <c r="AN357" s="484" t="str">
        <f t="shared" si="92"/>
        <v/>
      </c>
      <c r="AO357" s="473" t="str">
        <f t="shared" si="93"/>
        <v/>
      </c>
      <c r="AP357" s="473" t="str">
        <f t="shared" si="94"/>
        <v/>
      </c>
      <c r="AQ357" s="473" t="str">
        <f t="shared" si="95"/>
        <v/>
      </c>
      <c r="AR357" s="473" t="str">
        <f t="shared" si="96"/>
        <v/>
      </c>
      <c r="AS357" s="473" t="str">
        <f t="shared" si="97"/>
        <v/>
      </c>
      <c r="AT357" s="473" t="str">
        <f t="shared" si="98"/>
        <v/>
      </c>
      <c r="AU357" s="473" t="str">
        <f t="shared" si="99"/>
        <v/>
      </c>
      <c r="AY357" s="497" t="s">
        <v>465</v>
      </c>
      <c r="AZ357" s="30" t="s">
        <v>10</v>
      </c>
      <c r="BA357" s="34" t="s">
        <v>481</v>
      </c>
      <c r="BB357" s="499"/>
      <c r="BC357" s="271"/>
      <c r="BD357" s="279">
        <v>1</v>
      </c>
      <c r="BE357" s="271"/>
      <c r="BF357" s="271"/>
      <c r="BG357" s="271"/>
      <c r="BH357" s="271"/>
      <c r="BI357" s="271"/>
      <c r="BJ357" s="271"/>
      <c r="BK357" s="271"/>
      <c r="BL357" s="271"/>
    </row>
    <row r="358" spans="18:64" ht="21" customHeight="1" x14ac:dyDescent="0.25">
      <c r="R358" s="34" t="s">
        <v>457</v>
      </c>
      <c r="S358" s="451"/>
      <c r="T358" s="440" t="s">
        <v>8110</v>
      </c>
      <c r="V358" s="475">
        <v>8</v>
      </c>
      <c r="W358" s="475" t="str">
        <f>IF($AC$358="","",$W$324)</f>
        <v/>
      </c>
      <c r="X358" s="476" t="str">
        <f>IF($AC$358="","",$X$324)</f>
        <v/>
      </c>
      <c r="Y358" s="477" t="str">
        <f>IF($X$358="","",$Y$324)</f>
        <v/>
      </c>
      <c r="Z358" s="477" t="str">
        <f>IF($X$358="","",$Z$324)</f>
        <v/>
      </c>
      <c r="AA358" s="477" t="str">
        <f>IF($AC$358="","",ROW($A$358)-ROW($A$324))</f>
        <v/>
      </c>
      <c r="AB358" s="478"/>
      <c r="AC358" s="34"/>
      <c r="AD358" s="356"/>
      <c r="AE358" s="479"/>
      <c r="AF358" s="475"/>
      <c r="AG358" s="491" t="str">
        <f t="shared" si="88"/>
        <v/>
      </c>
      <c r="AH358" s="481" t="str">
        <f t="shared" si="89"/>
        <v/>
      </c>
      <c r="AI358" s="477" t="str">
        <f>IF($AC$358="","",IFERROR(INDEX($AZ$74:$AZ$119,MATCH($AH$358,$AY$74:$AY$119,0)),"AUTRE"))</f>
        <v/>
      </c>
      <c r="AJ358" s="482" t="str">
        <f>IF($AC$358="","",IFERROR(INDEX($BA$74:$BA$119,MATCH($AH$358,$AY$74:$AY$119,0)),1))</f>
        <v/>
      </c>
      <c r="AK358" s="482" t="str">
        <f t="shared" si="90"/>
        <v/>
      </c>
      <c r="AL358" s="477" t="str">
        <f>IF($AC$358="","",IFERROR(INDEX($BB$74:$BB$119,MATCH($AH$358,$AY$74:$AY$119,0)),$AH$358))</f>
        <v/>
      </c>
      <c r="AM358" s="483" t="str">
        <f t="shared" si="91"/>
        <v/>
      </c>
      <c r="AN358" s="484" t="str">
        <f t="shared" si="92"/>
        <v/>
      </c>
      <c r="AO358" s="473" t="str">
        <f t="shared" si="93"/>
        <v/>
      </c>
      <c r="AP358" s="473" t="str">
        <f t="shared" si="94"/>
        <v/>
      </c>
      <c r="AQ358" s="473" t="str">
        <f t="shared" si="95"/>
        <v/>
      </c>
      <c r="AR358" s="473" t="str">
        <f t="shared" si="96"/>
        <v/>
      </c>
      <c r="AS358" s="473" t="str">
        <f t="shared" si="97"/>
        <v/>
      </c>
      <c r="AT358" s="473" t="str">
        <f t="shared" si="98"/>
        <v/>
      </c>
      <c r="AU358" s="473" t="str">
        <f t="shared" si="99"/>
        <v/>
      </c>
      <c r="AY358" s="497" t="s">
        <v>466</v>
      </c>
      <c r="AZ358" s="30" t="s">
        <v>11</v>
      </c>
      <c r="BA358" s="34" t="s">
        <v>475</v>
      </c>
      <c r="BB358" s="499"/>
      <c r="BC358" s="271"/>
      <c r="BD358" s="279">
        <v>1</v>
      </c>
      <c r="BE358" s="271"/>
      <c r="BF358" s="271"/>
      <c r="BG358" s="271"/>
      <c r="BH358" s="271"/>
      <c r="BI358" s="271"/>
      <c r="BJ358" s="271"/>
      <c r="BK358" s="271"/>
      <c r="BL358" s="271"/>
    </row>
    <row r="359" spans="18:64" ht="30" customHeight="1" x14ac:dyDescent="0.25">
      <c r="R359" s="34" t="s">
        <v>482</v>
      </c>
      <c r="S359" s="451"/>
      <c r="T359" s="452" t="s">
        <v>8113</v>
      </c>
      <c r="V359" s="453" t="s">
        <v>324</v>
      </c>
      <c r="W359" s="453" t="s">
        <v>7912</v>
      </c>
      <c r="X359" s="453" t="s">
        <v>326</v>
      </c>
      <c r="Y359" s="453" t="s">
        <v>327</v>
      </c>
      <c r="Z359" s="454" t="s">
        <v>7930</v>
      </c>
      <c r="AA359" s="453" t="s">
        <v>7937</v>
      </c>
      <c r="AB359" s="455" t="s">
        <v>39</v>
      </c>
      <c r="AC359" s="455" t="s">
        <v>338</v>
      </c>
      <c r="AD359" s="455" t="s">
        <v>8114</v>
      </c>
      <c r="AE359" s="455" t="s">
        <v>339</v>
      </c>
      <c r="AF359" s="455" t="s">
        <v>7997</v>
      </c>
      <c r="AG359" s="453" t="s">
        <v>8018</v>
      </c>
      <c r="AH359" s="453" t="s">
        <v>8023</v>
      </c>
      <c r="AI359" s="453" t="s">
        <v>330</v>
      </c>
      <c r="AJ359" s="453" t="s">
        <v>8031</v>
      </c>
      <c r="AK359" s="453" t="s">
        <v>8037</v>
      </c>
      <c r="AL359" s="453" t="s">
        <v>8041</v>
      </c>
      <c r="AM359" s="453" t="s">
        <v>343</v>
      </c>
      <c r="AN359" s="457" t="s">
        <v>8115</v>
      </c>
      <c r="AO359" s="457" t="s">
        <v>8116</v>
      </c>
      <c r="AP359" s="656" t="s">
        <v>8117</v>
      </c>
      <c r="AQ359" s="656"/>
      <c r="AR359" s="656"/>
      <c r="AS359" s="656"/>
      <c r="AT359" s="656"/>
      <c r="AU359" s="657"/>
      <c r="AZ359" s="30" t="s">
        <v>12</v>
      </c>
      <c r="BA359" s="34" t="s">
        <v>457</v>
      </c>
      <c r="BB359" s="499"/>
      <c r="BC359" s="271"/>
      <c r="BD359" s="279">
        <v>1</v>
      </c>
      <c r="BE359" s="271"/>
      <c r="BF359" s="271"/>
      <c r="BG359" s="271"/>
      <c r="BH359" s="271"/>
      <c r="BI359" s="271"/>
      <c r="BJ359" s="271"/>
      <c r="BK359" s="271"/>
      <c r="BL359" s="271"/>
    </row>
    <row r="360" spans="18:64" ht="30" customHeight="1" x14ac:dyDescent="0.25">
      <c r="R360" s="34" t="s">
        <v>496</v>
      </c>
      <c r="S360" s="451"/>
      <c r="T360" s="14" t="s">
        <v>7</v>
      </c>
      <c r="V360" s="459">
        <v>9</v>
      </c>
      <c r="W360" s="460" t="s">
        <v>8159</v>
      </c>
      <c r="X360" s="461" t="s">
        <v>8162</v>
      </c>
      <c r="Y360" s="462"/>
      <c r="Z360" s="463">
        <v>100</v>
      </c>
      <c r="AA360" s="464">
        <f>IF($AC$396="","",ROW($A$396)-ROW($A$396))</f>
        <v>0</v>
      </c>
      <c r="AB360" s="461"/>
      <c r="AC360" s="465" t="s">
        <v>8163</v>
      </c>
      <c r="AD360" s="390"/>
      <c r="AE360" s="390"/>
      <c r="AF360" s="466"/>
      <c r="AG360" s="467" t="str">
        <f t="shared" ref="AG360:AG394" si="100">IF($AC360="","",IF(LEN($AN360&amp;"")=0,"",$AN360))</f>
        <v/>
      </c>
      <c r="AH360" s="468" t="str">
        <f t="shared" ref="AH360:AH394" si="101">IF($AC360="","",IF($AF360&lt;&gt;"",UPPER(TRIM(SUBSTITUTE(SUBSTITUTE($AF360&amp;"",CHAR(160)," ")," "," "))),$AP360))</f>
        <v/>
      </c>
      <c r="AI360" s="469" t="str">
        <f>IF($AC$360="","",IFERROR(INDEX($AZ$74:$AZ$119,MATCH($AH$360,$AY$74:$AY$119,0)),"AUTRE"))</f>
        <v>AUTRE</v>
      </c>
      <c r="AJ360" s="470">
        <f>IF($AC$360="","",IFERROR(INDEX($BA$74:$BA$119,MATCH($AH$360,$AY$74:$AY$119,0)),1))</f>
        <v>1</v>
      </c>
      <c r="AK360" s="470" t="str">
        <f t="shared" ref="AK360:AK394" si="102">IF(OR(AG360="",AJ360=""),"",AG360*AJ360)</f>
        <v/>
      </c>
      <c r="AL360" s="469" t="str">
        <f>IF($AC$360="","",IFERROR(INDEX($BB$74:$BB$119,MATCH($AH$360,$AY$74:$AY$119,0)),$AH$360))</f>
        <v/>
      </c>
      <c r="AM360" s="471" t="str">
        <f t="shared" ref="AM360:AM394" si="103">IF($AC360="","",IF($AH360="QT. SUFFISANTE","OK",IF($AG360="","TEXTE",IF(NOT(ISNUMBER($AG360)),"QUANTITÉ À CONTRÔLER",IF(COUNTIF($AY$74:$AY$119,$AH360)=0,"UNITÉ À CONTRÔLER","OK")))))</f>
        <v>TEXTE</v>
      </c>
      <c r="AN360" s="474" t="str">
        <f t="shared" ref="AN360:AN394" si="104">IF($AE360&lt;&gt;"",$AE360,IF($AD360="","",IF(ISNUMBER($AD360),$AD360,IF($AO360="QT",0,IF($AO360="","",IFERROR(IF(ISNUMBER(SEARCH("/",$AO360)),VALUE(TRIM(LEFT($AO360,SEARCH("/",$AO360)-1)))/VALUE(TRIM(MID($AO360,SEARCH("/",$AO360)+1,99))),VALUE(SUBSTITUTE($AO360,".",","))),""))))))</f>
        <v/>
      </c>
      <c r="AO360" s="473" t="str">
        <f t="shared" ref="AO360:AO394" si="105">IF($AD360="","",IF(ISNUMBER($AD360),$AD360,IF(OR(LEFT($AQ360,3)="QT.",LEFT($AQ360,4)="QUAN"),"QT",IF($AR360=999,$AQ360,TRIM(LEFT($AQ360,$AR360-1))))))</f>
        <v/>
      </c>
      <c r="AP360" s="473" t="str">
        <f t="shared" ref="AP360:AP394" si="106">IF($AD360="","",IF(ISNUMBER($AD360),"",IF(OR(LEFT($AQ360,3)="QT.",LEFT($AQ360,4)="QUAN"),"QT. SUFFISANTE",IF($AO360="","",TRIM(MID($AQ360,LEN($AO360&amp;"")+1,999))))))</f>
        <v/>
      </c>
      <c r="AQ360" s="473" t="str">
        <f t="shared" ref="AQ360:AQ394" si="107">IF($AD360="","",UPPER(TRIM(SUBSTITUTE(SUBSTITUTE($AD360&amp;"",CHAR(160)," ")," "," "))))</f>
        <v/>
      </c>
      <c r="AR360" s="473" t="str">
        <f t="shared" ref="AR360:AR394" si="108">IF($AQ360="","",MIN($AS360,$AT360,$AU360))</f>
        <v/>
      </c>
      <c r="AS360" s="473" t="str">
        <f t="shared" ref="AS360:AS394" si="109">IF($AQ360="","",MIN(IFERROR(SEARCH("A",$AQ360),999),IFERROR(SEARCH("B",$AQ360),999),IFERROR(SEARCH("C",$AQ360),999),IFERROR(SEARCH("D",$AQ360),999),IFERROR(SEARCH("E",$AQ360),999),IFERROR(SEARCH("F",$AQ360),999),IFERROR(SEARCH("G",$AQ360),999),IFERROR(SEARCH("H",$AQ360),999),IFERROR(SEARCH("I",$AQ360),999)))</f>
        <v/>
      </c>
      <c r="AT360" s="473" t="str">
        <f t="shared" ref="AT360:AT394" si="110">IF($AQ360="","",MIN(IFERROR(SEARCH("J",$AQ360),999),IFERROR(SEARCH("K",$AQ360),999),IFERROR(SEARCH("L",$AQ360),999),IFERROR(SEARCH("M",$AQ360),999),IFERROR(SEARCH("N",$AQ360),999),IFERROR(SEARCH("O",$AQ360),999),IFERROR(SEARCH("P",$AQ360),999),IFERROR(SEARCH("Q",$AQ360),999),IFERROR(SEARCH("R",$AQ360),999)))</f>
        <v/>
      </c>
      <c r="AU360" s="473" t="str">
        <f t="shared" ref="AU360:AU394" si="111">IF($AQ360="","",MIN(IFERROR(SEARCH("S",$AQ360),999),IFERROR(SEARCH("T",$AQ360),999),IFERROR(SEARCH("U",$AQ360),999),IFERROR(SEARCH("V",$AQ360),999),IFERROR(SEARCH("W",$AQ360),999),IFERROR(SEARCH("X",$AQ360),999),IFERROR(SEARCH("Y",$AQ360),999),IFERROR(SEARCH("Z",$AQ360),999)))</f>
        <v/>
      </c>
      <c r="AZ360" s="31" t="s">
        <v>16</v>
      </c>
      <c r="BA360" s="34" t="s">
        <v>482</v>
      </c>
      <c r="BB360" s="499"/>
      <c r="BC360" s="271"/>
      <c r="BD360" s="279">
        <v>1</v>
      </c>
      <c r="BE360" s="271"/>
      <c r="BF360" s="271"/>
      <c r="BG360" s="271"/>
      <c r="BH360" s="271"/>
      <c r="BI360" s="271"/>
      <c r="BJ360" s="271"/>
      <c r="BK360" s="271"/>
      <c r="BL360" s="271"/>
    </row>
    <row r="361" spans="18:64" ht="21" customHeight="1" x14ac:dyDescent="0.25">
      <c r="R361" s="34" t="s">
        <v>483</v>
      </c>
      <c r="S361" s="451"/>
      <c r="T361" s="27" t="s">
        <v>8</v>
      </c>
      <c r="V361" s="475">
        <f>$V$360</f>
        <v>9</v>
      </c>
      <c r="W361" s="475" t="str">
        <f>IF($AC$361="","",$W$360)</f>
        <v/>
      </c>
      <c r="X361" s="476" t="str">
        <f>IF($AC$361="","",$X$360)</f>
        <v/>
      </c>
      <c r="Y361" s="477" t="str">
        <f>IF($X$361="","",$Y$360)</f>
        <v/>
      </c>
      <c r="Z361" s="477" t="str">
        <f>IF($X$361="","",$Z$360)</f>
        <v/>
      </c>
      <c r="AA361" s="477" t="str">
        <f>IF($AC$361="","",ROW($A$361)-ROW($A$360))</f>
        <v/>
      </c>
      <c r="AB361" s="478"/>
      <c r="AC361" s="34"/>
      <c r="AD361" s="356"/>
      <c r="AE361" s="479"/>
      <c r="AF361" s="475"/>
      <c r="AG361" s="480" t="str">
        <f t="shared" si="100"/>
        <v/>
      </c>
      <c r="AH361" s="481" t="str">
        <f t="shared" si="101"/>
        <v/>
      </c>
      <c r="AI361" s="477" t="str">
        <f>IF($AC$361="","",IFERROR(INDEX($AZ$74:$AZ$119,MATCH($AH$361,$AY$74:$AY$119,0)),"AUTRE"))</f>
        <v/>
      </c>
      <c r="AJ361" s="482" t="str">
        <f>IF($AC$361="","",IFERROR(INDEX($BA$74:$BA$119,MATCH($AH$361,$AY$74:$AY$119,0)),1))</f>
        <v/>
      </c>
      <c r="AK361" s="482" t="str">
        <f t="shared" si="102"/>
        <v/>
      </c>
      <c r="AL361" s="477" t="str">
        <f>IF($AC$361="","",IFERROR(INDEX($BB$74:$BB$119,MATCH($AH$361,$AY$74:$AY$119,0)),$AH$361))</f>
        <v/>
      </c>
      <c r="AM361" s="483" t="str">
        <f t="shared" si="103"/>
        <v/>
      </c>
      <c r="AN361" s="484" t="str">
        <f t="shared" si="104"/>
        <v/>
      </c>
      <c r="AO361" s="473" t="str">
        <f t="shared" si="105"/>
        <v/>
      </c>
      <c r="AP361" s="473" t="str">
        <f t="shared" si="106"/>
        <v/>
      </c>
      <c r="AQ361" s="473" t="str">
        <f t="shared" si="107"/>
        <v/>
      </c>
      <c r="AR361" s="473" t="str">
        <f t="shared" si="108"/>
        <v/>
      </c>
      <c r="AS361" s="473" t="str">
        <f t="shared" si="109"/>
        <v/>
      </c>
      <c r="AT361" s="473" t="str">
        <f t="shared" si="110"/>
        <v/>
      </c>
      <c r="AU361" s="473" t="str">
        <f t="shared" si="111"/>
        <v/>
      </c>
      <c r="AZ361" s="31" t="s">
        <v>17</v>
      </c>
      <c r="BA361" s="34" t="s">
        <v>496</v>
      </c>
      <c r="BB361" s="499"/>
      <c r="BC361" s="271"/>
      <c r="BD361" s="279">
        <v>1</v>
      </c>
      <c r="BE361" s="271"/>
      <c r="BF361" s="271"/>
      <c r="BG361" s="271"/>
      <c r="BH361" s="271"/>
      <c r="BI361" s="271"/>
      <c r="BJ361" s="271"/>
      <c r="BK361" s="271"/>
      <c r="BL361" s="271"/>
    </row>
    <row r="362" spans="18:64" ht="21" customHeight="1" x14ac:dyDescent="0.25">
      <c r="R362" s="34" t="s">
        <v>493</v>
      </c>
      <c r="S362" s="451"/>
      <c r="T362" s="28" t="s">
        <v>13</v>
      </c>
      <c r="V362" s="475">
        <v>9</v>
      </c>
      <c r="W362" s="475" t="str">
        <f>IF($AC$362="","",$W$360)</f>
        <v/>
      </c>
      <c r="X362" s="476" t="str">
        <f>IF($AC$362="","",$X$360)</f>
        <v/>
      </c>
      <c r="Y362" s="477" t="str">
        <f>IF($X$362="","",$Y$360)</f>
        <v/>
      </c>
      <c r="Z362" s="477" t="str">
        <f>IF($X$362="","",$Z$360)</f>
        <v/>
      </c>
      <c r="AA362" s="477" t="str">
        <f>IF($AC$362="","",ROW($A$362)-ROW($A$360))</f>
        <v/>
      </c>
      <c r="AB362" s="478"/>
      <c r="AC362" s="34"/>
      <c r="AD362" s="356"/>
      <c r="AE362" s="479"/>
      <c r="AF362" s="475"/>
      <c r="AG362" s="480" t="str">
        <f t="shared" si="100"/>
        <v/>
      </c>
      <c r="AH362" s="481" t="str">
        <f t="shared" si="101"/>
        <v/>
      </c>
      <c r="AI362" s="477" t="str">
        <f>IF($AC$362="","",IFERROR(INDEX($AZ$74:$AZ$119,MATCH($AH$362,$AY$74:$AY$119,0)),"AUTRE"))</f>
        <v/>
      </c>
      <c r="AJ362" s="482" t="str">
        <f>IF($AC$362="","",IFERROR(INDEX($BA$74:$BA$119,MATCH($AH$362,$AY$74:$AY$119,0)),1))</f>
        <v/>
      </c>
      <c r="AK362" s="482" t="str">
        <f t="shared" si="102"/>
        <v/>
      </c>
      <c r="AL362" s="477" t="str">
        <f>IF($AC$362="","",IFERROR(INDEX($BB$74:$BB$119,MATCH($AH$362,$AY$74:$AY$119,0)),$AH$362))</f>
        <v/>
      </c>
      <c r="AM362" s="483" t="str">
        <f t="shared" si="103"/>
        <v/>
      </c>
      <c r="AN362" s="484" t="str">
        <f t="shared" si="104"/>
        <v/>
      </c>
      <c r="AO362" s="473" t="str">
        <f t="shared" si="105"/>
        <v/>
      </c>
      <c r="AP362" s="473" t="str">
        <f t="shared" si="106"/>
        <v/>
      </c>
      <c r="AQ362" s="473" t="str">
        <f t="shared" si="107"/>
        <v/>
      </c>
      <c r="AR362" s="473" t="str">
        <f t="shared" si="108"/>
        <v/>
      </c>
      <c r="AS362" s="473" t="str">
        <f t="shared" si="109"/>
        <v/>
      </c>
      <c r="AT362" s="473" t="str">
        <f t="shared" si="110"/>
        <v/>
      </c>
      <c r="AU362" s="473" t="str">
        <f t="shared" si="111"/>
        <v/>
      </c>
      <c r="AZ362" s="31" t="s">
        <v>18</v>
      </c>
      <c r="BA362" s="34" t="s">
        <v>483</v>
      </c>
      <c r="BB362" s="499"/>
      <c r="BC362" s="271"/>
      <c r="BD362" s="279">
        <v>1</v>
      </c>
      <c r="BE362" s="271"/>
      <c r="BF362" s="271"/>
      <c r="BG362" s="271"/>
      <c r="BH362" s="271"/>
      <c r="BI362" s="271"/>
      <c r="BJ362" s="271"/>
      <c r="BK362" s="271"/>
      <c r="BL362" s="271"/>
    </row>
    <row r="363" spans="18:64" ht="21" customHeight="1" x14ac:dyDescent="0.25">
      <c r="R363" s="34" t="s">
        <v>494</v>
      </c>
      <c r="S363" s="451"/>
      <c r="T363" s="28" t="s">
        <v>14</v>
      </c>
      <c r="V363" s="475">
        <v>9</v>
      </c>
      <c r="W363" s="475" t="str">
        <f>IF($AC$363="","",$W$360)</f>
        <v/>
      </c>
      <c r="X363" s="476" t="str">
        <f>IF($AC$363="","",$X$360)</f>
        <v/>
      </c>
      <c r="Y363" s="477" t="str">
        <f>IF($X$363="","",$Y$360)</f>
        <v/>
      </c>
      <c r="Z363" s="477" t="str">
        <f>IF($X$363="","",$Z$360)</f>
        <v/>
      </c>
      <c r="AA363" s="477" t="str">
        <f>IF($AC$363="","",ROW($A$363)-ROW($A$360))</f>
        <v/>
      </c>
      <c r="AB363" s="478"/>
      <c r="AC363" s="34"/>
      <c r="AD363" s="356"/>
      <c r="AE363" s="479"/>
      <c r="AF363" s="475"/>
      <c r="AG363" s="480" t="str">
        <f t="shared" si="100"/>
        <v/>
      </c>
      <c r="AH363" s="481" t="str">
        <f t="shared" si="101"/>
        <v/>
      </c>
      <c r="AI363" s="477" t="str">
        <f>IF($AC$363="","",IFERROR(INDEX($AZ$74:$AZ$119,MATCH($AH$363,$AY$74:$AY$119,0)),"AUTRE"))</f>
        <v/>
      </c>
      <c r="AJ363" s="482" t="str">
        <f>IF($AC$363="","",IFERROR(INDEX($BA$74:$BA$119,MATCH($AH$363,$AY$74:$AY$119,0)),1))</f>
        <v/>
      </c>
      <c r="AK363" s="482" t="str">
        <f t="shared" si="102"/>
        <v/>
      </c>
      <c r="AL363" s="477" t="str">
        <f>IF($AC$363="","",IFERROR(INDEX($BB$74:$BB$119,MATCH($AH$363,$AY$74:$AY$119,0)),$AH$363))</f>
        <v/>
      </c>
      <c r="AM363" s="483" t="str">
        <f t="shared" si="103"/>
        <v/>
      </c>
      <c r="AN363" s="484" t="str">
        <f t="shared" si="104"/>
        <v/>
      </c>
      <c r="AO363" s="473" t="str">
        <f t="shared" si="105"/>
        <v/>
      </c>
      <c r="AP363" s="473" t="str">
        <f t="shared" si="106"/>
        <v/>
      </c>
      <c r="AQ363" s="473" t="str">
        <f t="shared" si="107"/>
        <v/>
      </c>
      <c r="AR363" s="473" t="str">
        <f t="shared" si="108"/>
        <v/>
      </c>
      <c r="AS363" s="473" t="str">
        <f t="shared" si="109"/>
        <v/>
      </c>
      <c r="AT363" s="473" t="str">
        <f t="shared" si="110"/>
        <v/>
      </c>
      <c r="AU363" s="473" t="str">
        <f t="shared" si="111"/>
        <v/>
      </c>
      <c r="AZ363" s="31" t="s">
        <v>19</v>
      </c>
      <c r="BA363" s="34" t="s">
        <v>493</v>
      </c>
      <c r="BB363" s="499"/>
      <c r="BC363" s="271"/>
      <c r="BD363" s="279">
        <v>1</v>
      </c>
      <c r="BE363" s="271"/>
      <c r="BF363" s="271"/>
      <c r="BG363" s="271"/>
      <c r="BH363" s="271"/>
      <c r="BI363" s="271"/>
      <c r="BJ363" s="271"/>
      <c r="BK363" s="271"/>
      <c r="BL363" s="271"/>
    </row>
    <row r="364" spans="18:64" ht="21" customHeight="1" x14ac:dyDescent="0.25">
      <c r="S364" s="451"/>
      <c r="T364" s="28" t="s">
        <v>15</v>
      </c>
      <c r="V364" s="475">
        <v>9</v>
      </c>
      <c r="W364" s="475" t="str">
        <f>IF($AC$364="","",$W$360)</f>
        <v/>
      </c>
      <c r="X364" s="476" t="str">
        <f>IF($AC$364="","",$X$360)</f>
        <v/>
      </c>
      <c r="Y364" s="477" t="str">
        <f>IF($X$364="","",$Y$360)</f>
        <v/>
      </c>
      <c r="Z364" s="477" t="str">
        <f>IF($X$364="","",$Z$360)</f>
        <v/>
      </c>
      <c r="AA364" s="477" t="str">
        <f>IF($AC$364="","",ROW($A$364)-ROW($A$360))</f>
        <v/>
      </c>
      <c r="AB364" s="478"/>
      <c r="AC364" s="34"/>
      <c r="AD364" s="356"/>
      <c r="AE364" s="479"/>
      <c r="AF364" s="475"/>
      <c r="AG364" s="480" t="str">
        <f t="shared" si="100"/>
        <v/>
      </c>
      <c r="AH364" s="481" t="str">
        <f t="shared" si="101"/>
        <v/>
      </c>
      <c r="AI364" s="477" t="str">
        <f>IF($AC$364="","",IFERROR(INDEX($AZ$74:$AZ$119,MATCH($AH$364,$AY$74:$AY$119,0)),"AUTRE"))</f>
        <v/>
      </c>
      <c r="AJ364" s="482" t="str">
        <f>IF($AC$364="","",IFERROR(INDEX($BA$74:$BA$119,MATCH($AH$364,$AY$74:$AY$119,0)),1))</f>
        <v/>
      </c>
      <c r="AK364" s="482" t="str">
        <f t="shared" si="102"/>
        <v/>
      </c>
      <c r="AL364" s="477" t="str">
        <f>IF($AC$364="","",IFERROR(INDEX($BB$74:$BB$119,MATCH($AH$364,$AY$74:$AY$119,0)),$AH$364))</f>
        <v/>
      </c>
      <c r="AM364" s="483" t="str">
        <f t="shared" si="103"/>
        <v/>
      </c>
      <c r="AN364" s="484" t="str">
        <f t="shared" si="104"/>
        <v/>
      </c>
      <c r="AO364" s="473" t="str">
        <f t="shared" si="105"/>
        <v/>
      </c>
      <c r="AP364" s="473" t="str">
        <f t="shared" si="106"/>
        <v/>
      </c>
      <c r="AQ364" s="473" t="str">
        <f t="shared" si="107"/>
        <v/>
      </c>
      <c r="AR364" s="473" t="str">
        <f t="shared" si="108"/>
        <v/>
      </c>
      <c r="AS364" s="473" t="str">
        <f t="shared" si="109"/>
        <v/>
      </c>
      <c r="AT364" s="473" t="str">
        <f t="shared" si="110"/>
        <v/>
      </c>
      <c r="AU364" s="473" t="str">
        <f t="shared" si="111"/>
        <v/>
      </c>
      <c r="AZ364" s="31" t="s">
        <v>211</v>
      </c>
      <c r="BA364" s="34" t="s">
        <v>494</v>
      </c>
      <c r="BB364" s="499"/>
      <c r="BC364" s="271"/>
      <c r="BD364" s="279">
        <v>1</v>
      </c>
      <c r="BE364" s="271"/>
      <c r="BF364" s="271"/>
      <c r="BG364" s="271"/>
      <c r="BH364" s="271"/>
      <c r="BI364" s="271"/>
      <c r="BJ364" s="271"/>
      <c r="BK364" s="271"/>
      <c r="BL364" s="271"/>
    </row>
    <row r="365" spans="18:64" ht="21" customHeight="1" x14ac:dyDescent="0.25">
      <c r="R365" s="25" t="s">
        <v>6115</v>
      </c>
      <c r="S365" s="451"/>
      <c r="T365" s="28" t="s">
        <v>21</v>
      </c>
      <c r="V365" s="475">
        <v>9</v>
      </c>
      <c r="W365" s="475" t="str">
        <f>IF($AC$365="","",$W$360)</f>
        <v/>
      </c>
      <c r="X365" s="476" t="str">
        <f>IF($AC$365="","",$X$360)</f>
        <v/>
      </c>
      <c r="Y365" s="477" t="str">
        <f>IF($X$365="","",$Y$360)</f>
        <v/>
      </c>
      <c r="Z365" s="477" t="str">
        <f>IF($X$365="","",$Z$360)</f>
        <v/>
      </c>
      <c r="AA365" s="477" t="str">
        <f>IF($AC$365="","",ROW($A$365)-ROW($A$360))</f>
        <v/>
      </c>
      <c r="AB365" s="478"/>
      <c r="AC365" s="34"/>
      <c r="AD365" s="356"/>
      <c r="AE365" s="479"/>
      <c r="AF365" s="475"/>
      <c r="AG365" s="480" t="str">
        <f t="shared" si="100"/>
        <v/>
      </c>
      <c r="AH365" s="481" t="str">
        <f t="shared" si="101"/>
        <v/>
      </c>
      <c r="AI365" s="477" t="str">
        <f>IF($AC$365="","",IFERROR(INDEX($AZ$74:$AZ$119,MATCH($AH$365,$AY$74:$AY$119,0)),"AUTRE"))</f>
        <v/>
      </c>
      <c r="AJ365" s="482" t="str">
        <f>IF($AC$365="","",IFERROR(INDEX($BA$74:$BA$119,MATCH($AH$365,$AY$74:$AY$119,0)),1))</f>
        <v/>
      </c>
      <c r="AK365" s="482" t="str">
        <f t="shared" si="102"/>
        <v/>
      </c>
      <c r="AL365" s="477" t="str">
        <f>IF($AC$365="","",IFERROR(INDEX($BB$74:$BB$119,MATCH($AH$365,$AY$74:$AY$119,0)),$AH$365))</f>
        <v/>
      </c>
      <c r="AM365" s="483" t="str">
        <f t="shared" si="103"/>
        <v/>
      </c>
      <c r="AN365" s="484" t="str">
        <f t="shared" si="104"/>
        <v/>
      </c>
      <c r="AO365" s="473" t="str">
        <f t="shared" si="105"/>
        <v/>
      </c>
      <c r="AP365" s="473" t="str">
        <f t="shared" si="106"/>
        <v/>
      </c>
      <c r="AQ365" s="473" t="str">
        <f t="shared" si="107"/>
        <v/>
      </c>
      <c r="AR365" s="473" t="str">
        <f t="shared" si="108"/>
        <v/>
      </c>
      <c r="AS365" s="473" t="str">
        <f t="shared" si="109"/>
        <v/>
      </c>
      <c r="AT365" s="473" t="str">
        <f t="shared" si="110"/>
        <v/>
      </c>
      <c r="AU365" s="473" t="str">
        <f t="shared" si="111"/>
        <v/>
      </c>
      <c r="AZ365" s="31" t="s">
        <v>20</v>
      </c>
      <c r="BB365" s="499"/>
      <c r="BC365" s="271"/>
      <c r="BD365" s="279">
        <v>1</v>
      </c>
      <c r="BE365" s="271"/>
      <c r="BF365" s="271"/>
      <c r="BG365" s="271"/>
      <c r="BH365" s="271"/>
      <c r="BI365" s="271"/>
      <c r="BJ365" s="271"/>
      <c r="BK365" s="271"/>
      <c r="BL365" s="271"/>
    </row>
    <row r="366" spans="18:64" ht="21" customHeight="1" x14ac:dyDescent="0.25">
      <c r="R366" s="34" t="s">
        <v>471</v>
      </c>
      <c r="S366" s="451"/>
      <c r="T366" s="28" t="s">
        <v>22</v>
      </c>
      <c r="V366" s="475">
        <v>9</v>
      </c>
      <c r="W366" s="475" t="str">
        <f>IF($AC$366="","",$W$360)</f>
        <v/>
      </c>
      <c r="X366" s="476" t="str">
        <f>IF($AC$366="","",$X$360)</f>
        <v/>
      </c>
      <c r="Y366" s="477" t="str">
        <f>IF($X$366="","",$Y$360)</f>
        <v/>
      </c>
      <c r="Z366" s="477" t="str">
        <f>IF($X$366="","",$Z$360)</f>
        <v/>
      </c>
      <c r="AA366" s="477" t="str">
        <f>IF($AC$366="","",ROW($A$366)-ROW($A$360))</f>
        <v/>
      </c>
      <c r="AB366" s="478"/>
      <c r="AC366" s="34"/>
      <c r="AD366" s="356"/>
      <c r="AE366" s="479"/>
      <c r="AF366" s="475"/>
      <c r="AG366" s="480" t="str">
        <f t="shared" si="100"/>
        <v/>
      </c>
      <c r="AH366" s="481" t="str">
        <f t="shared" si="101"/>
        <v/>
      </c>
      <c r="AI366" s="477" t="str">
        <f>IF($AC$366="","",IFERROR(INDEX($AZ$74:$AZ$119,MATCH($AH$366,$AY$74:$AY$119,0)),"AUTRE"))</f>
        <v/>
      </c>
      <c r="AJ366" s="482" t="str">
        <f>IF($AC$366="","",IFERROR(INDEX($BA$74:$BA$119,MATCH($AH$366,$AY$74:$AY$119,0)),1))</f>
        <v/>
      </c>
      <c r="AK366" s="482" t="str">
        <f t="shared" si="102"/>
        <v/>
      </c>
      <c r="AL366" s="477" t="str">
        <f>IF($AC$366="","",IFERROR(INDEX($BB$74:$BB$119,MATCH($AH$366,$AY$74:$AY$119,0)),$AH$366))</f>
        <v/>
      </c>
      <c r="AM366" s="483" t="str">
        <f t="shared" si="103"/>
        <v/>
      </c>
      <c r="AN366" s="484" t="str">
        <f t="shared" si="104"/>
        <v/>
      </c>
      <c r="AO366" s="473" t="str">
        <f t="shared" si="105"/>
        <v/>
      </c>
      <c r="AP366" s="473" t="str">
        <f t="shared" si="106"/>
        <v/>
      </c>
      <c r="AQ366" s="473" t="str">
        <f t="shared" si="107"/>
        <v/>
      </c>
      <c r="AR366" s="473" t="str">
        <f t="shared" si="108"/>
        <v/>
      </c>
      <c r="AS366" s="473" t="str">
        <f t="shared" si="109"/>
        <v/>
      </c>
      <c r="AT366" s="473" t="str">
        <f t="shared" si="110"/>
        <v/>
      </c>
      <c r="AU366" s="473" t="str">
        <f t="shared" si="111"/>
        <v/>
      </c>
      <c r="AZ366" s="31" t="s">
        <v>304</v>
      </c>
      <c r="BA366" s="25" t="s">
        <v>6115</v>
      </c>
      <c r="BB366" s="499"/>
      <c r="BC366" s="271"/>
      <c r="BD366" s="279">
        <v>1</v>
      </c>
      <c r="BE366" s="271"/>
      <c r="BF366" s="271"/>
      <c r="BG366" s="271"/>
      <c r="BH366" s="271"/>
      <c r="BI366" s="271"/>
      <c r="BJ366" s="271"/>
      <c r="BK366" s="271"/>
      <c r="BL366" s="271"/>
    </row>
    <row r="367" spans="18:64" ht="21" customHeight="1" x14ac:dyDescent="0.25">
      <c r="R367" s="34" t="s">
        <v>472</v>
      </c>
      <c r="S367" s="451"/>
      <c r="T367" s="28" t="s">
        <v>23</v>
      </c>
      <c r="V367" s="475">
        <v>9</v>
      </c>
      <c r="W367" s="475" t="str">
        <f>IF($AC$367="","",$W$360)</f>
        <v/>
      </c>
      <c r="X367" s="476" t="str">
        <f>IF($AC$367="","",$X$360)</f>
        <v/>
      </c>
      <c r="Y367" s="477" t="str">
        <f>IF($X$367="","",$Y$360)</f>
        <v/>
      </c>
      <c r="Z367" s="477" t="str">
        <f>IF($X$367="","",$Z$360)</f>
        <v/>
      </c>
      <c r="AA367" s="477" t="str">
        <f>IF($AC$367="","",ROW($A$367)-ROW($A$360))</f>
        <v/>
      </c>
      <c r="AB367" s="478"/>
      <c r="AC367" s="34"/>
      <c r="AD367" s="356"/>
      <c r="AE367" s="479"/>
      <c r="AF367" s="475"/>
      <c r="AG367" s="480" t="str">
        <f t="shared" si="100"/>
        <v/>
      </c>
      <c r="AH367" s="481" t="str">
        <f t="shared" si="101"/>
        <v/>
      </c>
      <c r="AI367" s="477" t="str">
        <f>IF($AC$367="","",IFERROR(INDEX($AZ$74:$AZ$119,MATCH($AH$367,$AY$74:$AY$119,0)),"AUTRE"))</f>
        <v/>
      </c>
      <c r="AJ367" s="482" t="str">
        <f>IF($AC$367="","",IFERROR(INDEX($BA$74:$BA$119,MATCH($AH$367,$AY$74:$AY$119,0)),1))</f>
        <v/>
      </c>
      <c r="AK367" s="482" t="str">
        <f t="shared" si="102"/>
        <v/>
      </c>
      <c r="AL367" s="477" t="str">
        <f>IF($AC$367="","",IFERROR(INDEX($BB$74:$BB$119,MATCH($AH$367,$AY$74:$AY$119,0)),$AH$367))</f>
        <v/>
      </c>
      <c r="AM367" s="483" t="str">
        <f t="shared" si="103"/>
        <v/>
      </c>
      <c r="AN367" s="484" t="str">
        <f t="shared" si="104"/>
        <v/>
      </c>
      <c r="AO367" s="473" t="str">
        <f t="shared" si="105"/>
        <v/>
      </c>
      <c r="AP367" s="473" t="str">
        <f t="shared" si="106"/>
        <v/>
      </c>
      <c r="AQ367" s="473" t="str">
        <f t="shared" si="107"/>
        <v/>
      </c>
      <c r="AR367" s="473" t="str">
        <f t="shared" si="108"/>
        <v/>
      </c>
      <c r="AS367" s="473" t="str">
        <f t="shared" si="109"/>
        <v/>
      </c>
      <c r="AT367" s="473" t="str">
        <f t="shared" si="110"/>
        <v/>
      </c>
      <c r="AU367" s="473" t="str">
        <f t="shared" si="111"/>
        <v/>
      </c>
      <c r="AZ367" s="31" t="s">
        <v>352</v>
      </c>
      <c r="BA367" s="34" t="s">
        <v>471</v>
      </c>
      <c r="BB367" s="499"/>
      <c r="BC367" s="271"/>
      <c r="BD367" s="279">
        <v>1</v>
      </c>
      <c r="BE367" s="271"/>
      <c r="BF367" s="271"/>
      <c r="BG367" s="271"/>
      <c r="BH367" s="271"/>
      <c r="BI367" s="271"/>
      <c r="BJ367" s="271"/>
      <c r="BK367" s="271"/>
      <c r="BL367" s="271"/>
    </row>
    <row r="368" spans="18:64" ht="21" customHeight="1" x14ac:dyDescent="0.25">
      <c r="R368" s="34" t="s">
        <v>6112</v>
      </c>
      <c r="S368" s="451"/>
      <c r="T368" s="28" t="s">
        <v>24</v>
      </c>
      <c r="V368" s="475">
        <v>9</v>
      </c>
      <c r="W368" s="475" t="str">
        <f>IF($AC$368="","",$W$360)</f>
        <v/>
      </c>
      <c r="X368" s="476" t="str">
        <f>IF($AC$368="","",$X$360)</f>
        <v/>
      </c>
      <c r="Y368" s="477" t="str">
        <f>IF($X$368="","",$Y$360)</f>
        <v/>
      </c>
      <c r="Z368" s="477" t="str">
        <f>IF($X$368="","",$Z$360)</f>
        <v/>
      </c>
      <c r="AA368" s="477" t="str">
        <f>IF($AC$368="","",ROW($A$368)-ROW($A$360))</f>
        <v/>
      </c>
      <c r="AB368" s="478"/>
      <c r="AC368" s="34"/>
      <c r="AD368" s="356"/>
      <c r="AE368" s="479"/>
      <c r="AF368" s="475"/>
      <c r="AG368" s="480" t="str">
        <f t="shared" si="100"/>
        <v/>
      </c>
      <c r="AH368" s="481" t="str">
        <f t="shared" si="101"/>
        <v/>
      </c>
      <c r="AI368" s="477" t="str">
        <f>IF($AC$368="","",IFERROR(INDEX($AZ$74:$AZ$119,MATCH($AH$368,$AY$74:$AY$119,0)),"AUTRE"))</f>
        <v/>
      </c>
      <c r="AJ368" s="482" t="str">
        <f>IF($AC$368="","",IFERROR(INDEX($BA$74:$BA$119,MATCH($AH$368,$AY$74:$AY$119,0)),1))</f>
        <v/>
      </c>
      <c r="AK368" s="482" t="str">
        <f t="shared" si="102"/>
        <v/>
      </c>
      <c r="AL368" s="477" t="str">
        <f>IF($AC$368="","",IFERROR(INDEX($BB$74:$BB$119,MATCH($AH$368,$AY$74:$AY$119,0)),$AH$368))</f>
        <v/>
      </c>
      <c r="AM368" s="483" t="str">
        <f t="shared" si="103"/>
        <v/>
      </c>
      <c r="AN368" s="484" t="str">
        <f t="shared" si="104"/>
        <v/>
      </c>
      <c r="AO368" s="473" t="str">
        <f t="shared" si="105"/>
        <v/>
      </c>
      <c r="AP368" s="473" t="str">
        <f t="shared" si="106"/>
        <v/>
      </c>
      <c r="AQ368" s="473" t="str">
        <f t="shared" si="107"/>
        <v/>
      </c>
      <c r="AR368" s="473" t="str">
        <f t="shared" si="108"/>
        <v/>
      </c>
      <c r="AS368" s="473" t="str">
        <f t="shared" si="109"/>
        <v/>
      </c>
      <c r="AT368" s="473" t="str">
        <f t="shared" si="110"/>
        <v/>
      </c>
      <c r="AU368" s="473" t="str">
        <f t="shared" si="111"/>
        <v/>
      </c>
      <c r="AZ368" s="31" t="s">
        <v>27</v>
      </c>
      <c r="BA368" s="34" t="s">
        <v>472</v>
      </c>
      <c r="BB368" s="499"/>
      <c r="BC368" s="271"/>
      <c r="BD368" s="279">
        <v>1</v>
      </c>
      <c r="BE368" s="271"/>
      <c r="BF368" s="271"/>
      <c r="BG368" s="271"/>
      <c r="BH368" s="271"/>
      <c r="BI368" s="271"/>
      <c r="BJ368" s="271"/>
      <c r="BK368" s="271"/>
      <c r="BL368" s="271"/>
    </row>
    <row r="369" spans="18:64" ht="21" customHeight="1" x14ac:dyDescent="0.25">
      <c r="R369" s="25" t="s">
        <v>6116</v>
      </c>
      <c r="S369" s="451"/>
      <c r="T369" s="29" t="s">
        <v>9</v>
      </c>
      <c r="V369" s="475">
        <v>9</v>
      </c>
      <c r="W369" s="475" t="str">
        <f>IF($AC$369="","",$W$360)</f>
        <v/>
      </c>
      <c r="X369" s="476" t="str">
        <f>IF($AC$369="","",$X$360)</f>
        <v/>
      </c>
      <c r="Y369" s="477" t="str">
        <f>IF($X$369="","",$Y$360)</f>
        <v/>
      </c>
      <c r="Z369" s="477" t="str">
        <f>IF($X$369="","",$Z$360)</f>
        <v/>
      </c>
      <c r="AA369" s="477" t="str">
        <f>IF($AC$369="","",ROW($A$369)-ROW($A$360))</f>
        <v/>
      </c>
      <c r="AB369" s="478"/>
      <c r="AC369" s="34"/>
      <c r="AD369" s="356"/>
      <c r="AE369" s="479"/>
      <c r="AF369" s="475"/>
      <c r="AG369" s="480" t="str">
        <f t="shared" si="100"/>
        <v/>
      </c>
      <c r="AH369" s="481" t="str">
        <f t="shared" si="101"/>
        <v/>
      </c>
      <c r="AI369" s="477" t="str">
        <f>IF($AC$369="","",IFERROR(INDEX($AZ$74:$AZ$119,MATCH($AH$369,$AY$74:$AY$119,0)),"AUTRE"))</f>
        <v/>
      </c>
      <c r="AJ369" s="482" t="str">
        <f>IF($AC$369="","",IFERROR(INDEX($BA$74:$BA$119,MATCH($AH$369,$AY$74:$AY$119,0)),1))</f>
        <v/>
      </c>
      <c r="AK369" s="482" t="str">
        <f t="shared" si="102"/>
        <v/>
      </c>
      <c r="AL369" s="477" t="str">
        <f>IF($AC$369="","",IFERROR(INDEX($BB$74:$BB$119,MATCH($AH$369,$AY$74:$AY$119,0)),$AH$369))</f>
        <v/>
      </c>
      <c r="AM369" s="483" t="str">
        <f t="shared" si="103"/>
        <v/>
      </c>
      <c r="AN369" s="484" t="str">
        <f t="shared" si="104"/>
        <v/>
      </c>
      <c r="AO369" s="473" t="str">
        <f t="shared" si="105"/>
        <v/>
      </c>
      <c r="AP369" s="473" t="str">
        <f t="shared" si="106"/>
        <v/>
      </c>
      <c r="AQ369" s="473" t="str">
        <f t="shared" si="107"/>
        <v/>
      </c>
      <c r="AR369" s="473" t="str">
        <f t="shared" si="108"/>
        <v/>
      </c>
      <c r="AS369" s="473" t="str">
        <f t="shared" si="109"/>
        <v/>
      </c>
      <c r="AT369" s="473" t="str">
        <f t="shared" si="110"/>
        <v/>
      </c>
      <c r="AU369" s="473" t="str">
        <f t="shared" si="111"/>
        <v/>
      </c>
      <c r="AZ369" s="31" t="s">
        <v>28</v>
      </c>
      <c r="BA369" s="34" t="s">
        <v>6112</v>
      </c>
      <c r="BB369" s="499"/>
      <c r="BC369" s="271"/>
      <c r="BD369" s="279">
        <v>1</v>
      </c>
      <c r="BE369" s="271"/>
      <c r="BF369" s="271"/>
      <c r="BG369" s="271"/>
      <c r="BH369" s="271"/>
      <c r="BI369" s="271"/>
      <c r="BJ369" s="271"/>
      <c r="BK369" s="271"/>
      <c r="BL369" s="271"/>
    </row>
    <row r="370" spans="18:64" ht="21" customHeight="1" x14ac:dyDescent="0.25">
      <c r="R370" s="34" t="s">
        <v>6117</v>
      </c>
      <c r="S370" s="451"/>
      <c r="T370" s="30" t="s">
        <v>10</v>
      </c>
      <c r="V370" s="475">
        <v>9</v>
      </c>
      <c r="W370" s="475" t="str">
        <f>IF($AC$370="","",$W$360)</f>
        <v/>
      </c>
      <c r="X370" s="476" t="str">
        <f>IF($AC$370="","",$X$360)</f>
        <v/>
      </c>
      <c r="Y370" s="477" t="str">
        <f>IF($X$370="","",$Y$360)</f>
        <v/>
      </c>
      <c r="Z370" s="477" t="str">
        <f>IF($X$370="","",$Z$360)</f>
        <v/>
      </c>
      <c r="AA370" s="477" t="str">
        <f>IF($AC$370="","",ROW($A$370)-ROW($A$360))</f>
        <v/>
      </c>
      <c r="AB370" s="478"/>
      <c r="AC370" s="34"/>
      <c r="AD370" s="356"/>
      <c r="AE370" s="479"/>
      <c r="AF370" s="475"/>
      <c r="AG370" s="480" t="str">
        <f t="shared" si="100"/>
        <v/>
      </c>
      <c r="AH370" s="481" t="str">
        <f t="shared" si="101"/>
        <v/>
      </c>
      <c r="AI370" s="477" t="str">
        <f>IF($AC$370="","",IFERROR(INDEX($AZ$74:$AZ$119,MATCH($AH$370,$AY$74:$AY$119,0)),"AUTRE"))</f>
        <v/>
      </c>
      <c r="AJ370" s="482" t="str">
        <f>IF($AC$370="","",IFERROR(INDEX($BA$74:$BA$119,MATCH($AH$370,$AY$74:$AY$119,0)),1))</f>
        <v/>
      </c>
      <c r="AK370" s="482" t="str">
        <f t="shared" si="102"/>
        <v/>
      </c>
      <c r="AL370" s="477" t="str">
        <f>IF($AC$370="","",IFERROR(INDEX($BB$74:$BB$119,MATCH($AH$370,$AY$74:$AY$119,0)),$AH$370))</f>
        <v/>
      </c>
      <c r="AM370" s="483" t="str">
        <f t="shared" si="103"/>
        <v/>
      </c>
      <c r="AN370" s="484" t="str">
        <f t="shared" si="104"/>
        <v/>
      </c>
      <c r="AO370" s="473" t="str">
        <f t="shared" si="105"/>
        <v/>
      </c>
      <c r="AP370" s="473" t="str">
        <f t="shared" si="106"/>
        <v/>
      </c>
      <c r="AQ370" s="473" t="str">
        <f t="shared" si="107"/>
        <v/>
      </c>
      <c r="AR370" s="473" t="str">
        <f t="shared" si="108"/>
        <v/>
      </c>
      <c r="AS370" s="473" t="str">
        <f t="shared" si="109"/>
        <v/>
      </c>
      <c r="AT370" s="473" t="str">
        <f t="shared" si="110"/>
        <v/>
      </c>
      <c r="AU370" s="473" t="str">
        <f t="shared" si="111"/>
        <v/>
      </c>
      <c r="AZ370" s="31" t="s">
        <v>29</v>
      </c>
      <c r="BA370" s="25" t="s">
        <v>6116</v>
      </c>
      <c r="BB370" s="499"/>
      <c r="BC370" s="271"/>
      <c r="BD370" s="279">
        <v>1</v>
      </c>
      <c r="BE370" s="271"/>
      <c r="BF370" s="271"/>
      <c r="BG370" s="271"/>
      <c r="BH370" s="271"/>
      <c r="BI370" s="271"/>
      <c r="BJ370" s="271"/>
      <c r="BK370" s="271"/>
      <c r="BL370" s="271"/>
    </row>
    <row r="371" spans="18:64" ht="21" customHeight="1" x14ac:dyDescent="0.25">
      <c r="R371" s="34" t="s">
        <v>469</v>
      </c>
      <c r="S371" s="451"/>
      <c r="T371" s="30" t="s">
        <v>11</v>
      </c>
      <c r="V371" s="475">
        <v>9</v>
      </c>
      <c r="W371" s="475" t="str">
        <f>IF($AC$371="","",$W$360)</f>
        <v/>
      </c>
      <c r="X371" s="476" t="str">
        <f>IF($AC$371="","",$X$360)</f>
        <v/>
      </c>
      <c r="Y371" s="477" t="str">
        <f>IF($X$371="","",$Y$360)</f>
        <v/>
      </c>
      <c r="Z371" s="477" t="str">
        <f>IF($X$371="","",$Z$360)</f>
        <v/>
      </c>
      <c r="AA371" s="477" t="str">
        <f>IF($AC$371="","",ROW($A$371)-ROW($A$360))</f>
        <v/>
      </c>
      <c r="AB371" s="478"/>
      <c r="AC371" s="34"/>
      <c r="AD371" s="356"/>
      <c r="AE371" s="479"/>
      <c r="AF371" s="475"/>
      <c r="AG371" s="480" t="str">
        <f t="shared" si="100"/>
        <v/>
      </c>
      <c r="AH371" s="481" t="str">
        <f t="shared" si="101"/>
        <v/>
      </c>
      <c r="AI371" s="477" t="str">
        <f>IF($AC$371="","",IFERROR(INDEX($AZ$74:$AZ$119,MATCH($AH$371,$AY$74:$AY$119,0)),"AUTRE"))</f>
        <v/>
      </c>
      <c r="AJ371" s="482" t="str">
        <f>IF($AC$371="","",IFERROR(INDEX($BA$74:$BA$119,MATCH($AH$371,$AY$74:$AY$119,0)),1))</f>
        <v/>
      </c>
      <c r="AK371" s="482" t="str">
        <f t="shared" si="102"/>
        <v/>
      </c>
      <c r="AL371" s="477" t="str">
        <f>IF($AC$371="","",IFERROR(INDEX($BB$74:$BB$119,MATCH($AH$371,$AY$74:$AY$119,0)),$AH$371))</f>
        <v/>
      </c>
      <c r="AM371" s="483" t="str">
        <f t="shared" si="103"/>
        <v/>
      </c>
      <c r="AN371" s="484" t="str">
        <f t="shared" si="104"/>
        <v/>
      </c>
      <c r="AO371" s="473" t="str">
        <f t="shared" si="105"/>
        <v/>
      </c>
      <c r="AP371" s="473" t="str">
        <f t="shared" si="106"/>
        <v/>
      </c>
      <c r="AQ371" s="473" t="str">
        <f t="shared" si="107"/>
        <v/>
      </c>
      <c r="AR371" s="473" t="str">
        <f t="shared" si="108"/>
        <v/>
      </c>
      <c r="AS371" s="473" t="str">
        <f t="shared" si="109"/>
        <v/>
      </c>
      <c r="AT371" s="473" t="str">
        <f t="shared" si="110"/>
        <v/>
      </c>
      <c r="AU371" s="473" t="str">
        <f t="shared" si="111"/>
        <v/>
      </c>
      <c r="AZ371" s="31" t="s">
        <v>30</v>
      </c>
      <c r="BA371" s="34" t="s">
        <v>6117</v>
      </c>
      <c r="BB371" s="499"/>
      <c r="BC371" s="271"/>
      <c r="BD371" s="279">
        <v>1</v>
      </c>
      <c r="BE371" s="271"/>
      <c r="BF371" s="271"/>
      <c r="BG371" s="271"/>
      <c r="BH371" s="271"/>
      <c r="BI371" s="271"/>
      <c r="BJ371" s="271"/>
      <c r="BK371" s="271"/>
      <c r="BL371" s="271"/>
    </row>
    <row r="372" spans="18:64" ht="21" customHeight="1" x14ac:dyDescent="0.25">
      <c r="R372" s="34" t="s">
        <v>6118</v>
      </c>
      <c r="S372" s="451"/>
      <c r="T372" s="30" t="s">
        <v>12</v>
      </c>
      <c r="V372" s="475">
        <v>9</v>
      </c>
      <c r="W372" s="475" t="str">
        <f>IF($AC$372="","",$W$360)</f>
        <v/>
      </c>
      <c r="X372" s="476" t="str">
        <f>IF($AC$372="","",$X$360)</f>
        <v/>
      </c>
      <c r="Y372" s="477" t="str">
        <f>IF($X$372="","",$Y$360)</f>
        <v/>
      </c>
      <c r="Z372" s="477" t="str">
        <f>IF($X$372="","",$Z$360)</f>
        <v/>
      </c>
      <c r="AA372" s="477" t="str">
        <f>IF($AC$372="","",ROW($A$372)-ROW($A$360))</f>
        <v/>
      </c>
      <c r="AB372" s="478"/>
      <c r="AC372" s="34"/>
      <c r="AD372" s="356"/>
      <c r="AE372" s="479"/>
      <c r="AF372" s="475"/>
      <c r="AG372" s="480" t="str">
        <f t="shared" si="100"/>
        <v/>
      </c>
      <c r="AH372" s="481" t="str">
        <f t="shared" si="101"/>
        <v/>
      </c>
      <c r="AI372" s="477" t="str">
        <f>IF($AC$372="","",IFERROR(INDEX($AZ$74:$AZ$119,MATCH($AH$372,$AY$74:$AY$119,0)),"AUTRE"))</f>
        <v/>
      </c>
      <c r="AJ372" s="482" t="str">
        <f>IF($AC$372="","",IFERROR(INDEX($BA$74:$BA$119,MATCH($AH$372,$AY$74:$AY$119,0)),1))</f>
        <v/>
      </c>
      <c r="AK372" s="482" t="str">
        <f t="shared" si="102"/>
        <v/>
      </c>
      <c r="AL372" s="477" t="str">
        <f>IF($AC$372="","",IFERROR(INDEX($BB$74:$BB$119,MATCH($AH$372,$AY$74:$AY$119,0)),$AH$372))</f>
        <v/>
      </c>
      <c r="AM372" s="483" t="str">
        <f t="shared" si="103"/>
        <v/>
      </c>
      <c r="AN372" s="484" t="str">
        <f t="shared" si="104"/>
        <v/>
      </c>
      <c r="AO372" s="473" t="str">
        <f t="shared" si="105"/>
        <v/>
      </c>
      <c r="AP372" s="473" t="str">
        <f t="shared" si="106"/>
        <v/>
      </c>
      <c r="AQ372" s="473" t="str">
        <f t="shared" si="107"/>
        <v/>
      </c>
      <c r="AR372" s="473" t="str">
        <f t="shared" si="108"/>
        <v/>
      </c>
      <c r="AS372" s="473" t="str">
        <f t="shared" si="109"/>
        <v/>
      </c>
      <c r="AT372" s="473" t="str">
        <f t="shared" si="110"/>
        <v/>
      </c>
      <c r="AU372" s="473" t="str">
        <f t="shared" si="111"/>
        <v/>
      </c>
      <c r="AZ372" s="32" t="s">
        <v>33</v>
      </c>
      <c r="BA372" s="34" t="s">
        <v>469</v>
      </c>
      <c r="BB372" s="499"/>
      <c r="BC372" s="271"/>
      <c r="BD372" s="279">
        <v>1</v>
      </c>
      <c r="BE372" s="271"/>
      <c r="BF372" s="271"/>
      <c r="BG372" s="271"/>
      <c r="BH372" s="271"/>
      <c r="BI372" s="271"/>
      <c r="BJ372" s="271"/>
      <c r="BK372" s="271"/>
      <c r="BL372" s="271"/>
    </row>
    <row r="373" spans="18:64" ht="21" customHeight="1" x14ac:dyDescent="0.25">
      <c r="R373" s="34" t="s">
        <v>492</v>
      </c>
      <c r="S373" s="451"/>
      <c r="T373" s="31" t="s">
        <v>16</v>
      </c>
      <c r="V373" s="475">
        <v>9</v>
      </c>
      <c r="W373" s="475" t="str">
        <f>IF($AC$373="","",$W$360)</f>
        <v/>
      </c>
      <c r="X373" s="476" t="str">
        <f>IF($AC$373="","",$X$360)</f>
        <v/>
      </c>
      <c r="Y373" s="477" t="str">
        <f>IF($X$373="","",$Y$360)</f>
        <v/>
      </c>
      <c r="Z373" s="477" t="str">
        <f>IF($X$373="","",$Z$360)</f>
        <v/>
      </c>
      <c r="AA373" s="477" t="str">
        <f>IF($AC$373="","",ROW($A$373)-ROW($A$360))</f>
        <v/>
      </c>
      <c r="AB373" s="478"/>
      <c r="AC373" s="34"/>
      <c r="AD373" s="356"/>
      <c r="AE373" s="479"/>
      <c r="AF373" s="475"/>
      <c r="AG373" s="480" t="str">
        <f t="shared" si="100"/>
        <v/>
      </c>
      <c r="AH373" s="481" t="str">
        <f t="shared" si="101"/>
        <v/>
      </c>
      <c r="AI373" s="477" t="str">
        <f>IF($AC$373="","",IFERROR(INDEX($AZ$74:$AZ$119,MATCH($AH$373,$AY$74:$AY$119,0)),"AUTRE"))</f>
        <v/>
      </c>
      <c r="AJ373" s="482" t="str">
        <f>IF($AC$373="","",IFERROR(INDEX($BA$74:$BA$119,MATCH($AH$373,$AY$74:$AY$119,0)),1))</f>
        <v/>
      </c>
      <c r="AK373" s="482" t="str">
        <f t="shared" si="102"/>
        <v/>
      </c>
      <c r="AL373" s="477" t="str">
        <f>IF($AC$373="","",IFERROR(INDEX($BB$74:$BB$119,MATCH($AH$373,$AY$74:$AY$119,0)),$AH$373))</f>
        <v/>
      </c>
      <c r="AM373" s="483" t="str">
        <f t="shared" si="103"/>
        <v/>
      </c>
      <c r="AN373" s="484" t="str">
        <f t="shared" si="104"/>
        <v/>
      </c>
      <c r="AO373" s="473" t="str">
        <f t="shared" si="105"/>
        <v/>
      </c>
      <c r="AP373" s="473" t="str">
        <f t="shared" si="106"/>
        <v/>
      </c>
      <c r="AQ373" s="473" t="str">
        <f t="shared" si="107"/>
        <v/>
      </c>
      <c r="AR373" s="473" t="str">
        <f t="shared" si="108"/>
        <v/>
      </c>
      <c r="AS373" s="473" t="str">
        <f t="shared" si="109"/>
        <v/>
      </c>
      <c r="AT373" s="473" t="str">
        <f t="shared" si="110"/>
        <v/>
      </c>
      <c r="AU373" s="473" t="str">
        <f t="shared" si="111"/>
        <v/>
      </c>
      <c r="AZ373" s="32" t="s">
        <v>8125</v>
      </c>
      <c r="BA373" s="34" t="s">
        <v>6118</v>
      </c>
      <c r="BB373" s="499"/>
      <c r="BC373" s="271"/>
      <c r="BD373" s="279">
        <v>1</v>
      </c>
      <c r="BE373" s="271"/>
      <c r="BF373" s="271"/>
      <c r="BG373" s="271"/>
      <c r="BH373" s="271"/>
      <c r="BI373" s="271"/>
      <c r="BJ373" s="271"/>
      <c r="BK373" s="271"/>
      <c r="BL373" s="271"/>
    </row>
    <row r="374" spans="18:64" ht="21" customHeight="1" x14ac:dyDescent="0.25">
      <c r="R374" s="34" t="s">
        <v>458</v>
      </c>
      <c r="S374" s="451"/>
      <c r="T374" s="31" t="s">
        <v>17</v>
      </c>
      <c r="V374" s="475">
        <v>9</v>
      </c>
      <c r="W374" s="475" t="str">
        <f>IF($AC$374="","",$W$360)</f>
        <v/>
      </c>
      <c r="X374" s="476" t="str">
        <f>IF($AC$374="","",$X$360)</f>
        <v/>
      </c>
      <c r="Y374" s="477" t="str">
        <f>IF($X$374="","",$Y$360)</f>
        <v/>
      </c>
      <c r="Z374" s="477" t="str">
        <f>IF($X$374="","",$Z$360)</f>
        <v/>
      </c>
      <c r="AA374" s="477" t="str">
        <f>IF($AC$374="","",ROW($A$374)-ROW($A$360))</f>
        <v/>
      </c>
      <c r="AB374" s="478"/>
      <c r="AC374" s="34"/>
      <c r="AD374" s="356"/>
      <c r="AE374" s="479"/>
      <c r="AF374" s="475"/>
      <c r="AG374" s="480" t="str">
        <f t="shared" si="100"/>
        <v/>
      </c>
      <c r="AH374" s="481" t="str">
        <f t="shared" si="101"/>
        <v/>
      </c>
      <c r="AI374" s="477" t="str">
        <f>IF($AC$374="","",IFERROR(INDEX($AZ$74:$AZ$119,MATCH($AH$374,$AY$74:$AY$119,0)),"AUTRE"))</f>
        <v/>
      </c>
      <c r="AJ374" s="482" t="str">
        <f>IF($AC$374="","",IFERROR(INDEX($BA$74:$BA$119,MATCH($AH$374,$AY$74:$AY$119,0)),1))</f>
        <v/>
      </c>
      <c r="AK374" s="482" t="str">
        <f t="shared" si="102"/>
        <v/>
      </c>
      <c r="AL374" s="477" t="str">
        <f>IF($AC$374="","",IFERROR(INDEX($BB$74:$BB$119,MATCH($AH$374,$AY$74:$AY$119,0)),$AH$374))</f>
        <v/>
      </c>
      <c r="AM374" s="483" t="str">
        <f t="shared" si="103"/>
        <v/>
      </c>
      <c r="AN374" s="484" t="str">
        <f t="shared" si="104"/>
        <v/>
      </c>
      <c r="AO374" s="473" t="str">
        <f t="shared" si="105"/>
        <v/>
      </c>
      <c r="AP374" s="473" t="str">
        <f t="shared" si="106"/>
        <v/>
      </c>
      <c r="AQ374" s="473" t="str">
        <f t="shared" si="107"/>
        <v/>
      </c>
      <c r="AR374" s="473" t="str">
        <f t="shared" si="108"/>
        <v/>
      </c>
      <c r="AS374" s="473" t="str">
        <f t="shared" si="109"/>
        <v/>
      </c>
      <c r="AT374" s="473" t="str">
        <f t="shared" si="110"/>
        <v/>
      </c>
      <c r="AU374" s="473" t="str">
        <f t="shared" si="111"/>
        <v/>
      </c>
      <c r="AZ374" s="32" t="s">
        <v>8127</v>
      </c>
      <c r="BA374" s="34" t="s">
        <v>492</v>
      </c>
      <c r="BB374" s="499"/>
      <c r="BC374" s="271"/>
      <c r="BD374" s="279">
        <v>1</v>
      </c>
      <c r="BE374" s="271"/>
      <c r="BF374" s="271"/>
      <c r="BG374" s="271"/>
      <c r="BH374" s="271"/>
      <c r="BI374" s="271"/>
      <c r="BJ374" s="271"/>
      <c r="BK374" s="271"/>
      <c r="BL374" s="271"/>
    </row>
    <row r="375" spans="18:64" ht="21" customHeight="1" x14ac:dyDescent="0.25">
      <c r="R375" s="490"/>
      <c r="S375" s="451"/>
      <c r="T375" s="31" t="s">
        <v>18</v>
      </c>
      <c r="V375" s="475">
        <v>9</v>
      </c>
      <c r="W375" s="475" t="str">
        <f>IF($AC$375="","",$W$360)</f>
        <v/>
      </c>
      <c r="X375" s="476" t="str">
        <f>IF($AC$375="","",$X$360)</f>
        <v/>
      </c>
      <c r="Y375" s="477" t="str">
        <f>IF($X$375="","",$Y$360)</f>
        <v/>
      </c>
      <c r="Z375" s="477" t="str">
        <f>IF($X$375="","",$Z$360)</f>
        <v/>
      </c>
      <c r="AA375" s="477" t="str">
        <f>IF($AC$375="","",ROW($A$375)-ROW($A$360))</f>
        <v/>
      </c>
      <c r="AB375" s="478"/>
      <c r="AC375" s="34"/>
      <c r="AD375" s="356"/>
      <c r="AE375" s="479"/>
      <c r="AF375" s="475"/>
      <c r="AG375" s="480" t="str">
        <f t="shared" si="100"/>
        <v/>
      </c>
      <c r="AH375" s="481" t="str">
        <f t="shared" si="101"/>
        <v/>
      </c>
      <c r="AI375" s="477" t="str">
        <f>IF($AC$375="","",IFERROR(INDEX($AZ$74:$AZ$119,MATCH($AH$375,$AY$74:$AY$119,0)),"AUTRE"))</f>
        <v/>
      </c>
      <c r="AJ375" s="482" t="str">
        <f>IF($AC$375="","",IFERROR(INDEX($BA$74:$BA$119,MATCH($AH$375,$AY$74:$AY$119,0)),1))</f>
        <v/>
      </c>
      <c r="AK375" s="482" t="str">
        <f t="shared" si="102"/>
        <v/>
      </c>
      <c r="AL375" s="477" t="str">
        <f>IF($AC$375="","",IFERROR(INDEX($BB$74:$BB$119,MATCH($AH$375,$AY$74:$AY$119,0)),$AH$375))</f>
        <v/>
      </c>
      <c r="AM375" s="483" t="str">
        <f t="shared" si="103"/>
        <v/>
      </c>
      <c r="AN375" s="484" t="str">
        <f t="shared" si="104"/>
        <v/>
      </c>
      <c r="AO375" s="473" t="str">
        <f t="shared" si="105"/>
        <v/>
      </c>
      <c r="AP375" s="473" t="str">
        <f t="shared" si="106"/>
        <v/>
      </c>
      <c r="AQ375" s="473" t="str">
        <f t="shared" si="107"/>
        <v/>
      </c>
      <c r="AR375" s="473" t="str">
        <f t="shared" si="108"/>
        <v/>
      </c>
      <c r="AS375" s="473" t="str">
        <f t="shared" si="109"/>
        <v/>
      </c>
      <c r="AT375" s="473" t="str">
        <f t="shared" si="110"/>
        <v/>
      </c>
      <c r="AU375" s="473" t="str">
        <f t="shared" si="111"/>
        <v/>
      </c>
      <c r="AZ375" s="32" t="s">
        <v>320</v>
      </c>
      <c r="BA375" s="34" t="s">
        <v>458</v>
      </c>
      <c r="BB375" s="499"/>
      <c r="BC375" s="271"/>
      <c r="BD375" s="279">
        <v>1</v>
      </c>
      <c r="BE375" s="271"/>
      <c r="BF375" s="271"/>
      <c r="BG375" s="271"/>
      <c r="BH375" s="271"/>
      <c r="BI375" s="271"/>
      <c r="BJ375" s="271"/>
      <c r="BK375" s="271"/>
      <c r="BL375" s="271"/>
    </row>
    <row r="376" spans="18:64" ht="21" customHeight="1" x14ac:dyDescent="0.25">
      <c r="R376" s="25" t="s">
        <v>6119</v>
      </c>
      <c r="S376" s="451"/>
      <c r="T376" s="31" t="s">
        <v>19</v>
      </c>
      <c r="V376" s="475">
        <v>9</v>
      </c>
      <c r="W376" s="475" t="str">
        <f>IF($AC$376="","",$W$360)</f>
        <v/>
      </c>
      <c r="X376" s="476" t="str">
        <f>IF($AC$376="","",$X$360)</f>
        <v/>
      </c>
      <c r="Y376" s="477" t="str">
        <f>IF($X$376="","",$Y$360)</f>
        <v/>
      </c>
      <c r="Z376" s="477" t="str">
        <f>IF($X$376="","",$Z$360)</f>
        <v/>
      </c>
      <c r="AA376" s="477" t="str">
        <f>IF($AC$376="","",ROW($A$376)-ROW($A$360))</f>
        <v/>
      </c>
      <c r="AB376" s="478"/>
      <c r="AC376" s="34"/>
      <c r="AD376" s="356"/>
      <c r="AE376" s="479"/>
      <c r="AF376" s="475"/>
      <c r="AG376" s="480" t="str">
        <f t="shared" si="100"/>
        <v/>
      </c>
      <c r="AH376" s="481" t="str">
        <f t="shared" si="101"/>
        <v/>
      </c>
      <c r="AI376" s="477" t="str">
        <f>IF($AC$376="","",IFERROR(INDEX($AZ$74:$AZ$119,MATCH($AH$376,$AY$74:$AY$119,0)),"AUTRE"))</f>
        <v/>
      </c>
      <c r="AJ376" s="482" t="str">
        <f>IF($AC$376="","",IFERROR(INDEX($BA$74:$BA$119,MATCH($AH$376,$AY$74:$AY$119,0)),1))</f>
        <v/>
      </c>
      <c r="AK376" s="482" t="str">
        <f t="shared" si="102"/>
        <v/>
      </c>
      <c r="AL376" s="477" t="str">
        <f>IF($AC$376="","",IFERROR(INDEX($BB$74:$BB$119,MATCH($AH$376,$AY$74:$AY$119,0)),$AH$376))</f>
        <v/>
      </c>
      <c r="AM376" s="483" t="str">
        <f t="shared" si="103"/>
        <v/>
      </c>
      <c r="AN376" s="484" t="str">
        <f t="shared" si="104"/>
        <v/>
      </c>
      <c r="AO376" s="473" t="str">
        <f t="shared" si="105"/>
        <v/>
      </c>
      <c r="AP376" s="473" t="str">
        <f t="shared" si="106"/>
        <v/>
      </c>
      <c r="AQ376" s="473" t="str">
        <f t="shared" si="107"/>
        <v/>
      </c>
      <c r="AR376" s="473" t="str">
        <f t="shared" si="108"/>
        <v/>
      </c>
      <c r="AS376" s="473" t="str">
        <f t="shared" si="109"/>
        <v/>
      </c>
      <c r="AT376" s="473" t="str">
        <f t="shared" si="110"/>
        <v/>
      </c>
      <c r="AU376" s="473" t="str">
        <f t="shared" si="111"/>
        <v/>
      </c>
      <c r="AZ376" s="32" t="s">
        <v>318</v>
      </c>
      <c r="BA376" s="490"/>
      <c r="BB376" s="499"/>
      <c r="BC376" s="271"/>
      <c r="BD376" s="279">
        <v>1</v>
      </c>
      <c r="BE376" s="271"/>
      <c r="BF376" s="271"/>
      <c r="BG376" s="271"/>
      <c r="BH376" s="271"/>
      <c r="BI376" s="271"/>
      <c r="BJ376" s="271"/>
      <c r="BK376" s="271"/>
      <c r="BL376" s="271"/>
    </row>
    <row r="377" spans="18:64" ht="21" customHeight="1" x14ac:dyDescent="0.25">
      <c r="R377" s="34" t="s">
        <v>6120</v>
      </c>
      <c r="S377" s="451"/>
      <c r="T377" s="31" t="s">
        <v>211</v>
      </c>
      <c r="V377" s="475">
        <v>9</v>
      </c>
      <c r="W377" s="475" t="str">
        <f>IF($AC$377="","",$W$360)</f>
        <v/>
      </c>
      <c r="X377" s="476" t="str">
        <f>IF($AC$377="","",$X$360)</f>
        <v/>
      </c>
      <c r="Y377" s="477" t="str">
        <f>IF($X$377="","",$Y$360)</f>
        <v/>
      </c>
      <c r="Z377" s="477" t="str">
        <f>IF($X$377="","",$Z$360)</f>
        <v/>
      </c>
      <c r="AA377" s="477" t="str">
        <f>IF($AC$377="","",ROW($A$377)-ROW($A$360))</f>
        <v/>
      </c>
      <c r="AB377" s="478"/>
      <c r="AC377" s="34"/>
      <c r="AD377" s="356"/>
      <c r="AE377" s="479"/>
      <c r="AF377" s="475"/>
      <c r="AG377" s="480" t="str">
        <f t="shared" si="100"/>
        <v/>
      </c>
      <c r="AH377" s="481" t="str">
        <f t="shared" si="101"/>
        <v/>
      </c>
      <c r="AI377" s="477" t="str">
        <f>IF($AC$377="","",IFERROR(INDEX($AZ$74:$AZ$119,MATCH($AH$377,$AY$74:$AY$119,0)),"AUTRE"))</f>
        <v/>
      </c>
      <c r="AJ377" s="482" t="str">
        <f>IF($AC$377="","",IFERROR(INDEX($BA$74:$BA$119,MATCH($AH$377,$AY$74:$AY$119,0)),1))</f>
        <v/>
      </c>
      <c r="AK377" s="482" t="str">
        <f t="shared" si="102"/>
        <v/>
      </c>
      <c r="AL377" s="477" t="str">
        <f>IF($AC$377="","",IFERROR(INDEX($BB$74:$BB$119,MATCH($AH$377,$AY$74:$AY$119,0)),$AH$377))</f>
        <v/>
      </c>
      <c r="AM377" s="483" t="str">
        <f t="shared" si="103"/>
        <v/>
      </c>
      <c r="AN377" s="484" t="str">
        <f t="shared" si="104"/>
        <v/>
      </c>
      <c r="AO377" s="473" t="str">
        <f t="shared" si="105"/>
        <v/>
      </c>
      <c r="AP377" s="473" t="str">
        <f t="shared" si="106"/>
        <v/>
      </c>
      <c r="AQ377" s="473" t="str">
        <f t="shared" si="107"/>
        <v/>
      </c>
      <c r="AR377" s="473" t="str">
        <f t="shared" si="108"/>
        <v/>
      </c>
      <c r="AS377" s="473" t="str">
        <f t="shared" si="109"/>
        <v/>
      </c>
      <c r="AT377" s="473" t="str">
        <f t="shared" si="110"/>
        <v/>
      </c>
      <c r="AU377" s="473" t="str">
        <f t="shared" si="111"/>
        <v/>
      </c>
      <c r="AZ377" s="32" t="s">
        <v>316</v>
      </c>
      <c r="BA377" s="25" t="s">
        <v>6119</v>
      </c>
      <c r="BB377" s="499"/>
      <c r="BC377" s="271"/>
      <c r="BD377" s="279">
        <v>1</v>
      </c>
      <c r="BE377" s="271"/>
      <c r="BF377" s="271"/>
      <c r="BG377" s="271"/>
      <c r="BH377" s="271"/>
      <c r="BI377" s="271"/>
      <c r="BJ377" s="271"/>
      <c r="BK377" s="271"/>
      <c r="BL377" s="271"/>
    </row>
    <row r="378" spans="18:64" ht="21" customHeight="1" x14ac:dyDescent="0.25">
      <c r="R378" s="34" t="s">
        <v>6121</v>
      </c>
      <c r="S378" s="451"/>
      <c r="T378" s="31" t="s">
        <v>20</v>
      </c>
      <c r="V378" s="475">
        <v>9</v>
      </c>
      <c r="W378" s="475" t="str">
        <f>IF($AC$378="","",$W$360)</f>
        <v/>
      </c>
      <c r="X378" s="476" t="str">
        <f>IF($AC$378="","",$X$360)</f>
        <v/>
      </c>
      <c r="Y378" s="477" t="str">
        <f>IF($X$378="","",$Y$360)</f>
        <v/>
      </c>
      <c r="Z378" s="477" t="str">
        <f>IF($X$378="","",$Z$360)</f>
        <v/>
      </c>
      <c r="AA378" s="477" t="str">
        <f>IF($AC$378="","",ROW($A$378)-ROW($A$360))</f>
        <v/>
      </c>
      <c r="AB378" s="478"/>
      <c r="AC378" s="34"/>
      <c r="AD378" s="356"/>
      <c r="AE378" s="479"/>
      <c r="AF378" s="475"/>
      <c r="AG378" s="480" t="str">
        <f t="shared" si="100"/>
        <v/>
      </c>
      <c r="AH378" s="481" t="str">
        <f t="shared" si="101"/>
        <v/>
      </c>
      <c r="AI378" s="477" t="str">
        <f>IF($AC$378="","",IFERROR(INDEX($AZ$74:$AZ$119,MATCH($AH$378,$AY$74:$AY$119,0)),"AUTRE"))</f>
        <v/>
      </c>
      <c r="AJ378" s="482" t="str">
        <f>IF($AC$378="","",IFERROR(INDEX($BA$74:$BA$119,MATCH($AH$378,$AY$74:$AY$119,0)),1))</f>
        <v/>
      </c>
      <c r="AK378" s="482" t="str">
        <f t="shared" si="102"/>
        <v/>
      </c>
      <c r="AL378" s="477" t="str">
        <f>IF($AC$378="","",IFERROR(INDEX($BB$74:$BB$119,MATCH($AH$378,$AY$74:$AY$119,0)),$AH$378))</f>
        <v/>
      </c>
      <c r="AM378" s="483" t="str">
        <f t="shared" si="103"/>
        <v/>
      </c>
      <c r="AN378" s="484" t="str">
        <f t="shared" si="104"/>
        <v/>
      </c>
      <c r="AO378" s="473" t="str">
        <f t="shared" si="105"/>
        <v/>
      </c>
      <c r="AP378" s="473" t="str">
        <f t="shared" si="106"/>
        <v/>
      </c>
      <c r="AQ378" s="473" t="str">
        <f t="shared" si="107"/>
        <v/>
      </c>
      <c r="AR378" s="473" t="str">
        <f t="shared" si="108"/>
        <v/>
      </c>
      <c r="AS378" s="473" t="str">
        <f t="shared" si="109"/>
        <v/>
      </c>
      <c r="AT378" s="473" t="str">
        <f t="shared" si="110"/>
        <v/>
      </c>
      <c r="AU378" s="473" t="str">
        <f t="shared" si="111"/>
        <v/>
      </c>
      <c r="AZ378" s="32" t="s">
        <v>313</v>
      </c>
      <c r="BA378" s="34" t="s">
        <v>6120</v>
      </c>
      <c r="BB378" s="499"/>
      <c r="BC378" s="271"/>
      <c r="BD378" s="279">
        <v>1</v>
      </c>
      <c r="BE378" s="271"/>
      <c r="BF378" s="271"/>
      <c r="BG378" s="271"/>
      <c r="BH378" s="271"/>
      <c r="BI378" s="271"/>
      <c r="BJ378" s="271"/>
      <c r="BK378" s="271"/>
      <c r="BL378" s="271"/>
    </row>
    <row r="379" spans="18:64" ht="21" customHeight="1" x14ac:dyDescent="0.25">
      <c r="R379" s="34" t="s">
        <v>6122</v>
      </c>
      <c r="S379" s="451"/>
      <c r="T379" s="31" t="s">
        <v>304</v>
      </c>
      <c r="V379" s="475">
        <v>9</v>
      </c>
      <c r="W379" s="475" t="str">
        <f>IF($AC$379="","",$W$360)</f>
        <v/>
      </c>
      <c r="X379" s="476" t="str">
        <f>IF($AC$379="","",$X$360)</f>
        <v/>
      </c>
      <c r="Y379" s="477" t="str">
        <f>IF($X$379="","",$Y$360)</f>
        <v/>
      </c>
      <c r="Z379" s="477" t="str">
        <f>IF($X$379="","",$Z$360)</f>
        <v/>
      </c>
      <c r="AA379" s="477" t="str">
        <f>IF($AC$379="","",ROW($A$379)-ROW($A$360))</f>
        <v/>
      </c>
      <c r="AB379" s="478"/>
      <c r="AC379" s="34"/>
      <c r="AD379" s="356"/>
      <c r="AE379" s="479"/>
      <c r="AF379" s="475"/>
      <c r="AG379" s="480" t="str">
        <f t="shared" si="100"/>
        <v/>
      </c>
      <c r="AH379" s="481" t="str">
        <f t="shared" si="101"/>
        <v/>
      </c>
      <c r="AI379" s="477" t="str">
        <f>IF($AC$379="","",IFERROR(INDEX($AZ$74:$AZ$119,MATCH($AH$379,$AY$74:$AY$119,0)),"AUTRE"))</f>
        <v/>
      </c>
      <c r="AJ379" s="482" t="str">
        <f>IF($AC$379="","",IFERROR(INDEX($BA$74:$BA$119,MATCH($AH$379,$AY$74:$AY$119,0)),1))</f>
        <v/>
      </c>
      <c r="AK379" s="482" t="str">
        <f t="shared" si="102"/>
        <v/>
      </c>
      <c r="AL379" s="477" t="str">
        <f>IF($AC$379="","",IFERROR(INDEX($BB$74:$BB$119,MATCH($AH$379,$AY$74:$AY$119,0)),$AH$379))</f>
        <v/>
      </c>
      <c r="AM379" s="483" t="str">
        <f t="shared" si="103"/>
        <v/>
      </c>
      <c r="AN379" s="484" t="str">
        <f t="shared" si="104"/>
        <v/>
      </c>
      <c r="AO379" s="473" t="str">
        <f t="shared" si="105"/>
        <v/>
      </c>
      <c r="AP379" s="473" t="str">
        <f t="shared" si="106"/>
        <v/>
      </c>
      <c r="AQ379" s="473" t="str">
        <f t="shared" si="107"/>
        <v/>
      </c>
      <c r="AR379" s="473" t="str">
        <f t="shared" si="108"/>
        <v/>
      </c>
      <c r="AS379" s="473" t="str">
        <f t="shared" si="109"/>
        <v/>
      </c>
      <c r="AT379" s="473" t="str">
        <f t="shared" si="110"/>
        <v/>
      </c>
      <c r="AU379" s="473" t="str">
        <f t="shared" si="111"/>
        <v/>
      </c>
      <c r="AZ379" s="32" t="s">
        <v>307</v>
      </c>
      <c r="BA379" s="34" t="s">
        <v>6121</v>
      </c>
      <c r="BB379" s="499"/>
      <c r="BC379" s="271"/>
      <c r="BD379" s="279">
        <v>1</v>
      </c>
      <c r="BE379" s="271"/>
      <c r="BF379" s="271"/>
      <c r="BG379" s="271"/>
      <c r="BH379" s="271"/>
      <c r="BI379" s="271"/>
      <c r="BJ379" s="271"/>
      <c r="BK379" s="271"/>
      <c r="BL379" s="271"/>
    </row>
    <row r="380" spans="18:64" ht="21" customHeight="1" x14ac:dyDescent="0.25">
      <c r="R380" s="34" t="s">
        <v>6123</v>
      </c>
      <c r="S380" s="451"/>
      <c r="T380" s="31" t="s">
        <v>352</v>
      </c>
      <c r="V380" s="475">
        <v>9</v>
      </c>
      <c r="W380" s="475" t="str">
        <f>IF($AC$380="","",$W$360)</f>
        <v/>
      </c>
      <c r="X380" s="476" t="str">
        <f>IF($AC$380="","",$X$360)</f>
        <v/>
      </c>
      <c r="Y380" s="477" t="str">
        <f>IF($X$380="","",$Y$360)</f>
        <v/>
      </c>
      <c r="Z380" s="477" t="str">
        <f>IF($X$380="","",$Z$360)</f>
        <v/>
      </c>
      <c r="AA380" s="477" t="str">
        <f>IF($AC$380="","",ROW($A$380)-ROW($A$360))</f>
        <v/>
      </c>
      <c r="AB380" s="478"/>
      <c r="AC380" s="34"/>
      <c r="AD380" s="356"/>
      <c r="AE380" s="479"/>
      <c r="AF380" s="475"/>
      <c r="AG380" s="480" t="str">
        <f t="shared" si="100"/>
        <v/>
      </c>
      <c r="AH380" s="481" t="str">
        <f t="shared" si="101"/>
        <v/>
      </c>
      <c r="AI380" s="477" t="str">
        <f>IF($AC$380="","",IFERROR(INDEX($AZ$74:$AZ$119,MATCH($AH$380,$AY$74:$AY$119,0)),"AUTRE"))</f>
        <v/>
      </c>
      <c r="AJ380" s="482" t="str">
        <f>IF($AC$380="","",IFERROR(INDEX($BA$74:$BA$119,MATCH($AH$380,$AY$74:$AY$119,0)),1))</f>
        <v/>
      </c>
      <c r="AK380" s="482" t="str">
        <f t="shared" si="102"/>
        <v/>
      </c>
      <c r="AL380" s="477" t="str">
        <f>IF($AC$380="","",IFERROR(INDEX($BB$74:$BB$119,MATCH($AH$380,$AY$74:$AY$119,0)),$AH$380))</f>
        <v/>
      </c>
      <c r="AM380" s="483" t="str">
        <f t="shared" si="103"/>
        <v/>
      </c>
      <c r="AN380" s="484" t="str">
        <f t="shared" si="104"/>
        <v/>
      </c>
      <c r="AO380" s="473" t="str">
        <f t="shared" si="105"/>
        <v/>
      </c>
      <c r="AP380" s="473" t="str">
        <f t="shared" si="106"/>
        <v/>
      </c>
      <c r="AQ380" s="473" t="str">
        <f t="shared" si="107"/>
        <v/>
      </c>
      <c r="AR380" s="473" t="str">
        <f t="shared" si="108"/>
        <v/>
      </c>
      <c r="AS380" s="473" t="str">
        <f t="shared" si="109"/>
        <v/>
      </c>
      <c r="AT380" s="473" t="str">
        <f t="shared" si="110"/>
        <v/>
      </c>
      <c r="AU380" s="473" t="str">
        <f t="shared" si="111"/>
        <v/>
      </c>
      <c r="AZ380" s="32" t="s">
        <v>322</v>
      </c>
      <c r="BA380" s="34" t="s">
        <v>6122</v>
      </c>
      <c r="BB380" s="499"/>
      <c r="BC380" s="271"/>
      <c r="BD380" s="279">
        <v>1</v>
      </c>
      <c r="BE380" s="271"/>
      <c r="BF380" s="271"/>
      <c r="BG380" s="271"/>
      <c r="BH380" s="271"/>
      <c r="BI380" s="271"/>
      <c r="BJ380" s="271"/>
      <c r="BK380" s="271"/>
      <c r="BL380" s="271"/>
    </row>
    <row r="381" spans="18:64" ht="21" customHeight="1" x14ac:dyDescent="0.25">
      <c r="R381" s="34" t="s">
        <v>6124</v>
      </c>
      <c r="S381" s="451"/>
      <c r="T381" s="31" t="s">
        <v>25</v>
      </c>
      <c r="V381" s="475">
        <v>9</v>
      </c>
      <c r="W381" s="475" t="str">
        <f>IF($AC$381="","",$W$360)</f>
        <v/>
      </c>
      <c r="X381" s="476" t="str">
        <f>IF($AC$381="","",$X$360)</f>
        <v/>
      </c>
      <c r="Y381" s="477" t="str">
        <f>IF($X$381="","",$Y$360)</f>
        <v/>
      </c>
      <c r="Z381" s="477" t="str">
        <f>IF($X$381="","",$Z$360)</f>
        <v/>
      </c>
      <c r="AA381" s="477" t="str">
        <f>IF($AC$381="","",ROW($A$381)-ROW($A$360))</f>
        <v/>
      </c>
      <c r="AB381" s="478"/>
      <c r="AC381" s="34"/>
      <c r="AD381" s="356"/>
      <c r="AE381" s="479"/>
      <c r="AF381" s="475"/>
      <c r="AG381" s="480" t="str">
        <f t="shared" si="100"/>
        <v/>
      </c>
      <c r="AH381" s="481" t="str">
        <f t="shared" si="101"/>
        <v/>
      </c>
      <c r="AI381" s="477" t="str">
        <f>IF($AC$381="","",IFERROR(INDEX($AZ$74:$AZ$119,MATCH($AH$381,$AY$74:$AY$119,0)),"AUTRE"))</f>
        <v/>
      </c>
      <c r="AJ381" s="482" t="str">
        <f>IF($AC$381="","",IFERROR(INDEX($BA$74:$BA$119,MATCH($AH$381,$AY$74:$AY$119,0)),1))</f>
        <v/>
      </c>
      <c r="AK381" s="482" t="str">
        <f t="shared" si="102"/>
        <v/>
      </c>
      <c r="AL381" s="477" t="str">
        <f>IF($AC$381="","",IFERROR(INDEX($BB$74:$BB$119,MATCH($AH$381,$AY$74:$AY$119,0)),$AH$381))</f>
        <v/>
      </c>
      <c r="AM381" s="483" t="str">
        <f t="shared" si="103"/>
        <v/>
      </c>
      <c r="AN381" s="484" t="str">
        <f t="shared" si="104"/>
        <v/>
      </c>
      <c r="AO381" s="473" t="str">
        <f t="shared" si="105"/>
        <v/>
      </c>
      <c r="AP381" s="473" t="str">
        <f t="shared" si="106"/>
        <v/>
      </c>
      <c r="AQ381" s="473" t="str">
        <f t="shared" si="107"/>
        <v/>
      </c>
      <c r="AR381" s="473" t="str">
        <f t="shared" si="108"/>
        <v/>
      </c>
      <c r="AS381" s="473" t="str">
        <f t="shared" si="109"/>
        <v/>
      </c>
      <c r="AT381" s="473" t="str">
        <f t="shared" si="110"/>
        <v/>
      </c>
      <c r="AU381" s="473" t="str">
        <f t="shared" si="111"/>
        <v/>
      </c>
      <c r="AZ381" s="32" t="s">
        <v>305</v>
      </c>
      <c r="BA381" s="34" t="s">
        <v>6123</v>
      </c>
      <c r="BB381" s="499"/>
      <c r="BC381" s="271"/>
      <c r="BD381" s="279">
        <v>1</v>
      </c>
      <c r="BE381" s="271"/>
      <c r="BF381" s="271"/>
      <c r="BG381" s="271"/>
      <c r="BH381" s="271"/>
      <c r="BI381" s="271"/>
      <c r="BJ381" s="271"/>
      <c r="BK381" s="271"/>
      <c r="BL381" s="271"/>
    </row>
    <row r="382" spans="18:64" ht="21" customHeight="1" x14ac:dyDescent="0.25">
      <c r="R382" s="34" t="s">
        <v>6125</v>
      </c>
      <c r="S382" s="451"/>
      <c r="T382" s="31" t="s">
        <v>26</v>
      </c>
      <c r="V382" s="475">
        <v>9</v>
      </c>
      <c r="W382" s="475" t="str">
        <f>IF($AC$382="","",$W$360)</f>
        <v/>
      </c>
      <c r="X382" s="476" t="str">
        <f>IF($AC$382="","",$X$360)</f>
        <v/>
      </c>
      <c r="Y382" s="477" t="str">
        <f>IF($X$382="","",$Y$360)</f>
        <v/>
      </c>
      <c r="Z382" s="477" t="str">
        <f>IF($X$382="","",$Z$360)</f>
        <v/>
      </c>
      <c r="AA382" s="477" t="str">
        <f>IF($AC$382="","",ROW($A$382)-ROW($A$360))</f>
        <v/>
      </c>
      <c r="AB382" s="478"/>
      <c r="AC382" s="34"/>
      <c r="AD382" s="356"/>
      <c r="AE382" s="479"/>
      <c r="AF382" s="475"/>
      <c r="AG382" s="480" t="str">
        <f t="shared" si="100"/>
        <v/>
      </c>
      <c r="AH382" s="481" t="str">
        <f t="shared" si="101"/>
        <v/>
      </c>
      <c r="AI382" s="477" t="str">
        <f>IF($AC$382="","",IFERROR(INDEX($AZ$74:$AZ$119,MATCH($AH$382,$AY$74:$AY$119,0)),"AUTRE"))</f>
        <v/>
      </c>
      <c r="AJ382" s="482" t="str">
        <f>IF($AC$382="","",IFERROR(INDEX($BA$74:$BA$119,MATCH($AH$382,$AY$74:$AY$119,0)),1))</f>
        <v/>
      </c>
      <c r="AK382" s="482" t="str">
        <f t="shared" si="102"/>
        <v/>
      </c>
      <c r="AL382" s="477" t="str">
        <f>IF($AC$382="","",IFERROR(INDEX($BB$74:$BB$119,MATCH($AH$382,$AY$74:$AY$119,0)),$AH$382))</f>
        <v/>
      </c>
      <c r="AM382" s="483" t="str">
        <f t="shared" si="103"/>
        <v/>
      </c>
      <c r="AN382" s="484" t="str">
        <f t="shared" si="104"/>
        <v/>
      </c>
      <c r="AO382" s="473" t="str">
        <f t="shared" si="105"/>
        <v/>
      </c>
      <c r="AP382" s="473" t="str">
        <f t="shared" si="106"/>
        <v/>
      </c>
      <c r="AQ382" s="473" t="str">
        <f t="shared" si="107"/>
        <v/>
      </c>
      <c r="AR382" s="473" t="str">
        <f t="shared" si="108"/>
        <v/>
      </c>
      <c r="AS382" s="473" t="str">
        <f t="shared" si="109"/>
        <v/>
      </c>
      <c r="AT382" s="473" t="str">
        <f t="shared" si="110"/>
        <v/>
      </c>
      <c r="AU382" s="473" t="str">
        <f t="shared" si="111"/>
        <v/>
      </c>
      <c r="AZ382" s="32" t="s">
        <v>8129</v>
      </c>
      <c r="BA382" s="34" t="s">
        <v>6124</v>
      </c>
      <c r="BB382" s="499"/>
      <c r="BC382" s="271"/>
      <c r="BD382" s="279">
        <v>1</v>
      </c>
      <c r="BE382" s="271"/>
      <c r="BF382" s="271"/>
      <c r="BG382" s="271"/>
      <c r="BH382" s="271"/>
      <c r="BI382" s="271"/>
      <c r="BJ382" s="271"/>
      <c r="BK382" s="271"/>
      <c r="BL382" s="271"/>
    </row>
    <row r="383" spans="18:64" ht="21" customHeight="1" x14ac:dyDescent="0.25">
      <c r="R383" s="34" t="s">
        <v>6126</v>
      </c>
      <c r="S383" s="451"/>
      <c r="T383" s="31" t="s">
        <v>27</v>
      </c>
      <c r="V383" s="475">
        <v>9</v>
      </c>
      <c r="W383" s="475" t="str">
        <f>IF($AC$383="","",$W$360)</f>
        <v/>
      </c>
      <c r="X383" s="476" t="str">
        <f>IF($AC$383="","",$X$360)</f>
        <v/>
      </c>
      <c r="Y383" s="477" t="str">
        <f>IF($X$383="","",$Y$360)</f>
        <v/>
      </c>
      <c r="Z383" s="477" t="str">
        <f>IF($X$383="","",$Z$360)</f>
        <v/>
      </c>
      <c r="AA383" s="477" t="str">
        <f>IF($AC$383="","",ROW($A$383)-ROW($A$360))</f>
        <v/>
      </c>
      <c r="AB383" s="478"/>
      <c r="AC383" s="34"/>
      <c r="AD383" s="356"/>
      <c r="AE383" s="479"/>
      <c r="AF383" s="475"/>
      <c r="AG383" s="480" t="str">
        <f t="shared" si="100"/>
        <v/>
      </c>
      <c r="AH383" s="481" t="str">
        <f t="shared" si="101"/>
        <v/>
      </c>
      <c r="AI383" s="477" t="str">
        <f>IF($AC$383="","",IFERROR(INDEX($AZ$74:$AZ$119,MATCH($AH$383,$AY$74:$AY$119,0)),"AUTRE"))</f>
        <v/>
      </c>
      <c r="AJ383" s="482" t="str">
        <f>IF($AC$383="","",IFERROR(INDEX($BA$74:$BA$119,MATCH($AH$383,$AY$74:$AY$119,0)),1))</f>
        <v/>
      </c>
      <c r="AK383" s="482" t="str">
        <f t="shared" si="102"/>
        <v/>
      </c>
      <c r="AL383" s="477" t="str">
        <f>IF($AC$383="","",IFERROR(INDEX($BB$74:$BB$119,MATCH($AH$383,$AY$74:$AY$119,0)),$AH$383))</f>
        <v/>
      </c>
      <c r="AM383" s="483" t="str">
        <f t="shared" si="103"/>
        <v/>
      </c>
      <c r="AN383" s="484" t="str">
        <f t="shared" si="104"/>
        <v/>
      </c>
      <c r="AO383" s="473" t="str">
        <f t="shared" si="105"/>
        <v/>
      </c>
      <c r="AP383" s="473" t="str">
        <f t="shared" si="106"/>
        <v/>
      </c>
      <c r="AQ383" s="473" t="str">
        <f t="shared" si="107"/>
        <v/>
      </c>
      <c r="AR383" s="473" t="str">
        <f t="shared" si="108"/>
        <v/>
      </c>
      <c r="AS383" s="473" t="str">
        <f t="shared" si="109"/>
        <v/>
      </c>
      <c r="AT383" s="473" t="str">
        <f t="shared" si="110"/>
        <v/>
      </c>
      <c r="AU383" s="473" t="str">
        <f t="shared" si="111"/>
        <v/>
      </c>
      <c r="AZ383" s="32" t="s">
        <v>8131</v>
      </c>
      <c r="BA383" s="34" t="s">
        <v>6125</v>
      </c>
      <c r="BB383" s="499"/>
      <c r="BC383" s="271"/>
      <c r="BD383" s="279">
        <v>1</v>
      </c>
      <c r="BE383" s="271"/>
      <c r="BF383" s="271"/>
      <c r="BG383" s="271"/>
      <c r="BH383" s="271"/>
      <c r="BI383" s="271"/>
      <c r="BJ383" s="271"/>
      <c r="BK383" s="271"/>
      <c r="BL383" s="271"/>
    </row>
    <row r="384" spans="18:64" ht="21" customHeight="1" x14ac:dyDescent="0.25">
      <c r="R384" s="34" t="s">
        <v>6127</v>
      </c>
      <c r="S384" s="451"/>
      <c r="T384" s="31" t="s">
        <v>28</v>
      </c>
      <c r="V384" s="475">
        <v>9</v>
      </c>
      <c r="W384" s="475" t="str">
        <f>IF($AC$384="","",$W$360)</f>
        <v/>
      </c>
      <c r="X384" s="476" t="str">
        <f>IF($AC$384="","",$X$360)</f>
        <v/>
      </c>
      <c r="Y384" s="477" t="str">
        <f>IF($X$384="","",$Y$360)</f>
        <v/>
      </c>
      <c r="Z384" s="477" t="str">
        <f>IF($X$384="","",$Z$360)</f>
        <v/>
      </c>
      <c r="AA384" s="477" t="str">
        <f>IF($AC$384="","",ROW($A$384)-ROW($A$360))</f>
        <v/>
      </c>
      <c r="AB384" s="478"/>
      <c r="AC384" s="34"/>
      <c r="AD384" s="356"/>
      <c r="AE384" s="479"/>
      <c r="AF384" s="475"/>
      <c r="AG384" s="480" t="str">
        <f t="shared" si="100"/>
        <v/>
      </c>
      <c r="AH384" s="481" t="str">
        <f t="shared" si="101"/>
        <v/>
      </c>
      <c r="AI384" s="477" t="str">
        <f>IF($AC$384="","",IFERROR(INDEX($AZ$74:$AZ$119,MATCH($AH$384,$AY$74:$AY$119,0)),"AUTRE"))</f>
        <v/>
      </c>
      <c r="AJ384" s="482" t="str">
        <f>IF($AC$384="","",IFERROR(INDEX($BA$74:$BA$119,MATCH($AH$384,$AY$74:$AY$119,0)),1))</f>
        <v/>
      </c>
      <c r="AK384" s="482" t="str">
        <f t="shared" si="102"/>
        <v/>
      </c>
      <c r="AL384" s="477" t="str">
        <f>IF($AC$384="","",IFERROR(INDEX($BB$74:$BB$119,MATCH($AH$384,$AY$74:$AY$119,0)),$AH$384))</f>
        <v/>
      </c>
      <c r="AM384" s="483" t="str">
        <f t="shared" si="103"/>
        <v/>
      </c>
      <c r="AN384" s="484" t="str">
        <f t="shared" si="104"/>
        <v/>
      </c>
      <c r="AO384" s="473" t="str">
        <f t="shared" si="105"/>
        <v/>
      </c>
      <c r="AP384" s="473" t="str">
        <f t="shared" si="106"/>
        <v/>
      </c>
      <c r="AQ384" s="473" t="str">
        <f t="shared" si="107"/>
        <v/>
      </c>
      <c r="AR384" s="473" t="str">
        <f t="shared" si="108"/>
        <v/>
      </c>
      <c r="AS384" s="473" t="str">
        <f t="shared" si="109"/>
        <v/>
      </c>
      <c r="AT384" s="473" t="str">
        <f t="shared" si="110"/>
        <v/>
      </c>
      <c r="AU384" s="473" t="str">
        <f t="shared" si="111"/>
        <v/>
      </c>
      <c r="AZ384" s="32" t="s">
        <v>309</v>
      </c>
      <c r="BA384" s="34" t="s">
        <v>6126</v>
      </c>
      <c r="BB384" s="499"/>
      <c r="BC384" s="271"/>
      <c r="BD384" s="279">
        <v>1</v>
      </c>
      <c r="BE384" s="271"/>
      <c r="BF384" s="271"/>
      <c r="BG384" s="271"/>
      <c r="BH384" s="271"/>
      <c r="BI384" s="271"/>
      <c r="BJ384" s="271"/>
      <c r="BK384" s="271"/>
      <c r="BL384" s="271"/>
    </row>
    <row r="385" spans="18:64" ht="21" customHeight="1" x14ac:dyDescent="0.25">
      <c r="R385" s="25" t="s">
        <v>6128</v>
      </c>
      <c r="S385" s="451"/>
      <c r="T385" s="31" t="s">
        <v>29</v>
      </c>
      <c r="V385" s="475">
        <v>9</v>
      </c>
      <c r="W385" s="475" t="str">
        <f>IF($AC$385="","",$W$360)</f>
        <v/>
      </c>
      <c r="X385" s="476" t="str">
        <f>IF($AC$385="","",$X$360)</f>
        <v/>
      </c>
      <c r="Y385" s="477" t="str">
        <f>IF($X$385="","",$Y$360)</f>
        <v/>
      </c>
      <c r="Z385" s="477" t="str">
        <f>IF($X$385="","",$Z$360)</f>
        <v/>
      </c>
      <c r="AA385" s="477" t="str">
        <f>IF($AC$385="","",ROW($A$385)-ROW($A$360))</f>
        <v/>
      </c>
      <c r="AB385" s="478"/>
      <c r="AC385" s="34"/>
      <c r="AD385" s="356"/>
      <c r="AE385" s="479"/>
      <c r="AF385" s="475"/>
      <c r="AG385" s="480" t="str">
        <f t="shared" si="100"/>
        <v/>
      </c>
      <c r="AH385" s="481" t="str">
        <f t="shared" si="101"/>
        <v/>
      </c>
      <c r="AI385" s="477" t="str">
        <f>IF($AC$385="","",IFERROR(INDEX($AZ$74:$AZ$119,MATCH($AH$385,$AY$74:$AY$119,0)),"AUTRE"))</f>
        <v/>
      </c>
      <c r="AJ385" s="482" t="str">
        <f>IF($AC$385="","",IFERROR(INDEX($BA$74:$BA$119,MATCH($AH$385,$AY$74:$AY$119,0)),1))</f>
        <v/>
      </c>
      <c r="AK385" s="482" t="str">
        <f t="shared" si="102"/>
        <v/>
      </c>
      <c r="AL385" s="477" t="str">
        <f>IF($AC$385="","",IFERROR(INDEX($BB$74:$BB$119,MATCH($AH$385,$AY$74:$AY$119,0)),$AH$385))</f>
        <v/>
      </c>
      <c r="AM385" s="483" t="str">
        <f t="shared" si="103"/>
        <v/>
      </c>
      <c r="AN385" s="484" t="str">
        <f t="shared" si="104"/>
        <v/>
      </c>
      <c r="AO385" s="473" t="str">
        <f t="shared" si="105"/>
        <v/>
      </c>
      <c r="AP385" s="473" t="str">
        <f t="shared" si="106"/>
        <v/>
      </c>
      <c r="AQ385" s="473" t="str">
        <f t="shared" si="107"/>
        <v/>
      </c>
      <c r="AR385" s="473" t="str">
        <f t="shared" si="108"/>
        <v/>
      </c>
      <c r="AS385" s="473" t="str">
        <f t="shared" si="109"/>
        <v/>
      </c>
      <c r="AT385" s="473" t="str">
        <f t="shared" si="110"/>
        <v/>
      </c>
      <c r="AU385" s="473" t="str">
        <f t="shared" si="111"/>
        <v/>
      </c>
      <c r="AZ385" s="32" t="s">
        <v>311</v>
      </c>
      <c r="BA385" s="34" t="s">
        <v>6127</v>
      </c>
      <c r="BB385" s="499"/>
      <c r="BC385" s="271"/>
      <c r="BD385" s="279">
        <v>1</v>
      </c>
      <c r="BE385" s="271"/>
      <c r="BF385" s="271"/>
      <c r="BG385" s="271"/>
      <c r="BH385" s="271"/>
      <c r="BI385" s="271"/>
      <c r="BJ385" s="271"/>
      <c r="BK385" s="271"/>
      <c r="BL385" s="271"/>
    </row>
    <row r="386" spans="18:64" ht="21" customHeight="1" x14ac:dyDescent="0.25">
      <c r="R386" s="34" t="s">
        <v>474</v>
      </c>
      <c r="S386" s="451"/>
      <c r="T386" s="31" t="s">
        <v>30</v>
      </c>
      <c r="V386" s="475">
        <v>9</v>
      </c>
      <c r="W386" s="475" t="str">
        <f>IF($AC$386="","",$W$360)</f>
        <v/>
      </c>
      <c r="X386" s="476" t="str">
        <f>IF($AC$386="","",$X$360)</f>
        <v/>
      </c>
      <c r="Y386" s="477" t="str">
        <f>IF($X$386="","",$Y$360)</f>
        <v/>
      </c>
      <c r="Z386" s="477" t="str">
        <f>IF($X$386="","",$Z$360)</f>
        <v/>
      </c>
      <c r="AA386" s="477" t="str">
        <f>IF($AC$386="","",ROW($A$386)-ROW($A$360))</f>
        <v/>
      </c>
      <c r="AB386" s="478"/>
      <c r="AC386" s="34"/>
      <c r="AD386" s="356"/>
      <c r="AE386" s="479"/>
      <c r="AF386" s="475"/>
      <c r="AG386" s="480" t="str">
        <f t="shared" si="100"/>
        <v/>
      </c>
      <c r="AH386" s="481" t="str">
        <f t="shared" si="101"/>
        <v/>
      </c>
      <c r="AI386" s="477" t="str">
        <f>IF($AC$386="","",IFERROR(INDEX($AZ$74:$AZ$119,MATCH($AH$386,$AY$74:$AY$119,0)),"AUTRE"))</f>
        <v/>
      </c>
      <c r="AJ386" s="482" t="str">
        <f>IF($AC$386="","",IFERROR(INDEX($BA$74:$BA$119,MATCH($AH$386,$AY$74:$AY$119,0)),1))</f>
        <v/>
      </c>
      <c r="AK386" s="482" t="str">
        <f t="shared" si="102"/>
        <v/>
      </c>
      <c r="AL386" s="477" t="str">
        <f>IF($AC$386="","",IFERROR(INDEX($BB$74:$BB$119,MATCH($AH$386,$AY$74:$AY$119,0)),$AH$386))</f>
        <v/>
      </c>
      <c r="AM386" s="483" t="str">
        <f t="shared" si="103"/>
        <v/>
      </c>
      <c r="AN386" s="484" t="str">
        <f t="shared" si="104"/>
        <v/>
      </c>
      <c r="AO386" s="473" t="str">
        <f t="shared" si="105"/>
        <v/>
      </c>
      <c r="AP386" s="473" t="str">
        <f t="shared" si="106"/>
        <v/>
      </c>
      <c r="AQ386" s="473" t="str">
        <f t="shared" si="107"/>
        <v/>
      </c>
      <c r="AR386" s="473" t="str">
        <f t="shared" si="108"/>
        <v/>
      </c>
      <c r="AS386" s="473" t="str">
        <f t="shared" si="109"/>
        <v/>
      </c>
      <c r="AT386" s="473" t="str">
        <f t="shared" si="110"/>
        <v/>
      </c>
      <c r="AU386" s="473" t="str">
        <f t="shared" si="111"/>
        <v/>
      </c>
      <c r="AZ386" s="32" t="s">
        <v>8135</v>
      </c>
      <c r="BA386" s="25" t="s">
        <v>6128</v>
      </c>
      <c r="BB386" s="499"/>
      <c r="BC386" s="271"/>
      <c r="BD386" s="279">
        <v>1</v>
      </c>
      <c r="BE386" s="271"/>
      <c r="BF386" s="271"/>
      <c r="BG386" s="271"/>
      <c r="BH386" s="271"/>
      <c r="BI386" s="271"/>
      <c r="BJ386" s="271"/>
      <c r="BK386" s="271"/>
      <c r="BL386" s="271"/>
    </row>
    <row r="387" spans="18:64" ht="21" customHeight="1" x14ac:dyDescent="0.25">
      <c r="R387" s="34" t="s">
        <v>490</v>
      </c>
      <c r="S387" s="451"/>
      <c r="T387" s="31" t="s">
        <v>31</v>
      </c>
      <c r="V387" s="475">
        <v>9</v>
      </c>
      <c r="W387" s="475" t="str">
        <f>IF($AC$387="","",$W$360)</f>
        <v/>
      </c>
      <c r="X387" s="476" t="str">
        <f>IF($AC$387="","",$X$360)</f>
        <v/>
      </c>
      <c r="Y387" s="477" t="str">
        <f>IF($X$387="","",$Y$360)</f>
        <v/>
      </c>
      <c r="Z387" s="477" t="str">
        <f>IF($X$387="","",$Z$360)</f>
        <v/>
      </c>
      <c r="AA387" s="477" t="str">
        <f>IF($AC$387="","",ROW($A$387)-ROW($A$360))</f>
        <v/>
      </c>
      <c r="AB387" s="478"/>
      <c r="AC387" s="34"/>
      <c r="AD387" s="356"/>
      <c r="AE387" s="479"/>
      <c r="AF387" s="475"/>
      <c r="AG387" s="480" t="str">
        <f t="shared" si="100"/>
        <v/>
      </c>
      <c r="AH387" s="481" t="str">
        <f t="shared" si="101"/>
        <v/>
      </c>
      <c r="AI387" s="477" t="str">
        <f>IF($AC$387="","",IFERROR(INDEX($AZ$74:$AZ$119,MATCH($AH$387,$AY$74:$AY$119,0)),"AUTRE"))</f>
        <v/>
      </c>
      <c r="AJ387" s="482" t="str">
        <f>IF($AC$387="","",IFERROR(INDEX($BA$74:$BA$119,MATCH($AH$387,$AY$74:$AY$119,0)),1))</f>
        <v/>
      </c>
      <c r="AK387" s="482" t="str">
        <f t="shared" si="102"/>
        <v/>
      </c>
      <c r="AL387" s="477" t="str">
        <f>IF($AC$387="","",IFERROR(INDEX($BB$74:$BB$119,MATCH($AH$387,$AY$74:$AY$119,0)),$AH$387))</f>
        <v/>
      </c>
      <c r="AM387" s="483" t="str">
        <f t="shared" si="103"/>
        <v/>
      </c>
      <c r="AN387" s="484" t="str">
        <f t="shared" si="104"/>
        <v/>
      </c>
      <c r="AO387" s="473" t="str">
        <f t="shared" si="105"/>
        <v/>
      </c>
      <c r="AP387" s="473" t="str">
        <f t="shared" si="106"/>
        <v/>
      </c>
      <c r="AQ387" s="473" t="str">
        <f t="shared" si="107"/>
        <v/>
      </c>
      <c r="AR387" s="473" t="str">
        <f t="shared" si="108"/>
        <v/>
      </c>
      <c r="AS387" s="473" t="str">
        <f t="shared" si="109"/>
        <v/>
      </c>
      <c r="AT387" s="473" t="str">
        <f t="shared" si="110"/>
        <v/>
      </c>
      <c r="AU387" s="473" t="str">
        <f t="shared" si="111"/>
        <v/>
      </c>
      <c r="AZ387" s="32" t="s">
        <v>8137</v>
      </c>
      <c r="BA387" s="34" t="s">
        <v>474</v>
      </c>
      <c r="BB387" s="499"/>
      <c r="BC387" s="271"/>
      <c r="BD387" s="279">
        <v>1</v>
      </c>
      <c r="BE387" s="271"/>
      <c r="BF387" s="271"/>
      <c r="BG387" s="271"/>
      <c r="BH387" s="271"/>
      <c r="BI387" s="271"/>
      <c r="BJ387" s="271"/>
      <c r="BK387" s="271"/>
      <c r="BL387" s="271"/>
    </row>
    <row r="388" spans="18:64" ht="21" customHeight="1" x14ac:dyDescent="0.25">
      <c r="R388" s="34" t="s">
        <v>6129</v>
      </c>
      <c r="S388" s="451"/>
      <c r="T388" s="32" t="s">
        <v>33</v>
      </c>
      <c r="V388" s="475">
        <v>9</v>
      </c>
      <c r="W388" s="475" t="str">
        <f>IF($AC$388="","",$W$360)</f>
        <v/>
      </c>
      <c r="X388" s="476" t="str">
        <f>IF($AC$388="","",$X$360)</f>
        <v/>
      </c>
      <c r="Y388" s="477" t="str">
        <f>IF($X$388="","",$Y$360)</f>
        <v/>
      </c>
      <c r="Z388" s="477" t="str">
        <f>IF($X$388="","",$Z$360)</f>
        <v/>
      </c>
      <c r="AA388" s="477" t="str">
        <f>IF($AC$388="","",ROW($A$388)-ROW($A$360))</f>
        <v/>
      </c>
      <c r="AB388" s="478"/>
      <c r="AC388" s="34"/>
      <c r="AD388" s="356"/>
      <c r="AE388" s="479"/>
      <c r="AF388" s="475"/>
      <c r="AG388" s="480" t="str">
        <f t="shared" si="100"/>
        <v/>
      </c>
      <c r="AH388" s="481" t="str">
        <f t="shared" si="101"/>
        <v/>
      </c>
      <c r="AI388" s="477" t="str">
        <f>IF($AC$388="","",IFERROR(INDEX($AZ$74:$AZ$119,MATCH($AH$388,$AY$74:$AY$119,0)),"AUTRE"))</f>
        <v/>
      </c>
      <c r="AJ388" s="482" t="str">
        <f>IF($AC$388="","",IFERROR(INDEX($BA$74:$BA$119,MATCH($AH$388,$AY$74:$AY$119,0)),1))</f>
        <v/>
      </c>
      <c r="AK388" s="482" t="str">
        <f t="shared" si="102"/>
        <v/>
      </c>
      <c r="AL388" s="477" t="str">
        <f>IF($AC$388="","",IFERROR(INDEX($BB$74:$BB$119,MATCH($AH$388,$AY$74:$AY$119,0)),$AH$388))</f>
        <v/>
      </c>
      <c r="AM388" s="483" t="str">
        <f t="shared" si="103"/>
        <v/>
      </c>
      <c r="AN388" s="484" t="str">
        <f t="shared" si="104"/>
        <v/>
      </c>
      <c r="AO388" s="473" t="str">
        <f t="shared" si="105"/>
        <v/>
      </c>
      <c r="AP388" s="473" t="str">
        <f t="shared" si="106"/>
        <v/>
      </c>
      <c r="AQ388" s="473" t="str">
        <f t="shared" si="107"/>
        <v/>
      </c>
      <c r="AR388" s="473" t="str">
        <f t="shared" si="108"/>
        <v/>
      </c>
      <c r="AS388" s="473" t="str">
        <f t="shared" si="109"/>
        <v/>
      </c>
      <c r="AT388" s="473" t="str">
        <f t="shared" si="110"/>
        <v/>
      </c>
      <c r="AU388" s="473" t="str">
        <f t="shared" si="111"/>
        <v/>
      </c>
      <c r="AY388" s="271"/>
      <c r="AZ388" s="32" t="s">
        <v>8139</v>
      </c>
      <c r="BA388" s="34" t="s">
        <v>490</v>
      </c>
      <c r="BB388" s="499"/>
      <c r="BC388" s="271"/>
      <c r="BD388" s="279">
        <v>1</v>
      </c>
      <c r="BE388" s="271"/>
      <c r="BF388" s="271"/>
      <c r="BG388" s="271"/>
      <c r="BH388" s="271"/>
      <c r="BI388" s="271"/>
      <c r="BJ388" s="271"/>
      <c r="BK388" s="271"/>
      <c r="BL388" s="271"/>
    </row>
    <row r="389" spans="18:64" ht="21" customHeight="1" x14ac:dyDescent="0.25">
      <c r="R389" s="34" t="s">
        <v>478</v>
      </c>
      <c r="S389" s="451"/>
      <c r="T389" s="32" t="s">
        <v>8125</v>
      </c>
      <c r="V389" s="475">
        <v>9</v>
      </c>
      <c r="W389" s="475" t="str">
        <f>IF($AC$389="","",$W$360)</f>
        <v/>
      </c>
      <c r="X389" s="476" t="str">
        <f>IF($AC$389="","",$X$360)</f>
        <v/>
      </c>
      <c r="Y389" s="477" t="str">
        <f>IF($X$389="","",$Y$360)</f>
        <v/>
      </c>
      <c r="Z389" s="477" t="str">
        <f>IF($X$389="","",$Z$360)</f>
        <v/>
      </c>
      <c r="AA389" s="477" t="str">
        <f>IF($AC$389="","",ROW($A$389)-ROW($A$360))</f>
        <v/>
      </c>
      <c r="AB389" s="478"/>
      <c r="AC389" s="34"/>
      <c r="AD389" s="356"/>
      <c r="AE389" s="479"/>
      <c r="AF389" s="475"/>
      <c r="AG389" s="480" t="str">
        <f t="shared" si="100"/>
        <v/>
      </c>
      <c r="AH389" s="481" t="str">
        <f t="shared" si="101"/>
        <v/>
      </c>
      <c r="AI389" s="477" t="str">
        <f>IF($AC$389="","",IFERROR(INDEX($AZ$74:$AZ$119,MATCH($AH$389,$AY$74:$AY$119,0)),"AUTRE"))</f>
        <v/>
      </c>
      <c r="AJ389" s="482" t="str">
        <f>IF($AC$389="","",IFERROR(INDEX($BA$74:$BA$119,MATCH($AH$389,$AY$74:$AY$119,0)),1))</f>
        <v/>
      </c>
      <c r="AK389" s="482" t="str">
        <f t="shared" si="102"/>
        <v/>
      </c>
      <c r="AL389" s="477" t="str">
        <f>IF($AC$389="","",IFERROR(INDEX($BB$74:$BB$119,MATCH($AH$389,$AY$74:$AY$119,0)),$AH$389))</f>
        <v/>
      </c>
      <c r="AM389" s="483" t="str">
        <f t="shared" si="103"/>
        <v/>
      </c>
      <c r="AN389" s="484" t="str">
        <f t="shared" si="104"/>
        <v/>
      </c>
      <c r="AO389" s="473" t="str">
        <f t="shared" si="105"/>
        <v/>
      </c>
      <c r="AP389" s="473" t="str">
        <f t="shared" si="106"/>
        <v/>
      </c>
      <c r="AQ389" s="473" t="str">
        <f t="shared" si="107"/>
        <v/>
      </c>
      <c r="AR389" s="473" t="str">
        <f t="shared" si="108"/>
        <v/>
      </c>
      <c r="AS389" s="473" t="str">
        <f t="shared" si="109"/>
        <v/>
      </c>
      <c r="AT389" s="473" t="str">
        <f t="shared" si="110"/>
        <v/>
      </c>
      <c r="AU389" s="473" t="str">
        <f t="shared" si="111"/>
        <v/>
      </c>
      <c r="AY389" s="497" t="s">
        <v>8145</v>
      </c>
      <c r="AZ389" s="32" t="s">
        <v>8141</v>
      </c>
      <c r="BA389" s="34" t="s">
        <v>6129</v>
      </c>
      <c r="BB389" s="499"/>
      <c r="BC389" s="271"/>
      <c r="BD389" s="279">
        <v>1</v>
      </c>
      <c r="BE389" s="271"/>
      <c r="BF389" s="271"/>
      <c r="BG389" s="271"/>
      <c r="BH389" s="271"/>
      <c r="BI389" s="271"/>
      <c r="BJ389" s="271"/>
      <c r="BK389" s="271"/>
      <c r="BL389" s="271"/>
    </row>
    <row r="390" spans="18:64" ht="21" customHeight="1" x14ac:dyDescent="0.25">
      <c r="R390" s="34" t="s">
        <v>6130</v>
      </c>
      <c r="S390" s="451"/>
      <c r="T390" s="32" t="s">
        <v>8127</v>
      </c>
      <c r="V390" s="475">
        <v>9</v>
      </c>
      <c r="W390" s="475" t="str">
        <f>IF($AC$390="","",$W$360)</f>
        <v/>
      </c>
      <c r="X390" s="476" t="str">
        <f>IF($AC$390="","",$X$360)</f>
        <v/>
      </c>
      <c r="Y390" s="477" t="str">
        <f>IF($X$390="","",$Y$360)</f>
        <v/>
      </c>
      <c r="Z390" s="477" t="str">
        <f>IF($X$390="","",$Z$360)</f>
        <v/>
      </c>
      <c r="AA390" s="477" t="str">
        <f>IF($AC$390="","",ROW($A$390)-ROW($A$360))</f>
        <v/>
      </c>
      <c r="AB390" s="478"/>
      <c r="AC390" s="34"/>
      <c r="AD390" s="356"/>
      <c r="AE390" s="479"/>
      <c r="AF390" s="475"/>
      <c r="AG390" s="480" t="str">
        <f t="shared" si="100"/>
        <v/>
      </c>
      <c r="AH390" s="481" t="str">
        <f t="shared" si="101"/>
        <v/>
      </c>
      <c r="AI390" s="477" t="str">
        <f>IF($AC$390="","",IFERROR(INDEX($AZ$74:$AZ$119,MATCH($AH$390,$AY$74:$AY$119,0)),"AUTRE"))</f>
        <v/>
      </c>
      <c r="AJ390" s="482" t="str">
        <f>IF($AC$390="","",IFERROR(INDEX($BA$74:$BA$119,MATCH($AH$390,$AY$74:$AY$119,0)),1))</f>
        <v/>
      </c>
      <c r="AK390" s="482" t="str">
        <f t="shared" si="102"/>
        <v/>
      </c>
      <c r="AL390" s="477" t="str">
        <f>IF($AC$390="","",IFERROR(INDEX($BB$74:$BB$119,MATCH($AH$390,$AY$74:$AY$119,0)),$AH$390))</f>
        <v/>
      </c>
      <c r="AM390" s="483" t="str">
        <f t="shared" si="103"/>
        <v/>
      </c>
      <c r="AN390" s="484" t="str">
        <f t="shared" si="104"/>
        <v/>
      </c>
      <c r="AO390" s="473" t="str">
        <f t="shared" si="105"/>
        <v/>
      </c>
      <c r="AP390" s="473" t="str">
        <f t="shared" si="106"/>
        <v/>
      </c>
      <c r="AQ390" s="473" t="str">
        <f t="shared" si="107"/>
        <v/>
      </c>
      <c r="AR390" s="473" t="str">
        <f t="shared" si="108"/>
        <v/>
      </c>
      <c r="AS390" s="473" t="str">
        <f t="shared" si="109"/>
        <v/>
      </c>
      <c r="AT390" s="473" t="str">
        <f t="shared" si="110"/>
        <v/>
      </c>
      <c r="AU390" s="473" t="str">
        <f t="shared" si="111"/>
        <v/>
      </c>
      <c r="AY390" s="497" t="s">
        <v>462</v>
      </c>
      <c r="AZ390" s="32" t="s">
        <v>8143</v>
      </c>
      <c r="BA390" s="34" t="s">
        <v>478</v>
      </c>
      <c r="BB390" s="499"/>
      <c r="BC390" s="271"/>
      <c r="BD390" s="279">
        <v>1</v>
      </c>
      <c r="BE390" s="271"/>
      <c r="BF390" s="271"/>
      <c r="BG390" s="271"/>
      <c r="BH390" s="271"/>
      <c r="BI390" s="271"/>
      <c r="BJ390" s="271"/>
      <c r="BK390" s="271"/>
      <c r="BL390" s="271"/>
    </row>
    <row r="391" spans="18:64" ht="21" customHeight="1" x14ac:dyDescent="0.25">
      <c r="R391" s="34" t="s">
        <v>486</v>
      </c>
      <c r="S391" s="451"/>
      <c r="T391" s="32" t="s">
        <v>320</v>
      </c>
      <c r="V391" s="475">
        <v>9</v>
      </c>
      <c r="W391" s="475" t="str">
        <f>IF($AC$391="","",$W$360)</f>
        <v/>
      </c>
      <c r="X391" s="476" t="str">
        <f>IF($AC$391="","",$X$360)</f>
        <v/>
      </c>
      <c r="Y391" s="477" t="str">
        <f>IF($X$391="","",$Y$360)</f>
        <v/>
      </c>
      <c r="Z391" s="477" t="str">
        <f>IF($X$391="","",$Z$360)</f>
        <v/>
      </c>
      <c r="AA391" s="477" t="str">
        <f>IF($AC$391="","",ROW($A$391)-ROW($A$360))</f>
        <v/>
      </c>
      <c r="AB391" s="478"/>
      <c r="AC391" s="34"/>
      <c r="AD391" s="356"/>
      <c r="AE391" s="479"/>
      <c r="AF391" s="475"/>
      <c r="AG391" s="480" t="str">
        <f t="shared" si="100"/>
        <v/>
      </c>
      <c r="AH391" s="481" t="str">
        <f t="shared" si="101"/>
        <v/>
      </c>
      <c r="AI391" s="477" t="str">
        <f>IF($AC$391="","",IFERROR(INDEX($AZ$74:$AZ$119,MATCH($AH$391,$AY$74:$AY$119,0)),"AUTRE"))</f>
        <v/>
      </c>
      <c r="AJ391" s="482" t="str">
        <f>IF($AC$391="","",IFERROR(INDEX($BA$74:$BA$119,MATCH($AH$391,$AY$74:$AY$119,0)),1))</f>
        <v/>
      </c>
      <c r="AK391" s="482" t="str">
        <f t="shared" si="102"/>
        <v/>
      </c>
      <c r="AL391" s="477" t="str">
        <f>IF($AC$391="","",IFERROR(INDEX($BB$74:$BB$119,MATCH($AH$391,$AY$74:$AY$119,0)),$AH$391))</f>
        <v/>
      </c>
      <c r="AM391" s="483" t="str">
        <f t="shared" si="103"/>
        <v/>
      </c>
      <c r="AN391" s="484" t="str">
        <f t="shared" si="104"/>
        <v/>
      </c>
      <c r="AO391" s="473" t="str">
        <f t="shared" si="105"/>
        <v/>
      </c>
      <c r="AP391" s="473" t="str">
        <f t="shared" si="106"/>
        <v/>
      </c>
      <c r="AQ391" s="473" t="str">
        <f t="shared" si="107"/>
        <v/>
      </c>
      <c r="AR391" s="473" t="str">
        <f t="shared" si="108"/>
        <v/>
      </c>
      <c r="AS391" s="473" t="str">
        <f t="shared" si="109"/>
        <v/>
      </c>
      <c r="AT391" s="473" t="str">
        <f t="shared" si="110"/>
        <v/>
      </c>
      <c r="AU391" s="473" t="str">
        <f t="shared" si="111"/>
        <v/>
      </c>
      <c r="AY391" s="497" t="s">
        <v>463</v>
      </c>
      <c r="AZ391" s="497" t="s">
        <v>8145</v>
      </c>
      <c r="BA391" s="34" t="s">
        <v>6130</v>
      </c>
      <c r="BB391" s="499"/>
      <c r="BC391" s="271"/>
      <c r="BD391" s="279">
        <v>1</v>
      </c>
      <c r="BE391" s="271"/>
      <c r="BF391" s="271"/>
      <c r="BG391" s="271"/>
      <c r="BH391" s="271"/>
      <c r="BI391" s="271"/>
      <c r="BJ391" s="271"/>
      <c r="BK391" s="271"/>
      <c r="BL391" s="271"/>
    </row>
    <row r="392" spans="18:64" ht="21" customHeight="1" x14ac:dyDescent="0.25">
      <c r="R392" s="34" t="s">
        <v>479</v>
      </c>
      <c r="S392" s="451"/>
      <c r="T392" s="32" t="s">
        <v>318</v>
      </c>
      <c r="V392" s="475">
        <v>9</v>
      </c>
      <c r="W392" s="475" t="str">
        <f>IF($AC$392="","",$W$360)</f>
        <v/>
      </c>
      <c r="X392" s="476" t="str">
        <f>IF($AC$392="","",$X$360)</f>
        <v/>
      </c>
      <c r="Y392" s="477" t="str">
        <f>IF($X$392="","",$Y$360)</f>
        <v/>
      </c>
      <c r="Z392" s="477" t="str">
        <f>IF($X$392="","",$Z$360)</f>
        <v/>
      </c>
      <c r="AA392" s="477" t="str">
        <f>IF($AC$392="","",ROW($A$392)-ROW($A$360))</f>
        <v/>
      </c>
      <c r="AB392" s="478"/>
      <c r="AC392" s="34"/>
      <c r="AD392" s="356"/>
      <c r="AE392" s="479"/>
      <c r="AF392" s="475"/>
      <c r="AG392" s="480" t="str">
        <f t="shared" si="100"/>
        <v/>
      </c>
      <c r="AH392" s="481" t="str">
        <f t="shared" si="101"/>
        <v/>
      </c>
      <c r="AI392" s="477" t="str">
        <f>IF($AC$392="","",IFERROR(INDEX($AZ$74:$AZ$119,MATCH($AH$392,$AY$74:$AY$119,0)),"AUTRE"))</f>
        <v/>
      </c>
      <c r="AJ392" s="482" t="str">
        <f>IF($AC$392="","",IFERROR(INDEX($BA$74:$BA$119,MATCH($AH$392,$AY$74:$AY$119,0)),1))</f>
        <v/>
      </c>
      <c r="AK392" s="482" t="str">
        <f t="shared" si="102"/>
        <v/>
      </c>
      <c r="AL392" s="477" t="str">
        <f>IF($AC$392="","",IFERROR(INDEX($BB$74:$BB$119,MATCH($AH$392,$AY$74:$AY$119,0)),$AH$392))</f>
        <v/>
      </c>
      <c r="AM392" s="483" t="str">
        <f t="shared" si="103"/>
        <v/>
      </c>
      <c r="AN392" s="484" t="str">
        <f t="shared" si="104"/>
        <v/>
      </c>
      <c r="AO392" s="473" t="str">
        <f t="shared" si="105"/>
        <v/>
      </c>
      <c r="AP392" s="473" t="str">
        <f t="shared" si="106"/>
        <v/>
      </c>
      <c r="AQ392" s="473" t="str">
        <f t="shared" si="107"/>
        <v/>
      </c>
      <c r="AR392" s="473" t="str">
        <f t="shared" si="108"/>
        <v/>
      </c>
      <c r="AS392" s="473" t="str">
        <f t="shared" si="109"/>
        <v/>
      </c>
      <c r="AT392" s="473" t="str">
        <f t="shared" si="110"/>
        <v/>
      </c>
      <c r="AU392" s="473" t="str">
        <f t="shared" si="111"/>
        <v/>
      </c>
      <c r="AY392" s="497" t="s">
        <v>8147</v>
      </c>
      <c r="AZ392" s="497" t="s">
        <v>462</v>
      </c>
      <c r="BA392" s="34" t="s">
        <v>486</v>
      </c>
      <c r="BB392" s="499"/>
      <c r="BC392" s="271"/>
      <c r="BD392" s="279">
        <v>1</v>
      </c>
      <c r="BE392" s="271"/>
      <c r="BF392" s="271"/>
      <c r="BG392" s="271"/>
      <c r="BH392" s="271"/>
      <c r="BI392" s="271"/>
      <c r="BJ392" s="271"/>
      <c r="BK392" s="271"/>
      <c r="BL392" s="271"/>
    </row>
    <row r="393" spans="18:64" ht="21" customHeight="1" x14ac:dyDescent="0.25">
      <c r="R393" s="34" t="s">
        <v>6131</v>
      </c>
      <c r="S393" s="451"/>
      <c r="T393" s="32" t="s">
        <v>316</v>
      </c>
      <c r="V393" s="475">
        <v>9</v>
      </c>
      <c r="W393" s="475" t="str">
        <f>IF($AC$393="","",$W$360)</f>
        <v/>
      </c>
      <c r="X393" s="476" t="str">
        <f>IF($AC$393="","",$X$360)</f>
        <v/>
      </c>
      <c r="Y393" s="477" t="str">
        <f>IF($X$393="","",$Y$360)</f>
        <v/>
      </c>
      <c r="Z393" s="477" t="str">
        <f>IF($X$393="","",$Z$360)</f>
        <v/>
      </c>
      <c r="AA393" s="477" t="str">
        <f>IF($AC$393="","",ROW($A$393)-ROW($A$360))</f>
        <v/>
      </c>
      <c r="AB393" s="478"/>
      <c r="AC393" s="34"/>
      <c r="AD393" s="356"/>
      <c r="AE393" s="479"/>
      <c r="AF393" s="475"/>
      <c r="AG393" s="480" t="str">
        <f t="shared" si="100"/>
        <v/>
      </c>
      <c r="AH393" s="481" t="str">
        <f t="shared" si="101"/>
        <v/>
      </c>
      <c r="AI393" s="477" t="str">
        <f>IF($AC$393="","",IFERROR(INDEX($AZ$74:$AZ$119,MATCH($AH$393,$AY$74:$AY$119,0)),"AUTRE"))</f>
        <v/>
      </c>
      <c r="AJ393" s="482" t="str">
        <f>IF($AC$393="","",IFERROR(INDEX($BA$74:$BA$119,MATCH($AH$393,$AY$74:$AY$119,0)),1))</f>
        <v/>
      </c>
      <c r="AK393" s="482" t="str">
        <f t="shared" si="102"/>
        <v/>
      </c>
      <c r="AL393" s="477" t="str">
        <f>IF($AC$393="","",IFERROR(INDEX($BB$74:$BB$119,MATCH($AH$393,$AY$74:$AY$119,0)),$AH$393))</f>
        <v/>
      </c>
      <c r="AM393" s="483" t="str">
        <f t="shared" si="103"/>
        <v/>
      </c>
      <c r="AN393" s="484" t="str">
        <f t="shared" si="104"/>
        <v/>
      </c>
      <c r="AO393" s="473" t="str">
        <f t="shared" si="105"/>
        <v/>
      </c>
      <c r="AP393" s="473" t="str">
        <f t="shared" si="106"/>
        <v/>
      </c>
      <c r="AQ393" s="473" t="str">
        <f t="shared" si="107"/>
        <v/>
      </c>
      <c r="AR393" s="473" t="str">
        <f t="shared" si="108"/>
        <v/>
      </c>
      <c r="AS393" s="473" t="str">
        <f t="shared" si="109"/>
        <v/>
      </c>
      <c r="AT393" s="473" t="str">
        <f t="shared" si="110"/>
        <v/>
      </c>
      <c r="AU393" s="473" t="str">
        <f t="shared" si="111"/>
        <v/>
      </c>
      <c r="AY393" s="497" t="s">
        <v>465</v>
      </c>
      <c r="AZ393" s="497" t="s">
        <v>463</v>
      </c>
      <c r="BA393" s="34" t="s">
        <v>479</v>
      </c>
      <c r="BB393" s="499"/>
      <c r="BC393" s="271"/>
      <c r="BD393" s="279">
        <v>1</v>
      </c>
      <c r="BE393" s="271"/>
      <c r="BF393" s="271"/>
      <c r="BG393" s="271"/>
      <c r="BH393" s="271"/>
      <c r="BI393" s="271"/>
      <c r="BJ393" s="271"/>
      <c r="BK393" s="271"/>
      <c r="BL393" s="271"/>
    </row>
    <row r="394" spans="18:64" ht="21" customHeight="1" x14ac:dyDescent="0.25">
      <c r="R394" s="34" t="s">
        <v>485</v>
      </c>
      <c r="S394" s="451"/>
      <c r="T394" s="32" t="s">
        <v>313</v>
      </c>
      <c r="V394" s="475">
        <v>9</v>
      </c>
      <c r="W394" s="475" t="str">
        <f>IF($AC$394="","",$W$360)</f>
        <v/>
      </c>
      <c r="X394" s="476" t="str">
        <f>IF($AC$394="","",$X$360)</f>
        <v/>
      </c>
      <c r="Y394" s="477" t="str">
        <f>IF($X$394="","",$Y$360)</f>
        <v/>
      </c>
      <c r="Z394" s="477" t="str">
        <f>IF($X$394="","",$Z$360)</f>
        <v/>
      </c>
      <c r="AA394" s="477" t="str">
        <f>IF($AC$394="","",ROW($A$394)-ROW($A$360))</f>
        <v/>
      </c>
      <c r="AB394" s="478"/>
      <c r="AC394" s="34"/>
      <c r="AD394" s="356"/>
      <c r="AE394" s="479"/>
      <c r="AF394" s="475"/>
      <c r="AG394" s="491" t="str">
        <f t="shared" si="100"/>
        <v/>
      </c>
      <c r="AH394" s="481" t="str">
        <f t="shared" si="101"/>
        <v/>
      </c>
      <c r="AI394" s="477" t="str">
        <f>IF($AC$394="","",IFERROR(INDEX($AZ$74:$AZ$119,MATCH($AH$394,$AY$74:$AY$119,0)),"AUTRE"))</f>
        <v/>
      </c>
      <c r="AJ394" s="482" t="str">
        <f>IF($AC$394="","",IFERROR(INDEX($BA$74:$BA$119,MATCH($AH$394,$AY$74:$AY$119,0)),1))</f>
        <v/>
      </c>
      <c r="AK394" s="482" t="str">
        <f t="shared" si="102"/>
        <v/>
      </c>
      <c r="AL394" s="477" t="str">
        <f>IF($AC$394="","",IFERROR(INDEX($BB$74:$BB$119,MATCH($AH$394,$AY$74:$AY$119,0)),$AH$394))</f>
        <v/>
      </c>
      <c r="AM394" s="483" t="str">
        <f t="shared" si="103"/>
        <v/>
      </c>
      <c r="AN394" s="484" t="str">
        <f t="shared" si="104"/>
        <v/>
      </c>
      <c r="AO394" s="473" t="str">
        <f t="shared" si="105"/>
        <v/>
      </c>
      <c r="AP394" s="473" t="str">
        <f t="shared" si="106"/>
        <v/>
      </c>
      <c r="AQ394" s="473" t="str">
        <f t="shared" si="107"/>
        <v/>
      </c>
      <c r="AR394" s="473" t="str">
        <f t="shared" si="108"/>
        <v/>
      </c>
      <c r="AS394" s="473" t="str">
        <f t="shared" si="109"/>
        <v/>
      </c>
      <c r="AT394" s="473" t="str">
        <f t="shared" si="110"/>
        <v/>
      </c>
      <c r="AU394" s="473" t="str">
        <f t="shared" si="111"/>
        <v/>
      </c>
      <c r="AY394" s="497" t="s">
        <v>466</v>
      </c>
      <c r="AZ394" s="497" t="s">
        <v>8147</v>
      </c>
      <c r="BA394" s="34" t="s">
        <v>6131</v>
      </c>
      <c r="BB394" s="499"/>
      <c r="BC394" s="271"/>
      <c r="BD394" s="279">
        <v>1</v>
      </c>
      <c r="BE394" s="271"/>
      <c r="BF394" s="271"/>
      <c r="BG394" s="271"/>
      <c r="BH394" s="271"/>
      <c r="BI394" s="271"/>
      <c r="BJ394" s="271"/>
      <c r="BK394" s="271"/>
      <c r="BL394" s="271"/>
    </row>
    <row r="395" spans="18:64" ht="30" customHeight="1" x14ac:dyDescent="0.25">
      <c r="R395" s="34" t="s">
        <v>6132</v>
      </c>
      <c r="S395" s="451"/>
      <c r="T395" s="32" t="s">
        <v>307</v>
      </c>
      <c r="V395" s="453" t="s">
        <v>324</v>
      </c>
      <c r="W395" s="453" t="s">
        <v>7912</v>
      </c>
      <c r="X395" s="453" t="s">
        <v>326</v>
      </c>
      <c r="Y395" s="453" t="s">
        <v>327</v>
      </c>
      <c r="Z395" s="454" t="s">
        <v>7930</v>
      </c>
      <c r="AA395" s="453" t="s">
        <v>7937</v>
      </c>
      <c r="AB395" s="501" t="s">
        <v>39</v>
      </c>
      <c r="AC395" s="501" t="s">
        <v>338</v>
      </c>
      <c r="AD395" s="501" t="s">
        <v>8114</v>
      </c>
      <c r="AE395" s="501" t="s">
        <v>339</v>
      </c>
      <c r="AF395" s="501" t="s">
        <v>7997</v>
      </c>
      <c r="AG395" s="453" t="s">
        <v>8018</v>
      </c>
      <c r="AH395" s="453" t="s">
        <v>8023</v>
      </c>
      <c r="AI395" s="453" t="s">
        <v>330</v>
      </c>
      <c r="AJ395" s="453" t="s">
        <v>8031</v>
      </c>
      <c r="AK395" s="453" t="s">
        <v>8037</v>
      </c>
      <c r="AL395" s="453" t="s">
        <v>8041</v>
      </c>
      <c r="AM395" s="453" t="s">
        <v>343</v>
      </c>
      <c r="AN395" s="457" t="s">
        <v>8115</v>
      </c>
      <c r="AO395" s="457" t="s">
        <v>8116</v>
      </c>
      <c r="AP395" s="656" t="s">
        <v>8117</v>
      </c>
      <c r="AQ395" s="656"/>
      <c r="AR395" s="656"/>
      <c r="AS395" s="656"/>
      <c r="AT395" s="656"/>
      <c r="AU395" s="657"/>
      <c r="AZ395" s="497" t="s">
        <v>465</v>
      </c>
      <c r="BA395" s="34" t="s">
        <v>485</v>
      </c>
      <c r="BB395" s="499"/>
      <c r="BC395" s="271"/>
      <c r="BD395" s="279">
        <v>1</v>
      </c>
      <c r="BE395" s="271"/>
      <c r="BF395" s="271"/>
      <c r="BG395" s="271"/>
      <c r="BH395" s="271"/>
      <c r="BI395" s="271"/>
      <c r="BJ395" s="271"/>
      <c r="BK395" s="271"/>
      <c r="BL395" s="271"/>
    </row>
    <row r="396" spans="18:64" ht="30" customHeight="1" x14ac:dyDescent="0.25">
      <c r="R396" s="25" t="s">
        <v>6133</v>
      </c>
      <c r="S396" s="451"/>
      <c r="T396" s="32" t="s">
        <v>322</v>
      </c>
      <c r="V396" s="459">
        <v>10</v>
      </c>
      <c r="W396" s="460" t="s">
        <v>8159</v>
      </c>
      <c r="X396" s="461" t="s">
        <v>8164</v>
      </c>
      <c r="Y396" s="502"/>
      <c r="Z396" s="463">
        <v>100</v>
      </c>
      <c r="AA396" s="464">
        <f>IF($AC$396="","",ROW($A$396)-ROW($A$396))</f>
        <v>0</v>
      </c>
      <c r="AB396" s="461"/>
      <c r="AC396" s="465" t="s">
        <v>8165</v>
      </c>
      <c r="AD396" s="390"/>
      <c r="AE396" s="390"/>
      <c r="AF396" s="466"/>
      <c r="AG396" s="467" t="str">
        <f t="shared" ref="AG396:AG430" si="112">IF($AC396="","",IF(LEN($AN396&amp;"")=0,"",$AN396))</f>
        <v/>
      </c>
      <c r="AH396" s="468" t="str">
        <f t="shared" ref="AH396:AH430" si="113">IF($AC396="","",IF($AF396&lt;&gt;"",UPPER(TRIM(SUBSTITUTE(SUBSTITUTE($AF396&amp;"",CHAR(160)," ")," "," "))),$AP396))</f>
        <v/>
      </c>
      <c r="AI396" s="469" t="str">
        <f>IF($AC$396="","",IFERROR(INDEX($AZ$74:$AZ$119,MATCH($AH$396,$AY$74:$AY$119,0)),"AUTRE"))</f>
        <v>AUTRE</v>
      </c>
      <c r="AJ396" s="470">
        <f>IF($AC$396="","",IFERROR(INDEX($BA$74:$BA$119,MATCH($AH$396,$AY$74:$AY$119,0)),1))</f>
        <v>1</v>
      </c>
      <c r="AK396" s="470" t="str">
        <f t="shared" ref="AK396:AK430" si="114">IF(OR(AG396="",AJ396=""),"",AG396*AJ396)</f>
        <v/>
      </c>
      <c r="AL396" s="469" t="str">
        <f>IF($AC$396="","",IFERROR(INDEX($BB$74:$BB$119,MATCH($AH$396,$AY$74:$AY$119,0)),$AH$396))</f>
        <v/>
      </c>
      <c r="AM396" s="471" t="str">
        <f t="shared" ref="AM396:AM430" si="115">IF($AC396="","",IF($AH396="QT. SUFFISANTE","OK",IF($AG396="","TEXTE",IF(NOT(ISNUMBER($AG396)),"QUANTITÉ À CONTRÔLER",IF(COUNTIF($AY$74:$AY$119,$AH396)=0,"UNITÉ À CONTRÔLER","OK")))))</f>
        <v>TEXTE</v>
      </c>
      <c r="AN396" s="474" t="str">
        <f t="shared" ref="AN396:AN430" si="116">IF($AE396&lt;&gt;"",$AE396,IF($AD396="","",IF(ISNUMBER($AD396),$AD396,IF($AO396="QT",0,IF($AO396="","",IFERROR(IF(ISNUMBER(SEARCH("/",$AO396)),VALUE(TRIM(LEFT($AO396,SEARCH("/",$AO396)-1)))/VALUE(TRIM(MID($AO396,SEARCH("/",$AO396)+1,99))),VALUE(SUBSTITUTE($AO396,".",","))),""))))))</f>
        <v/>
      </c>
      <c r="AO396" s="473" t="str">
        <f t="shared" ref="AO396:AO430" si="117">IF($AD396="","",IF(ISNUMBER($AD396),$AD396,IF(OR(LEFT($AQ396,3)="QT.",LEFT($AQ396,4)="QUAN"),"QT",IF($AR396=999,$AQ396,TRIM(LEFT($AQ396,$AR396-1))))))</f>
        <v/>
      </c>
      <c r="AP396" s="473" t="str">
        <f t="shared" ref="AP396:AP430" si="118">IF($AD396="","",IF(ISNUMBER($AD396),"",IF(OR(LEFT($AQ396,3)="QT.",LEFT($AQ396,4)="QUAN"),"QT. SUFFISANTE",IF($AO396="","",TRIM(MID($AQ396,LEN($AO396&amp;"")+1,999))))))</f>
        <v/>
      </c>
      <c r="AQ396" s="473" t="str">
        <f t="shared" ref="AQ396:AQ430" si="119">IF($AD396="","",UPPER(TRIM(SUBSTITUTE(SUBSTITUTE($AD396&amp;"",CHAR(160)," ")," "," "))))</f>
        <v/>
      </c>
      <c r="AR396" s="473" t="str">
        <f t="shared" ref="AR396:AR430" si="120">IF($AQ396="","",MIN($AS396,$AT396,$AU396))</f>
        <v/>
      </c>
      <c r="AS396" s="473" t="str">
        <f t="shared" ref="AS396:AS430" si="121">IF($AQ396="","",MIN(IFERROR(SEARCH("A",$AQ396),999),IFERROR(SEARCH("B",$AQ396),999),IFERROR(SEARCH("C",$AQ396),999),IFERROR(SEARCH("D",$AQ396),999),IFERROR(SEARCH("E",$AQ396),999),IFERROR(SEARCH("F",$AQ396),999),IFERROR(SEARCH("G",$AQ396),999),IFERROR(SEARCH("H",$AQ396),999),IFERROR(SEARCH("I",$AQ396),999)))</f>
        <v/>
      </c>
      <c r="AT396" s="473" t="str">
        <f t="shared" ref="AT396:AT430" si="122">IF($AQ396="","",MIN(IFERROR(SEARCH("J",$AQ396),999),IFERROR(SEARCH("K",$AQ396),999),IFERROR(SEARCH("L",$AQ396),999),IFERROR(SEARCH("M",$AQ396),999),IFERROR(SEARCH("N",$AQ396),999),IFERROR(SEARCH("O",$AQ396),999),IFERROR(SEARCH("P",$AQ396),999),IFERROR(SEARCH("Q",$AQ396),999),IFERROR(SEARCH("R",$AQ396),999)))</f>
        <v/>
      </c>
      <c r="AU396" s="473" t="str">
        <f t="shared" ref="AU396:AU430" si="123">IF($AQ396="","",MIN(IFERROR(SEARCH("S",$AQ396),999),IFERROR(SEARCH("T",$AQ396),999),IFERROR(SEARCH("U",$AQ396),999),IFERROR(SEARCH("V",$AQ396),999),IFERROR(SEARCH("W",$AQ396),999),IFERROR(SEARCH("X",$AQ396),999),IFERROR(SEARCH("Y",$AQ396),999),IFERROR(SEARCH("Z",$AQ396),999)))</f>
        <v/>
      </c>
      <c r="AZ396" s="497" t="s">
        <v>466</v>
      </c>
      <c r="BA396" s="34" t="s">
        <v>6132</v>
      </c>
      <c r="BB396" s="499"/>
      <c r="BC396" s="271"/>
      <c r="BD396" s="279">
        <v>1</v>
      </c>
      <c r="BE396" s="271"/>
      <c r="BF396" s="271"/>
      <c r="BG396" s="271"/>
      <c r="BH396" s="271"/>
      <c r="BI396" s="271"/>
      <c r="BJ396" s="271"/>
      <c r="BK396" s="271"/>
      <c r="BL396" s="271"/>
    </row>
    <row r="397" spans="18:64" ht="21" customHeight="1" x14ac:dyDescent="0.25">
      <c r="R397" s="34" t="s">
        <v>476</v>
      </c>
      <c r="S397" s="451"/>
      <c r="T397" s="32" t="s">
        <v>305</v>
      </c>
      <c r="V397" s="475">
        <f>$V$396</f>
        <v>10</v>
      </c>
      <c r="W397" s="475" t="str">
        <f>IF($AC$397="","",$W$396)</f>
        <v/>
      </c>
      <c r="X397" s="476" t="str">
        <f>IF($AC$397="","",$X$396)</f>
        <v/>
      </c>
      <c r="Y397" s="477" t="str">
        <f>IF($X$397="","",$Y$396)</f>
        <v/>
      </c>
      <c r="Z397" s="477" t="str">
        <f>IF($X$397="","",$Z$396)</f>
        <v/>
      </c>
      <c r="AA397" s="477" t="str">
        <f>IF($AC$397="","",ROW($A$397)-ROW($A$396))</f>
        <v/>
      </c>
      <c r="AB397" s="478"/>
      <c r="AC397" s="34"/>
      <c r="AD397" s="356"/>
      <c r="AE397" s="479"/>
      <c r="AF397" s="475"/>
      <c r="AG397" s="480" t="str">
        <f t="shared" si="112"/>
        <v/>
      </c>
      <c r="AH397" s="481" t="str">
        <f t="shared" si="113"/>
        <v/>
      </c>
      <c r="AI397" s="477" t="str">
        <f>IF($AC$397="","",IFERROR(INDEX($AZ$74:$AZ$119,MATCH($AH$397,$AY$74:$AY$119,0)),"AUTRE"))</f>
        <v/>
      </c>
      <c r="AJ397" s="482" t="str">
        <f>IF($AC$397="","",IFERROR(INDEX($BA$74:$BA$119,MATCH($AH$397,$AY$74:$AY$119,0)),1))</f>
        <v/>
      </c>
      <c r="AK397" s="482" t="str">
        <f t="shared" si="114"/>
        <v/>
      </c>
      <c r="AL397" s="477" t="str">
        <f>IF($AC$397="","",IFERROR(INDEX($BB$74:$BB$119,MATCH($AH$397,$AY$74:$AY$119,0)),$AH$397))</f>
        <v/>
      </c>
      <c r="AM397" s="483" t="str">
        <f t="shared" si="115"/>
        <v/>
      </c>
      <c r="AN397" s="484" t="str">
        <f t="shared" si="116"/>
        <v/>
      </c>
      <c r="AO397" s="473" t="str">
        <f t="shared" si="117"/>
        <v/>
      </c>
      <c r="AP397" s="473" t="str">
        <f t="shared" si="118"/>
        <v/>
      </c>
      <c r="AQ397" s="473" t="str">
        <f t="shared" si="119"/>
        <v/>
      </c>
      <c r="AR397" s="473" t="str">
        <f t="shared" si="120"/>
        <v/>
      </c>
      <c r="AS397" s="473" t="str">
        <f t="shared" si="121"/>
        <v/>
      </c>
      <c r="AT397" s="473" t="str">
        <f t="shared" si="122"/>
        <v/>
      </c>
      <c r="AU397" s="473" t="str">
        <f t="shared" si="123"/>
        <v/>
      </c>
      <c r="AZ397" s="14" t="s">
        <v>7</v>
      </c>
      <c r="BA397" s="25" t="s">
        <v>6133</v>
      </c>
      <c r="BB397" s="499"/>
      <c r="BC397" s="271"/>
      <c r="BD397" s="279">
        <v>1</v>
      </c>
      <c r="BE397" s="271"/>
      <c r="BF397" s="271"/>
      <c r="BG397" s="271"/>
      <c r="BH397" s="271"/>
      <c r="BI397" s="271"/>
      <c r="BJ397" s="271"/>
      <c r="BK397" s="271"/>
      <c r="BL397" s="271"/>
    </row>
    <row r="398" spans="18:64" ht="21" customHeight="1" x14ac:dyDescent="0.25">
      <c r="R398" s="34" t="s">
        <v>468</v>
      </c>
      <c r="S398" s="451"/>
      <c r="T398" s="32" t="s">
        <v>309</v>
      </c>
      <c r="V398" s="475">
        <v>10</v>
      </c>
      <c r="W398" s="475" t="str">
        <f>IF($AC$398="","",$W$396)</f>
        <v/>
      </c>
      <c r="X398" s="476" t="str">
        <f>IF($AC$398="","",$X$396)</f>
        <v/>
      </c>
      <c r="Y398" s="477" t="str">
        <f>IF($X$398="","",$Y$396)</f>
        <v/>
      </c>
      <c r="Z398" s="477" t="str">
        <f>IF($X$398="","",$Z$396)</f>
        <v/>
      </c>
      <c r="AA398" s="477" t="str">
        <f>IF($AC$398="","",ROW($A$398)-ROW($A$396))</f>
        <v/>
      </c>
      <c r="AB398" s="478"/>
      <c r="AC398" s="34"/>
      <c r="AD398" s="356"/>
      <c r="AE398" s="479"/>
      <c r="AF398" s="475"/>
      <c r="AG398" s="480" t="str">
        <f t="shared" si="112"/>
        <v/>
      </c>
      <c r="AH398" s="481" t="str">
        <f t="shared" si="113"/>
        <v/>
      </c>
      <c r="AI398" s="477" t="str">
        <f>IF($AC$398="","",IFERROR(INDEX($AZ$74:$AZ$119,MATCH($AH$398,$AY$74:$AY$119,0)),"AUTRE"))</f>
        <v/>
      </c>
      <c r="AJ398" s="482" t="str">
        <f>IF($AC$398="","",IFERROR(INDEX($BA$74:$BA$119,MATCH($AH$398,$AY$74:$AY$119,0)),1))</f>
        <v/>
      </c>
      <c r="AK398" s="482" t="str">
        <f t="shared" si="114"/>
        <v/>
      </c>
      <c r="AL398" s="477" t="str">
        <f>IF($AC$398="","",IFERROR(INDEX($BB$74:$BB$119,MATCH($AH$398,$AY$74:$AY$119,0)),$AH$398))</f>
        <v/>
      </c>
      <c r="AM398" s="483" t="str">
        <f t="shared" si="115"/>
        <v/>
      </c>
      <c r="AN398" s="484" t="str">
        <f t="shared" si="116"/>
        <v/>
      </c>
      <c r="AO398" s="473" t="str">
        <f t="shared" si="117"/>
        <v/>
      </c>
      <c r="AP398" s="473" t="str">
        <f t="shared" si="118"/>
        <v/>
      </c>
      <c r="AQ398" s="473" t="str">
        <f t="shared" si="119"/>
        <v/>
      </c>
      <c r="AR398" s="473" t="str">
        <f t="shared" si="120"/>
        <v/>
      </c>
      <c r="AS398" s="473" t="str">
        <f t="shared" si="121"/>
        <v/>
      </c>
      <c r="AT398" s="473" t="str">
        <f t="shared" si="122"/>
        <v/>
      </c>
      <c r="AU398" s="473" t="str">
        <f t="shared" si="123"/>
        <v/>
      </c>
      <c r="AZ398" s="27" t="s">
        <v>8</v>
      </c>
      <c r="BA398" s="34" t="s">
        <v>476</v>
      </c>
      <c r="BB398" s="499"/>
      <c r="BC398" s="271"/>
      <c r="BD398" s="279">
        <v>1</v>
      </c>
      <c r="BE398" s="271"/>
      <c r="BF398" s="271"/>
      <c r="BG398" s="271"/>
      <c r="BH398" s="271"/>
      <c r="BI398" s="271"/>
      <c r="BJ398" s="271"/>
      <c r="BK398" s="271"/>
      <c r="BL398" s="271"/>
    </row>
    <row r="399" spans="18:64" ht="21" customHeight="1" x14ac:dyDescent="0.25">
      <c r="R399" s="34" t="s">
        <v>473</v>
      </c>
      <c r="S399" s="451"/>
      <c r="T399" s="32" t="s">
        <v>311</v>
      </c>
      <c r="V399" s="475">
        <v>10</v>
      </c>
      <c r="W399" s="475" t="str">
        <f>IF($AC$399="","",$W$396)</f>
        <v/>
      </c>
      <c r="X399" s="476" t="str">
        <f>IF($AC$399="","",$X$396)</f>
        <v/>
      </c>
      <c r="Y399" s="477" t="str">
        <f>IF($X$399="","",$Y$396)</f>
        <v/>
      </c>
      <c r="Z399" s="477" t="str">
        <f>IF($X$399="","",$Z$396)</f>
        <v/>
      </c>
      <c r="AA399" s="477" t="str">
        <f>IF($AC$399="","",ROW($A$399)-ROW($A$396))</f>
        <v/>
      </c>
      <c r="AB399" s="478"/>
      <c r="AC399" s="34"/>
      <c r="AD399" s="356"/>
      <c r="AE399" s="479"/>
      <c r="AF399" s="475"/>
      <c r="AG399" s="480" t="str">
        <f t="shared" si="112"/>
        <v/>
      </c>
      <c r="AH399" s="481" t="str">
        <f t="shared" si="113"/>
        <v/>
      </c>
      <c r="AI399" s="477" t="str">
        <f>IF($AC$399="","",IFERROR(INDEX($AZ$74:$AZ$119,MATCH($AH$399,$AY$74:$AY$119,0)),"AUTRE"))</f>
        <v/>
      </c>
      <c r="AJ399" s="482" t="str">
        <f>IF($AC$399="","",IFERROR(INDEX($BA$74:$BA$119,MATCH($AH$399,$AY$74:$AY$119,0)),1))</f>
        <v/>
      </c>
      <c r="AK399" s="482" t="str">
        <f t="shared" si="114"/>
        <v/>
      </c>
      <c r="AL399" s="477" t="str">
        <f>IF($AC$399="","",IFERROR(INDEX($BB$74:$BB$119,MATCH($AH$399,$AY$74:$AY$119,0)),$AH$399))</f>
        <v/>
      </c>
      <c r="AM399" s="483" t="str">
        <f t="shared" si="115"/>
        <v/>
      </c>
      <c r="AN399" s="484" t="str">
        <f t="shared" si="116"/>
        <v/>
      </c>
      <c r="AO399" s="473" t="str">
        <f t="shared" si="117"/>
        <v/>
      </c>
      <c r="AP399" s="473" t="str">
        <f t="shared" si="118"/>
        <v/>
      </c>
      <c r="AQ399" s="473" t="str">
        <f t="shared" si="119"/>
        <v/>
      </c>
      <c r="AR399" s="473" t="str">
        <f t="shared" si="120"/>
        <v/>
      </c>
      <c r="AS399" s="473" t="str">
        <f t="shared" si="121"/>
        <v/>
      </c>
      <c r="AT399" s="473" t="str">
        <f t="shared" si="122"/>
        <v/>
      </c>
      <c r="AU399" s="473" t="str">
        <f t="shared" si="123"/>
        <v/>
      </c>
      <c r="AZ399" s="28" t="s">
        <v>13</v>
      </c>
      <c r="BA399" s="34" t="s">
        <v>468</v>
      </c>
      <c r="BB399" s="499"/>
      <c r="BC399" s="271"/>
      <c r="BD399" s="279">
        <v>1</v>
      </c>
      <c r="BE399" s="271"/>
      <c r="BF399" s="271"/>
      <c r="BG399" s="271"/>
      <c r="BH399" s="271"/>
      <c r="BI399" s="271"/>
      <c r="BJ399" s="271"/>
      <c r="BK399" s="271"/>
      <c r="BL399" s="271"/>
    </row>
    <row r="400" spans="18:64" ht="21" customHeight="1" x14ac:dyDescent="0.25">
      <c r="R400" s="34" t="s">
        <v>497</v>
      </c>
      <c r="S400" s="451"/>
      <c r="T400" s="32" t="s">
        <v>8135</v>
      </c>
      <c r="V400" s="475">
        <v>10</v>
      </c>
      <c r="W400" s="475" t="str">
        <f>IF($AC$400="","",$W$396)</f>
        <v/>
      </c>
      <c r="X400" s="476" t="str">
        <f>IF($AC$400="","",$X$396)</f>
        <v/>
      </c>
      <c r="Y400" s="477" t="str">
        <f>IF($X$400="","",$Y$396)</f>
        <v/>
      </c>
      <c r="Z400" s="477" t="str">
        <f>IF($X$400="","",$Z$396)</f>
        <v/>
      </c>
      <c r="AA400" s="477" t="str">
        <f>IF($AC$400="","",ROW($A$400)-ROW($A$396))</f>
        <v/>
      </c>
      <c r="AB400" s="478"/>
      <c r="AC400" s="34"/>
      <c r="AD400" s="356"/>
      <c r="AE400" s="479"/>
      <c r="AF400" s="475"/>
      <c r="AG400" s="480" t="str">
        <f t="shared" si="112"/>
        <v/>
      </c>
      <c r="AH400" s="481" t="str">
        <f t="shared" si="113"/>
        <v/>
      </c>
      <c r="AI400" s="477" t="str">
        <f>IF($AC$400="","",IFERROR(INDEX($AZ$74:$AZ$119,MATCH($AH$400,$AY$74:$AY$119,0)),"AUTRE"))</f>
        <v/>
      </c>
      <c r="AJ400" s="482" t="str">
        <f>IF($AC$400="","",IFERROR(INDEX($BA$74:$BA$119,MATCH($AH$400,$AY$74:$AY$119,0)),1))</f>
        <v/>
      </c>
      <c r="AK400" s="482" t="str">
        <f t="shared" si="114"/>
        <v/>
      </c>
      <c r="AL400" s="477" t="str">
        <f>IF($AC$400="","",IFERROR(INDEX($BB$74:$BB$119,MATCH($AH$400,$AY$74:$AY$119,0)),$AH$400))</f>
        <v/>
      </c>
      <c r="AM400" s="483" t="str">
        <f t="shared" si="115"/>
        <v/>
      </c>
      <c r="AN400" s="484" t="str">
        <f t="shared" si="116"/>
        <v/>
      </c>
      <c r="AO400" s="473" t="str">
        <f t="shared" si="117"/>
        <v/>
      </c>
      <c r="AP400" s="473" t="str">
        <f t="shared" si="118"/>
        <v/>
      </c>
      <c r="AQ400" s="473" t="str">
        <f t="shared" si="119"/>
        <v/>
      </c>
      <c r="AR400" s="473" t="str">
        <f t="shared" si="120"/>
        <v/>
      </c>
      <c r="AS400" s="473" t="str">
        <f t="shared" si="121"/>
        <v/>
      </c>
      <c r="AT400" s="473" t="str">
        <f t="shared" si="122"/>
        <v/>
      </c>
      <c r="AU400" s="473" t="str">
        <f t="shared" si="123"/>
        <v/>
      </c>
      <c r="AZ400" s="28" t="s">
        <v>14</v>
      </c>
      <c r="BA400" s="34" t="s">
        <v>473</v>
      </c>
      <c r="BB400" s="499"/>
      <c r="BC400" s="271"/>
      <c r="BD400" s="279">
        <v>1</v>
      </c>
      <c r="BE400" s="271"/>
      <c r="BF400" s="271"/>
      <c r="BG400" s="271"/>
      <c r="BH400" s="271"/>
      <c r="BI400" s="271"/>
      <c r="BJ400" s="271"/>
      <c r="BK400" s="271"/>
      <c r="BL400" s="271"/>
    </row>
    <row r="401" spans="18:64" ht="21" customHeight="1" x14ac:dyDescent="0.25">
      <c r="R401" s="34" t="s">
        <v>470</v>
      </c>
      <c r="S401" s="451"/>
      <c r="T401" s="497" t="s">
        <v>462</v>
      </c>
      <c r="V401" s="475">
        <v>10</v>
      </c>
      <c r="W401" s="475" t="str">
        <f>IF($AC$401="","",$W$396)</f>
        <v/>
      </c>
      <c r="X401" s="476" t="str">
        <f>IF($AC$401="","",$X$396)</f>
        <v/>
      </c>
      <c r="Y401" s="477" t="str">
        <f>IF($X$401="","",$Y$396)</f>
        <v/>
      </c>
      <c r="Z401" s="477" t="str">
        <f>IF($X$401="","",$Z$396)</f>
        <v/>
      </c>
      <c r="AA401" s="477" t="str">
        <f>IF($AC$401="","",ROW($A$401)-ROW($A$396))</f>
        <v/>
      </c>
      <c r="AB401" s="478"/>
      <c r="AC401" s="34"/>
      <c r="AD401" s="356"/>
      <c r="AE401" s="479"/>
      <c r="AF401" s="475"/>
      <c r="AG401" s="480" t="str">
        <f t="shared" si="112"/>
        <v/>
      </c>
      <c r="AH401" s="481" t="str">
        <f t="shared" si="113"/>
        <v/>
      </c>
      <c r="AI401" s="477" t="str">
        <f>IF($AC$401="","",IFERROR(INDEX($AZ$74:$AZ$119,MATCH($AH$401,$AY$74:$AY$119,0)),"AUTRE"))</f>
        <v/>
      </c>
      <c r="AJ401" s="482" t="str">
        <f>IF($AC$401="","",IFERROR(INDEX($BA$74:$BA$119,MATCH($AH$401,$AY$74:$AY$119,0)),1))</f>
        <v/>
      </c>
      <c r="AK401" s="482" t="str">
        <f t="shared" si="114"/>
        <v/>
      </c>
      <c r="AL401" s="477" t="str">
        <f>IF($AC$401="","",IFERROR(INDEX($BB$74:$BB$119,MATCH($AH$401,$AY$74:$AY$119,0)),$AH$401))</f>
        <v/>
      </c>
      <c r="AM401" s="483" t="str">
        <f t="shared" si="115"/>
        <v/>
      </c>
      <c r="AN401" s="484" t="str">
        <f t="shared" si="116"/>
        <v/>
      </c>
      <c r="AO401" s="473" t="str">
        <f t="shared" si="117"/>
        <v/>
      </c>
      <c r="AP401" s="473" t="str">
        <f t="shared" si="118"/>
        <v/>
      </c>
      <c r="AQ401" s="473" t="str">
        <f t="shared" si="119"/>
        <v/>
      </c>
      <c r="AR401" s="473" t="str">
        <f t="shared" si="120"/>
        <v/>
      </c>
      <c r="AS401" s="473" t="str">
        <f t="shared" si="121"/>
        <v/>
      </c>
      <c r="AT401" s="473" t="str">
        <f t="shared" si="122"/>
        <v/>
      </c>
      <c r="AU401" s="473" t="str">
        <f t="shared" si="123"/>
        <v/>
      </c>
      <c r="AZ401" s="28" t="s">
        <v>15</v>
      </c>
      <c r="BA401" s="34" t="s">
        <v>497</v>
      </c>
      <c r="BB401" s="499"/>
      <c r="BC401" s="271"/>
      <c r="BD401" s="279">
        <v>1</v>
      </c>
      <c r="BE401" s="271"/>
      <c r="BF401" s="271"/>
      <c r="BG401" s="271"/>
      <c r="BH401" s="271"/>
      <c r="BI401" s="271"/>
      <c r="BJ401" s="271"/>
      <c r="BK401" s="271"/>
      <c r="BL401" s="271"/>
    </row>
    <row r="402" spans="18:64" ht="21" customHeight="1" x14ac:dyDescent="0.25">
      <c r="R402" s="34" t="s">
        <v>477</v>
      </c>
      <c r="S402" s="451"/>
      <c r="T402" s="497" t="s">
        <v>463</v>
      </c>
      <c r="V402" s="475">
        <v>10</v>
      </c>
      <c r="W402" s="475" t="str">
        <f>IF($AC$402="","",$W$396)</f>
        <v/>
      </c>
      <c r="X402" s="476" t="str">
        <f>IF($AC$402="","",$X$396)</f>
        <v/>
      </c>
      <c r="Y402" s="477" t="str">
        <f>IF($X$402="","",$Y$396)</f>
        <v/>
      </c>
      <c r="Z402" s="477" t="str">
        <f>IF($X$402="","",$Z$396)</f>
        <v/>
      </c>
      <c r="AA402" s="477" t="str">
        <f>IF($AC$402="","",ROW($A$402)-ROW($A$396))</f>
        <v/>
      </c>
      <c r="AB402" s="478"/>
      <c r="AC402" s="34"/>
      <c r="AD402" s="356"/>
      <c r="AE402" s="479"/>
      <c r="AF402" s="475"/>
      <c r="AG402" s="480" t="str">
        <f t="shared" si="112"/>
        <v/>
      </c>
      <c r="AH402" s="481" t="str">
        <f t="shared" si="113"/>
        <v/>
      </c>
      <c r="AI402" s="477" t="str">
        <f>IF($AC$402="","",IFERROR(INDEX($AZ$74:$AZ$119,MATCH($AH$402,$AY$74:$AY$119,0)),"AUTRE"))</f>
        <v/>
      </c>
      <c r="AJ402" s="482" t="str">
        <f>IF($AC$402="","",IFERROR(INDEX($BA$74:$BA$119,MATCH($AH$402,$AY$74:$AY$119,0)),1))</f>
        <v/>
      </c>
      <c r="AK402" s="482" t="str">
        <f t="shared" si="114"/>
        <v/>
      </c>
      <c r="AL402" s="477" t="str">
        <f>IF($AC$402="","",IFERROR(INDEX($BB$74:$BB$119,MATCH($AH$402,$AY$74:$AY$119,0)),$AH$402))</f>
        <v/>
      </c>
      <c r="AM402" s="483" t="str">
        <f t="shared" si="115"/>
        <v/>
      </c>
      <c r="AN402" s="484" t="str">
        <f t="shared" si="116"/>
        <v/>
      </c>
      <c r="AO402" s="473" t="str">
        <f t="shared" si="117"/>
        <v/>
      </c>
      <c r="AP402" s="473" t="str">
        <f t="shared" si="118"/>
        <v/>
      </c>
      <c r="AQ402" s="473" t="str">
        <f t="shared" si="119"/>
        <v/>
      </c>
      <c r="AR402" s="473" t="str">
        <f t="shared" si="120"/>
        <v/>
      </c>
      <c r="AS402" s="473" t="str">
        <f t="shared" si="121"/>
        <v/>
      </c>
      <c r="AT402" s="473" t="str">
        <f t="shared" si="122"/>
        <v/>
      </c>
      <c r="AU402" s="473" t="str">
        <f t="shared" si="123"/>
        <v/>
      </c>
      <c r="AZ402" s="29" t="s">
        <v>9</v>
      </c>
      <c r="BA402" s="34" t="s">
        <v>470</v>
      </c>
      <c r="BB402" s="499"/>
      <c r="BC402" s="271"/>
      <c r="BD402" s="279">
        <v>1</v>
      </c>
      <c r="BE402" s="271"/>
      <c r="BF402" s="271"/>
      <c r="BG402" s="271"/>
      <c r="BH402" s="271"/>
      <c r="BI402" s="271"/>
      <c r="BJ402" s="271"/>
      <c r="BK402" s="271"/>
      <c r="BL402" s="271"/>
    </row>
    <row r="403" spans="18:64" ht="21" customHeight="1" x14ac:dyDescent="0.25">
      <c r="S403" s="451"/>
      <c r="T403" s="497" t="s">
        <v>8147</v>
      </c>
      <c r="V403" s="475">
        <v>10</v>
      </c>
      <c r="W403" s="475" t="str">
        <f>IF($AC$403="","",$W$396)</f>
        <v/>
      </c>
      <c r="X403" s="476" t="str">
        <f>IF($AC$403="","",$X$396)</f>
        <v/>
      </c>
      <c r="Y403" s="477" t="str">
        <f>IF($X$403="","",$Y$396)</f>
        <v/>
      </c>
      <c r="Z403" s="477" t="str">
        <f>IF($X$403="","",$Z$396)</f>
        <v/>
      </c>
      <c r="AA403" s="477" t="str">
        <f>IF($AC$403="","",ROW($A$403)-ROW($A$396))</f>
        <v/>
      </c>
      <c r="AB403" s="478"/>
      <c r="AC403" s="34"/>
      <c r="AD403" s="356"/>
      <c r="AE403" s="479"/>
      <c r="AF403" s="475"/>
      <c r="AG403" s="480" t="str">
        <f t="shared" si="112"/>
        <v/>
      </c>
      <c r="AH403" s="481" t="str">
        <f t="shared" si="113"/>
        <v/>
      </c>
      <c r="AI403" s="477" t="str">
        <f>IF($AC$403="","",IFERROR(INDEX($AZ$74:$AZ$119,MATCH($AH$403,$AY$74:$AY$119,0)),"AUTRE"))</f>
        <v/>
      </c>
      <c r="AJ403" s="482" t="str">
        <f>IF($AC$403="","",IFERROR(INDEX($BA$74:$BA$119,MATCH($AH$403,$AY$74:$AY$119,0)),1))</f>
        <v/>
      </c>
      <c r="AK403" s="482" t="str">
        <f t="shared" si="114"/>
        <v/>
      </c>
      <c r="AL403" s="477" t="str">
        <f>IF($AC$403="","",IFERROR(INDEX($BB$74:$BB$119,MATCH($AH$403,$AY$74:$AY$119,0)),$AH$403))</f>
        <v/>
      </c>
      <c r="AM403" s="483" t="str">
        <f t="shared" si="115"/>
        <v/>
      </c>
      <c r="AN403" s="484" t="str">
        <f t="shared" si="116"/>
        <v/>
      </c>
      <c r="AO403" s="473" t="str">
        <f t="shared" si="117"/>
        <v/>
      </c>
      <c r="AP403" s="473" t="str">
        <f t="shared" si="118"/>
        <v/>
      </c>
      <c r="AQ403" s="473" t="str">
        <f t="shared" si="119"/>
        <v/>
      </c>
      <c r="AR403" s="473" t="str">
        <f t="shared" si="120"/>
        <v/>
      </c>
      <c r="AS403" s="473" t="str">
        <f t="shared" si="121"/>
        <v/>
      </c>
      <c r="AT403" s="473" t="str">
        <f t="shared" si="122"/>
        <v/>
      </c>
      <c r="AU403" s="473" t="str">
        <f t="shared" si="123"/>
        <v/>
      </c>
      <c r="AZ403" s="30" t="s">
        <v>10</v>
      </c>
      <c r="BA403" s="34" t="s">
        <v>477</v>
      </c>
      <c r="BB403" s="499"/>
      <c r="BC403" s="271"/>
      <c r="BD403" s="279">
        <v>1</v>
      </c>
      <c r="BE403" s="271"/>
      <c r="BF403" s="271"/>
      <c r="BG403" s="271"/>
      <c r="BH403" s="271"/>
      <c r="BI403" s="271"/>
      <c r="BJ403" s="271"/>
      <c r="BK403" s="271"/>
      <c r="BL403" s="271"/>
    </row>
    <row r="404" spans="18:64" ht="21" customHeight="1" x14ac:dyDescent="0.25">
      <c r="R404" s="25" t="s">
        <v>6134</v>
      </c>
      <c r="S404" s="451"/>
      <c r="T404" s="497" t="s">
        <v>465</v>
      </c>
      <c r="V404" s="475">
        <v>10</v>
      </c>
      <c r="W404" s="475" t="str">
        <f>IF($AC$404="","",$W$396)</f>
        <v/>
      </c>
      <c r="X404" s="476" t="str">
        <f>IF($AC$404="","",$X$396)</f>
        <v/>
      </c>
      <c r="Y404" s="477" t="str">
        <f>IF($X$404="","",$Y$396)</f>
        <v/>
      </c>
      <c r="Z404" s="477" t="str">
        <f>IF($X$404="","",$Z$396)</f>
        <v/>
      </c>
      <c r="AA404" s="477" t="str">
        <f>IF($AC$404="","",ROW($A$404)-ROW($A$396))</f>
        <v/>
      </c>
      <c r="AB404" s="478"/>
      <c r="AC404" s="34"/>
      <c r="AD404" s="356"/>
      <c r="AE404" s="479"/>
      <c r="AF404" s="475"/>
      <c r="AG404" s="480" t="str">
        <f t="shared" si="112"/>
        <v/>
      </c>
      <c r="AH404" s="481" t="str">
        <f t="shared" si="113"/>
        <v/>
      </c>
      <c r="AI404" s="477" t="str">
        <f>IF($AC$404="","",IFERROR(INDEX($AZ$74:$AZ$119,MATCH($AH$404,$AY$74:$AY$119,0)),"AUTRE"))</f>
        <v/>
      </c>
      <c r="AJ404" s="482" t="str">
        <f>IF($AC$404="","",IFERROR(INDEX($BA$74:$BA$119,MATCH($AH$404,$AY$74:$AY$119,0)),1))</f>
        <v/>
      </c>
      <c r="AK404" s="482" t="str">
        <f t="shared" si="114"/>
        <v/>
      </c>
      <c r="AL404" s="477" t="str">
        <f>IF($AC$404="","",IFERROR(INDEX($BB$74:$BB$119,MATCH($AH$404,$AY$74:$AY$119,0)),$AH$404))</f>
        <v/>
      </c>
      <c r="AM404" s="483" t="str">
        <f t="shared" si="115"/>
        <v/>
      </c>
      <c r="AN404" s="484" t="str">
        <f t="shared" si="116"/>
        <v/>
      </c>
      <c r="AO404" s="473" t="str">
        <f t="shared" si="117"/>
        <v/>
      </c>
      <c r="AP404" s="473" t="str">
        <f t="shared" si="118"/>
        <v/>
      </c>
      <c r="AQ404" s="473" t="str">
        <f t="shared" si="119"/>
        <v/>
      </c>
      <c r="AR404" s="473" t="str">
        <f t="shared" si="120"/>
        <v/>
      </c>
      <c r="AS404" s="473" t="str">
        <f t="shared" si="121"/>
        <v/>
      </c>
      <c r="AT404" s="473" t="str">
        <f t="shared" si="122"/>
        <v/>
      </c>
      <c r="AU404" s="473" t="str">
        <f t="shared" si="123"/>
        <v/>
      </c>
      <c r="AZ404" s="30" t="s">
        <v>11</v>
      </c>
      <c r="BB404" s="499"/>
      <c r="BC404" s="271"/>
      <c r="BD404" s="279">
        <v>1</v>
      </c>
      <c r="BE404" s="271"/>
      <c r="BF404" s="271"/>
      <c r="BG404" s="271"/>
      <c r="BH404" s="271"/>
      <c r="BI404" s="271"/>
      <c r="BJ404" s="271"/>
      <c r="BK404" s="271"/>
      <c r="BL404" s="271"/>
    </row>
    <row r="405" spans="18:64" ht="21" customHeight="1" x14ac:dyDescent="0.25">
      <c r="R405" s="34" t="s">
        <v>481</v>
      </c>
      <c r="S405" s="451"/>
      <c r="T405" s="497" t="s">
        <v>466</v>
      </c>
      <c r="V405" s="475">
        <v>10</v>
      </c>
      <c r="W405" s="475" t="str">
        <f>IF($AC$405="","",$W$396)</f>
        <v/>
      </c>
      <c r="X405" s="476" t="str">
        <f>IF($AC$405="","",$X$396)</f>
        <v/>
      </c>
      <c r="Y405" s="477" t="str">
        <f>IF($X$405="","",$Y$396)</f>
        <v/>
      </c>
      <c r="Z405" s="477" t="str">
        <f>IF($X$405="","",$Z$396)</f>
        <v/>
      </c>
      <c r="AA405" s="477" t="str">
        <f>IF($AC$405="","",ROW($A$405)-ROW($A$396))</f>
        <v/>
      </c>
      <c r="AB405" s="478"/>
      <c r="AC405" s="34"/>
      <c r="AD405" s="356"/>
      <c r="AE405" s="479"/>
      <c r="AF405" s="475"/>
      <c r="AG405" s="480" t="str">
        <f t="shared" si="112"/>
        <v/>
      </c>
      <c r="AH405" s="481" t="str">
        <f t="shared" si="113"/>
        <v/>
      </c>
      <c r="AI405" s="477" t="str">
        <f>IF($AC$405="","",IFERROR(INDEX($AZ$74:$AZ$119,MATCH($AH$405,$AY$74:$AY$119,0)),"AUTRE"))</f>
        <v/>
      </c>
      <c r="AJ405" s="482" t="str">
        <f>IF($AC$405="","",IFERROR(INDEX($BA$74:$BA$119,MATCH($AH$405,$AY$74:$AY$119,0)),1))</f>
        <v/>
      </c>
      <c r="AK405" s="482" t="str">
        <f t="shared" si="114"/>
        <v/>
      </c>
      <c r="AL405" s="477" t="str">
        <f>IF($AC$405="","",IFERROR(INDEX($BB$74:$BB$119,MATCH($AH$405,$AY$74:$AY$119,0)),$AH$405))</f>
        <v/>
      </c>
      <c r="AM405" s="483" t="str">
        <f t="shared" si="115"/>
        <v/>
      </c>
      <c r="AN405" s="484" t="str">
        <f t="shared" si="116"/>
        <v/>
      </c>
      <c r="AO405" s="473" t="str">
        <f t="shared" si="117"/>
        <v/>
      </c>
      <c r="AP405" s="473" t="str">
        <f t="shared" si="118"/>
        <v/>
      </c>
      <c r="AQ405" s="473" t="str">
        <f t="shared" si="119"/>
        <v/>
      </c>
      <c r="AR405" s="473" t="str">
        <f t="shared" si="120"/>
        <v/>
      </c>
      <c r="AS405" s="473" t="str">
        <f t="shared" si="121"/>
        <v/>
      </c>
      <c r="AT405" s="473" t="str">
        <f t="shared" si="122"/>
        <v/>
      </c>
      <c r="AU405" s="473" t="str">
        <f t="shared" si="123"/>
        <v/>
      </c>
      <c r="AZ405" s="30" t="s">
        <v>12</v>
      </c>
      <c r="BA405" s="25" t="s">
        <v>6134</v>
      </c>
      <c r="BB405" s="499"/>
      <c r="BC405" s="271"/>
      <c r="BD405" s="279">
        <v>1</v>
      </c>
      <c r="BE405" s="271"/>
      <c r="BF405" s="271"/>
      <c r="BG405" s="271"/>
      <c r="BH405" s="271"/>
      <c r="BI405" s="271"/>
      <c r="BJ405" s="271"/>
      <c r="BK405" s="271"/>
      <c r="BL405" s="271"/>
    </row>
    <row r="406" spans="18:64" ht="21" customHeight="1" x14ac:dyDescent="0.25">
      <c r="R406" s="34" t="s">
        <v>475</v>
      </c>
      <c r="S406" s="451"/>
      <c r="T406" s="440" t="s">
        <v>8110</v>
      </c>
      <c r="V406" s="475">
        <v>10</v>
      </c>
      <c r="W406" s="475" t="str">
        <f>IF($AC$406="","",$W$396)</f>
        <v/>
      </c>
      <c r="X406" s="476" t="str">
        <f>IF($AC$406="","",$X$396)</f>
        <v/>
      </c>
      <c r="Y406" s="477" t="str">
        <f>IF($X$406="","",$Y$396)</f>
        <v/>
      </c>
      <c r="Z406" s="477" t="str">
        <f>IF($X$406="","",$Z$396)</f>
        <v/>
      </c>
      <c r="AA406" s="477" t="str">
        <f>IF($AC$406="","",ROW($A$406)-ROW($A$396))</f>
        <v/>
      </c>
      <c r="AB406" s="478"/>
      <c r="AC406" s="34"/>
      <c r="AD406" s="356"/>
      <c r="AE406" s="479"/>
      <c r="AF406" s="475"/>
      <c r="AG406" s="480" t="str">
        <f t="shared" si="112"/>
        <v/>
      </c>
      <c r="AH406" s="481" t="str">
        <f t="shared" si="113"/>
        <v/>
      </c>
      <c r="AI406" s="477" t="str">
        <f>IF($AC$406="","",IFERROR(INDEX($AZ$74:$AZ$119,MATCH($AH$406,$AY$74:$AY$119,0)),"AUTRE"))</f>
        <v/>
      </c>
      <c r="AJ406" s="482" t="str">
        <f>IF($AC$406="","",IFERROR(INDEX($BA$74:$BA$119,MATCH($AH$406,$AY$74:$AY$119,0)),1))</f>
        <v/>
      </c>
      <c r="AK406" s="482" t="str">
        <f t="shared" si="114"/>
        <v/>
      </c>
      <c r="AL406" s="477" t="str">
        <f>IF($AC$406="","",IFERROR(INDEX($BB$74:$BB$119,MATCH($AH$406,$AY$74:$AY$119,0)),$AH$406))</f>
        <v/>
      </c>
      <c r="AM406" s="483" t="str">
        <f t="shared" si="115"/>
        <v/>
      </c>
      <c r="AN406" s="484" t="str">
        <f t="shared" si="116"/>
        <v/>
      </c>
      <c r="AO406" s="473" t="str">
        <f t="shared" si="117"/>
        <v/>
      </c>
      <c r="AP406" s="473" t="str">
        <f t="shared" si="118"/>
        <v/>
      </c>
      <c r="AQ406" s="473" t="str">
        <f t="shared" si="119"/>
        <v/>
      </c>
      <c r="AR406" s="473" t="str">
        <f t="shared" si="120"/>
        <v/>
      </c>
      <c r="AS406" s="473" t="str">
        <f t="shared" si="121"/>
        <v/>
      </c>
      <c r="AT406" s="473" t="str">
        <f t="shared" si="122"/>
        <v/>
      </c>
      <c r="AU406" s="473" t="str">
        <f t="shared" si="123"/>
        <v/>
      </c>
      <c r="AZ406" s="31" t="s">
        <v>16</v>
      </c>
      <c r="BA406" s="34" t="s">
        <v>481</v>
      </c>
      <c r="BB406" s="499"/>
      <c r="BC406" s="271"/>
      <c r="BD406" s="279">
        <v>1</v>
      </c>
      <c r="BE406" s="271"/>
      <c r="BF406" s="271"/>
      <c r="BG406" s="271"/>
      <c r="BH406" s="271"/>
      <c r="BI406" s="271"/>
      <c r="BJ406" s="271"/>
      <c r="BK406" s="271"/>
      <c r="BL406" s="271"/>
    </row>
    <row r="407" spans="18:64" ht="21" customHeight="1" x14ac:dyDescent="0.25">
      <c r="R407" s="34" t="s">
        <v>457</v>
      </c>
      <c r="S407" s="451"/>
      <c r="T407" s="452" t="s">
        <v>8113</v>
      </c>
      <c r="V407" s="475">
        <v>10</v>
      </c>
      <c r="W407" s="475" t="str">
        <f>IF($AC$407="","",$W$396)</f>
        <v/>
      </c>
      <c r="X407" s="476" t="str">
        <f>IF($AC$407="","",$X$396)</f>
        <v/>
      </c>
      <c r="Y407" s="477" t="str">
        <f>IF($X$407="","",$Y$396)</f>
        <v/>
      </c>
      <c r="Z407" s="477" t="str">
        <f>IF($X$407="","",$Z$396)</f>
        <v/>
      </c>
      <c r="AA407" s="477" t="str">
        <f>IF($AC$407="","",ROW($A$407)-ROW($A$396))</f>
        <v/>
      </c>
      <c r="AB407" s="478"/>
      <c r="AC407" s="34"/>
      <c r="AD407" s="356"/>
      <c r="AE407" s="479"/>
      <c r="AF407" s="475"/>
      <c r="AG407" s="480" t="str">
        <f t="shared" si="112"/>
        <v/>
      </c>
      <c r="AH407" s="481" t="str">
        <f t="shared" si="113"/>
        <v/>
      </c>
      <c r="AI407" s="477" t="str">
        <f>IF($AC$407="","",IFERROR(INDEX($AZ$74:$AZ$119,MATCH($AH$407,$AY$74:$AY$119,0)),"AUTRE"))</f>
        <v/>
      </c>
      <c r="AJ407" s="482" t="str">
        <f>IF($AC$407="","",IFERROR(INDEX($BA$74:$BA$119,MATCH($AH$407,$AY$74:$AY$119,0)),1))</f>
        <v/>
      </c>
      <c r="AK407" s="482" t="str">
        <f t="shared" si="114"/>
        <v/>
      </c>
      <c r="AL407" s="477" t="str">
        <f>IF($AC$407="","",IFERROR(INDEX($BB$74:$BB$119,MATCH($AH$407,$AY$74:$AY$119,0)),$AH$407))</f>
        <v/>
      </c>
      <c r="AM407" s="483" t="str">
        <f t="shared" si="115"/>
        <v/>
      </c>
      <c r="AN407" s="484" t="str">
        <f t="shared" si="116"/>
        <v/>
      </c>
      <c r="AO407" s="473" t="str">
        <f t="shared" si="117"/>
        <v/>
      </c>
      <c r="AP407" s="473" t="str">
        <f t="shared" si="118"/>
        <v/>
      </c>
      <c r="AQ407" s="473" t="str">
        <f t="shared" si="119"/>
        <v/>
      </c>
      <c r="AR407" s="473" t="str">
        <f t="shared" si="120"/>
        <v/>
      </c>
      <c r="AS407" s="473" t="str">
        <f t="shared" si="121"/>
        <v/>
      </c>
      <c r="AT407" s="473" t="str">
        <f t="shared" si="122"/>
        <v/>
      </c>
      <c r="AU407" s="473" t="str">
        <f t="shared" si="123"/>
        <v/>
      </c>
      <c r="AZ407" s="31" t="s">
        <v>17</v>
      </c>
      <c r="BA407" s="34" t="s">
        <v>475</v>
      </c>
      <c r="BB407" s="499"/>
      <c r="BC407" s="271"/>
      <c r="BD407" s="279">
        <v>1</v>
      </c>
      <c r="BE407" s="271"/>
      <c r="BF407" s="271"/>
      <c r="BG407" s="271"/>
      <c r="BH407" s="271"/>
      <c r="BI407" s="271"/>
      <c r="BJ407" s="271"/>
      <c r="BK407" s="271"/>
      <c r="BL407" s="271"/>
    </row>
    <row r="408" spans="18:64" ht="21" customHeight="1" x14ac:dyDescent="0.25">
      <c r="R408" s="34" t="s">
        <v>482</v>
      </c>
      <c r="S408" s="451"/>
      <c r="T408" s="14" t="s">
        <v>7</v>
      </c>
      <c r="V408" s="475">
        <v>10</v>
      </c>
      <c r="W408" s="475" t="str">
        <f>IF($AC$408="","",$W$396)</f>
        <v/>
      </c>
      <c r="X408" s="476" t="str">
        <f>IF($AC$408="","",$X$396)</f>
        <v/>
      </c>
      <c r="Y408" s="477" t="str">
        <f>IF($X$408="","",$Y$396)</f>
        <v/>
      </c>
      <c r="Z408" s="477" t="str">
        <f>IF($X$408="","",$Z$396)</f>
        <v/>
      </c>
      <c r="AA408" s="477" t="str">
        <f>IF($AC$408="","",ROW($A$408)-ROW($A$396))</f>
        <v/>
      </c>
      <c r="AB408" s="478"/>
      <c r="AC408" s="34"/>
      <c r="AD408" s="356"/>
      <c r="AE408" s="479"/>
      <c r="AF408" s="475"/>
      <c r="AG408" s="480" t="str">
        <f t="shared" si="112"/>
        <v/>
      </c>
      <c r="AH408" s="481" t="str">
        <f t="shared" si="113"/>
        <v/>
      </c>
      <c r="AI408" s="477" t="str">
        <f>IF($AC$408="","",IFERROR(INDEX($AZ$74:$AZ$119,MATCH($AH$408,$AY$74:$AY$119,0)),"AUTRE"))</f>
        <v/>
      </c>
      <c r="AJ408" s="482" t="str">
        <f>IF($AC$408="","",IFERROR(INDEX($BA$74:$BA$119,MATCH($AH$408,$AY$74:$AY$119,0)),1))</f>
        <v/>
      </c>
      <c r="AK408" s="482" t="str">
        <f t="shared" si="114"/>
        <v/>
      </c>
      <c r="AL408" s="477" t="str">
        <f>IF($AC$408="","",IFERROR(INDEX($BB$74:$BB$119,MATCH($AH$408,$AY$74:$AY$119,0)),$AH$408))</f>
        <v/>
      </c>
      <c r="AM408" s="483" t="str">
        <f t="shared" si="115"/>
        <v/>
      </c>
      <c r="AN408" s="484" t="str">
        <f t="shared" si="116"/>
        <v/>
      </c>
      <c r="AO408" s="473" t="str">
        <f t="shared" si="117"/>
        <v/>
      </c>
      <c r="AP408" s="473" t="str">
        <f t="shared" si="118"/>
        <v/>
      </c>
      <c r="AQ408" s="473" t="str">
        <f t="shared" si="119"/>
        <v/>
      </c>
      <c r="AR408" s="473" t="str">
        <f t="shared" si="120"/>
        <v/>
      </c>
      <c r="AS408" s="473" t="str">
        <f t="shared" si="121"/>
        <v/>
      </c>
      <c r="AT408" s="473" t="str">
        <f t="shared" si="122"/>
        <v/>
      </c>
      <c r="AU408" s="473" t="str">
        <f t="shared" si="123"/>
        <v/>
      </c>
      <c r="AZ408" s="31" t="s">
        <v>18</v>
      </c>
      <c r="BA408" s="34" t="s">
        <v>457</v>
      </c>
      <c r="BB408" s="499"/>
      <c r="BC408" s="271"/>
      <c r="BD408" s="279">
        <v>1</v>
      </c>
      <c r="BE408" s="271"/>
      <c r="BF408" s="271"/>
      <c r="BG408" s="271"/>
      <c r="BH408" s="271"/>
      <c r="BI408" s="271"/>
      <c r="BJ408" s="271"/>
      <c r="BK408" s="271"/>
      <c r="BL408" s="271"/>
    </row>
    <row r="409" spans="18:64" ht="21" customHeight="1" x14ac:dyDescent="0.25">
      <c r="R409" s="34" t="s">
        <v>496</v>
      </c>
      <c r="S409" s="451"/>
      <c r="T409" s="27" t="s">
        <v>8</v>
      </c>
      <c r="V409" s="475">
        <v>10</v>
      </c>
      <c r="W409" s="475" t="str">
        <f>IF($AC$409="","",$W$396)</f>
        <v/>
      </c>
      <c r="X409" s="476" t="str">
        <f>IF($AC$409="","",$X$396)</f>
        <v/>
      </c>
      <c r="Y409" s="477" t="str">
        <f>IF($X$409="","",$Y$396)</f>
        <v/>
      </c>
      <c r="Z409" s="477" t="str">
        <f>IF($X$409="","",$Z$396)</f>
        <v/>
      </c>
      <c r="AA409" s="477" t="str">
        <f>IF($AC$409="","",ROW($A$409)-ROW($A$396))</f>
        <v/>
      </c>
      <c r="AB409" s="478"/>
      <c r="AC409" s="34"/>
      <c r="AD409" s="356"/>
      <c r="AE409" s="479"/>
      <c r="AF409" s="475"/>
      <c r="AG409" s="480" t="str">
        <f t="shared" si="112"/>
        <v/>
      </c>
      <c r="AH409" s="481" t="str">
        <f t="shared" si="113"/>
        <v/>
      </c>
      <c r="AI409" s="477" t="str">
        <f>IF($AC$409="","",IFERROR(INDEX($AZ$74:$AZ$119,MATCH($AH$409,$AY$74:$AY$119,0)),"AUTRE"))</f>
        <v/>
      </c>
      <c r="AJ409" s="482" t="str">
        <f>IF($AC$409="","",IFERROR(INDEX($BA$74:$BA$119,MATCH($AH$409,$AY$74:$AY$119,0)),1))</f>
        <v/>
      </c>
      <c r="AK409" s="482" t="str">
        <f t="shared" si="114"/>
        <v/>
      </c>
      <c r="AL409" s="477" t="str">
        <f>IF($AC$409="","",IFERROR(INDEX($BB$74:$BB$119,MATCH($AH$409,$AY$74:$AY$119,0)),$AH$409))</f>
        <v/>
      </c>
      <c r="AM409" s="483" t="str">
        <f t="shared" si="115"/>
        <v/>
      </c>
      <c r="AN409" s="484" t="str">
        <f t="shared" si="116"/>
        <v/>
      </c>
      <c r="AO409" s="473" t="str">
        <f t="shared" si="117"/>
        <v/>
      </c>
      <c r="AP409" s="473" t="str">
        <f t="shared" si="118"/>
        <v/>
      </c>
      <c r="AQ409" s="473" t="str">
        <f t="shared" si="119"/>
        <v/>
      </c>
      <c r="AR409" s="473" t="str">
        <f t="shared" si="120"/>
        <v/>
      </c>
      <c r="AS409" s="473" t="str">
        <f t="shared" si="121"/>
        <v/>
      </c>
      <c r="AT409" s="473" t="str">
        <f t="shared" si="122"/>
        <v/>
      </c>
      <c r="AU409" s="473" t="str">
        <f t="shared" si="123"/>
        <v/>
      </c>
      <c r="AZ409" s="31" t="s">
        <v>19</v>
      </c>
      <c r="BA409" s="34" t="s">
        <v>482</v>
      </c>
      <c r="BB409" s="499"/>
      <c r="BC409" s="271"/>
      <c r="BD409" s="279">
        <v>1</v>
      </c>
      <c r="BE409" s="271"/>
      <c r="BF409" s="271"/>
      <c r="BG409" s="271"/>
      <c r="BH409" s="271"/>
      <c r="BI409" s="271"/>
      <c r="BJ409" s="271"/>
      <c r="BK409" s="271"/>
      <c r="BL409" s="271"/>
    </row>
    <row r="410" spans="18:64" ht="21" customHeight="1" x14ac:dyDescent="0.25">
      <c r="R410" s="34" t="s">
        <v>483</v>
      </c>
      <c r="S410" s="451"/>
      <c r="T410" s="28" t="s">
        <v>13</v>
      </c>
      <c r="V410" s="475">
        <v>10</v>
      </c>
      <c r="W410" s="475" t="str">
        <f>IF($AC$410="","",$W$396)</f>
        <v/>
      </c>
      <c r="X410" s="476" t="str">
        <f>IF($AC$410="","",$X$396)</f>
        <v/>
      </c>
      <c r="Y410" s="477" t="str">
        <f>IF($X$410="","",$Y$396)</f>
        <v/>
      </c>
      <c r="Z410" s="477" t="str">
        <f>IF($X$410="","",$Z$396)</f>
        <v/>
      </c>
      <c r="AA410" s="477" t="str">
        <f>IF($AC$410="","",ROW($A$410)-ROW($A$396))</f>
        <v/>
      </c>
      <c r="AB410" s="478"/>
      <c r="AC410" s="34"/>
      <c r="AD410" s="356"/>
      <c r="AE410" s="479"/>
      <c r="AF410" s="475"/>
      <c r="AG410" s="480" t="str">
        <f t="shared" si="112"/>
        <v/>
      </c>
      <c r="AH410" s="481" t="str">
        <f t="shared" si="113"/>
        <v/>
      </c>
      <c r="AI410" s="477" t="str">
        <f>IF($AC$410="","",IFERROR(INDEX($AZ$74:$AZ$119,MATCH($AH$410,$AY$74:$AY$119,0)),"AUTRE"))</f>
        <v/>
      </c>
      <c r="AJ410" s="482" t="str">
        <f>IF($AC$410="","",IFERROR(INDEX($BA$74:$BA$119,MATCH($AH$410,$AY$74:$AY$119,0)),1))</f>
        <v/>
      </c>
      <c r="AK410" s="482" t="str">
        <f t="shared" si="114"/>
        <v/>
      </c>
      <c r="AL410" s="477" t="str">
        <f>IF($AC$410="","",IFERROR(INDEX($BB$74:$BB$119,MATCH($AH$410,$AY$74:$AY$119,0)),$AH$410))</f>
        <v/>
      </c>
      <c r="AM410" s="483" t="str">
        <f t="shared" si="115"/>
        <v/>
      </c>
      <c r="AN410" s="484" t="str">
        <f t="shared" si="116"/>
        <v/>
      </c>
      <c r="AO410" s="473" t="str">
        <f t="shared" si="117"/>
        <v/>
      </c>
      <c r="AP410" s="473" t="str">
        <f t="shared" si="118"/>
        <v/>
      </c>
      <c r="AQ410" s="473" t="str">
        <f t="shared" si="119"/>
        <v/>
      </c>
      <c r="AR410" s="473" t="str">
        <f t="shared" si="120"/>
        <v/>
      </c>
      <c r="AS410" s="473" t="str">
        <f t="shared" si="121"/>
        <v/>
      </c>
      <c r="AT410" s="473" t="str">
        <f t="shared" si="122"/>
        <v/>
      </c>
      <c r="AU410" s="473" t="str">
        <f t="shared" si="123"/>
        <v/>
      </c>
      <c r="AZ410" s="31" t="s">
        <v>211</v>
      </c>
      <c r="BA410" s="34" t="s">
        <v>496</v>
      </c>
      <c r="BB410" s="499"/>
      <c r="BC410" s="271"/>
      <c r="BD410" s="279">
        <v>1</v>
      </c>
      <c r="BE410" s="271"/>
      <c r="BF410" s="271"/>
      <c r="BG410" s="271"/>
      <c r="BH410" s="271"/>
      <c r="BI410" s="271"/>
      <c r="BJ410" s="271"/>
      <c r="BK410" s="271"/>
      <c r="BL410" s="271"/>
    </row>
    <row r="411" spans="18:64" ht="21" customHeight="1" x14ac:dyDescent="0.25">
      <c r="R411" s="34" t="s">
        <v>493</v>
      </c>
      <c r="S411" s="451"/>
      <c r="T411" s="28" t="s">
        <v>14</v>
      </c>
      <c r="V411" s="475">
        <v>10</v>
      </c>
      <c r="W411" s="475" t="str">
        <f>IF($AC$411="","",$W$396)</f>
        <v/>
      </c>
      <c r="X411" s="476" t="str">
        <f>IF($AC$411="","",$X$396)</f>
        <v/>
      </c>
      <c r="Y411" s="477" t="str">
        <f>IF($X$411="","",$Y$396)</f>
        <v/>
      </c>
      <c r="Z411" s="477" t="str">
        <f>IF($X$411="","",$Z$396)</f>
        <v/>
      </c>
      <c r="AA411" s="477" t="str">
        <f>IF($AC$411="","",ROW($A$411)-ROW($A$396))</f>
        <v/>
      </c>
      <c r="AB411" s="478"/>
      <c r="AC411" s="34"/>
      <c r="AD411" s="356"/>
      <c r="AE411" s="479"/>
      <c r="AF411" s="475"/>
      <c r="AG411" s="480" t="str">
        <f t="shared" si="112"/>
        <v/>
      </c>
      <c r="AH411" s="481" t="str">
        <f t="shared" si="113"/>
        <v/>
      </c>
      <c r="AI411" s="477" t="str">
        <f>IF($AC$411="","",IFERROR(INDEX($AZ$74:$AZ$119,MATCH($AH$411,$AY$74:$AY$119,0)),"AUTRE"))</f>
        <v/>
      </c>
      <c r="AJ411" s="482" t="str">
        <f>IF($AC$411="","",IFERROR(INDEX($BA$74:$BA$119,MATCH($AH$411,$AY$74:$AY$119,0)),1))</f>
        <v/>
      </c>
      <c r="AK411" s="482" t="str">
        <f t="shared" si="114"/>
        <v/>
      </c>
      <c r="AL411" s="477" t="str">
        <f>IF($AC$411="","",IFERROR(INDEX($BB$74:$BB$119,MATCH($AH$411,$AY$74:$AY$119,0)),$AH$411))</f>
        <v/>
      </c>
      <c r="AM411" s="483" t="str">
        <f t="shared" si="115"/>
        <v/>
      </c>
      <c r="AN411" s="484" t="str">
        <f t="shared" si="116"/>
        <v/>
      </c>
      <c r="AO411" s="473" t="str">
        <f t="shared" si="117"/>
        <v/>
      </c>
      <c r="AP411" s="473" t="str">
        <f t="shared" si="118"/>
        <v/>
      </c>
      <c r="AQ411" s="473" t="str">
        <f t="shared" si="119"/>
        <v/>
      </c>
      <c r="AR411" s="473" t="str">
        <f t="shared" si="120"/>
        <v/>
      </c>
      <c r="AS411" s="473" t="str">
        <f t="shared" si="121"/>
        <v/>
      </c>
      <c r="AT411" s="473" t="str">
        <f t="shared" si="122"/>
        <v/>
      </c>
      <c r="AU411" s="473" t="str">
        <f t="shared" si="123"/>
        <v/>
      </c>
      <c r="AZ411" s="31" t="s">
        <v>20</v>
      </c>
      <c r="BA411" s="34" t="s">
        <v>483</v>
      </c>
      <c r="BB411" s="499"/>
      <c r="BC411" s="271"/>
      <c r="BD411" s="279">
        <v>1</v>
      </c>
      <c r="BE411" s="271"/>
      <c r="BF411" s="271"/>
      <c r="BG411" s="271"/>
      <c r="BH411" s="271"/>
      <c r="BI411" s="271"/>
      <c r="BJ411" s="271"/>
      <c r="BK411" s="271"/>
      <c r="BL411" s="271"/>
    </row>
    <row r="412" spans="18:64" ht="21" customHeight="1" x14ac:dyDescent="0.25">
      <c r="R412" s="34" t="s">
        <v>494</v>
      </c>
      <c r="S412" s="451"/>
      <c r="T412" s="28" t="s">
        <v>15</v>
      </c>
      <c r="V412" s="475">
        <v>10</v>
      </c>
      <c r="W412" s="475" t="str">
        <f>IF($AC$412="","",$W$396)</f>
        <v/>
      </c>
      <c r="X412" s="476" t="str">
        <f>IF($AC$412="","",$X$396)</f>
        <v/>
      </c>
      <c r="Y412" s="477" t="str">
        <f>IF($X$412="","",$Y$396)</f>
        <v/>
      </c>
      <c r="Z412" s="477" t="str">
        <f>IF($X$412="","",$Z$396)</f>
        <v/>
      </c>
      <c r="AA412" s="477" t="str">
        <f>IF($AC$412="","",ROW($A$412)-ROW($A$396))</f>
        <v/>
      </c>
      <c r="AB412" s="478"/>
      <c r="AC412" s="34"/>
      <c r="AD412" s="356"/>
      <c r="AE412" s="479"/>
      <c r="AF412" s="475"/>
      <c r="AG412" s="480" t="str">
        <f t="shared" si="112"/>
        <v/>
      </c>
      <c r="AH412" s="481" t="str">
        <f t="shared" si="113"/>
        <v/>
      </c>
      <c r="AI412" s="477" t="str">
        <f>IF($AC$412="","",IFERROR(INDEX($AZ$74:$AZ$119,MATCH($AH$412,$AY$74:$AY$119,0)),"AUTRE"))</f>
        <v/>
      </c>
      <c r="AJ412" s="482" t="str">
        <f>IF($AC$412="","",IFERROR(INDEX($BA$74:$BA$119,MATCH($AH$412,$AY$74:$AY$119,0)),1))</f>
        <v/>
      </c>
      <c r="AK412" s="482" t="str">
        <f t="shared" si="114"/>
        <v/>
      </c>
      <c r="AL412" s="477" t="str">
        <f>IF($AC$412="","",IFERROR(INDEX($BB$74:$BB$119,MATCH($AH$412,$AY$74:$AY$119,0)),$AH$412))</f>
        <v/>
      </c>
      <c r="AM412" s="483" t="str">
        <f t="shared" si="115"/>
        <v/>
      </c>
      <c r="AN412" s="484" t="str">
        <f t="shared" si="116"/>
        <v/>
      </c>
      <c r="AO412" s="473" t="str">
        <f t="shared" si="117"/>
        <v/>
      </c>
      <c r="AP412" s="473" t="str">
        <f t="shared" si="118"/>
        <v/>
      </c>
      <c r="AQ412" s="473" t="str">
        <f t="shared" si="119"/>
        <v/>
      </c>
      <c r="AR412" s="473" t="str">
        <f t="shared" si="120"/>
        <v/>
      </c>
      <c r="AS412" s="473" t="str">
        <f t="shared" si="121"/>
        <v/>
      </c>
      <c r="AT412" s="473" t="str">
        <f t="shared" si="122"/>
        <v/>
      </c>
      <c r="AU412" s="473" t="str">
        <f t="shared" si="123"/>
        <v/>
      </c>
      <c r="AZ412" s="31" t="s">
        <v>304</v>
      </c>
      <c r="BA412" s="34" t="s">
        <v>493</v>
      </c>
      <c r="BB412" s="499"/>
      <c r="BC412" s="271"/>
      <c r="BD412" s="279">
        <v>1</v>
      </c>
      <c r="BE412" s="271"/>
      <c r="BF412" s="271"/>
      <c r="BG412" s="271"/>
      <c r="BH412" s="271"/>
      <c r="BI412" s="271"/>
      <c r="BJ412" s="271"/>
      <c r="BK412" s="271"/>
      <c r="BL412" s="271"/>
    </row>
    <row r="413" spans="18:64" ht="21" customHeight="1" x14ac:dyDescent="0.25">
      <c r="S413" s="451"/>
      <c r="T413" s="28" t="s">
        <v>21</v>
      </c>
      <c r="V413" s="475">
        <v>10</v>
      </c>
      <c r="W413" s="475" t="str">
        <f>IF($AC$413="","",$W$396)</f>
        <v/>
      </c>
      <c r="X413" s="476" t="str">
        <f>IF($AC$413="","",$X$396)</f>
        <v/>
      </c>
      <c r="Y413" s="477" t="str">
        <f>IF($X$413="","",$Y$396)</f>
        <v/>
      </c>
      <c r="Z413" s="477" t="str">
        <f>IF($X$413="","",$Z$396)</f>
        <v/>
      </c>
      <c r="AA413" s="477" t="str">
        <f>IF($AC$413="","",ROW($A$413)-ROW($A$396))</f>
        <v/>
      </c>
      <c r="AB413" s="478"/>
      <c r="AC413" s="34"/>
      <c r="AD413" s="356"/>
      <c r="AE413" s="479"/>
      <c r="AF413" s="475"/>
      <c r="AG413" s="480" t="str">
        <f t="shared" si="112"/>
        <v/>
      </c>
      <c r="AH413" s="481" t="str">
        <f t="shared" si="113"/>
        <v/>
      </c>
      <c r="AI413" s="477" t="str">
        <f>IF($AC$413="","",IFERROR(INDEX($AZ$74:$AZ$119,MATCH($AH$413,$AY$74:$AY$119,0)),"AUTRE"))</f>
        <v/>
      </c>
      <c r="AJ413" s="482" t="str">
        <f>IF($AC$413="","",IFERROR(INDEX($BA$74:$BA$119,MATCH($AH$413,$AY$74:$AY$119,0)),1))</f>
        <v/>
      </c>
      <c r="AK413" s="482" t="str">
        <f t="shared" si="114"/>
        <v/>
      </c>
      <c r="AL413" s="477" t="str">
        <f>IF($AC$413="","",IFERROR(INDEX($BB$74:$BB$119,MATCH($AH$413,$AY$74:$AY$119,0)),$AH$413))</f>
        <v/>
      </c>
      <c r="AM413" s="483" t="str">
        <f t="shared" si="115"/>
        <v/>
      </c>
      <c r="AN413" s="484" t="str">
        <f t="shared" si="116"/>
        <v/>
      </c>
      <c r="AO413" s="473" t="str">
        <f t="shared" si="117"/>
        <v/>
      </c>
      <c r="AP413" s="473" t="str">
        <f t="shared" si="118"/>
        <v/>
      </c>
      <c r="AQ413" s="473" t="str">
        <f t="shared" si="119"/>
        <v/>
      </c>
      <c r="AR413" s="473" t="str">
        <f t="shared" si="120"/>
        <v/>
      </c>
      <c r="AS413" s="473" t="str">
        <f t="shared" si="121"/>
        <v/>
      </c>
      <c r="AT413" s="473" t="str">
        <f t="shared" si="122"/>
        <v/>
      </c>
      <c r="AU413" s="473" t="str">
        <f t="shared" si="123"/>
        <v/>
      </c>
      <c r="AZ413" s="31" t="s">
        <v>352</v>
      </c>
      <c r="BA413" s="34" t="s">
        <v>494</v>
      </c>
      <c r="BB413" s="499"/>
      <c r="BC413" s="271"/>
      <c r="BD413" s="279">
        <v>1</v>
      </c>
      <c r="BE413" s="271"/>
      <c r="BF413" s="271"/>
      <c r="BG413" s="271"/>
      <c r="BH413" s="271"/>
      <c r="BI413" s="271"/>
      <c r="BJ413" s="271"/>
      <c r="BK413" s="271"/>
      <c r="BL413" s="271"/>
    </row>
    <row r="414" spans="18:64" ht="21" customHeight="1" x14ac:dyDescent="0.25">
      <c r="R414" s="25" t="s">
        <v>6115</v>
      </c>
      <c r="S414" s="451"/>
      <c r="T414" s="28" t="s">
        <v>22</v>
      </c>
      <c r="V414" s="475">
        <v>10</v>
      </c>
      <c r="W414" s="475" t="str">
        <f>IF($AC$414="","",$W$396)</f>
        <v/>
      </c>
      <c r="X414" s="476" t="str">
        <f>IF($AC$414="","",$X$396)</f>
        <v/>
      </c>
      <c r="Y414" s="477" t="str">
        <f>IF($X$414="","",$Y$396)</f>
        <v/>
      </c>
      <c r="Z414" s="477" t="str">
        <f>IF($X$414="","",$Z$396)</f>
        <v/>
      </c>
      <c r="AA414" s="477" t="str">
        <f>IF($AC$414="","",ROW($A$414)-ROW($A$396))</f>
        <v/>
      </c>
      <c r="AB414" s="478"/>
      <c r="AC414" s="34"/>
      <c r="AD414" s="356"/>
      <c r="AE414" s="479"/>
      <c r="AF414" s="475"/>
      <c r="AG414" s="480" t="str">
        <f t="shared" si="112"/>
        <v/>
      </c>
      <c r="AH414" s="481" t="str">
        <f t="shared" si="113"/>
        <v/>
      </c>
      <c r="AI414" s="477" t="str">
        <f>IF($AC$414="","",IFERROR(INDEX($AZ$74:$AZ$119,MATCH($AH$414,$AY$74:$AY$119,0)),"AUTRE"))</f>
        <v/>
      </c>
      <c r="AJ414" s="482" t="str">
        <f>IF($AC$414="","",IFERROR(INDEX($BA$74:$BA$119,MATCH($AH$414,$AY$74:$AY$119,0)),1))</f>
        <v/>
      </c>
      <c r="AK414" s="482" t="str">
        <f t="shared" si="114"/>
        <v/>
      </c>
      <c r="AL414" s="477" t="str">
        <f>IF($AC$414="","",IFERROR(INDEX($BB$74:$BB$119,MATCH($AH$414,$AY$74:$AY$119,0)),$AH$414))</f>
        <v/>
      </c>
      <c r="AM414" s="483" t="str">
        <f t="shared" si="115"/>
        <v/>
      </c>
      <c r="AN414" s="484" t="str">
        <f t="shared" si="116"/>
        <v/>
      </c>
      <c r="AO414" s="473" t="str">
        <f t="shared" si="117"/>
        <v/>
      </c>
      <c r="AP414" s="473" t="str">
        <f t="shared" si="118"/>
        <v/>
      </c>
      <c r="AQ414" s="473" t="str">
        <f t="shared" si="119"/>
        <v/>
      </c>
      <c r="AR414" s="473" t="str">
        <f t="shared" si="120"/>
        <v/>
      </c>
      <c r="AS414" s="473" t="str">
        <f t="shared" si="121"/>
        <v/>
      </c>
      <c r="AT414" s="473" t="str">
        <f t="shared" si="122"/>
        <v/>
      </c>
      <c r="AU414" s="473" t="str">
        <f t="shared" si="123"/>
        <v/>
      </c>
      <c r="AZ414" s="31" t="s">
        <v>27</v>
      </c>
      <c r="BB414" s="499"/>
      <c r="BC414" s="271"/>
      <c r="BD414" s="279">
        <v>1</v>
      </c>
      <c r="BE414" s="271"/>
      <c r="BF414" s="271"/>
      <c r="BG414" s="271"/>
      <c r="BH414" s="271"/>
      <c r="BI414" s="271"/>
      <c r="BJ414" s="271"/>
      <c r="BK414" s="271"/>
      <c r="BL414" s="271"/>
    </row>
    <row r="415" spans="18:64" ht="21" customHeight="1" x14ac:dyDescent="0.25">
      <c r="R415" s="34" t="s">
        <v>471</v>
      </c>
      <c r="S415" s="451"/>
      <c r="T415" s="28" t="s">
        <v>23</v>
      </c>
      <c r="V415" s="475">
        <v>10</v>
      </c>
      <c r="W415" s="475" t="str">
        <f>IF($AC$415="","",$W$396)</f>
        <v/>
      </c>
      <c r="X415" s="476" t="str">
        <f>IF($AC$415="","",$X$396)</f>
        <v/>
      </c>
      <c r="Y415" s="477" t="str">
        <f>IF($X$415="","",$Y$396)</f>
        <v/>
      </c>
      <c r="Z415" s="477" t="str">
        <f>IF($X$415="","",$Z$396)</f>
        <v/>
      </c>
      <c r="AA415" s="477" t="str">
        <f>IF($AC$415="","",ROW($A$415)-ROW($A$396))</f>
        <v/>
      </c>
      <c r="AB415" s="478"/>
      <c r="AC415" s="34"/>
      <c r="AD415" s="356"/>
      <c r="AE415" s="479"/>
      <c r="AF415" s="475"/>
      <c r="AG415" s="480" t="str">
        <f t="shared" si="112"/>
        <v/>
      </c>
      <c r="AH415" s="481" t="str">
        <f t="shared" si="113"/>
        <v/>
      </c>
      <c r="AI415" s="477" t="str">
        <f>IF($AC$415="","",IFERROR(INDEX($AZ$74:$AZ$119,MATCH($AH$415,$AY$74:$AY$119,0)),"AUTRE"))</f>
        <v/>
      </c>
      <c r="AJ415" s="482" t="str">
        <f>IF($AC$415="","",IFERROR(INDEX($BA$74:$BA$119,MATCH($AH$415,$AY$74:$AY$119,0)),1))</f>
        <v/>
      </c>
      <c r="AK415" s="482" t="str">
        <f t="shared" si="114"/>
        <v/>
      </c>
      <c r="AL415" s="477" t="str">
        <f>IF($AC$415="","",IFERROR(INDEX($BB$74:$BB$119,MATCH($AH$415,$AY$74:$AY$119,0)),$AH$415))</f>
        <v/>
      </c>
      <c r="AM415" s="483" t="str">
        <f t="shared" si="115"/>
        <v/>
      </c>
      <c r="AN415" s="484" t="str">
        <f t="shared" si="116"/>
        <v/>
      </c>
      <c r="AO415" s="473" t="str">
        <f t="shared" si="117"/>
        <v/>
      </c>
      <c r="AP415" s="473" t="str">
        <f t="shared" si="118"/>
        <v/>
      </c>
      <c r="AQ415" s="473" t="str">
        <f t="shared" si="119"/>
        <v/>
      </c>
      <c r="AR415" s="473" t="str">
        <f t="shared" si="120"/>
        <v/>
      </c>
      <c r="AS415" s="473" t="str">
        <f t="shared" si="121"/>
        <v/>
      </c>
      <c r="AT415" s="473" t="str">
        <f t="shared" si="122"/>
        <v/>
      </c>
      <c r="AU415" s="473" t="str">
        <f t="shared" si="123"/>
        <v/>
      </c>
      <c r="AZ415" s="31" t="s">
        <v>28</v>
      </c>
      <c r="BA415" s="25" t="s">
        <v>6115</v>
      </c>
      <c r="BB415" s="499"/>
      <c r="BC415" s="271"/>
      <c r="BD415" s="279">
        <v>1</v>
      </c>
      <c r="BE415" s="271"/>
      <c r="BF415" s="271"/>
      <c r="BG415" s="271"/>
      <c r="BH415" s="271"/>
      <c r="BI415" s="271"/>
      <c r="BJ415" s="271"/>
      <c r="BK415" s="271"/>
      <c r="BL415" s="271"/>
    </row>
    <row r="416" spans="18:64" ht="21" customHeight="1" x14ac:dyDescent="0.25">
      <c r="R416" s="34" t="s">
        <v>472</v>
      </c>
      <c r="S416" s="451"/>
      <c r="T416" s="28" t="s">
        <v>24</v>
      </c>
      <c r="V416" s="475">
        <v>10</v>
      </c>
      <c r="W416" s="475" t="str">
        <f>IF($AC$416="","",$W$396)</f>
        <v/>
      </c>
      <c r="X416" s="476" t="str">
        <f>IF($AC$416="","",$X$396)</f>
        <v/>
      </c>
      <c r="Y416" s="477" t="str">
        <f>IF($X$416="","",$Y$396)</f>
        <v/>
      </c>
      <c r="Z416" s="477" t="str">
        <f>IF($X$416="","",$Z$396)</f>
        <v/>
      </c>
      <c r="AA416" s="477" t="str">
        <f>IF($AC$416="","",ROW($A$416)-ROW($A$396))</f>
        <v/>
      </c>
      <c r="AB416" s="478"/>
      <c r="AC416" s="34"/>
      <c r="AD416" s="356"/>
      <c r="AE416" s="479"/>
      <c r="AF416" s="475"/>
      <c r="AG416" s="480" t="str">
        <f t="shared" si="112"/>
        <v/>
      </c>
      <c r="AH416" s="481" t="str">
        <f t="shared" si="113"/>
        <v/>
      </c>
      <c r="AI416" s="477" t="str">
        <f>IF($AC$416="","",IFERROR(INDEX($AZ$74:$AZ$119,MATCH($AH$416,$AY$74:$AY$119,0)),"AUTRE"))</f>
        <v/>
      </c>
      <c r="AJ416" s="482" t="str">
        <f>IF($AC$416="","",IFERROR(INDEX($BA$74:$BA$119,MATCH($AH$416,$AY$74:$AY$119,0)),1))</f>
        <v/>
      </c>
      <c r="AK416" s="482" t="str">
        <f t="shared" si="114"/>
        <v/>
      </c>
      <c r="AL416" s="477" t="str">
        <f>IF($AC$416="","",IFERROR(INDEX($BB$74:$BB$119,MATCH($AH$416,$AY$74:$AY$119,0)),$AH$416))</f>
        <v/>
      </c>
      <c r="AM416" s="483" t="str">
        <f t="shared" si="115"/>
        <v/>
      </c>
      <c r="AN416" s="484" t="str">
        <f t="shared" si="116"/>
        <v/>
      </c>
      <c r="AO416" s="473" t="str">
        <f t="shared" si="117"/>
        <v/>
      </c>
      <c r="AP416" s="473" t="str">
        <f t="shared" si="118"/>
        <v/>
      </c>
      <c r="AQ416" s="473" t="str">
        <f t="shared" si="119"/>
        <v/>
      </c>
      <c r="AR416" s="473" t="str">
        <f t="shared" si="120"/>
        <v/>
      </c>
      <c r="AS416" s="473" t="str">
        <f t="shared" si="121"/>
        <v/>
      </c>
      <c r="AT416" s="473" t="str">
        <f t="shared" si="122"/>
        <v/>
      </c>
      <c r="AU416" s="473" t="str">
        <f t="shared" si="123"/>
        <v/>
      </c>
      <c r="AZ416" s="31" t="s">
        <v>29</v>
      </c>
      <c r="BA416" s="34" t="s">
        <v>471</v>
      </c>
      <c r="BB416" s="499"/>
      <c r="BC416" s="271"/>
      <c r="BD416" s="279">
        <v>1</v>
      </c>
      <c r="BE416" s="271"/>
      <c r="BF416" s="271"/>
      <c r="BG416" s="271"/>
      <c r="BH416" s="271"/>
      <c r="BI416" s="271"/>
      <c r="BJ416" s="271"/>
      <c r="BK416" s="271"/>
      <c r="BL416" s="271"/>
    </row>
    <row r="417" spans="1:64" ht="21" customHeight="1" x14ac:dyDescent="0.25">
      <c r="R417" s="34" t="s">
        <v>6112</v>
      </c>
      <c r="S417" s="451"/>
      <c r="T417" s="29" t="s">
        <v>9</v>
      </c>
      <c r="V417" s="475">
        <v>10</v>
      </c>
      <c r="W417" s="475" t="str">
        <f>IF($AC$417="","",$W$396)</f>
        <v/>
      </c>
      <c r="X417" s="476" t="str">
        <f>IF($AC$417="","",$X$396)</f>
        <v/>
      </c>
      <c r="Y417" s="477" t="str">
        <f>IF($X$417="","",$Y$396)</f>
        <v/>
      </c>
      <c r="Z417" s="477" t="str">
        <f>IF($X$417="","",$Z$396)</f>
        <v/>
      </c>
      <c r="AA417" s="477" t="str">
        <f>IF($AC$417="","",ROW($A$417)-ROW($A$396))</f>
        <v/>
      </c>
      <c r="AB417" s="478"/>
      <c r="AC417" s="34"/>
      <c r="AD417" s="356"/>
      <c r="AE417" s="479"/>
      <c r="AF417" s="475"/>
      <c r="AG417" s="480" t="str">
        <f t="shared" si="112"/>
        <v/>
      </c>
      <c r="AH417" s="481" t="str">
        <f t="shared" si="113"/>
        <v/>
      </c>
      <c r="AI417" s="477" t="str">
        <f>IF($AC$417="","",IFERROR(INDEX($AZ$74:$AZ$119,MATCH($AH$417,$AY$74:$AY$119,0)),"AUTRE"))</f>
        <v/>
      </c>
      <c r="AJ417" s="482" t="str">
        <f>IF($AC$417="","",IFERROR(INDEX($BA$74:$BA$119,MATCH($AH$417,$AY$74:$AY$119,0)),1))</f>
        <v/>
      </c>
      <c r="AK417" s="482" t="str">
        <f t="shared" si="114"/>
        <v/>
      </c>
      <c r="AL417" s="477" t="str">
        <f>IF($AC$417="","",IFERROR(INDEX($BB$74:$BB$119,MATCH($AH$417,$AY$74:$AY$119,0)),$AH$417))</f>
        <v/>
      </c>
      <c r="AM417" s="483" t="str">
        <f t="shared" si="115"/>
        <v/>
      </c>
      <c r="AN417" s="484" t="str">
        <f t="shared" si="116"/>
        <v/>
      </c>
      <c r="AO417" s="473" t="str">
        <f t="shared" si="117"/>
        <v/>
      </c>
      <c r="AP417" s="473" t="str">
        <f t="shared" si="118"/>
        <v/>
      </c>
      <c r="AQ417" s="473" t="str">
        <f t="shared" si="119"/>
        <v/>
      </c>
      <c r="AR417" s="473" t="str">
        <f t="shared" si="120"/>
        <v/>
      </c>
      <c r="AS417" s="473" t="str">
        <f t="shared" si="121"/>
        <v/>
      </c>
      <c r="AT417" s="473" t="str">
        <f t="shared" si="122"/>
        <v/>
      </c>
      <c r="AU417" s="473" t="str">
        <f t="shared" si="123"/>
        <v/>
      </c>
      <c r="AZ417" s="31" t="s">
        <v>30</v>
      </c>
      <c r="BA417" s="34" t="s">
        <v>472</v>
      </c>
      <c r="BB417" s="499"/>
      <c r="BC417" s="271"/>
      <c r="BD417" s="279">
        <v>1</v>
      </c>
      <c r="BE417" s="271"/>
      <c r="BF417" s="271"/>
      <c r="BG417" s="271"/>
      <c r="BH417" s="271"/>
      <c r="BI417" s="271"/>
      <c r="BJ417" s="271"/>
      <c r="BK417" s="271"/>
      <c r="BL417" s="271"/>
    </row>
    <row r="418" spans="1:64" ht="21" customHeight="1" x14ac:dyDescent="0.25">
      <c r="R418" s="25" t="s">
        <v>6116</v>
      </c>
      <c r="S418" s="451"/>
      <c r="T418" s="30" t="s">
        <v>10</v>
      </c>
      <c r="V418" s="475">
        <v>10</v>
      </c>
      <c r="W418" s="475" t="str">
        <f>IF($AC$418="","",$W$396)</f>
        <v/>
      </c>
      <c r="X418" s="476" t="str">
        <f>IF($AC$418="","",$X$396)</f>
        <v/>
      </c>
      <c r="Y418" s="477" t="str">
        <f>IF($X$418="","",$Y$396)</f>
        <v/>
      </c>
      <c r="Z418" s="477" t="str">
        <f>IF($X$418="","",$Z$396)</f>
        <v/>
      </c>
      <c r="AA418" s="477" t="str">
        <f>IF($AC$418="","",ROW($A$418)-ROW($A$396))</f>
        <v/>
      </c>
      <c r="AB418" s="478"/>
      <c r="AC418" s="34"/>
      <c r="AD418" s="356"/>
      <c r="AE418" s="479"/>
      <c r="AF418" s="475"/>
      <c r="AG418" s="480" t="str">
        <f t="shared" si="112"/>
        <v/>
      </c>
      <c r="AH418" s="481" t="str">
        <f t="shared" si="113"/>
        <v/>
      </c>
      <c r="AI418" s="477" t="str">
        <f>IF($AC$418="","",IFERROR(INDEX($AZ$74:$AZ$119,MATCH($AH$418,$AY$74:$AY$119,0)),"AUTRE"))</f>
        <v/>
      </c>
      <c r="AJ418" s="482" t="str">
        <f>IF($AC$418="","",IFERROR(INDEX($BA$74:$BA$119,MATCH($AH$418,$AY$74:$AY$119,0)),1))</f>
        <v/>
      </c>
      <c r="AK418" s="482" t="str">
        <f t="shared" si="114"/>
        <v/>
      </c>
      <c r="AL418" s="477" t="str">
        <f>IF($AC$418="","",IFERROR(INDEX($BB$74:$BB$119,MATCH($AH$418,$AY$74:$AY$119,0)),$AH$418))</f>
        <v/>
      </c>
      <c r="AM418" s="483" t="str">
        <f t="shared" si="115"/>
        <v/>
      </c>
      <c r="AN418" s="484" t="str">
        <f t="shared" si="116"/>
        <v/>
      </c>
      <c r="AO418" s="473" t="str">
        <f t="shared" si="117"/>
        <v/>
      </c>
      <c r="AP418" s="473" t="str">
        <f t="shared" si="118"/>
        <v/>
      </c>
      <c r="AQ418" s="473" t="str">
        <f t="shared" si="119"/>
        <v/>
      </c>
      <c r="AR418" s="473" t="str">
        <f t="shared" si="120"/>
        <v/>
      </c>
      <c r="AS418" s="473" t="str">
        <f t="shared" si="121"/>
        <v/>
      </c>
      <c r="AT418" s="473" t="str">
        <f t="shared" si="122"/>
        <v/>
      </c>
      <c r="AU418" s="473" t="str">
        <f t="shared" si="123"/>
        <v/>
      </c>
      <c r="AZ418" s="32" t="s">
        <v>33</v>
      </c>
      <c r="BA418" s="34" t="s">
        <v>6112</v>
      </c>
      <c r="BB418" s="499"/>
      <c r="BC418" s="271"/>
      <c r="BD418" s="279">
        <v>1</v>
      </c>
      <c r="BE418" s="271"/>
      <c r="BF418" s="271"/>
      <c r="BG418" s="271"/>
      <c r="BH418" s="271"/>
      <c r="BI418" s="271"/>
      <c r="BJ418" s="271"/>
      <c r="BK418" s="271"/>
      <c r="BL418" s="271"/>
    </row>
    <row r="419" spans="1:64" ht="21" customHeight="1" x14ac:dyDescent="0.25">
      <c r="R419" s="34" t="s">
        <v>6117</v>
      </c>
      <c r="S419" s="451"/>
      <c r="T419" s="30" t="s">
        <v>11</v>
      </c>
      <c r="V419" s="475">
        <v>10</v>
      </c>
      <c r="W419" s="475" t="str">
        <f>IF($AC$419="","",$W$396)</f>
        <v/>
      </c>
      <c r="X419" s="476" t="str">
        <f>IF($AC$419="","",$X$396)</f>
        <v/>
      </c>
      <c r="Y419" s="477" t="str">
        <f>IF($X$419="","",$Y$396)</f>
        <v/>
      </c>
      <c r="Z419" s="477" t="str">
        <f>IF($X$419="","",$Z$396)</f>
        <v/>
      </c>
      <c r="AA419" s="477" t="str">
        <f>IF($AC$419="","",ROW($A$419)-ROW($A$396))</f>
        <v/>
      </c>
      <c r="AB419" s="478"/>
      <c r="AC419" s="34"/>
      <c r="AD419" s="356"/>
      <c r="AE419" s="479"/>
      <c r="AF419" s="475"/>
      <c r="AG419" s="480" t="str">
        <f t="shared" si="112"/>
        <v/>
      </c>
      <c r="AH419" s="481" t="str">
        <f t="shared" si="113"/>
        <v/>
      </c>
      <c r="AI419" s="477" t="str">
        <f>IF($AC$419="","",IFERROR(INDEX($AZ$74:$AZ$119,MATCH($AH$419,$AY$74:$AY$119,0)),"AUTRE"))</f>
        <v/>
      </c>
      <c r="AJ419" s="482" t="str">
        <f>IF($AC$419="","",IFERROR(INDEX($BA$74:$BA$119,MATCH($AH$419,$AY$74:$AY$119,0)),1))</f>
        <v/>
      </c>
      <c r="AK419" s="482" t="str">
        <f t="shared" si="114"/>
        <v/>
      </c>
      <c r="AL419" s="477" t="str">
        <f>IF($AC$419="","",IFERROR(INDEX($BB$74:$BB$119,MATCH($AH$419,$AY$74:$AY$119,0)),$AH$419))</f>
        <v/>
      </c>
      <c r="AM419" s="483" t="str">
        <f t="shared" si="115"/>
        <v/>
      </c>
      <c r="AN419" s="484" t="str">
        <f t="shared" si="116"/>
        <v/>
      </c>
      <c r="AO419" s="473" t="str">
        <f t="shared" si="117"/>
        <v/>
      </c>
      <c r="AP419" s="473" t="str">
        <f t="shared" si="118"/>
        <v/>
      </c>
      <c r="AQ419" s="473" t="str">
        <f t="shared" si="119"/>
        <v/>
      </c>
      <c r="AR419" s="473" t="str">
        <f t="shared" si="120"/>
        <v/>
      </c>
      <c r="AS419" s="473" t="str">
        <f t="shared" si="121"/>
        <v/>
      </c>
      <c r="AT419" s="473" t="str">
        <f t="shared" si="122"/>
        <v/>
      </c>
      <c r="AU419" s="473" t="str">
        <f t="shared" si="123"/>
        <v/>
      </c>
      <c r="AZ419" s="32" t="s">
        <v>8125</v>
      </c>
      <c r="BA419" s="25" t="s">
        <v>6116</v>
      </c>
      <c r="BB419" s="499"/>
      <c r="BC419" s="271"/>
      <c r="BD419" s="279">
        <v>1</v>
      </c>
      <c r="BE419" s="271"/>
      <c r="BF419" s="271"/>
      <c r="BG419" s="271"/>
      <c r="BH419" s="271"/>
      <c r="BI419" s="271"/>
      <c r="BJ419" s="271"/>
      <c r="BK419" s="271"/>
      <c r="BL419" s="271"/>
    </row>
    <row r="420" spans="1:64" ht="21" customHeight="1" x14ac:dyDescent="0.25">
      <c r="R420" s="34" t="s">
        <v>469</v>
      </c>
      <c r="S420" s="451"/>
      <c r="T420" s="30" t="s">
        <v>12</v>
      </c>
      <c r="V420" s="475">
        <v>10</v>
      </c>
      <c r="W420" s="475" t="str">
        <f>IF($AC$420="","",$W$396)</f>
        <v/>
      </c>
      <c r="X420" s="476" t="str">
        <f>IF($AC$420="","",$X$396)</f>
        <v/>
      </c>
      <c r="Y420" s="477" t="str">
        <f>IF($X$420="","",$Y$396)</f>
        <v/>
      </c>
      <c r="Z420" s="477" t="str">
        <f>IF($X$420="","",$Z$396)</f>
        <v/>
      </c>
      <c r="AA420" s="477" t="str">
        <f>IF($AC$420="","",ROW($A$420)-ROW($A$396))</f>
        <v/>
      </c>
      <c r="AB420" s="478"/>
      <c r="AC420" s="34"/>
      <c r="AD420" s="356"/>
      <c r="AE420" s="479"/>
      <c r="AF420" s="475"/>
      <c r="AG420" s="480" t="str">
        <f t="shared" si="112"/>
        <v/>
      </c>
      <c r="AH420" s="481" t="str">
        <f t="shared" si="113"/>
        <v/>
      </c>
      <c r="AI420" s="477" t="str">
        <f>IF($AC$420="","",IFERROR(INDEX($AZ$74:$AZ$119,MATCH($AH$420,$AY$74:$AY$119,0)),"AUTRE"))</f>
        <v/>
      </c>
      <c r="AJ420" s="482" t="str">
        <f>IF($AC$420="","",IFERROR(INDEX($BA$74:$BA$119,MATCH($AH$420,$AY$74:$AY$119,0)),1))</f>
        <v/>
      </c>
      <c r="AK420" s="482" t="str">
        <f t="shared" si="114"/>
        <v/>
      </c>
      <c r="AL420" s="477" t="str">
        <f>IF($AC$420="","",IFERROR(INDEX($BB$74:$BB$119,MATCH($AH$420,$AY$74:$AY$119,0)),$AH$420))</f>
        <v/>
      </c>
      <c r="AM420" s="483" t="str">
        <f t="shared" si="115"/>
        <v/>
      </c>
      <c r="AN420" s="484" t="str">
        <f t="shared" si="116"/>
        <v/>
      </c>
      <c r="AO420" s="473" t="str">
        <f t="shared" si="117"/>
        <v/>
      </c>
      <c r="AP420" s="473" t="str">
        <f t="shared" si="118"/>
        <v/>
      </c>
      <c r="AQ420" s="473" t="str">
        <f t="shared" si="119"/>
        <v/>
      </c>
      <c r="AR420" s="473" t="str">
        <f t="shared" si="120"/>
        <v/>
      </c>
      <c r="AS420" s="473" t="str">
        <f t="shared" si="121"/>
        <v/>
      </c>
      <c r="AT420" s="473" t="str">
        <f t="shared" si="122"/>
        <v/>
      </c>
      <c r="AU420" s="473" t="str">
        <f t="shared" si="123"/>
        <v/>
      </c>
      <c r="AZ420" s="32" t="s">
        <v>8127</v>
      </c>
      <c r="BA420" s="34" t="s">
        <v>6117</v>
      </c>
      <c r="BB420" s="499"/>
      <c r="BC420" s="271"/>
      <c r="BD420" s="279">
        <v>1</v>
      </c>
      <c r="BE420" s="271"/>
      <c r="BF420" s="271"/>
      <c r="BG420" s="271"/>
      <c r="BH420" s="271"/>
      <c r="BI420" s="271"/>
      <c r="BJ420" s="271"/>
      <c r="BK420" s="271"/>
      <c r="BL420" s="271"/>
    </row>
    <row r="421" spans="1:64" ht="21" customHeight="1" x14ac:dyDescent="0.25">
      <c r="R421" s="34" t="s">
        <v>6118</v>
      </c>
      <c r="S421" s="451"/>
      <c r="T421" s="31" t="s">
        <v>16</v>
      </c>
      <c r="V421" s="475">
        <v>10</v>
      </c>
      <c r="W421" s="475" t="str">
        <f>IF($AC$421="","",$W$396)</f>
        <v/>
      </c>
      <c r="X421" s="476" t="str">
        <f>IF($AC$421="","",$X$396)</f>
        <v/>
      </c>
      <c r="Y421" s="477" t="str">
        <f>IF($X$421="","",$Y$396)</f>
        <v/>
      </c>
      <c r="Z421" s="477" t="str">
        <f>IF($X$421="","",$Z$396)</f>
        <v/>
      </c>
      <c r="AA421" s="477" t="str">
        <f>IF($AC$421="","",ROW($A$421)-ROW($A$396))</f>
        <v/>
      </c>
      <c r="AB421" s="478"/>
      <c r="AC421" s="34"/>
      <c r="AD421" s="356"/>
      <c r="AE421" s="479"/>
      <c r="AF421" s="475"/>
      <c r="AG421" s="480" t="str">
        <f t="shared" si="112"/>
        <v/>
      </c>
      <c r="AH421" s="481" t="str">
        <f t="shared" si="113"/>
        <v/>
      </c>
      <c r="AI421" s="477" t="str">
        <f>IF($AC$421="","",IFERROR(INDEX($AZ$74:$AZ$119,MATCH($AH$421,$AY$74:$AY$119,0)),"AUTRE"))</f>
        <v/>
      </c>
      <c r="AJ421" s="482" t="str">
        <f>IF($AC$421="","",IFERROR(INDEX($BA$74:$BA$119,MATCH($AH$421,$AY$74:$AY$119,0)),1))</f>
        <v/>
      </c>
      <c r="AK421" s="482" t="str">
        <f t="shared" si="114"/>
        <v/>
      </c>
      <c r="AL421" s="477" t="str">
        <f>IF($AC$421="","",IFERROR(INDEX($BB$74:$BB$119,MATCH($AH$421,$AY$74:$AY$119,0)),$AH$421))</f>
        <v/>
      </c>
      <c r="AM421" s="483" t="str">
        <f t="shared" si="115"/>
        <v/>
      </c>
      <c r="AN421" s="484" t="str">
        <f t="shared" si="116"/>
        <v/>
      </c>
      <c r="AO421" s="473" t="str">
        <f t="shared" si="117"/>
        <v/>
      </c>
      <c r="AP421" s="473" t="str">
        <f t="shared" si="118"/>
        <v/>
      </c>
      <c r="AQ421" s="473" t="str">
        <f t="shared" si="119"/>
        <v/>
      </c>
      <c r="AR421" s="473" t="str">
        <f t="shared" si="120"/>
        <v/>
      </c>
      <c r="AS421" s="473" t="str">
        <f t="shared" si="121"/>
        <v/>
      </c>
      <c r="AT421" s="473" t="str">
        <f t="shared" si="122"/>
        <v/>
      </c>
      <c r="AU421" s="473" t="str">
        <f t="shared" si="123"/>
        <v/>
      </c>
      <c r="AZ421" s="32" t="s">
        <v>320</v>
      </c>
      <c r="BA421" s="34" t="s">
        <v>469</v>
      </c>
      <c r="BB421" s="499"/>
      <c r="BC421" s="271"/>
      <c r="BD421" s="279">
        <v>1</v>
      </c>
      <c r="BE421" s="271"/>
      <c r="BF421" s="271"/>
      <c r="BG421" s="271"/>
      <c r="BH421" s="271"/>
      <c r="BI421" s="271"/>
      <c r="BJ421" s="271"/>
      <c r="BK421" s="271"/>
      <c r="BL421" s="271"/>
    </row>
    <row r="422" spans="1:64" ht="21" customHeight="1" x14ac:dyDescent="0.25">
      <c r="R422" s="34" t="s">
        <v>492</v>
      </c>
      <c r="S422" s="451"/>
      <c r="T422" s="31" t="s">
        <v>17</v>
      </c>
      <c r="V422" s="475">
        <v>10</v>
      </c>
      <c r="W422" s="475" t="str">
        <f>IF($AC$422="","",$W$396)</f>
        <v/>
      </c>
      <c r="X422" s="476" t="str">
        <f>IF($AC$422="","",$X$396)</f>
        <v/>
      </c>
      <c r="Y422" s="477" t="str">
        <f>IF($X$422="","",$Y$396)</f>
        <v/>
      </c>
      <c r="Z422" s="477" t="str">
        <f>IF($X$422="","",$Z$396)</f>
        <v/>
      </c>
      <c r="AA422" s="477" t="str">
        <f>IF($AC$422="","",ROW($A$422)-ROW($A$396))</f>
        <v/>
      </c>
      <c r="AB422" s="478"/>
      <c r="AC422" s="34"/>
      <c r="AD422" s="356"/>
      <c r="AE422" s="479"/>
      <c r="AF422" s="475"/>
      <c r="AG422" s="480" t="str">
        <f t="shared" si="112"/>
        <v/>
      </c>
      <c r="AH422" s="481" t="str">
        <f t="shared" si="113"/>
        <v/>
      </c>
      <c r="AI422" s="477" t="str">
        <f>IF($AC$422="","",IFERROR(INDEX($AZ$74:$AZ$119,MATCH($AH$422,$AY$74:$AY$119,0)),"AUTRE"))</f>
        <v/>
      </c>
      <c r="AJ422" s="482" t="str">
        <f>IF($AC$422="","",IFERROR(INDEX($BA$74:$BA$119,MATCH($AH$422,$AY$74:$AY$119,0)),1))</f>
        <v/>
      </c>
      <c r="AK422" s="482" t="str">
        <f t="shared" si="114"/>
        <v/>
      </c>
      <c r="AL422" s="477" t="str">
        <f>IF($AC$422="","",IFERROR(INDEX($BB$74:$BB$119,MATCH($AH$422,$AY$74:$AY$119,0)),$AH$422))</f>
        <v/>
      </c>
      <c r="AM422" s="483" t="str">
        <f t="shared" si="115"/>
        <v/>
      </c>
      <c r="AN422" s="484" t="str">
        <f t="shared" si="116"/>
        <v/>
      </c>
      <c r="AO422" s="473" t="str">
        <f t="shared" si="117"/>
        <v/>
      </c>
      <c r="AP422" s="473" t="str">
        <f t="shared" si="118"/>
        <v/>
      </c>
      <c r="AQ422" s="473" t="str">
        <f t="shared" si="119"/>
        <v/>
      </c>
      <c r="AR422" s="473" t="str">
        <f t="shared" si="120"/>
        <v/>
      </c>
      <c r="AS422" s="473" t="str">
        <f t="shared" si="121"/>
        <v/>
      </c>
      <c r="AT422" s="473" t="str">
        <f t="shared" si="122"/>
        <v/>
      </c>
      <c r="AU422" s="473" t="str">
        <f t="shared" si="123"/>
        <v/>
      </c>
      <c r="AZ422" s="32" t="s">
        <v>318</v>
      </c>
      <c r="BA422" s="34" t="s">
        <v>6118</v>
      </c>
      <c r="BB422" s="499"/>
      <c r="BC422" s="271"/>
      <c r="BD422" s="279">
        <v>1</v>
      </c>
      <c r="BE422" s="271"/>
      <c r="BF422" s="271"/>
      <c r="BG422" s="271"/>
      <c r="BH422" s="271"/>
      <c r="BI422" s="271"/>
      <c r="BJ422" s="271"/>
      <c r="BK422" s="271"/>
      <c r="BL422" s="271"/>
    </row>
    <row r="423" spans="1:64" ht="21" customHeight="1" x14ac:dyDescent="0.25">
      <c r="R423" s="34" t="s">
        <v>458</v>
      </c>
      <c r="S423" s="451"/>
      <c r="T423" s="31" t="s">
        <v>18</v>
      </c>
      <c r="V423" s="475">
        <v>10</v>
      </c>
      <c r="W423" s="475" t="str">
        <f>IF($AC$423="","",$W$396)</f>
        <v/>
      </c>
      <c r="X423" s="476" t="str">
        <f>IF($AC$423="","",$X$396)</f>
        <v/>
      </c>
      <c r="Y423" s="477" t="str">
        <f>IF($X$423="","",$Y$396)</f>
        <v/>
      </c>
      <c r="Z423" s="477" t="str">
        <f>IF($X$423="","",$Z$396)</f>
        <v/>
      </c>
      <c r="AA423" s="477" t="str">
        <f>IF($AC$423="","",ROW($A$423)-ROW($A$396))</f>
        <v/>
      </c>
      <c r="AB423" s="478"/>
      <c r="AC423" s="34"/>
      <c r="AD423" s="356"/>
      <c r="AE423" s="479"/>
      <c r="AF423" s="475"/>
      <c r="AG423" s="480" t="str">
        <f t="shared" si="112"/>
        <v/>
      </c>
      <c r="AH423" s="481" t="str">
        <f t="shared" si="113"/>
        <v/>
      </c>
      <c r="AI423" s="477" t="str">
        <f>IF($AC$423="","",IFERROR(INDEX($AZ$74:$AZ$119,MATCH($AH$423,$AY$74:$AY$119,0)),"AUTRE"))</f>
        <v/>
      </c>
      <c r="AJ423" s="482" t="str">
        <f>IF($AC$423="","",IFERROR(INDEX($BA$74:$BA$119,MATCH($AH$423,$AY$74:$AY$119,0)),1))</f>
        <v/>
      </c>
      <c r="AK423" s="482" t="str">
        <f t="shared" si="114"/>
        <v/>
      </c>
      <c r="AL423" s="477" t="str">
        <f>IF($AC$423="","",IFERROR(INDEX($BB$74:$BB$119,MATCH($AH$423,$AY$74:$AY$119,0)),$AH$423))</f>
        <v/>
      </c>
      <c r="AM423" s="483" t="str">
        <f t="shared" si="115"/>
        <v/>
      </c>
      <c r="AN423" s="484" t="str">
        <f t="shared" si="116"/>
        <v/>
      </c>
      <c r="AO423" s="473" t="str">
        <f t="shared" si="117"/>
        <v/>
      </c>
      <c r="AP423" s="473" t="str">
        <f t="shared" si="118"/>
        <v/>
      </c>
      <c r="AQ423" s="473" t="str">
        <f t="shared" si="119"/>
        <v/>
      </c>
      <c r="AR423" s="473" t="str">
        <f t="shared" si="120"/>
        <v/>
      </c>
      <c r="AS423" s="473" t="str">
        <f t="shared" si="121"/>
        <v/>
      </c>
      <c r="AT423" s="473" t="str">
        <f t="shared" si="122"/>
        <v/>
      </c>
      <c r="AU423" s="473" t="str">
        <f t="shared" si="123"/>
        <v/>
      </c>
      <c r="AZ423" s="32" t="s">
        <v>316</v>
      </c>
      <c r="BA423" s="34" t="s">
        <v>492</v>
      </c>
      <c r="BB423" s="499"/>
      <c r="BC423" s="271"/>
      <c r="BD423" s="279">
        <v>1</v>
      </c>
      <c r="BE423" s="271"/>
      <c r="BF423" s="271"/>
      <c r="BG423" s="271"/>
      <c r="BH423" s="271"/>
      <c r="BI423" s="271"/>
      <c r="BJ423" s="271"/>
      <c r="BK423" s="271"/>
      <c r="BL423" s="271"/>
    </row>
    <row r="424" spans="1:64" ht="21" customHeight="1" x14ac:dyDescent="0.25">
      <c r="R424" s="490"/>
      <c r="S424" s="451"/>
      <c r="T424" s="31" t="s">
        <v>19</v>
      </c>
      <c r="V424" s="475">
        <v>10</v>
      </c>
      <c r="W424" s="475" t="str">
        <f>IF($AC$424="","",$W$396)</f>
        <v/>
      </c>
      <c r="X424" s="476" t="str">
        <f>IF($AC$424="","",$X$396)</f>
        <v/>
      </c>
      <c r="Y424" s="477" t="str">
        <f>IF($X$424="","",$Y$396)</f>
        <v/>
      </c>
      <c r="Z424" s="477" t="str">
        <f>IF($X$424="","",$Z$396)</f>
        <v/>
      </c>
      <c r="AA424" s="477" t="str">
        <f>IF($AC$424="","",ROW($A$424)-ROW($A$396))</f>
        <v/>
      </c>
      <c r="AB424" s="478"/>
      <c r="AC424" s="34"/>
      <c r="AD424" s="356"/>
      <c r="AE424" s="479"/>
      <c r="AF424" s="475"/>
      <c r="AG424" s="480" t="str">
        <f t="shared" si="112"/>
        <v/>
      </c>
      <c r="AH424" s="481" t="str">
        <f t="shared" si="113"/>
        <v/>
      </c>
      <c r="AI424" s="477" t="str">
        <f>IF($AC$424="","",IFERROR(INDEX($AZ$74:$AZ$119,MATCH($AH$424,$AY$74:$AY$119,0)),"AUTRE"))</f>
        <v/>
      </c>
      <c r="AJ424" s="482" t="str">
        <f>IF($AC$424="","",IFERROR(INDEX($BA$74:$BA$119,MATCH($AH$424,$AY$74:$AY$119,0)),1))</f>
        <v/>
      </c>
      <c r="AK424" s="482" t="str">
        <f t="shared" si="114"/>
        <v/>
      </c>
      <c r="AL424" s="477" t="str">
        <f>IF($AC$424="","",IFERROR(INDEX($BB$74:$BB$119,MATCH($AH$424,$AY$74:$AY$119,0)),$AH$424))</f>
        <v/>
      </c>
      <c r="AM424" s="483" t="str">
        <f t="shared" si="115"/>
        <v/>
      </c>
      <c r="AN424" s="484" t="str">
        <f t="shared" si="116"/>
        <v/>
      </c>
      <c r="AO424" s="473" t="str">
        <f t="shared" si="117"/>
        <v/>
      </c>
      <c r="AP424" s="473" t="str">
        <f t="shared" si="118"/>
        <v/>
      </c>
      <c r="AQ424" s="473" t="str">
        <f t="shared" si="119"/>
        <v/>
      </c>
      <c r="AR424" s="473" t="str">
        <f t="shared" si="120"/>
        <v/>
      </c>
      <c r="AS424" s="473" t="str">
        <f t="shared" si="121"/>
        <v/>
      </c>
      <c r="AT424" s="473" t="str">
        <f t="shared" si="122"/>
        <v/>
      </c>
      <c r="AU424" s="473" t="str">
        <f t="shared" si="123"/>
        <v/>
      </c>
      <c r="AY424" s="271"/>
      <c r="AZ424" s="32" t="s">
        <v>313</v>
      </c>
      <c r="BA424" s="34" t="s">
        <v>458</v>
      </c>
      <c r="BB424" s="499"/>
      <c r="BC424" s="271"/>
      <c r="BD424" s="279">
        <v>1</v>
      </c>
      <c r="BE424" s="271"/>
      <c r="BF424" s="271"/>
      <c r="BG424" s="271"/>
      <c r="BH424" s="271"/>
      <c r="BI424" s="271"/>
      <c r="BJ424" s="271"/>
      <c r="BK424" s="271"/>
      <c r="BL424" s="271"/>
    </row>
    <row r="425" spans="1:64" ht="21" customHeight="1" x14ac:dyDescent="0.25">
      <c r="R425" s="25" t="s">
        <v>6119</v>
      </c>
      <c r="S425" s="451"/>
      <c r="T425" s="31" t="s">
        <v>211</v>
      </c>
      <c r="V425" s="475">
        <v>10</v>
      </c>
      <c r="W425" s="475" t="str">
        <f>IF($AC$425="","",$W$396)</f>
        <v/>
      </c>
      <c r="X425" s="476" t="str">
        <f>IF($AC$425="","",$X$396)</f>
        <v/>
      </c>
      <c r="Y425" s="477" t="str">
        <f>IF($X$425="","",$Y$396)</f>
        <v/>
      </c>
      <c r="Z425" s="477" t="str">
        <f>IF($X$425="","",$Z$396)</f>
        <v/>
      </c>
      <c r="AA425" s="477" t="str">
        <f>IF($AC$425="","",ROW($A$425)-ROW($A$396))</f>
        <v/>
      </c>
      <c r="AB425" s="478"/>
      <c r="AC425" s="34"/>
      <c r="AD425" s="356"/>
      <c r="AE425" s="479"/>
      <c r="AF425" s="475"/>
      <c r="AG425" s="480" t="str">
        <f t="shared" si="112"/>
        <v/>
      </c>
      <c r="AH425" s="481" t="str">
        <f t="shared" si="113"/>
        <v/>
      </c>
      <c r="AI425" s="477" t="str">
        <f>IF($AC$425="","",IFERROR(INDEX($AZ$74:$AZ$119,MATCH($AH$425,$AY$74:$AY$119,0)),"AUTRE"))</f>
        <v/>
      </c>
      <c r="AJ425" s="482" t="str">
        <f>IF($AC$425="","",IFERROR(INDEX($BA$74:$BA$119,MATCH($AH$425,$AY$74:$AY$119,0)),1))</f>
        <v/>
      </c>
      <c r="AK425" s="482" t="str">
        <f t="shared" si="114"/>
        <v/>
      </c>
      <c r="AL425" s="477" t="str">
        <f>IF($AC$425="","",IFERROR(INDEX($BB$74:$BB$119,MATCH($AH$425,$AY$74:$AY$119,0)),$AH$425))</f>
        <v/>
      </c>
      <c r="AM425" s="483" t="str">
        <f t="shared" si="115"/>
        <v/>
      </c>
      <c r="AN425" s="484" t="str">
        <f t="shared" si="116"/>
        <v/>
      </c>
      <c r="AO425" s="473" t="str">
        <f t="shared" si="117"/>
        <v/>
      </c>
      <c r="AP425" s="473" t="str">
        <f t="shared" si="118"/>
        <v/>
      </c>
      <c r="AQ425" s="473" t="str">
        <f t="shared" si="119"/>
        <v/>
      </c>
      <c r="AR425" s="473" t="str">
        <f t="shared" si="120"/>
        <v/>
      </c>
      <c r="AS425" s="473" t="str">
        <f t="shared" si="121"/>
        <v/>
      </c>
      <c r="AT425" s="473" t="str">
        <f t="shared" si="122"/>
        <v/>
      </c>
      <c r="AU425" s="473" t="str">
        <f t="shared" si="123"/>
        <v/>
      </c>
      <c r="AY425" s="497" t="s">
        <v>8145</v>
      </c>
      <c r="AZ425" s="32" t="s">
        <v>307</v>
      </c>
      <c r="BA425" s="490"/>
      <c r="BB425" s="499"/>
      <c r="BC425" s="271"/>
      <c r="BD425" s="279">
        <v>1</v>
      </c>
      <c r="BE425" s="271"/>
      <c r="BF425" s="271"/>
      <c r="BG425" s="271"/>
      <c r="BH425" s="271"/>
      <c r="BI425" s="271"/>
      <c r="BJ425" s="271"/>
      <c r="BK425" s="271"/>
      <c r="BL425" s="271"/>
    </row>
    <row r="426" spans="1:64" ht="21" customHeight="1" x14ac:dyDescent="0.25">
      <c r="R426" s="34" t="s">
        <v>6120</v>
      </c>
      <c r="S426" s="451"/>
      <c r="T426" s="31" t="s">
        <v>20</v>
      </c>
      <c r="V426" s="475">
        <v>10</v>
      </c>
      <c r="W426" s="475" t="str">
        <f>IF($AC$426="","",$W$396)</f>
        <v/>
      </c>
      <c r="X426" s="476" t="str">
        <f>IF($AC$426="","",$X$396)</f>
        <v/>
      </c>
      <c r="Y426" s="477" t="str">
        <f>IF($X$426="","",$Y$396)</f>
        <v/>
      </c>
      <c r="Z426" s="477" t="str">
        <f>IF($X$426="","",$Z$396)</f>
        <v/>
      </c>
      <c r="AA426" s="477" t="str">
        <f>IF($AC$426="","",ROW($A$426)-ROW($A$396))</f>
        <v/>
      </c>
      <c r="AB426" s="478"/>
      <c r="AC426" s="34"/>
      <c r="AD426" s="356"/>
      <c r="AE426" s="479"/>
      <c r="AF426" s="475"/>
      <c r="AG426" s="480" t="str">
        <f t="shared" si="112"/>
        <v/>
      </c>
      <c r="AH426" s="481" t="str">
        <f t="shared" si="113"/>
        <v/>
      </c>
      <c r="AI426" s="477" t="str">
        <f>IF($AC$426="","",IFERROR(INDEX($AZ$74:$AZ$119,MATCH($AH$426,$AY$74:$AY$119,0)),"AUTRE"))</f>
        <v/>
      </c>
      <c r="AJ426" s="482" t="str">
        <f>IF($AC$426="","",IFERROR(INDEX($BA$74:$BA$119,MATCH($AH$426,$AY$74:$AY$119,0)),1))</f>
        <v/>
      </c>
      <c r="AK426" s="482" t="str">
        <f t="shared" si="114"/>
        <v/>
      </c>
      <c r="AL426" s="477" t="str">
        <f>IF($AC$426="","",IFERROR(INDEX($BB$74:$BB$119,MATCH($AH$426,$AY$74:$AY$119,0)),$AH$426))</f>
        <v/>
      </c>
      <c r="AM426" s="483" t="str">
        <f t="shared" si="115"/>
        <v/>
      </c>
      <c r="AN426" s="484" t="str">
        <f t="shared" si="116"/>
        <v/>
      </c>
      <c r="AO426" s="473" t="str">
        <f t="shared" si="117"/>
        <v/>
      </c>
      <c r="AP426" s="473" t="str">
        <f t="shared" si="118"/>
        <v/>
      </c>
      <c r="AQ426" s="473" t="str">
        <f t="shared" si="119"/>
        <v/>
      </c>
      <c r="AR426" s="473" t="str">
        <f t="shared" si="120"/>
        <v/>
      </c>
      <c r="AS426" s="473" t="str">
        <f t="shared" si="121"/>
        <v/>
      </c>
      <c r="AT426" s="473" t="str">
        <f t="shared" si="122"/>
        <v/>
      </c>
      <c r="AU426" s="473" t="str">
        <f t="shared" si="123"/>
        <v/>
      </c>
      <c r="AY426" s="497" t="s">
        <v>462</v>
      </c>
      <c r="AZ426" s="32" t="s">
        <v>322</v>
      </c>
      <c r="BA426" s="25" t="s">
        <v>6119</v>
      </c>
      <c r="BB426" s="499"/>
      <c r="BC426" s="271"/>
      <c r="BD426" s="279">
        <v>1</v>
      </c>
      <c r="BE426" s="271"/>
      <c r="BF426" s="271"/>
      <c r="BG426" s="271"/>
      <c r="BH426" s="271"/>
      <c r="BI426" s="271"/>
      <c r="BJ426" s="271"/>
      <c r="BK426" s="271"/>
      <c r="BL426" s="271"/>
    </row>
    <row r="427" spans="1:64" ht="21" customHeight="1" x14ac:dyDescent="0.25">
      <c r="R427" s="34" t="s">
        <v>6121</v>
      </c>
      <c r="S427" s="451"/>
      <c r="T427" s="31" t="s">
        <v>304</v>
      </c>
      <c r="V427" s="475">
        <v>10</v>
      </c>
      <c r="W427" s="475" t="str">
        <f>IF($AC$427="","",$W$396)</f>
        <v/>
      </c>
      <c r="X427" s="476" t="str">
        <f>IF($AC$427="","",$X$396)</f>
        <v/>
      </c>
      <c r="Y427" s="477" t="str">
        <f>IF($X$427="","",$Y$396)</f>
        <v/>
      </c>
      <c r="Z427" s="477" t="str">
        <f>IF($X$427="","",$Z$396)</f>
        <v/>
      </c>
      <c r="AA427" s="477" t="str">
        <f>IF($AC$427="","",ROW($A$427)-ROW($A$396))</f>
        <v/>
      </c>
      <c r="AB427" s="478"/>
      <c r="AC427" s="34"/>
      <c r="AD427" s="356"/>
      <c r="AE427" s="479"/>
      <c r="AF427" s="475"/>
      <c r="AG427" s="480" t="str">
        <f t="shared" si="112"/>
        <v/>
      </c>
      <c r="AH427" s="481" t="str">
        <f t="shared" si="113"/>
        <v/>
      </c>
      <c r="AI427" s="477" t="str">
        <f>IF($AC$427="","",IFERROR(INDEX($AZ$74:$AZ$119,MATCH($AH$427,$AY$74:$AY$119,0)),"AUTRE"))</f>
        <v/>
      </c>
      <c r="AJ427" s="482" t="str">
        <f>IF($AC$427="","",IFERROR(INDEX($BA$74:$BA$119,MATCH($AH$427,$AY$74:$AY$119,0)),1))</f>
        <v/>
      </c>
      <c r="AK427" s="482" t="str">
        <f t="shared" si="114"/>
        <v/>
      </c>
      <c r="AL427" s="477" t="str">
        <f>IF($AC$427="","",IFERROR(INDEX($BB$74:$BB$119,MATCH($AH$427,$AY$74:$AY$119,0)),$AH$427))</f>
        <v/>
      </c>
      <c r="AM427" s="483" t="str">
        <f t="shared" si="115"/>
        <v/>
      </c>
      <c r="AN427" s="484" t="str">
        <f t="shared" si="116"/>
        <v/>
      </c>
      <c r="AO427" s="473" t="str">
        <f t="shared" si="117"/>
        <v/>
      </c>
      <c r="AP427" s="473" t="str">
        <f t="shared" si="118"/>
        <v/>
      </c>
      <c r="AQ427" s="473" t="str">
        <f t="shared" si="119"/>
        <v/>
      </c>
      <c r="AR427" s="473" t="str">
        <f t="shared" si="120"/>
        <v/>
      </c>
      <c r="AS427" s="473" t="str">
        <f t="shared" si="121"/>
        <v/>
      </c>
      <c r="AT427" s="473" t="str">
        <f t="shared" si="122"/>
        <v/>
      </c>
      <c r="AU427" s="473" t="str">
        <f t="shared" si="123"/>
        <v/>
      </c>
      <c r="AY427" s="497" t="s">
        <v>463</v>
      </c>
      <c r="AZ427" s="32" t="s">
        <v>305</v>
      </c>
      <c r="BA427" s="34" t="s">
        <v>6120</v>
      </c>
      <c r="BB427" s="499"/>
      <c r="BC427" s="271"/>
      <c r="BD427" s="279">
        <v>1</v>
      </c>
      <c r="BE427" s="271"/>
      <c r="BF427" s="271"/>
      <c r="BG427" s="271"/>
      <c r="BH427" s="271"/>
      <c r="BI427" s="271"/>
      <c r="BJ427" s="271"/>
      <c r="BK427" s="271"/>
      <c r="BL427" s="271"/>
    </row>
    <row r="428" spans="1:64" ht="21" customHeight="1" x14ac:dyDescent="0.25">
      <c r="R428" s="34" t="s">
        <v>6122</v>
      </c>
      <c r="S428" s="451"/>
      <c r="T428" s="31" t="s">
        <v>352</v>
      </c>
      <c r="V428" s="475">
        <v>10</v>
      </c>
      <c r="W428" s="475" t="str">
        <f>IF($AC$428="","",$W$396)</f>
        <v/>
      </c>
      <c r="X428" s="476" t="str">
        <f>IF($AC$428="","",$X$396)</f>
        <v/>
      </c>
      <c r="Y428" s="477" t="str">
        <f>IF($X$428="","",$Y$396)</f>
        <v/>
      </c>
      <c r="Z428" s="477" t="str">
        <f>IF($X$428="","",$Z$396)</f>
        <v/>
      </c>
      <c r="AA428" s="477" t="str">
        <f>IF($AC$428="","",ROW($A$428)-ROW($A$396))</f>
        <v/>
      </c>
      <c r="AB428" s="478"/>
      <c r="AC428" s="34"/>
      <c r="AD428" s="356"/>
      <c r="AE428" s="479"/>
      <c r="AF428" s="475"/>
      <c r="AG428" s="480" t="str">
        <f t="shared" si="112"/>
        <v/>
      </c>
      <c r="AH428" s="481" t="str">
        <f t="shared" si="113"/>
        <v/>
      </c>
      <c r="AI428" s="477" t="str">
        <f>IF($AC$428="","",IFERROR(INDEX($AZ$74:$AZ$119,MATCH($AH$428,$AY$74:$AY$119,0)),"AUTRE"))</f>
        <v/>
      </c>
      <c r="AJ428" s="482" t="str">
        <f>IF($AC$428="","",IFERROR(INDEX($BA$74:$BA$119,MATCH($AH$428,$AY$74:$AY$119,0)),1))</f>
        <v/>
      </c>
      <c r="AK428" s="482" t="str">
        <f t="shared" si="114"/>
        <v/>
      </c>
      <c r="AL428" s="477" t="str">
        <f>IF($AC$428="","",IFERROR(INDEX($BB$74:$BB$119,MATCH($AH$428,$AY$74:$AY$119,0)),$AH$428))</f>
        <v/>
      </c>
      <c r="AM428" s="483" t="str">
        <f t="shared" si="115"/>
        <v/>
      </c>
      <c r="AN428" s="484" t="str">
        <f t="shared" si="116"/>
        <v/>
      </c>
      <c r="AO428" s="473" t="str">
        <f t="shared" si="117"/>
        <v/>
      </c>
      <c r="AP428" s="473" t="str">
        <f t="shared" si="118"/>
        <v/>
      </c>
      <c r="AQ428" s="473" t="str">
        <f t="shared" si="119"/>
        <v/>
      </c>
      <c r="AR428" s="473" t="str">
        <f t="shared" si="120"/>
        <v/>
      </c>
      <c r="AS428" s="473" t="str">
        <f t="shared" si="121"/>
        <v/>
      </c>
      <c r="AT428" s="473" t="str">
        <f t="shared" si="122"/>
        <v/>
      </c>
      <c r="AU428" s="473" t="str">
        <f t="shared" si="123"/>
        <v/>
      </c>
      <c r="AY428" s="497" t="s">
        <v>8147</v>
      </c>
      <c r="AZ428" s="32" t="s">
        <v>8129</v>
      </c>
      <c r="BA428" s="34" t="s">
        <v>6121</v>
      </c>
      <c r="BB428" s="499"/>
      <c r="BC428" s="271"/>
      <c r="BD428" s="279">
        <v>1</v>
      </c>
      <c r="BE428" s="271"/>
      <c r="BF428" s="271"/>
      <c r="BG428" s="271"/>
      <c r="BH428" s="271"/>
      <c r="BI428" s="271"/>
      <c r="BJ428" s="271"/>
      <c r="BK428" s="271"/>
      <c r="BL428" s="271"/>
    </row>
    <row r="429" spans="1:64" ht="21" customHeight="1" x14ac:dyDescent="0.25">
      <c r="R429" s="34" t="s">
        <v>6123</v>
      </c>
      <c r="S429" s="451"/>
      <c r="T429" s="31" t="s">
        <v>25</v>
      </c>
      <c r="V429" s="475">
        <v>10</v>
      </c>
      <c r="W429" s="475" t="str">
        <f>IF($AC$429="","",$W$396)</f>
        <v/>
      </c>
      <c r="X429" s="476" t="str">
        <f>IF($AC$429="","",$X$396)</f>
        <v/>
      </c>
      <c r="Y429" s="477" t="str">
        <f>IF($X$429="","",$Y$396)</f>
        <v/>
      </c>
      <c r="Z429" s="477" t="str">
        <f>IF($X$429="","",$Z$396)</f>
        <v/>
      </c>
      <c r="AA429" s="477" t="str">
        <f>IF($AC$429="","",ROW($A$429)-ROW($A$396))</f>
        <v/>
      </c>
      <c r="AB429" s="478"/>
      <c r="AC429" s="34"/>
      <c r="AD429" s="356"/>
      <c r="AE429" s="479"/>
      <c r="AF429" s="475"/>
      <c r="AG429" s="480" t="str">
        <f t="shared" si="112"/>
        <v/>
      </c>
      <c r="AH429" s="481" t="str">
        <f t="shared" si="113"/>
        <v/>
      </c>
      <c r="AI429" s="477" t="str">
        <f>IF($AC$429="","",IFERROR(INDEX($AZ$74:$AZ$119,MATCH($AH$429,$AY$74:$AY$119,0)),"AUTRE"))</f>
        <v/>
      </c>
      <c r="AJ429" s="482" t="str">
        <f>IF($AC$429="","",IFERROR(INDEX($BA$74:$BA$119,MATCH($AH$429,$AY$74:$AY$119,0)),1))</f>
        <v/>
      </c>
      <c r="AK429" s="482" t="str">
        <f t="shared" si="114"/>
        <v/>
      </c>
      <c r="AL429" s="477" t="str">
        <f>IF($AC$429="","",IFERROR(INDEX($BB$74:$BB$119,MATCH($AH$429,$AY$74:$AY$119,0)),$AH$429))</f>
        <v/>
      </c>
      <c r="AM429" s="483" t="str">
        <f t="shared" si="115"/>
        <v/>
      </c>
      <c r="AN429" s="484" t="str">
        <f t="shared" si="116"/>
        <v/>
      </c>
      <c r="AO429" s="473" t="str">
        <f t="shared" si="117"/>
        <v/>
      </c>
      <c r="AP429" s="473" t="str">
        <f t="shared" si="118"/>
        <v/>
      </c>
      <c r="AQ429" s="473" t="str">
        <f t="shared" si="119"/>
        <v/>
      </c>
      <c r="AR429" s="473" t="str">
        <f t="shared" si="120"/>
        <v/>
      </c>
      <c r="AS429" s="473" t="str">
        <f t="shared" si="121"/>
        <v/>
      </c>
      <c r="AT429" s="473" t="str">
        <f t="shared" si="122"/>
        <v/>
      </c>
      <c r="AU429" s="473" t="str">
        <f t="shared" si="123"/>
        <v/>
      </c>
      <c r="AY429" s="497" t="s">
        <v>465</v>
      </c>
      <c r="AZ429" s="32" t="s">
        <v>8131</v>
      </c>
      <c r="BA429" s="34" t="s">
        <v>6122</v>
      </c>
      <c r="BB429" s="499"/>
      <c r="BC429" s="271"/>
      <c r="BD429" s="279">
        <v>1</v>
      </c>
      <c r="BE429" s="271"/>
      <c r="BF429" s="271"/>
      <c r="BG429" s="271"/>
      <c r="BH429" s="271"/>
      <c r="BI429" s="271"/>
      <c r="BJ429" s="271"/>
      <c r="BK429" s="271"/>
      <c r="BL429" s="271"/>
    </row>
    <row r="430" spans="1:64" ht="21" customHeight="1" x14ac:dyDescent="0.25">
      <c r="R430" s="34" t="s">
        <v>6124</v>
      </c>
      <c r="S430" s="451"/>
      <c r="T430" s="31" t="s">
        <v>26</v>
      </c>
      <c r="V430" s="475">
        <v>10</v>
      </c>
      <c r="W430" s="475" t="str">
        <f>IF($AC$430="","",$W$396)</f>
        <v/>
      </c>
      <c r="X430" s="476" t="str">
        <f>IF($AC$430="","",$X$396)</f>
        <v/>
      </c>
      <c r="Y430" s="477" t="str">
        <f>IF($X$430="","",$Y$396)</f>
        <v/>
      </c>
      <c r="Z430" s="477" t="str">
        <f>IF($X$430="","",$Z$396)</f>
        <v/>
      </c>
      <c r="AA430" s="477" t="str">
        <f>IF($AC$430="","",ROW($A$430)-ROW($A$396))</f>
        <v/>
      </c>
      <c r="AB430" s="478"/>
      <c r="AC430" s="34"/>
      <c r="AD430" s="356"/>
      <c r="AE430" s="479"/>
      <c r="AF430" s="475"/>
      <c r="AG430" s="491" t="str">
        <f t="shared" si="112"/>
        <v/>
      </c>
      <c r="AH430" s="481" t="str">
        <f t="shared" si="113"/>
        <v/>
      </c>
      <c r="AI430" s="477" t="str">
        <f>IF($AC$430="","",IFERROR(INDEX($AZ$74:$AZ$119,MATCH($AH$430,$AY$74:$AY$119,0)),"AUTRE"))</f>
        <v/>
      </c>
      <c r="AJ430" s="482" t="str">
        <f>IF($AC$430="","",IFERROR(INDEX($BA$74:$BA$119,MATCH($AH$430,$AY$74:$AY$119,0)),1))</f>
        <v/>
      </c>
      <c r="AK430" s="482" t="str">
        <f t="shared" si="114"/>
        <v/>
      </c>
      <c r="AL430" s="477" t="str">
        <f>IF($AC$430="","",IFERROR(INDEX($BB$74:$BB$119,MATCH($AH$430,$AY$74:$AY$119,0)),$AH$430))</f>
        <v/>
      </c>
      <c r="AM430" s="483" t="str">
        <f t="shared" si="115"/>
        <v/>
      </c>
      <c r="AN430" s="484" t="str">
        <f t="shared" si="116"/>
        <v/>
      </c>
      <c r="AO430" s="473" t="str">
        <f t="shared" si="117"/>
        <v/>
      </c>
      <c r="AP430" s="473" t="str">
        <f t="shared" si="118"/>
        <v/>
      </c>
      <c r="AQ430" s="473" t="str">
        <f t="shared" si="119"/>
        <v/>
      </c>
      <c r="AR430" s="473" t="str">
        <f t="shared" si="120"/>
        <v/>
      </c>
      <c r="AS430" s="473" t="str">
        <f t="shared" si="121"/>
        <v/>
      </c>
      <c r="AT430" s="473" t="str">
        <f t="shared" si="122"/>
        <v/>
      </c>
      <c r="AU430" s="473" t="str">
        <f t="shared" si="123"/>
        <v/>
      </c>
      <c r="AY430" s="497" t="s">
        <v>466</v>
      </c>
      <c r="AZ430" s="32" t="s">
        <v>309</v>
      </c>
      <c r="BA430" s="34" t="s">
        <v>6123</v>
      </c>
      <c r="BB430" s="503" t="s">
        <v>8166</v>
      </c>
      <c r="BC430" s="271"/>
      <c r="BD430" s="279">
        <v>1</v>
      </c>
      <c r="BE430" s="271"/>
      <c r="BF430" s="271"/>
      <c r="BG430" s="271"/>
      <c r="BH430" s="271"/>
      <c r="BI430" s="271"/>
      <c r="BJ430" s="271"/>
      <c r="BK430" s="271"/>
      <c r="BL430" s="271"/>
    </row>
    <row r="431" spans="1:64" ht="21" customHeight="1" x14ac:dyDescent="0.25">
      <c r="R431" s="34" t="s">
        <v>6125</v>
      </c>
      <c r="S431" s="451"/>
      <c r="T431" s="31" t="s">
        <v>27</v>
      </c>
      <c r="V431" s="271"/>
      <c r="W431" s="271"/>
      <c r="X431" s="271"/>
      <c r="Y431" s="271"/>
      <c r="Z431" s="271"/>
      <c r="AA431" s="271"/>
      <c r="AB431" s="271"/>
      <c r="AC431" s="271"/>
      <c r="AD431" s="271"/>
      <c r="AE431" s="271"/>
      <c r="AF431" s="271"/>
      <c r="AG431" s="271"/>
      <c r="AH431" s="271"/>
      <c r="AI431" s="271"/>
      <c r="AJ431" s="271"/>
      <c r="AK431" s="271"/>
      <c r="AL431" s="271"/>
      <c r="AM431" s="271"/>
      <c r="AN431" s="271"/>
      <c r="AO431" s="271"/>
      <c r="AP431" s="271"/>
      <c r="AY431" s="271"/>
      <c r="AZ431" s="32" t="s">
        <v>311</v>
      </c>
      <c r="BA431" s="34" t="s">
        <v>6124</v>
      </c>
      <c r="BB431" s="271"/>
      <c r="BC431" s="271"/>
      <c r="BD431" s="504" t="s">
        <v>5889</v>
      </c>
      <c r="BE431" s="271"/>
      <c r="BF431" s="271"/>
      <c r="BG431" s="271"/>
      <c r="BH431" s="271"/>
      <c r="BI431" s="271"/>
      <c r="BJ431" s="271"/>
      <c r="BK431" s="271"/>
      <c r="BL431" s="271"/>
    </row>
    <row r="432" spans="1:64" ht="21" customHeight="1" x14ac:dyDescent="0.25">
      <c r="A432" s="279">
        <v>1</v>
      </c>
      <c r="B432" s="279">
        <v>1</v>
      </c>
      <c r="C432" s="279">
        <v>1</v>
      </c>
      <c r="D432" s="279">
        <v>1</v>
      </c>
      <c r="E432" s="279">
        <v>1</v>
      </c>
      <c r="F432" s="279">
        <v>1</v>
      </c>
      <c r="G432" s="279">
        <v>1</v>
      </c>
      <c r="H432" s="279">
        <v>1</v>
      </c>
      <c r="I432" s="279">
        <v>1</v>
      </c>
      <c r="J432" s="279">
        <v>1</v>
      </c>
      <c r="K432" s="279">
        <v>1</v>
      </c>
      <c r="L432" s="279">
        <v>1</v>
      </c>
      <c r="M432" s="279">
        <v>1</v>
      </c>
      <c r="N432" s="279">
        <v>1</v>
      </c>
      <c r="O432" s="279">
        <v>1</v>
      </c>
      <c r="P432" s="279">
        <v>1</v>
      </c>
      <c r="Q432" s="279">
        <v>1</v>
      </c>
      <c r="R432" s="279">
        <v>1</v>
      </c>
      <c r="S432" s="279">
        <v>1</v>
      </c>
      <c r="T432" s="279">
        <v>1</v>
      </c>
      <c r="U432" s="279">
        <v>1</v>
      </c>
      <c r="V432" s="279">
        <v>1</v>
      </c>
      <c r="W432" s="279">
        <v>1</v>
      </c>
      <c r="X432" s="279">
        <v>1</v>
      </c>
      <c r="Y432" s="279">
        <v>1</v>
      </c>
      <c r="Z432" s="279">
        <v>1</v>
      </c>
      <c r="AA432" s="279">
        <v>1</v>
      </c>
      <c r="AB432" s="279">
        <v>1</v>
      </c>
      <c r="AC432" s="279">
        <v>1</v>
      </c>
      <c r="AD432" s="279">
        <v>1</v>
      </c>
      <c r="AE432" s="279">
        <v>1</v>
      </c>
      <c r="AF432" s="279">
        <v>1</v>
      </c>
      <c r="AG432" s="279">
        <v>1</v>
      </c>
      <c r="AH432" s="279">
        <v>1</v>
      </c>
      <c r="AI432" s="279">
        <v>1</v>
      </c>
      <c r="AJ432" s="279">
        <v>1</v>
      </c>
      <c r="AK432" s="279"/>
      <c r="AL432" s="279">
        <v>1</v>
      </c>
      <c r="AM432" s="279">
        <v>1</v>
      </c>
      <c r="AN432" s="279">
        <v>1</v>
      </c>
      <c r="AO432" s="279">
        <v>1</v>
      </c>
      <c r="AP432" s="279">
        <v>1</v>
      </c>
      <c r="AQ432" s="279">
        <v>1</v>
      </c>
      <c r="AR432" s="279">
        <v>1</v>
      </c>
      <c r="AS432" s="279">
        <v>1</v>
      </c>
      <c r="AT432" s="279">
        <v>1</v>
      </c>
      <c r="AU432" s="279">
        <v>1</v>
      </c>
      <c r="AV432" s="279">
        <v>1</v>
      </c>
      <c r="AW432" s="279"/>
      <c r="AX432" s="279"/>
      <c r="AY432" s="279">
        <v>1</v>
      </c>
      <c r="AZ432" s="279">
        <v>1</v>
      </c>
      <c r="BA432" s="279">
        <v>1</v>
      </c>
      <c r="BB432" s="279">
        <v>1</v>
      </c>
      <c r="BC432" s="279">
        <v>1</v>
      </c>
      <c r="BD432" s="505" t="str">
        <f>ADDRESS(ROW(),COLUMN(),4)</f>
        <v>BD432</v>
      </c>
      <c r="BE432" s="271"/>
      <c r="BF432" s="271"/>
      <c r="BG432" s="271"/>
      <c r="BH432" s="271"/>
      <c r="BI432" s="271"/>
      <c r="BJ432" s="271"/>
      <c r="BK432" s="271"/>
      <c r="BL432" s="271"/>
    </row>
    <row r="433" spans="18:64" ht="21" customHeight="1" x14ac:dyDescent="0.25">
      <c r="S433" s="451"/>
      <c r="V433" s="271"/>
      <c r="W433" s="271"/>
      <c r="X433" s="271"/>
      <c r="Y433" s="271"/>
      <c r="Z433" s="271"/>
      <c r="AA433" s="271"/>
      <c r="AB433" s="271"/>
      <c r="AC433" s="271"/>
      <c r="AD433" s="271"/>
      <c r="AE433" s="271"/>
      <c r="AF433" s="271"/>
      <c r="AG433" s="271"/>
      <c r="AH433" s="271"/>
      <c r="AI433" s="271"/>
      <c r="AJ433" s="271"/>
      <c r="AK433" s="271"/>
      <c r="AL433" s="271"/>
      <c r="AM433" s="271"/>
      <c r="AN433" s="271"/>
      <c r="AO433" s="271"/>
      <c r="AP433" s="271"/>
      <c r="AY433" s="271"/>
      <c r="AZ433" s="271"/>
      <c r="BA433" s="271"/>
      <c r="BB433" s="271"/>
      <c r="BC433" s="271"/>
      <c r="BE433" s="271"/>
      <c r="BF433" s="271"/>
      <c r="BG433" s="271"/>
      <c r="BH433" s="271"/>
      <c r="BI433" s="271"/>
      <c r="BJ433" s="271"/>
      <c r="BK433" s="271"/>
      <c r="BL433" s="271"/>
    </row>
    <row r="434" spans="18:64" ht="21" customHeight="1" x14ac:dyDescent="0.25">
      <c r="S434" s="451"/>
      <c r="V434" s="271"/>
      <c r="W434" s="271"/>
      <c r="X434" s="271"/>
      <c r="Y434" s="271"/>
      <c r="Z434" s="271"/>
      <c r="AA434" s="271"/>
      <c r="AB434" s="271"/>
      <c r="AC434" s="271"/>
      <c r="AD434" s="271"/>
      <c r="AE434" s="271"/>
      <c r="AF434" s="271"/>
      <c r="AG434" s="271"/>
      <c r="AH434" s="271"/>
      <c r="AI434" s="271"/>
      <c r="AJ434" s="271"/>
      <c r="AK434" s="271"/>
      <c r="AL434" s="271"/>
      <c r="AM434" s="271"/>
      <c r="AN434" s="271"/>
      <c r="AO434" s="271"/>
      <c r="AP434" s="271"/>
      <c r="AY434" s="271"/>
      <c r="AZ434" s="271"/>
      <c r="BA434" s="271"/>
      <c r="BB434" s="271"/>
      <c r="BC434" s="271"/>
      <c r="BE434" s="271"/>
      <c r="BF434" s="271"/>
      <c r="BG434" s="271"/>
      <c r="BH434" s="271"/>
      <c r="BI434" s="271"/>
      <c r="BJ434" s="271"/>
      <c r="BK434" s="271"/>
      <c r="BL434" s="271"/>
    </row>
    <row r="435" spans="18:64" ht="21" customHeight="1" x14ac:dyDescent="0.25">
      <c r="S435" s="451"/>
    </row>
    <row r="436" spans="18:64" ht="21" customHeight="1" x14ac:dyDescent="0.25">
      <c r="S436" s="451"/>
    </row>
    <row r="437" spans="18:64" ht="21" customHeight="1" x14ac:dyDescent="0.25">
      <c r="S437" s="451"/>
    </row>
    <row r="438" spans="18:64" ht="21" customHeight="1" x14ac:dyDescent="0.25">
      <c r="S438" s="451"/>
    </row>
    <row r="439" spans="18:64" ht="21" customHeight="1" x14ac:dyDescent="0.25">
      <c r="S439" s="451"/>
    </row>
    <row r="440" spans="18:64" ht="21" customHeight="1" x14ac:dyDescent="0.25">
      <c r="R440" s="451"/>
      <c r="S440" s="451"/>
    </row>
    <row r="441" spans="18:64" ht="21" customHeight="1" x14ac:dyDescent="0.25">
      <c r="R441" s="451"/>
      <c r="S441" s="451"/>
    </row>
    <row r="442" spans="18:64" ht="21" customHeight="1" x14ac:dyDescent="0.25">
      <c r="R442" s="451"/>
      <c r="S442" s="451"/>
    </row>
    <row r="443" spans="18:64" ht="21" customHeight="1" x14ac:dyDescent="0.25"/>
    <row r="444" spans="18:64" ht="21" customHeight="1" x14ac:dyDescent="0.25"/>
    <row r="445" spans="18:64" ht="21" customHeight="1" x14ac:dyDescent="0.25"/>
    <row r="446" spans="18:64" ht="21" customHeight="1" x14ac:dyDescent="0.25"/>
    <row r="447" spans="18:64" ht="21" customHeight="1" x14ac:dyDescent="0.25"/>
    <row r="448" spans="18:64" ht="21" customHeight="1" x14ac:dyDescent="0.25"/>
    <row r="449" ht="21" customHeight="1" x14ac:dyDescent="0.25"/>
    <row r="450" ht="21" customHeight="1" x14ac:dyDescent="0.25"/>
    <row r="451" ht="21" customHeight="1" x14ac:dyDescent="0.25"/>
    <row r="452" ht="21" customHeight="1" x14ac:dyDescent="0.25"/>
    <row r="453" ht="21" customHeight="1" x14ac:dyDescent="0.25"/>
    <row r="454" ht="21" customHeight="1" x14ac:dyDescent="0.25"/>
  </sheetData>
  <mergeCells count="106">
    <mergeCell ref="A1:I1"/>
    <mergeCell ref="U1:AA1"/>
    <mergeCell ref="A2:I2"/>
    <mergeCell ref="U2:AA4"/>
    <mergeCell ref="AG3:AH3"/>
    <mergeCell ref="A4:I4"/>
    <mergeCell ref="R4:S5"/>
    <mergeCell ref="C5:I5"/>
    <mergeCell ref="AG5:AH5"/>
    <mergeCell ref="A9:I9"/>
    <mergeCell ref="AG9:AH9"/>
    <mergeCell ref="A10:D10"/>
    <mergeCell ref="F10:I10"/>
    <mergeCell ref="U10:AA11"/>
    <mergeCell ref="AG10:AH10"/>
    <mergeCell ref="B11:D11"/>
    <mergeCell ref="B6:I6"/>
    <mergeCell ref="U6:AA6"/>
    <mergeCell ref="AG6:AH6"/>
    <mergeCell ref="B7:C7"/>
    <mergeCell ref="E7:F7"/>
    <mergeCell ref="H7:I7"/>
    <mergeCell ref="U7:AA8"/>
    <mergeCell ref="AG7:AH7"/>
    <mergeCell ref="AG8:AH8"/>
    <mergeCell ref="A19:I19"/>
    <mergeCell ref="E20:F20"/>
    <mergeCell ref="G20:I20"/>
    <mergeCell ref="U20:U21"/>
    <mergeCell ref="V20:V21"/>
    <mergeCell ref="W20:AA21"/>
    <mergeCell ref="U12:AA13"/>
    <mergeCell ref="F13:I14"/>
    <mergeCell ref="A15:I15"/>
    <mergeCell ref="U15:AA15"/>
    <mergeCell ref="B16:I16"/>
    <mergeCell ref="U16:U17"/>
    <mergeCell ref="V16:V17"/>
    <mergeCell ref="W16:AA17"/>
    <mergeCell ref="B17:I17"/>
    <mergeCell ref="K17:Q21"/>
    <mergeCell ref="U22:U23"/>
    <mergeCell ref="V22:V23"/>
    <mergeCell ref="W22:AA23"/>
    <mergeCell ref="U24:U25"/>
    <mergeCell ref="V24:V25"/>
    <mergeCell ref="W24:AA25"/>
    <mergeCell ref="AG17:AH17"/>
    <mergeCell ref="U18:U19"/>
    <mergeCell ref="V18:V19"/>
    <mergeCell ref="W18:AA19"/>
    <mergeCell ref="U30:AA30"/>
    <mergeCell ref="AG30:AH30"/>
    <mergeCell ref="U31:V32"/>
    <mergeCell ref="W31:AA32"/>
    <mergeCell ref="AG31:AH31"/>
    <mergeCell ref="AG32:AH32"/>
    <mergeCell ref="U26:U27"/>
    <mergeCell ref="V26:V27"/>
    <mergeCell ref="W26:AA27"/>
    <mergeCell ref="AG26:AH26"/>
    <mergeCell ref="AG27:AH27"/>
    <mergeCell ref="U28:U29"/>
    <mergeCell ref="W28:AA29"/>
    <mergeCell ref="AG29:AH29"/>
    <mergeCell ref="U37:V38"/>
    <mergeCell ref="W37:AA38"/>
    <mergeCell ref="AG37:AH37"/>
    <mergeCell ref="AG38:AH38"/>
    <mergeCell ref="U39:V40"/>
    <mergeCell ref="W39:AA40"/>
    <mergeCell ref="AG39:AH39"/>
    <mergeCell ref="AG40:AH40"/>
    <mergeCell ref="U33:V34"/>
    <mergeCell ref="W33:AA34"/>
    <mergeCell ref="AG33:AH33"/>
    <mergeCell ref="AG34:AH34"/>
    <mergeCell ref="U35:V36"/>
    <mergeCell ref="W35:AA36"/>
    <mergeCell ref="AG35:AH35"/>
    <mergeCell ref="AG46:AH46"/>
    <mergeCell ref="AN55:BB65"/>
    <mergeCell ref="A58:I58"/>
    <mergeCell ref="A60:I60"/>
    <mergeCell ref="B61:I63"/>
    <mergeCell ref="AN66:BB67"/>
    <mergeCell ref="AB67:AC68"/>
    <mergeCell ref="U41:AA41"/>
    <mergeCell ref="AG41:AH41"/>
    <mergeCell ref="U42:V43"/>
    <mergeCell ref="W42:AA43"/>
    <mergeCell ref="AG43:AH43"/>
    <mergeCell ref="U44:V45"/>
    <mergeCell ref="W44:AA45"/>
    <mergeCell ref="AG44:AH44"/>
    <mergeCell ref="AG45:AH45"/>
    <mergeCell ref="AP287:AU287"/>
    <mergeCell ref="AP323:AU323"/>
    <mergeCell ref="AP359:AU359"/>
    <mergeCell ref="AP395:AU395"/>
    <mergeCell ref="AP71:AU71"/>
    <mergeCell ref="AP107:AU107"/>
    <mergeCell ref="AP143:AU143"/>
    <mergeCell ref="AP179:AU179"/>
    <mergeCell ref="AP215:AU215"/>
    <mergeCell ref="AP251:AU251"/>
  </mergeCells>
  <conditionalFormatting sqref="I22:I56">
    <cfRule type="expression" dxfId="5" priority="1">
      <formula>I22="A CONTROLER"</formula>
    </cfRule>
    <cfRule type="expression" dxfId="4" priority="2">
      <formula>I22="OK"</formula>
    </cfRule>
  </conditionalFormatting>
  <dataValidations count="1">
    <dataValidation type="list" sqref="B5" xr:uid="{D0D53EF0-93C0-460E-BFD8-D60C20E5039F}">
      <formula1>"1,2,3,4,5,6,7,8,9,10"</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14</vt:i4>
      </vt:variant>
    </vt:vector>
  </HeadingPairs>
  <TitlesOfParts>
    <vt:vector size="14" baseType="lpstr">
      <vt:lpstr>modele.Vierge</vt:lpstr>
      <vt:lpstr>Mode.d'Emploi</vt:lpstr>
      <vt:lpstr>H.O.FROIDS.11.à.20</vt:lpstr>
      <vt:lpstr>H.O.FROIDS.21.à.24</vt:lpstr>
      <vt:lpstr>OEUFS.2</vt:lpstr>
      <vt:lpstr>ENTRÉES.CHAUDES.25-33</vt:lpstr>
      <vt:lpstr>ENTRÉES.TOASTS.34-38</vt:lpstr>
      <vt:lpstr>H.O.FROIDS.01.à.10</vt:lpstr>
      <vt:lpstr>ENTRÉES.POTAGES-39-44</vt:lpstr>
      <vt:lpstr>CONCORDANCES</vt:lpstr>
      <vt:lpstr>peser.sans.balance.31.01.2025</vt:lpstr>
      <vt:lpstr>HYGIENE</vt:lpstr>
      <vt:lpstr>ALLERGENES.9.Aout.2026</vt:lpstr>
      <vt:lpstr>CONTROLE_QUOTIDIEN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Joël Leboucher</dc:creator>
  <cp:lastModifiedBy>Joël Leboucher</cp:lastModifiedBy>
  <dcterms:created xsi:type="dcterms:W3CDTF">2026-07-19T14:54:43Z</dcterms:created>
  <dcterms:modified xsi:type="dcterms:W3CDTF">2026-08-29T07:35:15Z</dcterms:modified>
</cp:coreProperties>
</file>